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slicers/slicer2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alpinainteractiva.sharepoint.com/sites/PlaneacinAlpinaEcuador/Documentos compartidos/REPORTE SEDES/"/>
    </mc:Choice>
  </mc:AlternateContent>
  <xr:revisionPtr revIDLastSave="2829" documentId="121_{5C17B0A7-6421-4EA7-923E-3E5C8BF06AC7}" xr6:coauthVersionLast="47" xr6:coauthVersionMax="47" xr10:uidLastSave="{19E3971F-7B67-458F-AD04-36DD307943FC}"/>
  <bookViews>
    <workbookView xWindow="-110" yWindow="-110" windowWidth="19420" windowHeight="10420" firstSheet="1" activeTab="2" xr2:uid="{6098D62F-D7B8-4780-A522-CEDC0E8B7A9E}"/>
  </bookViews>
  <sheets>
    <sheet name="MAESTRO" sheetId="4" r:id="rId1"/>
    <sheet name="GUAYAQUIL" sheetId="2" r:id="rId2"/>
    <sheet name="MACHACHI" sheetId="21" r:id="rId3"/>
    <sheet name="SAN GABRIEL" sheetId="22" r:id="rId4"/>
    <sheet name="Visor Consulta Fechas Cortas" sheetId="53" r:id="rId5"/>
    <sheet name="Info General" sheetId="56" r:id="rId6"/>
    <sheet name="Tablas_Visores" sheetId="55" state="hidden" r:id="rId7"/>
    <sheet name="CONSOLIDADO " sheetId="41" r:id="rId8"/>
    <sheet name="Base_FechasCortas" sheetId="62" r:id="rId9"/>
  </sheets>
  <definedNames>
    <definedName name="_10071">#REF!</definedName>
    <definedName name="_10096">#REF!</definedName>
    <definedName name="_xlnm._FilterDatabase" localSheetId="7" hidden="1">'CONSOLIDADO '!$A$6:$AD$844</definedName>
    <definedName name="_xlnm._FilterDatabase" localSheetId="1" hidden="1">GUAYAQUIL!$A$7:$AC$7</definedName>
    <definedName name="_xlnm._FilterDatabase" localSheetId="2" hidden="1">MACHACHI!$A$7:$AC$7</definedName>
    <definedName name="_xlnm._FilterDatabase" localSheetId="3" hidden="1">'SAN GABRIEL'!$A$7:$AB$7</definedName>
    <definedName name="_xlnm.Print_Area" localSheetId="1">GUAYAQUIL!$I$7:$U$7</definedName>
    <definedName name="_xlnm.Print_Area" localSheetId="2">MACHACHI!$I$7:$U$7</definedName>
    <definedName name="_xlnm.Print_Area" localSheetId="3">'SAN GABRIEL'!$I$7:$U$7</definedName>
    <definedName name="CEDE" localSheetId="7">'CONSOLIDADO '!$F:$F</definedName>
    <definedName name="CEDE">#REF!</definedName>
    <definedName name="CODIGO" localSheetId="7">'CONSOLIDADO '!$I:$I</definedName>
    <definedName name="CODIGO">#REF!</definedName>
    <definedName name="Código">#REF!</definedName>
    <definedName name="Códigos">#REF!</definedName>
    <definedName name="DatosExternos_1" localSheetId="0" hidden="1">MAESTRO!$A$2:$BI$2071</definedName>
    <definedName name="DC" localSheetId="7">'CONSOLIDADO '!$S:$S</definedName>
    <definedName name="DC">#REF!</definedName>
    <definedName name="ESTADO" localSheetId="7">'CONSOLIDADO '!$AB:$AB</definedName>
    <definedName name="ESTADO">#REF!</definedName>
    <definedName name="FE" localSheetId="7">'CONSOLIDADO '!$Q:$Q</definedName>
    <definedName name="FE">#REF!</definedName>
    <definedName name="FECHACORTA" localSheetId="7">'CONSOLIDADO '!$F:$AB</definedName>
    <definedName name="FECHACORTA">#REF!</definedName>
    <definedName name="PRODUCTO" localSheetId="7">'CONSOLIDADO '!$J:$J</definedName>
    <definedName name="PRODUCTO">#REF!</definedName>
    <definedName name="SA" localSheetId="7">'CONSOLIDADO '!$U:$U</definedName>
    <definedName name="SA">#REF!</definedName>
    <definedName name="SEDE" localSheetId="7">'CONSOLIDADO '!$F:$F</definedName>
    <definedName name="SEDE">#REF!</definedName>
    <definedName name="SegmentaciónDeDatos_Bodega">#N/A</definedName>
    <definedName name="SegmentaciónDeDatos_CATEGORIA">#N/A</definedName>
    <definedName name="SegmentaciónDeDatos_Centro">#N/A</definedName>
    <definedName name="SegmentaciónDeDatos_MARCA">#N/A</definedName>
    <definedName name="SegmentaciónDeDatos_Marca1">#N/A</definedName>
    <definedName name="SegmentaciónDeDatos_Responsable_de_Marca">#N/A</definedName>
    <definedName name="VA" localSheetId="7">'CONSOLIDADO '!$T:$T</definedName>
    <definedName name="VA">#REF!</definedName>
  </definedNames>
  <calcPr calcId="191029"/>
  <pivotCaches>
    <pivotCache cacheId="1585" r:id="rId10"/>
    <pivotCache cacheId="1586" r:id="rId11"/>
    <pivotCache cacheId="1587" r:id="rId12"/>
    <pivotCache cacheId="1588" r:id="rId13"/>
    <pivotCache cacheId="1589" r:id="rId14"/>
    <pivotCache cacheId="1590" r:id="rId15"/>
  </pivotCaches>
  <extLst>
    <ext xmlns:x14="http://schemas.microsoft.com/office/spreadsheetml/2009/9/main" uri="{876F7934-8845-4945-9796-88D515C7AA90}">
      <x14:pivotCaches>
        <pivotCache cacheId="1591" r:id="rId16"/>
      </x14:pivotCaches>
    </ex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  <x14:slicerCache r:id="rId21"/>
        <x14:slicerCache r:id="rId2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porte Stock DiarioPRG_adf8c830-20b1-4335-b56e-fb09d8913ee8" name="Reporte Stock DiarioPRG" connection="SqlServer 172.30.6.234 Logistica"/>
          <x15:modelTable id="Listado_PT_8e25f82f-1b31-44b1-bc1e-52e72a7ecf89" name="Listado_PT" connection="SqlServer 172.30.6.234 Logistica 2"/>
        </x15:modelTables>
        <x15:modelRelationships>
          <x15:modelRelationship fromTable="Reporte Stock DiarioPRG" fromColumn="Material" toTable="Listado_PT" toColumn="Material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9" i="21" l="1"/>
  <c r="A110" i="21"/>
  <c r="B109" i="21"/>
  <c r="B110" i="21"/>
  <c r="C109" i="21"/>
  <c r="C110" i="21"/>
  <c r="D109" i="21"/>
  <c r="D110" i="21"/>
  <c r="E109" i="21"/>
  <c r="E110" i="21"/>
  <c r="F109" i="21"/>
  <c r="F110" i="21"/>
  <c r="G109" i="21"/>
  <c r="G110" i="21"/>
  <c r="H109" i="21"/>
  <c r="H110" i="21"/>
  <c r="J109" i="21"/>
  <c r="J110" i="21"/>
  <c r="L109" i="21"/>
  <c r="L110" i="21"/>
  <c r="M109" i="21"/>
  <c r="M110" i="21"/>
  <c r="N109" i="21"/>
  <c r="Q109" i="21" s="1"/>
  <c r="O109" i="21" s="1"/>
  <c r="W109" i="21" s="1"/>
  <c r="N110" i="21"/>
  <c r="Q110" i="21" s="1"/>
  <c r="O110" i="21" s="1"/>
  <c r="W110" i="21" s="1"/>
  <c r="Y109" i="21"/>
  <c r="Y110" i="21"/>
  <c r="AD110" i="21" l="1"/>
  <c r="Z110" i="21"/>
  <c r="AA110" i="21" s="1"/>
  <c r="V110" i="21"/>
  <c r="V109" i="21"/>
  <c r="P110" i="21"/>
  <c r="P109" i="21"/>
  <c r="X110" i="21"/>
  <c r="X109" i="21"/>
  <c r="AD109" i="21"/>
  <c r="Z109" i="21"/>
  <c r="AA109" i="21" s="1"/>
  <c r="A108" i="21" l="1"/>
  <c r="B108" i="21"/>
  <c r="C108" i="21"/>
  <c r="D108" i="21"/>
  <c r="E108" i="21"/>
  <c r="F108" i="21"/>
  <c r="G108" i="21"/>
  <c r="H108" i="21"/>
  <c r="J108" i="21"/>
  <c r="L108" i="21"/>
  <c r="M108" i="21"/>
  <c r="N108" i="21"/>
  <c r="Q108" i="21" s="1"/>
  <c r="O108" i="21" s="1"/>
  <c r="W108" i="21" s="1"/>
  <c r="X108" i="21" s="1"/>
  <c r="Y108" i="21"/>
  <c r="Y13" i="22"/>
  <c r="N13" i="22"/>
  <c r="Q13" i="22" s="1"/>
  <c r="O13" i="22" s="1"/>
  <c r="W13" i="22" s="1"/>
  <c r="X13" i="22" s="1"/>
  <c r="M13" i="22"/>
  <c r="L13" i="22"/>
  <c r="J13" i="22"/>
  <c r="H13" i="22"/>
  <c r="G13" i="22"/>
  <c r="F13" i="22"/>
  <c r="Y38" i="22"/>
  <c r="N38" i="22"/>
  <c r="Q38" i="22" s="1"/>
  <c r="O38" i="22" s="1"/>
  <c r="W38" i="22" s="1"/>
  <c r="X38" i="22" s="1"/>
  <c r="M38" i="22"/>
  <c r="L38" i="22"/>
  <c r="J38" i="22"/>
  <c r="H38" i="22"/>
  <c r="G38" i="22"/>
  <c r="F38" i="22"/>
  <c r="Y15" i="22"/>
  <c r="N15" i="22"/>
  <c r="Q15" i="22" s="1"/>
  <c r="O15" i="22" s="1"/>
  <c r="W15" i="22" s="1"/>
  <c r="X15" i="22" s="1"/>
  <c r="M15" i="22"/>
  <c r="L15" i="22"/>
  <c r="J15" i="22"/>
  <c r="H15" i="22"/>
  <c r="G15" i="22"/>
  <c r="F15" i="22"/>
  <c r="AD108" i="21" l="1"/>
  <c r="P108" i="21"/>
  <c r="Z108" i="21"/>
  <c r="AA108" i="21" s="1"/>
  <c r="V108" i="21"/>
  <c r="AD13" i="22"/>
  <c r="Z13" i="22"/>
  <c r="V38" i="22"/>
  <c r="Z38" i="22"/>
  <c r="V15" i="22"/>
  <c r="P13" i="22"/>
  <c r="V13" i="22"/>
  <c r="Z15" i="22"/>
  <c r="AD38" i="22"/>
  <c r="P38" i="22"/>
  <c r="P15" i="22"/>
  <c r="AD15" i="22"/>
  <c r="AA15" i="22" l="1"/>
  <c r="AA38" i="22"/>
  <c r="AA13" i="22"/>
  <c r="A98" i="21"/>
  <c r="A99" i="21"/>
  <c r="A100" i="21"/>
  <c r="A101" i="21"/>
  <c r="A102" i="21"/>
  <c r="A103" i="21"/>
  <c r="A104" i="21"/>
  <c r="A105" i="21"/>
  <c r="A106" i="21"/>
  <c r="A107" i="21"/>
  <c r="B98" i="21"/>
  <c r="B99" i="21"/>
  <c r="B100" i="21"/>
  <c r="B101" i="21"/>
  <c r="B102" i="21"/>
  <c r="B103" i="21"/>
  <c r="B104" i="21"/>
  <c r="B105" i="21"/>
  <c r="B106" i="21"/>
  <c r="B107" i="21"/>
  <c r="C98" i="21"/>
  <c r="C99" i="21"/>
  <c r="C100" i="21"/>
  <c r="C101" i="21"/>
  <c r="C102" i="21"/>
  <c r="C103" i="21"/>
  <c r="C104" i="21"/>
  <c r="C105" i="21"/>
  <c r="C106" i="21"/>
  <c r="C107" i="21"/>
  <c r="D98" i="21"/>
  <c r="D99" i="21"/>
  <c r="D100" i="21"/>
  <c r="D101" i="21"/>
  <c r="D102" i="21"/>
  <c r="D103" i="21"/>
  <c r="D104" i="21"/>
  <c r="D105" i="21"/>
  <c r="D106" i="21"/>
  <c r="D107" i="21"/>
  <c r="E98" i="21"/>
  <c r="E99" i="21"/>
  <c r="E100" i="21"/>
  <c r="E101" i="21"/>
  <c r="E102" i="21"/>
  <c r="E103" i="21"/>
  <c r="E104" i="21"/>
  <c r="E105" i="21"/>
  <c r="E106" i="21"/>
  <c r="E107" i="21"/>
  <c r="F98" i="21"/>
  <c r="F99" i="21"/>
  <c r="F100" i="21"/>
  <c r="F101" i="21"/>
  <c r="F102" i="21"/>
  <c r="F103" i="21"/>
  <c r="F104" i="21"/>
  <c r="F105" i="21"/>
  <c r="F106" i="21"/>
  <c r="F107" i="21"/>
  <c r="G98" i="21"/>
  <c r="G99" i="21"/>
  <c r="G100" i="21"/>
  <c r="G101" i="21"/>
  <c r="G102" i="21"/>
  <c r="G103" i="21"/>
  <c r="G104" i="21"/>
  <c r="G105" i="21"/>
  <c r="G106" i="21"/>
  <c r="G107" i="21"/>
  <c r="H98" i="21"/>
  <c r="H99" i="21"/>
  <c r="H100" i="21"/>
  <c r="H101" i="21"/>
  <c r="H102" i="21"/>
  <c r="H103" i="21"/>
  <c r="H104" i="21"/>
  <c r="H105" i="21"/>
  <c r="H106" i="21"/>
  <c r="H107" i="21"/>
  <c r="J98" i="21"/>
  <c r="J99" i="21"/>
  <c r="J100" i="21"/>
  <c r="J101" i="21"/>
  <c r="J102" i="21"/>
  <c r="J103" i="21"/>
  <c r="J104" i="21"/>
  <c r="J105" i="21"/>
  <c r="J106" i="21"/>
  <c r="J107" i="21"/>
  <c r="L98" i="21"/>
  <c r="L99" i="21"/>
  <c r="L100" i="21"/>
  <c r="L101" i="21"/>
  <c r="L102" i="21"/>
  <c r="L103" i="21"/>
  <c r="L104" i="21"/>
  <c r="L105" i="21"/>
  <c r="L106" i="21"/>
  <c r="L107" i="21"/>
  <c r="M98" i="21"/>
  <c r="M99" i="21"/>
  <c r="M100" i="21"/>
  <c r="M101" i="21"/>
  <c r="M102" i="21"/>
  <c r="M103" i="21"/>
  <c r="M104" i="21"/>
  <c r="M105" i="21"/>
  <c r="M106" i="21"/>
  <c r="M107" i="21"/>
  <c r="N98" i="21"/>
  <c r="Q98" i="21" s="1"/>
  <c r="O98" i="21" s="1"/>
  <c r="W98" i="21" s="1"/>
  <c r="N99" i="21"/>
  <c r="Q99" i="21" s="1"/>
  <c r="O99" i="21" s="1"/>
  <c r="W99" i="21" s="1"/>
  <c r="N100" i="21"/>
  <c r="Q100" i="21" s="1"/>
  <c r="O100" i="21" s="1"/>
  <c r="W100" i="21" s="1"/>
  <c r="N101" i="21"/>
  <c r="Q101" i="21" s="1"/>
  <c r="O101" i="21" s="1"/>
  <c r="P101" i="21" s="1"/>
  <c r="N102" i="21"/>
  <c r="Q102" i="21" s="1"/>
  <c r="O102" i="21" s="1"/>
  <c r="N103" i="21"/>
  <c r="Q103" i="21" s="1"/>
  <c r="O103" i="21" s="1"/>
  <c r="W103" i="21" s="1"/>
  <c r="X103" i="21" s="1"/>
  <c r="N104" i="21"/>
  <c r="Q104" i="21" s="1"/>
  <c r="N105" i="21"/>
  <c r="Q105" i="21" s="1"/>
  <c r="O105" i="21" s="1"/>
  <c r="P105" i="21" s="1"/>
  <c r="N106" i="21"/>
  <c r="Q106" i="21" s="1"/>
  <c r="O106" i="21" s="1"/>
  <c r="P106" i="21" s="1"/>
  <c r="N107" i="21"/>
  <c r="Q107" i="21" s="1"/>
  <c r="O107" i="21" s="1"/>
  <c r="P107" i="21" s="1"/>
  <c r="Y98" i="21"/>
  <c r="Y99" i="21"/>
  <c r="Y100" i="21"/>
  <c r="Y101" i="21"/>
  <c r="Y102" i="21"/>
  <c r="Y103" i="21"/>
  <c r="Y104" i="21"/>
  <c r="Y105" i="21"/>
  <c r="Y106" i="21"/>
  <c r="Y107" i="21"/>
  <c r="Z104" i="21" l="1"/>
  <c r="AA104" i="21" s="1"/>
  <c r="V102" i="21"/>
  <c r="AD99" i="21"/>
  <c r="V104" i="21"/>
  <c r="V98" i="21"/>
  <c r="Z101" i="21"/>
  <c r="AA101" i="21" s="1"/>
  <c r="Z103" i="21"/>
  <c r="AA103" i="21" s="1"/>
  <c r="V101" i="21"/>
  <c r="Z106" i="21"/>
  <c r="AA106" i="21" s="1"/>
  <c r="V106" i="21"/>
  <c r="AD105" i="21"/>
  <c r="V99" i="21"/>
  <c r="Z102" i="21"/>
  <c r="AA102" i="21" s="1"/>
  <c r="V103" i="21"/>
  <c r="Z99" i="21"/>
  <c r="AA99" i="21" s="1"/>
  <c r="AD106" i="21"/>
  <c r="Z107" i="21"/>
  <c r="AA107" i="21" s="1"/>
  <c r="AD102" i="21"/>
  <c r="AD101" i="21"/>
  <c r="W102" i="21"/>
  <c r="X102" i="21" s="1"/>
  <c r="P102" i="21"/>
  <c r="AD107" i="21"/>
  <c r="V100" i="21"/>
  <c r="Z105" i="21"/>
  <c r="AA105" i="21" s="1"/>
  <c r="Z100" i="21"/>
  <c r="AA100" i="21" s="1"/>
  <c r="P103" i="21"/>
  <c r="P99" i="21"/>
  <c r="P100" i="21"/>
  <c r="P98" i="21"/>
  <c r="W107" i="21"/>
  <c r="X107" i="21" s="1"/>
  <c r="W101" i="21"/>
  <c r="X101" i="21" s="1"/>
  <c r="W106" i="21"/>
  <c r="X106" i="21" s="1"/>
  <c r="X100" i="21"/>
  <c r="X99" i="21"/>
  <c r="O104" i="21"/>
  <c r="X98" i="21"/>
  <c r="W105" i="21"/>
  <c r="X105" i="21" s="1"/>
  <c r="Z98" i="21"/>
  <c r="AA98" i="21" s="1"/>
  <c r="AD104" i="21"/>
  <c r="AD103" i="21"/>
  <c r="V107" i="21"/>
  <c r="AD100" i="21"/>
  <c r="V105" i="21"/>
  <c r="AD98" i="21"/>
  <c r="W104" i="21" l="1"/>
  <c r="X104" i="21" s="1"/>
  <c r="P104" i="21"/>
  <c r="Y733" i="2" l="1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N733" i="2"/>
  <c r="Q733" i="2" s="1"/>
  <c r="W733" i="2" s="1"/>
  <c r="X733" i="2" s="1"/>
  <c r="N734" i="2"/>
  <c r="Q734" i="2" s="1"/>
  <c r="W734" i="2" s="1"/>
  <c r="X734" i="2" s="1"/>
  <c r="N735" i="2"/>
  <c r="Q735" i="2" s="1"/>
  <c r="W735" i="2" s="1"/>
  <c r="X735" i="2" s="1"/>
  <c r="N736" i="2"/>
  <c r="Q736" i="2" s="1"/>
  <c r="W736" i="2" s="1"/>
  <c r="X736" i="2" s="1"/>
  <c r="N737" i="2"/>
  <c r="Q737" i="2" s="1"/>
  <c r="W737" i="2" s="1"/>
  <c r="X737" i="2" s="1"/>
  <c r="N738" i="2"/>
  <c r="Q738" i="2" s="1"/>
  <c r="W738" i="2" s="1"/>
  <c r="X738" i="2" s="1"/>
  <c r="N739" i="2"/>
  <c r="Q739" i="2" s="1"/>
  <c r="W739" i="2" s="1"/>
  <c r="N740" i="2"/>
  <c r="Q740" i="2" s="1"/>
  <c r="W740" i="2" s="1"/>
  <c r="X740" i="2" s="1"/>
  <c r="N741" i="2"/>
  <c r="Q741" i="2" s="1"/>
  <c r="W741" i="2" s="1"/>
  <c r="X741" i="2" s="1"/>
  <c r="N742" i="2"/>
  <c r="Q742" i="2" s="1"/>
  <c r="W742" i="2" s="1"/>
  <c r="X742" i="2" s="1"/>
  <c r="N743" i="2"/>
  <c r="Q743" i="2" s="1"/>
  <c r="W743" i="2" s="1"/>
  <c r="X743" i="2" s="1"/>
  <c r="N744" i="2"/>
  <c r="Q744" i="2" s="1"/>
  <c r="W744" i="2" s="1"/>
  <c r="X744" i="2" s="1"/>
  <c r="N745" i="2"/>
  <c r="Q745" i="2" s="1"/>
  <c r="W745" i="2" s="1"/>
  <c r="X745" i="2" s="1"/>
  <c r="N746" i="2"/>
  <c r="Q746" i="2" s="1"/>
  <c r="W746" i="2" s="1"/>
  <c r="X746" i="2" s="1"/>
  <c r="N747" i="2"/>
  <c r="Q747" i="2" s="1"/>
  <c r="W747" i="2" s="1"/>
  <c r="X747" i="2" s="1"/>
  <c r="N748" i="2"/>
  <c r="Q748" i="2" s="1"/>
  <c r="W748" i="2" s="1"/>
  <c r="X748" i="2" s="1"/>
  <c r="N749" i="2"/>
  <c r="Q749" i="2" s="1"/>
  <c r="W749" i="2" s="1"/>
  <c r="X749" i="2" s="1"/>
  <c r="N750" i="2"/>
  <c r="Q750" i="2" s="1"/>
  <c r="W750" i="2" s="1"/>
  <c r="X750" i="2" s="1"/>
  <c r="N751" i="2"/>
  <c r="Q751" i="2" s="1"/>
  <c r="W751" i="2" s="1"/>
  <c r="N752" i="2"/>
  <c r="Q752" i="2" s="1"/>
  <c r="W752" i="2" s="1"/>
  <c r="X752" i="2" s="1"/>
  <c r="N753" i="2"/>
  <c r="Q753" i="2" s="1"/>
  <c r="W753" i="2" s="1"/>
  <c r="X753" i="2" s="1"/>
  <c r="N754" i="2"/>
  <c r="Q754" i="2" s="1"/>
  <c r="W754" i="2" s="1"/>
  <c r="X754" i="2" s="1"/>
  <c r="N755" i="2"/>
  <c r="Q755" i="2" s="1"/>
  <c r="W755" i="2" s="1"/>
  <c r="X755" i="2" s="1"/>
  <c r="N756" i="2"/>
  <c r="Q756" i="2" s="1"/>
  <c r="W756" i="2" s="1"/>
  <c r="X756" i="2" s="1"/>
  <c r="N757" i="2"/>
  <c r="Q757" i="2" s="1"/>
  <c r="W757" i="2" s="1"/>
  <c r="X757" i="2" s="1"/>
  <c r="N758" i="2"/>
  <c r="Q758" i="2" s="1"/>
  <c r="W758" i="2" s="1"/>
  <c r="X758" i="2" s="1"/>
  <c r="N759" i="2"/>
  <c r="Q759" i="2" s="1"/>
  <c r="W759" i="2" s="1"/>
  <c r="X759" i="2" s="1"/>
  <c r="N760" i="2"/>
  <c r="Q760" i="2" s="1"/>
  <c r="W760" i="2" s="1"/>
  <c r="X760" i="2" s="1"/>
  <c r="N761" i="2"/>
  <c r="Q761" i="2" s="1"/>
  <c r="W761" i="2" s="1"/>
  <c r="X761" i="2" s="1"/>
  <c r="N762" i="2"/>
  <c r="Q762" i="2" s="1"/>
  <c r="W762" i="2" s="1"/>
  <c r="X762" i="2" s="1"/>
  <c r="N763" i="2"/>
  <c r="Q763" i="2" s="1"/>
  <c r="W763" i="2" s="1"/>
  <c r="N764" i="2"/>
  <c r="Q764" i="2" s="1"/>
  <c r="W764" i="2" s="1"/>
  <c r="X764" i="2" s="1"/>
  <c r="N765" i="2"/>
  <c r="Q765" i="2" s="1"/>
  <c r="W765" i="2" s="1"/>
  <c r="X765" i="2" s="1"/>
  <c r="N766" i="2"/>
  <c r="Q766" i="2" s="1"/>
  <c r="W766" i="2" s="1"/>
  <c r="X766" i="2" s="1"/>
  <c r="N767" i="2"/>
  <c r="Q767" i="2" s="1"/>
  <c r="W767" i="2" s="1"/>
  <c r="X767" i="2" s="1"/>
  <c r="N768" i="2"/>
  <c r="Q768" i="2" s="1"/>
  <c r="W768" i="2" s="1"/>
  <c r="X768" i="2" s="1"/>
  <c r="N769" i="2"/>
  <c r="Q769" i="2" s="1"/>
  <c r="W769" i="2" s="1"/>
  <c r="X769" i="2" s="1"/>
  <c r="N770" i="2"/>
  <c r="Q770" i="2" s="1"/>
  <c r="W770" i="2" s="1"/>
  <c r="X770" i="2" s="1"/>
  <c r="N771" i="2"/>
  <c r="Q771" i="2" s="1"/>
  <c r="W771" i="2" s="1"/>
  <c r="X771" i="2" s="1"/>
  <c r="N772" i="2"/>
  <c r="Q772" i="2" s="1"/>
  <c r="W772" i="2" s="1"/>
  <c r="X772" i="2" s="1"/>
  <c r="N773" i="2"/>
  <c r="Q773" i="2" s="1"/>
  <c r="W773" i="2" s="1"/>
  <c r="X773" i="2" s="1"/>
  <c r="N774" i="2"/>
  <c r="Q774" i="2" s="1"/>
  <c r="W774" i="2" s="1"/>
  <c r="X774" i="2" s="1"/>
  <c r="N775" i="2"/>
  <c r="Q775" i="2" s="1"/>
  <c r="W775" i="2" s="1"/>
  <c r="N776" i="2"/>
  <c r="Q776" i="2" s="1"/>
  <c r="W776" i="2" s="1"/>
  <c r="X776" i="2" s="1"/>
  <c r="N777" i="2"/>
  <c r="Q777" i="2" s="1"/>
  <c r="W777" i="2" s="1"/>
  <c r="X777" i="2" s="1"/>
  <c r="N778" i="2"/>
  <c r="Q778" i="2" s="1"/>
  <c r="W778" i="2" s="1"/>
  <c r="X778" i="2" s="1"/>
  <c r="N779" i="2"/>
  <c r="Q779" i="2" s="1"/>
  <c r="W779" i="2" s="1"/>
  <c r="X779" i="2" s="1"/>
  <c r="N780" i="2"/>
  <c r="Q780" i="2" s="1"/>
  <c r="W780" i="2" s="1"/>
  <c r="X780" i="2" s="1"/>
  <c r="N781" i="2"/>
  <c r="Q781" i="2" s="1"/>
  <c r="W781" i="2" s="1"/>
  <c r="X781" i="2" s="1"/>
  <c r="N782" i="2"/>
  <c r="Q782" i="2" s="1"/>
  <c r="W782" i="2" s="1"/>
  <c r="X782" i="2" s="1"/>
  <c r="N783" i="2"/>
  <c r="Q783" i="2" s="1"/>
  <c r="W783" i="2" s="1"/>
  <c r="X783" i="2" s="1"/>
  <c r="N784" i="2"/>
  <c r="Q784" i="2" s="1"/>
  <c r="W784" i="2" s="1"/>
  <c r="X784" i="2" s="1"/>
  <c r="N785" i="2"/>
  <c r="Q785" i="2" s="1"/>
  <c r="W785" i="2" s="1"/>
  <c r="X785" i="2" s="1"/>
  <c r="N786" i="2"/>
  <c r="Q786" i="2" s="1"/>
  <c r="W786" i="2" s="1"/>
  <c r="X786" i="2" s="1"/>
  <c r="N787" i="2"/>
  <c r="Q787" i="2" s="1"/>
  <c r="W787" i="2" s="1"/>
  <c r="N788" i="2"/>
  <c r="Q788" i="2" s="1"/>
  <c r="W788" i="2" s="1"/>
  <c r="X788" i="2" s="1"/>
  <c r="N789" i="2"/>
  <c r="Q789" i="2" s="1"/>
  <c r="W789" i="2" s="1"/>
  <c r="X789" i="2" s="1"/>
  <c r="N790" i="2"/>
  <c r="Q790" i="2" s="1"/>
  <c r="W790" i="2" s="1"/>
  <c r="X790" i="2" s="1"/>
  <c r="N791" i="2"/>
  <c r="Q791" i="2" s="1"/>
  <c r="W791" i="2" s="1"/>
  <c r="X791" i="2" s="1"/>
  <c r="N792" i="2"/>
  <c r="Q792" i="2" s="1"/>
  <c r="W792" i="2" s="1"/>
  <c r="X792" i="2" s="1"/>
  <c r="N793" i="2"/>
  <c r="Q793" i="2" s="1"/>
  <c r="W793" i="2" s="1"/>
  <c r="X793" i="2" s="1"/>
  <c r="N794" i="2"/>
  <c r="Q794" i="2" s="1"/>
  <c r="W794" i="2" s="1"/>
  <c r="X794" i="2" s="1"/>
  <c r="N795" i="2"/>
  <c r="Q795" i="2" s="1"/>
  <c r="W795" i="2" s="1"/>
  <c r="X795" i="2" s="1"/>
  <c r="N796" i="2"/>
  <c r="Q796" i="2" s="1"/>
  <c r="W796" i="2" s="1"/>
  <c r="X796" i="2" s="1"/>
  <c r="N797" i="2"/>
  <c r="Q797" i="2" s="1"/>
  <c r="W797" i="2" s="1"/>
  <c r="X797" i="2" s="1"/>
  <c r="N798" i="2"/>
  <c r="Q798" i="2" s="1"/>
  <c r="W798" i="2" s="1"/>
  <c r="X798" i="2" s="1"/>
  <c r="N799" i="2"/>
  <c r="Q799" i="2" s="1"/>
  <c r="W799" i="2" s="1"/>
  <c r="N800" i="2"/>
  <c r="Q800" i="2" s="1"/>
  <c r="W800" i="2" s="1"/>
  <c r="X800" i="2" s="1"/>
  <c r="N801" i="2"/>
  <c r="Q801" i="2" s="1"/>
  <c r="W801" i="2" s="1"/>
  <c r="X801" i="2" s="1"/>
  <c r="N802" i="2"/>
  <c r="Q802" i="2" s="1"/>
  <c r="W802" i="2" s="1"/>
  <c r="X802" i="2" s="1"/>
  <c r="N803" i="2"/>
  <c r="Q803" i="2" s="1"/>
  <c r="W803" i="2" s="1"/>
  <c r="X803" i="2" s="1"/>
  <c r="N804" i="2"/>
  <c r="Q804" i="2" s="1"/>
  <c r="W804" i="2" s="1"/>
  <c r="X804" i="2" s="1"/>
  <c r="N805" i="2"/>
  <c r="Q805" i="2" s="1"/>
  <c r="W805" i="2" s="1"/>
  <c r="X805" i="2" s="1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V759" i="2" s="1"/>
  <c r="L760" i="2"/>
  <c r="L761" i="2"/>
  <c r="L762" i="2"/>
  <c r="L763" i="2"/>
  <c r="L764" i="2"/>
  <c r="L765" i="2"/>
  <c r="L766" i="2"/>
  <c r="AD766" i="2" s="1"/>
  <c r="L767" i="2"/>
  <c r="L768" i="2"/>
  <c r="L769" i="2"/>
  <c r="L770" i="2"/>
  <c r="L771" i="2"/>
  <c r="L772" i="2"/>
  <c r="L773" i="2"/>
  <c r="L774" i="2"/>
  <c r="L775" i="2"/>
  <c r="L776" i="2"/>
  <c r="L777" i="2"/>
  <c r="L778" i="2"/>
  <c r="AD778" i="2" s="1"/>
  <c r="L779" i="2"/>
  <c r="L780" i="2"/>
  <c r="L781" i="2"/>
  <c r="L782" i="2"/>
  <c r="L783" i="2"/>
  <c r="L784" i="2"/>
  <c r="L785" i="2"/>
  <c r="L786" i="2"/>
  <c r="L787" i="2"/>
  <c r="L788" i="2"/>
  <c r="L789" i="2"/>
  <c r="L790" i="2"/>
  <c r="AD790" i="2" s="1"/>
  <c r="L791" i="2"/>
  <c r="L792" i="2"/>
  <c r="L793" i="2"/>
  <c r="L794" i="2"/>
  <c r="L795" i="2"/>
  <c r="L796" i="2"/>
  <c r="L797" i="2"/>
  <c r="L798" i="2"/>
  <c r="L799" i="2"/>
  <c r="L800" i="2"/>
  <c r="L801" i="2"/>
  <c r="L802" i="2"/>
  <c r="AD802" i="2" s="1"/>
  <c r="L803" i="2"/>
  <c r="L804" i="2"/>
  <c r="L805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8" i="21"/>
  <c r="N22" i="22"/>
  <c r="N37" i="22"/>
  <c r="N23" i="22"/>
  <c r="N36" i="22"/>
  <c r="N24" i="22"/>
  <c r="N27" i="22"/>
  <c r="N29" i="22"/>
  <c r="N28" i="22"/>
  <c r="N19" i="22"/>
  <c r="N20" i="22"/>
  <c r="N30" i="22"/>
  <c r="N31" i="22"/>
  <c r="N32" i="22"/>
  <c r="N33" i="22"/>
  <c r="N34" i="22"/>
  <c r="N21" i="22"/>
  <c r="N35" i="22"/>
  <c r="N25" i="22"/>
  <c r="N9" i="22"/>
  <c r="N18" i="22"/>
  <c r="N16" i="22"/>
  <c r="N17" i="22"/>
  <c r="N26" i="22"/>
  <c r="N12" i="22"/>
  <c r="N14" i="22"/>
  <c r="N8" i="22"/>
  <c r="N10" i="22"/>
  <c r="N11" i="22"/>
  <c r="V744" i="2" l="1"/>
  <c r="AD742" i="2"/>
  <c r="V747" i="2"/>
  <c r="V735" i="2"/>
  <c r="AD754" i="2"/>
  <c r="V745" i="2"/>
  <c r="V796" i="2"/>
  <c r="Z800" i="2"/>
  <c r="Z764" i="2"/>
  <c r="V794" i="2"/>
  <c r="Z752" i="2"/>
  <c r="Z740" i="2"/>
  <c r="V748" i="2"/>
  <c r="Z798" i="2"/>
  <c r="Z786" i="2"/>
  <c r="Z774" i="2"/>
  <c r="Z762" i="2"/>
  <c r="Z750" i="2"/>
  <c r="V793" i="2"/>
  <c r="V758" i="2"/>
  <c r="V781" i="2"/>
  <c r="AD780" i="2"/>
  <c r="V791" i="2"/>
  <c r="V746" i="2"/>
  <c r="Z788" i="2"/>
  <c r="Z776" i="2"/>
  <c r="V779" i="2"/>
  <c r="AD792" i="2"/>
  <c r="V800" i="2"/>
  <c r="AD788" i="2"/>
  <c r="AD776" i="2"/>
  <c r="Z745" i="2"/>
  <c r="V757" i="2"/>
  <c r="AD756" i="2"/>
  <c r="Z738" i="2"/>
  <c r="V799" i="2"/>
  <c r="V787" i="2"/>
  <c r="V775" i="2"/>
  <c r="V768" i="2"/>
  <c r="V792" i="2"/>
  <c r="V803" i="2"/>
  <c r="V804" i="2"/>
  <c r="AD744" i="2"/>
  <c r="V756" i="2"/>
  <c r="V797" i="2"/>
  <c r="V785" i="2"/>
  <c r="V773" i="2"/>
  <c r="V761" i="2"/>
  <c r="V749" i="2"/>
  <c r="V737" i="2"/>
  <c r="Z760" i="2"/>
  <c r="AD760" i="2"/>
  <c r="Z759" i="2"/>
  <c r="AA759" i="2" s="1"/>
  <c r="V763" i="2"/>
  <c r="V751" i="2"/>
  <c r="V739" i="2"/>
  <c r="AD784" i="2"/>
  <c r="Z735" i="2"/>
  <c r="V798" i="2"/>
  <c r="V786" i="2"/>
  <c r="V774" i="2"/>
  <c r="V762" i="2"/>
  <c r="V750" i="2"/>
  <c r="V738" i="2"/>
  <c r="Z797" i="2"/>
  <c r="Z785" i="2"/>
  <c r="Z773" i="2"/>
  <c r="Z761" i="2"/>
  <c r="Z749" i="2"/>
  <c r="Z737" i="2"/>
  <c r="Z804" i="2"/>
  <c r="Z792" i="2"/>
  <c r="Z780" i="2"/>
  <c r="Z768" i="2"/>
  <c r="Z756" i="2"/>
  <c r="Z744" i="2"/>
  <c r="AA744" i="2" s="1"/>
  <c r="AD804" i="2"/>
  <c r="Z748" i="2"/>
  <c r="AD736" i="2"/>
  <c r="Z771" i="2"/>
  <c r="AD795" i="2"/>
  <c r="AD783" i="2"/>
  <c r="AD771" i="2"/>
  <c r="AD759" i="2"/>
  <c r="AD747" i="2"/>
  <c r="AD735" i="2"/>
  <c r="V784" i="2"/>
  <c r="Z794" i="2"/>
  <c r="AA794" i="2" s="1"/>
  <c r="Z782" i="2"/>
  <c r="Z770" i="2"/>
  <c r="Z758" i="2"/>
  <c r="Z746" i="2"/>
  <c r="Z734" i="2"/>
  <c r="AD794" i="2"/>
  <c r="AD782" i="2"/>
  <c r="AD770" i="2"/>
  <c r="AD758" i="2"/>
  <c r="AD746" i="2"/>
  <c r="AD734" i="2"/>
  <c r="V782" i="2"/>
  <c r="Z805" i="2"/>
  <c r="Z793" i="2"/>
  <c r="Z781" i="2"/>
  <c r="Z769" i="2"/>
  <c r="Z757" i="2"/>
  <c r="AA757" i="2" s="1"/>
  <c r="Z733" i="2"/>
  <c r="AD805" i="2"/>
  <c r="AD793" i="2"/>
  <c r="AD781" i="2"/>
  <c r="AD769" i="2"/>
  <c r="AD757" i="2"/>
  <c r="AD745" i="2"/>
  <c r="AD733" i="2"/>
  <c r="V780" i="2"/>
  <c r="V736" i="2"/>
  <c r="Z803" i="2"/>
  <c r="Z791" i="2"/>
  <c r="Z779" i="2"/>
  <c r="Z767" i="2"/>
  <c r="Z755" i="2"/>
  <c r="Z743" i="2"/>
  <c r="Z784" i="2"/>
  <c r="V767" i="2"/>
  <c r="V755" i="2"/>
  <c r="V743" i="2"/>
  <c r="V770" i="2"/>
  <c r="V734" i="2"/>
  <c r="Z802" i="2"/>
  <c r="Z790" i="2"/>
  <c r="Z778" i="2"/>
  <c r="Z766" i="2"/>
  <c r="Z754" i="2"/>
  <c r="Z742" i="2"/>
  <c r="Z772" i="2"/>
  <c r="AD772" i="2"/>
  <c r="Z795" i="2"/>
  <c r="V802" i="2"/>
  <c r="V790" i="2"/>
  <c r="V778" i="2"/>
  <c r="V766" i="2"/>
  <c r="V754" i="2"/>
  <c r="V742" i="2"/>
  <c r="V769" i="2"/>
  <c r="V733" i="2"/>
  <c r="Z801" i="2"/>
  <c r="Z789" i="2"/>
  <c r="Z777" i="2"/>
  <c r="Z765" i="2"/>
  <c r="Z753" i="2"/>
  <c r="Z741" i="2"/>
  <c r="AD768" i="2"/>
  <c r="Z796" i="2"/>
  <c r="AD796" i="2"/>
  <c r="Z747" i="2"/>
  <c r="AD801" i="2"/>
  <c r="AD789" i="2"/>
  <c r="V777" i="2"/>
  <c r="AD765" i="2"/>
  <c r="AD753" i="2"/>
  <c r="AD741" i="2"/>
  <c r="V805" i="2"/>
  <c r="Z736" i="2"/>
  <c r="AD748" i="2"/>
  <c r="Z783" i="2"/>
  <c r="V764" i="2"/>
  <c r="AA764" i="2" s="1"/>
  <c r="AD752" i="2"/>
  <c r="V740" i="2"/>
  <c r="V760" i="2"/>
  <c r="Z799" i="2"/>
  <c r="Z787" i="2"/>
  <c r="AA787" i="2" s="1"/>
  <c r="Z775" i="2"/>
  <c r="AA775" i="2" s="1"/>
  <c r="Z763" i="2"/>
  <c r="Z751" i="2"/>
  <c r="Z739" i="2"/>
  <c r="AA796" i="2"/>
  <c r="X799" i="2"/>
  <c r="X787" i="2"/>
  <c r="X775" i="2"/>
  <c r="X763" i="2"/>
  <c r="X751" i="2"/>
  <c r="X739" i="2"/>
  <c r="AA799" i="2"/>
  <c r="V772" i="2"/>
  <c r="V795" i="2"/>
  <c r="V783" i="2"/>
  <c r="V771" i="2"/>
  <c r="AD803" i="2"/>
  <c r="AD791" i="2"/>
  <c r="AD779" i="2"/>
  <c r="AD767" i="2"/>
  <c r="AD755" i="2"/>
  <c r="AD743" i="2"/>
  <c r="AD799" i="2"/>
  <c r="AD787" i="2"/>
  <c r="AD775" i="2"/>
  <c r="AD763" i="2"/>
  <c r="AD751" i="2"/>
  <c r="AD739" i="2"/>
  <c r="AD777" i="2"/>
  <c r="AD800" i="2"/>
  <c r="AD740" i="2"/>
  <c r="AD798" i="2"/>
  <c r="AD786" i="2"/>
  <c r="AD774" i="2"/>
  <c r="AD762" i="2"/>
  <c r="AD750" i="2"/>
  <c r="AD738" i="2"/>
  <c r="V801" i="2"/>
  <c r="V789" i="2"/>
  <c r="V765" i="2"/>
  <c r="V753" i="2"/>
  <c r="V741" i="2"/>
  <c r="AD797" i="2"/>
  <c r="AD785" i="2"/>
  <c r="AD773" i="2"/>
  <c r="AD761" i="2"/>
  <c r="AD749" i="2"/>
  <c r="AD737" i="2"/>
  <c r="AD764" i="2"/>
  <c r="V788" i="2"/>
  <c r="V776" i="2"/>
  <c r="V752" i="2"/>
  <c r="A160" i="62"/>
  <c r="A161" i="62"/>
  <c r="A162" i="62"/>
  <c r="A163" i="62"/>
  <c r="A164" i="62"/>
  <c r="A165" i="62"/>
  <c r="A166" i="62"/>
  <c r="A167" i="62"/>
  <c r="A168" i="62"/>
  <c r="A169" i="62"/>
  <c r="A119" i="62"/>
  <c r="A120" i="62"/>
  <c r="A121" i="62"/>
  <c r="A122" i="62"/>
  <c r="A123" i="62"/>
  <c r="A124" i="62"/>
  <c r="A125" i="62"/>
  <c r="A126" i="62"/>
  <c r="A127" i="62"/>
  <c r="A128" i="62"/>
  <c r="A129" i="62"/>
  <c r="A130" i="62"/>
  <c r="A131" i="62"/>
  <c r="A132" i="62"/>
  <c r="A133" i="62"/>
  <c r="A134" i="62"/>
  <c r="A135" i="62"/>
  <c r="A136" i="62"/>
  <c r="A137" i="62"/>
  <c r="A138" i="62"/>
  <c r="A139" i="62"/>
  <c r="A140" i="62"/>
  <c r="A141" i="62"/>
  <c r="A142" i="62"/>
  <c r="A143" i="62"/>
  <c r="A144" i="62"/>
  <c r="A145" i="62"/>
  <c r="A146" i="62"/>
  <c r="A147" i="62"/>
  <c r="A148" i="62"/>
  <c r="A149" i="62"/>
  <c r="A150" i="62"/>
  <c r="A151" i="62"/>
  <c r="A152" i="62"/>
  <c r="A153" i="62"/>
  <c r="A154" i="62"/>
  <c r="A155" i="62"/>
  <c r="A156" i="62"/>
  <c r="A157" i="62"/>
  <c r="A158" i="62"/>
  <c r="A159" i="62"/>
  <c r="AA747" i="2" l="1"/>
  <c r="AA735" i="2"/>
  <c r="AA745" i="2"/>
  <c r="AA739" i="2"/>
  <c r="AA755" i="2"/>
  <c r="AA738" i="2"/>
  <c r="AA756" i="2"/>
  <c r="AA740" i="2"/>
  <c r="AA758" i="2"/>
  <c r="AA777" i="2"/>
  <c r="AA788" i="2"/>
  <c r="AA785" i="2"/>
  <c r="AA797" i="2"/>
  <c r="AA800" i="2"/>
  <c r="AA752" i="2"/>
  <c r="AA781" i="2"/>
  <c r="AA773" i="2"/>
  <c r="AA748" i="2"/>
  <c r="AA786" i="2"/>
  <c r="AA784" i="2"/>
  <c r="AA746" i="2"/>
  <c r="AA761" i="2"/>
  <c r="AA793" i="2"/>
  <c r="AA763" i="2"/>
  <c r="AA750" i="2"/>
  <c r="AA760" i="2"/>
  <c r="AA762" i="2"/>
  <c r="AA743" i="2"/>
  <c r="AA774" i="2"/>
  <c r="AA753" i="2"/>
  <c r="AA804" i="2"/>
  <c r="AA798" i="2"/>
  <c r="AA801" i="2"/>
  <c r="AA795" i="2"/>
  <c r="AA772" i="2"/>
  <c r="AA736" i="2"/>
  <c r="AA751" i="2"/>
  <c r="AA770" i="2"/>
  <c r="AA792" i="2"/>
  <c r="AA742" i="2"/>
  <c r="AA733" i="2"/>
  <c r="AA765" i="2"/>
  <c r="AA771" i="2"/>
  <c r="AA754" i="2"/>
  <c r="AA790" i="2"/>
  <c r="AA791" i="2"/>
  <c r="AA737" i="2"/>
  <c r="AA768" i="2"/>
  <c r="AA767" i="2"/>
  <c r="AA778" i="2"/>
  <c r="AA779" i="2"/>
  <c r="AA776" i="2"/>
  <c r="AA789" i="2"/>
  <c r="AA783" i="2"/>
  <c r="AA766" i="2"/>
  <c r="AA802" i="2"/>
  <c r="AA803" i="2"/>
  <c r="AA769" i="2"/>
  <c r="AA749" i="2"/>
  <c r="AA741" i="2"/>
  <c r="AA780" i="2"/>
  <c r="AA734" i="2"/>
  <c r="AA805" i="2"/>
  <c r="AA782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Q703" i="2"/>
  <c r="W703" i="2" s="1"/>
  <c r="X703" i="2" s="1"/>
  <c r="Q704" i="2"/>
  <c r="W704" i="2" s="1"/>
  <c r="X704" i="2" s="1"/>
  <c r="Q705" i="2"/>
  <c r="W705" i="2" s="1"/>
  <c r="X705" i="2" s="1"/>
  <c r="Q706" i="2"/>
  <c r="W706" i="2" s="1"/>
  <c r="Q707" i="2"/>
  <c r="W707" i="2" s="1"/>
  <c r="X707" i="2" s="1"/>
  <c r="Q708" i="2"/>
  <c r="W708" i="2" s="1"/>
  <c r="X708" i="2" s="1"/>
  <c r="Q712" i="2"/>
  <c r="W712" i="2" s="1"/>
  <c r="X712" i="2" s="1"/>
  <c r="Q713" i="2"/>
  <c r="W713" i="2" s="1"/>
  <c r="X713" i="2" s="1"/>
  <c r="Q715" i="2"/>
  <c r="W715" i="2" s="1"/>
  <c r="X715" i="2" s="1"/>
  <c r="Q716" i="2"/>
  <c r="W716" i="2" s="1"/>
  <c r="X716" i="2" s="1"/>
  <c r="Q717" i="2"/>
  <c r="W717" i="2" s="1"/>
  <c r="X717" i="2" s="1"/>
  <c r="Q718" i="2"/>
  <c r="W718" i="2" s="1"/>
  <c r="X718" i="2" s="1"/>
  <c r="Q719" i="2"/>
  <c r="W719" i="2" s="1"/>
  <c r="X719" i="2" s="1"/>
  <c r="Q720" i="2"/>
  <c r="W720" i="2" s="1"/>
  <c r="X720" i="2" s="1"/>
  <c r="Q721" i="2"/>
  <c r="W721" i="2" s="1"/>
  <c r="X721" i="2" s="1"/>
  <c r="Q722" i="2"/>
  <c r="W722" i="2" s="1"/>
  <c r="Q723" i="2"/>
  <c r="W723" i="2" s="1"/>
  <c r="X723" i="2" s="1"/>
  <c r="Q724" i="2"/>
  <c r="W724" i="2" s="1"/>
  <c r="X724" i="2" s="1"/>
  <c r="Q727" i="2"/>
  <c r="W727" i="2" s="1"/>
  <c r="X727" i="2" s="1"/>
  <c r="Q728" i="2"/>
  <c r="W728" i="2" s="1"/>
  <c r="X728" i="2" s="1"/>
  <c r="Q729" i="2"/>
  <c r="W729" i="2" s="1"/>
  <c r="X729" i="2" s="1"/>
  <c r="Q730" i="2"/>
  <c r="W730" i="2" s="1"/>
  <c r="Q731" i="2"/>
  <c r="W731" i="2" s="1"/>
  <c r="X731" i="2" s="1"/>
  <c r="Q732" i="2"/>
  <c r="W732" i="2" s="1"/>
  <c r="X732" i="2" s="1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Q700" i="2"/>
  <c r="W700" i="2" s="1"/>
  <c r="X700" i="2" s="1"/>
  <c r="Q701" i="2"/>
  <c r="W701" i="2" s="1"/>
  <c r="X701" i="2" s="1"/>
  <c r="Q702" i="2"/>
  <c r="W702" i="2" s="1"/>
  <c r="X702" i="2" s="1"/>
  <c r="Q709" i="2"/>
  <c r="W709" i="2" s="1"/>
  <c r="X709" i="2" s="1"/>
  <c r="Q710" i="2"/>
  <c r="W710" i="2" s="1"/>
  <c r="X710" i="2" s="1"/>
  <c r="Q711" i="2"/>
  <c r="W711" i="2" s="1"/>
  <c r="X711" i="2" s="1"/>
  <c r="Q714" i="2"/>
  <c r="W714" i="2" s="1"/>
  <c r="Q725" i="2"/>
  <c r="W725" i="2" s="1"/>
  <c r="X725" i="2" s="1"/>
  <c r="Q726" i="2"/>
  <c r="W726" i="2" s="1"/>
  <c r="X726" i="2" s="1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Z717" i="2" s="1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Z732" i="2" s="1"/>
  <c r="Y30" i="22"/>
  <c r="Q30" i="22"/>
  <c r="O30" i="22" s="1"/>
  <c r="W30" i="22" s="1"/>
  <c r="X30" i="22" s="1"/>
  <c r="M30" i="22"/>
  <c r="L30" i="22"/>
  <c r="J30" i="22"/>
  <c r="H30" i="22"/>
  <c r="G30" i="22"/>
  <c r="F30" i="22"/>
  <c r="Y20" i="22"/>
  <c r="Q20" i="22"/>
  <c r="O20" i="22" s="1"/>
  <c r="W20" i="22" s="1"/>
  <c r="M20" i="22"/>
  <c r="L20" i="22"/>
  <c r="J20" i="22"/>
  <c r="H20" i="22"/>
  <c r="G20" i="22"/>
  <c r="F20" i="22"/>
  <c r="Y19" i="22"/>
  <c r="Q19" i="22"/>
  <c r="O19" i="22" s="1"/>
  <c r="W19" i="22" s="1"/>
  <c r="M19" i="22"/>
  <c r="L19" i="22"/>
  <c r="J19" i="22"/>
  <c r="H19" i="22"/>
  <c r="G19" i="22"/>
  <c r="F19" i="22"/>
  <c r="Y8" i="22"/>
  <c r="Q8" i="22"/>
  <c r="O8" i="22" s="1"/>
  <c r="M8" i="22"/>
  <c r="L8" i="22"/>
  <c r="J8" i="22"/>
  <c r="H8" i="22"/>
  <c r="G8" i="22"/>
  <c r="F8" i="22"/>
  <c r="Y14" i="22"/>
  <c r="Q14" i="22"/>
  <c r="O14" i="22" s="1"/>
  <c r="W14" i="22" s="1"/>
  <c r="M14" i="22"/>
  <c r="L14" i="22"/>
  <c r="J14" i="22"/>
  <c r="H14" i="22"/>
  <c r="G14" i="22"/>
  <c r="F14" i="22"/>
  <c r="Y12" i="22"/>
  <c r="Q12" i="22"/>
  <c r="O12" i="22" s="1"/>
  <c r="M12" i="22"/>
  <c r="L12" i="22"/>
  <c r="J12" i="22"/>
  <c r="H12" i="22"/>
  <c r="G12" i="22"/>
  <c r="F12" i="22"/>
  <c r="Y11" i="22"/>
  <c r="Q11" i="22"/>
  <c r="O11" i="22" s="1"/>
  <c r="W11" i="22" s="1"/>
  <c r="M11" i="22"/>
  <c r="L11" i="22"/>
  <c r="J11" i="22"/>
  <c r="H11" i="22"/>
  <c r="G11" i="22"/>
  <c r="F11" i="22"/>
  <c r="Y10" i="22"/>
  <c r="Q10" i="22"/>
  <c r="O10" i="22" s="1"/>
  <c r="W10" i="22" s="1"/>
  <c r="M10" i="22"/>
  <c r="L10" i="22"/>
  <c r="J10" i="22"/>
  <c r="H10" i="22"/>
  <c r="G10" i="22"/>
  <c r="F10" i="22"/>
  <c r="Y36" i="22"/>
  <c r="Q36" i="22"/>
  <c r="O36" i="22" s="1"/>
  <c r="M36" i="22"/>
  <c r="L36" i="22"/>
  <c r="J36" i="22"/>
  <c r="H36" i="22"/>
  <c r="G36" i="22"/>
  <c r="F36" i="22"/>
  <c r="Y28" i="22"/>
  <c r="Q28" i="22"/>
  <c r="O28" i="22" s="1"/>
  <c r="W28" i="22" s="1"/>
  <c r="M28" i="22"/>
  <c r="L28" i="22"/>
  <c r="J28" i="22"/>
  <c r="H28" i="22"/>
  <c r="G28" i="22"/>
  <c r="F28" i="22"/>
  <c r="Y23" i="22"/>
  <c r="Q23" i="22"/>
  <c r="O23" i="22" s="1"/>
  <c r="W23" i="22" s="1"/>
  <c r="M23" i="22"/>
  <c r="L23" i="22"/>
  <c r="J23" i="22"/>
  <c r="H23" i="22"/>
  <c r="G23" i="22"/>
  <c r="F23" i="22"/>
  <c r="Y29" i="22"/>
  <c r="Q29" i="22"/>
  <c r="O29" i="22" s="1"/>
  <c r="W29" i="22" s="1"/>
  <c r="M29" i="22"/>
  <c r="L29" i="22"/>
  <c r="J29" i="22"/>
  <c r="H29" i="22"/>
  <c r="G29" i="22"/>
  <c r="F29" i="22"/>
  <c r="Y26" i="22"/>
  <c r="Q26" i="22"/>
  <c r="O26" i="22" s="1"/>
  <c r="W26" i="22" s="1"/>
  <c r="M26" i="22"/>
  <c r="L26" i="22"/>
  <c r="J26" i="22"/>
  <c r="H26" i="22"/>
  <c r="G26" i="22"/>
  <c r="F26" i="22"/>
  <c r="Y17" i="22"/>
  <c r="Q17" i="22"/>
  <c r="O17" i="22" s="1"/>
  <c r="W17" i="22" s="1"/>
  <c r="M17" i="22"/>
  <c r="L17" i="22"/>
  <c r="J17" i="22"/>
  <c r="H17" i="22"/>
  <c r="G17" i="22"/>
  <c r="F17" i="22"/>
  <c r="Y34" i="22"/>
  <c r="Q34" i="22"/>
  <c r="O34" i="22" s="1"/>
  <c r="W34" i="22" s="1"/>
  <c r="M34" i="22"/>
  <c r="L34" i="22"/>
  <c r="J34" i="22"/>
  <c r="H34" i="22"/>
  <c r="G34" i="22"/>
  <c r="F34" i="22"/>
  <c r="Y27" i="22"/>
  <c r="Q27" i="22"/>
  <c r="O27" i="22" s="1"/>
  <c r="W27" i="22" s="1"/>
  <c r="M27" i="22"/>
  <c r="L27" i="22"/>
  <c r="J27" i="22"/>
  <c r="H27" i="22"/>
  <c r="G27" i="22"/>
  <c r="F27" i="22"/>
  <c r="Y18" i="22"/>
  <c r="Q18" i="22"/>
  <c r="O18" i="22" s="1"/>
  <c r="W18" i="22" s="1"/>
  <c r="M18" i="22"/>
  <c r="L18" i="22"/>
  <c r="J18" i="22"/>
  <c r="H18" i="22"/>
  <c r="G18" i="22"/>
  <c r="F18" i="22"/>
  <c r="Y22" i="22"/>
  <c r="Q22" i="22"/>
  <c r="O22" i="22" s="1"/>
  <c r="W22" i="22" s="1"/>
  <c r="M22" i="22"/>
  <c r="L22" i="22"/>
  <c r="J22" i="22"/>
  <c r="H22" i="22"/>
  <c r="G22" i="22"/>
  <c r="F22" i="22"/>
  <c r="Y33" i="22"/>
  <c r="Q33" i="22"/>
  <c r="O33" i="22" s="1"/>
  <c r="W33" i="22" s="1"/>
  <c r="M33" i="22"/>
  <c r="L33" i="22"/>
  <c r="J33" i="22"/>
  <c r="H33" i="22"/>
  <c r="G33" i="22"/>
  <c r="F33" i="22"/>
  <c r="Y24" i="22"/>
  <c r="Q24" i="22"/>
  <c r="O24" i="22" s="1"/>
  <c r="W24" i="22" s="1"/>
  <c r="M24" i="22"/>
  <c r="L24" i="22"/>
  <c r="J24" i="22"/>
  <c r="H24" i="22"/>
  <c r="G24" i="22"/>
  <c r="F24" i="22"/>
  <c r="Y16" i="22"/>
  <c r="Q16" i="22"/>
  <c r="O16" i="22" s="1"/>
  <c r="M16" i="22"/>
  <c r="L16" i="22"/>
  <c r="J16" i="22"/>
  <c r="H16" i="22"/>
  <c r="G16" i="22"/>
  <c r="F16" i="22"/>
  <c r="Y32" i="22"/>
  <c r="Q32" i="22"/>
  <c r="O32" i="22" s="1"/>
  <c r="W32" i="22" s="1"/>
  <c r="M32" i="22"/>
  <c r="L32" i="22"/>
  <c r="J32" i="22"/>
  <c r="H32" i="22"/>
  <c r="G32" i="22"/>
  <c r="F32" i="22"/>
  <c r="Y9" i="22"/>
  <c r="Q9" i="22"/>
  <c r="O9" i="22" s="1"/>
  <c r="M9" i="22"/>
  <c r="L9" i="22"/>
  <c r="J9" i="22"/>
  <c r="H9" i="22"/>
  <c r="G9" i="22"/>
  <c r="F9" i="22"/>
  <c r="Y25" i="22"/>
  <c r="Q25" i="22"/>
  <c r="O25" i="22" s="1"/>
  <c r="W25" i="22" s="1"/>
  <c r="M25" i="22"/>
  <c r="L25" i="22"/>
  <c r="J25" i="22"/>
  <c r="H25" i="22"/>
  <c r="G25" i="22"/>
  <c r="F25" i="22"/>
  <c r="Z708" i="2" l="1"/>
  <c r="Z729" i="2"/>
  <c r="Z705" i="2"/>
  <c r="Z720" i="2"/>
  <c r="Z710" i="2"/>
  <c r="AD720" i="2"/>
  <c r="AD710" i="2"/>
  <c r="Z731" i="2"/>
  <c r="Z719" i="2"/>
  <c r="Z707" i="2"/>
  <c r="V710" i="2"/>
  <c r="V729" i="2"/>
  <c r="V717" i="2"/>
  <c r="AA717" i="2" s="1"/>
  <c r="V705" i="2"/>
  <c r="V720" i="2"/>
  <c r="Z723" i="2"/>
  <c r="Z711" i="2"/>
  <c r="Z706" i="2"/>
  <c r="AD726" i="2"/>
  <c r="AD725" i="2"/>
  <c r="V724" i="2"/>
  <c r="V712" i="2"/>
  <c r="AD702" i="2"/>
  <c r="AD701" i="2"/>
  <c r="V700" i="2"/>
  <c r="AD711" i="2"/>
  <c r="Z722" i="2"/>
  <c r="V731" i="2"/>
  <c r="V719" i="2"/>
  <c r="V707" i="2"/>
  <c r="Z728" i="2"/>
  <c r="Z704" i="2"/>
  <c r="V728" i="2"/>
  <c r="V715" i="2"/>
  <c r="V727" i="2"/>
  <c r="V704" i="2"/>
  <c r="V703" i="2"/>
  <c r="Z727" i="2"/>
  <c r="Z715" i="2"/>
  <c r="Z703" i="2"/>
  <c r="Z724" i="2"/>
  <c r="Z712" i="2"/>
  <c r="Z700" i="2"/>
  <c r="Z721" i="2"/>
  <c r="Z709" i="2"/>
  <c r="Z725" i="2"/>
  <c r="Z713" i="2"/>
  <c r="Z701" i="2"/>
  <c r="AD727" i="2"/>
  <c r="AD719" i="2"/>
  <c r="Z716" i="2"/>
  <c r="AD709" i="2"/>
  <c r="Z730" i="2"/>
  <c r="AD718" i="2"/>
  <c r="AD728" i="2"/>
  <c r="Z726" i="2"/>
  <c r="Z714" i="2"/>
  <c r="Z702" i="2"/>
  <c r="V709" i="2"/>
  <c r="V702" i="2"/>
  <c r="V725" i="2"/>
  <c r="V701" i="2"/>
  <c r="AD704" i="2"/>
  <c r="AD703" i="2"/>
  <c r="V726" i="2"/>
  <c r="AD712" i="2"/>
  <c r="Z718" i="2"/>
  <c r="V718" i="2"/>
  <c r="V716" i="2"/>
  <c r="V711" i="2"/>
  <c r="V730" i="2"/>
  <c r="AD706" i="2"/>
  <c r="V714" i="2"/>
  <c r="V713" i="2"/>
  <c r="V723" i="2"/>
  <c r="V732" i="2"/>
  <c r="AA732" i="2" s="1"/>
  <c r="V708" i="2"/>
  <c r="AD717" i="2"/>
  <c r="AD722" i="2"/>
  <c r="V721" i="2"/>
  <c r="X730" i="2"/>
  <c r="X722" i="2"/>
  <c r="X706" i="2"/>
  <c r="AD716" i="2"/>
  <c r="AD700" i="2"/>
  <c r="X714" i="2"/>
  <c r="AD731" i="2"/>
  <c r="AD723" i="2"/>
  <c r="AD715" i="2"/>
  <c r="AD707" i="2"/>
  <c r="AD730" i="2"/>
  <c r="AD714" i="2"/>
  <c r="V722" i="2"/>
  <c r="V706" i="2"/>
  <c r="AD729" i="2"/>
  <c r="AD721" i="2"/>
  <c r="AD713" i="2"/>
  <c r="AD705" i="2"/>
  <c r="AD732" i="2"/>
  <c r="AD724" i="2"/>
  <c r="AD708" i="2"/>
  <c r="AD30" i="22"/>
  <c r="V30" i="22"/>
  <c r="P20" i="22"/>
  <c r="Z30" i="22"/>
  <c r="P30" i="22"/>
  <c r="W16" i="22"/>
  <c r="X16" i="22" s="1"/>
  <c r="P16" i="22"/>
  <c r="W8" i="22"/>
  <c r="X8" i="22" s="1"/>
  <c r="P8" i="22"/>
  <c r="W12" i="22"/>
  <c r="X12" i="22" s="1"/>
  <c r="P12" i="22"/>
  <c r="P19" i="22"/>
  <c r="P14" i="22"/>
  <c r="P11" i="22"/>
  <c r="P10" i="22"/>
  <c r="W9" i="22"/>
  <c r="X9" i="22" s="1"/>
  <c r="P9" i="22"/>
  <c r="W36" i="22"/>
  <c r="X36" i="22" s="1"/>
  <c r="P36" i="22"/>
  <c r="AD12" i="22"/>
  <c r="AD14" i="22"/>
  <c r="AD8" i="22"/>
  <c r="X19" i="22"/>
  <c r="X20" i="22"/>
  <c r="AD19" i="22"/>
  <c r="AD20" i="22"/>
  <c r="V12" i="22"/>
  <c r="V14" i="22"/>
  <c r="V8" i="22"/>
  <c r="V19" i="22"/>
  <c r="V20" i="22"/>
  <c r="Z8" i="22"/>
  <c r="Z19" i="22"/>
  <c r="Z20" i="22"/>
  <c r="P28" i="22"/>
  <c r="P23" i="22"/>
  <c r="P29" i="22"/>
  <c r="P17" i="22"/>
  <c r="P26" i="22"/>
  <c r="P34" i="22"/>
  <c r="P27" i="22"/>
  <c r="P18" i="22"/>
  <c r="P22" i="22"/>
  <c r="P33" i="22"/>
  <c r="P24" i="22"/>
  <c r="P32" i="22"/>
  <c r="P25" i="22"/>
  <c r="Z14" i="22"/>
  <c r="Z28" i="22"/>
  <c r="X14" i="22"/>
  <c r="Z36" i="22"/>
  <c r="Z12" i="22"/>
  <c r="AD10" i="22"/>
  <c r="AD36" i="22"/>
  <c r="V28" i="22"/>
  <c r="AD11" i="22"/>
  <c r="V36" i="22"/>
  <c r="V10" i="22"/>
  <c r="X10" i="22"/>
  <c r="Z10" i="22"/>
  <c r="Z11" i="22"/>
  <c r="V23" i="22"/>
  <c r="X11" i="22"/>
  <c r="V11" i="22"/>
  <c r="AD28" i="22"/>
  <c r="V22" i="22"/>
  <c r="X28" i="22"/>
  <c r="Z23" i="22"/>
  <c r="AD23" i="22"/>
  <c r="AD29" i="22"/>
  <c r="AD26" i="22"/>
  <c r="X23" i="22"/>
  <c r="V26" i="22"/>
  <c r="V29" i="22"/>
  <c r="Z29" i="22"/>
  <c r="V17" i="22"/>
  <c r="X29" i="22"/>
  <c r="Z27" i="22"/>
  <c r="Z17" i="22"/>
  <c r="AD17" i="22"/>
  <c r="Z26" i="22"/>
  <c r="AD34" i="22"/>
  <c r="AD27" i="22"/>
  <c r="X17" i="22"/>
  <c r="X26" i="22"/>
  <c r="V27" i="22"/>
  <c r="Z34" i="22"/>
  <c r="X34" i="22"/>
  <c r="V34" i="22"/>
  <c r="AD18" i="22"/>
  <c r="AD33" i="22"/>
  <c r="AD24" i="22"/>
  <c r="X27" i="22"/>
  <c r="Z33" i="22"/>
  <c r="Z22" i="22"/>
  <c r="V18" i="22"/>
  <c r="Z18" i="22"/>
  <c r="AD22" i="22"/>
  <c r="X22" i="22"/>
  <c r="X18" i="22"/>
  <c r="X24" i="22"/>
  <c r="X33" i="22"/>
  <c r="Z24" i="22"/>
  <c r="Z16" i="22"/>
  <c r="V24" i="22"/>
  <c r="V33" i="22"/>
  <c r="V16" i="22"/>
  <c r="V32" i="22"/>
  <c r="AD16" i="22"/>
  <c r="Z32" i="22"/>
  <c r="AD32" i="22"/>
  <c r="X32" i="22"/>
  <c r="Z9" i="22"/>
  <c r="V25" i="22"/>
  <c r="AD9" i="22"/>
  <c r="X25" i="22"/>
  <c r="Z25" i="22"/>
  <c r="V9" i="22"/>
  <c r="AD25" i="22"/>
  <c r="AA708" i="2" l="1"/>
  <c r="AA720" i="2"/>
  <c r="AA729" i="2"/>
  <c r="AA705" i="2"/>
  <c r="AA719" i="2"/>
  <c r="AA710" i="2"/>
  <c r="AA731" i="2"/>
  <c r="AA728" i="2"/>
  <c r="AA723" i="2"/>
  <c r="AA707" i="2"/>
  <c r="AA711" i="2"/>
  <c r="AA700" i="2"/>
  <c r="AA712" i="2"/>
  <c r="AA706" i="2"/>
  <c r="AA724" i="2"/>
  <c r="AA715" i="2"/>
  <c r="AA722" i="2"/>
  <c r="AA704" i="2"/>
  <c r="AA702" i="2"/>
  <c r="AA730" i="2"/>
  <c r="AA727" i="2"/>
  <c r="AA703" i="2"/>
  <c r="AA721" i="2"/>
  <c r="AA716" i="2"/>
  <c r="AA709" i="2"/>
  <c r="AA714" i="2"/>
  <c r="AA701" i="2"/>
  <c r="AA718" i="2"/>
  <c r="AA726" i="2"/>
  <c r="AA725" i="2"/>
  <c r="AA713" i="2"/>
  <c r="AA30" i="22"/>
  <c r="AA8" i="22"/>
  <c r="AA20" i="22"/>
  <c r="AA19" i="22"/>
  <c r="AA11" i="22"/>
  <c r="AA12" i="22"/>
  <c r="AA14" i="22"/>
  <c r="AA28" i="22"/>
  <c r="AA23" i="22"/>
  <c r="AA36" i="22"/>
  <c r="AA10" i="22"/>
  <c r="AA18" i="22"/>
  <c r="AA22" i="22"/>
  <c r="AA29" i="22"/>
  <c r="AA26" i="22"/>
  <c r="AA17" i="22"/>
  <c r="AA27" i="22"/>
  <c r="AA33" i="22"/>
  <c r="AA34" i="22"/>
  <c r="AA32" i="22"/>
  <c r="AA16" i="22"/>
  <c r="AA24" i="22"/>
  <c r="AA9" i="22"/>
  <c r="AA25" i="22"/>
  <c r="Y652" i="2" l="1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Z655" i="2" l="1"/>
  <c r="Z695" i="2"/>
  <c r="Z687" i="2"/>
  <c r="Z663" i="2"/>
  <c r="AD699" i="2"/>
  <c r="AD698" i="2"/>
  <c r="AD695" i="2"/>
  <c r="AD691" i="2"/>
  <c r="AD690" i="2"/>
  <c r="AD687" i="2"/>
  <c r="AD683" i="2"/>
  <c r="AD682" i="2"/>
  <c r="AD679" i="2"/>
  <c r="AD675" i="2"/>
  <c r="AD674" i="2"/>
  <c r="AD671" i="2"/>
  <c r="AD667" i="2"/>
  <c r="AD666" i="2"/>
  <c r="AD663" i="2"/>
  <c r="AD659" i="2"/>
  <c r="AD658" i="2"/>
  <c r="AD655" i="2"/>
  <c r="Q699" i="2"/>
  <c r="W699" i="2" s="1"/>
  <c r="X699" i="2" s="1"/>
  <c r="Q698" i="2"/>
  <c r="W698" i="2" s="1"/>
  <c r="X698" i="2" s="1"/>
  <c r="Q697" i="2"/>
  <c r="W697" i="2" s="1"/>
  <c r="X697" i="2" s="1"/>
  <c r="Q696" i="2"/>
  <c r="W696" i="2" s="1"/>
  <c r="X696" i="2" s="1"/>
  <c r="Q695" i="2"/>
  <c r="W695" i="2" s="1"/>
  <c r="X695" i="2" s="1"/>
  <c r="Q694" i="2"/>
  <c r="W694" i="2" s="1"/>
  <c r="X694" i="2" s="1"/>
  <c r="Q693" i="2"/>
  <c r="W693" i="2" s="1"/>
  <c r="X693" i="2" s="1"/>
  <c r="Q692" i="2"/>
  <c r="W692" i="2" s="1"/>
  <c r="X692" i="2" s="1"/>
  <c r="Q691" i="2"/>
  <c r="W691" i="2" s="1"/>
  <c r="X691" i="2" s="1"/>
  <c r="Q690" i="2"/>
  <c r="W690" i="2" s="1"/>
  <c r="X690" i="2" s="1"/>
  <c r="Q689" i="2"/>
  <c r="W689" i="2" s="1"/>
  <c r="X689" i="2" s="1"/>
  <c r="Q688" i="2"/>
  <c r="W688" i="2" s="1"/>
  <c r="X688" i="2" s="1"/>
  <c r="Q687" i="2"/>
  <c r="W687" i="2" s="1"/>
  <c r="X687" i="2" s="1"/>
  <c r="Q686" i="2"/>
  <c r="W686" i="2" s="1"/>
  <c r="X686" i="2" s="1"/>
  <c r="Q685" i="2"/>
  <c r="W685" i="2" s="1"/>
  <c r="X685" i="2" s="1"/>
  <c r="Q684" i="2"/>
  <c r="W684" i="2" s="1"/>
  <c r="X684" i="2" s="1"/>
  <c r="Q683" i="2"/>
  <c r="W683" i="2" s="1"/>
  <c r="X683" i="2" s="1"/>
  <c r="Q682" i="2"/>
  <c r="W682" i="2" s="1"/>
  <c r="X682" i="2" s="1"/>
  <c r="Q681" i="2"/>
  <c r="W681" i="2" s="1"/>
  <c r="X681" i="2" s="1"/>
  <c r="Q680" i="2"/>
  <c r="W680" i="2" s="1"/>
  <c r="X680" i="2" s="1"/>
  <c r="Q679" i="2"/>
  <c r="W679" i="2" s="1"/>
  <c r="X679" i="2" s="1"/>
  <c r="Q678" i="2"/>
  <c r="W678" i="2" s="1"/>
  <c r="X678" i="2" s="1"/>
  <c r="Q677" i="2"/>
  <c r="W677" i="2" s="1"/>
  <c r="X677" i="2" s="1"/>
  <c r="Q676" i="2"/>
  <c r="W676" i="2" s="1"/>
  <c r="X676" i="2" s="1"/>
  <c r="Q675" i="2"/>
  <c r="W675" i="2" s="1"/>
  <c r="X675" i="2" s="1"/>
  <c r="Q674" i="2"/>
  <c r="W674" i="2" s="1"/>
  <c r="X674" i="2" s="1"/>
  <c r="Q673" i="2"/>
  <c r="W673" i="2" s="1"/>
  <c r="X673" i="2" s="1"/>
  <c r="Q672" i="2"/>
  <c r="W672" i="2" s="1"/>
  <c r="X672" i="2" s="1"/>
  <c r="Q671" i="2"/>
  <c r="W671" i="2" s="1"/>
  <c r="X671" i="2" s="1"/>
  <c r="Q670" i="2"/>
  <c r="W670" i="2" s="1"/>
  <c r="X670" i="2" s="1"/>
  <c r="Q669" i="2"/>
  <c r="W669" i="2" s="1"/>
  <c r="X669" i="2" s="1"/>
  <c r="Q668" i="2"/>
  <c r="W668" i="2" s="1"/>
  <c r="X668" i="2" s="1"/>
  <c r="Q667" i="2"/>
  <c r="W667" i="2" s="1"/>
  <c r="X667" i="2" s="1"/>
  <c r="Q666" i="2"/>
  <c r="W666" i="2" s="1"/>
  <c r="X666" i="2" s="1"/>
  <c r="Q665" i="2"/>
  <c r="W665" i="2" s="1"/>
  <c r="X665" i="2" s="1"/>
  <c r="Q664" i="2"/>
  <c r="W664" i="2" s="1"/>
  <c r="X664" i="2" s="1"/>
  <c r="Q663" i="2"/>
  <c r="W663" i="2" s="1"/>
  <c r="X663" i="2" s="1"/>
  <c r="Q662" i="2"/>
  <c r="W662" i="2" s="1"/>
  <c r="X662" i="2" s="1"/>
  <c r="Q661" i="2"/>
  <c r="W661" i="2" s="1"/>
  <c r="X661" i="2" s="1"/>
  <c r="Q660" i="2"/>
  <c r="W660" i="2" s="1"/>
  <c r="X660" i="2" s="1"/>
  <c r="Q659" i="2"/>
  <c r="W659" i="2" s="1"/>
  <c r="X659" i="2" s="1"/>
  <c r="Q658" i="2"/>
  <c r="W658" i="2" s="1"/>
  <c r="X658" i="2" s="1"/>
  <c r="Q657" i="2"/>
  <c r="W657" i="2" s="1"/>
  <c r="X657" i="2" s="1"/>
  <c r="Q656" i="2"/>
  <c r="W656" i="2" s="1"/>
  <c r="X656" i="2" s="1"/>
  <c r="Q655" i="2"/>
  <c r="W655" i="2" s="1"/>
  <c r="X655" i="2" s="1"/>
  <c r="Q654" i="2"/>
  <c r="W654" i="2" s="1"/>
  <c r="X654" i="2" s="1"/>
  <c r="Q653" i="2"/>
  <c r="W653" i="2" s="1"/>
  <c r="X653" i="2" s="1"/>
  <c r="Q652" i="2"/>
  <c r="W652" i="2" s="1"/>
  <c r="X652" i="2" s="1"/>
  <c r="V691" i="2"/>
  <c r="V675" i="2"/>
  <c r="V659" i="2"/>
  <c r="AD693" i="2"/>
  <c r="V693" i="2"/>
  <c r="AD685" i="2"/>
  <c r="V685" i="2"/>
  <c r="AD677" i="2"/>
  <c r="V677" i="2"/>
  <c r="AD669" i="2"/>
  <c r="V669" i="2"/>
  <c r="AD661" i="2"/>
  <c r="V661" i="2"/>
  <c r="AD653" i="2"/>
  <c r="V653" i="2"/>
  <c r="V690" i="2"/>
  <c r="V674" i="2"/>
  <c r="V658" i="2"/>
  <c r="AD692" i="2"/>
  <c r="AD684" i="2"/>
  <c r="AD676" i="2"/>
  <c r="AD668" i="2"/>
  <c r="AD660" i="2"/>
  <c r="AD652" i="2"/>
  <c r="V687" i="2"/>
  <c r="V671" i="2"/>
  <c r="V655" i="2"/>
  <c r="V684" i="2"/>
  <c r="V668" i="2"/>
  <c r="V652" i="2"/>
  <c r="AD696" i="2"/>
  <c r="V696" i="2"/>
  <c r="AD688" i="2"/>
  <c r="V688" i="2"/>
  <c r="AD680" i="2"/>
  <c r="V680" i="2"/>
  <c r="AD672" i="2"/>
  <c r="V672" i="2"/>
  <c r="AD664" i="2"/>
  <c r="V664" i="2"/>
  <c r="AD656" i="2"/>
  <c r="V656" i="2"/>
  <c r="V699" i="2"/>
  <c r="V683" i="2"/>
  <c r="V667" i="2"/>
  <c r="AD694" i="2"/>
  <c r="V694" i="2"/>
  <c r="AD686" i="2"/>
  <c r="V686" i="2"/>
  <c r="AD678" i="2"/>
  <c r="V678" i="2"/>
  <c r="AD670" i="2"/>
  <c r="V670" i="2"/>
  <c r="AD662" i="2"/>
  <c r="V662" i="2"/>
  <c r="AD654" i="2"/>
  <c r="V654" i="2"/>
  <c r="AD697" i="2"/>
  <c r="V697" i="2"/>
  <c r="AD689" i="2"/>
  <c r="V689" i="2"/>
  <c r="AD681" i="2"/>
  <c r="V681" i="2"/>
  <c r="AD673" i="2"/>
  <c r="V673" i="2"/>
  <c r="AD665" i="2"/>
  <c r="V665" i="2"/>
  <c r="AD657" i="2"/>
  <c r="V657" i="2"/>
  <c r="V698" i="2"/>
  <c r="V682" i="2"/>
  <c r="V666" i="2"/>
  <c r="V695" i="2"/>
  <c r="V679" i="2"/>
  <c r="V663" i="2"/>
  <c r="V692" i="2"/>
  <c r="V676" i="2"/>
  <c r="V660" i="2"/>
  <c r="Z679" i="2"/>
  <c r="Z671" i="2"/>
  <c r="Z694" i="2"/>
  <c r="Z686" i="2"/>
  <c r="Z678" i="2"/>
  <c r="Z670" i="2"/>
  <c r="Z662" i="2"/>
  <c r="Z654" i="2"/>
  <c r="Z692" i="2"/>
  <c r="Z684" i="2"/>
  <c r="Z676" i="2"/>
  <c r="Z668" i="2"/>
  <c r="Z660" i="2"/>
  <c r="Z652" i="2"/>
  <c r="Z699" i="2"/>
  <c r="Z691" i="2"/>
  <c r="Z683" i="2"/>
  <c r="Z675" i="2"/>
  <c r="Z667" i="2"/>
  <c r="Z659" i="2"/>
  <c r="Z698" i="2"/>
  <c r="Z690" i="2"/>
  <c r="Z682" i="2"/>
  <c r="Z674" i="2"/>
  <c r="Z666" i="2"/>
  <c r="Z658" i="2"/>
  <c r="Z697" i="2"/>
  <c r="Z689" i="2"/>
  <c r="Z681" i="2"/>
  <c r="Z673" i="2"/>
  <c r="Z665" i="2"/>
  <c r="Z657" i="2"/>
  <c r="Z696" i="2"/>
  <c r="Z688" i="2"/>
  <c r="Z680" i="2"/>
  <c r="Z672" i="2"/>
  <c r="Z664" i="2"/>
  <c r="Z656" i="2"/>
  <c r="Z693" i="2"/>
  <c r="Z685" i="2"/>
  <c r="Z677" i="2"/>
  <c r="Z669" i="2"/>
  <c r="Z661" i="2"/>
  <c r="Z653" i="2"/>
  <c r="AA655" i="2" l="1"/>
  <c r="AA663" i="2"/>
  <c r="AA695" i="2"/>
  <c r="AA669" i="2"/>
  <c r="AA699" i="2"/>
  <c r="AA687" i="2"/>
  <c r="AA653" i="2"/>
  <c r="AA659" i="2"/>
  <c r="AA692" i="2"/>
  <c r="AA666" i="2"/>
  <c r="AA654" i="2"/>
  <c r="AA680" i="2"/>
  <c r="AA662" i="2"/>
  <c r="AA677" i="2"/>
  <c r="AA673" i="2"/>
  <c r="AA658" i="2"/>
  <c r="AA670" i="2"/>
  <c r="AA665" i="2"/>
  <c r="AA685" i="2"/>
  <c r="AA696" i="2"/>
  <c r="AA698" i="2"/>
  <c r="AA682" i="2"/>
  <c r="AA694" i="2"/>
  <c r="AA681" i="2"/>
  <c r="AA676" i="2"/>
  <c r="AA690" i="2"/>
  <c r="AA664" i="2"/>
  <c r="AA683" i="2"/>
  <c r="AA672" i="2"/>
  <c r="AA674" i="2"/>
  <c r="AA668" i="2"/>
  <c r="AA652" i="2"/>
  <c r="AA684" i="2"/>
  <c r="AA697" i="2"/>
  <c r="AA667" i="2"/>
  <c r="AA691" i="2"/>
  <c r="AA678" i="2"/>
  <c r="AA688" i="2"/>
  <c r="AA660" i="2"/>
  <c r="AA656" i="2"/>
  <c r="AA675" i="2"/>
  <c r="AA671" i="2"/>
  <c r="AA679" i="2"/>
  <c r="AA661" i="2"/>
  <c r="AA689" i="2"/>
  <c r="AA657" i="2"/>
  <c r="AA686" i="2"/>
  <c r="AA693" i="2"/>
  <c r="Y35" i="22" l="1"/>
  <c r="Q35" i="22"/>
  <c r="O35" i="22" s="1"/>
  <c r="M35" i="22"/>
  <c r="L35" i="22"/>
  <c r="J35" i="22"/>
  <c r="H35" i="22"/>
  <c r="G35" i="22"/>
  <c r="F35" i="22"/>
  <c r="Y37" i="22"/>
  <c r="Q37" i="22"/>
  <c r="O37" i="22" s="1"/>
  <c r="W37" i="22" s="1"/>
  <c r="M37" i="22"/>
  <c r="L37" i="22"/>
  <c r="J37" i="22"/>
  <c r="H37" i="22"/>
  <c r="G37" i="22"/>
  <c r="F37" i="22"/>
  <c r="Y21" i="22"/>
  <c r="Q21" i="22"/>
  <c r="O21" i="22" s="1"/>
  <c r="W21" i="22" s="1"/>
  <c r="M21" i="22"/>
  <c r="L21" i="22"/>
  <c r="J21" i="22"/>
  <c r="H21" i="22"/>
  <c r="G21" i="22"/>
  <c r="F21" i="22"/>
  <c r="Y31" i="22"/>
  <c r="Q31" i="22"/>
  <c r="O31" i="22" s="1"/>
  <c r="W31" i="22" s="1"/>
  <c r="M31" i="22"/>
  <c r="L31" i="22"/>
  <c r="J31" i="22"/>
  <c r="H31" i="22"/>
  <c r="G31" i="22"/>
  <c r="F31" i="22"/>
  <c r="W35" i="22" l="1"/>
  <c r="X35" i="22" s="1"/>
  <c r="P35" i="22"/>
  <c r="P37" i="22"/>
  <c r="P21" i="22"/>
  <c r="P31" i="22"/>
  <c r="Z21" i="22"/>
  <c r="AD35" i="22"/>
  <c r="V35" i="22"/>
  <c r="Z35" i="22"/>
  <c r="V21" i="22"/>
  <c r="AD37" i="22"/>
  <c r="V37" i="22"/>
  <c r="AD21" i="22"/>
  <c r="Z37" i="22"/>
  <c r="X37" i="22"/>
  <c r="X21" i="22"/>
  <c r="AD31" i="22"/>
  <c r="X31" i="22"/>
  <c r="V31" i="22"/>
  <c r="Z31" i="22"/>
  <c r="AA21" i="22" l="1"/>
  <c r="AA35" i="22"/>
  <c r="AA37" i="22"/>
  <c r="AA31" i="22"/>
  <c r="Y179" i="2" l="1"/>
  <c r="Y462" i="2"/>
  <c r="Y463" i="2"/>
  <c r="Y464" i="2"/>
  <c r="Y513" i="2"/>
  <c r="Y514" i="2"/>
  <c r="Y515" i="2"/>
  <c r="Y516" i="2"/>
  <c r="Y85" i="2"/>
  <c r="Y86" i="2"/>
  <c r="Y87" i="2"/>
  <c r="Y650" i="2"/>
  <c r="Y651" i="2"/>
  <c r="Y235" i="2"/>
  <c r="Y236" i="2"/>
  <c r="Y99" i="2"/>
  <c r="Y100" i="2"/>
  <c r="Y268" i="2"/>
  <c r="Y269" i="2"/>
  <c r="Y453" i="2"/>
  <c r="Y195" i="2"/>
  <c r="Y568" i="2"/>
  <c r="Y418" i="2"/>
  <c r="Y465" i="2"/>
  <c r="Y348" i="2"/>
  <c r="Y349" i="2"/>
  <c r="Y350" i="2"/>
  <c r="Y469" i="2"/>
  <c r="P179" i="2"/>
  <c r="P462" i="2"/>
  <c r="P463" i="2"/>
  <c r="P464" i="2"/>
  <c r="P513" i="2"/>
  <c r="P514" i="2"/>
  <c r="P515" i="2"/>
  <c r="P516" i="2"/>
  <c r="P85" i="2"/>
  <c r="P86" i="2"/>
  <c r="P87" i="2"/>
  <c r="P650" i="2"/>
  <c r="P651" i="2"/>
  <c r="P235" i="2"/>
  <c r="P236" i="2"/>
  <c r="P99" i="2"/>
  <c r="P100" i="2"/>
  <c r="P268" i="2"/>
  <c r="P269" i="2"/>
  <c r="P453" i="2"/>
  <c r="P195" i="2"/>
  <c r="P568" i="2"/>
  <c r="P418" i="2"/>
  <c r="P465" i="2"/>
  <c r="P348" i="2"/>
  <c r="P349" i="2"/>
  <c r="P350" i="2"/>
  <c r="P469" i="2"/>
  <c r="Q179" i="2"/>
  <c r="W179" i="2" s="1"/>
  <c r="X179" i="2" s="1"/>
  <c r="Q463" i="2"/>
  <c r="W463" i="2" s="1"/>
  <c r="X463" i="2" s="1"/>
  <c r="Q516" i="2"/>
  <c r="W516" i="2" s="1"/>
  <c r="X516" i="2" s="1"/>
  <c r="Q85" i="2"/>
  <c r="W85" i="2" s="1"/>
  <c r="X85" i="2" s="1"/>
  <c r="Q86" i="2"/>
  <c r="W86" i="2" s="1"/>
  <c r="X86" i="2" s="1"/>
  <c r="Q651" i="2"/>
  <c r="W651" i="2" s="1"/>
  <c r="X651" i="2" s="1"/>
  <c r="Q236" i="2"/>
  <c r="W236" i="2" s="1"/>
  <c r="X236" i="2" s="1"/>
  <c r="Q418" i="2"/>
  <c r="W418" i="2" s="1"/>
  <c r="X418" i="2" s="1"/>
  <c r="Q465" i="2"/>
  <c r="W465" i="2" s="1"/>
  <c r="X465" i="2" s="1"/>
  <c r="Q348" i="2"/>
  <c r="W348" i="2" s="1"/>
  <c r="X348" i="2" s="1"/>
  <c r="Q350" i="2"/>
  <c r="W350" i="2" s="1"/>
  <c r="X350" i="2" s="1"/>
  <c r="M179" i="2"/>
  <c r="M462" i="2"/>
  <c r="M463" i="2"/>
  <c r="M464" i="2"/>
  <c r="M513" i="2"/>
  <c r="M514" i="2"/>
  <c r="M515" i="2"/>
  <c r="M516" i="2"/>
  <c r="M85" i="2"/>
  <c r="M86" i="2"/>
  <c r="M87" i="2"/>
  <c r="M650" i="2"/>
  <c r="M651" i="2"/>
  <c r="M235" i="2"/>
  <c r="M236" i="2"/>
  <c r="M99" i="2"/>
  <c r="M100" i="2"/>
  <c r="M268" i="2"/>
  <c r="M269" i="2"/>
  <c r="M453" i="2"/>
  <c r="M195" i="2"/>
  <c r="M568" i="2"/>
  <c r="M418" i="2"/>
  <c r="M465" i="2"/>
  <c r="M348" i="2"/>
  <c r="M349" i="2"/>
  <c r="M350" i="2"/>
  <c r="M469" i="2"/>
  <c r="L179" i="2"/>
  <c r="L462" i="2"/>
  <c r="L463" i="2"/>
  <c r="L464" i="2"/>
  <c r="L513" i="2"/>
  <c r="L514" i="2"/>
  <c r="L515" i="2"/>
  <c r="L516" i="2"/>
  <c r="L85" i="2"/>
  <c r="L86" i="2"/>
  <c r="L87" i="2"/>
  <c r="L650" i="2"/>
  <c r="L651" i="2"/>
  <c r="L235" i="2"/>
  <c r="L236" i="2"/>
  <c r="L99" i="2"/>
  <c r="L100" i="2"/>
  <c r="L268" i="2"/>
  <c r="L269" i="2"/>
  <c r="L453" i="2"/>
  <c r="L195" i="2"/>
  <c r="L568" i="2"/>
  <c r="L418" i="2"/>
  <c r="L465" i="2"/>
  <c r="L348" i="2"/>
  <c r="L349" i="2"/>
  <c r="L350" i="2"/>
  <c r="L469" i="2"/>
  <c r="J179" i="2"/>
  <c r="J462" i="2"/>
  <c r="J463" i="2"/>
  <c r="J464" i="2"/>
  <c r="J513" i="2"/>
  <c r="J514" i="2"/>
  <c r="J515" i="2"/>
  <c r="J516" i="2"/>
  <c r="J85" i="2"/>
  <c r="J86" i="2"/>
  <c r="J87" i="2"/>
  <c r="J650" i="2"/>
  <c r="J651" i="2"/>
  <c r="J235" i="2"/>
  <c r="J236" i="2"/>
  <c r="J99" i="2"/>
  <c r="J100" i="2"/>
  <c r="J268" i="2"/>
  <c r="J269" i="2"/>
  <c r="J453" i="2"/>
  <c r="J195" i="2"/>
  <c r="J568" i="2"/>
  <c r="J418" i="2"/>
  <c r="J465" i="2"/>
  <c r="J348" i="2"/>
  <c r="J349" i="2"/>
  <c r="J350" i="2"/>
  <c r="J469" i="2"/>
  <c r="H179" i="2"/>
  <c r="H462" i="2"/>
  <c r="H463" i="2"/>
  <c r="H464" i="2"/>
  <c r="H513" i="2"/>
  <c r="H514" i="2"/>
  <c r="H515" i="2"/>
  <c r="H516" i="2"/>
  <c r="H85" i="2"/>
  <c r="H86" i="2"/>
  <c r="H87" i="2"/>
  <c r="H650" i="2"/>
  <c r="H651" i="2"/>
  <c r="H235" i="2"/>
  <c r="H236" i="2"/>
  <c r="H99" i="2"/>
  <c r="H100" i="2"/>
  <c r="H268" i="2"/>
  <c r="H269" i="2"/>
  <c r="H453" i="2"/>
  <c r="H195" i="2"/>
  <c r="H568" i="2"/>
  <c r="H418" i="2"/>
  <c r="H465" i="2"/>
  <c r="H348" i="2"/>
  <c r="H349" i="2"/>
  <c r="H350" i="2"/>
  <c r="H469" i="2"/>
  <c r="G179" i="2"/>
  <c r="G462" i="2"/>
  <c r="G463" i="2"/>
  <c r="G464" i="2"/>
  <c r="G513" i="2"/>
  <c r="G514" i="2"/>
  <c r="G515" i="2"/>
  <c r="G516" i="2"/>
  <c r="G85" i="2"/>
  <c r="G86" i="2"/>
  <c r="G87" i="2"/>
  <c r="G650" i="2"/>
  <c r="G651" i="2"/>
  <c r="G235" i="2"/>
  <c r="G236" i="2"/>
  <c r="G99" i="2"/>
  <c r="G100" i="2"/>
  <c r="G268" i="2"/>
  <c r="G269" i="2"/>
  <c r="G453" i="2"/>
  <c r="G195" i="2"/>
  <c r="G568" i="2"/>
  <c r="G418" i="2"/>
  <c r="G465" i="2"/>
  <c r="G348" i="2"/>
  <c r="G349" i="2"/>
  <c r="G350" i="2"/>
  <c r="G469" i="2"/>
  <c r="F179" i="2"/>
  <c r="F462" i="2"/>
  <c r="F463" i="2"/>
  <c r="F464" i="2"/>
  <c r="F513" i="2"/>
  <c r="F514" i="2"/>
  <c r="F515" i="2"/>
  <c r="F516" i="2"/>
  <c r="F85" i="2"/>
  <c r="F86" i="2"/>
  <c r="F87" i="2"/>
  <c r="F650" i="2"/>
  <c r="F651" i="2"/>
  <c r="F235" i="2"/>
  <c r="F236" i="2"/>
  <c r="F99" i="2"/>
  <c r="F100" i="2"/>
  <c r="F268" i="2"/>
  <c r="F269" i="2"/>
  <c r="F453" i="2"/>
  <c r="F195" i="2"/>
  <c r="F568" i="2"/>
  <c r="F418" i="2"/>
  <c r="F465" i="2"/>
  <c r="F348" i="2"/>
  <c r="F349" i="2"/>
  <c r="F350" i="2"/>
  <c r="F469" i="2"/>
  <c r="E179" i="2"/>
  <c r="E462" i="2"/>
  <c r="E463" i="2"/>
  <c r="E464" i="2"/>
  <c r="E513" i="2"/>
  <c r="E514" i="2"/>
  <c r="E515" i="2"/>
  <c r="E516" i="2"/>
  <c r="E85" i="2"/>
  <c r="E86" i="2"/>
  <c r="E87" i="2"/>
  <c r="E650" i="2"/>
  <c r="E651" i="2"/>
  <c r="E235" i="2"/>
  <c r="E236" i="2"/>
  <c r="E99" i="2"/>
  <c r="E100" i="2"/>
  <c r="E268" i="2"/>
  <c r="E269" i="2"/>
  <c r="E453" i="2"/>
  <c r="E195" i="2"/>
  <c r="E568" i="2"/>
  <c r="E418" i="2"/>
  <c r="E465" i="2"/>
  <c r="E348" i="2"/>
  <c r="E349" i="2"/>
  <c r="E350" i="2"/>
  <c r="E469" i="2"/>
  <c r="D179" i="2"/>
  <c r="D462" i="2"/>
  <c r="D463" i="2"/>
  <c r="D464" i="2"/>
  <c r="D513" i="2"/>
  <c r="D514" i="2"/>
  <c r="D515" i="2"/>
  <c r="D516" i="2"/>
  <c r="D85" i="2"/>
  <c r="D86" i="2"/>
  <c r="D87" i="2"/>
  <c r="D650" i="2"/>
  <c r="D651" i="2"/>
  <c r="D235" i="2"/>
  <c r="D236" i="2"/>
  <c r="D99" i="2"/>
  <c r="D100" i="2"/>
  <c r="D268" i="2"/>
  <c r="D269" i="2"/>
  <c r="D453" i="2"/>
  <c r="D195" i="2"/>
  <c r="D568" i="2"/>
  <c r="D418" i="2"/>
  <c r="D465" i="2"/>
  <c r="D348" i="2"/>
  <c r="D349" i="2"/>
  <c r="D350" i="2"/>
  <c r="D469" i="2"/>
  <c r="C179" i="2"/>
  <c r="C462" i="2"/>
  <c r="C463" i="2"/>
  <c r="C464" i="2"/>
  <c r="C513" i="2"/>
  <c r="C514" i="2"/>
  <c r="C515" i="2"/>
  <c r="C516" i="2"/>
  <c r="C85" i="2"/>
  <c r="C86" i="2"/>
  <c r="C87" i="2"/>
  <c r="C650" i="2"/>
  <c r="C651" i="2"/>
  <c r="C235" i="2"/>
  <c r="C236" i="2"/>
  <c r="C99" i="2"/>
  <c r="C100" i="2"/>
  <c r="C268" i="2"/>
  <c r="C269" i="2"/>
  <c r="C453" i="2"/>
  <c r="C195" i="2"/>
  <c r="C568" i="2"/>
  <c r="C418" i="2"/>
  <c r="C465" i="2"/>
  <c r="C348" i="2"/>
  <c r="C349" i="2"/>
  <c r="C350" i="2"/>
  <c r="C469" i="2"/>
  <c r="B179" i="2"/>
  <c r="B462" i="2"/>
  <c r="B463" i="2"/>
  <c r="B464" i="2"/>
  <c r="B513" i="2"/>
  <c r="B514" i="2"/>
  <c r="B515" i="2"/>
  <c r="B516" i="2"/>
  <c r="B85" i="2"/>
  <c r="B86" i="2"/>
  <c r="B87" i="2"/>
  <c r="B650" i="2"/>
  <c r="B651" i="2"/>
  <c r="B235" i="2"/>
  <c r="B236" i="2"/>
  <c r="B99" i="2"/>
  <c r="B100" i="2"/>
  <c r="B268" i="2"/>
  <c r="B269" i="2"/>
  <c r="B453" i="2"/>
  <c r="B195" i="2"/>
  <c r="B568" i="2"/>
  <c r="B418" i="2"/>
  <c r="B465" i="2"/>
  <c r="B348" i="2"/>
  <c r="B349" i="2"/>
  <c r="B350" i="2"/>
  <c r="B469" i="2"/>
  <c r="A179" i="2"/>
  <c r="A462" i="2"/>
  <c r="A463" i="2"/>
  <c r="A464" i="2"/>
  <c r="A513" i="2"/>
  <c r="A514" i="2"/>
  <c r="A515" i="2"/>
  <c r="A516" i="2"/>
  <c r="A85" i="2"/>
  <c r="A86" i="2"/>
  <c r="A87" i="2"/>
  <c r="A650" i="2"/>
  <c r="A651" i="2"/>
  <c r="A235" i="2"/>
  <c r="A236" i="2"/>
  <c r="A99" i="2"/>
  <c r="A100" i="2"/>
  <c r="A268" i="2"/>
  <c r="A269" i="2"/>
  <c r="A453" i="2"/>
  <c r="A195" i="2"/>
  <c r="A568" i="2"/>
  <c r="A418" i="2"/>
  <c r="A465" i="2"/>
  <c r="A348" i="2"/>
  <c r="A349" i="2"/>
  <c r="A350" i="2"/>
  <c r="A469" i="2"/>
  <c r="AD100" i="2" l="1"/>
  <c r="AD513" i="2"/>
  <c r="V195" i="2"/>
  <c r="Z465" i="2"/>
  <c r="Z650" i="2"/>
  <c r="Z513" i="2"/>
  <c r="AD350" i="2"/>
  <c r="AD236" i="2"/>
  <c r="AD463" i="2"/>
  <c r="V453" i="2"/>
  <c r="AD516" i="2"/>
  <c r="AD568" i="2"/>
  <c r="V86" i="2"/>
  <c r="V269" i="2"/>
  <c r="AD515" i="2"/>
  <c r="AD195" i="2"/>
  <c r="V85" i="2"/>
  <c r="AD268" i="2"/>
  <c r="AD514" i="2"/>
  <c r="V568" i="2"/>
  <c r="AD86" i="2"/>
  <c r="Q269" i="2"/>
  <c r="W269" i="2" s="1"/>
  <c r="X269" i="2" s="1"/>
  <c r="Z87" i="2"/>
  <c r="AD85" i="2"/>
  <c r="Q268" i="2"/>
  <c r="W268" i="2" s="1"/>
  <c r="X268" i="2" s="1"/>
  <c r="Z348" i="2"/>
  <c r="Z651" i="2"/>
  <c r="Z179" i="2"/>
  <c r="AD469" i="2"/>
  <c r="AD99" i="2"/>
  <c r="AD464" i="2"/>
  <c r="Q515" i="2"/>
  <c r="W515" i="2" s="1"/>
  <c r="X515" i="2" s="1"/>
  <c r="Z453" i="2"/>
  <c r="Z516" i="2"/>
  <c r="Q514" i="2"/>
  <c r="W514" i="2" s="1"/>
  <c r="X514" i="2" s="1"/>
  <c r="Z269" i="2"/>
  <c r="Z515" i="2"/>
  <c r="AD349" i="2"/>
  <c r="AD235" i="2"/>
  <c r="AD462" i="2"/>
  <c r="Q513" i="2"/>
  <c r="W513" i="2" s="1"/>
  <c r="X513" i="2" s="1"/>
  <c r="Q100" i="2"/>
  <c r="W100" i="2" s="1"/>
  <c r="X100" i="2" s="1"/>
  <c r="Z86" i="2"/>
  <c r="Z195" i="2"/>
  <c r="Z85" i="2"/>
  <c r="Q568" i="2"/>
  <c r="W568" i="2" s="1"/>
  <c r="X568" i="2" s="1"/>
  <c r="Z418" i="2"/>
  <c r="Q195" i="2"/>
  <c r="W195" i="2" s="1"/>
  <c r="X195" i="2" s="1"/>
  <c r="Z568" i="2"/>
  <c r="AD453" i="2"/>
  <c r="V516" i="2"/>
  <c r="Q453" i="2"/>
  <c r="W453" i="2" s="1"/>
  <c r="X453" i="2" s="1"/>
  <c r="Q650" i="2"/>
  <c r="W650" i="2" s="1"/>
  <c r="X650" i="2" s="1"/>
  <c r="Z350" i="2"/>
  <c r="Z236" i="2"/>
  <c r="Z463" i="2"/>
  <c r="Q87" i="2"/>
  <c r="W87" i="2" s="1"/>
  <c r="X87" i="2" s="1"/>
  <c r="Z349" i="2"/>
  <c r="Z235" i="2"/>
  <c r="Z462" i="2"/>
  <c r="AD269" i="2"/>
  <c r="AD348" i="2"/>
  <c r="AD651" i="2"/>
  <c r="AD179" i="2"/>
  <c r="Q469" i="2"/>
  <c r="W469" i="2" s="1"/>
  <c r="X469" i="2" s="1"/>
  <c r="Q99" i="2"/>
  <c r="W99" i="2" s="1"/>
  <c r="X99" i="2" s="1"/>
  <c r="Q464" i="2"/>
  <c r="W464" i="2" s="1"/>
  <c r="X464" i="2" s="1"/>
  <c r="V515" i="2"/>
  <c r="AD465" i="2"/>
  <c r="AD650" i="2"/>
  <c r="Z268" i="2"/>
  <c r="Z514" i="2"/>
  <c r="AD418" i="2"/>
  <c r="AD87" i="2"/>
  <c r="Q349" i="2"/>
  <c r="W349" i="2" s="1"/>
  <c r="X349" i="2" s="1"/>
  <c r="Q235" i="2"/>
  <c r="W235" i="2" s="1"/>
  <c r="X235" i="2" s="1"/>
  <c r="Q462" i="2"/>
  <c r="W462" i="2" s="1"/>
  <c r="X462" i="2" s="1"/>
  <c r="Z100" i="2"/>
  <c r="Z469" i="2"/>
  <c r="Z99" i="2"/>
  <c r="Z464" i="2"/>
  <c r="V465" i="2"/>
  <c r="V650" i="2"/>
  <c r="V418" i="2"/>
  <c r="V87" i="2"/>
  <c r="V268" i="2"/>
  <c r="V514" i="2"/>
  <c r="V100" i="2"/>
  <c r="V513" i="2"/>
  <c r="V469" i="2"/>
  <c r="V99" i="2"/>
  <c r="V464" i="2"/>
  <c r="V350" i="2"/>
  <c r="V236" i="2"/>
  <c r="V463" i="2"/>
  <c r="V349" i="2"/>
  <c r="V235" i="2"/>
  <c r="V462" i="2"/>
  <c r="V348" i="2"/>
  <c r="V651" i="2"/>
  <c r="V179" i="2"/>
  <c r="AA195" i="2" l="1"/>
  <c r="AA513" i="2"/>
  <c r="AA179" i="2"/>
  <c r="AA87" i="2"/>
  <c r="AA650" i="2"/>
  <c r="AA269" i="2"/>
  <c r="AA348" i="2"/>
  <c r="AA465" i="2"/>
  <c r="AA462" i="2"/>
  <c r="AA235" i="2"/>
  <c r="AA268" i="2"/>
  <c r="AA85" i="2"/>
  <c r="AA568" i="2"/>
  <c r="AA349" i="2"/>
  <c r="AA516" i="2"/>
  <c r="AA86" i="2"/>
  <c r="AA453" i="2"/>
  <c r="AA515" i="2"/>
  <c r="AA418" i="2"/>
  <c r="AA469" i="2"/>
  <c r="AA236" i="2"/>
  <c r="AA463" i="2"/>
  <c r="AA651" i="2"/>
  <c r="AA350" i="2"/>
  <c r="AA514" i="2"/>
  <c r="AA99" i="2"/>
  <c r="AA464" i="2"/>
  <c r="AA100" i="2"/>
  <c r="Y91" i="2" l="1"/>
  <c r="Y92" i="2"/>
  <c r="Y93" i="2"/>
  <c r="Y83" i="2"/>
  <c r="Y84" i="2"/>
  <c r="Y502" i="2"/>
  <c r="Y503" i="2"/>
  <c r="Y504" i="2"/>
  <c r="Y505" i="2"/>
  <c r="Y506" i="2"/>
  <c r="Y183" i="2"/>
  <c r="Y184" i="2"/>
  <c r="Y260" i="2"/>
  <c r="Y261" i="2"/>
  <c r="Y132" i="2"/>
  <c r="Y133" i="2"/>
  <c r="Y126" i="2"/>
  <c r="Y127" i="2"/>
  <c r="Y354" i="2"/>
  <c r="Y355" i="2"/>
  <c r="Y178" i="2"/>
  <c r="P91" i="2"/>
  <c r="P92" i="2"/>
  <c r="P93" i="2"/>
  <c r="P83" i="2"/>
  <c r="P84" i="2"/>
  <c r="P502" i="2"/>
  <c r="P503" i="2"/>
  <c r="P504" i="2"/>
  <c r="P505" i="2"/>
  <c r="P506" i="2"/>
  <c r="P183" i="2"/>
  <c r="P184" i="2"/>
  <c r="P260" i="2"/>
  <c r="P261" i="2"/>
  <c r="P132" i="2"/>
  <c r="P133" i="2"/>
  <c r="P126" i="2"/>
  <c r="P127" i="2"/>
  <c r="P354" i="2"/>
  <c r="P355" i="2"/>
  <c r="P178" i="2"/>
  <c r="Q91" i="2"/>
  <c r="W91" i="2" s="1"/>
  <c r="Q92" i="2"/>
  <c r="W92" i="2" s="1"/>
  <c r="Q93" i="2"/>
  <c r="W93" i="2" s="1"/>
  <c r="Q83" i="2"/>
  <c r="W83" i="2" s="1"/>
  <c r="Q84" i="2"/>
  <c r="W84" i="2" s="1"/>
  <c r="Q502" i="2"/>
  <c r="W502" i="2" s="1"/>
  <c r="Q503" i="2"/>
  <c r="W503" i="2" s="1"/>
  <c r="Q504" i="2"/>
  <c r="W504" i="2" s="1"/>
  <c r="Q505" i="2"/>
  <c r="W505" i="2" s="1"/>
  <c r="Q506" i="2"/>
  <c r="W506" i="2" s="1"/>
  <c r="Q183" i="2"/>
  <c r="W183" i="2" s="1"/>
  <c r="Q184" i="2"/>
  <c r="W184" i="2" s="1"/>
  <c r="Q260" i="2"/>
  <c r="W260" i="2" s="1"/>
  <c r="Q261" i="2"/>
  <c r="W261" i="2" s="1"/>
  <c r="Q132" i="2"/>
  <c r="W132" i="2" s="1"/>
  <c r="Q133" i="2"/>
  <c r="W133" i="2" s="1"/>
  <c r="Q126" i="2"/>
  <c r="W126" i="2" s="1"/>
  <c r="Q127" i="2"/>
  <c r="W127" i="2" s="1"/>
  <c r="Q354" i="2"/>
  <c r="W354" i="2" s="1"/>
  <c r="Q355" i="2"/>
  <c r="W355" i="2" s="1"/>
  <c r="Q178" i="2"/>
  <c r="W178" i="2" s="1"/>
  <c r="M91" i="2"/>
  <c r="M92" i="2"/>
  <c r="M93" i="2"/>
  <c r="M83" i="2"/>
  <c r="M84" i="2"/>
  <c r="M502" i="2"/>
  <c r="M503" i="2"/>
  <c r="M504" i="2"/>
  <c r="M505" i="2"/>
  <c r="M506" i="2"/>
  <c r="M183" i="2"/>
  <c r="M184" i="2"/>
  <c r="M260" i="2"/>
  <c r="M261" i="2"/>
  <c r="M132" i="2"/>
  <c r="M133" i="2"/>
  <c r="M126" i="2"/>
  <c r="M127" i="2"/>
  <c r="M354" i="2"/>
  <c r="M355" i="2"/>
  <c r="M178" i="2"/>
  <c r="L91" i="2"/>
  <c r="L92" i="2"/>
  <c r="L93" i="2"/>
  <c r="L83" i="2"/>
  <c r="L84" i="2"/>
  <c r="L502" i="2"/>
  <c r="L503" i="2"/>
  <c r="L504" i="2"/>
  <c r="L505" i="2"/>
  <c r="L506" i="2"/>
  <c r="L183" i="2"/>
  <c r="L184" i="2"/>
  <c r="L260" i="2"/>
  <c r="L261" i="2"/>
  <c r="L132" i="2"/>
  <c r="L133" i="2"/>
  <c r="L126" i="2"/>
  <c r="L127" i="2"/>
  <c r="L354" i="2"/>
  <c r="L355" i="2"/>
  <c r="L178" i="2"/>
  <c r="J91" i="2"/>
  <c r="J92" i="2"/>
  <c r="J93" i="2"/>
  <c r="J83" i="2"/>
  <c r="J84" i="2"/>
  <c r="J502" i="2"/>
  <c r="J503" i="2"/>
  <c r="J504" i="2"/>
  <c r="J505" i="2"/>
  <c r="J506" i="2"/>
  <c r="J183" i="2"/>
  <c r="J184" i="2"/>
  <c r="J260" i="2"/>
  <c r="J261" i="2"/>
  <c r="J132" i="2"/>
  <c r="J133" i="2"/>
  <c r="J126" i="2"/>
  <c r="J127" i="2"/>
  <c r="J354" i="2"/>
  <c r="J355" i="2"/>
  <c r="J178" i="2"/>
  <c r="H91" i="2"/>
  <c r="H92" i="2"/>
  <c r="H93" i="2"/>
  <c r="H83" i="2"/>
  <c r="H84" i="2"/>
  <c r="H502" i="2"/>
  <c r="H503" i="2"/>
  <c r="H504" i="2"/>
  <c r="H505" i="2"/>
  <c r="H506" i="2"/>
  <c r="H183" i="2"/>
  <c r="H184" i="2"/>
  <c r="H260" i="2"/>
  <c r="H261" i="2"/>
  <c r="H132" i="2"/>
  <c r="H133" i="2"/>
  <c r="H126" i="2"/>
  <c r="H127" i="2"/>
  <c r="H354" i="2"/>
  <c r="H355" i="2"/>
  <c r="H178" i="2"/>
  <c r="G91" i="2"/>
  <c r="G92" i="2"/>
  <c r="G93" i="2"/>
  <c r="G83" i="2"/>
  <c r="G84" i="2"/>
  <c r="G502" i="2"/>
  <c r="G503" i="2"/>
  <c r="G504" i="2"/>
  <c r="G505" i="2"/>
  <c r="G506" i="2"/>
  <c r="G183" i="2"/>
  <c r="G184" i="2"/>
  <c r="G260" i="2"/>
  <c r="G261" i="2"/>
  <c r="G132" i="2"/>
  <c r="G133" i="2"/>
  <c r="G126" i="2"/>
  <c r="G127" i="2"/>
  <c r="G354" i="2"/>
  <c r="G355" i="2"/>
  <c r="G178" i="2"/>
  <c r="F91" i="2"/>
  <c r="F92" i="2"/>
  <c r="F93" i="2"/>
  <c r="F83" i="2"/>
  <c r="F84" i="2"/>
  <c r="F502" i="2"/>
  <c r="F503" i="2"/>
  <c r="F504" i="2"/>
  <c r="F505" i="2"/>
  <c r="F506" i="2"/>
  <c r="F183" i="2"/>
  <c r="F184" i="2"/>
  <c r="F260" i="2"/>
  <c r="F261" i="2"/>
  <c r="F132" i="2"/>
  <c r="F133" i="2"/>
  <c r="F126" i="2"/>
  <c r="F127" i="2"/>
  <c r="F354" i="2"/>
  <c r="F355" i="2"/>
  <c r="F178" i="2"/>
  <c r="E91" i="2"/>
  <c r="E92" i="2"/>
  <c r="E93" i="2"/>
  <c r="E83" i="2"/>
  <c r="E84" i="2"/>
  <c r="E502" i="2"/>
  <c r="E503" i="2"/>
  <c r="E504" i="2"/>
  <c r="E505" i="2"/>
  <c r="E506" i="2"/>
  <c r="E183" i="2"/>
  <c r="E184" i="2"/>
  <c r="E260" i="2"/>
  <c r="E261" i="2"/>
  <c r="E132" i="2"/>
  <c r="E133" i="2"/>
  <c r="E126" i="2"/>
  <c r="E127" i="2"/>
  <c r="E354" i="2"/>
  <c r="E355" i="2"/>
  <c r="E178" i="2"/>
  <c r="D91" i="2"/>
  <c r="D92" i="2"/>
  <c r="D93" i="2"/>
  <c r="D83" i="2"/>
  <c r="D84" i="2"/>
  <c r="D502" i="2"/>
  <c r="D503" i="2"/>
  <c r="D504" i="2"/>
  <c r="D505" i="2"/>
  <c r="D506" i="2"/>
  <c r="D183" i="2"/>
  <c r="D184" i="2"/>
  <c r="D260" i="2"/>
  <c r="D261" i="2"/>
  <c r="D132" i="2"/>
  <c r="D133" i="2"/>
  <c r="D126" i="2"/>
  <c r="D127" i="2"/>
  <c r="D354" i="2"/>
  <c r="D355" i="2"/>
  <c r="D178" i="2"/>
  <c r="C91" i="2"/>
  <c r="C92" i="2"/>
  <c r="C93" i="2"/>
  <c r="C83" i="2"/>
  <c r="C84" i="2"/>
  <c r="C502" i="2"/>
  <c r="C503" i="2"/>
  <c r="C504" i="2"/>
  <c r="C505" i="2"/>
  <c r="C506" i="2"/>
  <c r="C183" i="2"/>
  <c r="C184" i="2"/>
  <c r="C260" i="2"/>
  <c r="C261" i="2"/>
  <c r="C132" i="2"/>
  <c r="C133" i="2"/>
  <c r="C126" i="2"/>
  <c r="C127" i="2"/>
  <c r="C354" i="2"/>
  <c r="C355" i="2"/>
  <c r="C178" i="2"/>
  <c r="B91" i="2"/>
  <c r="B92" i="2"/>
  <c r="B93" i="2"/>
  <c r="B83" i="2"/>
  <c r="B84" i="2"/>
  <c r="B502" i="2"/>
  <c r="B503" i="2"/>
  <c r="B504" i="2"/>
  <c r="B505" i="2"/>
  <c r="B506" i="2"/>
  <c r="B183" i="2"/>
  <c r="B184" i="2"/>
  <c r="B260" i="2"/>
  <c r="B261" i="2"/>
  <c r="B132" i="2"/>
  <c r="B133" i="2"/>
  <c r="B126" i="2"/>
  <c r="B127" i="2"/>
  <c r="B354" i="2"/>
  <c r="B355" i="2"/>
  <c r="B178" i="2"/>
  <c r="A91" i="2"/>
  <c r="A92" i="2"/>
  <c r="A93" i="2"/>
  <c r="A83" i="2"/>
  <c r="A84" i="2"/>
  <c r="A502" i="2"/>
  <c r="A503" i="2"/>
  <c r="A504" i="2"/>
  <c r="A505" i="2"/>
  <c r="A506" i="2"/>
  <c r="A183" i="2"/>
  <c r="A184" i="2"/>
  <c r="A260" i="2"/>
  <c r="A261" i="2"/>
  <c r="A132" i="2"/>
  <c r="A133" i="2"/>
  <c r="A126" i="2"/>
  <c r="A127" i="2"/>
  <c r="A354" i="2"/>
  <c r="A355" i="2"/>
  <c r="A178" i="2"/>
  <c r="Z184" i="2" l="1"/>
  <c r="Z260" i="2"/>
  <c r="Z261" i="2"/>
  <c r="V183" i="2"/>
  <c r="V506" i="2"/>
  <c r="V178" i="2"/>
  <c r="V505" i="2"/>
  <c r="V126" i="2"/>
  <c r="V84" i="2"/>
  <c r="V184" i="2"/>
  <c r="V127" i="2"/>
  <c r="V502" i="2"/>
  <c r="V132" i="2"/>
  <c r="V93" i="2"/>
  <c r="V261" i="2"/>
  <c r="V92" i="2"/>
  <c r="V260" i="2"/>
  <c r="V91" i="2"/>
  <c r="V355" i="2"/>
  <c r="V504" i="2"/>
  <c r="V354" i="2"/>
  <c r="V503" i="2"/>
  <c r="V133" i="2"/>
  <c r="V83" i="2"/>
  <c r="AD184" i="2"/>
  <c r="AD178" i="2"/>
  <c r="AD505" i="2"/>
  <c r="AD355" i="2"/>
  <c r="AD261" i="2"/>
  <c r="AD92" i="2"/>
  <c r="AD260" i="2"/>
  <c r="AD91" i="2"/>
  <c r="AD354" i="2"/>
  <c r="AD502" i="2"/>
  <c r="AD183" i="2"/>
  <c r="AD506" i="2"/>
  <c r="AD504" i="2"/>
  <c r="AD503" i="2"/>
  <c r="AD133" i="2"/>
  <c r="AD83" i="2"/>
  <c r="AD127" i="2"/>
  <c r="AD126" i="2"/>
  <c r="AD84" i="2"/>
  <c r="AD132" i="2"/>
  <c r="AD93" i="2"/>
  <c r="Z506" i="2"/>
  <c r="Z183" i="2"/>
  <c r="Z91" i="2"/>
  <c r="X355" i="2"/>
  <c r="X504" i="2"/>
  <c r="X133" i="2"/>
  <c r="X83" i="2"/>
  <c r="Z354" i="2"/>
  <c r="Z503" i="2"/>
  <c r="X261" i="2"/>
  <c r="X92" i="2"/>
  <c r="Z126" i="2"/>
  <c r="Z84" i="2"/>
  <c r="Z133" i="2"/>
  <c r="Z83" i="2"/>
  <c r="X183" i="2"/>
  <c r="X506" i="2"/>
  <c r="Z92" i="2"/>
  <c r="Z132" i="2"/>
  <c r="X91" i="2"/>
  <c r="X184" i="2"/>
  <c r="Z127" i="2"/>
  <c r="Z502" i="2"/>
  <c r="X354" i="2"/>
  <c r="X503" i="2"/>
  <c r="X127" i="2"/>
  <c r="X502" i="2"/>
  <c r="X260" i="2"/>
  <c r="X126" i="2"/>
  <c r="X84" i="2"/>
  <c r="X132" i="2"/>
  <c r="X93" i="2"/>
  <c r="Z178" i="2"/>
  <c r="Z505" i="2"/>
  <c r="Z93" i="2"/>
  <c r="Z355" i="2"/>
  <c r="Z504" i="2"/>
  <c r="X178" i="2"/>
  <c r="X505" i="2"/>
  <c r="AA184" i="2" l="1"/>
  <c r="AA260" i="2"/>
  <c r="AA261" i="2"/>
  <c r="AA178" i="2"/>
  <c r="AA505" i="2"/>
  <c r="AA183" i="2"/>
  <c r="AA127" i="2"/>
  <c r="AA92" i="2"/>
  <c r="AA506" i="2"/>
  <c r="AA83" i="2"/>
  <c r="AA502" i="2"/>
  <c r="AA132" i="2"/>
  <c r="AA504" i="2"/>
  <c r="AA84" i="2"/>
  <c r="AA503" i="2"/>
  <c r="AA354" i="2"/>
  <c r="AA126" i="2"/>
  <c r="AA355" i="2"/>
  <c r="AA133" i="2"/>
  <c r="AA91" i="2"/>
  <c r="AA93" i="2"/>
  <c r="J432" i="2" l="1"/>
  <c r="J433" i="2"/>
  <c r="J434" i="2"/>
  <c r="J295" i="2"/>
  <c r="J296" i="2"/>
  <c r="J297" i="2"/>
  <c r="J574" i="2"/>
  <c r="J575" i="2"/>
  <c r="J576" i="2"/>
  <c r="J98" i="2"/>
  <c r="J116" i="2"/>
  <c r="J117" i="2"/>
  <c r="J118" i="2"/>
  <c r="J119" i="2"/>
  <c r="J66" i="2"/>
  <c r="J67" i="2"/>
  <c r="J68" i="2"/>
  <c r="J69" i="2"/>
  <c r="J70" i="2"/>
  <c r="J111" i="2"/>
  <c r="J112" i="2"/>
  <c r="J113" i="2"/>
  <c r="J114" i="2"/>
  <c r="J115" i="2"/>
  <c r="J25" i="2"/>
  <c r="J26" i="2"/>
  <c r="J27" i="2"/>
  <c r="J444" i="2"/>
  <c r="J445" i="2"/>
  <c r="J446" i="2"/>
  <c r="J447" i="2"/>
  <c r="J448" i="2"/>
  <c r="J449" i="2"/>
  <c r="J8" i="2"/>
  <c r="J9" i="2"/>
  <c r="J10" i="2"/>
  <c r="J11" i="2"/>
  <c r="J466" i="2"/>
  <c r="J467" i="2"/>
  <c r="J468" i="2"/>
  <c r="J439" i="2"/>
  <c r="J440" i="2"/>
  <c r="J441" i="2"/>
  <c r="J442" i="2"/>
  <c r="J443" i="2"/>
  <c r="J273" i="2"/>
  <c r="J274" i="2"/>
  <c r="J275" i="2"/>
  <c r="J276" i="2"/>
  <c r="J277" i="2"/>
  <c r="J101" i="2"/>
  <c r="J102" i="2"/>
  <c r="J163" i="2"/>
  <c r="J164" i="2"/>
  <c r="J612" i="2"/>
  <c r="J613" i="2"/>
  <c r="J521" i="2"/>
  <c r="J253" i="2"/>
  <c r="J254" i="2"/>
  <c r="J255" i="2"/>
  <c r="J256" i="2"/>
  <c r="J257" i="2"/>
  <c r="J258" i="2"/>
  <c r="J259" i="2"/>
  <c r="J248" i="2"/>
  <c r="J249" i="2"/>
  <c r="J250" i="2"/>
  <c r="J251" i="2"/>
  <c r="J252" i="2"/>
  <c r="J593" i="2"/>
  <c r="J594" i="2"/>
  <c r="J595" i="2"/>
  <c r="J596" i="2"/>
  <c r="J262" i="2"/>
  <c r="J263" i="2"/>
  <c r="J552" i="2"/>
  <c r="J553" i="2"/>
  <c r="J554" i="2"/>
  <c r="J321" i="2"/>
  <c r="J322" i="2"/>
  <c r="J323" i="2"/>
  <c r="J324" i="2"/>
  <c r="J325" i="2"/>
  <c r="J326" i="2"/>
  <c r="J327" i="2"/>
  <c r="J328" i="2"/>
  <c r="J329" i="2"/>
  <c r="J315" i="2"/>
  <c r="J316" i="2"/>
  <c r="J317" i="2"/>
  <c r="J318" i="2"/>
  <c r="J319" i="2"/>
  <c r="J320" i="2"/>
  <c r="J309" i="2"/>
  <c r="J310" i="2"/>
  <c r="J311" i="2"/>
  <c r="J312" i="2"/>
  <c r="J313" i="2"/>
  <c r="J314" i="2"/>
  <c r="J298" i="2"/>
  <c r="J299" i="2"/>
  <c r="J300" i="2"/>
  <c r="J301" i="2"/>
  <c r="J302" i="2"/>
  <c r="J290" i="2"/>
  <c r="J291" i="2"/>
  <c r="J412" i="2"/>
  <c r="J413" i="2"/>
  <c r="J414" i="2"/>
  <c r="J415" i="2"/>
  <c r="J416" i="2"/>
  <c r="J417" i="2"/>
  <c r="J389" i="2"/>
  <c r="J390" i="2"/>
  <c r="J391" i="2"/>
  <c r="J392" i="2"/>
  <c r="J393" i="2"/>
  <c r="J394" i="2"/>
  <c r="J395" i="2"/>
  <c r="J396" i="2"/>
  <c r="J397" i="2"/>
  <c r="J398" i="2"/>
  <c r="J399" i="2"/>
  <c r="J364" i="2"/>
  <c r="J365" i="2"/>
  <c r="J366" i="2"/>
  <c r="J367" i="2"/>
  <c r="J369" i="2"/>
  <c r="J370" i="2"/>
  <c r="J371" i="2"/>
  <c r="J372" i="2"/>
  <c r="J358" i="2"/>
  <c r="J359" i="2"/>
  <c r="J360" i="2"/>
  <c r="J361" i="2"/>
  <c r="J362" i="2"/>
  <c r="J352" i="2"/>
  <c r="J353" i="2"/>
  <c r="J243" i="2"/>
  <c r="J244" i="2"/>
  <c r="J226" i="2"/>
  <c r="J227" i="2"/>
  <c r="J228" i="2"/>
  <c r="J229" i="2"/>
  <c r="J230" i="2"/>
  <c r="J123" i="2"/>
  <c r="J124" i="2"/>
  <c r="J125" i="2"/>
  <c r="J461" i="2"/>
  <c r="J94" i="2"/>
  <c r="J95" i="2"/>
  <c r="J96" i="2"/>
  <c r="J97" i="2"/>
  <c r="J547" i="2"/>
  <c r="J548" i="2"/>
  <c r="J549" i="2"/>
  <c r="J533" i="2"/>
  <c r="J534" i="2"/>
  <c r="J535" i="2"/>
  <c r="J536" i="2"/>
  <c r="J537" i="2"/>
  <c r="J538" i="2"/>
  <c r="J539" i="2"/>
  <c r="J540" i="2"/>
  <c r="J14" i="2"/>
  <c r="J15" i="2"/>
  <c r="J16" i="2"/>
  <c r="J237" i="2"/>
  <c r="J238" i="2"/>
  <c r="J239" i="2"/>
  <c r="J240" i="2"/>
  <c r="J222" i="2"/>
  <c r="J223" i="2"/>
  <c r="J224" i="2"/>
  <c r="J225" i="2"/>
  <c r="J487" i="2"/>
  <c r="J488" i="2"/>
  <c r="J489" i="2"/>
  <c r="J490" i="2"/>
  <c r="J491" i="2"/>
  <c r="J635" i="2"/>
  <c r="J636" i="2"/>
  <c r="J625" i="2"/>
  <c r="J626" i="2"/>
  <c r="J627" i="2"/>
  <c r="J628" i="2"/>
  <c r="J629" i="2"/>
  <c r="J601" i="2"/>
  <c r="J602" i="2"/>
  <c r="J603" i="2"/>
  <c r="J604" i="2"/>
  <c r="J571" i="2"/>
  <c r="J572" i="2"/>
  <c r="J573" i="2"/>
  <c r="J590" i="2"/>
  <c r="J591" i="2"/>
  <c r="J592" i="2"/>
  <c r="J383" i="2"/>
  <c r="J384" i="2"/>
  <c r="J385" i="2"/>
  <c r="J386" i="2"/>
  <c r="J387" i="2"/>
  <c r="J388" i="2"/>
  <c r="J437" i="2"/>
  <c r="J438" i="2"/>
  <c r="J264" i="2"/>
  <c r="J265" i="2"/>
  <c r="J266" i="2"/>
  <c r="J267" i="2"/>
  <c r="J79" i="2"/>
  <c r="J80" i="2"/>
  <c r="J81" i="2"/>
  <c r="J82" i="2"/>
  <c r="J120" i="2"/>
  <c r="J121" i="2"/>
  <c r="J122" i="2"/>
  <c r="J623" i="2"/>
  <c r="J624" i="2"/>
  <c r="J103" i="2"/>
  <c r="J104" i="2"/>
  <c r="J105" i="2"/>
  <c r="J106" i="2"/>
  <c r="J107" i="2"/>
  <c r="J421" i="2"/>
  <c r="J422" i="2"/>
  <c r="J423" i="2"/>
  <c r="J424" i="2"/>
  <c r="J425" i="2"/>
  <c r="J426" i="2"/>
  <c r="J427" i="2"/>
  <c r="J368" i="2"/>
  <c r="J405" i="2"/>
  <c r="J406" i="2"/>
  <c r="J555" i="2"/>
  <c r="J556" i="2"/>
  <c r="J557" i="2"/>
  <c r="J630" i="2"/>
  <c r="J631" i="2"/>
  <c r="J632" i="2"/>
  <c r="J633" i="2"/>
  <c r="J634" i="2"/>
  <c r="J511" i="2"/>
  <c r="J512" i="2"/>
  <c r="J407" i="2"/>
  <c r="J408" i="2"/>
  <c r="J409" i="2"/>
  <c r="J410" i="2"/>
  <c r="J411" i="2"/>
  <c r="J597" i="2"/>
  <c r="J598" i="2"/>
  <c r="J599" i="2"/>
  <c r="J600" i="2"/>
  <c r="J208" i="2"/>
  <c r="J209" i="2"/>
  <c r="J210" i="2"/>
  <c r="J211" i="2"/>
  <c r="J543" i="2"/>
  <c r="J544" i="2"/>
  <c r="J545" i="2"/>
  <c r="J546" i="2"/>
  <c r="J560" i="2"/>
  <c r="J561" i="2"/>
  <c r="J562" i="2"/>
  <c r="J563" i="2"/>
  <c r="J241" i="2"/>
  <c r="J242" i="2"/>
  <c r="J108" i="2"/>
  <c r="J109" i="2"/>
  <c r="J110" i="2"/>
  <c r="J517" i="2"/>
  <c r="J579" i="2"/>
  <c r="J580" i="2"/>
  <c r="J581" i="2"/>
  <c r="J582" i="2"/>
  <c r="J583" i="2"/>
  <c r="J558" i="2"/>
  <c r="J559" i="2"/>
  <c r="J271" i="2"/>
  <c r="J272" i="2"/>
  <c r="J292" i="2"/>
  <c r="J293" i="2"/>
  <c r="J294" i="2"/>
  <c r="J71" i="2"/>
  <c r="J72" i="2"/>
  <c r="J202" i="2"/>
  <c r="J203" i="2"/>
  <c r="J204" i="2"/>
  <c r="J205" i="2"/>
  <c r="J206" i="2"/>
  <c r="J419" i="2"/>
  <c r="J420" i="2"/>
  <c r="J522" i="2"/>
  <c r="J523" i="2"/>
  <c r="J459" i="2"/>
  <c r="J460" i="2"/>
  <c r="J343" i="2"/>
  <c r="J344" i="2"/>
  <c r="J345" i="2"/>
  <c r="J346" i="2"/>
  <c r="J347" i="2"/>
  <c r="J53" i="2"/>
  <c r="J54" i="2"/>
  <c r="J55" i="2"/>
  <c r="J56" i="2"/>
  <c r="J518" i="2"/>
  <c r="J519" i="2"/>
  <c r="J520" i="2"/>
  <c r="J541" i="2"/>
  <c r="J542" i="2"/>
  <c r="J480" i="2"/>
  <c r="J481" i="2"/>
  <c r="J30" i="2"/>
  <c r="J31" i="2"/>
  <c r="J32" i="2"/>
  <c r="J33" i="2"/>
  <c r="J478" i="2"/>
  <c r="J479" i="2"/>
  <c r="J531" i="2"/>
  <c r="J532" i="2"/>
  <c r="J41" i="2"/>
  <c r="J42" i="2"/>
  <c r="J43" i="2"/>
  <c r="J44" i="2"/>
  <c r="J492" i="2"/>
  <c r="J493" i="2"/>
  <c r="J51" i="2"/>
  <c r="J52" i="2"/>
  <c r="J231" i="2"/>
  <c r="J232" i="2"/>
  <c r="J233" i="2"/>
  <c r="J234" i="2"/>
  <c r="J303" i="2"/>
  <c r="J304" i="2"/>
  <c r="J305" i="2"/>
  <c r="J306" i="2"/>
  <c r="J307" i="2"/>
  <c r="J308" i="2"/>
  <c r="J620" i="2"/>
  <c r="J621" i="2"/>
  <c r="J622" i="2"/>
  <c r="J45" i="2"/>
  <c r="J57" i="2"/>
  <c r="J58" i="2"/>
  <c r="J59" i="2"/>
  <c r="J378" i="2"/>
  <c r="J379" i="2"/>
  <c r="J380" i="2"/>
  <c r="J381" i="2"/>
  <c r="J382" i="2"/>
  <c r="J215" i="2"/>
  <c r="J216" i="2"/>
  <c r="J217" i="2"/>
  <c r="J218" i="2"/>
  <c r="J219" i="2"/>
  <c r="J220" i="2"/>
  <c r="J221" i="2"/>
  <c r="J128" i="2"/>
  <c r="J129" i="2"/>
  <c r="J130" i="2"/>
  <c r="J131" i="2"/>
  <c r="J617" i="2"/>
  <c r="J618" i="2"/>
  <c r="J619" i="2"/>
  <c r="J457" i="2"/>
  <c r="J458" i="2"/>
  <c r="J24" i="2"/>
  <c r="J608" i="2"/>
  <c r="J609" i="2"/>
  <c r="J610" i="2"/>
  <c r="J611" i="2"/>
  <c r="J40" i="2"/>
  <c r="J550" i="2"/>
  <c r="J551" i="2"/>
  <c r="J356" i="2"/>
  <c r="J357" i="2"/>
  <c r="J470" i="2"/>
  <c r="J471" i="2"/>
  <c r="J472" i="2"/>
  <c r="J564" i="2"/>
  <c r="J565" i="2"/>
  <c r="J566" i="2"/>
  <c r="J567" i="2"/>
  <c r="J452" i="2"/>
  <c r="J570" i="2"/>
  <c r="J577" i="2"/>
  <c r="J578" i="2"/>
  <c r="J614" i="2"/>
  <c r="J615" i="2"/>
  <c r="J616" i="2"/>
  <c r="J376" i="2"/>
  <c r="J377" i="2"/>
  <c r="J588" i="2"/>
  <c r="J589" i="2"/>
  <c r="J338" i="2"/>
  <c r="J339" i="2"/>
  <c r="J340" i="2"/>
  <c r="J341" i="2"/>
  <c r="J342" i="2"/>
  <c r="J482" i="2"/>
  <c r="J483" i="2"/>
  <c r="J484" i="2"/>
  <c r="J485" i="2"/>
  <c r="J486" i="2"/>
  <c r="J60" i="2"/>
  <c r="J61" i="2"/>
  <c r="J62" i="2"/>
  <c r="J63" i="2"/>
  <c r="J64" i="2"/>
  <c r="J65" i="2"/>
  <c r="J428" i="2"/>
  <c r="J17" i="2"/>
  <c r="J18" i="2"/>
  <c r="J19" i="2"/>
  <c r="J20" i="2"/>
  <c r="J21" i="2"/>
  <c r="J46" i="2"/>
  <c r="J47" i="2"/>
  <c r="J48" i="2"/>
  <c r="J49" i="2"/>
  <c r="J50" i="2"/>
  <c r="J187" i="2"/>
  <c r="J188" i="2"/>
  <c r="J189" i="2"/>
  <c r="J190" i="2"/>
  <c r="J191" i="2"/>
  <c r="J185" i="2"/>
  <c r="J186" i="2"/>
  <c r="J172" i="2"/>
  <c r="J173" i="2"/>
  <c r="J174" i="2"/>
  <c r="J168" i="2"/>
  <c r="J169" i="2"/>
  <c r="J170" i="2"/>
  <c r="J171" i="2"/>
  <c r="J165" i="2"/>
  <c r="J166" i="2"/>
  <c r="J167" i="2"/>
  <c r="J198" i="2"/>
  <c r="J199" i="2"/>
  <c r="J200" i="2"/>
  <c r="J201" i="2"/>
  <c r="J207" i="2"/>
  <c r="J192" i="2"/>
  <c r="J193" i="2"/>
  <c r="J194" i="2"/>
  <c r="J196" i="2"/>
  <c r="J197" i="2"/>
  <c r="J138" i="2"/>
  <c r="J139" i="2"/>
  <c r="J140" i="2"/>
  <c r="J158" i="2"/>
  <c r="J159" i="2"/>
  <c r="J141" i="2"/>
  <c r="J142" i="2"/>
  <c r="J152" i="2"/>
  <c r="J153" i="2"/>
  <c r="J160" i="2"/>
  <c r="J161" i="2"/>
  <c r="J162" i="2"/>
  <c r="J154" i="2"/>
  <c r="J155" i="2"/>
  <c r="J156" i="2"/>
  <c r="J157" i="2"/>
  <c r="J143" i="2"/>
  <c r="J144" i="2"/>
  <c r="J145" i="2"/>
  <c r="J146" i="2"/>
  <c r="J134" i="2"/>
  <c r="J135" i="2"/>
  <c r="J136" i="2"/>
  <c r="J137" i="2"/>
  <c r="J507" i="2"/>
  <c r="J508" i="2"/>
  <c r="J509" i="2"/>
  <c r="J510" i="2"/>
  <c r="J180" i="2"/>
  <c r="J181" i="2"/>
  <c r="J584" i="2"/>
  <c r="J585" i="2"/>
  <c r="J586" i="2"/>
  <c r="J587" i="2"/>
  <c r="J284" i="2"/>
  <c r="J285" i="2"/>
  <c r="J212" i="2"/>
  <c r="J450" i="2"/>
  <c r="J451" i="2"/>
  <c r="J430" i="2"/>
  <c r="J431" i="2"/>
  <c r="J330" i="2"/>
  <c r="J331" i="2"/>
  <c r="J332" i="2"/>
  <c r="J333" i="2"/>
  <c r="J35" i="2"/>
  <c r="J36" i="2"/>
  <c r="J38" i="2"/>
  <c r="J39" i="2"/>
  <c r="J400" i="2"/>
  <c r="J401" i="2"/>
  <c r="J402" i="2"/>
  <c r="J569" i="2"/>
  <c r="J245" i="2"/>
  <c r="J246" i="2"/>
  <c r="J247" i="2"/>
  <c r="J28" i="2"/>
  <c r="J29" i="2"/>
  <c r="J526" i="2"/>
  <c r="J527" i="2"/>
  <c r="J175" i="2"/>
  <c r="J176" i="2"/>
  <c r="J177" i="2"/>
  <c r="J474" i="2"/>
  <c r="J475" i="2"/>
  <c r="J476" i="2"/>
  <c r="J477" i="2"/>
  <c r="J605" i="2"/>
  <c r="J606" i="2"/>
  <c r="J607" i="2"/>
  <c r="J12" i="2"/>
  <c r="J13" i="2"/>
  <c r="J280" i="2"/>
  <c r="J373" i="2"/>
  <c r="J374" i="2"/>
  <c r="J375" i="2"/>
  <c r="J403" i="2"/>
  <c r="J404" i="2"/>
  <c r="J429" i="2"/>
  <c r="J454" i="2"/>
  <c r="J455" i="2"/>
  <c r="J456" i="2"/>
  <c r="J646" i="2"/>
  <c r="J647" i="2"/>
  <c r="J648" i="2"/>
  <c r="J649" i="2"/>
  <c r="J494" i="2"/>
  <c r="J495" i="2"/>
  <c r="J496" i="2"/>
  <c r="J22" i="2"/>
  <c r="J23" i="2"/>
  <c r="J288" i="2"/>
  <c r="J289" i="2"/>
  <c r="J643" i="2"/>
  <c r="J644" i="2"/>
  <c r="J645" i="2"/>
  <c r="J278" i="2"/>
  <c r="J279" i="2"/>
  <c r="J473" i="2"/>
  <c r="J37" i="2"/>
  <c r="J182" i="2"/>
  <c r="J286" i="2"/>
  <c r="J287" i="2"/>
  <c r="J363" i="2"/>
  <c r="J641" i="2"/>
  <c r="J642" i="2"/>
  <c r="J497" i="2"/>
  <c r="J498" i="2"/>
  <c r="J499" i="2"/>
  <c r="J500" i="2"/>
  <c r="J501" i="2"/>
  <c r="J281" i="2"/>
  <c r="J282" i="2"/>
  <c r="J283" i="2"/>
  <c r="J435" i="2"/>
  <c r="J436" i="2"/>
  <c r="J270" i="2"/>
  <c r="J528" i="2"/>
  <c r="J529" i="2"/>
  <c r="J530" i="2"/>
  <c r="J524" i="2"/>
  <c r="J525" i="2"/>
  <c r="J213" i="2"/>
  <c r="J214" i="2"/>
  <c r="J34" i="2"/>
  <c r="J351" i="2"/>
  <c r="J334" i="2"/>
  <c r="J335" i="2"/>
  <c r="J336" i="2"/>
  <c r="J337" i="2"/>
  <c r="J147" i="2"/>
  <c r="J148" i="2"/>
  <c r="J149" i="2"/>
  <c r="J150" i="2"/>
  <c r="J151" i="2"/>
  <c r="J637" i="2"/>
  <c r="J638" i="2"/>
  <c r="J639" i="2"/>
  <c r="J640" i="2"/>
  <c r="J73" i="2"/>
  <c r="J74" i="2"/>
  <c r="J75" i="2"/>
  <c r="J76" i="2"/>
  <c r="J77" i="2"/>
  <c r="J78" i="2"/>
  <c r="J88" i="2"/>
  <c r="J89" i="2"/>
  <c r="J90" i="2"/>
  <c r="A105" i="62" l="1"/>
  <c r="A106" i="62"/>
  <c r="A107" i="62"/>
  <c r="A108" i="62"/>
  <c r="A109" i="62"/>
  <c r="A110" i="62"/>
  <c r="A111" i="62"/>
  <c r="A112" i="62"/>
  <c r="A113" i="62"/>
  <c r="A114" i="62"/>
  <c r="A115" i="62"/>
  <c r="A116" i="62"/>
  <c r="A117" i="62"/>
  <c r="A118" i="62"/>
  <c r="A5" i="62"/>
  <c r="A6" i="62"/>
  <c r="A7" i="62"/>
  <c r="A8" i="62"/>
  <c r="A9" i="62"/>
  <c r="A10" i="62"/>
  <c r="A11" i="62"/>
  <c r="A12" i="62"/>
  <c r="A13" i="62"/>
  <c r="A14" i="62"/>
  <c r="A15" i="62"/>
  <c r="A16" i="62"/>
  <c r="A17" i="62"/>
  <c r="A18" i="62"/>
  <c r="A19" i="62"/>
  <c r="A20" i="62"/>
  <c r="A21" i="62"/>
  <c r="A22" i="62"/>
  <c r="A23" i="62"/>
  <c r="A24" i="62"/>
  <c r="A25" i="62"/>
  <c r="A26" i="62"/>
  <c r="A27" i="62"/>
  <c r="A28" i="62"/>
  <c r="A29" i="62"/>
  <c r="A30" i="62"/>
  <c r="A31" i="62"/>
  <c r="A32" i="62"/>
  <c r="A33" i="62"/>
  <c r="A34" i="62"/>
  <c r="A35" i="62"/>
  <c r="A36" i="62"/>
  <c r="A37" i="62"/>
  <c r="A38" i="62"/>
  <c r="A39" i="62"/>
  <c r="A40" i="62"/>
  <c r="A41" i="62"/>
  <c r="A42" i="62"/>
  <c r="A43" i="62"/>
  <c r="A44" i="62"/>
  <c r="A45" i="62"/>
  <c r="A46" i="62"/>
  <c r="A47" i="62"/>
  <c r="A48" i="62"/>
  <c r="A49" i="62"/>
  <c r="A50" i="62"/>
  <c r="A51" i="62"/>
  <c r="A52" i="62"/>
  <c r="A53" i="62"/>
  <c r="A54" i="62"/>
  <c r="A55" i="62"/>
  <c r="A56" i="62"/>
  <c r="A57" i="62"/>
  <c r="A58" i="62"/>
  <c r="A59" i="62"/>
  <c r="A60" i="62"/>
  <c r="A61" i="62"/>
  <c r="A62" i="62"/>
  <c r="A63" i="62"/>
  <c r="A64" i="62"/>
  <c r="A65" i="62"/>
  <c r="A66" i="62"/>
  <c r="A67" i="62"/>
  <c r="A68" i="62"/>
  <c r="A69" i="62"/>
  <c r="A70" i="62"/>
  <c r="A71" i="62"/>
  <c r="A72" i="62"/>
  <c r="A73" i="62"/>
  <c r="A74" i="62"/>
  <c r="A75" i="62"/>
  <c r="A76" i="62"/>
  <c r="A77" i="62"/>
  <c r="A78" i="62"/>
  <c r="A79" i="62"/>
  <c r="A80" i="62"/>
  <c r="A81" i="62"/>
  <c r="A82" i="62"/>
  <c r="A83" i="62"/>
  <c r="A84" i="62"/>
  <c r="A85" i="62"/>
  <c r="A86" i="62"/>
  <c r="A87" i="62"/>
  <c r="A88" i="62"/>
  <c r="A89" i="62"/>
  <c r="A90" i="62"/>
  <c r="A91" i="62"/>
  <c r="A92" i="62"/>
  <c r="A93" i="62"/>
  <c r="A94" i="62"/>
  <c r="A95" i="62"/>
  <c r="A96" i="62"/>
  <c r="A97" i="62"/>
  <c r="A98" i="62"/>
  <c r="A99" i="62"/>
  <c r="A100" i="62"/>
  <c r="A101" i="62"/>
  <c r="A102" i="62"/>
  <c r="A103" i="62"/>
  <c r="A104" i="62"/>
  <c r="A4" i="62"/>
  <c r="H433" i="2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8" i="21"/>
  <c r="H77" i="21"/>
  <c r="H69" i="21"/>
  <c r="H70" i="21"/>
  <c r="H79" i="21"/>
  <c r="H72" i="21"/>
  <c r="H73" i="21"/>
  <c r="H74" i="21"/>
  <c r="H75" i="21"/>
  <c r="H76" i="21"/>
  <c r="H67" i="21"/>
  <c r="H78" i="21"/>
  <c r="H71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8" i="21"/>
  <c r="G77" i="21"/>
  <c r="G69" i="21"/>
  <c r="G70" i="21"/>
  <c r="G79" i="21"/>
  <c r="G72" i="21"/>
  <c r="G73" i="21"/>
  <c r="G74" i="21"/>
  <c r="G75" i="21"/>
  <c r="G76" i="21"/>
  <c r="G67" i="21"/>
  <c r="G78" i="21"/>
  <c r="G71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H432" i="2"/>
  <c r="H434" i="2"/>
  <c r="H295" i="2"/>
  <c r="H296" i="2"/>
  <c r="H297" i="2"/>
  <c r="H574" i="2"/>
  <c r="H575" i="2"/>
  <c r="H576" i="2"/>
  <c r="H98" i="2"/>
  <c r="H116" i="2"/>
  <c r="H117" i="2"/>
  <c r="H118" i="2"/>
  <c r="H119" i="2"/>
  <c r="H66" i="2"/>
  <c r="H67" i="2"/>
  <c r="H68" i="2"/>
  <c r="H69" i="2"/>
  <c r="H70" i="2"/>
  <c r="H111" i="2"/>
  <c r="H112" i="2"/>
  <c r="H113" i="2"/>
  <c r="H114" i="2"/>
  <c r="H115" i="2"/>
  <c r="H25" i="2"/>
  <c r="H26" i="2"/>
  <c r="H27" i="2"/>
  <c r="H444" i="2"/>
  <c r="H445" i="2"/>
  <c r="H446" i="2"/>
  <c r="H447" i="2"/>
  <c r="H448" i="2"/>
  <c r="H449" i="2"/>
  <c r="H8" i="2"/>
  <c r="H9" i="2"/>
  <c r="H10" i="2"/>
  <c r="H11" i="2"/>
  <c r="H466" i="2"/>
  <c r="H467" i="2"/>
  <c r="H468" i="2"/>
  <c r="H439" i="2"/>
  <c r="H440" i="2"/>
  <c r="H441" i="2"/>
  <c r="H442" i="2"/>
  <c r="H443" i="2"/>
  <c r="H273" i="2"/>
  <c r="H274" i="2"/>
  <c r="H275" i="2"/>
  <c r="H276" i="2"/>
  <c r="H277" i="2"/>
  <c r="H101" i="2"/>
  <c r="H102" i="2"/>
  <c r="H163" i="2"/>
  <c r="H164" i="2"/>
  <c r="H612" i="2"/>
  <c r="H613" i="2"/>
  <c r="H521" i="2"/>
  <c r="H253" i="2"/>
  <c r="H254" i="2"/>
  <c r="H255" i="2"/>
  <c r="H256" i="2"/>
  <c r="H257" i="2"/>
  <c r="H258" i="2"/>
  <c r="H259" i="2"/>
  <c r="H248" i="2"/>
  <c r="H249" i="2"/>
  <c r="H250" i="2"/>
  <c r="H251" i="2"/>
  <c r="H252" i="2"/>
  <c r="H593" i="2"/>
  <c r="H594" i="2"/>
  <c r="H595" i="2"/>
  <c r="H596" i="2"/>
  <c r="H262" i="2"/>
  <c r="H263" i="2"/>
  <c r="H552" i="2"/>
  <c r="H553" i="2"/>
  <c r="H554" i="2"/>
  <c r="H321" i="2"/>
  <c r="H322" i="2"/>
  <c r="H323" i="2"/>
  <c r="H324" i="2"/>
  <c r="H325" i="2"/>
  <c r="H326" i="2"/>
  <c r="H327" i="2"/>
  <c r="H328" i="2"/>
  <c r="H329" i="2"/>
  <c r="H315" i="2"/>
  <c r="H316" i="2"/>
  <c r="H317" i="2"/>
  <c r="H318" i="2"/>
  <c r="H319" i="2"/>
  <c r="H320" i="2"/>
  <c r="H309" i="2"/>
  <c r="H310" i="2"/>
  <c r="H311" i="2"/>
  <c r="H312" i="2"/>
  <c r="H313" i="2"/>
  <c r="H314" i="2"/>
  <c r="H298" i="2"/>
  <c r="H299" i="2"/>
  <c r="H300" i="2"/>
  <c r="H301" i="2"/>
  <c r="H302" i="2"/>
  <c r="H290" i="2"/>
  <c r="H291" i="2"/>
  <c r="H412" i="2"/>
  <c r="H413" i="2"/>
  <c r="H414" i="2"/>
  <c r="H415" i="2"/>
  <c r="H416" i="2"/>
  <c r="H417" i="2"/>
  <c r="H389" i="2"/>
  <c r="H390" i="2"/>
  <c r="H391" i="2"/>
  <c r="H392" i="2"/>
  <c r="H393" i="2"/>
  <c r="H394" i="2"/>
  <c r="H395" i="2"/>
  <c r="H396" i="2"/>
  <c r="H397" i="2"/>
  <c r="H398" i="2"/>
  <c r="H399" i="2"/>
  <c r="H364" i="2"/>
  <c r="H365" i="2"/>
  <c r="H366" i="2"/>
  <c r="H367" i="2"/>
  <c r="H369" i="2"/>
  <c r="H370" i="2"/>
  <c r="H371" i="2"/>
  <c r="H372" i="2"/>
  <c r="H358" i="2"/>
  <c r="H359" i="2"/>
  <c r="H360" i="2"/>
  <c r="H361" i="2"/>
  <c r="H362" i="2"/>
  <c r="H352" i="2"/>
  <c r="H353" i="2"/>
  <c r="H243" i="2"/>
  <c r="H244" i="2"/>
  <c r="H226" i="2"/>
  <c r="H227" i="2"/>
  <c r="H228" i="2"/>
  <c r="H229" i="2"/>
  <c r="H230" i="2"/>
  <c r="H123" i="2"/>
  <c r="H124" i="2"/>
  <c r="H125" i="2"/>
  <c r="H461" i="2"/>
  <c r="H94" i="2"/>
  <c r="H95" i="2"/>
  <c r="H96" i="2"/>
  <c r="H97" i="2"/>
  <c r="H547" i="2"/>
  <c r="H548" i="2"/>
  <c r="H549" i="2"/>
  <c r="H533" i="2"/>
  <c r="H534" i="2"/>
  <c r="H535" i="2"/>
  <c r="H536" i="2"/>
  <c r="H537" i="2"/>
  <c r="H538" i="2"/>
  <c r="H539" i="2"/>
  <c r="H540" i="2"/>
  <c r="H14" i="2"/>
  <c r="H15" i="2"/>
  <c r="H16" i="2"/>
  <c r="H237" i="2"/>
  <c r="H238" i="2"/>
  <c r="H239" i="2"/>
  <c r="H240" i="2"/>
  <c r="H222" i="2"/>
  <c r="H223" i="2"/>
  <c r="H224" i="2"/>
  <c r="H225" i="2"/>
  <c r="H487" i="2"/>
  <c r="H488" i="2"/>
  <c r="H489" i="2"/>
  <c r="H490" i="2"/>
  <c r="H491" i="2"/>
  <c r="H635" i="2"/>
  <c r="H636" i="2"/>
  <c r="H625" i="2"/>
  <c r="H626" i="2"/>
  <c r="H627" i="2"/>
  <c r="H628" i="2"/>
  <c r="H629" i="2"/>
  <c r="H601" i="2"/>
  <c r="H602" i="2"/>
  <c r="H603" i="2"/>
  <c r="H604" i="2"/>
  <c r="H571" i="2"/>
  <c r="H572" i="2"/>
  <c r="H573" i="2"/>
  <c r="H590" i="2"/>
  <c r="H591" i="2"/>
  <c r="H592" i="2"/>
  <c r="H383" i="2"/>
  <c r="H384" i="2"/>
  <c r="H385" i="2"/>
  <c r="H386" i="2"/>
  <c r="H387" i="2"/>
  <c r="H388" i="2"/>
  <c r="H437" i="2"/>
  <c r="H438" i="2"/>
  <c r="H264" i="2"/>
  <c r="H265" i="2"/>
  <c r="H266" i="2"/>
  <c r="H267" i="2"/>
  <c r="H79" i="2"/>
  <c r="H80" i="2"/>
  <c r="H81" i="2"/>
  <c r="H82" i="2"/>
  <c r="H120" i="2"/>
  <c r="H121" i="2"/>
  <c r="H122" i="2"/>
  <c r="H623" i="2"/>
  <c r="H624" i="2"/>
  <c r="H103" i="2"/>
  <c r="H104" i="2"/>
  <c r="H105" i="2"/>
  <c r="H106" i="2"/>
  <c r="H107" i="2"/>
  <c r="H421" i="2"/>
  <c r="H422" i="2"/>
  <c r="H423" i="2"/>
  <c r="H424" i="2"/>
  <c r="H425" i="2"/>
  <c r="H426" i="2"/>
  <c r="H427" i="2"/>
  <c r="H368" i="2"/>
  <c r="H405" i="2"/>
  <c r="H406" i="2"/>
  <c r="H555" i="2"/>
  <c r="H556" i="2"/>
  <c r="H557" i="2"/>
  <c r="H630" i="2"/>
  <c r="H631" i="2"/>
  <c r="H632" i="2"/>
  <c r="H633" i="2"/>
  <c r="H634" i="2"/>
  <c r="H511" i="2"/>
  <c r="H512" i="2"/>
  <c r="H407" i="2"/>
  <c r="H408" i="2"/>
  <c r="H409" i="2"/>
  <c r="H410" i="2"/>
  <c r="H411" i="2"/>
  <c r="H597" i="2"/>
  <c r="H598" i="2"/>
  <c r="H599" i="2"/>
  <c r="H600" i="2"/>
  <c r="H208" i="2"/>
  <c r="H209" i="2"/>
  <c r="H210" i="2"/>
  <c r="H211" i="2"/>
  <c r="H543" i="2"/>
  <c r="H544" i="2"/>
  <c r="H545" i="2"/>
  <c r="H546" i="2"/>
  <c r="H560" i="2"/>
  <c r="H561" i="2"/>
  <c r="H562" i="2"/>
  <c r="H563" i="2"/>
  <c r="H241" i="2"/>
  <c r="H242" i="2"/>
  <c r="H108" i="2"/>
  <c r="H109" i="2"/>
  <c r="H110" i="2"/>
  <c r="H517" i="2"/>
  <c r="H579" i="2"/>
  <c r="H580" i="2"/>
  <c r="H581" i="2"/>
  <c r="H582" i="2"/>
  <c r="H583" i="2"/>
  <c r="H558" i="2"/>
  <c r="H559" i="2"/>
  <c r="H271" i="2"/>
  <c r="H272" i="2"/>
  <c r="H292" i="2"/>
  <c r="H293" i="2"/>
  <c r="H294" i="2"/>
  <c r="H71" i="2"/>
  <c r="H72" i="2"/>
  <c r="H202" i="2"/>
  <c r="H203" i="2"/>
  <c r="H204" i="2"/>
  <c r="H205" i="2"/>
  <c r="H206" i="2"/>
  <c r="H419" i="2"/>
  <c r="H420" i="2"/>
  <c r="H522" i="2"/>
  <c r="H523" i="2"/>
  <c r="H459" i="2"/>
  <c r="H460" i="2"/>
  <c r="H343" i="2"/>
  <c r="H344" i="2"/>
  <c r="H345" i="2"/>
  <c r="H346" i="2"/>
  <c r="H347" i="2"/>
  <c r="H53" i="2"/>
  <c r="H54" i="2"/>
  <c r="H55" i="2"/>
  <c r="H56" i="2"/>
  <c r="H518" i="2"/>
  <c r="H519" i="2"/>
  <c r="H520" i="2"/>
  <c r="H541" i="2"/>
  <c r="H542" i="2"/>
  <c r="H480" i="2"/>
  <c r="H481" i="2"/>
  <c r="H30" i="2"/>
  <c r="H31" i="2"/>
  <c r="H32" i="2"/>
  <c r="H33" i="2"/>
  <c r="H478" i="2"/>
  <c r="H479" i="2"/>
  <c r="H531" i="2"/>
  <c r="H532" i="2"/>
  <c r="H41" i="2"/>
  <c r="H42" i="2"/>
  <c r="H43" i="2"/>
  <c r="H44" i="2"/>
  <c r="H492" i="2"/>
  <c r="H493" i="2"/>
  <c r="H51" i="2"/>
  <c r="H52" i="2"/>
  <c r="H231" i="2"/>
  <c r="H232" i="2"/>
  <c r="H233" i="2"/>
  <c r="H234" i="2"/>
  <c r="H303" i="2"/>
  <c r="H304" i="2"/>
  <c r="H305" i="2"/>
  <c r="H306" i="2"/>
  <c r="H307" i="2"/>
  <c r="H308" i="2"/>
  <c r="H620" i="2"/>
  <c r="H621" i="2"/>
  <c r="H622" i="2"/>
  <c r="H45" i="2"/>
  <c r="H57" i="2"/>
  <c r="H58" i="2"/>
  <c r="H59" i="2"/>
  <c r="H378" i="2"/>
  <c r="H379" i="2"/>
  <c r="H380" i="2"/>
  <c r="H381" i="2"/>
  <c r="H382" i="2"/>
  <c r="H215" i="2"/>
  <c r="H216" i="2"/>
  <c r="H217" i="2"/>
  <c r="H218" i="2"/>
  <c r="H219" i="2"/>
  <c r="H220" i="2"/>
  <c r="H221" i="2"/>
  <c r="H128" i="2"/>
  <c r="H129" i="2"/>
  <c r="H130" i="2"/>
  <c r="H131" i="2"/>
  <c r="H617" i="2"/>
  <c r="H618" i="2"/>
  <c r="H619" i="2"/>
  <c r="H457" i="2"/>
  <c r="H458" i="2"/>
  <c r="H24" i="2"/>
  <c r="H608" i="2"/>
  <c r="H609" i="2"/>
  <c r="H610" i="2"/>
  <c r="H611" i="2"/>
  <c r="H40" i="2"/>
  <c r="H550" i="2"/>
  <c r="H551" i="2"/>
  <c r="H356" i="2"/>
  <c r="H357" i="2"/>
  <c r="H470" i="2"/>
  <c r="H471" i="2"/>
  <c r="H472" i="2"/>
  <c r="H564" i="2"/>
  <c r="H565" i="2"/>
  <c r="H566" i="2"/>
  <c r="H567" i="2"/>
  <c r="H452" i="2"/>
  <c r="H570" i="2"/>
  <c r="H577" i="2"/>
  <c r="H578" i="2"/>
  <c r="H614" i="2"/>
  <c r="H615" i="2"/>
  <c r="H616" i="2"/>
  <c r="H376" i="2"/>
  <c r="H377" i="2"/>
  <c r="H588" i="2"/>
  <c r="H589" i="2"/>
  <c r="H338" i="2"/>
  <c r="H339" i="2"/>
  <c r="H340" i="2"/>
  <c r="H341" i="2"/>
  <c r="H342" i="2"/>
  <c r="H482" i="2"/>
  <c r="H483" i="2"/>
  <c r="H484" i="2"/>
  <c r="H485" i="2"/>
  <c r="H486" i="2"/>
  <c r="H60" i="2"/>
  <c r="H61" i="2"/>
  <c r="H62" i="2"/>
  <c r="H63" i="2"/>
  <c r="H64" i="2"/>
  <c r="H65" i="2"/>
  <c r="H428" i="2"/>
  <c r="H17" i="2"/>
  <c r="H18" i="2"/>
  <c r="H19" i="2"/>
  <c r="H20" i="2"/>
  <c r="H21" i="2"/>
  <c r="H46" i="2"/>
  <c r="H47" i="2"/>
  <c r="H48" i="2"/>
  <c r="H49" i="2"/>
  <c r="H50" i="2"/>
  <c r="H187" i="2"/>
  <c r="H188" i="2"/>
  <c r="H189" i="2"/>
  <c r="H190" i="2"/>
  <c r="H191" i="2"/>
  <c r="H185" i="2"/>
  <c r="H186" i="2"/>
  <c r="H172" i="2"/>
  <c r="H173" i="2"/>
  <c r="H174" i="2"/>
  <c r="H168" i="2"/>
  <c r="H169" i="2"/>
  <c r="H170" i="2"/>
  <c r="H171" i="2"/>
  <c r="H165" i="2"/>
  <c r="H166" i="2"/>
  <c r="H167" i="2"/>
  <c r="H198" i="2"/>
  <c r="H199" i="2"/>
  <c r="H200" i="2"/>
  <c r="H201" i="2"/>
  <c r="H207" i="2"/>
  <c r="H192" i="2"/>
  <c r="H193" i="2"/>
  <c r="H194" i="2"/>
  <c r="H196" i="2"/>
  <c r="H197" i="2"/>
  <c r="H138" i="2"/>
  <c r="H139" i="2"/>
  <c r="H140" i="2"/>
  <c r="H158" i="2"/>
  <c r="H159" i="2"/>
  <c r="H141" i="2"/>
  <c r="H142" i="2"/>
  <c r="H152" i="2"/>
  <c r="H153" i="2"/>
  <c r="H160" i="2"/>
  <c r="H161" i="2"/>
  <c r="H162" i="2"/>
  <c r="H154" i="2"/>
  <c r="H155" i="2"/>
  <c r="H156" i="2"/>
  <c r="H157" i="2"/>
  <c r="H143" i="2"/>
  <c r="H144" i="2"/>
  <c r="H145" i="2"/>
  <c r="H146" i="2"/>
  <c r="H134" i="2"/>
  <c r="H135" i="2"/>
  <c r="H136" i="2"/>
  <c r="H137" i="2"/>
  <c r="H507" i="2"/>
  <c r="H508" i="2"/>
  <c r="H509" i="2"/>
  <c r="H510" i="2"/>
  <c r="H180" i="2"/>
  <c r="H181" i="2"/>
  <c r="H584" i="2"/>
  <c r="H585" i="2"/>
  <c r="H586" i="2"/>
  <c r="H587" i="2"/>
  <c r="H284" i="2"/>
  <c r="H285" i="2"/>
  <c r="H212" i="2"/>
  <c r="H450" i="2"/>
  <c r="H451" i="2"/>
  <c r="H430" i="2"/>
  <c r="H431" i="2"/>
  <c r="H330" i="2"/>
  <c r="H331" i="2"/>
  <c r="H332" i="2"/>
  <c r="H333" i="2"/>
  <c r="H35" i="2"/>
  <c r="H36" i="2"/>
  <c r="H38" i="2"/>
  <c r="H39" i="2"/>
  <c r="H400" i="2"/>
  <c r="H401" i="2"/>
  <c r="H402" i="2"/>
  <c r="H569" i="2"/>
  <c r="H245" i="2"/>
  <c r="H246" i="2"/>
  <c r="H247" i="2"/>
  <c r="H28" i="2"/>
  <c r="H29" i="2"/>
  <c r="H526" i="2"/>
  <c r="H527" i="2"/>
  <c r="H175" i="2"/>
  <c r="H176" i="2"/>
  <c r="H177" i="2"/>
  <c r="H474" i="2"/>
  <c r="H475" i="2"/>
  <c r="H476" i="2"/>
  <c r="H477" i="2"/>
  <c r="H605" i="2"/>
  <c r="H606" i="2"/>
  <c r="H607" i="2"/>
  <c r="H12" i="2"/>
  <c r="H13" i="2"/>
  <c r="H280" i="2"/>
  <c r="H373" i="2"/>
  <c r="H374" i="2"/>
  <c r="H375" i="2"/>
  <c r="H403" i="2"/>
  <c r="H404" i="2"/>
  <c r="H429" i="2"/>
  <c r="H454" i="2"/>
  <c r="H455" i="2"/>
  <c r="H456" i="2"/>
  <c r="H646" i="2"/>
  <c r="H647" i="2"/>
  <c r="H648" i="2"/>
  <c r="H649" i="2"/>
  <c r="H494" i="2"/>
  <c r="H495" i="2"/>
  <c r="H496" i="2"/>
  <c r="H22" i="2"/>
  <c r="H23" i="2"/>
  <c r="H288" i="2"/>
  <c r="H289" i="2"/>
  <c r="H643" i="2"/>
  <c r="H644" i="2"/>
  <c r="H645" i="2"/>
  <c r="H278" i="2"/>
  <c r="H279" i="2"/>
  <c r="H473" i="2"/>
  <c r="H37" i="2"/>
  <c r="H182" i="2"/>
  <c r="H286" i="2"/>
  <c r="H287" i="2"/>
  <c r="H363" i="2"/>
  <c r="H641" i="2"/>
  <c r="H642" i="2"/>
  <c r="H497" i="2"/>
  <c r="H498" i="2"/>
  <c r="H499" i="2"/>
  <c r="H500" i="2"/>
  <c r="H501" i="2"/>
  <c r="H281" i="2"/>
  <c r="H282" i="2"/>
  <c r="H283" i="2"/>
  <c r="H435" i="2"/>
  <c r="H436" i="2"/>
  <c r="H270" i="2"/>
  <c r="H528" i="2"/>
  <c r="H529" i="2"/>
  <c r="H530" i="2"/>
  <c r="H524" i="2"/>
  <c r="H525" i="2"/>
  <c r="H213" i="2"/>
  <c r="H214" i="2"/>
  <c r="H34" i="2"/>
  <c r="H351" i="2"/>
  <c r="H334" i="2"/>
  <c r="H335" i="2"/>
  <c r="H336" i="2"/>
  <c r="H337" i="2"/>
  <c r="H147" i="2"/>
  <c r="H148" i="2"/>
  <c r="H149" i="2"/>
  <c r="H150" i="2"/>
  <c r="H151" i="2"/>
  <c r="H637" i="2"/>
  <c r="H638" i="2"/>
  <c r="H639" i="2"/>
  <c r="H640" i="2"/>
  <c r="H73" i="2"/>
  <c r="H74" i="2"/>
  <c r="H75" i="2"/>
  <c r="H76" i="2"/>
  <c r="H77" i="2"/>
  <c r="H78" i="2"/>
  <c r="H88" i="2"/>
  <c r="H89" i="2"/>
  <c r="H90" i="2"/>
  <c r="G432" i="2"/>
  <c r="G433" i="2"/>
  <c r="G434" i="2"/>
  <c r="G295" i="2"/>
  <c r="G296" i="2"/>
  <c r="G297" i="2"/>
  <c r="G574" i="2"/>
  <c r="G575" i="2"/>
  <c r="G576" i="2"/>
  <c r="G98" i="2"/>
  <c r="G116" i="2"/>
  <c r="G117" i="2"/>
  <c r="G118" i="2"/>
  <c r="G119" i="2"/>
  <c r="G66" i="2"/>
  <c r="G67" i="2"/>
  <c r="G68" i="2"/>
  <c r="G69" i="2"/>
  <c r="G70" i="2"/>
  <c r="G111" i="2"/>
  <c r="G112" i="2"/>
  <c r="G113" i="2"/>
  <c r="G114" i="2"/>
  <c r="G115" i="2"/>
  <c r="G25" i="2"/>
  <c r="G26" i="2"/>
  <c r="G27" i="2"/>
  <c r="G444" i="2"/>
  <c r="G445" i="2"/>
  <c r="G446" i="2"/>
  <c r="G447" i="2"/>
  <c r="G448" i="2"/>
  <c r="G449" i="2"/>
  <c r="G8" i="2"/>
  <c r="G9" i="2"/>
  <c r="G10" i="2"/>
  <c r="G11" i="2"/>
  <c r="G466" i="2"/>
  <c r="G467" i="2"/>
  <c r="G468" i="2"/>
  <c r="G439" i="2"/>
  <c r="G440" i="2"/>
  <c r="G441" i="2"/>
  <c r="G442" i="2"/>
  <c r="G443" i="2"/>
  <c r="G273" i="2"/>
  <c r="G274" i="2"/>
  <c r="G275" i="2"/>
  <c r="G276" i="2"/>
  <c r="G277" i="2"/>
  <c r="G101" i="2"/>
  <c r="G102" i="2"/>
  <c r="G163" i="2"/>
  <c r="G164" i="2"/>
  <c r="G612" i="2"/>
  <c r="G613" i="2"/>
  <c r="G521" i="2"/>
  <c r="G253" i="2"/>
  <c r="G254" i="2"/>
  <c r="G255" i="2"/>
  <c r="G256" i="2"/>
  <c r="G257" i="2"/>
  <c r="G258" i="2"/>
  <c r="G259" i="2"/>
  <c r="G248" i="2"/>
  <c r="G249" i="2"/>
  <c r="G250" i="2"/>
  <c r="G251" i="2"/>
  <c r="G252" i="2"/>
  <c r="G593" i="2"/>
  <c r="G594" i="2"/>
  <c r="G595" i="2"/>
  <c r="G596" i="2"/>
  <c r="G262" i="2"/>
  <c r="G263" i="2"/>
  <c r="G552" i="2"/>
  <c r="G553" i="2"/>
  <c r="G554" i="2"/>
  <c r="G321" i="2"/>
  <c r="G322" i="2"/>
  <c r="G323" i="2"/>
  <c r="G324" i="2"/>
  <c r="G325" i="2"/>
  <c r="G326" i="2"/>
  <c r="G327" i="2"/>
  <c r="G328" i="2"/>
  <c r="G329" i="2"/>
  <c r="G315" i="2"/>
  <c r="G316" i="2"/>
  <c r="G317" i="2"/>
  <c r="G318" i="2"/>
  <c r="G319" i="2"/>
  <c r="G320" i="2"/>
  <c r="G309" i="2"/>
  <c r="G310" i="2"/>
  <c r="G311" i="2"/>
  <c r="G312" i="2"/>
  <c r="G313" i="2"/>
  <c r="G314" i="2"/>
  <c r="G298" i="2"/>
  <c r="G299" i="2"/>
  <c r="G300" i="2"/>
  <c r="G301" i="2"/>
  <c r="G302" i="2"/>
  <c r="G290" i="2"/>
  <c r="G291" i="2"/>
  <c r="G412" i="2"/>
  <c r="G413" i="2"/>
  <c r="G414" i="2"/>
  <c r="G415" i="2"/>
  <c r="G416" i="2"/>
  <c r="G417" i="2"/>
  <c r="G389" i="2"/>
  <c r="G390" i="2"/>
  <c r="G391" i="2"/>
  <c r="G392" i="2"/>
  <c r="G393" i="2"/>
  <c r="G394" i="2"/>
  <c r="G395" i="2"/>
  <c r="G396" i="2"/>
  <c r="G397" i="2"/>
  <c r="G398" i="2"/>
  <c r="G399" i="2"/>
  <c r="G364" i="2"/>
  <c r="G365" i="2"/>
  <c r="G366" i="2"/>
  <c r="G367" i="2"/>
  <c r="G369" i="2"/>
  <c r="G370" i="2"/>
  <c r="G371" i="2"/>
  <c r="G372" i="2"/>
  <c r="G358" i="2"/>
  <c r="G359" i="2"/>
  <c r="G360" i="2"/>
  <c r="G361" i="2"/>
  <c r="G362" i="2"/>
  <c r="G352" i="2"/>
  <c r="G353" i="2"/>
  <c r="G243" i="2"/>
  <c r="G244" i="2"/>
  <c r="G226" i="2"/>
  <c r="G227" i="2"/>
  <c r="G228" i="2"/>
  <c r="G229" i="2"/>
  <c r="G230" i="2"/>
  <c r="G123" i="2"/>
  <c r="G124" i="2"/>
  <c r="G125" i="2"/>
  <c r="G461" i="2"/>
  <c r="G94" i="2"/>
  <c r="G95" i="2"/>
  <c r="G96" i="2"/>
  <c r="G97" i="2"/>
  <c r="G547" i="2"/>
  <c r="G548" i="2"/>
  <c r="G549" i="2"/>
  <c r="G533" i="2"/>
  <c r="G534" i="2"/>
  <c r="G535" i="2"/>
  <c r="G536" i="2"/>
  <c r="G537" i="2"/>
  <c r="G538" i="2"/>
  <c r="G539" i="2"/>
  <c r="G540" i="2"/>
  <c r="G14" i="2"/>
  <c r="G15" i="2"/>
  <c r="G16" i="2"/>
  <c r="G237" i="2"/>
  <c r="G238" i="2"/>
  <c r="G239" i="2"/>
  <c r="G240" i="2"/>
  <c r="G222" i="2"/>
  <c r="G223" i="2"/>
  <c r="G224" i="2"/>
  <c r="G225" i="2"/>
  <c r="G487" i="2"/>
  <c r="G488" i="2"/>
  <c r="G489" i="2"/>
  <c r="G490" i="2"/>
  <c r="G491" i="2"/>
  <c r="G635" i="2"/>
  <c r="G636" i="2"/>
  <c r="G625" i="2"/>
  <c r="G626" i="2"/>
  <c r="G627" i="2"/>
  <c r="G628" i="2"/>
  <c r="G629" i="2"/>
  <c r="G601" i="2"/>
  <c r="G602" i="2"/>
  <c r="G603" i="2"/>
  <c r="G604" i="2"/>
  <c r="G571" i="2"/>
  <c r="G572" i="2"/>
  <c r="G573" i="2"/>
  <c r="G590" i="2"/>
  <c r="G591" i="2"/>
  <c r="G592" i="2"/>
  <c r="G383" i="2"/>
  <c r="G384" i="2"/>
  <c r="G385" i="2"/>
  <c r="G386" i="2"/>
  <c r="G387" i="2"/>
  <c r="G388" i="2"/>
  <c r="G437" i="2"/>
  <c r="G438" i="2"/>
  <c r="G264" i="2"/>
  <c r="G265" i="2"/>
  <c r="G266" i="2"/>
  <c r="G267" i="2"/>
  <c r="G79" i="2"/>
  <c r="G80" i="2"/>
  <c r="G81" i="2"/>
  <c r="G82" i="2"/>
  <c r="G120" i="2"/>
  <c r="G121" i="2"/>
  <c r="G122" i="2"/>
  <c r="G623" i="2"/>
  <c r="G624" i="2"/>
  <c r="G103" i="2"/>
  <c r="G104" i="2"/>
  <c r="G105" i="2"/>
  <c r="G106" i="2"/>
  <c r="G107" i="2"/>
  <c r="G421" i="2"/>
  <c r="G422" i="2"/>
  <c r="G423" i="2"/>
  <c r="G424" i="2"/>
  <c r="G425" i="2"/>
  <c r="G426" i="2"/>
  <c r="G427" i="2"/>
  <c r="G368" i="2"/>
  <c r="G405" i="2"/>
  <c r="G406" i="2"/>
  <c r="G555" i="2"/>
  <c r="G556" i="2"/>
  <c r="G557" i="2"/>
  <c r="G630" i="2"/>
  <c r="G631" i="2"/>
  <c r="G632" i="2"/>
  <c r="G633" i="2"/>
  <c r="G634" i="2"/>
  <c r="G511" i="2"/>
  <c r="G512" i="2"/>
  <c r="G407" i="2"/>
  <c r="G408" i="2"/>
  <c r="G409" i="2"/>
  <c r="G410" i="2"/>
  <c r="G411" i="2"/>
  <c r="G597" i="2"/>
  <c r="G598" i="2"/>
  <c r="G599" i="2"/>
  <c r="G600" i="2"/>
  <c r="G208" i="2"/>
  <c r="G209" i="2"/>
  <c r="G210" i="2"/>
  <c r="G211" i="2"/>
  <c r="G543" i="2"/>
  <c r="G544" i="2"/>
  <c r="G545" i="2"/>
  <c r="G546" i="2"/>
  <c r="G560" i="2"/>
  <c r="G561" i="2"/>
  <c r="G562" i="2"/>
  <c r="G563" i="2"/>
  <c r="G241" i="2"/>
  <c r="G242" i="2"/>
  <c r="G108" i="2"/>
  <c r="G109" i="2"/>
  <c r="G110" i="2"/>
  <c r="G517" i="2"/>
  <c r="G579" i="2"/>
  <c r="G580" i="2"/>
  <c r="G581" i="2"/>
  <c r="G582" i="2"/>
  <c r="G583" i="2"/>
  <c r="G558" i="2"/>
  <c r="G559" i="2"/>
  <c r="G271" i="2"/>
  <c r="G272" i="2"/>
  <c r="G292" i="2"/>
  <c r="G293" i="2"/>
  <c r="G294" i="2"/>
  <c r="G71" i="2"/>
  <c r="G72" i="2"/>
  <c r="G202" i="2"/>
  <c r="G203" i="2"/>
  <c r="G204" i="2"/>
  <c r="G205" i="2"/>
  <c r="G206" i="2"/>
  <c r="G419" i="2"/>
  <c r="G420" i="2"/>
  <c r="G522" i="2"/>
  <c r="G523" i="2"/>
  <c r="G459" i="2"/>
  <c r="G460" i="2"/>
  <c r="G343" i="2"/>
  <c r="G344" i="2"/>
  <c r="G345" i="2"/>
  <c r="G346" i="2"/>
  <c r="G347" i="2"/>
  <c r="G53" i="2"/>
  <c r="G54" i="2"/>
  <c r="G55" i="2"/>
  <c r="G56" i="2"/>
  <c r="G518" i="2"/>
  <c r="G519" i="2"/>
  <c r="G520" i="2"/>
  <c r="G541" i="2"/>
  <c r="G542" i="2"/>
  <c r="G480" i="2"/>
  <c r="G481" i="2"/>
  <c r="G30" i="2"/>
  <c r="G31" i="2"/>
  <c r="G32" i="2"/>
  <c r="G33" i="2"/>
  <c r="G478" i="2"/>
  <c r="G479" i="2"/>
  <c r="G531" i="2"/>
  <c r="G532" i="2"/>
  <c r="G41" i="2"/>
  <c r="G42" i="2"/>
  <c r="G43" i="2"/>
  <c r="G44" i="2"/>
  <c r="G492" i="2"/>
  <c r="G493" i="2"/>
  <c r="G51" i="2"/>
  <c r="G52" i="2"/>
  <c r="G231" i="2"/>
  <c r="G232" i="2"/>
  <c r="G233" i="2"/>
  <c r="G234" i="2"/>
  <c r="G303" i="2"/>
  <c r="G304" i="2"/>
  <c r="G305" i="2"/>
  <c r="G306" i="2"/>
  <c r="G307" i="2"/>
  <c r="G308" i="2"/>
  <c r="G620" i="2"/>
  <c r="G621" i="2"/>
  <c r="G622" i="2"/>
  <c r="G45" i="2"/>
  <c r="G57" i="2"/>
  <c r="G58" i="2"/>
  <c r="G59" i="2"/>
  <c r="G378" i="2"/>
  <c r="G379" i="2"/>
  <c r="G380" i="2"/>
  <c r="G381" i="2"/>
  <c r="G382" i="2"/>
  <c r="G215" i="2"/>
  <c r="G216" i="2"/>
  <c r="G217" i="2"/>
  <c r="G218" i="2"/>
  <c r="G219" i="2"/>
  <c r="G220" i="2"/>
  <c r="G221" i="2"/>
  <c r="G128" i="2"/>
  <c r="G129" i="2"/>
  <c r="G130" i="2"/>
  <c r="G131" i="2"/>
  <c r="G617" i="2"/>
  <c r="G618" i="2"/>
  <c r="G619" i="2"/>
  <c r="G457" i="2"/>
  <c r="G458" i="2"/>
  <c r="G24" i="2"/>
  <c r="G608" i="2"/>
  <c r="G609" i="2"/>
  <c r="G610" i="2"/>
  <c r="G611" i="2"/>
  <c r="G40" i="2"/>
  <c r="G550" i="2"/>
  <c r="G551" i="2"/>
  <c r="G356" i="2"/>
  <c r="G357" i="2"/>
  <c r="G470" i="2"/>
  <c r="G471" i="2"/>
  <c r="G472" i="2"/>
  <c r="G564" i="2"/>
  <c r="G565" i="2"/>
  <c r="G566" i="2"/>
  <c r="G567" i="2"/>
  <c r="G452" i="2"/>
  <c r="G570" i="2"/>
  <c r="G577" i="2"/>
  <c r="G578" i="2"/>
  <c r="G614" i="2"/>
  <c r="G615" i="2"/>
  <c r="G616" i="2"/>
  <c r="G376" i="2"/>
  <c r="G377" i="2"/>
  <c r="G588" i="2"/>
  <c r="G589" i="2"/>
  <c r="G338" i="2"/>
  <c r="G339" i="2"/>
  <c r="G340" i="2"/>
  <c r="G341" i="2"/>
  <c r="G342" i="2"/>
  <c r="G482" i="2"/>
  <c r="G483" i="2"/>
  <c r="G484" i="2"/>
  <c r="G485" i="2"/>
  <c r="G486" i="2"/>
  <c r="G60" i="2"/>
  <c r="G61" i="2"/>
  <c r="G62" i="2"/>
  <c r="G63" i="2"/>
  <c r="G64" i="2"/>
  <c r="G65" i="2"/>
  <c r="G428" i="2"/>
  <c r="G17" i="2"/>
  <c r="G18" i="2"/>
  <c r="G19" i="2"/>
  <c r="G20" i="2"/>
  <c r="G21" i="2"/>
  <c r="G46" i="2"/>
  <c r="G47" i="2"/>
  <c r="G48" i="2"/>
  <c r="G49" i="2"/>
  <c r="G50" i="2"/>
  <c r="G187" i="2"/>
  <c r="G188" i="2"/>
  <c r="G189" i="2"/>
  <c r="G190" i="2"/>
  <c r="G191" i="2"/>
  <c r="G185" i="2"/>
  <c r="G186" i="2"/>
  <c r="G172" i="2"/>
  <c r="G173" i="2"/>
  <c r="G174" i="2"/>
  <c r="G168" i="2"/>
  <c r="G169" i="2"/>
  <c r="G170" i="2"/>
  <c r="G171" i="2"/>
  <c r="G165" i="2"/>
  <c r="G166" i="2"/>
  <c r="G167" i="2"/>
  <c r="G198" i="2"/>
  <c r="G199" i="2"/>
  <c r="G200" i="2"/>
  <c r="G201" i="2"/>
  <c r="G207" i="2"/>
  <c r="G192" i="2"/>
  <c r="G193" i="2"/>
  <c r="G194" i="2"/>
  <c r="G196" i="2"/>
  <c r="G197" i="2"/>
  <c r="G138" i="2"/>
  <c r="G139" i="2"/>
  <c r="G140" i="2"/>
  <c r="G158" i="2"/>
  <c r="G159" i="2"/>
  <c r="G141" i="2"/>
  <c r="G142" i="2"/>
  <c r="G152" i="2"/>
  <c r="G153" i="2"/>
  <c r="G160" i="2"/>
  <c r="G161" i="2"/>
  <c r="G162" i="2"/>
  <c r="G154" i="2"/>
  <c r="G155" i="2"/>
  <c r="G156" i="2"/>
  <c r="G157" i="2"/>
  <c r="G143" i="2"/>
  <c r="G144" i="2"/>
  <c r="G145" i="2"/>
  <c r="G146" i="2"/>
  <c r="G134" i="2"/>
  <c r="G135" i="2"/>
  <c r="G136" i="2"/>
  <c r="G137" i="2"/>
  <c r="G507" i="2"/>
  <c r="G508" i="2"/>
  <c r="G509" i="2"/>
  <c r="G510" i="2"/>
  <c r="G180" i="2"/>
  <c r="G181" i="2"/>
  <c r="G584" i="2"/>
  <c r="G585" i="2"/>
  <c r="G586" i="2"/>
  <c r="G587" i="2"/>
  <c r="G284" i="2"/>
  <c r="G285" i="2"/>
  <c r="G212" i="2"/>
  <c r="G450" i="2"/>
  <c r="G451" i="2"/>
  <c r="G430" i="2"/>
  <c r="G431" i="2"/>
  <c r="G330" i="2"/>
  <c r="G331" i="2"/>
  <c r="G332" i="2"/>
  <c r="G333" i="2"/>
  <c r="G35" i="2"/>
  <c r="G36" i="2"/>
  <c r="G38" i="2"/>
  <c r="G39" i="2"/>
  <c r="G400" i="2"/>
  <c r="G401" i="2"/>
  <c r="G402" i="2"/>
  <c r="G569" i="2"/>
  <c r="G245" i="2"/>
  <c r="G246" i="2"/>
  <c r="G247" i="2"/>
  <c r="G28" i="2"/>
  <c r="G29" i="2"/>
  <c r="G526" i="2"/>
  <c r="G527" i="2"/>
  <c r="G175" i="2"/>
  <c r="G176" i="2"/>
  <c r="G177" i="2"/>
  <c r="G474" i="2"/>
  <c r="G475" i="2"/>
  <c r="G476" i="2"/>
  <c r="G477" i="2"/>
  <c r="G605" i="2"/>
  <c r="G606" i="2"/>
  <c r="G607" i="2"/>
  <c r="G12" i="2"/>
  <c r="G13" i="2"/>
  <c r="G280" i="2"/>
  <c r="G373" i="2"/>
  <c r="G374" i="2"/>
  <c r="G375" i="2"/>
  <c r="G403" i="2"/>
  <c r="G404" i="2"/>
  <c r="G429" i="2"/>
  <c r="G454" i="2"/>
  <c r="G455" i="2"/>
  <c r="G456" i="2"/>
  <c r="G646" i="2"/>
  <c r="G647" i="2"/>
  <c r="G648" i="2"/>
  <c r="G649" i="2"/>
  <c r="G494" i="2"/>
  <c r="G495" i="2"/>
  <c r="G496" i="2"/>
  <c r="G22" i="2"/>
  <c r="G23" i="2"/>
  <c r="G288" i="2"/>
  <c r="G289" i="2"/>
  <c r="G643" i="2"/>
  <c r="G644" i="2"/>
  <c r="G645" i="2"/>
  <c r="G278" i="2"/>
  <c r="G279" i="2"/>
  <c r="G473" i="2"/>
  <c r="G37" i="2"/>
  <c r="G182" i="2"/>
  <c r="G286" i="2"/>
  <c r="G287" i="2"/>
  <c r="G363" i="2"/>
  <c r="G641" i="2"/>
  <c r="G642" i="2"/>
  <c r="G497" i="2"/>
  <c r="G498" i="2"/>
  <c r="G499" i="2"/>
  <c r="G500" i="2"/>
  <c r="G501" i="2"/>
  <c r="G281" i="2"/>
  <c r="G282" i="2"/>
  <c r="G283" i="2"/>
  <c r="G435" i="2"/>
  <c r="G436" i="2"/>
  <c r="G270" i="2"/>
  <c r="G528" i="2"/>
  <c r="G529" i="2"/>
  <c r="G530" i="2"/>
  <c r="G524" i="2"/>
  <c r="G525" i="2"/>
  <c r="G213" i="2"/>
  <c r="G214" i="2"/>
  <c r="G34" i="2"/>
  <c r="G351" i="2"/>
  <c r="G334" i="2"/>
  <c r="G335" i="2"/>
  <c r="G336" i="2"/>
  <c r="G337" i="2"/>
  <c r="G147" i="2"/>
  <c r="G148" i="2"/>
  <c r="G149" i="2"/>
  <c r="G150" i="2"/>
  <c r="G151" i="2"/>
  <c r="G637" i="2"/>
  <c r="G638" i="2"/>
  <c r="G639" i="2"/>
  <c r="G640" i="2"/>
  <c r="G73" i="2"/>
  <c r="G74" i="2"/>
  <c r="G75" i="2"/>
  <c r="G76" i="2"/>
  <c r="G77" i="2"/>
  <c r="G78" i="2"/>
  <c r="G88" i="2"/>
  <c r="G89" i="2"/>
  <c r="G90" i="2"/>
  <c r="F432" i="2" l="1"/>
  <c r="F433" i="2"/>
  <c r="F434" i="2"/>
  <c r="F295" i="2"/>
  <c r="F296" i="2"/>
  <c r="F297" i="2"/>
  <c r="F574" i="2"/>
  <c r="F575" i="2"/>
  <c r="F576" i="2"/>
  <c r="F98" i="2"/>
  <c r="F116" i="2"/>
  <c r="F117" i="2"/>
  <c r="F118" i="2"/>
  <c r="F119" i="2"/>
  <c r="F66" i="2"/>
  <c r="F67" i="2"/>
  <c r="F68" i="2"/>
  <c r="F69" i="2"/>
  <c r="F70" i="2"/>
  <c r="F111" i="2"/>
  <c r="F112" i="2"/>
  <c r="F113" i="2"/>
  <c r="F114" i="2"/>
  <c r="F115" i="2"/>
  <c r="F25" i="2"/>
  <c r="F26" i="2"/>
  <c r="F27" i="2"/>
  <c r="F444" i="2"/>
  <c r="F445" i="2"/>
  <c r="F446" i="2"/>
  <c r="F447" i="2"/>
  <c r="F448" i="2"/>
  <c r="F449" i="2"/>
  <c r="F8" i="2"/>
  <c r="F9" i="2"/>
  <c r="F10" i="2"/>
  <c r="F11" i="2"/>
  <c r="F466" i="2"/>
  <c r="F467" i="2"/>
  <c r="F468" i="2"/>
  <c r="F439" i="2"/>
  <c r="F440" i="2"/>
  <c r="F441" i="2"/>
  <c r="F442" i="2"/>
  <c r="F443" i="2"/>
  <c r="F273" i="2"/>
  <c r="F274" i="2"/>
  <c r="F275" i="2"/>
  <c r="F276" i="2"/>
  <c r="F277" i="2"/>
  <c r="F101" i="2"/>
  <c r="F102" i="2"/>
  <c r="F163" i="2"/>
  <c r="F164" i="2"/>
  <c r="F612" i="2"/>
  <c r="F613" i="2"/>
  <c r="F521" i="2"/>
  <c r="F253" i="2"/>
  <c r="F254" i="2"/>
  <c r="F255" i="2"/>
  <c r="F256" i="2"/>
  <c r="F257" i="2"/>
  <c r="F258" i="2"/>
  <c r="F259" i="2"/>
  <c r="F248" i="2"/>
  <c r="F249" i="2"/>
  <c r="F250" i="2"/>
  <c r="F251" i="2"/>
  <c r="F252" i="2"/>
  <c r="F593" i="2"/>
  <c r="F594" i="2"/>
  <c r="F595" i="2"/>
  <c r="F596" i="2"/>
  <c r="F262" i="2"/>
  <c r="F263" i="2"/>
  <c r="F552" i="2"/>
  <c r="F553" i="2"/>
  <c r="F554" i="2"/>
  <c r="F321" i="2"/>
  <c r="F322" i="2"/>
  <c r="F323" i="2"/>
  <c r="F324" i="2"/>
  <c r="F325" i="2"/>
  <c r="F326" i="2"/>
  <c r="F327" i="2"/>
  <c r="F328" i="2"/>
  <c r="F329" i="2"/>
  <c r="F315" i="2"/>
  <c r="F316" i="2"/>
  <c r="F317" i="2"/>
  <c r="F318" i="2"/>
  <c r="F319" i="2"/>
  <c r="F320" i="2"/>
  <c r="F309" i="2"/>
  <c r="F310" i="2"/>
  <c r="F311" i="2"/>
  <c r="F312" i="2"/>
  <c r="F313" i="2"/>
  <c r="F314" i="2"/>
  <c r="F298" i="2"/>
  <c r="F299" i="2"/>
  <c r="F300" i="2"/>
  <c r="F301" i="2"/>
  <c r="F302" i="2"/>
  <c r="F290" i="2"/>
  <c r="F291" i="2"/>
  <c r="F412" i="2"/>
  <c r="F413" i="2"/>
  <c r="F414" i="2"/>
  <c r="F415" i="2"/>
  <c r="F416" i="2"/>
  <c r="F417" i="2"/>
  <c r="F389" i="2"/>
  <c r="F390" i="2"/>
  <c r="F391" i="2"/>
  <c r="F392" i="2"/>
  <c r="F393" i="2"/>
  <c r="F394" i="2"/>
  <c r="F395" i="2"/>
  <c r="F396" i="2"/>
  <c r="F397" i="2"/>
  <c r="F398" i="2"/>
  <c r="F399" i="2"/>
  <c r="F364" i="2"/>
  <c r="F365" i="2"/>
  <c r="F366" i="2"/>
  <c r="F367" i="2"/>
  <c r="F369" i="2"/>
  <c r="F370" i="2"/>
  <c r="F371" i="2"/>
  <c r="F372" i="2"/>
  <c r="F358" i="2"/>
  <c r="F359" i="2"/>
  <c r="F360" i="2"/>
  <c r="F361" i="2"/>
  <c r="F362" i="2"/>
  <c r="F352" i="2"/>
  <c r="F353" i="2"/>
  <c r="F243" i="2"/>
  <c r="F244" i="2"/>
  <c r="F226" i="2"/>
  <c r="F227" i="2"/>
  <c r="F228" i="2"/>
  <c r="F229" i="2"/>
  <c r="F230" i="2"/>
  <c r="F123" i="2"/>
  <c r="F124" i="2"/>
  <c r="F125" i="2"/>
  <c r="F461" i="2"/>
  <c r="F94" i="2"/>
  <c r="F95" i="2"/>
  <c r="F96" i="2"/>
  <c r="F97" i="2"/>
  <c r="F547" i="2"/>
  <c r="F548" i="2"/>
  <c r="F549" i="2"/>
  <c r="F533" i="2"/>
  <c r="F534" i="2"/>
  <c r="F535" i="2"/>
  <c r="F536" i="2"/>
  <c r="F537" i="2"/>
  <c r="F538" i="2"/>
  <c r="F539" i="2"/>
  <c r="F540" i="2"/>
  <c r="F14" i="2"/>
  <c r="F15" i="2"/>
  <c r="F16" i="2"/>
  <c r="F237" i="2"/>
  <c r="F238" i="2"/>
  <c r="F239" i="2"/>
  <c r="F240" i="2"/>
  <c r="F222" i="2"/>
  <c r="F223" i="2"/>
  <c r="F224" i="2"/>
  <c r="F225" i="2"/>
  <c r="F487" i="2"/>
  <c r="F488" i="2"/>
  <c r="F489" i="2"/>
  <c r="F490" i="2"/>
  <c r="F491" i="2"/>
  <c r="F635" i="2"/>
  <c r="F636" i="2"/>
  <c r="F625" i="2"/>
  <c r="F626" i="2"/>
  <c r="F627" i="2"/>
  <c r="F628" i="2"/>
  <c r="F629" i="2"/>
  <c r="F601" i="2"/>
  <c r="F602" i="2"/>
  <c r="F603" i="2"/>
  <c r="F604" i="2"/>
  <c r="F571" i="2"/>
  <c r="F572" i="2"/>
  <c r="F573" i="2"/>
  <c r="F590" i="2"/>
  <c r="F591" i="2"/>
  <c r="F592" i="2"/>
  <c r="F383" i="2"/>
  <c r="F384" i="2"/>
  <c r="F385" i="2"/>
  <c r="F386" i="2"/>
  <c r="F387" i="2"/>
  <c r="F388" i="2"/>
  <c r="F437" i="2"/>
  <c r="F438" i="2"/>
  <c r="F264" i="2"/>
  <c r="F265" i="2"/>
  <c r="F266" i="2"/>
  <c r="F267" i="2"/>
  <c r="F79" i="2"/>
  <c r="F80" i="2"/>
  <c r="F81" i="2"/>
  <c r="F82" i="2"/>
  <c r="F120" i="2"/>
  <c r="F121" i="2"/>
  <c r="F122" i="2"/>
  <c r="F623" i="2"/>
  <c r="F624" i="2"/>
  <c r="F103" i="2"/>
  <c r="F104" i="2"/>
  <c r="F105" i="2"/>
  <c r="F106" i="2"/>
  <c r="F107" i="2"/>
  <c r="F421" i="2"/>
  <c r="F422" i="2"/>
  <c r="F423" i="2"/>
  <c r="F424" i="2"/>
  <c r="F425" i="2"/>
  <c r="F426" i="2"/>
  <c r="F427" i="2"/>
  <c r="F368" i="2"/>
  <c r="F405" i="2"/>
  <c r="F406" i="2"/>
  <c r="F555" i="2"/>
  <c r="F556" i="2"/>
  <c r="F557" i="2"/>
  <c r="F630" i="2"/>
  <c r="F631" i="2"/>
  <c r="F632" i="2"/>
  <c r="F633" i="2"/>
  <c r="F634" i="2"/>
  <c r="F511" i="2"/>
  <c r="F512" i="2"/>
  <c r="F407" i="2"/>
  <c r="F408" i="2"/>
  <c r="F409" i="2"/>
  <c r="F410" i="2"/>
  <c r="F411" i="2"/>
  <c r="F597" i="2"/>
  <c r="F598" i="2"/>
  <c r="F599" i="2"/>
  <c r="F600" i="2"/>
  <c r="F208" i="2"/>
  <c r="F209" i="2"/>
  <c r="F210" i="2"/>
  <c r="F211" i="2"/>
  <c r="F543" i="2"/>
  <c r="F544" i="2"/>
  <c r="F545" i="2"/>
  <c r="F546" i="2"/>
  <c r="F560" i="2"/>
  <c r="F561" i="2"/>
  <c r="F562" i="2"/>
  <c r="F563" i="2"/>
  <c r="F241" i="2"/>
  <c r="F242" i="2"/>
  <c r="F108" i="2"/>
  <c r="F109" i="2"/>
  <c r="F110" i="2"/>
  <c r="F517" i="2"/>
  <c r="F579" i="2"/>
  <c r="F580" i="2"/>
  <c r="F581" i="2"/>
  <c r="F582" i="2"/>
  <c r="F583" i="2"/>
  <c r="F558" i="2"/>
  <c r="F559" i="2"/>
  <c r="F271" i="2"/>
  <c r="F272" i="2"/>
  <c r="F292" i="2"/>
  <c r="F293" i="2"/>
  <c r="F294" i="2"/>
  <c r="F71" i="2"/>
  <c r="F72" i="2"/>
  <c r="F202" i="2"/>
  <c r="F203" i="2"/>
  <c r="F204" i="2"/>
  <c r="F205" i="2"/>
  <c r="F206" i="2"/>
  <c r="F419" i="2"/>
  <c r="F420" i="2"/>
  <c r="F522" i="2"/>
  <c r="F523" i="2"/>
  <c r="F459" i="2"/>
  <c r="F460" i="2"/>
  <c r="F343" i="2"/>
  <c r="F344" i="2"/>
  <c r="F345" i="2"/>
  <c r="F346" i="2"/>
  <c r="F347" i="2"/>
  <c r="F53" i="2"/>
  <c r="F54" i="2"/>
  <c r="F55" i="2"/>
  <c r="F56" i="2"/>
  <c r="F518" i="2"/>
  <c r="F519" i="2"/>
  <c r="F520" i="2"/>
  <c r="F541" i="2"/>
  <c r="F542" i="2"/>
  <c r="F480" i="2"/>
  <c r="F481" i="2"/>
  <c r="F30" i="2"/>
  <c r="F31" i="2"/>
  <c r="F32" i="2"/>
  <c r="F33" i="2"/>
  <c r="F478" i="2"/>
  <c r="F479" i="2"/>
  <c r="F531" i="2"/>
  <c r="F532" i="2"/>
  <c r="F41" i="2"/>
  <c r="F42" i="2"/>
  <c r="F43" i="2"/>
  <c r="F44" i="2"/>
  <c r="F492" i="2"/>
  <c r="F493" i="2"/>
  <c r="F51" i="2"/>
  <c r="F52" i="2"/>
  <c r="F231" i="2"/>
  <c r="F232" i="2"/>
  <c r="F233" i="2"/>
  <c r="F234" i="2"/>
  <c r="F303" i="2"/>
  <c r="F304" i="2"/>
  <c r="F305" i="2"/>
  <c r="F306" i="2"/>
  <c r="F307" i="2"/>
  <c r="F308" i="2"/>
  <c r="F620" i="2"/>
  <c r="F621" i="2"/>
  <c r="F622" i="2"/>
  <c r="F45" i="2"/>
  <c r="F57" i="2"/>
  <c r="F58" i="2"/>
  <c r="F59" i="2"/>
  <c r="F378" i="2"/>
  <c r="F379" i="2"/>
  <c r="F380" i="2"/>
  <c r="F381" i="2"/>
  <c r="F382" i="2"/>
  <c r="F215" i="2"/>
  <c r="F216" i="2"/>
  <c r="F217" i="2"/>
  <c r="F218" i="2"/>
  <c r="F219" i="2"/>
  <c r="F220" i="2"/>
  <c r="F221" i="2"/>
  <c r="F128" i="2"/>
  <c r="F129" i="2"/>
  <c r="F130" i="2"/>
  <c r="F131" i="2"/>
  <c r="F617" i="2"/>
  <c r="F618" i="2"/>
  <c r="F619" i="2"/>
  <c r="F457" i="2"/>
  <c r="F458" i="2"/>
  <c r="F24" i="2"/>
  <c r="F608" i="2"/>
  <c r="F609" i="2"/>
  <c r="F610" i="2"/>
  <c r="F611" i="2"/>
  <c r="F40" i="2"/>
  <c r="F550" i="2"/>
  <c r="F551" i="2"/>
  <c r="F356" i="2"/>
  <c r="F357" i="2"/>
  <c r="F470" i="2"/>
  <c r="F471" i="2"/>
  <c r="F472" i="2"/>
  <c r="F564" i="2"/>
  <c r="F565" i="2"/>
  <c r="F566" i="2"/>
  <c r="F567" i="2"/>
  <c r="F452" i="2"/>
  <c r="F570" i="2"/>
  <c r="F577" i="2"/>
  <c r="F578" i="2"/>
  <c r="F614" i="2"/>
  <c r="F615" i="2"/>
  <c r="F616" i="2"/>
  <c r="F376" i="2"/>
  <c r="F377" i="2"/>
  <c r="F588" i="2"/>
  <c r="F589" i="2"/>
  <c r="F338" i="2"/>
  <c r="F339" i="2"/>
  <c r="F340" i="2"/>
  <c r="F341" i="2"/>
  <c r="F342" i="2"/>
  <c r="F482" i="2"/>
  <c r="F483" i="2"/>
  <c r="F484" i="2"/>
  <c r="F485" i="2"/>
  <c r="F486" i="2"/>
  <c r="F60" i="2"/>
  <c r="F61" i="2"/>
  <c r="F62" i="2"/>
  <c r="F63" i="2"/>
  <c r="F64" i="2"/>
  <c r="F65" i="2"/>
  <c r="F428" i="2"/>
  <c r="F17" i="2"/>
  <c r="F18" i="2"/>
  <c r="F19" i="2"/>
  <c r="F20" i="2"/>
  <c r="F21" i="2"/>
  <c r="F46" i="2"/>
  <c r="F47" i="2"/>
  <c r="F48" i="2"/>
  <c r="F49" i="2"/>
  <c r="F50" i="2"/>
  <c r="F187" i="2"/>
  <c r="F188" i="2"/>
  <c r="F189" i="2"/>
  <c r="F190" i="2"/>
  <c r="F191" i="2"/>
  <c r="F185" i="2"/>
  <c r="F186" i="2"/>
  <c r="F172" i="2"/>
  <c r="F173" i="2"/>
  <c r="F174" i="2"/>
  <c r="F168" i="2"/>
  <c r="F169" i="2"/>
  <c r="F170" i="2"/>
  <c r="F171" i="2"/>
  <c r="F165" i="2"/>
  <c r="F166" i="2"/>
  <c r="F167" i="2"/>
  <c r="F198" i="2"/>
  <c r="F199" i="2"/>
  <c r="F200" i="2"/>
  <c r="F201" i="2"/>
  <c r="F207" i="2"/>
  <c r="F192" i="2"/>
  <c r="F193" i="2"/>
  <c r="F194" i="2"/>
  <c r="F196" i="2"/>
  <c r="F197" i="2"/>
  <c r="F138" i="2"/>
  <c r="F139" i="2"/>
  <c r="F140" i="2"/>
  <c r="F158" i="2"/>
  <c r="F159" i="2"/>
  <c r="F141" i="2"/>
  <c r="F142" i="2"/>
  <c r="F152" i="2"/>
  <c r="F153" i="2"/>
  <c r="F160" i="2"/>
  <c r="F161" i="2"/>
  <c r="F162" i="2"/>
  <c r="F154" i="2"/>
  <c r="F155" i="2"/>
  <c r="F156" i="2"/>
  <c r="F157" i="2"/>
  <c r="F143" i="2"/>
  <c r="F144" i="2"/>
  <c r="F145" i="2"/>
  <c r="F146" i="2"/>
  <c r="F134" i="2"/>
  <c r="F135" i="2"/>
  <c r="F136" i="2"/>
  <c r="F137" i="2"/>
  <c r="F507" i="2"/>
  <c r="F508" i="2"/>
  <c r="F509" i="2"/>
  <c r="F510" i="2"/>
  <c r="F180" i="2"/>
  <c r="F181" i="2"/>
  <c r="F584" i="2"/>
  <c r="F585" i="2"/>
  <c r="F586" i="2"/>
  <c r="F587" i="2"/>
  <c r="F284" i="2"/>
  <c r="F285" i="2"/>
  <c r="F212" i="2"/>
  <c r="F450" i="2"/>
  <c r="F451" i="2"/>
  <c r="F430" i="2"/>
  <c r="F431" i="2"/>
  <c r="F330" i="2"/>
  <c r="F331" i="2"/>
  <c r="F332" i="2"/>
  <c r="F333" i="2"/>
  <c r="F35" i="2"/>
  <c r="F36" i="2"/>
  <c r="F38" i="2"/>
  <c r="F39" i="2"/>
  <c r="F400" i="2"/>
  <c r="F401" i="2"/>
  <c r="F402" i="2"/>
  <c r="F569" i="2"/>
  <c r="F245" i="2"/>
  <c r="F246" i="2"/>
  <c r="F247" i="2"/>
  <c r="F28" i="2"/>
  <c r="F29" i="2"/>
  <c r="F526" i="2"/>
  <c r="F527" i="2"/>
  <c r="F175" i="2"/>
  <c r="F176" i="2"/>
  <c r="F177" i="2"/>
  <c r="F474" i="2"/>
  <c r="F475" i="2"/>
  <c r="F476" i="2"/>
  <c r="F477" i="2"/>
  <c r="F605" i="2"/>
  <c r="F606" i="2"/>
  <c r="F607" i="2"/>
  <c r="F12" i="2"/>
  <c r="F13" i="2"/>
  <c r="F280" i="2"/>
  <c r="F373" i="2"/>
  <c r="F374" i="2"/>
  <c r="F375" i="2"/>
  <c r="F403" i="2"/>
  <c r="F404" i="2"/>
  <c r="F429" i="2"/>
  <c r="F454" i="2"/>
  <c r="F455" i="2"/>
  <c r="F456" i="2"/>
  <c r="F646" i="2"/>
  <c r="F647" i="2"/>
  <c r="F648" i="2"/>
  <c r="F649" i="2"/>
  <c r="F494" i="2"/>
  <c r="F495" i="2"/>
  <c r="F496" i="2"/>
  <c r="F22" i="2"/>
  <c r="F23" i="2"/>
  <c r="F288" i="2"/>
  <c r="F289" i="2"/>
  <c r="F643" i="2"/>
  <c r="F644" i="2"/>
  <c r="F645" i="2"/>
  <c r="F278" i="2"/>
  <c r="F279" i="2"/>
  <c r="F473" i="2"/>
  <c r="F37" i="2"/>
  <c r="F182" i="2"/>
  <c r="F286" i="2"/>
  <c r="F287" i="2"/>
  <c r="F363" i="2"/>
  <c r="F641" i="2"/>
  <c r="F642" i="2"/>
  <c r="F497" i="2"/>
  <c r="F498" i="2"/>
  <c r="F499" i="2"/>
  <c r="F500" i="2"/>
  <c r="F501" i="2"/>
  <c r="F281" i="2"/>
  <c r="F282" i="2"/>
  <c r="F283" i="2"/>
  <c r="F435" i="2"/>
  <c r="F436" i="2"/>
  <c r="F270" i="2"/>
  <c r="F528" i="2"/>
  <c r="F529" i="2"/>
  <c r="F530" i="2"/>
  <c r="F524" i="2"/>
  <c r="F525" i="2"/>
  <c r="F213" i="2"/>
  <c r="F214" i="2"/>
  <c r="F34" i="2"/>
  <c r="F351" i="2"/>
  <c r="F334" i="2"/>
  <c r="F335" i="2"/>
  <c r="F336" i="2"/>
  <c r="F337" i="2"/>
  <c r="F147" i="2"/>
  <c r="F148" i="2"/>
  <c r="F149" i="2"/>
  <c r="F150" i="2"/>
  <c r="F151" i="2"/>
  <c r="F637" i="2"/>
  <c r="F638" i="2"/>
  <c r="F639" i="2"/>
  <c r="F640" i="2"/>
  <c r="F73" i="2"/>
  <c r="F74" i="2"/>
  <c r="F75" i="2"/>
  <c r="F76" i="2"/>
  <c r="F77" i="2"/>
  <c r="F78" i="2"/>
  <c r="F88" i="2"/>
  <c r="F89" i="2"/>
  <c r="F90" i="2"/>
  <c r="L8" i="21" l="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8" i="21"/>
  <c r="L77" i="21"/>
  <c r="L69" i="21"/>
  <c r="L70" i="21"/>
  <c r="L79" i="21"/>
  <c r="L72" i="21"/>
  <c r="L73" i="21"/>
  <c r="L74" i="21"/>
  <c r="L75" i="21"/>
  <c r="L76" i="21"/>
  <c r="L67" i="21"/>
  <c r="L78" i="21"/>
  <c r="L71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I16" i="56" l="1"/>
  <c r="L432" i="2"/>
  <c r="L433" i="2"/>
  <c r="L434" i="2"/>
  <c r="L295" i="2"/>
  <c r="L296" i="2"/>
  <c r="L297" i="2"/>
  <c r="L574" i="2"/>
  <c r="L575" i="2"/>
  <c r="L576" i="2"/>
  <c r="L98" i="2"/>
  <c r="L116" i="2"/>
  <c r="L117" i="2"/>
  <c r="L118" i="2"/>
  <c r="L119" i="2"/>
  <c r="L66" i="2"/>
  <c r="L67" i="2"/>
  <c r="L68" i="2"/>
  <c r="L69" i="2"/>
  <c r="L70" i="2"/>
  <c r="L111" i="2"/>
  <c r="L112" i="2"/>
  <c r="L113" i="2"/>
  <c r="L114" i="2"/>
  <c r="L115" i="2"/>
  <c r="L25" i="2"/>
  <c r="L26" i="2"/>
  <c r="L27" i="2"/>
  <c r="L444" i="2"/>
  <c r="L445" i="2"/>
  <c r="L446" i="2"/>
  <c r="L447" i="2"/>
  <c r="L448" i="2"/>
  <c r="L449" i="2"/>
  <c r="L8" i="2"/>
  <c r="L9" i="2"/>
  <c r="L10" i="2"/>
  <c r="L11" i="2"/>
  <c r="L466" i="2"/>
  <c r="L467" i="2"/>
  <c r="L468" i="2"/>
  <c r="L439" i="2"/>
  <c r="L440" i="2"/>
  <c r="L441" i="2"/>
  <c r="L442" i="2"/>
  <c r="L443" i="2"/>
  <c r="L273" i="2"/>
  <c r="L274" i="2"/>
  <c r="L275" i="2"/>
  <c r="L276" i="2"/>
  <c r="L277" i="2"/>
  <c r="L101" i="2"/>
  <c r="L102" i="2"/>
  <c r="L163" i="2"/>
  <c r="L164" i="2"/>
  <c r="L612" i="2"/>
  <c r="L613" i="2"/>
  <c r="L521" i="2"/>
  <c r="L253" i="2"/>
  <c r="L254" i="2"/>
  <c r="L255" i="2"/>
  <c r="L256" i="2"/>
  <c r="L257" i="2"/>
  <c r="L258" i="2"/>
  <c r="L259" i="2"/>
  <c r="L248" i="2"/>
  <c r="L249" i="2"/>
  <c r="L250" i="2"/>
  <c r="L251" i="2"/>
  <c r="L252" i="2"/>
  <c r="L593" i="2"/>
  <c r="L594" i="2"/>
  <c r="L595" i="2"/>
  <c r="L596" i="2"/>
  <c r="L262" i="2"/>
  <c r="L263" i="2"/>
  <c r="L552" i="2"/>
  <c r="L553" i="2"/>
  <c r="L554" i="2"/>
  <c r="L321" i="2"/>
  <c r="L322" i="2"/>
  <c r="L323" i="2"/>
  <c r="L324" i="2"/>
  <c r="L325" i="2"/>
  <c r="L326" i="2"/>
  <c r="L327" i="2"/>
  <c r="L328" i="2"/>
  <c r="L329" i="2"/>
  <c r="L315" i="2"/>
  <c r="L316" i="2"/>
  <c r="L317" i="2"/>
  <c r="L318" i="2"/>
  <c r="L319" i="2"/>
  <c r="L320" i="2"/>
  <c r="L309" i="2"/>
  <c r="L310" i="2"/>
  <c r="L311" i="2"/>
  <c r="L312" i="2"/>
  <c r="L313" i="2"/>
  <c r="L314" i="2"/>
  <c r="L298" i="2"/>
  <c r="L299" i="2"/>
  <c r="L300" i="2"/>
  <c r="L301" i="2"/>
  <c r="L302" i="2"/>
  <c r="L290" i="2"/>
  <c r="L291" i="2"/>
  <c r="L412" i="2"/>
  <c r="L413" i="2"/>
  <c r="L414" i="2"/>
  <c r="L415" i="2"/>
  <c r="L416" i="2"/>
  <c r="L417" i="2"/>
  <c r="L389" i="2"/>
  <c r="L390" i="2"/>
  <c r="L391" i="2"/>
  <c r="L392" i="2"/>
  <c r="L393" i="2"/>
  <c r="L394" i="2"/>
  <c r="L395" i="2"/>
  <c r="L396" i="2"/>
  <c r="L397" i="2"/>
  <c r="L398" i="2"/>
  <c r="L399" i="2"/>
  <c r="L364" i="2"/>
  <c r="L365" i="2"/>
  <c r="L366" i="2"/>
  <c r="L367" i="2"/>
  <c r="L369" i="2"/>
  <c r="L370" i="2"/>
  <c r="L371" i="2"/>
  <c r="L372" i="2"/>
  <c r="L358" i="2"/>
  <c r="L359" i="2"/>
  <c r="L360" i="2"/>
  <c r="L361" i="2"/>
  <c r="L362" i="2"/>
  <c r="L352" i="2"/>
  <c r="L353" i="2"/>
  <c r="L243" i="2"/>
  <c r="L244" i="2"/>
  <c r="L226" i="2"/>
  <c r="L227" i="2"/>
  <c r="L228" i="2"/>
  <c r="L229" i="2"/>
  <c r="L230" i="2"/>
  <c r="L123" i="2"/>
  <c r="L124" i="2"/>
  <c r="L125" i="2"/>
  <c r="L461" i="2"/>
  <c r="L94" i="2"/>
  <c r="L95" i="2"/>
  <c r="L96" i="2"/>
  <c r="L97" i="2"/>
  <c r="L547" i="2"/>
  <c r="L548" i="2"/>
  <c r="L549" i="2"/>
  <c r="L533" i="2"/>
  <c r="L534" i="2"/>
  <c r="L535" i="2"/>
  <c r="L536" i="2"/>
  <c r="L537" i="2"/>
  <c r="L538" i="2"/>
  <c r="L539" i="2"/>
  <c r="L540" i="2"/>
  <c r="L14" i="2"/>
  <c r="L15" i="2"/>
  <c r="L16" i="2"/>
  <c r="L237" i="2"/>
  <c r="L238" i="2"/>
  <c r="L239" i="2"/>
  <c r="L240" i="2"/>
  <c r="L222" i="2"/>
  <c r="L223" i="2"/>
  <c r="L224" i="2"/>
  <c r="L225" i="2"/>
  <c r="L487" i="2"/>
  <c r="L488" i="2"/>
  <c r="L489" i="2"/>
  <c r="L490" i="2"/>
  <c r="L491" i="2"/>
  <c r="L635" i="2"/>
  <c r="L636" i="2"/>
  <c r="L625" i="2"/>
  <c r="L626" i="2"/>
  <c r="L627" i="2"/>
  <c r="L628" i="2"/>
  <c r="L629" i="2"/>
  <c r="L601" i="2"/>
  <c r="L602" i="2"/>
  <c r="L603" i="2"/>
  <c r="L604" i="2"/>
  <c r="L571" i="2"/>
  <c r="L572" i="2"/>
  <c r="L573" i="2"/>
  <c r="L590" i="2"/>
  <c r="L591" i="2"/>
  <c r="L592" i="2"/>
  <c r="L383" i="2"/>
  <c r="L384" i="2"/>
  <c r="L385" i="2"/>
  <c r="L386" i="2"/>
  <c r="L387" i="2"/>
  <c r="L388" i="2"/>
  <c r="L437" i="2"/>
  <c r="L438" i="2"/>
  <c r="L264" i="2"/>
  <c r="L265" i="2"/>
  <c r="L266" i="2"/>
  <c r="L267" i="2"/>
  <c r="L79" i="2"/>
  <c r="L80" i="2"/>
  <c r="L81" i="2"/>
  <c r="L82" i="2"/>
  <c r="L120" i="2"/>
  <c r="L121" i="2"/>
  <c r="L122" i="2"/>
  <c r="L623" i="2"/>
  <c r="L624" i="2"/>
  <c r="L103" i="2"/>
  <c r="L104" i="2"/>
  <c r="L105" i="2"/>
  <c r="L106" i="2"/>
  <c r="L107" i="2"/>
  <c r="L421" i="2"/>
  <c r="L422" i="2"/>
  <c r="L423" i="2"/>
  <c r="L424" i="2"/>
  <c r="L425" i="2"/>
  <c r="L426" i="2"/>
  <c r="L427" i="2"/>
  <c r="L368" i="2"/>
  <c r="L405" i="2"/>
  <c r="L406" i="2"/>
  <c r="L555" i="2"/>
  <c r="L556" i="2"/>
  <c r="L557" i="2"/>
  <c r="L630" i="2"/>
  <c r="L631" i="2"/>
  <c r="L632" i="2"/>
  <c r="L633" i="2"/>
  <c r="L634" i="2"/>
  <c r="L511" i="2"/>
  <c r="L512" i="2"/>
  <c r="L407" i="2"/>
  <c r="L408" i="2"/>
  <c r="L409" i="2"/>
  <c r="L410" i="2"/>
  <c r="L411" i="2"/>
  <c r="L597" i="2"/>
  <c r="L598" i="2"/>
  <c r="L599" i="2"/>
  <c r="L600" i="2"/>
  <c r="L208" i="2"/>
  <c r="L209" i="2"/>
  <c r="L210" i="2"/>
  <c r="L211" i="2"/>
  <c r="L543" i="2"/>
  <c r="L544" i="2"/>
  <c r="L545" i="2"/>
  <c r="L546" i="2"/>
  <c r="L560" i="2"/>
  <c r="L561" i="2"/>
  <c r="L562" i="2"/>
  <c r="L563" i="2"/>
  <c r="L241" i="2"/>
  <c r="L242" i="2"/>
  <c r="L108" i="2"/>
  <c r="L109" i="2"/>
  <c r="L110" i="2"/>
  <c r="L517" i="2"/>
  <c r="L579" i="2"/>
  <c r="L580" i="2"/>
  <c r="L581" i="2"/>
  <c r="L582" i="2"/>
  <c r="L583" i="2"/>
  <c r="L558" i="2"/>
  <c r="L559" i="2"/>
  <c r="L271" i="2"/>
  <c r="L272" i="2"/>
  <c r="L292" i="2"/>
  <c r="L293" i="2"/>
  <c r="L294" i="2"/>
  <c r="L71" i="2"/>
  <c r="L72" i="2"/>
  <c r="L202" i="2"/>
  <c r="L203" i="2"/>
  <c r="L204" i="2"/>
  <c r="L205" i="2"/>
  <c r="L206" i="2"/>
  <c r="L419" i="2"/>
  <c r="L420" i="2"/>
  <c r="L522" i="2"/>
  <c r="L523" i="2"/>
  <c r="L459" i="2"/>
  <c r="L460" i="2"/>
  <c r="L343" i="2"/>
  <c r="L344" i="2"/>
  <c r="L345" i="2"/>
  <c r="L346" i="2"/>
  <c r="L347" i="2"/>
  <c r="L53" i="2"/>
  <c r="L54" i="2"/>
  <c r="L55" i="2"/>
  <c r="L56" i="2"/>
  <c r="L518" i="2"/>
  <c r="L519" i="2"/>
  <c r="L520" i="2"/>
  <c r="L541" i="2"/>
  <c r="L542" i="2"/>
  <c r="L480" i="2"/>
  <c r="L481" i="2"/>
  <c r="L30" i="2"/>
  <c r="L31" i="2"/>
  <c r="L32" i="2"/>
  <c r="L33" i="2"/>
  <c r="L478" i="2"/>
  <c r="L479" i="2"/>
  <c r="L531" i="2"/>
  <c r="L532" i="2"/>
  <c r="L41" i="2"/>
  <c r="L42" i="2"/>
  <c r="L43" i="2"/>
  <c r="L44" i="2"/>
  <c r="L492" i="2"/>
  <c r="L493" i="2"/>
  <c r="L51" i="2"/>
  <c r="L52" i="2"/>
  <c r="L231" i="2"/>
  <c r="L232" i="2"/>
  <c r="L233" i="2"/>
  <c r="L234" i="2"/>
  <c r="L303" i="2"/>
  <c r="L304" i="2"/>
  <c r="L305" i="2"/>
  <c r="L306" i="2"/>
  <c r="L307" i="2"/>
  <c r="L308" i="2"/>
  <c r="L620" i="2"/>
  <c r="L621" i="2"/>
  <c r="L622" i="2"/>
  <c r="L45" i="2"/>
  <c r="L57" i="2"/>
  <c r="L58" i="2"/>
  <c r="L59" i="2"/>
  <c r="L378" i="2"/>
  <c r="L379" i="2"/>
  <c r="L380" i="2"/>
  <c r="L381" i="2"/>
  <c r="L382" i="2"/>
  <c r="L215" i="2"/>
  <c r="L216" i="2"/>
  <c r="L217" i="2"/>
  <c r="L218" i="2"/>
  <c r="L219" i="2"/>
  <c r="L220" i="2"/>
  <c r="L221" i="2"/>
  <c r="L128" i="2"/>
  <c r="L129" i="2"/>
  <c r="L130" i="2"/>
  <c r="L131" i="2"/>
  <c r="L617" i="2"/>
  <c r="L618" i="2"/>
  <c r="L619" i="2"/>
  <c r="L457" i="2"/>
  <c r="L458" i="2"/>
  <c r="L24" i="2"/>
  <c r="L608" i="2"/>
  <c r="L609" i="2"/>
  <c r="L610" i="2"/>
  <c r="L611" i="2"/>
  <c r="L40" i="2"/>
  <c r="L550" i="2"/>
  <c r="L551" i="2"/>
  <c r="L356" i="2"/>
  <c r="L357" i="2"/>
  <c r="L470" i="2"/>
  <c r="L471" i="2"/>
  <c r="L472" i="2"/>
  <c r="L564" i="2"/>
  <c r="L565" i="2"/>
  <c r="L566" i="2"/>
  <c r="L567" i="2"/>
  <c r="L452" i="2"/>
  <c r="L570" i="2"/>
  <c r="L577" i="2"/>
  <c r="L578" i="2"/>
  <c r="L614" i="2"/>
  <c r="L615" i="2"/>
  <c r="L616" i="2"/>
  <c r="L376" i="2"/>
  <c r="L377" i="2"/>
  <c r="L588" i="2"/>
  <c r="L589" i="2"/>
  <c r="L338" i="2"/>
  <c r="L339" i="2"/>
  <c r="L340" i="2"/>
  <c r="L341" i="2"/>
  <c r="L342" i="2"/>
  <c r="L482" i="2"/>
  <c r="L483" i="2"/>
  <c r="L484" i="2"/>
  <c r="L485" i="2"/>
  <c r="L486" i="2"/>
  <c r="L60" i="2"/>
  <c r="L61" i="2"/>
  <c r="L62" i="2"/>
  <c r="L63" i="2"/>
  <c r="L64" i="2"/>
  <c r="L65" i="2"/>
  <c r="L428" i="2"/>
  <c r="L17" i="2"/>
  <c r="L18" i="2"/>
  <c r="L19" i="2"/>
  <c r="L20" i="2"/>
  <c r="L21" i="2"/>
  <c r="L46" i="2"/>
  <c r="L47" i="2"/>
  <c r="L48" i="2"/>
  <c r="L49" i="2"/>
  <c r="L50" i="2"/>
  <c r="L187" i="2"/>
  <c r="L188" i="2"/>
  <c r="L189" i="2"/>
  <c r="L190" i="2"/>
  <c r="L191" i="2"/>
  <c r="L185" i="2"/>
  <c r="L186" i="2"/>
  <c r="L172" i="2"/>
  <c r="L173" i="2"/>
  <c r="L174" i="2"/>
  <c r="L168" i="2"/>
  <c r="L169" i="2"/>
  <c r="L170" i="2"/>
  <c r="L171" i="2"/>
  <c r="L165" i="2"/>
  <c r="L166" i="2"/>
  <c r="L167" i="2"/>
  <c r="L198" i="2"/>
  <c r="L199" i="2"/>
  <c r="L200" i="2"/>
  <c r="L201" i="2"/>
  <c r="L207" i="2"/>
  <c r="L192" i="2"/>
  <c r="L193" i="2"/>
  <c r="L194" i="2"/>
  <c r="L196" i="2"/>
  <c r="L197" i="2"/>
  <c r="L138" i="2"/>
  <c r="L139" i="2"/>
  <c r="L140" i="2"/>
  <c r="L158" i="2"/>
  <c r="L159" i="2"/>
  <c r="L141" i="2"/>
  <c r="L142" i="2"/>
  <c r="L152" i="2"/>
  <c r="L153" i="2"/>
  <c r="L160" i="2"/>
  <c r="L161" i="2"/>
  <c r="L162" i="2"/>
  <c r="L154" i="2"/>
  <c r="L155" i="2"/>
  <c r="L156" i="2"/>
  <c r="L157" i="2"/>
  <c r="L143" i="2"/>
  <c r="L144" i="2"/>
  <c r="L145" i="2"/>
  <c r="L146" i="2"/>
  <c r="L134" i="2"/>
  <c r="L135" i="2"/>
  <c r="L136" i="2"/>
  <c r="L137" i="2"/>
  <c r="L507" i="2"/>
  <c r="L508" i="2"/>
  <c r="L509" i="2"/>
  <c r="L510" i="2"/>
  <c r="L180" i="2"/>
  <c r="L181" i="2"/>
  <c r="L584" i="2"/>
  <c r="L585" i="2"/>
  <c r="L586" i="2"/>
  <c r="L587" i="2"/>
  <c r="L284" i="2"/>
  <c r="L285" i="2"/>
  <c r="L212" i="2"/>
  <c r="L450" i="2"/>
  <c r="L451" i="2"/>
  <c r="L430" i="2"/>
  <c r="L431" i="2"/>
  <c r="L330" i="2"/>
  <c r="L331" i="2"/>
  <c r="L332" i="2"/>
  <c r="L333" i="2"/>
  <c r="L35" i="2"/>
  <c r="L36" i="2"/>
  <c r="L38" i="2"/>
  <c r="L39" i="2"/>
  <c r="L400" i="2"/>
  <c r="L401" i="2"/>
  <c r="L402" i="2"/>
  <c r="L569" i="2"/>
  <c r="L245" i="2"/>
  <c r="L246" i="2"/>
  <c r="L247" i="2"/>
  <c r="L28" i="2"/>
  <c r="L29" i="2"/>
  <c r="L526" i="2"/>
  <c r="L527" i="2"/>
  <c r="L175" i="2"/>
  <c r="L176" i="2"/>
  <c r="L177" i="2"/>
  <c r="L474" i="2"/>
  <c r="L475" i="2"/>
  <c r="L476" i="2"/>
  <c r="L477" i="2"/>
  <c r="L605" i="2"/>
  <c r="L606" i="2"/>
  <c r="L607" i="2"/>
  <c r="L12" i="2"/>
  <c r="L13" i="2"/>
  <c r="L280" i="2"/>
  <c r="L373" i="2"/>
  <c r="L374" i="2"/>
  <c r="L375" i="2"/>
  <c r="L403" i="2"/>
  <c r="L404" i="2"/>
  <c r="L429" i="2"/>
  <c r="L454" i="2"/>
  <c r="L455" i="2"/>
  <c r="L456" i="2"/>
  <c r="L646" i="2"/>
  <c r="L647" i="2"/>
  <c r="L648" i="2"/>
  <c r="L649" i="2"/>
  <c r="L494" i="2"/>
  <c r="L495" i="2"/>
  <c r="L496" i="2"/>
  <c r="L22" i="2"/>
  <c r="L23" i="2"/>
  <c r="L288" i="2"/>
  <c r="L289" i="2"/>
  <c r="L643" i="2"/>
  <c r="L644" i="2"/>
  <c r="L645" i="2"/>
  <c r="L278" i="2"/>
  <c r="L279" i="2"/>
  <c r="L473" i="2"/>
  <c r="L37" i="2"/>
  <c r="L182" i="2"/>
  <c r="L286" i="2"/>
  <c r="L287" i="2"/>
  <c r="L363" i="2"/>
  <c r="L641" i="2"/>
  <c r="L642" i="2"/>
  <c r="L497" i="2"/>
  <c r="L498" i="2"/>
  <c r="L499" i="2"/>
  <c r="L500" i="2"/>
  <c r="L501" i="2"/>
  <c r="L281" i="2"/>
  <c r="L282" i="2"/>
  <c r="L283" i="2"/>
  <c r="L435" i="2"/>
  <c r="L436" i="2"/>
  <c r="L270" i="2"/>
  <c r="L528" i="2"/>
  <c r="L529" i="2"/>
  <c r="L530" i="2"/>
  <c r="L524" i="2"/>
  <c r="L525" i="2"/>
  <c r="L213" i="2"/>
  <c r="L214" i="2"/>
  <c r="L34" i="2"/>
  <c r="L351" i="2"/>
  <c r="L334" i="2"/>
  <c r="L335" i="2"/>
  <c r="L336" i="2"/>
  <c r="L337" i="2"/>
  <c r="L147" i="2"/>
  <c r="L148" i="2"/>
  <c r="L149" i="2"/>
  <c r="L150" i="2"/>
  <c r="L151" i="2"/>
  <c r="L637" i="2"/>
  <c r="L638" i="2"/>
  <c r="L639" i="2"/>
  <c r="L640" i="2"/>
  <c r="L73" i="2"/>
  <c r="L74" i="2"/>
  <c r="L75" i="2"/>
  <c r="L76" i="2"/>
  <c r="L77" i="2"/>
  <c r="L78" i="2"/>
  <c r="L88" i="2"/>
  <c r="L89" i="2"/>
  <c r="L90" i="2"/>
  <c r="K9" i="56" l="1"/>
  <c r="C6" i="56"/>
  <c r="M8" i="21" l="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8" i="21"/>
  <c r="M77" i="21"/>
  <c r="M69" i="21"/>
  <c r="M70" i="21"/>
  <c r="M79" i="21"/>
  <c r="M72" i="21"/>
  <c r="M73" i="21"/>
  <c r="M74" i="21"/>
  <c r="M75" i="21"/>
  <c r="M76" i="21"/>
  <c r="M67" i="21"/>
  <c r="M78" i="21"/>
  <c r="M71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J10" i="21"/>
  <c r="AD14" i="21" l="1"/>
  <c r="AD8" i="21"/>
  <c r="AD13" i="21"/>
  <c r="AD11" i="21"/>
  <c r="AD10" i="21"/>
  <c r="AD9" i="21"/>
  <c r="AD12" i="21"/>
  <c r="AD97" i="21"/>
  <c r="AD96" i="21"/>
  <c r="AD95" i="21"/>
  <c r="AD94" i="21"/>
  <c r="AD93" i="21"/>
  <c r="AD92" i="21"/>
  <c r="AD91" i="21"/>
  <c r="AD90" i="21"/>
  <c r="AD89" i="21"/>
  <c r="AD88" i="21"/>
  <c r="AD87" i="21"/>
  <c r="AD86" i="21"/>
  <c r="AD85" i="21"/>
  <c r="AD84" i="21"/>
  <c r="AD83" i="21"/>
  <c r="AD82" i="21"/>
  <c r="AD81" i="21"/>
  <c r="AD80" i="21"/>
  <c r="AD71" i="21"/>
  <c r="AD78" i="21"/>
  <c r="AD67" i="21"/>
  <c r="AD76" i="21"/>
  <c r="AD75" i="21"/>
  <c r="AD74" i="21"/>
  <c r="AD73" i="21"/>
  <c r="AD72" i="21"/>
  <c r="AD79" i="21"/>
  <c r="AD70" i="21"/>
  <c r="AD69" i="21"/>
  <c r="AD77" i="21"/>
  <c r="AD68" i="21"/>
  <c r="AD66" i="21"/>
  <c r="AD65" i="21"/>
  <c r="AD64" i="21"/>
  <c r="AD63" i="21"/>
  <c r="AD62" i="21"/>
  <c r="AD61" i="21"/>
  <c r="AD60" i="21"/>
  <c r="AD59" i="21"/>
  <c r="AD58" i="21"/>
  <c r="AD57" i="21"/>
  <c r="AD56" i="21"/>
  <c r="AD55" i="21"/>
  <c r="AD54" i="21"/>
  <c r="AD53" i="21"/>
  <c r="AD52" i="21"/>
  <c r="AD51" i="21"/>
  <c r="AD50" i="21"/>
  <c r="AD49" i="21"/>
  <c r="AD48" i="21"/>
  <c r="AD47" i="21"/>
  <c r="AD46" i="21"/>
  <c r="AD45" i="21"/>
  <c r="AD44" i="21"/>
  <c r="AD43" i="21"/>
  <c r="AD42" i="21"/>
  <c r="AD41" i="21"/>
  <c r="AD40" i="21"/>
  <c r="AD39" i="21"/>
  <c r="AD38" i="21"/>
  <c r="AD37" i="21"/>
  <c r="AD36" i="21"/>
  <c r="AD35" i="21"/>
  <c r="AD34" i="21"/>
  <c r="AD33" i="21"/>
  <c r="AD32" i="21"/>
  <c r="AD31" i="21"/>
  <c r="AD30" i="21"/>
  <c r="AD29" i="21"/>
  <c r="AD28" i="21"/>
  <c r="AD27" i="21"/>
  <c r="AD26" i="21"/>
  <c r="AD25" i="21"/>
  <c r="AD24" i="21"/>
  <c r="AD23" i="21"/>
  <c r="AD22" i="21"/>
  <c r="AD21" i="21"/>
  <c r="AD20" i="21"/>
  <c r="AD19" i="21"/>
  <c r="AD18" i="21"/>
  <c r="AD17" i="21"/>
  <c r="AD16" i="21"/>
  <c r="AD15" i="21"/>
  <c r="K14" i="56"/>
  <c r="J10" i="56"/>
  <c r="I10" i="56"/>
  <c r="J8" i="21"/>
  <c r="J9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8" i="21"/>
  <c r="J77" i="21"/>
  <c r="J69" i="21"/>
  <c r="J70" i="21"/>
  <c r="J79" i="21"/>
  <c r="J72" i="21"/>
  <c r="J73" i="21"/>
  <c r="J74" i="21"/>
  <c r="J75" i="21"/>
  <c r="J76" i="21"/>
  <c r="J67" i="21"/>
  <c r="J78" i="21"/>
  <c r="J71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Y13" i="21"/>
  <c r="Y14" i="21"/>
  <c r="Y15" i="21"/>
  <c r="Y16" i="21"/>
  <c r="Y17" i="21"/>
  <c r="Y18" i="21"/>
  <c r="Y19" i="21"/>
  <c r="Y20" i="21"/>
  <c r="Y21" i="21"/>
  <c r="Y22" i="21"/>
  <c r="Y23" i="21"/>
  <c r="Y24" i="21"/>
  <c r="Y25" i="21"/>
  <c r="Y26" i="21"/>
  <c r="Y27" i="21"/>
  <c r="Y28" i="21"/>
  <c r="Y29" i="21"/>
  <c r="Y30" i="21"/>
  <c r="Y31" i="21"/>
  <c r="Y32" i="21"/>
  <c r="Y33" i="21"/>
  <c r="Y34" i="21"/>
  <c r="Y35" i="21"/>
  <c r="Y36" i="21"/>
  <c r="Y37" i="21"/>
  <c r="Y38" i="21"/>
  <c r="Y39" i="21"/>
  <c r="Y40" i="21"/>
  <c r="Y41" i="21"/>
  <c r="Y42" i="21"/>
  <c r="Y43" i="21"/>
  <c r="Y44" i="21"/>
  <c r="Y45" i="21"/>
  <c r="Y46" i="21"/>
  <c r="Y47" i="21"/>
  <c r="Y48" i="21"/>
  <c r="Y49" i="21"/>
  <c r="Y50" i="21"/>
  <c r="Y51" i="21"/>
  <c r="Y52" i="21"/>
  <c r="Y53" i="21"/>
  <c r="Y54" i="21"/>
  <c r="Y55" i="21"/>
  <c r="Y56" i="21"/>
  <c r="Y57" i="21"/>
  <c r="Y58" i="21"/>
  <c r="Y59" i="21"/>
  <c r="Y60" i="21"/>
  <c r="Y61" i="21"/>
  <c r="Y62" i="21"/>
  <c r="Y63" i="21"/>
  <c r="Y64" i="21"/>
  <c r="Y65" i="21"/>
  <c r="Y66" i="21"/>
  <c r="Y68" i="21"/>
  <c r="Y77" i="21"/>
  <c r="Y69" i="21"/>
  <c r="Y70" i="21"/>
  <c r="Y79" i="21"/>
  <c r="Y72" i="21"/>
  <c r="Y73" i="21"/>
  <c r="Y74" i="21"/>
  <c r="Y75" i="21"/>
  <c r="Y76" i="21"/>
  <c r="Y67" i="21"/>
  <c r="Y78" i="21"/>
  <c r="Y71" i="21"/>
  <c r="Y80" i="21"/>
  <c r="Y81" i="21"/>
  <c r="Y82" i="21"/>
  <c r="Y83" i="21"/>
  <c r="Y84" i="21"/>
  <c r="Y85" i="21"/>
  <c r="Y86" i="21"/>
  <c r="Y87" i="21"/>
  <c r="Y88" i="21"/>
  <c r="Y89" i="21"/>
  <c r="Y90" i="21"/>
  <c r="Y91" i="21"/>
  <c r="Y92" i="21"/>
  <c r="Y93" i="21"/>
  <c r="Y94" i="21"/>
  <c r="Y95" i="21"/>
  <c r="Y96" i="21"/>
  <c r="Y97" i="21"/>
  <c r="Q13" i="21"/>
  <c r="O13" i="21" s="1"/>
  <c r="P13" i="21" s="1"/>
  <c r="Q14" i="21"/>
  <c r="Q15" i="21"/>
  <c r="Q16" i="21"/>
  <c r="O16" i="21" s="1"/>
  <c r="P16" i="21" s="1"/>
  <c r="Q17" i="21"/>
  <c r="O17" i="21" s="1"/>
  <c r="W17" i="21" s="1"/>
  <c r="X17" i="21" s="1"/>
  <c r="Q18" i="21"/>
  <c r="O18" i="21" s="1"/>
  <c r="W18" i="21" s="1"/>
  <c r="Q19" i="21"/>
  <c r="O19" i="21" s="1"/>
  <c r="P19" i="21" s="1"/>
  <c r="Q20" i="21"/>
  <c r="Q21" i="21"/>
  <c r="O21" i="21" s="1"/>
  <c r="P21" i="21" s="1"/>
  <c r="Q22" i="21"/>
  <c r="O22" i="21" s="1"/>
  <c r="P22" i="21" s="1"/>
  <c r="Q23" i="21"/>
  <c r="O23" i="21" s="1"/>
  <c r="P23" i="21" s="1"/>
  <c r="Q24" i="21"/>
  <c r="O24" i="21" s="1"/>
  <c r="P24" i="21" s="1"/>
  <c r="Q25" i="21"/>
  <c r="O25" i="21" s="1"/>
  <c r="P25" i="21" s="1"/>
  <c r="Q26" i="21"/>
  <c r="Q27" i="21"/>
  <c r="Q28" i="21"/>
  <c r="Q29" i="21"/>
  <c r="O29" i="21" s="1"/>
  <c r="W29" i="21" s="1"/>
  <c r="X29" i="21" s="1"/>
  <c r="Q30" i="21"/>
  <c r="Q31" i="21"/>
  <c r="O31" i="21" s="1"/>
  <c r="P31" i="21" s="1"/>
  <c r="Q32" i="21"/>
  <c r="O32" i="21" s="1"/>
  <c r="P32" i="21" s="1"/>
  <c r="Q33" i="21"/>
  <c r="Q34" i="21"/>
  <c r="Q35" i="21"/>
  <c r="O35" i="21" s="1"/>
  <c r="P35" i="21" s="1"/>
  <c r="Q36" i="21"/>
  <c r="O36" i="21" s="1"/>
  <c r="P36" i="21" s="1"/>
  <c r="Q37" i="21"/>
  <c r="Q38" i="21"/>
  <c r="Q39" i="21"/>
  <c r="Q40" i="21"/>
  <c r="Q41" i="21"/>
  <c r="O41" i="21" s="1"/>
  <c r="P41" i="21" s="1"/>
  <c r="Q42" i="21"/>
  <c r="O42" i="21" s="1"/>
  <c r="W42" i="21" s="1"/>
  <c r="Q43" i="21"/>
  <c r="O43" i="21" s="1"/>
  <c r="P43" i="21" s="1"/>
  <c r="Q44" i="21"/>
  <c r="Q45" i="21"/>
  <c r="O45" i="21" s="1"/>
  <c r="P45" i="21" s="1"/>
  <c r="Q46" i="21"/>
  <c r="Q47" i="21"/>
  <c r="O47" i="21" s="1"/>
  <c r="P47" i="21" s="1"/>
  <c r="Q48" i="21"/>
  <c r="O48" i="21" s="1"/>
  <c r="P48" i="21" s="1"/>
  <c r="Q49" i="21"/>
  <c r="Q50" i="21"/>
  <c r="Q51" i="21"/>
  <c r="Q52" i="21"/>
  <c r="Q53" i="21"/>
  <c r="Q54" i="21"/>
  <c r="O54" i="21" s="1"/>
  <c r="W54" i="21" s="1"/>
  <c r="Q55" i="21"/>
  <c r="O55" i="21" s="1"/>
  <c r="P55" i="21" s="1"/>
  <c r="Q56" i="21"/>
  <c r="Q57" i="21"/>
  <c r="O57" i="21" s="1"/>
  <c r="W57" i="21" s="1"/>
  <c r="Q58" i="21"/>
  <c r="O58" i="21" s="1"/>
  <c r="W58" i="21" s="1"/>
  <c r="Q59" i="21"/>
  <c r="O59" i="21" s="1"/>
  <c r="W59" i="21" s="1"/>
  <c r="Q60" i="21"/>
  <c r="O60" i="21" s="1"/>
  <c r="Q61" i="21"/>
  <c r="Q62" i="21"/>
  <c r="Q63" i="21"/>
  <c r="Q64" i="21"/>
  <c r="Q65" i="21"/>
  <c r="Q66" i="21"/>
  <c r="O66" i="21" s="1"/>
  <c r="W66" i="21" s="1"/>
  <c r="Q68" i="21"/>
  <c r="Q77" i="21"/>
  <c r="Q69" i="21"/>
  <c r="O69" i="21" s="1"/>
  <c r="W69" i="21" s="1"/>
  <c r="Q70" i="21"/>
  <c r="Q79" i="21"/>
  <c r="O79" i="21" s="1"/>
  <c r="P79" i="21" s="1"/>
  <c r="Q72" i="21"/>
  <c r="O72" i="21" s="1"/>
  <c r="P72" i="21" s="1"/>
  <c r="Q73" i="21"/>
  <c r="O73" i="21" s="1"/>
  <c r="W73" i="21" s="1"/>
  <c r="Q74" i="21"/>
  <c r="O74" i="21" s="1"/>
  <c r="P74" i="21" s="1"/>
  <c r="Q75" i="21"/>
  <c r="O75" i="21" s="1"/>
  <c r="P75" i="21" s="1"/>
  <c r="Q76" i="21"/>
  <c r="O76" i="21" s="1"/>
  <c r="P76" i="21" s="1"/>
  <c r="Q67" i="21"/>
  <c r="O67" i="21" s="1"/>
  <c r="P67" i="21" s="1"/>
  <c r="Q78" i="21"/>
  <c r="O78" i="21" s="1"/>
  <c r="P78" i="21" s="1"/>
  <c r="Q71" i="21"/>
  <c r="Q80" i="21"/>
  <c r="Q81" i="21"/>
  <c r="O81" i="21" s="1"/>
  <c r="W81" i="21" s="1"/>
  <c r="Q82" i="21"/>
  <c r="O82" i="21" s="1"/>
  <c r="W82" i="21" s="1"/>
  <c r="Q83" i="21"/>
  <c r="Q84" i="21"/>
  <c r="O84" i="21" s="1"/>
  <c r="Q85" i="21"/>
  <c r="O85" i="21" s="1"/>
  <c r="P85" i="21" s="1"/>
  <c r="Q86" i="21"/>
  <c r="Q87" i="21"/>
  <c r="Q88" i="21"/>
  <c r="Q89" i="21"/>
  <c r="O89" i="21" s="1"/>
  <c r="P89" i="21" s="1"/>
  <c r="Q90" i="21"/>
  <c r="O90" i="21" s="1"/>
  <c r="W90" i="21" s="1"/>
  <c r="Q91" i="21"/>
  <c r="O91" i="21" s="1"/>
  <c r="P91" i="21" s="1"/>
  <c r="Q92" i="21"/>
  <c r="O92" i="21" s="1"/>
  <c r="P92" i="21" s="1"/>
  <c r="Q93" i="21"/>
  <c r="O93" i="21" s="1"/>
  <c r="P93" i="21" s="1"/>
  <c r="Q94" i="21"/>
  <c r="O94" i="21" s="1"/>
  <c r="P94" i="21" s="1"/>
  <c r="Q95" i="21"/>
  <c r="O95" i="21" s="1"/>
  <c r="P95" i="21" s="1"/>
  <c r="Q96" i="21"/>
  <c r="O96" i="21" s="1"/>
  <c r="P96" i="21" s="1"/>
  <c r="Q97" i="21"/>
  <c r="O97" i="21" s="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8" i="21"/>
  <c r="F77" i="21"/>
  <c r="F69" i="21"/>
  <c r="F70" i="21"/>
  <c r="F79" i="21"/>
  <c r="F72" i="21"/>
  <c r="F73" i="21"/>
  <c r="F74" i="21"/>
  <c r="F75" i="21"/>
  <c r="F76" i="21"/>
  <c r="F67" i="21"/>
  <c r="F78" i="21"/>
  <c r="F71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8" i="21"/>
  <c r="E77" i="21"/>
  <c r="E69" i="21"/>
  <c r="E70" i="21"/>
  <c r="E79" i="21"/>
  <c r="E72" i="21"/>
  <c r="E73" i="21"/>
  <c r="E74" i="21"/>
  <c r="E75" i="21"/>
  <c r="E76" i="21"/>
  <c r="E67" i="21"/>
  <c r="E78" i="21"/>
  <c r="E71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8" i="21"/>
  <c r="D77" i="21"/>
  <c r="D69" i="21"/>
  <c r="D70" i="21"/>
  <c r="D79" i="21"/>
  <c r="D72" i="21"/>
  <c r="D73" i="21"/>
  <c r="D74" i="21"/>
  <c r="D75" i="21"/>
  <c r="D76" i="21"/>
  <c r="D67" i="21"/>
  <c r="D78" i="21"/>
  <c r="D71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8" i="21"/>
  <c r="C77" i="21"/>
  <c r="C69" i="21"/>
  <c r="C70" i="21"/>
  <c r="C79" i="21"/>
  <c r="C72" i="21"/>
  <c r="C73" i="21"/>
  <c r="C74" i="21"/>
  <c r="C75" i="21"/>
  <c r="C76" i="21"/>
  <c r="C67" i="21"/>
  <c r="C78" i="21"/>
  <c r="C71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8" i="21"/>
  <c r="B77" i="21"/>
  <c r="B69" i="21"/>
  <c r="B70" i="21"/>
  <c r="B79" i="21"/>
  <c r="B72" i="21"/>
  <c r="B73" i="21"/>
  <c r="B74" i="21"/>
  <c r="B75" i="21"/>
  <c r="B76" i="21"/>
  <c r="B67" i="21"/>
  <c r="B78" i="21"/>
  <c r="B71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8" i="21"/>
  <c r="A77" i="21"/>
  <c r="A69" i="21"/>
  <c r="A70" i="21"/>
  <c r="A79" i="21"/>
  <c r="A72" i="21"/>
  <c r="A73" i="21"/>
  <c r="A74" i="21"/>
  <c r="A75" i="21"/>
  <c r="A76" i="21"/>
  <c r="A67" i="21"/>
  <c r="A78" i="21"/>
  <c r="A71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P73" i="21" l="1"/>
  <c r="W97" i="21"/>
  <c r="X97" i="21" s="1"/>
  <c r="P97" i="21"/>
  <c r="W84" i="21"/>
  <c r="X84" i="21" s="1"/>
  <c r="P84" i="21"/>
  <c r="W60" i="21"/>
  <c r="X60" i="21" s="1"/>
  <c r="P60" i="21"/>
  <c r="P90" i="21"/>
  <c r="P66" i="21"/>
  <c r="P54" i="21"/>
  <c r="P42" i="21"/>
  <c r="P18" i="21"/>
  <c r="P29" i="21"/>
  <c r="P17" i="21"/>
  <c r="P59" i="21"/>
  <c r="P82" i="21"/>
  <c r="P58" i="21"/>
  <c r="P81" i="21"/>
  <c r="P69" i="21"/>
  <c r="P57" i="21"/>
  <c r="K10" i="56"/>
  <c r="V74" i="21"/>
  <c r="Z32" i="21"/>
  <c r="AA32" i="21" s="1"/>
  <c r="V72" i="21"/>
  <c r="Z87" i="21"/>
  <c r="AA87" i="21" s="1"/>
  <c r="Z75" i="21"/>
  <c r="AA75" i="21" s="1"/>
  <c r="Z27" i="21"/>
  <c r="AA27" i="21" s="1"/>
  <c r="Z86" i="21"/>
  <c r="AA86" i="21" s="1"/>
  <c r="Z62" i="21"/>
  <c r="AA62" i="21" s="1"/>
  <c r="Z50" i="21"/>
  <c r="AA50" i="21" s="1"/>
  <c r="Z14" i="21"/>
  <c r="AA14" i="21" s="1"/>
  <c r="Z97" i="21"/>
  <c r="AA97" i="21" s="1"/>
  <c r="Z85" i="21"/>
  <c r="AA85" i="21" s="1"/>
  <c r="Z73" i="21"/>
  <c r="AA73" i="21" s="1"/>
  <c r="Z49" i="21"/>
  <c r="AA49" i="21" s="1"/>
  <c r="Z25" i="21"/>
  <c r="AA25" i="21" s="1"/>
  <c r="Z13" i="21"/>
  <c r="AA13" i="21" s="1"/>
  <c r="Z24" i="21"/>
  <c r="AA24" i="21" s="1"/>
  <c r="Z59" i="21"/>
  <c r="AA59" i="21" s="1"/>
  <c r="Z88" i="21"/>
  <c r="AA88" i="21" s="1"/>
  <c r="Z64" i="21"/>
  <c r="AA64" i="21" s="1"/>
  <c r="V28" i="21"/>
  <c r="W55" i="21"/>
  <c r="X55" i="21" s="1"/>
  <c r="Z71" i="21"/>
  <c r="AA71" i="21" s="1"/>
  <c r="X66" i="21"/>
  <c r="X18" i="21"/>
  <c r="W16" i="21"/>
  <c r="X16" i="21" s="1"/>
  <c r="Z78" i="21"/>
  <c r="AA78" i="21" s="1"/>
  <c r="Z67" i="21"/>
  <c r="AA67" i="21" s="1"/>
  <c r="Z83" i="21"/>
  <c r="AA83" i="21" s="1"/>
  <c r="V70" i="21"/>
  <c r="V34" i="21"/>
  <c r="V87" i="21"/>
  <c r="V86" i="21"/>
  <c r="Z31" i="21"/>
  <c r="AA31" i="21" s="1"/>
  <c r="O70" i="21"/>
  <c r="W89" i="21"/>
  <c r="X89" i="21" s="1"/>
  <c r="Z92" i="21"/>
  <c r="AA92" i="21" s="1"/>
  <c r="Z80" i="21"/>
  <c r="AA80" i="21" s="1"/>
  <c r="O56" i="21"/>
  <c r="X90" i="21"/>
  <c r="X54" i="21"/>
  <c r="X42" i="21"/>
  <c r="O28" i="21"/>
  <c r="Z94" i="21"/>
  <c r="AA94" i="21" s="1"/>
  <c r="O30" i="21"/>
  <c r="Z91" i="21"/>
  <c r="AA91" i="21" s="1"/>
  <c r="Z76" i="21"/>
  <c r="AA76" i="21" s="1"/>
  <c r="V81" i="21"/>
  <c r="Z90" i="21"/>
  <c r="AA90" i="21" s="1"/>
  <c r="Z63" i="21"/>
  <c r="AA63" i="21" s="1"/>
  <c r="V80" i="21"/>
  <c r="X73" i="21"/>
  <c r="Z89" i="21"/>
  <c r="AA89" i="21" s="1"/>
  <c r="V71" i="21"/>
  <c r="V55" i="21"/>
  <c r="W72" i="21"/>
  <c r="X72" i="21" s="1"/>
  <c r="V78" i="21"/>
  <c r="V54" i="21"/>
  <c r="W79" i="21"/>
  <c r="X79" i="21" s="1"/>
  <c r="X59" i="21"/>
  <c r="Z96" i="21"/>
  <c r="AA96" i="21" s="1"/>
  <c r="V53" i="21"/>
  <c r="X82" i="21"/>
  <c r="X58" i="21"/>
  <c r="V79" i="21"/>
  <c r="V35" i="21"/>
  <c r="V88" i="21"/>
  <c r="X69" i="21"/>
  <c r="X57" i="21"/>
  <c r="W45" i="21"/>
  <c r="X45" i="21" s="1"/>
  <c r="O46" i="21"/>
  <c r="Z34" i="21"/>
  <c r="AA34" i="21" s="1"/>
  <c r="Z93" i="21"/>
  <c r="AA93" i="21" s="1"/>
  <c r="Z81" i="21"/>
  <c r="AA81" i="21" s="1"/>
  <c r="Z69" i="21"/>
  <c r="AA69" i="21" s="1"/>
  <c r="Z57" i="21"/>
  <c r="AA57" i="21" s="1"/>
  <c r="Z45" i="21"/>
  <c r="AA45" i="21" s="1"/>
  <c r="Z33" i="21"/>
  <c r="AA33" i="21" s="1"/>
  <c r="Z21" i="21"/>
  <c r="AA21" i="21" s="1"/>
  <c r="Z77" i="21"/>
  <c r="AA77" i="21" s="1"/>
  <c r="Z56" i="21"/>
  <c r="AA56" i="21" s="1"/>
  <c r="Z44" i="21"/>
  <c r="AA44" i="21" s="1"/>
  <c r="Z20" i="21"/>
  <c r="AA20" i="21" s="1"/>
  <c r="Z68" i="21"/>
  <c r="AA68" i="21" s="1"/>
  <c r="Z55" i="21"/>
  <c r="AA55" i="21" s="1"/>
  <c r="Z43" i="21"/>
  <c r="AA43" i="21" s="1"/>
  <c r="Z19" i="21"/>
  <c r="AA19" i="21" s="1"/>
  <c r="Z66" i="21"/>
  <c r="AA66" i="21" s="1"/>
  <c r="Z54" i="21"/>
  <c r="AA54" i="21" s="1"/>
  <c r="Z42" i="21"/>
  <c r="AA42" i="21" s="1"/>
  <c r="Z30" i="21"/>
  <c r="AA30" i="21" s="1"/>
  <c r="Z18" i="21"/>
  <c r="AA18" i="21" s="1"/>
  <c r="Z65" i="21"/>
  <c r="AA65" i="21" s="1"/>
  <c r="Z53" i="21"/>
  <c r="AA53" i="21" s="1"/>
  <c r="Z41" i="21"/>
  <c r="AA41" i="21" s="1"/>
  <c r="Z29" i="21"/>
  <c r="AA29" i="21" s="1"/>
  <c r="Z17" i="21"/>
  <c r="AA17" i="21" s="1"/>
  <c r="V51" i="21"/>
  <c r="Z84" i="21"/>
  <c r="AA84" i="21" s="1"/>
  <c r="W25" i="21"/>
  <c r="X25" i="21" s="1"/>
  <c r="W93" i="21"/>
  <c r="X93" i="21" s="1"/>
  <c r="W21" i="21"/>
  <c r="X21" i="21" s="1"/>
  <c r="O83" i="21"/>
  <c r="O34" i="21"/>
  <c r="V47" i="21"/>
  <c r="W48" i="21"/>
  <c r="X48" i="21" s="1"/>
  <c r="Z72" i="21"/>
  <c r="AA72" i="21" s="1"/>
  <c r="O33" i="21"/>
  <c r="V29" i="21"/>
  <c r="W47" i="21"/>
  <c r="X47" i="21" s="1"/>
  <c r="Z15" i="21"/>
  <c r="AA15" i="21" s="1"/>
  <c r="Z79" i="21"/>
  <c r="AA79" i="21" s="1"/>
  <c r="V23" i="21"/>
  <c r="W78" i="21"/>
  <c r="X78" i="21" s="1"/>
  <c r="W67" i="21"/>
  <c r="X67" i="21" s="1"/>
  <c r="Z35" i="21"/>
  <c r="AA35" i="21" s="1"/>
  <c r="V56" i="21"/>
  <c r="V49" i="21"/>
  <c r="V48" i="21"/>
  <c r="W13" i="21"/>
  <c r="X13" i="21" s="1"/>
  <c r="W76" i="21"/>
  <c r="X76" i="21" s="1"/>
  <c r="Z95" i="21"/>
  <c r="AA95" i="21" s="1"/>
  <c r="Z23" i="21"/>
  <c r="AA23" i="21" s="1"/>
  <c r="V33" i="21"/>
  <c r="W31" i="21"/>
  <c r="X31" i="21" s="1"/>
  <c r="Z82" i="21"/>
  <c r="AA82" i="21" s="1"/>
  <c r="Z70" i="21"/>
  <c r="AA70" i="21" s="1"/>
  <c r="Z58" i="21"/>
  <c r="AA58" i="21" s="1"/>
  <c r="Z46" i="21"/>
  <c r="AA46" i="21" s="1"/>
  <c r="Z22" i="21"/>
  <c r="AA22" i="21" s="1"/>
  <c r="V50" i="21"/>
  <c r="V93" i="21"/>
  <c r="V69" i="21"/>
  <c r="V45" i="21"/>
  <c r="O77" i="21"/>
  <c r="O44" i="21"/>
  <c r="V76" i="21"/>
  <c r="V20" i="21"/>
  <c r="Z61" i="21"/>
  <c r="AA61" i="21" s="1"/>
  <c r="V61" i="21"/>
  <c r="Z37" i="21"/>
  <c r="AA37" i="21" s="1"/>
  <c r="V37" i="21"/>
  <c r="V75" i="21"/>
  <c r="V67" i="21"/>
  <c r="V41" i="21"/>
  <c r="V59" i="21"/>
  <c r="V40" i="21"/>
  <c r="O65" i="21"/>
  <c r="V44" i="21"/>
  <c r="Z28" i="21"/>
  <c r="AA28" i="21" s="1"/>
  <c r="V46" i="21"/>
  <c r="V27" i="21"/>
  <c r="O88" i="21"/>
  <c r="O64" i="21"/>
  <c r="V95" i="21"/>
  <c r="V43" i="21"/>
  <c r="W75" i="21"/>
  <c r="X75" i="21" s="1"/>
  <c r="O27" i="21"/>
  <c r="O26" i="21"/>
  <c r="O62" i="21"/>
  <c r="V31" i="21"/>
  <c r="Z51" i="21"/>
  <c r="AA51" i="21" s="1"/>
  <c r="Z39" i="21"/>
  <c r="AA39" i="21" s="1"/>
  <c r="Z74" i="21"/>
  <c r="AA74" i="21" s="1"/>
  <c r="Z47" i="21"/>
  <c r="AA47" i="21" s="1"/>
  <c r="V57" i="21"/>
  <c r="V21" i="21"/>
  <c r="V77" i="21"/>
  <c r="V68" i="21"/>
  <c r="O80" i="21"/>
  <c r="O20" i="21"/>
  <c r="V66" i="21"/>
  <c r="O71" i="21"/>
  <c r="W43" i="21"/>
  <c r="X43" i="21" s="1"/>
  <c r="W19" i="21"/>
  <c r="X19" i="21" s="1"/>
  <c r="V19" i="21"/>
  <c r="Z60" i="21"/>
  <c r="AA60" i="21" s="1"/>
  <c r="V60" i="21"/>
  <c r="Z36" i="21"/>
  <c r="AA36" i="21" s="1"/>
  <c r="V36" i="21"/>
  <c r="V17" i="21"/>
  <c r="V18" i="21"/>
  <c r="V52" i="21"/>
  <c r="V16" i="21"/>
  <c r="O53" i="21"/>
  <c r="V73" i="21"/>
  <c r="V14" i="21"/>
  <c r="V58" i="21"/>
  <c r="V22" i="21"/>
  <c r="V39" i="21"/>
  <c r="V15" i="21"/>
  <c r="O52" i="21"/>
  <c r="O40" i="21"/>
  <c r="O68" i="21"/>
  <c r="O87" i="21"/>
  <c r="O63" i="21"/>
  <c r="O51" i="21"/>
  <c r="O39" i="21"/>
  <c r="O15" i="21"/>
  <c r="V92" i="21"/>
  <c r="V65" i="21"/>
  <c r="V42" i="21"/>
  <c r="W41" i="21"/>
  <c r="X41" i="21" s="1"/>
  <c r="O86" i="21"/>
  <c r="W74" i="21"/>
  <c r="X74" i="21" s="1"/>
  <c r="O50" i="21"/>
  <c r="O38" i="21"/>
  <c r="O14" i="21"/>
  <c r="V91" i="21"/>
  <c r="V64" i="21"/>
  <c r="V32" i="21"/>
  <c r="Z52" i="21"/>
  <c r="AA52" i="21" s="1"/>
  <c r="Z40" i="21"/>
  <c r="AA40" i="21" s="1"/>
  <c r="Z16" i="21"/>
  <c r="AA16" i="21" s="1"/>
  <c r="Z48" i="21"/>
  <c r="AA48" i="21" s="1"/>
  <c r="W85" i="21"/>
  <c r="X85" i="21" s="1"/>
  <c r="O49" i="21"/>
  <c r="O37" i="21"/>
  <c r="V90" i="21"/>
  <c r="V63" i="21"/>
  <c r="W92" i="21"/>
  <c r="X92" i="21" s="1"/>
  <c r="V83" i="21"/>
  <c r="X81" i="21"/>
  <c r="O61" i="21"/>
  <c r="V89" i="21"/>
  <c r="V62" i="21"/>
  <c r="V30" i="21"/>
  <c r="W91" i="21"/>
  <c r="X91" i="21" s="1"/>
  <c r="W32" i="21"/>
  <c r="X32" i="21" s="1"/>
  <c r="V38" i="21"/>
  <c r="V26" i="21"/>
  <c r="W96" i="21"/>
  <c r="X96" i="21" s="1"/>
  <c r="W36" i="21"/>
  <c r="X36" i="21" s="1"/>
  <c r="Z38" i="21"/>
  <c r="AA38" i="21" s="1"/>
  <c r="Z26" i="21"/>
  <c r="AA26" i="21" s="1"/>
  <c r="V97" i="21"/>
  <c r="V25" i="21"/>
  <c r="W95" i="21"/>
  <c r="X95" i="21" s="1"/>
  <c r="W35" i="21"/>
  <c r="X35" i="21" s="1"/>
  <c r="W23" i="21"/>
  <c r="X23" i="21" s="1"/>
  <c r="V96" i="21"/>
  <c r="V84" i="21"/>
  <c r="V24" i="21"/>
  <c r="W94" i="21"/>
  <c r="X94" i="21" s="1"/>
  <c r="W22" i="21"/>
  <c r="X22" i="21" s="1"/>
  <c r="V85" i="21"/>
  <c r="V13" i="21"/>
  <c r="W24" i="21"/>
  <c r="X24" i="21" s="1"/>
  <c r="V94" i="21"/>
  <c r="V82" i="21"/>
  <c r="W27" i="21" l="1"/>
  <c r="X27" i="21" s="1"/>
  <c r="P27" i="21"/>
  <c r="W61" i="21"/>
  <c r="X61" i="21" s="1"/>
  <c r="P61" i="21"/>
  <c r="W86" i="21"/>
  <c r="X86" i="21" s="1"/>
  <c r="P86" i="21"/>
  <c r="W71" i="21"/>
  <c r="X71" i="21" s="1"/>
  <c r="P71" i="21"/>
  <c r="W64" i="21"/>
  <c r="X64" i="21" s="1"/>
  <c r="P64" i="21"/>
  <c r="W62" i="21"/>
  <c r="X62" i="21" s="1"/>
  <c r="P62" i="21"/>
  <c r="W88" i="21"/>
  <c r="X88" i="21" s="1"/>
  <c r="P88" i="21"/>
  <c r="W65" i="21"/>
  <c r="X65" i="21" s="1"/>
  <c r="P65" i="21"/>
  <c r="W34" i="21"/>
  <c r="X34" i="21" s="1"/>
  <c r="P34" i="21"/>
  <c r="W28" i="21"/>
  <c r="X28" i="21" s="1"/>
  <c r="P28" i="21"/>
  <c r="W70" i="21"/>
  <c r="X70" i="21" s="1"/>
  <c r="P70" i="21"/>
  <c r="W83" i="21"/>
  <c r="X83" i="21" s="1"/>
  <c r="P83" i="21"/>
  <c r="W15" i="21"/>
  <c r="X15" i="21" s="1"/>
  <c r="P15" i="21"/>
  <c r="W37" i="21"/>
  <c r="X37" i="21" s="1"/>
  <c r="P37" i="21"/>
  <c r="W33" i="21"/>
  <c r="X33" i="21" s="1"/>
  <c r="P33" i="21"/>
  <c r="W77" i="21"/>
  <c r="X77" i="21" s="1"/>
  <c r="P77" i="21"/>
  <c r="W14" i="21"/>
  <c r="X14" i="21" s="1"/>
  <c r="P14" i="21"/>
  <c r="W87" i="21"/>
  <c r="X87" i="21" s="1"/>
  <c r="P87" i="21"/>
  <c r="W39" i="21"/>
  <c r="X39" i="21" s="1"/>
  <c r="P39" i="21"/>
  <c r="W44" i="21"/>
  <c r="X44" i="21" s="1"/>
  <c r="P44" i="21"/>
  <c r="W49" i="21"/>
  <c r="X49" i="21" s="1"/>
  <c r="P49" i="21"/>
  <c r="W63" i="21"/>
  <c r="X63" i="21" s="1"/>
  <c r="P63" i="21"/>
  <c r="W26" i="21"/>
  <c r="X26" i="21" s="1"/>
  <c r="P26" i="21"/>
  <c r="W38" i="21"/>
  <c r="X38" i="21" s="1"/>
  <c r="P38" i="21"/>
  <c r="W40" i="21"/>
  <c r="X40" i="21" s="1"/>
  <c r="P40" i="21"/>
  <c r="W53" i="21"/>
  <c r="X53" i="21" s="1"/>
  <c r="P53" i="21"/>
  <c r="W20" i="21"/>
  <c r="X20" i="21" s="1"/>
  <c r="P20" i="21"/>
  <c r="W46" i="21"/>
  <c r="X46" i="21" s="1"/>
  <c r="P46" i="21"/>
  <c r="W51" i="21"/>
  <c r="X51" i="21" s="1"/>
  <c r="P51" i="21"/>
  <c r="W56" i="21"/>
  <c r="X56" i="21" s="1"/>
  <c r="P56" i="21"/>
  <c r="W50" i="21"/>
  <c r="X50" i="21" s="1"/>
  <c r="P50" i="21"/>
  <c r="W68" i="21"/>
  <c r="X68" i="21" s="1"/>
  <c r="P68" i="21"/>
  <c r="W52" i="21"/>
  <c r="X52" i="21" s="1"/>
  <c r="P52" i="21"/>
  <c r="W80" i="21"/>
  <c r="X80" i="21" s="1"/>
  <c r="P80" i="21"/>
  <c r="W30" i="21"/>
  <c r="X30" i="21" s="1"/>
  <c r="P30" i="21"/>
  <c r="H12" i="53"/>
  <c r="B9" i="55"/>
  <c r="C13" i="55" s="1"/>
  <c r="B2" i="55"/>
  <c r="C4" i="55" s="1"/>
  <c r="C41" i="55"/>
  <c r="C42" i="55"/>
  <c r="C43" i="55"/>
  <c r="C44" i="55"/>
  <c r="C45" i="55"/>
  <c r="C46" i="55"/>
  <c r="C47" i="55"/>
  <c r="C48" i="55"/>
  <c r="C49" i="55"/>
  <c r="C50" i="55"/>
  <c r="C51" i="55"/>
  <c r="C52" i="55"/>
  <c r="C53" i="55"/>
  <c r="C54" i="55"/>
  <c r="C55" i="55"/>
  <c r="C56" i="55"/>
  <c r="C57" i="55"/>
  <c r="C58" i="55"/>
  <c r="C59" i="55"/>
  <c r="C60" i="55"/>
  <c r="C61" i="55"/>
  <c r="C62" i="55"/>
  <c r="C63" i="55"/>
  <c r="C64" i="55"/>
  <c r="C65" i="55"/>
  <c r="C66" i="55"/>
  <c r="C67" i="55"/>
  <c r="C68" i="55"/>
  <c r="C69" i="55"/>
  <c r="C70" i="55"/>
  <c r="C71" i="55"/>
  <c r="C72" i="55"/>
  <c r="C73" i="55"/>
  <c r="C74" i="55"/>
  <c r="B23" i="55"/>
  <c r="C28" i="55" s="1"/>
  <c r="M433" i="2"/>
  <c r="V433" i="2" s="1"/>
  <c r="M434" i="2"/>
  <c r="V434" i="2" s="1"/>
  <c r="M295" i="2"/>
  <c r="V295" i="2" s="1"/>
  <c r="M296" i="2"/>
  <c r="V296" i="2" s="1"/>
  <c r="M297" i="2"/>
  <c r="V297" i="2" s="1"/>
  <c r="M574" i="2"/>
  <c r="V574" i="2" s="1"/>
  <c r="M575" i="2"/>
  <c r="V575" i="2" s="1"/>
  <c r="M576" i="2"/>
  <c r="V576" i="2" s="1"/>
  <c r="M98" i="2"/>
  <c r="V98" i="2" s="1"/>
  <c r="M116" i="2"/>
  <c r="V116" i="2" s="1"/>
  <c r="M117" i="2"/>
  <c r="V117" i="2" s="1"/>
  <c r="M118" i="2"/>
  <c r="V118" i="2" s="1"/>
  <c r="M119" i="2"/>
  <c r="V119" i="2" s="1"/>
  <c r="M66" i="2"/>
  <c r="V66" i="2" s="1"/>
  <c r="M67" i="2"/>
  <c r="V67" i="2" s="1"/>
  <c r="M68" i="2"/>
  <c r="V68" i="2" s="1"/>
  <c r="M69" i="2"/>
  <c r="V69" i="2" s="1"/>
  <c r="M70" i="2"/>
  <c r="V70" i="2" s="1"/>
  <c r="M111" i="2"/>
  <c r="V111" i="2" s="1"/>
  <c r="M112" i="2"/>
  <c r="V112" i="2" s="1"/>
  <c r="M113" i="2"/>
  <c r="V113" i="2" s="1"/>
  <c r="M114" i="2"/>
  <c r="V114" i="2" s="1"/>
  <c r="M115" i="2"/>
  <c r="V115" i="2" s="1"/>
  <c r="M25" i="2"/>
  <c r="V25" i="2" s="1"/>
  <c r="M26" i="2"/>
  <c r="V26" i="2" s="1"/>
  <c r="M27" i="2"/>
  <c r="V27" i="2" s="1"/>
  <c r="M444" i="2"/>
  <c r="V444" i="2" s="1"/>
  <c r="M445" i="2"/>
  <c r="V445" i="2" s="1"/>
  <c r="M446" i="2"/>
  <c r="V446" i="2" s="1"/>
  <c r="M447" i="2"/>
  <c r="V447" i="2" s="1"/>
  <c r="M448" i="2"/>
  <c r="V448" i="2" s="1"/>
  <c r="M449" i="2"/>
  <c r="V449" i="2" s="1"/>
  <c r="M8" i="2"/>
  <c r="V8" i="2" s="1"/>
  <c r="M9" i="2"/>
  <c r="V9" i="2" s="1"/>
  <c r="M10" i="2"/>
  <c r="V10" i="2" s="1"/>
  <c r="M11" i="2"/>
  <c r="V11" i="2" s="1"/>
  <c r="M466" i="2"/>
  <c r="V466" i="2" s="1"/>
  <c r="M467" i="2"/>
  <c r="V467" i="2" s="1"/>
  <c r="M468" i="2"/>
  <c r="V468" i="2" s="1"/>
  <c r="M439" i="2"/>
  <c r="V439" i="2" s="1"/>
  <c r="M440" i="2"/>
  <c r="V440" i="2" s="1"/>
  <c r="M441" i="2"/>
  <c r="V441" i="2" s="1"/>
  <c r="M442" i="2"/>
  <c r="V442" i="2" s="1"/>
  <c r="M443" i="2"/>
  <c r="V443" i="2" s="1"/>
  <c r="M273" i="2"/>
  <c r="V273" i="2" s="1"/>
  <c r="M274" i="2"/>
  <c r="V274" i="2" s="1"/>
  <c r="M275" i="2"/>
  <c r="V275" i="2" s="1"/>
  <c r="M276" i="2"/>
  <c r="V276" i="2" s="1"/>
  <c r="M277" i="2"/>
  <c r="V277" i="2" s="1"/>
  <c r="M101" i="2"/>
  <c r="V101" i="2" s="1"/>
  <c r="M102" i="2"/>
  <c r="V102" i="2" s="1"/>
  <c r="M163" i="2"/>
  <c r="V163" i="2" s="1"/>
  <c r="M164" i="2"/>
  <c r="V164" i="2" s="1"/>
  <c r="M612" i="2"/>
  <c r="V612" i="2" s="1"/>
  <c r="M613" i="2"/>
  <c r="V613" i="2" s="1"/>
  <c r="M521" i="2"/>
  <c r="V521" i="2" s="1"/>
  <c r="M253" i="2"/>
  <c r="V253" i="2" s="1"/>
  <c r="M254" i="2"/>
  <c r="V254" i="2" s="1"/>
  <c r="M255" i="2"/>
  <c r="V255" i="2" s="1"/>
  <c r="M256" i="2"/>
  <c r="V256" i="2" s="1"/>
  <c r="M257" i="2"/>
  <c r="V257" i="2" s="1"/>
  <c r="M258" i="2"/>
  <c r="V258" i="2" s="1"/>
  <c r="M259" i="2"/>
  <c r="V259" i="2" s="1"/>
  <c r="M248" i="2"/>
  <c r="V248" i="2" s="1"/>
  <c r="M249" i="2"/>
  <c r="V249" i="2" s="1"/>
  <c r="M250" i="2"/>
  <c r="V250" i="2" s="1"/>
  <c r="M251" i="2"/>
  <c r="V251" i="2" s="1"/>
  <c r="M252" i="2"/>
  <c r="V252" i="2" s="1"/>
  <c r="M593" i="2"/>
  <c r="V593" i="2" s="1"/>
  <c r="M594" i="2"/>
  <c r="V594" i="2" s="1"/>
  <c r="M595" i="2"/>
  <c r="V595" i="2" s="1"/>
  <c r="M596" i="2"/>
  <c r="V596" i="2" s="1"/>
  <c r="M262" i="2"/>
  <c r="V262" i="2" s="1"/>
  <c r="M263" i="2"/>
  <c r="V263" i="2" s="1"/>
  <c r="M552" i="2"/>
  <c r="V552" i="2" s="1"/>
  <c r="M553" i="2"/>
  <c r="V553" i="2" s="1"/>
  <c r="M554" i="2"/>
  <c r="V554" i="2" s="1"/>
  <c r="M321" i="2"/>
  <c r="V321" i="2" s="1"/>
  <c r="M322" i="2"/>
  <c r="V322" i="2" s="1"/>
  <c r="M323" i="2"/>
  <c r="V323" i="2" s="1"/>
  <c r="M324" i="2"/>
  <c r="V324" i="2" s="1"/>
  <c r="M325" i="2"/>
  <c r="V325" i="2" s="1"/>
  <c r="M326" i="2"/>
  <c r="V326" i="2" s="1"/>
  <c r="M327" i="2"/>
  <c r="V327" i="2" s="1"/>
  <c r="M328" i="2"/>
  <c r="V328" i="2" s="1"/>
  <c r="M329" i="2"/>
  <c r="V329" i="2" s="1"/>
  <c r="M315" i="2"/>
  <c r="V315" i="2" s="1"/>
  <c r="M316" i="2"/>
  <c r="V316" i="2" s="1"/>
  <c r="M317" i="2"/>
  <c r="V317" i="2" s="1"/>
  <c r="M318" i="2"/>
  <c r="V318" i="2" s="1"/>
  <c r="M319" i="2"/>
  <c r="V319" i="2" s="1"/>
  <c r="M320" i="2"/>
  <c r="V320" i="2" s="1"/>
  <c r="M309" i="2"/>
  <c r="V309" i="2" s="1"/>
  <c r="M310" i="2"/>
  <c r="V310" i="2" s="1"/>
  <c r="M311" i="2"/>
  <c r="V311" i="2" s="1"/>
  <c r="M312" i="2"/>
  <c r="V312" i="2" s="1"/>
  <c r="M313" i="2"/>
  <c r="V313" i="2" s="1"/>
  <c r="M314" i="2"/>
  <c r="V314" i="2" s="1"/>
  <c r="M298" i="2"/>
  <c r="V298" i="2" s="1"/>
  <c r="M299" i="2"/>
  <c r="V299" i="2" s="1"/>
  <c r="M300" i="2"/>
  <c r="V300" i="2" s="1"/>
  <c r="M301" i="2"/>
  <c r="V301" i="2" s="1"/>
  <c r="M302" i="2"/>
  <c r="V302" i="2" s="1"/>
  <c r="M290" i="2"/>
  <c r="V290" i="2" s="1"/>
  <c r="M291" i="2"/>
  <c r="V291" i="2" s="1"/>
  <c r="M412" i="2"/>
  <c r="V412" i="2" s="1"/>
  <c r="M413" i="2"/>
  <c r="V413" i="2" s="1"/>
  <c r="M414" i="2"/>
  <c r="V414" i="2" s="1"/>
  <c r="M415" i="2"/>
  <c r="V415" i="2" s="1"/>
  <c r="M416" i="2"/>
  <c r="V416" i="2" s="1"/>
  <c r="M417" i="2"/>
  <c r="V417" i="2" s="1"/>
  <c r="M389" i="2"/>
  <c r="V389" i="2" s="1"/>
  <c r="M390" i="2"/>
  <c r="V390" i="2" s="1"/>
  <c r="M391" i="2"/>
  <c r="V391" i="2" s="1"/>
  <c r="M392" i="2"/>
  <c r="V392" i="2" s="1"/>
  <c r="M393" i="2"/>
  <c r="V393" i="2" s="1"/>
  <c r="M394" i="2"/>
  <c r="V394" i="2" s="1"/>
  <c r="M395" i="2"/>
  <c r="V395" i="2" s="1"/>
  <c r="M396" i="2"/>
  <c r="V396" i="2" s="1"/>
  <c r="M397" i="2"/>
  <c r="V397" i="2" s="1"/>
  <c r="M398" i="2"/>
  <c r="V398" i="2" s="1"/>
  <c r="M399" i="2"/>
  <c r="V399" i="2" s="1"/>
  <c r="M364" i="2"/>
  <c r="V364" i="2" s="1"/>
  <c r="M365" i="2"/>
  <c r="V365" i="2" s="1"/>
  <c r="M366" i="2"/>
  <c r="V366" i="2" s="1"/>
  <c r="M367" i="2"/>
  <c r="V367" i="2" s="1"/>
  <c r="M369" i="2"/>
  <c r="V369" i="2" s="1"/>
  <c r="M370" i="2"/>
  <c r="V370" i="2" s="1"/>
  <c r="M371" i="2"/>
  <c r="V371" i="2" s="1"/>
  <c r="M372" i="2"/>
  <c r="V372" i="2" s="1"/>
  <c r="M358" i="2"/>
  <c r="V358" i="2" s="1"/>
  <c r="M359" i="2"/>
  <c r="V359" i="2" s="1"/>
  <c r="M360" i="2"/>
  <c r="V360" i="2" s="1"/>
  <c r="M361" i="2"/>
  <c r="V361" i="2" s="1"/>
  <c r="M362" i="2"/>
  <c r="V362" i="2" s="1"/>
  <c r="M352" i="2"/>
  <c r="V352" i="2" s="1"/>
  <c r="M353" i="2"/>
  <c r="V353" i="2" s="1"/>
  <c r="M243" i="2"/>
  <c r="V243" i="2" s="1"/>
  <c r="M244" i="2"/>
  <c r="V244" i="2" s="1"/>
  <c r="M226" i="2"/>
  <c r="V226" i="2" s="1"/>
  <c r="M227" i="2"/>
  <c r="V227" i="2" s="1"/>
  <c r="M228" i="2"/>
  <c r="V228" i="2" s="1"/>
  <c r="M229" i="2"/>
  <c r="V229" i="2" s="1"/>
  <c r="M230" i="2"/>
  <c r="V230" i="2" s="1"/>
  <c r="M123" i="2"/>
  <c r="V123" i="2" s="1"/>
  <c r="M124" i="2"/>
  <c r="V124" i="2" s="1"/>
  <c r="M125" i="2"/>
  <c r="V125" i="2" s="1"/>
  <c r="M461" i="2"/>
  <c r="V461" i="2" s="1"/>
  <c r="M94" i="2"/>
  <c r="V94" i="2" s="1"/>
  <c r="M95" i="2"/>
  <c r="V95" i="2" s="1"/>
  <c r="M96" i="2"/>
  <c r="V96" i="2" s="1"/>
  <c r="M97" i="2"/>
  <c r="V97" i="2" s="1"/>
  <c r="M547" i="2"/>
  <c r="V547" i="2" s="1"/>
  <c r="M548" i="2"/>
  <c r="V548" i="2" s="1"/>
  <c r="M549" i="2"/>
  <c r="V549" i="2" s="1"/>
  <c r="M533" i="2"/>
  <c r="V533" i="2" s="1"/>
  <c r="M534" i="2"/>
  <c r="V534" i="2" s="1"/>
  <c r="M535" i="2"/>
  <c r="V535" i="2" s="1"/>
  <c r="M536" i="2"/>
  <c r="V536" i="2" s="1"/>
  <c r="M537" i="2"/>
  <c r="V537" i="2" s="1"/>
  <c r="M538" i="2"/>
  <c r="V538" i="2" s="1"/>
  <c r="M539" i="2"/>
  <c r="V539" i="2" s="1"/>
  <c r="M540" i="2"/>
  <c r="V540" i="2" s="1"/>
  <c r="M14" i="2"/>
  <c r="V14" i="2" s="1"/>
  <c r="M15" i="2"/>
  <c r="V15" i="2" s="1"/>
  <c r="M16" i="2"/>
  <c r="V16" i="2" s="1"/>
  <c r="M237" i="2"/>
  <c r="V237" i="2" s="1"/>
  <c r="M238" i="2"/>
  <c r="V238" i="2" s="1"/>
  <c r="M239" i="2"/>
  <c r="V239" i="2" s="1"/>
  <c r="M240" i="2"/>
  <c r="V240" i="2" s="1"/>
  <c r="M222" i="2"/>
  <c r="V222" i="2" s="1"/>
  <c r="M223" i="2"/>
  <c r="V223" i="2" s="1"/>
  <c r="M224" i="2"/>
  <c r="V224" i="2" s="1"/>
  <c r="M225" i="2"/>
  <c r="V225" i="2" s="1"/>
  <c r="M487" i="2"/>
  <c r="V487" i="2" s="1"/>
  <c r="M488" i="2"/>
  <c r="V488" i="2" s="1"/>
  <c r="M489" i="2"/>
  <c r="V489" i="2" s="1"/>
  <c r="M490" i="2"/>
  <c r="V490" i="2" s="1"/>
  <c r="M491" i="2"/>
  <c r="V491" i="2" s="1"/>
  <c r="M635" i="2"/>
  <c r="V635" i="2" s="1"/>
  <c r="M636" i="2"/>
  <c r="V636" i="2" s="1"/>
  <c r="M625" i="2"/>
  <c r="V625" i="2" s="1"/>
  <c r="M626" i="2"/>
  <c r="V626" i="2" s="1"/>
  <c r="M627" i="2"/>
  <c r="V627" i="2" s="1"/>
  <c r="M628" i="2"/>
  <c r="V628" i="2" s="1"/>
  <c r="M629" i="2"/>
  <c r="V629" i="2" s="1"/>
  <c r="M601" i="2"/>
  <c r="V601" i="2" s="1"/>
  <c r="M602" i="2"/>
  <c r="V602" i="2" s="1"/>
  <c r="M603" i="2"/>
  <c r="V603" i="2" s="1"/>
  <c r="M604" i="2"/>
  <c r="V604" i="2" s="1"/>
  <c r="M571" i="2"/>
  <c r="V571" i="2" s="1"/>
  <c r="M572" i="2"/>
  <c r="V572" i="2" s="1"/>
  <c r="M573" i="2"/>
  <c r="V573" i="2" s="1"/>
  <c r="M590" i="2"/>
  <c r="V590" i="2" s="1"/>
  <c r="M591" i="2"/>
  <c r="V591" i="2" s="1"/>
  <c r="M592" i="2"/>
  <c r="V592" i="2" s="1"/>
  <c r="M383" i="2"/>
  <c r="V383" i="2" s="1"/>
  <c r="M384" i="2"/>
  <c r="V384" i="2" s="1"/>
  <c r="M385" i="2"/>
  <c r="V385" i="2" s="1"/>
  <c r="M386" i="2"/>
  <c r="V386" i="2" s="1"/>
  <c r="M387" i="2"/>
  <c r="V387" i="2" s="1"/>
  <c r="M388" i="2"/>
  <c r="V388" i="2" s="1"/>
  <c r="M437" i="2"/>
  <c r="V437" i="2" s="1"/>
  <c r="M438" i="2"/>
  <c r="V438" i="2" s="1"/>
  <c r="M264" i="2"/>
  <c r="V264" i="2" s="1"/>
  <c r="M265" i="2"/>
  <c r="V265" i="2" s="1"/>
  <c r="M266" i="2"/>
  <c r="V266" i="2" s="1"/>
  <c r="M267" i="2"/>
  <c r="V267" i="2" s="1"/>
  <c r="M79" i="2"/>
  <c r="V79" i="2" s="1"/>
  <c r="M80" i="2"/>
  <c r="V80" i="2" s="1"/>
  <c r="M81" i="2"/>
  <c r="V81" i="2" s="1"/>
  <c r="M82" i="2"/>
  <c r="V82" i="2" s="1"/>
  <c r="M120" i="2"/>
  <c r="V120" i="2" s="1"/>
  <c r="M121" i="2"/>
  <c r="V121" i="2" s="1"/>
  <c r="M122" i="2"/>
  <c r="V122" i="2" s="1"/>
  <c r="M623" i="2"/>
  <c r="V623" i="2" s="1"/>
  <c r="M624" i="2"/>
  <c r="V624" i="2" s="1"/>
  <c r="M103" i="2"/>
  <c r="V103" i="2" s="1"/>
  <c r="M104" i="2"/>
  <c r="V104" i="2" s="1"/>
  <c r="M105" i="2"/>
  <c r="V105" i="2" s="1"/>
  <c r="M106" i="2"/>
  <c r="V106" i="2" s="1"/>
  <c r="M107" i="2"/>
  <c r="V107" i="2" s="1"/>
  <c r="M421" i="2"/>
  <c r="V421" i="2" s="1"/>
  <c r="M422" i="2"/>
  <c r="V422" i="2" s="1"/>
  <c r="M423" i="2"/>
  <c r="V423" i="2" s="1"/>
  <c r="M424" i="2"/>
  <c r="V424" i="2" s="1"/>
  <c r="M425" i="2"/>
  <c r="V425" i="2" s="1"/>
  <c r="M426" i="2"/>
  <c r="V426" i="2" s="1"/>
  <c r="M427" i="2"/>
  <c r="V427" i="2" s="1"/>
  <c r="M368" i="2"/>
  <c r="V368" i="2" s="1"/>
  <c r="M405" i="2"/>
  <c r="V405" i="2" s="1"/>
  <c r="M406" i="2"/>
  <c r="V406" i="2" s="1"/>
  <c r="M555" i="2"/>
  <c r="V555" i="2" s="1"/>
  <c r="M556" i="2"/>
  <c r="V556" i="2" s="1"/>
  <c r="M557" i="2"/>
  <c r="V557" i="2" s="1"/>
  <c r="M630" i="2"/>
  <c r="V630" i="2" s="1"/>
  <c r="M631" i="2"/>
  <c r="V631" i="2" s="1"/>
  <c r="M632" i="2"/>
  <c r="V632" i="2" s="1"/>
  <c r="M633" i="2"/>
  <c r="V633" i="2" s="1"/>
  <c r="M634" i="2"/>
  <c r="V634" i="2" s="1"/>
  <c r="M511" i="2"/>
  <c r="V511" i="2" s="1"/>
  <c r="M512" i="2"/>
  <c r="V512" i="2" s="1"/>
  <c r="M407" i="2"/>
  <c r="V407" i="2" s="1"/>
  <c r="M408" i="2"/>
  <c r="V408" i="2" s="1"/>
  <c r="M409" i="2"/>
  <c r="V409" i="2" s="1"/>
  <c r="M410" i="2"/>
  <c r="V410" i="2" s="1"/>
  <c r="M411" i="2"/>
  <c r="V411" i="2" s="1"/>
  <c r="M597" i="2"/>
  <c r="V597" i="2" s="1"/>
  <c r="M598" i="2"/>
  <c r="V598" i="2" s="1"/>
  <c r="M599" i="2"/>
  <c r="V599" i="2" s="1"/>
  <c r="M600" i="2"/>
  <c r="V600" i="2" s="1"/>
  <c r="M208" i="2"/>
  <c r="V208" i="2" s="1"/>
  <c r="M209" i="2"/>
  <c r="V209" i="2" s="1"/>
  <c r="M210" i="2"/>
  <c r="V210" i="2" s="1"/>
  <c r="M211" i="2"/>
  <c r="V211" i="2" s="1"/>
  <c r="M543" i="2"/>
  <c r="V543" i="2" s="1"/>
  <c r="M544" i="2"/>
  <c r="V544" i="2" s="1"/>
  <c r="M545" i="2"/>
  <c r="V545" i="2" s="1"/>
  <c r="M546" i="2"/>
  <c r="V546" i="2" s="1"/>
  <c r="M560" i="2"/>
  <c r="V560" i="2" s="1"/>
  <c r="M561" i="2"/>
  <c r="V561" i="2" s="1"/>
  <c r="M562" i="2"/>
  <c r="V562" i="2" s="1"/>
  <c r="M563" i="2"/>
  <c r="V563" i="2" s="1"/>
  <c r="M241" i="2"/>
  <c r="V241" i="2" s="1"/>
  <c r="M242" i="2"/>
  <c r="V242" i="2" s="1"/>
  <c r="M108" i="2"/>
  <c r="V108" i="2" s="1"/>
  <c r="M109" i="2"/>
  <c r="V109" i="2" s="1"/>
  <c r="M110" i="2"/>
  <c r="V110" i="2" s="1"/>
  <c r="M517" i="2"/>
  <c r="V517" i="2" s="1"/>
  <c r="M579" i="2"/>
  <c r="V579" i="2" s="1"/>
  <c r="M580" i="2"/>
  <c r="V580" i="2" s="1"/>
  <c r="M581" i="2"/>
  <c r="V581" i="2" s="1"/>
  <c r="M582" i="2"/>
  <c r="V582" i="2" s="1"/>
  <c r="M583" i="2"/>
  <c r="V583" i="2" s="1"/>
  <c r="M558" i="2"/>
  <c r="V558" i="2" s="1"/>
  <c r="M559" i="2"/>
  <c r="V559" i="2" s="1"/>
  <c r="M271" i="2"/>
  <c r="V271" i="2" s="1"/>
  <c r="M272" i="2"/>
  <c r="V272" i="2" s="1"/>
  <c r="M292" i="2"/>
  <c r="V292" i="2" s="1"/>
  <c r="M293" i="2"/>
  <c r="V293" i="2" s="1"/>
  <c r="M294" i="2"/>
  <c r="V294" i="2" s="1"/>
  <c r="M71" i="2"/>
  <c r="V71" i="2" s="1"/>
  <c r="M72" i="2"/>
  <c r="V72" i="2" s="1"/>
  <c r="M202" i="2"/>
  <c r="V202" i="2" s="1"/>
  <c r="M203" i="2"/>
  <c r="V203" i="2" s="1"/>
  <c r="M204" i="2"/>
  <c r="V204" i="2" s="1"/>
  <c r="M205" i="2"/>
  <c r="V205" i="2" s="1"/>
  <c r="M206" i="2"/>
  <c r="V206" i="2" s="1"/>
  <c r="M419" i="2"/>
  <c r="V419" i="2" s="1"/>
  <c r="M420" i="2"/>
  <c r="V420" i="2" s="1"/>
  <c r="M522" i="2"/>
  <c r="V522" i="2" s="1"/>
  <c r="M523" i="2"/>
  <c r="V523" i="2" s="1"/>
  <c r="M459" i="2"/>
  <c r="V459" i="2" s="1"/>
  <c r="M460" i="2"/>
  <c r="V460" i="2" s="1"/>
  <c r="M343" i="2"/>
  <c r="V343" i="2" s="1"/>
  <c r="M344" i="2"/>
  <c r="V344" i="2" s="1"/>
  <c r="M345" i="2"/>
  <c r="V345" i="2" s="1"/>
  <c r="M346" i="2"/>
  <c r="V346" i="2" s="1"/>
  <c r="M347" i="2"/>
  <c r="V347" i="2" s="1"/>
  <c r="M53" i="2"/>
  <c r="V53" i="2" s="1"/>
  <c r="M54" i="2"/>
  <c r="V54" i="2" s="1"/>
  <c r="M55" i="2"/>
  <c r="V55" i="2" s="1"/>
  <c r="M56" i="2"/>
  <c r="V56" i="2" s="1"/>
  <c r="M518" i="2"/>
  <c r="V518" i="2" s="1"/>
  <c r="M519" i="2"/>
  <c r="V519" i="2" s="1"/>
  <c r="M520" i="2"/>
  <c r="V520" i="2" s="1"/>
  <c r="M541" i="2"/>
  <c r="V541" i="2" s="1"/>
  <c r="M542" i="2"/>
  <c r="V542" i="2" s="1"/>
  <c r="M480" i="2"/>
  <c r="V480" i="2" s="1"/>
  <c r="M481" i="2"/>
  <c r="V481" i="2" s="1"/>
  <c r="M30" i="2"/>
  <c r="V30" i="2" s="1"/>
  <c r="M31" i="2"/>
  <c r="V31" i="2" s="1"/>
  <c r="M32" i="2"/>
  <c r="V32" i="2" s="1"/>
  <c r="M33" i="2"/>
  <c r="V33" i="2" s="1"/>
  <c r="M478" i="2"/>
  <c r="V478" i="2" s="1"/>
  <c r="M479" i="2"/>
  <c r="V479" i="2" s="1"/>
  <c r="M531" i="2"/>
  <c r="V531" i="2" s="1"/>
  <c r="M532" i="2"/>
  <c r="V532" i="2" s="1"/>
  <c r="M41" i="2"/>
  <c r="V41" i="2" s="1"/>
  <c r="M42" i="2"/>
  <c r="V42" i="2" s="1"/>
  <c r="M43" i="2"/>
  <c r="V43" i="2" s="1"/>
  <c r="M44" i="2"/>
  <c r="V44" i="2" s="1"/>
  <c r="M492" i="2"/>
  <c r="V492" i="2" s="1"/>
  <c r="M493" i="2"/>
  <c r="V493" i="2" s="1"/>
  <c r="M51" i="2"/>
  <c r="V51" i="2" s="1"/>
  <c r="M52" i="2"/>
  <c r="V52" i="2" s="1"/>
  <c r="M231" i="2"/>
  <c r="V231" i="2" s="1"/>
  <c r="M232" i="2"/>
  <c r="V232" i="2" s="1"/>
  <c r="M233" i="2"/>
  <c r="V233" i="2" s="1"/>
  <c r="M234" i="2"/>
  <c r="V234" i="2" s="1"/>
  <c r="M303" i="2"/>
  <c r="V303" i="2" s="1"/>
  <c r="M304" i="2"/>
  <c r="V304" i="2" s="1"/>
  <c r="M305" i="2"/>
  <c r="V305" i="2" s="1"/>
  <c r="M306" i="2"/>
  <c r="V306" i="2" s="1"/>
  <c r="M307" i="2"/>
  <c r="V307" i="2" s="1"/>
  <c r="M308" i="2"/>
  <c r="V308" i="2" s="1"/>
  <c r="M620" i="2"/>
  <c r="V620" i="2" s="1"/>
  <c r="M621" i="2"/>
  <c r="V621" i="2" s="1"/>
  <c r="M622" i="2"/>
  <c r="V622" i="2" s="1"/>
  <c r="M45" i="2"/>
  <c r="V45" i="2" s="1"/>
  <c r="M57" i="2"/>
  <c r="V57" i="2" s="1"/>
  <c r="M58" i="2"/>
  <c r="V58" i="2" s="1"/>
  <c r="M59" i="2"/>
  <c r="V59" i="2" s="1"/>
  <c r="M378" i="2"/>
  <c r="V378" i="2" s="1"/>
  <c r="M379" i="2"/>
  <c r="V379" i="2" s="1"/>
  <c r="M380" i="2"/>
  <c r="V380" i="2" s="1"/>
  <c r="M381" i="2"/>
  <c r="V381" i="2" s="1"/>
  <c r="M382" i="2"/>
  <c r="V382" i="2" s="1"/>
  <c r="M215" i="2"/>
  <c r="V215" i="2" s="1"/>
  <c r="M216" i="2"/>
  <c r="V216" i="2" s="1"/>
  <c r="M217" i="2"/>
  <c r="V217" i="2" s="1"/>
  <c r="M218" i="2"/>
  <c r="V218" i="2" s="1"/>
  <c r="M219" i="2"/>
  <c r="V219" i="2" s="1"/>
  <c r="M220" i="2"/>
  <c r="V220" i="2" s="1"/>
  <c r="M221" i="2"/>
  <c r="V221" i="2" s="1"/>
  <c r="M128" i="2"/>
  <c r="V128" i="2" s="1"/>
  <c r="M129" i="2"/>
  <c r="V129" i="2" s="1"/>
  <c r="M130" i="2"/>
  <c r="V130" i="2" s="1"/>
  <c r="M131" i="2"/>
  <c r="V131" i="2" s="1"/>
  <c r="M617" i="2"/>
  <c r="V617" i="2" s="1"/>
  <c r="M618" i="2"/>
  <c r="V618" i="2" s="1"/>
  <c r="M619" i="2"/>
  <c r="V619" i="2" s="1"/>
  <c r="M457" i="2"/>
  <c r="V457" i="2" s="1"/>
  <c r="M458" i="2"/>
  <c r="V458" i="2" s="1"/>
  <c r="M24" i="2"/>
  <c r="V24" i="2" s="1"/>
  <c r="M608" i="2"/>
  <c r="V608" i="2" s="1"/>
  <c r="M609" i="2"/>
  <c r="V609" i="2" s="1"/>
  <c r="M610" i="2"/>
  <c r="V610" i="2" s="1"/>
  <c r="M611" i="2"/>
  <c r="V611" i="2" s="1"/>
  <c r="M40" i="2"/>
  <c r="V40" i="2" s="1"/>
  <c r="M550" i="2"/>
  <c r="V550" i="2" s="1"/>
  <c r="M551" i="2"/>
  <c r="V551" i="2" s="1"/>
  <c r="M356" i="2"/>
  <c r="V356" i="2" s="1"/>
  <c r="M357" i="2"/>
  <c r="V357" i="2" s="1"/>
  <c r="M470" i="2"/>
  <c r="V470" i="2" s="1"/>
  <c r="M471" i="2"/>
  <c r="V471" i="2" s="1"/>
  <c r="M472" i="2"/>
  <c r="V472" i="2" s="1"/>
  <c r="M564" i="2"/>
  <c r="V564" i="2" s="1"/>
  <c r="M565" i="2"/>
  <c r="V565" i="2" s="1"/>
  <c r="M566" i="2"/>
  <c r="V566" i="2" s="1"/>
  <c r="M567" i="2"/>
  <c r="V567" i="2" s="1"/>
  <c r="M452" i="2"/>
  <c r="V452" i="2" s="1"/>
  <c r="M570" i="2"/>
  <c r="V570" i="2" s="1"/>
  <c r="M577" i="2"/>
  <c r="V577" i="2" s="1"/>
  <c r="M578" i="2"/>
  <c r="V578" i="2" s="1"/>
  <c r="M614" i="2"/>
  <c r="V614" i="2" s="1"/>
  <c r="M615" i="2"/>
  <c r="V615" i="2" s="1"/>
  <c r="M616" i="2"/>
  <c r="V616" i="2" s="1"/>
  <c r="M376" i="2"/>
  <c r="V376" i="2" s="1"/>
  <c r="M377" i="2"/>
  <c r="V377" i="2" s="1"/>
  <c r="M588" i="2"/>
  <c r="V588" i="2" s="1"/>
  <c r="M589" i="2"/>
  <c r="V589" i="2" s="1"/>
  <c r="M338" i="2"/>
  <c r="V338" i="2" s="1"/>
  <c r="M339" i="2"/>
  <c r="V339" i="2" s="1"/>
  <c r="M340" i="2"/>
  <c r="V340" i="2" s="1"/>
  <c r="M341" i="2"/>
  <c r="V341" i="2" s="1"/>
  <c r="M342" i="2"/>
  <c r="V342" i="2" s="1"/>
  <c r="M482" i="2"/>
  <c r="V482" i="2" s="1"/>
  <c r="M483" i="2"/>
  <c r="V483" i="2" s="1"/>
  <c r="M484" i="2"/>
  <c r="V484" i="2" s="1"/>
  <c r="M485" i="2"/>
  <c r="V485" i="2" s="1"/>
  <c r="M486" i="2"/>
  <c r="V486" i="2" s="1"/>
  <c r="M60" i="2"/>
  <c r="V60" i="2" s="1"/>
  <c r="M61" i="2"/>
  <c r="V61" i="2" s="1"/>
  <c r="M62" i="2"/>
  <c r="V62" i="2" s="1"/>
  <c r="M63" i="2"/>
  <c r="V63" i="2" s="1"/>
  <c r="M64" i="2"/>
  <c r="V64" i="2" s="1"/>
  <c r="M65" i="2"/>
  <c r="V65" i="2" s="1"/>
  <c r="M428" i="2"/>
  <c r="V428" i="2" s="1"/>
  <c r="M17" i="2"/>
  <c r="V17" i="2" s="1"/>
  <c r="M18" i="2"/>
  <c r="V18" i="2" s="1"/>
  <c r="M19" i="2"/>
  <c r="V19" i="2" s="1"/>
  <c r="M20" i="2"/>
  <c r="V20" i="2" s="1"/>
  <c r="M21" i="2"/>
  <c r="V21" i="2" s="1"/>
  <c r="M46" i="2"/>
  <c r="V46" i="2" s="1"/>
  <c r="M47" i="2"/>
  <c r="V47" i="2" s="1"/>
  <c r="M48" i="2"/>
  <c r="V48" i="2" s="1"/>
  <c r="M49" i="2"/>
  <c r="V49" i="2" s="1"/>
  <c r="M50" i="2"/>
  <c r="V50" i="2" s="1"/>
  <c r="M187" i="2"/>
  <c r="V187" i="2" s="1"/>
  <c r="M188" i="2"/>
  <c r="V188" i="2" s="1"/>
  <c r="M189" i="2"/>
  <c r="V189" i="2" s="1"/>
  <c r="M190" i="2"/>
  <c r="V190" i="2" s="1"/>
  <c r="M191" i="2"/>
  <c r="V191" i="2" s="1"/>
  <c r="M185" i="2"/>
  <c r="V185" i="2" s="1"/>
  <c r="M186" i="2"/>
  <c r="V186" i="2" s="1"/>
  <c r="M172" i="2"/>
  <c r="V172" i="2" s="1"/>
  <c r="M173" i="2"/>
  <c r="V173" i="2" s="1"/>
  <c r="M174" i="2"/>
  <c r="V174" i="2" s="1"/>
  <c r="M168" i="2"/>
  <c r="V168" i="2" s="1"/>
  <c r="M169" i="2"/>
  <c r="V169" i="2" s="1"/>
  <c r="M170" i="2"/>
  <c r="V170" i="2" s="1"/>
  <c r="M171" i="2"/>
  <c r="V171" i="2" s="1"/>
  <c r="M165" i="2"/>
  <c r="V165" i="2" s="1"/>
  <c r="M166" i="2"/>
  <c r="V166" i="2" s="1"/>
  <c r="M167" i="2"/>
  <c r="V167" i="2" s="1"/>
  <c r="M198" i="2"/>
  <c r="V198" i="2" s="1"/>
  <c r="M199" i="2"/>
  <c r="V199" i="2" s="1"/>
  <c r="M200" i="2"/>
  <c r="V200" i="2" s="1"/>
  <c r="M201" i="2"/>
  <c r="V201" i="2" s="1"/>
  <c r="M207" i="2"/>
  <c r="V207" i="2" s="1"/>
  <c r="M192" i="2"/>
  <c r="V192" i="2" s="1"/>
  <c r="M193" i="2"/>
  <c r="V193" i="2" s="1"/>
  <c r="M194" i="2"/>
  <c r="V194" i="2" s="1"/>
  <c r="M196" i="2"/>
  <c r="V196" i="2" s="1"/>
  <c r="M197" i="2"/>
  <c r="V197" i="2" s="1"/>
  <c r="M138" i="2"/>
  <c r="V138" i="2" s="1"/>
  <c r="M139" i="2"/>
  <c r="V139" i="2" s="1"/>
  <c r="M140" i="2"/>
  <c r="V140" i="2" s="1"/>
  <c r="M158" i="2"/>
  <c r="V158" i="2" s="1"/>
  <c r="M159" i="2"/>
  <c r="V159" i="2" s="1"/>
  <c r="M141" i="2"/>
  <c r="V141" i="2" s="1"/>
  <c r="M142" i="2"/>
  <c r="V142" i="2" s="1"/>
  <c r="M152" i="2"/>
  <c r="V152" i="2" s="1"/>
  <c r="M153" i="2"/>
  <c r="V153" i="2" s="1"/>
  <c r="M160" i="2"/>
  <c r="V160" i="2" s="1"/>
  <c r="M161" i="2"/>
  <c r="V161" i="2" s="1"/>
  <c r="M162" i="2"/>
  <c r="V162" i="2" s="1"/>
  <c r="M154" i="2"/>
  <c r="V154" i="2" s="1"/>
  <c r="M155" i="2"/>
  <c r="V155" i="2" s="1"/>
  <c r="M156" i="2"/>
  <c r="V156" i="2" s="1"/>
  <c r="M157" i="2"/>
  <c r="V157" i="2" s="1"/>
  <c r="M143" i="2"/>
  <c r="V143" i="2" s="1"/>
  <c r="M144" i="2"/>
  <c r="V144" i="2" s="1"/>
  <c r="M145" i="2"/>
  <c r="V145" i="2" s="1"/>
  <c r="M146" i="2"/>
  <c r="V146" i="2" s="1"/>
  <c r="M134" i="2"/>
  <c r="V134" i="2" s="1"/>
  <c r="M135" i="2"/>
  <c r="V135" i="2" s="1"/>
  <c r="M136" i="2"/>
  <c r="V136" i="2" s="1"/>
  <c r="M137" i="2"/>
  <c r="V137" i="2" s="1"/>
  <c r="M507" i="2"/>
  <c r="V507" i="2" s="1"/>
  <c r="M508" i="2"/>
  <c r="V508" i="2" s="1"/>
  <c r="M509" i="2"/>
  <c r="V509" i="2" s="1"/>
  <c r="M510" i="2"/>
  <c r="V510" i="2" s="1"/>
  <c r="M180" i="2"/>
  <c r="V180" i="2" s="1"/>
  <c r="M181" i="2"/>
  <c r="V181" i="2" s="1"/>
  <c r="M584" i="2"/>
  <c r="V584" i="2" s="1"/>
  <c r="M585" i="2"/>
  <c r="V585" i="2" s="1"/>
  <c r="M586" i="2"/>
  <c r="V586" i="2" s="1"/>
  <c r="M587" i="2"/>
  <c r="V587" i="2" s="1"/>
  <c r="M284" i="2"/>
  <c r="V284" i="2" s="1"/>
  <c r="M285" i="2"/>
  <c r="V285" i="2" s="1"/>
  <c r="M212" i="2"/>
  <c r="V212" i="2" s="1"/>
  <c r="M450" i="2"/>
  <c r="V450" i="2" s="1"/>
  <c r="M451" i="2"/>
  <c r="V451" i="2" s="1"/>
  <c r="M430" i="2"/>
  <c r="V430" i="2" s="1"/>
  <c r="M431" i="2"/>
  <c r="V431" i="2" s="1"/>
  <c r="M330" i="2"/>
  <c r="V330" i="2" s="1"/>
  <c r="M331" i="2"/>
  <c r="V331" i="2" s="1"/>
  <c r="M332" i="2"/>
  <c r="V332" i="2" s="1"/>
  <c r="M333" i="2"/>
  <c r="V333" i="2" s="1"/>
  <c r="M35" i="2"/>
  <c r="V35" i="2" s="1"/>
  <c r="M36" i="2"/>
  <c r="V36" i="2" s="1"/>
  <c r="M38" i="2"/>
  <c r="V38" i="2" s="1"/>
  <c r="M39" i="2"/>
  <c r="V39" i="2" s="1"/>
  <c r="M400" i="2"/>
  <c r="V400" i="2" s="1"/>
  <c r="M401" i="2"/>
  <c r="V401" i="2" s="1"/>
  <c r="M402" i="2"/>
  <c r="V402" i="2" s="1"/>
  <c r="M569" i="2"/>
  <c r="V569" i="2" s="1"/>
  <c r="M245" i="2"/>
  <c r="V245" i="2" s="1"/>
  <c r="M246" i="2"/>
  <c r="V246" i="2" s="1"/>
  <c r="M247" i="2"/>
  <c r="V247" i="2" s="1"/>
  <c r="M28" i="2"/>
  <c r="V28" i="2" s="1"/>
  <c r="M29" i="2"/>
  <c r="V29" i="2" s="1"/>
  <c r="M526" i="2"/>
  <c r="V526" i="2" s="1"/>
  <c r="M527" i="2"/>
  <c r="V527" i="2" s="1"/>
  <c r="M175" i="2"/>
  <c r="V175" i="2" s="1"/>
  <c r="M176" i="2"/>
  <c r="V176" i="2" s="1"/>
  <c r="M177" i="2"/>
  <c r="V177" i="2" s="1"/>
  <c r="M474" i="2"/>
  <c r="V474" i="2" s="1"/>
  <c r="M475" i="2"/>
  <c r="V475" i="2" s="1"/>
  <c r="M476" i="2"/>
  <c r="V476" i="2" s="1"/>
  <c r="M477" i="2"/>
  <c r="V477" i="2" s="1"/>
  <c r="M605" i="2"/>
  <c r="V605" i="2" s="1"/>
  <c r="M606" i="2"/>
  <c r="V606" i="2" s="1"/>
  <c r="M607" i="2"/>
  <c r="V607" i="2" s="1"/>
  <c r="M12" i="2"/>
  <c r="V12" i="2" s="1"/>
  <c r="M13" i="2"/>
  <c r="V13" i="2" s="1"/>
  <c r="M280" i="2"/>
  <c r="V280" i="2" s="1"/>
  <c r="M373" i="2"/>
  <c r="V373" i="2" s="1"/>
  <c r="M374" i="2"/>
  <c r="V374" i="2" s="1"/>
  <c r="M375" i="2"/>
  <c r="V375" i="2" s="1"/>
  <c r="M403" i="2"/>
  <c r="V403" i="2" s="1"/>
  <c r="M404" i="2"/>
  <c r="V404" i="2" s="1"/>
  <c r="M429" i="2"/>
  <c r="V429" i="2" s="1"/>
  <c r="M454" i="2"/>
  <c r="V454" i="2" s="1"/>
  <c r="M455" i="2"/>
  <c r="V455" i="2" s="1"/>
  <c r="M456" i="2"/>
  <c r="V456" i="2" s="1"/>
  <c r="M646" i="2"/>
  <c r="V646" i="2" s="1"/>
  <c r="M647" i="2"/>
  <c r="V647" i="2" s="1"/>
  <c r="M648" i="2"/>
  <c r="V648" i="2" s="1"/>
  <c r="M649" i="2"/>
  <c r="V649" i="2" s="1"/>
  <c r="M494" i="2"/>
  <c r="V494" i="2" s="1"/>
  <c r="M495" i="2"/>
  <c r="V495" i="2" s="1"/>
  <c r="M496" i="2"/>
  <c r="V496" i="2" s="1"/>
  <c r="M22" i="2"/>
  <c r="V22" i="2" s="1"/>
  <c r="M23" i="2"/>
  <c r="V23" i="2" s="1"/>
  <c r="M288" i="2"/>
  <c r="V288" i="2" s="1"/>
  <c r="M289" i="2"/>
  <c r="V289" i="2" s="1"/>
  <c r="M643" i="2"/>
  <c r="V643" i="2" s="1"/>
  <c r="M644" i="2"/>
  <c r="V644" i="2" s="1"/>
  <c r="M645" i="2"/>
  <c r="V645" i="2" s="1"/>
  <c r="M278" i="2"/>
  <c r="V278" i="2" s="1"/>
  <c r="M279" i="2"/>
  <c r="V279" i="2" s="1"/>
  <c r="M473" i="2"/>
  <c r="V473" i="2" s="1"/>
  <c r="M37" i="2"/>
  <c r="V37" i="2" s="1"/>
  <c r="M182" i="2"/>
  <c r="V182" i="2" s="1"/>
  <c r="M286" i="2"/>
  <c r="V286" i="2" s="1"/>
  <c r="M287" i="2"/>
  <c r="V287" i="2" s="1"/>
  <c r="M363" i="2"/>
  <c r="V363" i="2" s="1"/>
  <c r="M641" i="2"/>
  <c r="V641" i="2" s="1"/>
  <c r="M642" i="2"/>
  <c r="V642" i="2" s="1"/>
  <c r="M497" i="2"/>
  <c r="V497" i="2" s="1"/>
  <c r="M498" i="2"/>
  <c r="V498" i="2" s="1"/>
  <c r="M499" i="2"/>
  <c r="V499" i="2" s="1"/>
  <c r="M500" i="2"/>
  <c r="V500" i="2" s="1"/>
  <c r="M501" i="2"/>
  <c r="V501" i="2" s="1"/>
  <c r="M281" i="2"/>
  <c r="V281" i="2" s="1"/>
  <c r="M282" i="2"/>
  <c r="V282" i="2" s="1"/>
  <c r="M283" i="2"/>
  <c r="V283" i="2" s="1"/>
  <c r="M435" i="2"/>
  <c r="V435" i="2" s="1"/>
  <c r="M436" i="2"/>
  <c r="V436" i="2" s="1"/>
  <c r="M270" i="2"/>
  <c r="V270" i="2" s="1"/>
  <c r="M528" i="2"/>
  <c r="V528" i="2" s="1"/>
  <c r="M529" i="2"/>
  <c r="V529" i="2" s="1"/>
  <c r="M530" i="2"/>
  <c r="V530" i="2" s="1"/>
  <c r="M524" i="2"/>
  <c r="V524" i="2" s="1"/>
  <c r="M525" i="2"/>
  <c r="V525" i="2" s="1"/>
  <c r="M213" i="2"/>
  <c r="V213" i="2" s="1"/>
  <c r="M214" i="2"/>
  <c r="V214" i="2" s="1"/>
  <c r="M34" i="2"/>
  <c r="V34" i="2" s="1"/>
  <c r="M351" i="2"/>
  <c r="V351" i="2" s="1"/>
  <c r="M334" i="2"/>
  <c r="V334" i="2" s="1"/>
  <c r="M335" i="2"/>
  <c r="V335" i="2" s="1"/>
  <c r="M336" i="2"/>
  <c r="V336" i="2" s="1"/>
  <c r="M337" i="2"/>
  <c r="V337" i="2" s="1"/>
  <c r="M147" i="2"/>
  <c r="V147" i="2" s="1"/>
  <c r="M148" i="2"/>
  <c r="V148" i="2" s="1"/>
  <c r="M149" i="2"/>
  <c r="V149" i="2" s="1"/>
  <c r="M150" i="2"/>
  <c r="V150" i="2" s="1"/>
  <c r="M151" i="2"/>
  <c r="V151" i="2" s="1"/>
  <c r="M637" i="2"/>
  <c r="V637" i="2" s="1"/>
  <c r="M638" i="2"/>
  <c r="V638" i="2" s="1"/>
  <c r="M639" i="2"/>
  <c r="V639" i="2" s="1"/>
  <c r="M640" i="2"/>
  <c r="V640" i="2" s="1"/>
  <c r="M73" i="2"/>
  <c r="V73" i="2" s="1"/>
  <c r="M74" i="2"/>
  <c r="V74" i="2" s="1"/>
  <c r="M75" i="2"/>
  <c r="V75" i="2" s="1"/>
  <c r="M76" i="2"/>
  <c r="V76" i="2" s="1"/>
  <c r="M77" i="2"/>
  <c r="V77" i="2" s="1"/>
  <c r="M78" i="2"/>
  <c r="V78" i="2" s="1"/>
  <c r="M88" i="2"/>
  <c r="V88" i="2" s="1"/>
  <c r="M89" i="2"/>
  <c r="V89" i="2" s="1"/>
  <c r="M90" i="2"/>
  <c r="V90" i="2" s="1"/>
  <c r="M432" i="2"/>
  <c r="V432" i="2" s="1"/>
  <c r="AD37" i="2" l="1"/>
  <c r="AD158" i="2"/>
  <c r="AD486" i="2"/>
  <c r="AD377" i="2"/>
  <c r="AD564" i="2"/>
  <c r="AD608" i="2"/>
  <c r="AD220" i="2"/>
  <c r="AD58" i="2"/>
  <c r="AD234" i="2"/>
  <c r="AD532" i="2"/>
  <c r="AD520" i="2"/>
  <c r="AD460" i="2"/>
  <c r="AD71" i="2"/>
  <c r="AD579" i="2"/>
  <c r="AD545" i="2"/>
  <c r="AD410" i="2"/>
  <c r="AD556" i="2"/>
  <c r="AD107" i="2"/>
  <c r="AD80" i="2"/>
  <c r="AD384" i="2"/>
  <c r="AD629" i="2"/>
  <c r="AD225" i="2"/>
  <c r="AD539" i="2"/>
  <c r="AD95" i="2"/>
  <c r="AD243" i="2"/>
  <c r="AD367" i="2"/>
  <c r="AD391" i="2"/>
  <c r="AD301" i="2"/>
  <c r="AD318" i="2"/>
  <c r="AD321" i="2"/>
  <c r="AD250" i="2"/>
  <c r="AD612" i="2"/>
  <c r="AD441" i="2"/>
  <c r="AD447" i="2"/>
  <c r="AD70" i="2"/>
  <c r="AD574" i="2"/>
  <c r="AD89" i="2"/>
  <c r="AD151" i="2"/>
  <c r="AD213" i="2"/>
  <c r="AD501" i="2"/>
  <c r="AD473" i="2"/>
  <c r="AD494" i="2"/>
  <c r="AD374" i="2"/>
  <c r="AD177" i="2"/>
  <c r="AD401" i="2"/>
  <c r="AD451" i="2"/>
  <c r="AD509" i="2"/>
  <c r="AD156" i="2"/>
  <c r="AD140" i="2"/>
  <c r="AD198" i="2"/>
  <c r="AD185" i="2"/>
  <c r="AD20" i="2"/>
  <c r="AD485" i="2"/>
  <c r="AD376" i="2"/>
  <c r="AD472" i="2"/>
  <c r="AD24" i="2"/>
  <c r="AD219" i="2"/>
  <c r="AD57" i="2"/>
  <c r="AD233" i="2"/>
  <c r="AD531" i="2"/>
  <c r="AD519" i="2"/>
  <c r="AD459" i="2"/>
  <c r="AD294" i="2"/>
  <c r="AD517" i="2"/>
  <c r="AD544" i="2"/>
  <c r="AD409" i="2"/>
  <c r="AD555" i="2"/>
  <c r="AD106" i="2"/>
  <c r="AD79" i="2"/>
  <c r="AD383" i="2"/>
  <c r="AD628" i="2"/>
  <c r="AD224" i="2"/>
  <c r="AD538" i="2"/>
  <c r="AD94" i="2"/>
  <c r="AD353" i="2"/>
  <c r="AD366" i="2"/>
  <c r="AD390" i="2"/>
  <c r="AD300" i="2"/>
  <c r="AD317" i="2"/>
  <c r="AD554" i="2"/>
  <c r="AD249" i="2"/>
  <c r="AD164" i="2"/>
  <c r="AD440" i="2"/>
  <c r="AD446" i="2"/>
  <c r="AD69" i="2"/>
  <c r="AD297" i="2"/>
  <c r="AD281" i="2"/>
  <c r="AD199" i="2"/>
  <c r="AD500" i="2"/>
  <c r="AD450" i="2"/>
  <c r="AD191" i="2"/>
  <c r="AD218" i="2"/>
  <c r="AD110" i="2"/>
  <c r="AD223" i="2"/>
  <c r="AD248" i="2"/>
  <c r="AD524" i="2"/>
  <c r="AD39" i="2"/>
  <c r="AD190" i="2"/>
  <c r="AD217" i="2"/>
  <c r="AD522" i="2"/>
  <c r="AD104" i="2"/>
  <c r="AD125" i="2"/>
  <c r="AD102" i="2"/>
  <c r="AD498" i="2"/>
  <c r="AD137" i="2"/>
  <c r="AD614" i="2"/>
  <c r="AD55" i="2"/>
  <c r="AD512" i="2"/>
  <c r="AD590" i="2"/>
  <c r="AD399" i="2"/>
  <c r="AD258" i="2"/>
  <c r="AD434" i="2"/>
  <c r="AD76" i="2"/>
  <c r="AD147" i="2"/>
  <c r="AD529" i="2"/>
  <c r="AD497" i="2"/>
  <c r="AD644" i="2"/>
  <c r="AD646" i="2"/>
  <c r="AD12" i="2"/>
  <c r="AD526" i="2"/>
  <c r="AD36" i="2"/>
  <c r="AD284" i="2"/>
  <c r="AD136" i="2"/>
  <c r="AD161" i="2"/>
  <c r="AD196" i="2"/>
  <c r="AD171" i="2"/>
  <c r="AD188" i="2"/>
  <c r="AD428" i="2"/>
  <c r="AD342" i="2"/>
  <c r="AD578" i="2"/>
  <c r="AD356" i="2"/>
  <c r="AD618" i="2"/>
  <c r="AD215" i="2"/>
  <c r="AD620" i="2"/>
  <c r="AD51" i="2"/>
  <c r="AD32" i="2"/>
  <c r="AD54" i="2"/>
  <c r="AD419" i="2"/>
  <c r="AD271" i="2"/>
  <c r="AD242" i="2"/>
  <c r="AD209" i="2"/>
  <c r="AD511" i="2"/>
  <c r="AD427" i="2"/>
  <c r="AD624" i="2"/>
  <c r="AD264" i="2"/>
  <c r="AD573" i="2"/>
  <c r="AD636" i="2"/>
  <c r="AD239" i="2"/>
  <c r="AD534" i="2"/>
  <c r="AD123" i="2"/>
  <c r="AD360" i="2"/>
  <c r="AD398" i="2"/>
  <c r="AD415" i="2"/>
  <c r="AD313" i="2"/>
  <c r="AD328" i="2"/>
  <c r="AD262" i="2"/>
  <c r="AD257" i="2"/>
  <c r="AD277" i="2"/>
  <c r="AD466" i="2"/>
  <c r="AD26" i="2"/>
  <c r="AD119" i="2"/>
  <c r="AD433" i="2"/>
  <c r="AD214" i="2"/>
  <c r="AD510" i="2"/>
  <c r="AD150" i="2"/>
  <c r="AD176" i="2"/>
  <c r="AD167" i="2"/>
  <c r="AD471" i="2"/>
  <c r="AD523" i="2"/>
  <c r="AD592" i="2"/>
  <c r="AD316" i="2"/>
  <c r="AD499" i="2"/>
  <c r="AD212" i="2"/>
  <c r="AD470" i="2"/>
  <c r="AD552" i="2"/>
  <c r="AD527" i="2"/>
  <c r="AD189" i="2"/>
  <c r="AD52" i="2"/>
  <c r="AD263" i="2"/>
  <c r="AD467" i="2"/>
  <c r="AD642" i="2"/>
  <c r="AD135" i="2"/>
  <c r="AD170" i="2"/>
  <c r="AD187" i="2"/>
  <c r="AD65" i="2"/>
  <c r="AD341" i="2"/>
  <c r="AD577" i="2"/>
  <c r="AD551" i="2"/>
  <c r="AD617" i="2"/>
  <c r="AD382" i="2"/>
  <c r="AD308" i="2"/>
  <c r="AD493" i="2"/>
  <c r="AD31" i="2"/>
  <c r="AD53" i="2"/>
  <c r="AD206" i="2"/>
  <c r="AD559" i="2"/>
  <c r="AD241" i="2"/>
  <c r="AD208" i="2"/>
  <c r="AD634" i="2"/>
  <c r="AD426" i="2"/>
  <c r="AD623" i="2"/>
  <c r="AD438" i="2"/>
  <c r="AD572" i="2"/>
  <c r="AD635" i="2"/>
  <c r="AD238" i="2"/>
  <c r="AD533" i="2"/>
  <c r="AD230" i="2"/>
  <c r="AD359" i="2"/>
  <c r="AD397" i="2"/>
  <c r="AD414" i="2"/>
  <c r="AD312" i="2"/>
  <c r="AD327" i="2"/>
  <c r="AD596" i="2"/>
  <c r="AD256" i="2"/>
  <c r="AD276" i="2"/>
  <c r="AD11" i="2"/>
  <c r="AD25" i="2"/>
  <c r="AD118" i="2"/>
  <c r="AD90" i="2"/>
  <c r="AD402" i="2"/>
  <c r="AD518" i="2"/>
  <c r="AD105" i="2"/>
  <c r="AD352" i="2"/>
  <c r="AD439" i="2"/>
  <c r="AD56" i="2"/>
  <c r="AD405" i="2"/>
  <c r="AD536" i="2"/>
  <c r="AD298" i="2"/>
  <c r="AD67" i="2"/>
  <c r="AD13" i="2"/>
  <c r="AD165" i="2"/>
  <c r="AD619" i="2"/>
  <c r="AD108" i="2"/>
  <c r="AD361" i="2"/>
  <c r="AD456" i="2"/>
  <c r="AD74" i="2"/>
  <c r="AD333" i="2"/>
  <c r="AD586" i="2"/>
  <c r="AD134" i="2"/>
  <c r="AD153" i="2"/>
  <c r="AD193" i="2"/>
  <c r="AD169" i="2"/>
  <c r="AD50" i="2"/>
  <c r="AD64" i="2"/>
  <c r="AD340" i="2"/>
  <c r="AD570" i="2"/>
  <c r="AD550" i="2"/>
  <c r="AD131" i="2"/>
  <c r="AD381" i="2"/>
  <c r="AD307" i="2"/>
  <c r="AD492" i="2"/>
  <c r="AD30" i="2"/>
  <c r="AD347" i="2"/>
  <c r="AD205" i="2"/>
  <c r="AD558" i="2"/>
  <c r="AD563" i="2"/>
  <c r="AD600" i="2"/>
  <c r="AD633" i="2"/>
  <c r="AD425" i="2"/>
  <c r="AD122" i="2"/>
  <c r="AD437" i="2"/>
  <c r="AD571" i="2"/>
  <c r="AD491" i="2"/>
  <c r="AD237" i="2"/>
  <c r="AD549" i="2"/>
  <c r="AD229" i="2"/>
  <c r="AD358" i="2"/>
  <c r="AD396" i="2"/>
  <c r="AD413" i="2"/>
  <c r="AD311" i="2"/>
  <c r="AD326" i="2"/>
  <c r="AD595" i="2"/>
  <c r="AD255" i="2"/>
  <c r="AD275" i="2"/>
  <c r="AD10" i="2"/>
  <c r="AD115" i="2"/>
  <c r="AD117" i="2"/>
  <c r="AD495" i="2"/>
  <c r="AD157" i="2"/>
  <c r="AD525" i="2"/>
  <c r="AD400" i="2"/>
  <c r="AD19" i="2"/>
  <c r="AD45" i="2"/>
  <c r="AD543" i="2"/>
  <c r="AD627" i="2"/>
  <c r="AD365" i="2"/>
  <c r="AD163" i="2"/>
  <c r="AD68" i="2"/>
  <c r="AD296" i="2"/>
  <c r="AD78" i="2"/>
  <c r="AD175" i="2"/>
  <c r="AD166" i="2"/>
  <c r="AD457" i="2"/>
  <c r="AD292" i="2"/>
  <c r="AD626" i="2"/>
  <c r="AD315" i="2"/>
  <c r="AD645" i="2"/>
  <c r="AD197" i="2"/>
  <c r="AD621" i="2"/>
  <c r="AD210" i="2"/>
  <c r="AD625" i="2"/>
  <c r="AD416" i="2"/>
  <c r="AD101" i="2"/>
  <c r="AD643" i="2"/>
  <c r="AD194" i="2"/>
  <c r="AD289" i="2"/>
  <c r="AD73" i="2"/>
  <c r="AD363" i="2"/>
  <c r="AD454" i="2"/>
  <c r="AD247" i="2"/>
  <c r="AD332" i="2"/>
  <c r="AD585" i="2"/>
  <c r="AD146" i="2"/>
  <c r="AD152" i="2"/>
  <c r="AD192" i="2"/>
  <c r="AD168" i="2"/>
  <c r="AD49" i="2"/>
  <c r="AD63" i="2"/>
  <c r="AD339" i="2"/>
  <c r="AD452" i="2"/>
  <c r="AD40" i="2"/>
  <c r="AD130" i="2"/>
  <c r="AD380" i="2"/>
  <c r="AD306" i="2"/>
  <c r="AD44" i="2"/>
  <c r="AD481" i="2"/>
  <c r="AD346" i="2"/>
  <c r="AD204" i="2"/>
  <c r="AD583" i="2"/>
  <c r="AD562" i="2"/>
  <c r="AD599" i="2"/>
  <c r="AD632" i="2"/>
  <c r="AD424" i="2"/>
  <c r="AD121" i="2"/>
  <c r="AD388" i="2"/>
  <c r="AD604" i="2"/>
  <c r="AD490" i="2"/>
  <c r="AD16" i="2"/>
  <c r="AD548" i="2"/>
  <c r="AD228" i="2"/>
  <c r="AD372" i="2"/>
  <c r="AD395" i="2"/>
  <c r="AD412" i="2"/>
  <c r="AD310" i="2"/>
  <c r="AD325" i="2"/>
  <c r="AD594" i="2"/>
  <c r="AD254" i="2"/>
  <c r="AD274" i="2"/>
  <c r="AD9" i="2"/>
  <c r="AD114" i="2"/>
  <c r="AD116" i="2"/>
  <c r="AD637" i="2"/>
  <c r="AD430" i="2"/>
  <c r="AD88" i="2"/>
  <c r="AD373" i="2"/>
  <c r="AD139" i="2"/>
  <c r="AD458" i="2"/>
  <c r="AD293" i="2"/>
  <c r="AD267" i="2"/>
  <c r="AD553" i="2"/>
  <c r="AD280" i="2"/>
  <c r="AD138" i="2"/>
  <c r="AD615" i="2"/>
  <c r="AD478" i="2"/>
  <c r="AD407" i="2"/>
  <c r="AD222" i="2"/>
  <c r="AD364" i="2"/>
  <c r="AD259" i="2"/>
  <c r="AD295" i="2"/>
  <c r="AD77" i="2"/>
  <c r="AD647" i="2"/>
  <c r="AD162" i="2"/>
  <c r="AD357" i="2"/>
  <c r="AD420" i="2"/>
  <c r="AD103" i="2"/>
  <c r="AD240" i="2"/>
  <c r="AD314" i="2"/>
  <c r="AD66" i="2"/>
  <c r="AD337" i="2"/>
  <c r="AD29" i="2"/>
  <c r="AD160" i="2"/>
  <c r="AD641" i="2"/>
  <c r="AD455" i="2"/>
  <c r="AD436" i="2"/>
  <c r="AD288" i="2"/>
  <c r="AD605" i="2"/>
  <c r="AD640" i="2"/>
  <c r="AD334" i="2"/>
  <c r="AD435" i="2"/>
  <c r="AD287" i="2"/>
  <c r="AD23" i="2"/>
  <c r="AD429" i="2"/>
  <c r="AD477" i="2"/>
  <c r="AD246" i="2"/>
  <c r="AD331" i="2"/>
  <c r="AD584" i="2"/>
  <c r="AD145" i="2"/>
  <c r="AD142" i="2"/>
  <c r="AD207" i="2"/>
  <c r="AD174" i="2"/>
  <c r="AD48" i="2"/>
  <c r="AD62" i="2"/>
  <c r="AD338" i="2"/>
  <c r="AD567" i="2"/>
  <c r="AD611" i="2"/>
  <c r="AD129" i="2"/>
  <c r="AD379" i="2"/>
  <c r="AD305" i="2"/>
  <c r="AD43" i="2"/>
  <c r="AD480" i="2"/>
  <c r="AD345" i="2"/>
  <c r="AD203" i="2"/>
  <c r="AD582" i="2"/>
  <c r="AD561" i="2"/>
  <c r="AD598" i="2"/>
  <c r="AD631" i="2"/>
  <c r="AD423" i="2"/>
  <c r="AD120" i="2"/>
  <c r="AD387" i="2"/>
  <c r="AD603" i="2"/>
  <c r="AD489" i="2"/>
  <c r="AD15" i="2"/>
  <c r="AD547" i="2"/>
  <c r="AD227" i="2"/>
  <c r="AD371" i="2"/>
  <c r="AD394" i="2"/>
  <c r="AD291" i="2"/>
  <c r="AD309" i="2"/>
  <c r="AD324" i="2"/>
  <c r="AD593" i="2"/>
  <c r="AD253" i="2"/>
  <c r="AD273" i="2"/>
  <c r="AD8" i="2"/>
  <c r="AD113" i="2"/>
  <c r="AD98" i="2"/>
  <c r="AD375" i="2"/>
  <c r="AD186" i="2"/>
  <c r="AD279" i="2"/>
  <c r="AD155" i="2"/>
  <c r="AD616" i="2"/>
  <c r="AD479" i="2"/>
  <c r="AD406" i="2"/>
  <c r="AD461" i="2"/>
  <c r="AD389" i="2"/>
  <c r="AD445" i="2"/>
  <c r="AD278" i="2"/>
  <c r="AD507" i="2"/>
  <c r="AD18" i="2"/>
  <c r="AD622" i="2"/>
  <c r="AD211" i="2"/>
  <c r="AD591" i="2"/>
  <c r="AD417" i="2"/>
  <c r="AD444" i="2"/>
  <c r="AD148" i="2"/>
  <c r="AD285" i="2"/>
  <c r="AD482" i="2"/>
  <c r="AD33" i="2"/>
  <c r="AD368" i="2"/>
  <c r="AD124" i="2"/>
  <c r="AD528" i="2"/>
  <c r="AD35" i="2"/>
  <c r="AD336" i="2"/>
  <c r="AD28" i="2"/>
  <c r="AD639" i="2"/>
  <c r="AD283" i="2"/>
  <c r="AD22" i="2"/>
  <c r="AD476" i="2"/>
  <c r="AD245" i="2"/>
  <c r="AD330" i="2"/>
  <c r="AD181" i="2"/>
  <c r="AD144" i="2"/>
  <c r="AD141" i="2"/>
  <c r="AD201" i="2"/>
  <c r="AD173" i="2"/>
  <c r="AD47" i="2"/>
  <c r="AD61" i="2"/>
  <c r="AD589" i="2"/>
  <c r="AD566" i="2"/>
  <c r="AD610" i="2"/>
  <c r="AD128" i="2"/>
  <c r="AD378" i="2"/>
  <c r="AD304" i="2"/>
  <c r="AD42" i="2"/>
  <c r="AD542" i="2"/>
  <c r="AD344" i="2"/>
  <c r="AD202" i="2"/>
  <c r="AD581" i="2"/>
  <c r="AD560" i="2"/>
  <c r="AD597" i="2"/>
  <c r="AD630" i="2"/>
  <c r="AD422" i="2"/>
  <c r="AD82" i="2"/>
  <c r="AD386" i="2"/>
  <c r="AD602" i="2"/>
  <c r="AD488" i="2"/>
  <c r="AD14" i="2"/>
  <c r="AD97" i="2"/>
  <c r="AD226" i="2"/>
  <c r="AD370" i="2"/>
  <c r="AD393" i="2"/>
  <c r="AD290" i="2"/>
  <c r="AD320" i="2"/>
  <c r="AD323" i="2"/>
  <c r="AD252" i="2"/>
  <c r="AD521" i="2"/>
  <c r="AD443" i="2"/>
  <c r="AD449" i="2"/>
  <c r="AD112" i="2"/>
  <c r="AD576" i="2"/>
  <c r="AD474" i="2"/>
  <c r="AD21" i="2"/>
  <c r="AD649" i="2"/>
  <c r="AD508" i="2"/>
  <c r="AD484" i="2"/>
  <c r="AD232" i="2"/>
  <c r="AD408" i="2"/>
  <c r="AD537" i="2"/>
  <c r="AD299" i="2"/>
  <c r="AD149" i="2"/>
  <c r="AD648" i="2"/>
  <c r="AD154" i="2"/>
  <c r="AD483" i="2"/>
  <c r="AD231" i="2"/>
  <c r="AD109" i="2"/>
  <c r="AD266" i="2"/>
  <c r="AD362" i="2"/>
  <c r="AD468" i="2"/>
  <c r="AD530" i="2"/>
  <c r="AD38" i="2"/>
  <c r="AD17" i="2"/>
  <c r="AD216" i="2"/>
  <c r="AD272" i="2"/>
  <c r="AD265" i="2"/>
  <c r="AD535" i="2"/>
  <c r="AD329" i="2"/>
  <c r="AD27" i="2"/>
  <c r="AD75" i="2"/>
  <c r="AD607" i="2"/>
  <c r="AD587" i="2"/>
  <c r="AD270" i="2"/>
  <c r="AD606" i="2"/>
  <c r="AD335" i="2"/>
  <c r="AD351" i="2"/>
  <c r="AD286" i="2"/>
  <c r="AD404" i="2"/>
  <c r="AD432" i="2"/>
  <c r="AD638" i="2"/>
  <c r="AD34" i="2"/>
  <c r="AD282" i="2"/>
  <c r="AD182" i="2"/>
  <c r="AD496" i="2"/>
  <c r="AD403" i="2"/>
  <c r="AD475" i="2"/>
  <c r="AD569" i="2"/>
  <c r="AD431" i="2"/>
  <c r="AD180" i="2"/>
  <c r="AD143" i="2"/>
  <c r="AD159" i="2"/>
  <c r="AD200" i="2"/>
  <c r="AD172" i="2"/>
  <c r="AD46" i="2"/>
  <c r="AD60" i="2"/>
  <c r="AD588" i="2"/>
  <c r="AD565" i="2"/>
  <c r="AD609" i="2"/>
  <c r="AD221" i="2"/>
  <c r="AD59" i="2"/>
  <c r="AD303" i="2"/>
  <c r="AD41" i="2"/>
  <c r="AD541" i="2"/>
  <c r="AD343" i="2"/>
  <c r="AD72" i="2"/>
  <c r="AD580" i="2"/>
  <c r="AD546" i="2"/>
  <c r="AD411" i="2"/>
  <c r="AD557" i="2"/>
  <c r="AD421" i="2"/>
  <c r="AD81" i="2"/>
  <c r="AD385" i="2"/>
  <c r="AD601" i="2"/>
  <c r="AD487" i="2"/>
  <c r="AD540" i="2"/>
  <c r="AD96" i="2"/>
  <c r="AD244" i="2"/>
  <c r="AD369" i="2"/>
  <c r="AD392" i="2"/>
  <c r="AD302" i="2"/>
  <c r="AD319" i="2"/>
  <c r="AD322" i="2"/>
  <c r="AD251" i="2"/>
  <c r="AD613" i="2"/>
  <c r="AD442" i="2"/>
  <c r="AD448" i="2"/>
  <c r="AD111" i="2"/>
  <c r="AD575" i="2"/>
  <c r="C14" i="55"/>
  <c r="C9" i="55" s="1"/>
  <c r="C6" i="55"/>
  <c r="C5" i="55"/>
  <c r="C27" i="55"/>
  <c r="C26" i="55"/>
  <c r="C36" i="55"/>
  <c r="C39" i="55"/>
  <c r="C38" i="55"/>
  <c r="C37" i="55"/>
  <c r="C35" i="55"/>
  <c r="C31" i="55"/>
  <c r="C34" i="55"/>
  <c r="C33" i="55"/>
  <c r="C32" i="55"/>
  <c r="C30" i="55"/>
  <c r="C25" i="55"/>
  <c r="C29" i="55"/>
  <c r="C40" i="55"/>
  <c r="Y433" i="2"/>
  <c r="Y434" i="2"/>
  <c r="Y295" i="2"/>
  <c r="Y296" i="2"/>
  <c r="Y297" i="2"/>
  <c r="Y574" i="2"/>
  <c r="Y575" i="2"/>
  <c r="Y576" i="2"/>
  <c r="Y98" i="2"/>
  <c r="Y116" i="2"/>
  <c r="Y117" i="2"/>
  <c r="Y118" i="2"/>
  <c r="Y119" i="2"/>
  <c r="Y66" i="2"/>
  <c r="Y67" i="2"/>
  <c r="Y68" i="2"/>
  <c r="Y69" i="2"/>
  <c r="Y70" i="2"/>
  <c r="Y111" i="2"/>
  <c r="Y112" i="2"/>
  <c r="Y113" i="2"/>
  <c r="Y114" i="2"/>
  <c r="Y115" i="2"/>
  <c r="Y25" i="2"/>
  <c r="Y26" i="2"/>
  <c r="Y27" i="2"/>
  <c r="Y444" i="2"/>
  <c r="Y445" i="2"/>
  <c r="Y446" i="2"/>
  <c r="Y447" i="2"/>
  <c r="Y448" i="2"/>
  <c r="Y449" i="2"/>
  <c r="Y8" i="2"/>
  <c r="Y9" i="2"/>
  <c r="Y10" i="2"/>
  <c r="Y11" i="2"/>
  <c r="Y466" i="2"/>
  <c r="Y467" i="2"/>
  <c r="Y468" i="2"/>
  <c r="Y439" i="2"/>
  <c r="Y440" i="2"/>
  <c r="Y441" i="2"/>
  <c r="Y442" i="2"/>
  <c r="Y443" i="2"/>
  <c r="Y273" i="2"/>
  <c r="Y274" i="2"/>
  <c r="Y275" i="2"/>
  <c r="Y276" i="2"/>
  <c r="Y277" i="2"/>
  <c r="Y101" i="2"/>
  <c r="Y102" i="2"/>
  <c r="Y163" i="2"/>
  <c r="Y164" i="2"/>
  <c r="Y612" i="2"/>
  <c r="Y613" i="2"/>
  <c r="Y521" i="2"/>
  <c r="Y253" i="2"/>
  <c r="Y254" i="2"/>
  <c r="Y255" i="2"/>
  <c r="Y256" i="2"/>
  <c r="Y257" i="2"/>
  <c r="Y258" i="2"/>
  <c r="Y259" i="2"/>
  <c r="Y248" i="2"/>
  <c r="Y249" i="2"/>
  <c r="Y250" i="2"/>
  <c r="Y251" i="2"/>
  <c r="Y252" i="2"/>
  <c r="Y593" i="2"/>
  <c r="Y594" i="2"/>
  <c r="Y595" i="2"/>
  <c r="Y596" i="2"/>
  <c r="Y262" i="2"/>
  <c r="Y263" i="2"/>
  <c r="Y552" i="2"/>
  <c r="Y553" i="2"/>
  <c r="Y554" i="2"/>
  <c r="Y321" i="2"/>
  <c r="Y322" i="2"/>
  <c r="Y323" i="2"/>
  <c r="Y324" i="2"/>
  <c r="Y325" i="2"/>
  <c r="Y326" i="2"/>
  <c r="Y327" i="2"/>
  <c r="Y328" i="2"/>
  <c r="Y329" i="2"/>
  <c r="Y315" i="2"/>
  <c r="Y316" i="2"/>
  <c r="Y317" i="2"/>
  <c r="Y318" i="2"/>
  <c r="Y319" i="2"/>
  <c r="Y320" i="2"/>
  <c r="Y309" i="2"/>
  <c r="Y310" i="2"/>
  <c r="Y311" i="2"/>
  <c r="Y312" i="2"/>
  <c r="Y313" i="2"/>
  <c r="Y314" i="2"/>
  <c r="Y298" i="2"/>
  <c r="Y299" i="2"/>
  <c r="Y300" i="2"/>
  <c r="Y301" i="2"/>
  <c r="Y302" i="2"/>
  <c r="Y290" i="2"/>
  <c r="Y291" i="2"/>
  <c r="Y412" i="2"/>
  <c r="Y413" i="2"/>
  <c r="Y414" i="2"/>
  <c r="Y415" i="2"/>
  <c r="Y416" i="2"/>
  <c r="Y417" i="2"/>
  <c r="Y389" i="2"/>
  <c r="Y390" i="2"/>
  <c r="Y391" i="2"/>
  <c r="Y392" i="2"/>
  <c r="Y393" i="2"/>
  <c r="Y394" i="2"/>
  <c r="Y395" i="2"/>
  <c r="Y396" i="2"/>
  <c r="Y397" i="2"/>
  <c r="Y398" i="2"/>
  <c r="Y399" i="2"/>
  <c r="Y364" i="2"/>
  <c r="Y365" i="2"/>
  <c r="Y366" i="2"/>
  <c r="Y367" i="2"/>
  <c r="Y369" i="2"/>
  <c r="Y370" i="2"/>
  <c r="Y371" i="2"/>
  <c r="Y372" i="2"/>
  <c r="Y358" i="2"/>
  <c r="Y359" i="2"/>
  <c r="Y360" i="2"/>
  <c r="Y361" i="2"/>
  <c r="Y362" i="2"/>
  <c r="Y352" i="2"/>
  <c r="Y353" i="2"/>
  <c r="Y243" i="2"/>
  <c r="Y244" i="2"/>
  <c r="Y226" i="2"/>
  <c r="Y227" i="2"/>
  <c r="Y228" i="2"/>
  <c r="Y229" i="2"/>
  <c r="Y230" i="2"/>
  <c r="Y123" i="2"/>
  <c r="Y124" i="2"/>
  <c r="Y125" i="2"/>
  <c r="Y461" i="2"/>
  <c r="Y94" i="2"/>
  <c r="Y95" i="2"/>
  <c r="Y96" i="2"/>
  <c r="Y97" i="2"/>
  <c r="Y547" i="2"/>
  <c r="Y548" i="2"/>
  <c r="Y549" i="2"/>
  <c r="Y533" i="2"/>
  <c r="Y534" i="2"/>
  <c r="Y535" i="2"/>
  <c r="Y536" i="2"/>
  <c r="Y537" i="2"/>
  <c r="Y538" i="2"/>
  <c r="Y539" i="2"/>
  <c r="Y540" i="2"/>
  <c r="Y14" i="2"/>
  <c r="Y15" i="2"/>
  <c r="Y16" i="2"/>
  <c r="Y237" i="2"/>
  <c r="Y238" i="2"/>
  <c r="Y239" i="2"/>
  <c r="Y240" i="2"/>
  <c r="Y222" i="2"/>
  <c r="Y223" i="2"/>
  <c r="Y224" i="2"/>
  <c r="Y225" i="2"/>
  <c r="Y487" i="2"/>
  <c r="Y488" i="2"/>
  <c r="Y489" i="2"/>
  <c r="Y490" i="2"/>
  <c r="Y491" i="2"/>
  <c r="Y635" i="2"/>
  <c r="Y636" i="2"/>
  <c r="Y625" i="2"/>
  <c r="Y626" i="2"/>
  <c r="Y627" i="2"/>
  <c r="Y628" i="2"/>
  <c r="Y629" i="2"/>
  <c r="Y601" i="2"/>
  <c r="Y602" i="2"/>
  <c r="Y603" i="2"/>
  <c r="Y604" i="2"/>
  <c r="Y571" i="2"/>
  <c r="Y572" i="2"/>
  <c r="Y573" i="2"/>
  <c r="Y590" i="2"/>
  <c r="Y591" i="2"/>
  <c r="Y592" i="2"/>
  <c r="Y383" i="2"/>
  <c r="Y384" i="2"/>
  <c r="Y385" i="2"/>
  <c r="Y386" i="2"/>
  <c r="Y387" i="2"/>
  <c r="Y388" i="2"/>
  <c r="Y437" i="2"/>
  <c r="Y438" i="2"/>
  <c r="Y264" i="2"/>
  <c r="Y265" i="2"/>
  <c r="Y266" i="2"/>
  <c r="Y267" i="2"/>
  <c r="Y79" i="2"/>
  <c r="Y80" i="2"/>
  <c r="Y81" i="2"/>
  <c r="Y82" i="2"/>
  <c r="Y120" i="2"/>
  <c r="Y121" i="2"/>
  <c r="Y122" i="2"/>
  <c r="Y623" i="2"/>
  <c r="Y624" i="2"/>
  <c r="Y103" i="2"/>
  <c r="Y104" i="2"/>
  <c r="Y105" i="2"/>
  <c r="Y106" i="2"/>
  <c r="Y107" i="2"/>
  <c r="Y421" i="2"/>
  <c r="Y422" i="2"/>
  <c r="Y423" i="2"/>
  <c r="Y424" i="2"/>
  <c r="Y425" i="2"/>
  <c r="Y426" i="2"/>
  <c r="Y427" i="2"/>
  <c r="Y368" i="2"/>
  <c r="Y405" i="2"/>
  <c r="Y406" i="2"/>
  <c r="Y555" i="2"/>
  <c r="Y556" i="2"/>
  <c r="Y557" i="2"/>
  <c r="Y630" i="2"/>
  <c r="Y631" i="2"/>
  <c r="Y632" i="2"/>
  <c r="Y633" i="2"/>
  <c r="Y634" i="2"/>
  <c r="Y511" i="2"/>
  <c r="Y512" i="2"/>
  <c r="Y407" i="2"/>
  <c r="Y408" i="2"/>
  <c r="Y409" i="2"/>
  <c r="Y410" i="2"/>
  <c r="Y411" i="2"/>
  <c r="Y597" i="2"/>
  <c r="Y598" i="2"/>
  <c r="Y599" i="2"/>
  <c r="Y600" i="2"/>
  <c r="Y208" i="2"/>
  <c r="Y209" i="2"/>
  <c r="Y210" i="2"/>
  <c r="Y211" i="2"/>
  <c r="Y543" i="2"/>
  <c r="Y544" i="2"/>
  <c r="Y545" i="2"/>
  <c r="Y546" i="2"/>
  <c r="Y560" i="2"/>
  <c r="Y561" i="2"/>
  <c r="Y562" i="2"/>
  <c r="Y563" i="2"/>
  <c r="Y241" i="2"/>
  <c r="Y242" i="2"/>
  <c r="Y108" i="2"/>
  <c r="Y109" i="2"/>
  <c r="Y110" i="2"/>
  <c r="Y517" i="2"/>
  <c r="Y579" i="2"/>
  <c r="Y580" i="2"/>
  <c r="Y581" i="2"/>
  <c r="Y582" i="2"/>
  <c r="Y583" i="2"/>
  <c r="Y558" i="2"/>
  <c r="Y559" i="2"/>
  <c r="Y271" i="2"/>
  <c r="Y272" i="2"/>
  <c r="Y292" i="2"/>
  <c r="Y293" i="2"/>
  <c r="Y294" i="2"/>
  <c r="Y71" i="2"/>
  <c r="Y72" i="2"/>
  <c r="Y202" i="2"/>
  <c r="Y203" i="2"/>
  <c r="Y204" i="2"/>
  <c r="Y205" i="2"/>
  <c r="Y206" i="2"/>
  <c r="Y419" i="2"/>
  <c r="Y420" i="2"/>
  <c r="Y522" i="2"/>
  <c r="Y523" i="2"/>
  <c r="Y459" i="2"/>
  <c r="Y460" i="2"/>
  <c r="Y343" i="2"/>
  <c r="Y344" i="2"/>
  <c r="Y345" i="2"/>
  <c r="Y346" i="2"/>
  <c r="Y347" i="2"/>
  <c r="Y53" i="2"/>
  <c r="Y54" i="2"/>
  <c r="Y55" i="2"/>
  <c r="Y56" i="2"/>
  <c r="Y518" i="2"/>
  <c r="Y519" i="2"/>
  <c r="Y520" i="2"/>
  <c r="Y541" i="2"/>
  <c r="Y542" i="2"/>
  <c r="Y480" i="2"/>
  <c r="Y481" i="2"/>
  <c r="Y30" i="2"/>
  <c r="Y31" i="2"/>
  <c r="Y32" i="2"/>
  <c r="Y33" i="2"/>
  <c r="Y478" i="2"/>
  <c r="Y479" i="2"/>
  <c r="Y531" i="2"/>
  <c r="Y532" i="2"/>
  <c r="Y41" i="2"/>
  <c r="Y42" i="2"/>
  <c r="Y43" i="2"/>
  <c r="Y44" i="2"/>
  <c r="Y492" i="2"/>
  <c r="Y493" i="2"/>
  <c r="Y51" i="2"/>
  <c r="Y52" i="2"/>
  <c r="Y231" i="2"/>
  <c r="Y232" i="2"/>
  <c r="Y233" i="2"/>
  <c r="Y234" i="2"/>
  <c r="Y303" i="2"/>
  <c r="Y304" i="2"/>
  <c r="Y305" i="2"/>
  <c r="Y306" i="2"/>
  <c r="Y307" i="2"/>
  <c r="Y308" i="2"/>
  <c r="Y620" i="2"/>
  <c r="Y621" i="2"/>
  <c r="Y622" i="2"/>
  <c r="Y45" i="2"/>
  <c r="Y57" i="2"/>
  <c r="Y58" i="2"/>
  <c r="Y59" i="2"/>
  <c r="Y378" i="2"/>
  <c r="Y379" i="2"/>
  <c r="Y380" i="2"/>
  <c r="Y381" i="2"/>
  <c r="Y382" i="2"/>
  <c r="Y215" i="2"/>
  <c r="Y216" i="2"/>
  <c r="Y217" i="2"/>
  <c r="Y218" i="2"/>
  <c r="Y219" i="2"/>
  <c r="Y220" i="2"/>
  <c r="Y221" i="2"/>
  <c r="Y128" i="2"/>
  <c r="Y129" i="2"/>
  <c r="Y130" i="2"/>
  <c r="Y131" i="2"/>
  <c r="Y617" i="2"/>
  <c r="Y618" i="2"/>
  <c r="Y619" i="2"/>
  <c r="Y457" i="2"/>
  <c r="Y458" i="2"/>
  <c r="Y24" i="2"/>
  <c r="Y608" i="2"/>
  <c r="Y609" i="2"/>
  <c r="Y610" i="2"/>
  <c r="Y611" i="2"/>
  <c r="Y40" i="2"/>
  <c r="Y550" i="2"/>
  <c r="Y551" i="2"/>
  <c r="Y356" i="2"/>
  <c r="Y357" i="2"/>
  <c r="Y470" i="2"/>
  <c r="Y471" i="2"/>
  <c r="Y472" i="2"/>
  <c r="Y564" i="2"/>
  <c r="Y565" i="2"/>
  <c r="Y566" i="2"/>
  <c r="Y567" i="2"/>
  <c r="Y452" i="2"/>
  <c r="Y570" i="2"/>
  <c r="Y577" i="2"/>
  <c r="Y578" i="2"/>
  <c r="Y614" i="2"/>
  <c r="Y615" i="2"/>
  <c r="Y616" i="2"/>
  <c r="Y376" i="2"/>
  <c r="Y377" i="2"/>
  <c r="Y588" i="2"/>
  <c r="Y589" i="2"/>
  <c r="Y338" i="2"/>
  <c r="Y339" i="2"/>
  <c r="Y340" i="2"/>
  <c r="Y341" i="2"/>
  <c r="Y342" i="2"/>
  <c r="Y482" i="2"/>
  <c r="Y483" i="2"/>
  <c r="Y484" i="2"/>
  <c r="Y485" i="2"/>
  <c r="Y486" i="2"/>
  <c r="Y60" i="2"/>
  <c r="Y61" i="2"/>
  <c r="Y62" i="2"/>
  <c r="Y63" i="2"/>
  <c r="Y64" i="2"/>
  <c r="Y65" i="2"/>
  <c r="Y428" i="2"/>
  <c r="Y17" i="2"/>
  <c r="Y18" i="2"/>
  <c r="Y19" i="2"/>
  <c r="Y20" i="2"/>
  <c r="Y21" i="2"/>
  <c r="Y46" i="2"/>
  <c r="Y47" i="2"/>
  <c r="Y48" i="2"/>
  <c r="Y49" i="2"/>
  <c r="Y50" i="2"/>
  <c r="Y187" i="2"/>
  <c r="Y188" i="2"/>
  <c r="Y189" i="2"/>
  <c r="Y190" i="2"/>
  <c r="Y191" i="2"/>
  <c r="Y185" i="2"/>
  <c r="Y186" i="2"/>
  <c r="Y172" i="2"/>
  <c r="Y173" i="2"/>
  <c r="Y174" i="2"/>
  <c r="Y168" i="2"/>
  <c r="Y169" i="2"/>
  <c r="Y170" i="2"/>
  <c r="Y171" i="2"/>
  <c r="Y165" i="2"/>
  <c r="Y166" i="2"/>
  <c r="Y167" i="2"/>
  <c r="Y198" i="2"/>
  <c r="Y199" i="2"/>
  <c r="Y200" i="2"/>
  <c r="Y201" i="2"/>
  <c r="Y207" i="2"/>
  <c r="Y192" i="2"/>
  <c r="Y193" i="2"/>
  <c r="Y194" i="2"/>
  <c r="Y196" i="2"/>
  <c r="Y197" i="2"/>
  <c r="Y138" i="2"/>
  <c r="Y139" i="2"/>
  <c r="Y140" i="2"/>
  <c r="Y158" i="2"/>
  <c r="Y159" i="2"/>
  <c r="Y141" i="2"/>
  <c r="Y142" i="2"/>
  <c r="Y152" i="2"/>
  <c r="Y153" i="2"/>
  <c r="Y160" i="2"/>
  <c r="Y161" i="2"/>
  <c r="Y162" i="2"/>
  <c r="Y154" i="2"/>
  <c r="Y155" i="2"/>
  <c r="Y156" i="2"/>
  <c r="Y157" i="2"/>
  <c r="Y143" i="2"/>
  <c r="Y144" i="2"/>
  <c r="Y145" i="2"/>
  <c r="Y146" i="2"/>
  <c r="Y134" i="2"/>
  <c r="Y135" i="2"/>
  <c r="Y136" i="2"/>
  <c r="Y137" i="2"/>
  <c r="Y507" i="2"/>
  <c r="Y508" i="2"/>
  <c r="Y509" i="2"/>
  <c r="Y510" i="2"/>
  <c r="Y180" i="2"/>
  <c r="Y181" i="2"/>
  <c r="Y584" i="2"/>
  <c r="Y585" i="2"/>
  <c r="Y586" i="2"/>
  <c r="Y587" i="2"/>
  <c r="Y284" i="2"/>
  <c r="Y285" i="2"/>
  <c r="Y212" i="2"/>
  <c r="Y450" i="2"/>
  <c r="Y451" i="2"/>
  <c r="Y430" i="2"/>
  <c r="Y431" i="2"/>
  <c r="Y330" i="2"/>
  <c r="Y331" i="2"/>
  <c r="Y332" i="2"/>
  <c r="Y333" i="2"/>
  <c r="Y35" i="2"/>
  <c r="Y36" i="2"/>
  <c r="Y38" i="2"/>
  <c r="Y39" i="2"/>
  <c r="Y400" i="2"/>
  <c r="Y401" i="2"/>
  <c r="Y402" i="2"/>
  <c r="Y569" i="2"/>
  <c r="Y245" i="2"/>
  <c r="Y246" i="2"/>
  <c r="Y247" i="2"/>
  <c r="Y28" i="2"/>
  <c r="Y29" i="2"/>
  <c r="Y526" i="2"/>
  <c r="Y527" i="2"/>
  <c r="Y175" i="2"/>
  <c r="Y176" i="2"/>
  <c r="Y177" i="2"/>
  <c r="Y474" i="2"/>
  <c r="Y475" i="2"/>
  <c r="Y476" i="2"/>
  <c r="Y477" i="2"/>
  <c r="Y605" i="2"/>
  <c r="Y606" i="2"/>
  <c r="Y607" i="2"/>
  <c r="Y12" i="2"/>
  <c r="Y13" i="2"/>
  <c r="Y280" i="2"/>
  <c r="Y373" i="2"/>
  <c r="Y374" i="2"/>
  <c r="Y375" i="2"/>
  <c r="Y403" i="2"/>
  <c r="Y404" i="2"/>
  <c r="Y429" i="2"/>
  <c r="Y454" i="2"/>
  <c r="Y455" i="2"/>
  <c r="Y456" i="2"/>
  <c r="Y646" i="2"/>
  <c r="Y647" i="2"/>
  <c r="Y648" i="2"/>
  <c r="Y649" i="2"/>
  <c r="Y494" i="2"/>
  <c r="Y495" i="2"/>
  <c r="Y496" i="2"/>
  <c r="Y22" i="2"/>
  <c r="Y23" i="2"/>
  <c r="Y288" i="2"/>
  <c r="Y289" i="2"/>
  <c r="Y643" i="2"/>
  <c r="Y644" i="2"/>
  <c r="Y645" i="2"/>
  <c r="Y278" i="2"/>
  <c r="Y279" i="2"/>
  <c r="Y473" i="2"/>
  <c r="Y37" i="2"/>
  <c r="Y182" i="2"/>
  <c r="Y286" i="2"/>
  <c r="Y287" i="2"/>
  <c r="Y363" i="2"/>
  <c r="Y641" i="2"/>
  <c r="Y642" i="2"/>
  <c r="Y497" i="2"/>
  <c r="Y498" i="2"/>
  <c r="Y499" i="2"/>
  <c r="Y500" i="2"/>
  <c r="Y501" i="2"/>
  <c r="Y281" i="2"/>
  <c r="Y282" i="2"/>
  <c r="Y283" i="2"/>
  <c r="Y435" i="2"/>
  <c r="Y436" i="2"/>
  <c r="Y270" i="2"/>
  <c r="Y528" i="2"/>
  <c r="Y529" i="2"/>
  <c r="Y530" i="2"/>
  <c r="Y524" i="2"/>
  <c r="Y525" i="2"/>
  <c r="Y213" i="2"/>
  <c r="Y214" i="2"/>
  <c r="Y34" i="2"/>
  <c r="Y351" i="2"/>
  <c r="Y334" i="2"/>
  <c r="Y335" i="2"/>
  <c r="Y336" i="2"/>
  <c r="Y337" i="2"/>
  <c r="Y147" i="2"/>
  <c r="Y148" i="2"/>
  <c r="Y149" i="2"/>
  <c r="Y150" i="2"/>
  <c r="Y151" i="2"/>
  <c r="Y637" i="2"/>
  <c r="Y638" i="2"/>
  <c r="Y639" i="2"/>
  <c r="Y640" i="2"/>
  <c r="Y73" i="2"/>
  <c r="Y74" i="2"/>
  <c r="Y75" i="2"/>
  <c r="Y76" i="2"/>
  <c r="Y77" i="2"/>
  <c r="Y78" i="2"/>
  <c r="Y88" i="2"/>
  <c r="Y89" i="2"/>
  <c r="Y90" i="2"/>
  <c r="Y432" i="2"/>
  <c r="Q432" i="2"/>
  <c r="W432" i="2" s="1"/>
  <c r="Q433" i="2"/>
  <c r="W433" i="2" s="1"/>
  <c r="Q434" i="2"/>
  <c r="W434" i="2" s="1"/>
  <c r="Q295" i="2"/>
  <c r="W295" i="2" s="1"/>
  <c r="Q296" i="2"/>
  <c r="W296" i="2" s="1"/>
  <c r="Q297" i="2"/>
  <c r="W297" i="2" s="1"/>
  <c r="Q574" i="2"/>
  <c r="W574" i="2" s="1"/>
  <c r="Q575" i="2"/>
  <c r="W575" i="2" s="1"/>
  <c r="Q576" i="2"/>
  <c r="W576" i="2" s="1"/>
  <c r="Q98" i="2"/>
  <c r="W98" i="2" s="1"/>
  <c r="Q116" i="2"/>
  <c r="W116" i="2" s="1"/>
  <c r="Q117" i="2"/>
  <c r="W117" i="2" s="1"/>
  <c r="Q118" i="2"/>
  <c r="W118" i="2" s="1"/>
  <c r="Q119" i="2"/>
  <c r="W119" i="2" s="1"/>
  <c r="Q66" i="2"/>
  <c r="W66" i="2" s="1"/>
  <c r="Q67" i="2"/>
  <c r="W67" i="2" s="1"/>
  <c r="Q68" i="2"/>
  <c r="W68" i="2" s="1"/>
  <c r="Q69" i="2"/>
  <c r="W69" i="2" s="1"/>
  <c r="Q70" i="2"/>
  <c r="W70" i="2" s="1"/>
  <c r="Q111" i="2"/>
  <c r="W111" i="2" s="1"/>
  <c r="Q112" i="2"/>
  <c r="W112" i="2" s="1"/>
  <c r="Q113" i="2"/>
  <c r="W113" i="2" s="1"/>
  <c r="Q114" i="2"/>
  <c r="W114" i="2" s="1"/>
  <c r="Q115" i="2"/>
  <c r="W115" i="2" s="1"/>
  <c r="Q25" i="2"/>
  <c r="W25" i="2" s="1"/>
  <c r="Q26" i="2"/>
  <c r="W26" i="2" s="1"/>
  <c r="Q27" i="2"/>
  <c r="W27" i="2" s="1"/>
  <c r="Q444" i="2"/>
  <c r="W444" i="2" s="1"/>
  <c r="Q445" i="2"/>
  <c r="W445" i="2" s="1"/>
  <c r="Q446" i="2"/>
  <c r="W446" i="2" s="1"/>
  <c r="Q447" i="2"/>
  <c r="W447" i="2" s="1"/>
  <c r="Q448" i="2"/>
  <c r="W448" i="2" s="1"/>
  <c r="Q449" i="2"/>
  <c r="W449" i="2" s="1"/>
  <c r="Q8" i="2"/>
  <c r="W8" i="2" s="1"/>
  <c r="Q9" i="2"/>
  <c r="W9" i="2" s="1"/>
  <c r="Q10" i="2"/>
  <c r="W10" i="2" s="1"/>
  <c r="Q11" i="2"/>
  <c r="W11" i="2" s="1"/>
  <c r="Q466" i="2"/>
  <c r="W466" i="2" s="1"/>
  <c r="Q467" i="2"/>
  <c r="W467" i="2" s="1"/>
  <c r="Q468" i="2"/>
  <c r="W468" i="2" s="1"/>
  <c r="Q439" i="2"/>
  <c r="W439" i="2" s="1"/>
  <c r="Q440" i="2"/>
  <c r="W440" i="2" s="1"/>
  <c r="Q441" i="2"/>
  <c r="W441" i="2" s="1"/>
  <c r="Q442" i="2"/>
  <c r="W442" i="2" s="1"/>
  <c r="Q443" i="2"/>
  <c r="W443" i="2" s="1"/>
  <c r="Q273" i="2"/>
  <c r="W273" i="2" s="1"/>
  <c r="Q274" i="2"/>
  <c r="W274" i="2" s="1"/>
  <c r="Q275" i="2"/>
  <c r="W275" i="2" s="1"/>
  <c r="Q276" i="2"/>
  <c r="W276" i="2" s="1"/>
  <c r="Q277" i="2"/>
  <c r="W277" i="2" s="1"/>
  <c r="Q101" i="2"/>
  <c r="W101" i="2" s="1"/>
  <c r="Q102" i="2"/>
  <c r="W102" i="2" s="1"/>
  <c r="Q163" i="2"/>
  <c r="W163" i="2" s="1"/>
  <c r="Q164" i="2"/>
  <c r="W164" i="2" s="1"/>
  <c r="Q612" i="2"/>
  <c r="W612" i="2" s="1"/>
  <c r="Q613" i="2"/>
  <c r="W613" i="2" s="1"/>
  <c r="Q521" i="2"/>
  <c r="W521" i="2" s="1"/>
  <c r="Q253" i="2"/>
  <c r="W253" i="2" s="1"/>
  <c r="Q254" i="2"/>
  <c r="W254" i="2" s="1"/>
  <c r="Q255" i="2"/>
  <c r="W255" i="2" s="1"/>
  <c r="Q256" i="2"/>
  <c r="W256" i="2" s="1"/>
  <c r="Q257" i="2"/>
  <c r="W257" i="2" s="1"/>
  <c r="Q258" i="2"/>
  <c r="W258" i="2" s="1"/>
  <c r="Q259" i="2"/>
  <c r="W259" i="2" s="1"/>
  <c r="Q248" i="2"/>
  <c r="W248" i="2" s="1"/>
  <c r="Q249" i="2"/>
  <c r="W249" i="2" s="1"/>
  <c r="Q250" i="2"/>
  <c r="W250" i="2" s="1"/>
  <c r="Q251" i="2"/>
  <c r="W251" i="2" s="1"/>
  <c r="Q252" i="2"/>
  <c r="W252" i="2" s="1"/>
  <c r="Q593" i="2"/>
  <c r="W593" i="2" s="1"/>
  <c r="Q594" i="2"/>
  <c r="W594" i="2" s="1"/>
  <c r="Q595" i="2"/>
  <c r="W595" i="2" s="1"/>
  <c r="Q596" i="2"/>
  <c r="W596" i="2" s="1"/>
  <c r="Q262" i="2"/>
  <c r="W262" i="2" s="1"/>
  <c r="Q263" i="2"/>
  <c r="W263" i="2" s="1"/>
  <c r="Q552" i="2"/>
  <c r="W552" i="2" s="1"/>
  <c r="Q553" i="2"/>
  <c r="W553" i="2" s="1"/>
  <c r="Q554" i="2"/>
  <c r="W554" i="2" s="1"/>
  <c r="Q321" i="2"/>
  <c r="W321" i="2" s="1"/>
  <c r="Q322" i="2"/>
  <c r="W322" i="2" s="1"/>
  <c r="Q323" i="2"/>
  <c r="W323" i="2" s="1"/>
  <c r="Q324" i="2"/>
  <c r="W324" i="2" s="1"/>
  <c r="Q325" i="2"/>
  <c r="W325" i="2" s="1"/>
  <c r="Q326" i="2"/>
  <c r="W326" i="2" s="1"/>
  <c r="Q327" i="2"/>
  <c r="W327" i="2" s="1"/>
  <c r="Q328" i="2"/>
  <c r="W328" i="2" s="1"/>
  <c r="Q329" i="2"/>
  <c r="W329" i="2" s="1"/>
  <c r="Q315" i="2"/>
  <c r="W315" i="2" s="1"/>
  <c r="Q316" i="2"/>
  <c r="W316" i="2" s="1"/>
  <c r="Q317" i="2"/>
  <c r="W317" i="2" s="1"/>
  <c r="Q318" i="2"/>
  <c r="W318" i="2" s="1"/>
  <c r="Q319" i="2"/>
  <c r="W319" i="2" s="1"/>
  <c r="Q320" i="2"/>
  <c r="W320" i="2" s="1"/>
  <c r="Q309" i="2"/>
  <c r="W309" i="2" s="1"/>
  <c r="Q310" i="2"/>
  <c r="W310" i="2" s="1"/>
  <c r="Q311" i="2"/>
  <c r="W311" i="2" s="1"/>
  <c r="Q312" i="2"/>
  <c r="W312" i="2" s="1"/>
  <c r="Q313" i="2"/>
  <c r="W313" i="2" s="1"/>
  <c r="Q314" i="2"/>
  <c r="W314" i="2" s="1"/>
  <c r="Q298" i="2"/>
  <c r="W298" i="2" s="1"/>
  <c r="Q299" i="2"/>
  <c r="W299" i="2" s="1"/>
  <c r="Q300" i="2"/>
  <c r="W300" i="2" s="1"/>
  <c r="Q301" i="2"/>
  <c r="W301" i="2" s="1"/>
  <c r="Q302" i="2"/>
  <c r="W302" i="2" s="1"/>
  <c r="Q290" i="2"/>
  <c r="W290" i="2" s="1"/>
  <c r="Q291" i="2"/>
  <c r="W291" i="2" s="1"/>
  <c r="Q412" i="2"/>
  <c r="W412" i="2" s="1"/>
  <c r="Q413" i="2"/>
  <c r="W413" i="2" s="1"/>
  <c r="Q414" i="2"/>
  <c r="W414" i="2" s="1"/>
  <c r="Q415" i="2"/>
  <c r="W415" i="2" s="1"/>
  <c r="Q416" i="2"/>
  <c r="W416" i="2" s="1"/>
  <c r="Q417" i="2"/>
  <c r="W417" i="2" s="1"/>
  <c r="Q389" i="2"/>
  <c r="W389" i="2" s="1"/>
  <c r="Q390" i="2"/>
  <c r="W390" i="2" s="1"/>
  <c r="Q391" i="2"/>
  <c r="W391" i="2" s="1"/>
  <c r="Q392" i="2"/>
  <c r="W392" i="2" s="1"/>
  <c r="Q393" i="2"/>
  <c r="W393" i="2" s="1"/>
  <c r="Q394" i="2"/>
  <c r="W394" i="2" s="1"/>
  <c r="Q395" i="2"/>
  <c r="W395" i="2" s="1"/>
  <c r="Q396" i="2"/>
  <c r="W396" i="2" s="1"/>
  <c r="Q397" i="2"/>
  <c r="W397" i="2" s="1"/>
  <c r="Q398" i="2"/>
  <c r="W398" i="2" s="1"/>
  <c r="Q399" i="2"/>
  <c r="W399" i="2" s="1"/>
  <c r="Q364" i="2"/>
  <c r="W364" i="2" s="1"/>
  <c r="Q365" i="2"/>
  <c r="W365" i="2" s="1"/>
  <c r="Q366" i="2"/>
  <c r="W366" i="2" s="1"/>
  <c r="Q367" i="2"/>
  <c r="W367" i="2" s="1"/>
  <c r="Q369" i="2"/>
  <c r="W369" i="2" s="1"/>
  <c r="Q370" i="2"/>
  <c r="W370" i="2" s="1"/>
  <c r="Q371" i="2"/>
  <c r="W371" i="2" s="1"/>
  <c r="Q372" i="2"/>
  <c r="W372" i="2" s="1"/>
  <c r="Q358" i="2"/>
  <c r="W358" i="2" s="1"/>
  <c r="Q359" i="2"/>
  <c r="W359" i="2" s="1"/>
  <c r="Q360" i="2"/>
  <c r="W360" i="2" s="1"/>
  <c r="Q361" i="2"/>
  <c r="W361" i="2" s="1"/>
  <c r="Q362" i="2"/>
  <c r="W362" i="2" s="1"/>
  <c r="Q352" i="2"/>
  <c r="W352" i="2" s="1"/>
  <c r="Q353" i="2"/>
  <c r="W353" i="2" s="1"/>
  <c r="Q243" i="2"/>
  <c r="W243" i="2" s="1"/>
  <c r="Q244" i="2"/>
  <c r="W244" i="2" s="1"/>
  <c r="Q226" i="2"/>
  <c r="W226" i="2" s="1"/>
  <c r="Q227" i="2"/>
  <c r="W227" i="2" s="1"/>
  <c r="Q228" i="2"/>
  <c r="W228" i="2" s="1"/>
  <c r="Q229" i="2"/>
  <c r="W229" i="2" s="1"/>
  <c r="Q230" i="2"/>
  <c r="W230" i="2" s="1"/>
  <c r="Q123" i="2"/>
  <c r="W123" i="2" s="1"/>
  <c r="Q124" i="2"/>
  <c r="W124" i="2" s="1"/>
  <c r="Q125" i="2"/>
  <c r="W125" i="2" s="1"/>
  <c r="Q461" i="2"/>
  <c r="W461" i="2" s="1"/>
  <c r="Q94" i="2"/>
  <c r="W94" i="2" s="1"/>
  <c r="Q95" i="2"/>
  <c r="W95" i="2" s="1"/>
  <c r="Q96" i="2"/>
  <c r="W96" i="2" s="1"/>
  <c r="Q97" i="2"/>
  <c r="W97" i="2" s="1"/>
  <c r="Q547" i="2"/>
  <c r="W547" i="2" s="1"/>
  <c r="Q548" i="2"/>
  <c r="W548" i="2" s="1"/>
  <c r="Q549" i="2"/>
  <c r="W549" i="2" s="1"/>
  <c r="Q533" i="2"/>
  <c r="W533" i="2" s="1"/>
  <c r="Q534" i="2"/>
  <c r="W534" i="2" s="1"/>
  <c r="Q535" i="2"/>
  <c r="W535" i="2" s="1"/>
  <c r="Q536" i="2"/>
  <c r="W536" i="2" s="1"/>
  <c r="Q537" i="2"/>
  <c r="W537" i="2" s="1"/>
  <c r="Q538" i="2"/>
  <c r="W538" i="2" s="1"/>
  <c r="Q539" i="2"/>
  <c r="W539" i="2" s="1"/>
  <c r="Q540" i="2"/>
  <c r="W540" i="2" s="1"/>
  <c r="Q14" i="2"/>
  <c r="W14" i="2" s="1"/>
  <c r="Q15" i="2"/>
  <c r="W15" i="2" s="1"/>
  <c r="Q16" i="2"/>
  <c r="W16" i="2" s="1"/>
  <c r="Q237" i="2"/>
  <c r="W237" i="2" s="1"/>
  <c r="Q238" i="2"/>
  <c r="W238" i="2" s="1"/>
  <c r="Q239" i="2"/>
  <c r="W239" i="2" s="1"/>
  <c r="Q240" i="2"/>
  <c r="W240" i="2" s="1"/>
  <c r="Q222" i="2"/>
  <c r="W222" i="2" s="1"/>
  <c r="Q223" i="2"/>
  <c r="W223" i="2" s="1"/>
  <c r="Q224" i="2"/>
  <c r="W224" i="2" s="1"/>
  <c r="Q225" i="2"/>
  <c r="W225" i="2" s="1"/>
  <c r="Q487" i="2"/>
  <c r="W487" i="2" s="1"/>
  <c r="Q488" i="2"/>
  <c r="W488" i="2" s="1"/>
  <c r="Q489" i="2"/>
  <c r="W489" i="2" s="1"/>
  <c r="Q490" i="2"/>
  <c r="W490" i="2" s="1"/>
  <c r="Q491" i="2"/>
  <c r="W491" i="2" s="1"/>
  <c r="Q635" i="2"/>
  <c r="W635" i="2" s="1"/>
  <c r="Q636" i="2"/>
  <c r="W636" i="2" s="1"/>
  <c r="Q625" i="2"/>
  <c r="W625" i="2" s="1"/>
  <c r="Q626" i="2"/>
  <c r="W626" i="2" s="1"/>
  <c r="Q627" i="2"/>
  <c r="W627" i="2" s="1"/>
  <c r="Q628" i="2"/>
  <c r="W628" i="2" s="1"/>
  <c r="Q629" i="2"/>
  <c r="W629" i="2" s="1"/>
  <c r="Q601" i="2"/>
  <c r="W601" i="2" s="1"/>
  <c r="Q602" i="2"/>
  <c r="W602" i="2" s="1"/>
  <c r="Q603" i="2"/>
  <c r="W603" i="2" s="1"/>
  <c r="Q604" i="2"/>
  <c r="W604" i="2" s="1"/>
  <c r="Q571" i="2"/>
  <c r="W571" i="2" s="1"/>
  <c r="Q572" i="2"/>
  <c r="W572" i="2" s="1"/>
  <c r="Q573" i="2"/>
  <c r="W573" i="2" s="1"/>
  <c r="Q590" i="2"/>
  <c r="W590" i="2" s="1"/>
  <c r="Q591" i="2"/>
  <c r="W591" i="2" s="1"/>
  <c r="Q592" i="2"/>
  <c r="W592" i="2" s="1"/>
  <c r="Q383" i="2"/>
  <c r="W383" i="2" s="1"/>
  <c r="Q384" i="2"/>
  <c r="W384" i="2" s="1"/>
  <c r="Q385" i="2"/>
  <c r="W385" i="2" s="1"/>
  <c r="Q386" i="2"/>
  <c r="W386" i="2" s="1"/>
  <c r="Q387" i="2"/>
  <c r="W387" i="2" s="1"/>
  <c r="Q388" i="2"/>
  <c r="W388" i="2" s="1"/>
  <c r="Q437" i="2"/>
  <c r="W437" i="2" s="1"/>
  <c r="Q438" i="2"/>
  <c r="W438" i="2" s="1"/>
  <c r="Q264" i="2"/>
  <c r="W264" i="2" s="1"/>
  <c r="Q265" i="2"/>
  <c r="W265" i="2" s="1"/>
  <c r="Q266" i="2"/>
  <c r="W266" i="2" s="1"/>
  <c r="Q267" i="2"/>
  <c r="W267" i="2" s="1"/>
  <c r="Q79" i="2"/>
  <c r="W79" i="2" s="1"/>
  <c r="Q80" i="2"/>
  <c r="W80" i="2" s="1"/>
  <c r="Q81" i="2"/>
  <c r="W81" i="2" s="1"/>
  <c r="Q82" i="2"/>
  <c r="W82" i="2" s="1"/>
  <c r="Q120" i="2"/>
  <c r="W120" i="2" s="1"/>
  <c r="Q121" i="2"/>
  <c r="W121" i="2" s="1"/>
  <c r="Q122" i="2"/>
  <c r="W122" i="2" s="1"/>
  <c r="Q623" i="2"/>
  <c r="W623" i="2" s="1"/>
  <c r="Q624" i="2"/>
  <c r="W624" i="2" s="1"/>
  <c r="Q103" i="2"/>
  <c r="W103" i="2" s="1"/>
  <c r="Q104" i="2"/>
  <c r="W104" i="2" s="1"/>
  <c r="Q105" i="2"/>
  <c r="W105" i="2" s="1"/>
  <c r="Q106" i="2"/>
  <c r="W106" i="2" s="1"/>
  <c r="Q107" i="2"/>
  <c r="W107" i="2" s="1"/>
  <c r="Q421" i="2"/>
  <c r="W421" i="2" s="1"/>
  <c r="Q422" i="2"/>
  <c r="W422" i="2" s="1"/>
  <c r="Q423" i="2"/>
  <c r="W423" i="2" s="1"/>
  <c r="Q424" i="2"/>
  <c r="W424" i="2" s="1"/>
  <c r="Q425" i="2"/>
  <c r="W425" i="2" s="1"/>
  <c r="Q426" i="2"/>
  <c r="W426" i="2" s="1"/>
  <c r="Q427" i="2"/>
  <c r="W427" i="2" s="1"/>
  <c r="Q368" i="2"/>
  <c r="W368" i="2" s="1"/>
  <c r="Q405" i="2"/>
  <c r="W405" i="2" s="1"/>
  <c r="Q406" i="2"/>
  <c r="W406" i="2" s="1"/>
  <c r="Q555" i="2"/>
  <c r="W555" i="2" s="1"/>
  <c r="Q556" i="2"/>
  <c r="W556" i="2" s="1"/>
  <c r="Q557" i="2"/>
  <c r="W557" i="2" s="1"/>
  <c r="Q630" i="2"/>
  <c r="W630" i="2" s="1"/>
  <c r="Q631" i="2"/>
  <c r="W631" i="2" s="1"/>
  <c r="Q632" i="2"/>
  <c r="W632" i="2" s="1"/>
  <c r="Q633" i="2"/>
  <c r="W633" i="2" s="1"/>
  <c r="Q634" i="2"/>
  <c r="W634" i="2" s="1"/>
  <c r="Q511" i="2"/>
  <c r="W511" i="2" s="1"/>
  <c r="Q512" i="2"/>
  <c r="W512" i="2" s="1"/>
  <c r="Q407" i="2"/>
  <c r="W407" i="2" s="1"/>
  <c r="Q408" i="2"/>
  <c r="W408" i="2" s="1"/>
  <c r="Q409" i="2"/>
  <c r="W409" i="2" s="1"/>
  <c r="Q410" i="2"/>
  <c r="W410" i="2" s="1"/>
  <c r="Q411" i="2"/>
  <c r="W411" i="2" s="1"/>
  <c r="Q597" i="2"/>
  <c r="W597" i="2" s="1"/>
  <c r="Q598" i="2"/>
  <c r="W598" i="2" s="1"/>
  <c r="Q599" i="2"/>
  <c r="W599" i="2" s="1"/>
  <c r="Q600" i="2"/>
  <c r="W600" i="2" s="1"/>
  <c r="Q208" i="2"/>
  <c r="W208" i="2" s="1"/>
  <c r="Q209" i="2"/>
  <c r="W209" i="2" s="1"/>
  <c r="Q210" i="2"/>
  <c r="W210" i="2" s="1"/>
  <c r="Q211" i="2"/>
  <c r="W211" i="2" s="1"/>
  <c r="Q543" i="2"/>
  <c r="W543" i="2" s="1"/>
  <c r="Q544" i="2"/>
  <c r="W544" i="2" s="1"/>
  <c r="Q545" i="2"/>
  <c r="W545" i="2" s="1"/>
  <c r="Q546" i="2"/>
  <c r="W546" i="2" s="1"/>
  <c r="Q560" i="2"/>
  <c r="W560" i="2" s="1"/>
  <c r="Q561" i="2"/>
  <c r="W561" i="2" s="1"/>
  <c r="Q562" i="2"/>
  <c r="W562" i="2" s="1"/>
  <c r="Q563" i="2"/>
  <c r="W563" i="2" s="1"/>
  <c r="Q241" i="2"/>
  <c r="W241" i="2" s="1"/>
  <c r="Q242" i="2"/>
  <c r="W242" i="2" s="1"/>
  <c r="Q108" i="2"/>
  <c r="W108" i="2" s="1"/>
  <c r="Q109" i="2"/>
  <c r="W109" i="2" s="1"/>
  <c r="Q110" i="2"/>
  <c r="W110" i="2" s="1"/>
  <c r="Q517" i="2"/>
  <c r="W517" i="2" s="1"/>
  <c r="Q579" i="2"/>
  <c r="W579" i="2" s="1"/>
  <c r="Q580" i="2"/>
  <c r="W580" i="2" s="1"/>
  <c r="Q581" i="2"/>
  <c r="W581" i="2" s="1"/>
  <c r="Q582" i="2"/>
  <c r="W582" i="2" s="1"/>
  <c r="Q583" i="2"/>
  <c r="W583" i="2" s="1"/>
  <c r="Q558" i="2"/>
  <c r="W558" i="2" s="1"/>
  <c r="Q559" i="2"/>
  <c r="W559" i="2" s="1"/>
  <c r="Q271" i="2"/>
  <c r="W271" i="2" s="1"/>
  <c r="Q272" i="2"/>
  <c r="W272" i="2" s="1"/>
  <c r="Q292" i="2"/>
  <c r="W292" i="2" s="1"/>
  <c r="Q293" i="2"/>
  <c r="W293" i="2" s="1"/>
  <c r="Q294" i="2"/>
  <c r="W294" i="2" s="1"/>
  <c r="Q71" i="2"/>
  <c r="W71" i="2" s="1"/>
  <c r="Q72" i="2"/>
  <c r="W72" i="2" s="1"/>
  <c r="Q202" i="2"/>
  <c r="W202" i="2" s="1"/>
  <c r="Q203" i="2"/>
  <c r="W203" i="2" s="1"/>
  <c r="Q204" i="2"/>
  <c r="W204" i="2" s="1"/>
  <c r="Q205" i="2"/>
  <c r="W205" i="2" s="1"/>
  <c r="Q206" i="2"/>
  <c r="W206" i="2" s="1"/>
  <c r="Q419" i="2"/>
  <c r="W419" i="2" s="1"/>
  <c r="Q420" i="2"/>
  <c r="W420" i="2" s="1"/>
  <c r="Q522" i="2"/>
  <c r="W522" i="2" s="1"/>
  <c r="Q523" i="2"/>
  <c r="W523" i="2" s="1"/>
  <c r="Q459" i="2"/>
  <c r="W459" i="2" s="1"/>
  <c r="Q460" i="2"/>
  <c r="W460" i="2" s="1"/>
  <c r="Q343" i="2"/>
  <c r="W343" i="2" s="1"/>
  <c r="Q344" i="2"/>
  <c r="W344" i="2" s="1"/>
  <c r="Q345" i="2"/>
  <c r="W345" i="2" s="1"/>
  <c r="Q346" i="2"/>
  <c r="W346" i="2" s="1"/>
  <c r="Q347" i="2"/>
  <c r="W347" i="2" s="1"/>
  <c r="Q53" i="2"/>
  <c r="W53" i="2" s="1"/>
  <c r="Q54" i="2"/>
  <c r="W54" i="2" s="1"/>
  <c r="Q55" i="2"/>
  <c r="W55" i="2" s="1"/>
  <c r="Q56" i="2"/>
  <c r="W56" i="2" s="1"/>
  <c r="Q518" i="2"/>
  <c r="W518" i="2" s="1"/>
  <c r="Q519" i="2"/>
  <c r="W519" i="2" s="1"/>
  <c r="Q520" i="2"/>
  <c r="W520" i="2" s="1"/>
  <c r="Q541" i="2"/>
  <c r="W541" i="2" s="1"/>
  <c r="Q542" i="2"/>
  <c r="W542" i="2" s="1"/>
  <c r="Q480" i="2"/>
  <c r="W480" i="2" s="1"/>
  <c r="Q481" i="2"/>
  <c r="W481" i="2" s="1"/>
  <c r="Q30" i="2"/>
  <c r="W30" i="2" s="1"/>
  <c r="Q31" i="2"/>
  <c r="W31" i="2" s="1"/>
  <c r="Q32" i="2"/>
  <c r="W32" i="2" s="1"/>
  <c r="Q33" i="2"/>
  <c r="W33" i="2" s="1"/>
  <c r="Q478" i="2"/>
  <c r="W478" i="2" s="1"/>
  <c r="Q479" i="2"/>
  <c r="W479" i="2" s="1"/>
  <c r="Q531" i="2"/>
  <c r="W531" i="2" s="1"/>
  <c r="Q532" i="2"/>
  <c r="W532" i="2" s="1"/>
  <c r="Q41" i="2"/>
  <c r="W41" i="2" s="1"/>
  <c r="Q42" i="2"/>
  <c r="W42" i="2" s="1"/>
  <c r="Q43" i="2"/>
  <c r="W43" i="2" s="1"/>
  <c r="Q44" i="2"/>
  <c r="W44" i="2" s="1"/>
  <c r="Q492" i="2"/>
  <c r="W492" i="2" s="1"/>
  <c r="Q493" i="2"/>
  <c r="W493" i="2" s="1"/>
  <c r="Q51" i="2"/>
  <c r="W51" i="2" s="1"/>
  <c r="Q52" i="2"/>
  <c r="W52" i="2" s="1"/>
  <c r="Q231" i="2"/>
  <c r="W231" i="2" s="1"/>
  <c r="Q232" i="2"/>
  <c r="W232" i="2" s="1"/>
  <c r="Q233" i="2"/>
  <c r="W233" i="2" s="1"/>
  <c r="Q234" i="2"/>
  <c r="W234" i="2" s="1"/>
  <c r="Q303" i="2"/>
  <c r="W303" i="2" s="1"/>
  <c r="Q304" i="2"/>
  <c r="W304" i="2" s="1"/>
  <c r="Q305" i="2"/>
  <c r="W305" i="2" s="1"/>
  <c r="Q306" i="2"/>
  <c r="W306" i="2" s="1"/>
  <c r="Q307" i="2"/>
  <c r="W307" i="2" s="1"/>
  <c r="Q308" i="2"/>
  <c r="W308" i="2" s="1"/>
  <c r="Q620" i="2"/>
  <c r="W620" i="2" s="1"/>
  <c r="Q621" i="2"/>
  <c r="W621" i="2" s="1"/>
  <c r="Q622" i="2"/>
  <c r="W622" i="2" s="1"/>
  <c r="Q45" i="2"/>
  <c r="W45" i="2" s="1"/>
  <c r="Q57" i="2"/>
  <c r="W57" i="2" s="1"/>
  <c r="Q58" i="2"/>
  <c r="W58" i="2" s="1"/>
  <c r="Q59" i="2"/>
  <c r="W59" i="2" s="1"/>
  <c r="Q378" i="2"/>
  <c r="W378" i="2" s="1"/>
  <c r="Q379" i="2"/>
  <c r="W379" i="2" s="1"/>
  <c r="Q380" i="2"/>
  <c r="W380" i="2" s="1"/>
  <c r="Q381" i="2"/>
  <c r="W381" i="2" s="1"/>
  <c r="Q382" i="2"/>
  <c r="W382" i="2" s="1"/>
  <c r="Q215" i="2"/>
  <c r="W215" i="2" s="1"/>
  <c r="Q216" i="2"/>
  <c r="W216" i="2" s="1"/>
  <c r="Q217" i="2"/>
  <c r="W217" i="2" s="1"/>
  <c r="Q218" i="2"/>
  <c r="W218" i="2" s="1"/>
  <c r="Q219" i="2"/>
  <c r="W219" i="2" s="1"/>
  <c r="Q220" i="2"/>
  <c r="W220" i="2" s="1"/>
  <c r="Q221" i="2"/>
  <c r="W221" i="2" s="1"/>
  <c r="Q128" i="2"/>
  <c r="W128" i="2" s="1"/>
  <c r="Q129" i="2"/>
  <c r="W129" i="2" s="1"/>
  <c r="Q130" i="2"/>
  <c r="W130" i="2" s="1"/>
  <c r="Q131" i="2"/>
  <c r="W131" i="2" s="1"/>
  <c r="Q617" i="2"/>
  <c r="W617" i="2" s="1"/>
  <c r="Q618" i="2"/>
  <c r="W618" i="2" s="1"/>
  <c r="Q619" i="2"/>
  <c r="W619" i="2" s="1"/>
  <c r="Q457" i="2"/>
  <c r="W457" i="2" s="1"/>
  <c r="Q458" i="2"/>
  <c r="W458" i="2" s="1"/>
  <c r="Q24" i="2"/>
  <c r="W24" i="2" s="1"/>
  <c r="Q608" i="2"/>
  <c r="W608" i="2" s="1"/>
  <c r="Q609" i="2"/>
  <c r="W609" i="2" s="1"/>
  <c r="Q610" i="2"/>
  <c r="W610" i="2" s="1"/>
  <c r="Q611" i="2"/>
  <c r="W611" i="2" s="1"/>
  <c r="Q40" i="2"/>
  <c r="W40" i="2" s="1"/>
  <c r="Q550" i="2"/>
  <c r="W550" i="2" s="1"/>
  <c r="Q551" i="2"/>
  <c r="W551" i="2" s="1"/>
  <c r="Q356" i="2"/>
  <c r="W356" i="2" s="1"/>
  <c r="Q357" i="2"/>
  <c r="W357" i="2" s="1"/>
  <c r="Q470" i="2"/>
  <c r="W470" i="2" s="1"/>
  <c r="Q471" i="2"/>
  <c r="W471" i="2" s="1"/>
  <c r="Q472" i="2"/>
  <c r="W472" i="2" s="1"/>
  <c r="Q564" i="2"/>
  <c r="W564" i="2" s="1"/>
  <c r="Q565" i="2"/>
  <c r="W565" i="2" s="1"/>
  <c r="Q566" i="2"/>
  <c r="W566" i="2" s="1"/>
  <c r="Q567" i="2"/>
  <c r="W567" i="2" s="1"/>
  <c r="Q452" i="2"/>
  <c r="W452" i="2" s="1"/>
  <c r="Q570" i="2"/>
  <c r="W570" i="2" s="1"/>
  <c r="Q577" i="2"/>
  <c r="W577" i="2" s="1"/>
  <c r="Q578" i="2"/>
  <c r="W578" i="2" s="1"/>
  <c r="Q614" i="2"/>
  <c r="W614" i="2" s="1"/>
  <c r="Q615" i="2"/>
  <c r="W615" i="2" s="1"/>
  <c r="Q616" i="2"/>
  <c r="W616" i="2" s="1"/>
  <c r="Q376" i="2"/>
  <c r="W376" i="2" s="1"/>
  <c r="Q377" i="2"/>
  <c r="W377" i="2" s="1"/>
  <c r="Q588" i="2"/>
  <c r="W588" i="2" s="1"/>
  <c r="Q589" i="2"/>
  <c r="W589" i="2" s="1"/>
  <c r="Q338" i="2"/>
  <c r="W338" i="2" s="1"/>
  <c r="Q339" i="2"/>
  <c r="W339" i="2" s="1"/>
  <c r="Q340" i="2"/>
  <c r="W340" i="2" s="1"/>
  <c r="Q341" i="2"/>
  <c r="W341" i="2" s="1"/>
  <c r="Q342" i="2"/>
  <c r="W342" i="2" s="1"/>
  <c r="Q482" i="2"/>
  <c r="W482" i="2" s="1"/>
  <c r="Q483" i="2"/>
  <c r="W483" i="2" s="1"/>
  <c r="Q484" i="2"/>
  <c r="W484" i="2" s="1"/>
  <c r="Q485" i="2"/>
  <c r="W485" i="2" s="1"/>
  <c r="Q486" i="2"/>
  <c r="W486" i="2" s="1"/>
  <c r="Q60" i="2"/>
  <c r="W60" i="2" s="1"/>
  <c r="Q61" i="2"/>
  <c r="W61" i="2" s="1"/>
  <c r="Q62" i="2"/>
  <c r="W62" i="2" s="1"/>
  <c r="Q63" i="2"/>
  <c r="W63" i="2" s="1"/>
  <c r="Q64" i="2"/>
  <c r="W64" i="2" s="1"/>
  <c r="Q65" i="2"/>
  <c r="W65" i="2" s="1"/>
  <c r="Q428" i="2"/>
  <c r="W428" i="2" s="1"/>
  <c r="Q17" i="2"/>
  <c r="W17" i="2" s="1"/>
  <c r="Q18" i="2"/>
  <c r="W18" i="2" s="1"/>
  <c r="Q19" i="2"/>
  <c r="W19" i="2" s="1"/>
  <c r="Q20" i="2"/>
  <c r="W20" i="2" s="1"/>
  <c r="Q21" i="2"/>
  <c r="W21" i="2" s="1"/>
  <c r="Q46" i="2"/>
  <c r="W46" i="2" s="1"/>
  <c r="Q47" i="2"/>
  <c r="W47" i="2" s="1"/>
  <c r="Q48" i="2"/>
  <c r="W48" i="2" s="1"/>
  <c r="Q49" i="2"/>
  <c r="W49" i="2" s="1"/>
  <c r="Q50" i="2"/>
  <c r="W50" i="2" s="1"/>
  <c r="Q187" i="2"/>
  <c r="W187" i="2" s="1"/>
  <c r="Q188" i="2"/>
  <c r="W188" i="2" s="1"/>
  <c r="Q189" i="2"/>
  <c r="W189" i="2" s="1"/>
  <c r="Q190" i="2"/>
  <c r="W190" i="2" s="1"/>
  <c r="Q191" i="2"/>
  <c r="W191" i="2" s="1"/>
  <c r="Q185" i="2"/>
  <c r="W185" i="2" s="1"/>
  <c r="Q186" i="2"/>
  <c r="W186" i="2" s="1"/>
  <c r="Q172" i="2"/>
  <c r="W172" i="2" s="1"/>
  <c r="Q173" i="2"/>
  <c r="W173" i="2" s="1"/>
  <c r="Q174" i="2"/>
  <c r="W174" i="2" s="1"/>
  <c r="Q168" i="2"/>
  <c r="W168" i="2" s="1"/>
  <c r="Q169" i="2"/>
  <c r="W169" i="2" s="1"/>
  <c r="Q170" i="2"/>
  <c r="W170" i="2" s="1"/>
  <c r="Q171" i="2"/>
  <c r="W171" i="2" s="1"/>
  <c r="Q165" i="2"/>
  <c r="W165" i="2" s="1"/>
  <c r="Q166" i="2"/>
  <c r="W166" i="2" s="1"/>
  <c r="Q167" i="2"/>
  <c r="W167" i="2" s="1"/>
  <c r="Q198" i="2"/>
  <c r="W198" i="2" s="1"/>
  <c r="Q199" i="2"/>
  <c r="W199" i="2" s="1"/>
  <c r="Q200" i="2"/>
  <c r="W200" i="2" s="1"/>
  <c r="Q201" i="2"/>
  <c r="W201" i="2" s="1"/>
  <c r="Q207" i="2"/>
  <c r="W207" i="2" s="1"/>
  <c r="Q192" i="2"/>
  <c r="W192" i="2" s="1"/>
  <c r="Q193" i="2"/>
  <c r="W193" i="2" s="1"/>
  <c r="Q194" i="2"/>
  <c r="W194" i="2" s="1"/>
  <c r="Q196" i="2"/>
  <c r="W196" i="2" s="1"/>
  <c r="Q197" i="2"/>
  <c r="W197" i="2" s="1"/>
  <c r="Q138" i="2"/>
  <c r="W138" i="2" s="1"/>
  <c r="Q139" i="2"/>
  <c r="W139" i="2" s="1"/>
  <c r="Q140" i="2"/>
  <c r="W140" i="2" s="1"/>
  <c r="Q158" i="2"/>
  <c r="W158" i="2" s="1"/>
  <c r="Q159" i="2"/>
  <c r="W159" i="2" s="1"/>
  <c r="Q141" i="2"/>
  <c r="W141" i="2" s="1"/>
  <c r="Q142" i="2"/>
  <c r="W142" i="2" s="1"/>
  <c r="Q152" i="2"/>
  <c r="W152" i="2" s="1"/>
  <c r="Q153" i="2"/>
  <c r="W153" i="2" s="1"/>
  <c r="Q160" i="2"/>
  <c r="W160" i="2" s="1"/>
  <c r="Q161" i="2"/>
  <c r="W161" i="2" s="1"/>
  <c r="Q162" i="2"/>
  <c r="W162" i="2" s="1"/>
  <c r="Q154" i="2"/>
  <c r="W154" i="2" s="1"/>
  <c r="Q155" i="2"/>
  <c r="W155" i="2" s="1"/>
  <c r="Q156" i="2"/>
  <c r="W156" i="2" s="1"/>
  <c r="Q157" i="2"/>
  <c r="W157" i="2" s="1"/>
  <c r="Q143" i="2"/>
  <c r="W143" i="2" s="1"/>
  <c r="Q144" i="2"/>
  <c r="W144" i="2" s="1"/>
  <c r="Q145" i="2"/>
  <c r="W145" i="2" s="1"/>
  <c r="Q146" i="2"/>
  <c r="W146" i="2" s="1"/>
  <c r="Q134" i="2"/>
  <c r="W134" i="2" s="1"/>
  <c r="Q135" i="2"/>
  <c r="W135" i="2" s="1"/>
  <c r="Q136" i="2"/>
  <c r="W136" i="2" s="1"/>
  <c r="Q137" i="2"/>
  <c r="W137" i="2" s="1"/>
  <c r="Q507" i="2"/>
  <c r="W507" i="2" s="1"/>
  <c r="Q508" i="2"/>
  <c r="W508" i="2" s="1"/>
  <c r="Q509" i="2"/>
  <c r="W509" i="2" s="1"/>
  <c r="Q510" i="2"/>
  <c r="W510" i="2" s="1"/>
  <c r="Q180" i="2"/>
  <c r="W180" i="2" s="1"/>
  <c r="Q181" i="2"/>
  <c r="W181" i="2" s="1"/>
  <c r="Q584" i="2"/>
  <c r="W584" i="2" s="1"/>
  <c r="Q585" i="2"/>
  <c r="W585" i="2" s="1"/>
  <c r="Q586" i="2"/>
  <c r="W586" i="2" s="1"/>
  <c r="Q587" i="2"/>
  <c r="W587" i="2" s="1"/>
  <c r="Q284" i="2"/>
  <c r="W284" i="2" s="1"/>
  <c r="Q285" i="2"/>
  <c r="W285" i="2" s="1"/>
  <c r="Q212" i="2"/>
  <c r="W212" i="2" s="1"/>
  <c r="Q450" i="2"/>
  <c r="W450" i="2" s="1"/>
  <c r="Q451" i="2"/>
  <c r="W451" i="2" s="1"/>
  <c r="Q430" i="2"/>
  <c r="W430" i="2" s="1"/>
  <c r="Q431" i="2"/>
  <c r="W431" i="2" s="1"/>
  <c r="Q330" i="2"/>
  <c r="W330" i="2" s="1"/>
  <c r="Q331" i="2"/>
  <c r="W331" i="2" s="1"/>
  <c r="Q332" i="2"/>
  <c r="W332" i="2" s="1"/>
  <c r="Q333" i="2"/>
  <c r="W333" i="2" s="1"/>
  <c r="Q35" i="2"/>
  <c r="W35" i="2" s="1"/>
  <c r="Q36" i="2"/>
  <c r="W36" i="2" s="1"/>
  <c r="Q38" i="2"/>
  <c r="W38" i="2" s="1"/>
  <c r="Q39" i="2"/>
  <c r="W39" i="2" s="1"/>
  <c r="Q400" i="2"/>
  <c r="W400" i="2" s="1"/>
  <c r="Q401" i="2"/>
  <c r="W401" i="2" s="1"/>
  <c r="Q402" i="2"/>
  <c r="W402" i="2" s="1"/>
  <c r="Q569" i="2"/>
  <c r="W569" i="2" s="1"/>
  <c r="Q245" i="2"/>
  <c r="W245" i="2" s="1"/>
  <c r="Q246" i="2"/>
  <c r="W246" i="2" s="1"/>
  <c r="Q247" i="2"/>
  <c r="W247" i="2" s="1"/>
  <c r="Q28" i="2"/>
  <c r="W28" i="2" s="1"/>
  <c r="Q29" i="2"/>
  <c r="W29" i="2" s="1"/>
  <c r="Q526" i="2"/>
  <c r="W526" i="2" s="1"/>
  <c r="Q527" i="2"/>
  <c r="W527" i="2" s="1"/>
  <c r="Q175" i="2"/>
  <c r="W175" i="2" s="1"/>
  <c r="Q176" i="2"/>
  <c r="W176" i="2" s="1"/>
  <c r="Q177" i="2"/>
  <c r="W177" i="2" s="1"/>
  <c r="Q474" i="2"/>
  <c r="W474" i="2" s="1"/>
  <c r="Q475" i="2"/>
  <c r="W475" i="2" s="1"/>
  <c r="Q476" i="2"/>
  <c r="W476" i="2" s="1"/>
  <c r="Q477" i="2"/>
  <c r="W477" i="2" s="1"/>
  <c r="Q605" i="2"/>
  <c r="W605" i="2" s="1"/>
  <c r="Q606" i="2"/>
  <c r="W606" i="2" s="1"/>
  <c r="Q607" i="2"/>
  <c r="W607" i="2" s="1"/>
  <c r="Q12" i="2"/>
  <c r="W12" i="2" s="1"/>
  <c r="Q13" i="2"/>
  <c r="W13" i="2" s="1"/>
  <c r="Q280" i="2"/>
  <c r="W280" i="2" s="1"/>
  <c r="Q373" i="2"/>
  <c r="W373" i="2" s="1"/>
  <c r="Q374" i="2"/>
  <c r="W374" i="2" s="1"/>
  <c r="Q375" i="2"/>
  <c r="W375" i="2" s="1"/>
  <c r="Q403" i="2"/>
  <c r="W403" i="2" s="1"/>
  <c r="Q404" i="2"/>
  <c r="W404" i="2" s="1"/>
  <c r="Q429" i="2"/>
  <c r="W429" i="2" s="1"/>
  <c r="Q454" i="2"/>
  <c r="W454" i="2" s="1"/>
  <c r="Q455" i="2"/>
  <c r="W455" i="2" s="1"/>
  <c r="Q456" i="2"/>
  <c r="W456" i="2" s="1"/>
  <c r="Q646" i="2"/>
  <c r="W646" i="2" s="1"/>
  <c r="Q647" i="2"/>
  <c r="W647" i="2" s="1"/>
  <c r="Q648" i="2"/>
  <c r="W648" i="2" s="1"/>
  <c r="Q649" i="2"/>
  <c r="W649" i="2" s="1"/>
  <c r="Q494" i="2"/>
  <c r="W494" i="2" s="1"/>
  <c r="Q495" i="2"/>
  <c r="W495" i="2" s="1"/>
  <c r="Q496" i="2"/>
  <c r="W496" i="2" s="1"/>
  <c r="Q22" i="2"/>
  <c r="W22" i="2" s="1"/>
  <c r="Q23" i="2"/>
  <c r="W23" i="2" s="1"/>
  <c r="Q288" i="2"/>
  <c r="W288" i="2" s="1"/>
  <c r="Q289" i="2"/>
  <c r="W289" i="2" s="1"/>
  <c r="Q643" i="2"/>
  <c r="W643" i="2" s="1"/>
  <c r="Q644" i="2"/>
  <c r="W644" i="2" s="1"/>
  <c r="Q645" i="2"/>
  <c r="W645" i="2" s="1"/>
  <c r="Q278" i="2"/>
  <c r="W278" i="2" s="1"/>
  <c r="Q279" i="2"/>
  <c r="W279" i="2" s="1"/>
  <c r="Q473" i="2"/>
  <c r="W473" i="2" s="1"/>
  <c r="Q37" i="2"/>
  <c r="W37" i="2" s="1"/>
  <c r="Q182" i="2"/>
  <c r="W182" i="2" s="1"/>
  <c r="Q286" i="2"/>
  <c r="W286" i="2" s="1"/>
  <c r="Q287" i="2"/>
  <c r="W287" i="2" s="1"/>
  <c r="Q363" i="2"/>
  <c r="W363" i="2" s="1"/>
  <c r="Q641" i="2"/>
  <c r="W641" i="2" s="1"/>
  <c r="Q642" i="2"/>
  <c r="W642" i="2" s="1"/>
  <c r="Q497" i="2"/>
  <c r="W497" i="2" s="1"/>
  <c r="Q498" i="2"/>
  <c r="W498" i="2" s="1"/>
  <c r="Q499" i="2"/>
  <c r="W499" i="2" s="1"/>
  <c r="Q500" i="2"/>
  <c r="W500" i="2" s="1"/>
  <c r="Q501" i="2"/>
  <c r="W501" i="2" s="1"/>
  <c r="Q281" i="2"/>
  <c r="W281" i="2" s="1"/>
  <c r="Q282" i="2"/>
  <c r="W282" i="2" s="1"/>
  <c r="Q283" i="2"/>
  <c r="W283" i="2" s="1"/>
  <c r="Q435" i="2"/>
  <c r="W435" i="2" s="1"/>
  <c r="Q436" i="2"/>
  <c r="W436" i="2" s="1"/>
  <c r="Q270" i="2"/>
  <c r="W270" i="2" s="1"/>
  <c r="Q528" i="2"/>
  <c r="W528" i="2" s="1"/>
  <c r="Q529" i="2"/>
  <c r="W529" i="2" s="1"/>
  <c r="Q530" i="2"/>
  <c r="W530" i="2" s="1"/>
  <c r="Q524" i="2"/>
  <c r="W524" i="2" s="1"/>
  <c r="Q525" i="2"/>
  <c r="W525" i="2" s="1"/>
  <c r="Q213" i="2"/>
  <c r="W213" i="2" s="1"/>
  <c r="Q214" i="2"/>
  <c r="W214" i="2" s="1"/>
  <c r="Q34" i="2"/>
  <c r="W34" i="2" s="1"/>
  <c r="Q351" i="2"/>
  <c r="W351" i="2" s="1"/>
  <c r="Q334" i="2"/>
  <c r="W334" i="2" s="1"/>
  <c r="Q335" i="2"/>
  <c r="W335" i="2" s="1"/>
  <c r="Q336" i="2"/>
  <c r="W336" i="2" s="1"/>
  <c r="Q337" i="2"/>
  <c r="W337" i="2" s="1"/>
  <c r="Q147" i="2"/>
  <c r="W147" i="2" s="1"/>
  <c r="Q148" i="2"/>
  <c r="W148" i="2" s="1"/>
  <c r="Q149" i="2"/>
  <c r="W149" i="2" s="1"/>
  <c r="Q150" i="2"/>
  <c r="W150" i="2" s="1"/>
  <c r="Q151" i="2"/>
  <c r="W151" i="2" s="1"/>
  <c r="Q637" i="2"/>
  <c r="W637" i="2" s="1"/>
  <c r="Q638" i="2"/>
  <c r="W638" i="2" s="1"/>
  <c r="Q639" i="2"/>
  <c r="W639" i="2" s="1"/>
  <c r="Q640" i="2"/>
  <c r="W640" i="2" s="1"/>
  <c r="Q73" i="2"/>
  <c r="W73" i="2" s="1"/>
  <c r="Q74" i="2"/>
  <c r="W74" i="2" s="1"/>
  <c r="Q75" i="2"/>
  <c r="W75" i="2" s="1"/>
  <c r="Q76" i="2"/>
  <c r="W76" i="2" s="1"/>
  <c r="Q77" i="2"/>
  <c r="W77" i="2" s="1"/>
  <c r="Q78" i="2"/>
  <c r="W78" i="2" s="1"/>
  <c r="Q88" i="2"/>
  <c r="W88" i="2" s="1"/>
  <c r="Q89" i="2"/>
  <c r="W89" i="2" s="1"/>
  <c r="Q90" i="2"/>
  <c r="W90" i="2" s="1"/>
  <c r="B433" i="2"/>
  <c r="C433" i="2"/>
  <c r="D433" i="2"/>
  <c r="E433" i="2"/>
  <c r="B434" i="2"/>
  <c r="C434" i="2"/>
  <c r="D434" i="2"/>
  <c r="E434" i="2"/>
  <c r="B295" i="2"/>
  <c r="C295" i="2"/>
  <c r="D295" i="2"/>
  <c r="E295" i="2"/>
  <c r="B296" i="2"/>
  <c r="C296" i="2"/>
  <c r="D296" i="2"/>
  <c r="E296" i="2"/>
  <c r="B297" i="2"/>
  <c r="C297" i="2"/>
  <c r="D297" i="2"/>
  <c r="E297" i="2"/>
  <c r="B574" i="2"/>
  <c r="C574" i="2"/>
  <c r="D574" i="2"/>
  <c r="E574" i="2"/>
  <c r="B575" i="2"/>
  <c r="C575" i="2"/>
  <c r="D575" i="2"/>
  <c r="E575" i="2"/>
  <c r="B576" i="2"/>
  <c r="C576" i="2"/>
  <c r="D576" i="2"/>
  <c r="E576" i="2"/>
  <c r="B98" i="2"/>
  <c r="C98" i="2"/>
  <c r="D98" i="2"/>
  <c r="E98" i="2"/>
  <c r="B116" i="2"/>
  <c r="C116" i="2"/>
  <c r="D116" i="2"/>
  <c r="E116" i="2"/>
  <c r="B117" i="2"/>
  <c r="C117" i="2"/>
  <c r="D117" i="2"/>
  <c r="E117" i="2"/>
  <c r="B118" i="2"/>
  <c r="C118" i="2"/>
  <c r="D118" i="2"/>
  <c r="E118" i="2"/>
  <c r="B119" i="2"/>
  <c r="C119" i="2"/>
  <c r="D119" i="2"/>
  <c r="E119" i="2"/>
  <c r="B66" i="2"/>
  <c r="C66" i="2"/>
  <c r="D66" i="2"/>
  <c r="E66" i="2"/>
  <c r="B67" i="2"/>
  <c r="C67" i="2"/>
  <c r="D67" i="2"/>
  <c r="E67" i="2"/>
  <c r="B68" i="2"/>
  <c r="C68" i="2"/>
  <c r="D68" i="2"/>
  <c r="E68" i="2"/>
  <c r="B69" i="2"/>
  <c r="C69" i="2"/>
  <c r="D69" i="2"/>
  <c r="E69" i="2"/>
  <c r="B70" i="2"/>
  <c r="C70" i="2"/>
  <c r="D70" i="2"/>
  <c r="E70" i="2"/>
  <c r="B111" i="2"/>
  <c r="C111" i="2"/>
  <c r="D111" i="2"/>
  <c r="E111" i="2"/>
  <c r="B112" i="2"/>
  <c r="C112" i="2"/>
  <c r="D112" i="2"/>
  <c r="E112" i="2"/>
  <c r="B113" i="2"/>
  <c r="C113" i="2"/>
  <c r="D113" i="2"/>
  <c r="E113" i="2"/>
  <c r="B114" i="2"/>
  <c r="C114" i="2"/>
  <c r="D114" i="2"/>
  <c r="E114" i="2"/>
  <c r="B115" i="2"/>
  <c r="C115" i="2"/>
  <c r="D115" i="2"/>
  <c r="E115" i="2"/>
  <c r="B25" i="2"/>
  <c r="C25" i="2"/>
  <c r="D25" i="2"/>
  <c r="E25" i="2"/>
  <c r="B26" i="2"/>
  <c r="C26" i="2"/>
  <c r="D26" i="2"/>
  <c r="E26" i="2"/>
  <c r="B27" i="2"/>
  <c r="C27" i="2"/>
  <c r="D27" i="2"/>
  <c r="E27" i="2"/>
  <c r="B444" i="2"/>
  <c r="C444" i="2"/>
  <c r="D444" i="2"/>
  <c r="E444" i="2"/>
  <c r="B445" i="2"/>
  <c r="C445" i="2"/>
  <c r="D445" i="2"/>
  <c r="E445" i="2"/>
  <c r="B446" i="2"/>
  <c r="C446" i="2"/>
  <c r="D446" i="2"/>
  <c r="E446" i="2"/>
  <c r="B447" i="2"/>
  <c r="C447" i="2"/>
  <c r="D447" i="2"/>
  <c r="E447" i="2"/>
  <c r="B448" i="2"/>
  <c r="C448" i="2"/>
  <c r="D448" i="2"/>
  <c r="E448" i="2"/>
  <c r="B449" i="2"/>
  <c r="C449" i="2"/>
  <c r="D449" i="2"/>
  <c r="E449" i="2"/>
  <c r="B8" i="2"/>
  <c r="C8" i="2"/>
  <c r="D8" i="2"/>
  <c r="E8" i="2"/>
  <c r="B9" i="2"/>
  <c r="C9" i="2"/>
  <c r="D9" i="2"/>
  <c r="E9" i="2"/>
  <c r="B10" i="2"/>
  <c r="C10" i="2"/>
  <c r="D10" i="2"/>
  <c r="E10" i="2"/>
  <c r="B11" i="2"/>
  <c r="C11" i="2"/>
  <c r="D11" i="2"/>
  <c r="E11" i="2"/>
  <c r="B466" i="2"/>
  <c r="C466" i="2"/>
  <c r="D466" i="2"/>
  <c r="E466" i="2"/>
  <c r="B467" i="2"/>
  <c r="C467" i="2"/>
  <c r="D467" i="2"/>
  <c r="E467" i="2"/>
  <c r="B468" i="2"/>
  <c r="C468" i="2"/>
  <c r="D468" i="2"/>
  <c r="E468" i="2"/>
  <c r="B439" i="2"/>
  <c r="C439" i="2"/>
  <c r="D439" i="2"/>
  <c r="E439" i="2"/>
  <c r="B440" i="2"/>
  <c r="C440" i="2"/>
  <c r="D440" i="2"/>
  <c r="E440" i="2"/>
  <c r="B441" i="2"/>
  <c r="C441" i="2"/>
  <c r="D441" i="2"/>
  <c r="E441" i="2"/>
  <c r="B442" i="2"/>
  <c r="C442" i="2"/>
  <c r="D442" i="2"/>
  <c r="E442" i="2"/>
  <c r="B443" i="2"/>
  <c r="C443" i="2"/>
  <c r="D443" i="2"/>
  <c r="E443" i="2"/>
  <c r="B273" i="2"/>
  <c r="C273" i="2"/>
  <c r="D273" i="2"/>
  <c r="E273" i="2"/>
  <c r="B274" i="2"/>
  <c r="C274" i="2"/>
  <c r="D274" i="2"/>
  <c r="E274" i="2"/>
  <c r="B275" i="2"/>
  <c r="C275" i="2"/>
  <c r="D275" i="2"/>
  <c r="E275" i="2"/>
  <c r="B276" i="2"/>
  <c r="C276" i="2"/>
  <c r="D276" i="2"/>
  <c r="E276" i="2"/>
  <c r="B277" i="2"/>
  <c r="C277" i="2"/>
  <c r="D277" i="2"/>
  <c r="E277" i="2"/>
  <c r="B101" i="2"/>
  <c r="C101" i="2"/>
  <c r="D101" i="2"/>
  <c r="E101" i="2"/>
  <c r="B102" i="2"/>
  <c r="C102" i="2"/>
  <c r="D102" i="2"/>
  <c r="E102" i="2"/>
  <c r="B163" i="2"/>
  <c r="C163" i="2"/>
  <c r="D163" i="2"/>
  <c r="E163" i="2"/>
  <c r="B164" i="2"/>
  <c r="C164" i="2"/>
  <c r="D164" i="2"/>
  <c r="E164" i="2"/>
  <c r="B612" i="2"/>
  <c r="C612" i="2"/>
  <c r="D612" i="2"/>
  <c r="E612" i="2"/>
  <c r="B613" i="2"/>
  <c r="C613" i="2"/>
  <c r="D613" i="2"/>
  <c r="E613" i="2"/>
  <c r="B521" i="2"/>
  <c r="C521" i="2"/>
  <c r="D521" i="2"/>
  <c r="E521" i="2"/>
  <c r="B253" i="2"/>
  <c r="C253" i="2"/>
  <c r="D253" i="2"/>
  <c r="E253" i="2"/>
  <c r="B254" i="2"/>
  <c r="C254" i="2"/>
  <c r="D254" i="2"/>
  <c r="E254" i="2"/>
  <c r="B255" i="2"/>
  <c r="C255" i="2"/>
  <c r="D255" i="2"/>
  <c r="E255" i="2"/>
  <c r="B256" i="2"/>
  <c r="C256" i="2"/>
  <c r="D256" i="2"/>
  <c r="E256" i="2"/>
  <c r="B257" i="2"/>
  <c r="C257" i="2"/>
  <c r="D257" i="2"/>
  <c r="E257" i="2"/>
  <c r="B258" i="2"/>
  <c r="C258" i="2"/>
  <c r="D258" i="2"/>
  <c r="E258" i="2"/>
  <c r="B259" i="2"/>
  <c r="C259" i="2"/>
  <c r="D259" i="2"/>
  <c r="E259" i="2"/>
  <c r="B248" i="2"/>
  <c r="C248" i="2"/>
  <c r="D248" i="2"/>
  <c r="E248" i="2"/>
  <c r="B249" i="2"/>
  <c r="C249" i="2"/>
  <c r="D249" i="2"/>
  <c r="E249" i="2"/>
  <c r="B250" i="2"/>
  <c r="C250" i="2"/>
  <c r="D250" i="2"/>
  <c r="E250" i="2"/>
  <c r="B251" i="2"/>
  <c r="C251" i="2"/>
  <c r="D251" i="2"/>
  <c r="E251" i="2"/>
  <c r="B252" i="2"/>
  <c r="C252" i="2"/>
  <c r="D252" i="2"/>
  <c r="E252" i="2"/>
  <c r="B593" i="2"/>
  <c r="C593" i="2"/>
  <c r="D593" i="2"/>
  <c r="E593" i="2"/>
  <c r="B594" i="2"/>
  <c r="C594" i="2"/>
  <c r="D594" i="2"/>
  <c r="E594" i="2"/>
  <c r="B595" i="2"/>
  <c r="C595" i="2"/>
  <c r="D595" i="2"/>
  <c r="E595" i="2"/>
  <c r="B596" i="2"/>
  <c r="C596" i="2"/>
  <c r="D596" i="2"/>
  <c r="E596" i="2"/>
  <c r="B262" i="2"/>
  <c r="C262" i="2"/>
  <c r="D262" i="2"/>
  <c r="E262" i="2"/>
  <c r="B263" i="2"/>
  <c r="C263" i="2"/>
  <c r="D263" i="2"/>
  <c r="E263" i="2"/>
  <c r="B552" i="2"/>
  <c r="C552" i="2"/>
  <c r="D552" i="2"/>
  <c r="E552" i="2"/>
  <c r="B553" i="2"/>
  <c r="C553" i="2"/>
  <c r="D553" i="2"/>
  <c r="E553" i="2"/>
  <c r="B554" i="2"/>
  <c r="C554" i="2"/>
  <c r="D554" i="2"/>
  <c r="E554" i="2"/>
  <c r="B321" i="2"/>
  <c r="C321" i="2"/>
  <c r="D321" i="2"/>
  <c r="E321" i="2"/>
  <c r="B322" i="2"/>
  <c r="C322" i="2"/>
  <c r="D322" i="2"/>
  <c r="E322" i="2"/>
  <c r="B323" i="2"/>
  <c r="C323" i="2"/>
  <c r="D323" i="2"/>
  <c r="E323" i="2"/>
  <c r="B324" i="2"/>
  <c r="C324" i="2"/>
  <c r="D324" i="2"/>
  <c r="E324" i="2"/>
  <c r="B325" i="2"/>
  <c r="C325" i="2"/>
  <c r="D325" i="2"/>
  <c r="E325" i="2"/>
  <c r="B326" i="2"/>
  <c r="C326" i="2"/>
  <c r="D326" i="2"/>
  <c r="E326" i="2"/>
  <c r="B327" i="2"/>
  <c r="C327" i="2"/>
  <c r="D327" i="2"/>
  <c r="E327" i="2"/>
  <c r="B328" i="2"/>
  <c r="C328" i="2"/>
  <c r="D328" i="2"/>
  <c r="E328" i="2"/>
  <c r="B329" i="2"/>
  <c r="C329" i="2"/>
  <c r="D329" i="2"/>
  <c r="E329" i="2"/>
  <c r="B315" i="2"/>
  <c r="C315" i="2"/>
  <c r="D315" i="2"/>
  <c r="E315" i="2"/>
  <c r="B316" i="2"/>
  <c r="C316" i="2"/>
  <c r="D316" i="2"/>
  <c r="E316" i="2"/>
  <c r="B317" i="2"/>
  <c r="C317" i="2"/>
  <c r="D317" i="2"/>
  <c r="E317" i="2"/>
  <c r="B318" i="2"/>
  <c r="C318" i="2"/>
  <c r="D318" i="2"/>
  <c r="E318" i="2"/>
  <c r="B319" i="2"/>
  <c r="C319" i="2"/>
  <c r="D319" i="2"/>
  <c r="E319" i="2"/>
  <c r="B320" i="2"/>
  <c r="C320" i="2"/>
  <c r="D320" i="2"/>
  <c r="E320" i="2"/>
  <c r="B309" i="2"/>
  <c r="C309" i="2"/>
  <c r="D309" i="2"/>
  <c r="E309" i="2"/>
  <c r="B310" i="2"/>
  <c r="C310" i="2"/>
  <c r="D310" i="2"/>
  <c r="E310" i="2"/>
  <c r="B311" i="2"/>
  <c r="C311" i="2"/>
  <c r="D311" i="2"/>
  <c r="E311" i="2"/>
  <c r="B312" i="2"/>
  <c r="C312" i="2"/>
  <c r="D312" i="2"/>
  <c r="E312" i="2"/>
  <c r="B313" i="2"/>
  <c r="C313" i="2"/>
  <c r="D313" i="2"/>
  <c r="E313" i="2"/>
  <c r="B314" i="2"/>
  <c r="C314" i="2"/>
  <c r="D314" i="2"/>
  <c r="E314" i="2"/>
  <c r="B298" i="2"/>
  <c r="C298" i="2"/>
  <c r="D298" i="2"/>
  <c r="E298" i="2"/>
  <c r="B299" i="2"/>
  <c r="C299" i="2"/>
  <c r="D299" i="2"/>
  <c r="E299" i="2"/>
  <c r="B300" i="2"/>
  <c r="C300" i="2"/>
  <c r="D300" i="2"/>
  <c r="E300" i="2"/>
  <c r="B301" i="2"/>
  <c r="C301" i="2"/>
  <c r="D301" i="2"/>
  <c r="E301" i="2"/>
  <c r="B302" i="2"/>
  <c r="C302" i="2"/>
  <c r="D302" i="2"/>
  <c r="E302" i="2"/>
  <c r="B290" i="2"/>
  <c r="C290" i="2"/>
  <c r="D290" i="2"/>
  <c r="E290" i="2"/>
  <c r="B291" i="2"/>
  <c r="C291" i="2"/>
  <c r="D291" i="2"/>
  <c r="E291" i="2"/>
  <c r="B412" i="2"/>
  <c r="C412" i="2"/>
  <c r="D412" i="2"/>
  <c r="E412" i="2"/>
  <c r="B413" i="2"/>
  <c r="C413" i="2"/>
  <c r="D413" i="2"/>
  <c r="E413" i="2"/>
  <c r="B414" i="2"/>
  <c r="C414" i="2"/>
  <c r="D414" i="2"/>
  <c r="E414" i="2"/>
  <c r="B415" i="2"/>
  <c r="C415" i="2"/>
  <c r="D415" i="2"/>
  <c r="E415" i="2"/>
  <c r="B416" i="2"/>
  <c r="C416" i="2"/>
  <c r="D416" i="2"/>
  <c r="E416" i="2"/>
  <c r="B417" i="2"/>
  <c r="C417" i="2"/>
  <c r="D417" i="2"/>
  <c r="E417" i="2"/>
  <c r="B389" i="2"/>
  <c r="C389" i="2"/>
  <c r="D389" i="2"/>
  <c r="E389" i="2"/>
  <c r="B390" i="2"/>
  <c r="C390" i="2"/>
  <c r="D390" i="2"/>
  <c r="E390" i="2"/>
  <c r="B391" i="2"/>
  <c r="C391" i="2"/>
  <c r="D391" i="2"/>
  <c r="E391" i="2"/>
  <c r="B392" i="2"/>
  <c r="C392" i="2"/>
  <c r="D392" i="2"/>
  <c r="E392" i="2"/>
  <c r="B393" i="2"/>
  <c r="C393" i="2"/>
  <c r="D393" i="2"/>
  <c r="E393" i="2"/>
  <c r="B394" i="2"/>
  <c r="C394" i="2"/>
  <c r="D394" i="2"/>
  <c r="E394" i="2"/>
  <c r="B395" i="2"/>
  <c r="C395" i="2"/>
  <c r="D395" i="2"/>
  <c r="E395" i="2"/>
  <c r="B396" i="2"/>
  <c r="C396" i="2"/>
  <c r="D396" i="2"/>
  <c r="E396" i="2"/>
  <c r="B397" i="2"/>
  <c r="C397" i="2"/>
  <c r="D397" i="2"/>
  <c r="E397" i="2"/>
  <c r="B398" i="2"/>
  <c r="C398" i="2"/>
  <c r="D398" i="2"/>
  <c r="E398" i="2"/>
  <c r="B399" i="2"/>
  <c r="C399" i="2"/>
  <c r="D399" i="2"/>
  <c r="E399" i="2"/>
  <c r="B364" i="2"/>
  <c r="C364" i="2"/>
  <c r="D364" i="2"/>
  <c r="E364" i="2"/>
  <c r="B365" i="2"/>
  <c r="C365" i="2"/>
  <c r="D365" i="2"/>
  <c r="E365" i="2"/>
  <c r="B366" i="2"/>
  <c r="C366" i="2"/>
  <c r="D366" i="2"/>
  <c r="E366" i="2"/>
  <c r="B367" i="2"/>
  <c r="C367" i="2"/>
  <c r="D367" i="2"/>
  <c r="E367" i="2"/>
  <c r="B369" i="2"/>
  <c r="C369" i="2"/>
  <c r="D369" i="2"/>
  <c r="E369" i="2"/>
  <c r="B370" i="2"/>
  <c r="C370" i="2"/>
  <c r="D370" i="2"/>
  <c r="E370" i="2"/>
  <c r="B371" i="2"/>
  <c r="C371" i="2"/>
  <c r="D371" i="2"/>
  <c r="E371" i="2"/>
  <c r="B372" i="2"/>
  <c r="C372" i="2"/>
  <c r="D372" i="2"/>
  <c r="E372" i="2"/>
  <c r="B358" i="2"/>
  <c r="C358" i="2"/>
  <c r="D358" i="2"/>
  <c r="E358" i="2"/>
  <c r="B359" i="2"/>
  <c r="C359" i="2"/>
  <c r="D359" i="2"/>
  <c r="E359" i="2"/>
  <c r="B360" i="2"/>
  <c r="C360" i="2"/>
  <c r="D360" i="2"/>
  <c r="E360" i="2"/>
  <c r="B361" i="2"/>
  <c r="C361" i="2"/>
  <c r="D361" i="2"/>
  <c r="E361" i="2"/>
  <c r="B362" i="2"/>
  <c r="C362" i="2"/>
  <c r="D362" i="2"/>
  <c r="E362" i="2"/>
  <c r="B352" i="2"/>
  <c r="C352" i="2"/>
  <c r="D352" i="2"/>
  <c r="E352" i="2"/>
  <c r="B353" i="2"/>
  <c r="C353" i="2"/>
  <c r="D353" i="2"/>
  <c r="E353" i="2"/>
  <c r="B243" i="2"/>
  <c r="C243" i="2"/>
  <c r="D243" i="2"/>
  <c r="E243" i="2"/>
  <c r="B244" i="2"/>
  <c r="C244" i="2"/>
  <c r="D244" i="2"/>
  <c r="E244" i="2"/>
  <c r="B226" i="2"/>
  <c r="C226" i="2"/>
  <c r="D226" i="2"/>
  <c r="E226" i="2"/>
  <c r="B227" i="2"/>
  <c r="C227" i="2"/>
  <c r="D227" i="2"/>
  <c r="E227" i="2"/>
  <c r="B228" i="2"/>
  <c r="C228" i="2"/>
  <c r="D228" i="2"/>
  <c r="E228" i="2"/>
  <c r="B229" i="2"/>
  <c r="C229" i="2"/>
  <c r="D229" i="2"/>
  <c r="E229" i="2"/>
  <c r="B230" i="2"/>
  <c r="C230" i="2"/>
  <c r="D230" i="2"/>
  <c r="E230" i="2"/>
  <c r="B123" i="2"/>
  <c r="C123" i="2"/>
  <c r="D123" i="2"/>
  <c r="E123" i="2"/>
  <c r="B124" i="2"/>
  <c r="C124" i="2"/>
  <c r="D124" i="2"/>
  <c r="E124" i="2"/>
  <c r="B125" i="2"/>
  <c r="C125" i="2"/>
  <c r="D125" i="2"/>
  <c r="E125" i="2"/>
  <c r="B461" i="2"/>
  <c r="C461" i="2"/>
  <c r="D461" i="2"/>
  <c r="E461" i="2"/>
  <c r="B94" i="2"/>
  <c r="C94" i="2"/>
  <c r="D94" i="2"/>
  <c r="E94" i="2"/>
  <c r="B95" i="2"/>
  <c r="C95" i="2"/>
  <c r="D95" i="2"/>
  <c r="E95" i="2"/>
  <c r="B96" i="2"/>
  <c r="C96" i="2"/>
  <c r="D96" i="2"/>
  <c r="E96" i="2"/>
  <c r="B97" i="2"/>
  <c r="C97" i="2"/>
  <c r="D97" i="2"/>
  <c r="E97" i="2"/>
  <c r="B547" i="2"/>
  <c r="C547" i="2"/>
  <c r="D547" i="2"/>
  <c r="E547" i="2"/>
  <c r="B548" i="2"/>
  <c r="C548" i="2"/>
  <c r="D548" i="2"/>
  <c r="E548" i="2"/>
  <c r="B549" i="2"/>
  <c r="C549" i="2"/>
  <c r="D549" i="2"/>
  <c r="E549" i="2"/>
  <c r="B533" i="2"/>
  <c r="C533" i="2"/>
  <c r="D533" i="2"/>
  <c r="E533" i="2"/>
  <c r="B534" i="2"/>
  <c r="C534" i="2"/>
  <c r="D534" i="2"/>
  <c r="E534" i="2"/>
  <c r="B535" i="2"/>
  <c r="C535" i="2"/>
  <c r="D535" i="2"/>
  <c r="E535" i="2"/>
  <c r="B536" i="2"/>
  <c r="C536" i="2"/>
  <c r="D536" i="2"/>
  <c r="E536" i="2"/>
  <c r="B537" i="2"/>
  <c r="C537" i="2"/>
  <c r="D537" i="2"/>
  <c r="E537" i="2"/>
  <c r="B538" i="2"/>
  <c r="C538" i="2"/>
  <c r="D538" i="2"/>
  <c r="E538" i="2"/>
  <c r="B539" i="2"/>
  <c r="C539" i="2"/>
  <c r="D539" i="2"/>
  <c r="E539" i="2"/>
  <c r="B540" i="2"/>
  <c r="C540" i="2"/>
  <c r="D540" i="2"/>
  <c r="E540" i="2"/>
  <c r="B14" i="2"/>
  <c r="C14" i="2"/>
  <c r="D14" i="2"/>
  <c r="E14" i="2"/>
  <c r="B15" i="2"/>
  <c r="C15" i="2"/>
  <c r="D15" i="2"/>
  <c r="E15" i="2"/>
  <c r="B16" i="2"/>
  <c r="C16" i="2"/>
  <c r="D16" i="2"/>
  <c r="E16" i="2"/>
  <c r="B237" i="2"/>
  <c r="C237" i="2"/>
  <c r="D237" i="2"/>
  <c r="E237" i="2"/>
  <c r="B238" i="2"/>
  <c r="C238" i="2"/>
  <c r="D238" i="2"/>
  <c r="E238" i="2"/>
  <c r="B239" i="2"/>
  <c r="C239" i="2"/>
  <c r="D239" i="2"/>
  <c r="E239" i="2"/>
  <c r="B240" i="2"/>
  <c r="C240" i="2"/>
  <c r="D240" i="2"/>
  <c r="E240" i="2"/>
  <c r="B222" i="2"/>
  <c r="C222" i="2"/>
  <c r="D222" i="2"/>
  <c r="E222" i="2"/>
  <c r="B223" i="2"/>
  <c r="C223" i="2"/>
  <c r="D223" i="2"/>
  <c r="E223" i="2"/>
  <c r="B224" i="2"/>
  <c r="C224" i="2"/>
  <c r="D224" i="2"/>
  <c r="E224" i="2"/>
  <c r="B225" i="2"/>
  <c r="C225" i="2"/>
  <c r="D225" i="2"/>
  <c r="E225" i="2"/>
  <c r="B487" i="2"/>
  <c r="C487" i="2"/>
  <c r="D487" i="2"/>
  <c r="E487" i="2"/>
  <c r="B488" i="2"/>
  <c r="C488" i="2"/>
  <c r="D488" i="2"/>
  <c r="E488" i="2"/>
  <c r="B489" i="2"/>
  <c r="C489" i="2"/>
  <c r="D489" i="2"/>
  <c r="E489" i="2"/>
  <c r="B490" i="2"/>
  <c r="C490" i="2"/>
  <c r="D490" i="2"/>
  <c r="E490" i="2"/>
  <c r="B491" i="2"/>
  <c r="C491" i="2"/>
  <c r="D491" i="2"/>
  <c r="E491" i="2"/>
  <c r="B635" i="2"/>
  <c r="C635" i="2"/>
  <c r="D635" i="2"/>
  <c r="E635" i="2"/>
  <c r="B636" i="2"/>
  <c r="C636" i="2"/>
  <c r="D636" i="2"/>
  <c r="E636" i="2"/>
  <c r="B625" i="2"/>
  <c r="C625" i="2"/>
  <c r="D625" i="2"/>
  <c r="E625" i="2"/>
  <c r="B626" i="2"/>
  <c r="C626" i="2"/>
  <c r="D626" i="2"/>
  <c r="E626" i="2"/>
  <c r="B627" i="2"/>
  <c r="C627" i="2"/>
  <c r="D627" i="2"/>
  <c r="E627" i="2"/>
  <c r="B628" i="2"/>
  <c r="C628" i="2"/>
  <c r="D628" i="2"/>
  <c r="E628" i="2"/>
  <c r="B629" i="2"/>
  <c r="C629" i="2"/>
  <c r="D629" i="2"/>
  <c r="E629" i="2"/>
  <c r="B601" i="2"/>
  <c r="C601" i="2"/>
  <c r="D601" i="2"/>
  <c r="E601" i="2"/>
  <c r="B602" i="2"/>
  <c r="C602" i="2"/>
  <c r="D602" i="2"/>
  <c r="E602" i="2"/>
  <c r="B603" i="2"/>
  <c r="C603" i="2"/>
  <c r="D603" i="2"/>
  <c r="E603" i="2"/>
  <c r="B604" i="2"/>
  <c r="C604" i="2"/>
  <c r="D604" i="2"/>
  <c r="E604" i="2"/>
  <c r="B571" i="2"/>
  <c r="C571" i="2"/>
  <c r="D571" i="2"/>
  <c r="E571" i="2"/>
  <c r="B572" i="2"/>
  <c r="C572" i="2"/>
  <c r="D572" i="2"/>
  <c r="E572" i="2"/>
  <c r="B573" i="2"/>
  <c r="C573" i="2"/>
  <c r="D573" i="2"/>
  <c r="E573" i="2"/>
  <c r="B590" i="2"/>
  <c r="C590" i="2"/>
  <c r="D590" i="2"/>
  <c r="E590" i="2"/>
  <c r="B591" i="2"/>
  <c r="C591" i="2"/>
  <c r="D591" i="2"/>
  <c r="E591" i="2"/>
  <c r="B592" i="2"/>
  <c r="C592" i="2"/>
  <c r="D592" i="2"/>
  <c r="E592" i="2"/>
  <c r="B383" i="2"/>
  <c r="C383" i="2"/>
  <c r="D383" i="2"/>
  <c r="E383" i="2"/>
  <c r="B384" i="2"/>
  <c r="C384" i="2"/>
  <c r="D384" i="2"/>
  <c r="E384" i="2"/>
  <c r="B385" i="2"/>
  <c r="C385" i="2"/>
  <c r="D385" i="2"/>
  <c r="E385" i="2"/>
  <c r="B386" i="2"/>
  <c r="C386" i="2"/>
  <c r="D386" i="2"/>
  <c r="E386" i="2"/>
  <c r="B387" i="2"/>
  <c r="C387" i="2"/>
  <c r="D387" i="2"/>
  <c r="E387" i="2"/>
  <c r="B388" i="2"/>
  <c r="C388" i="2"/>
  <c r="D388" i="2"/>
  <c r="E388" i="2"/>
  <c r="B437" i="2"/>
  <c r="C437" i="2"/>
  <c r="D437" i="2"/>
  <c r="E437" i="2"/>
  <c r="B438" i="2"/>
  <c r="C438" i="2"/>
  <c r="D438" i="2"/>
  <c r="E438" i="2"/>
  <c r="B264" i="2"/>
  <c r="C264" i="2"/>
  <c r="D264" i="2"/>
  <c r="E264" i="2"/>
  <c r="B265" i="2"/>
  <c r="C265" i="2"/>
  <c r="D265" i="2"/>
  <c r="E265" i="2"/>
  <c r="B266" i="2"/>
  <c r="C266" i="2"/>
  <c r="D266" i="2"/>
  <c r="E266" i="2"/>
  <c r="B267" i="2"/>
  <c r="C267" i="2"/>
  <c r="D267" i="2"/>
  <c r="E267" i="2"/>
  <c r="B79" i="2"/>
  <c r="C79" i="2"/>
  <c r="D79" i="2"/>
  <c r="E79" i="2"/>
  <c r="B80" i="2"/>
  <c r="C80" i="2"/>
  <c r="D80" i="2"/>
  <c r="E80" i="2"/>
  <c r="B81" i="2"/>
  <c r="C81" i="2"/>
  <c r="D81" i="2"/>
  <c r="E81" i="2"/>
  <c r="B82" i="2"/>
  <c r="C82" i="2"/>
  <c r="D82" i="2"/>
  <c r="E82" i="2"/>
  <c r="B120" i="2"/>
  <c r="C120" i="2"/>
  <c r="D120" i="2"/>
  <c r="E120" i="2"/>
  <c r="B121" i="2"/>
  <c r="C121" i="2"/>
  <c r="D121" i="2"/>
  <c r="E121" i="2"/>
  <c r="B122" i="2"/>
  <c r="C122" i="2"/>
  <c r="D122" i="2"/>
  <c r="E122" i="2"/>
  <c r="B623" i="2"/>
  <c r="C623" i="2"/>
  <c r="D623" i="2"/>
  <c r="E623" i="2"/>
  <c r="B624" i="2"/>
  <c r="C624" i="2"/>
  <c r="D624" i="2"/>
  <c r="E624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421" i="2"/>
  <c r="C421" i="2"/>
  <c r="D421" i="2"/>
  <c r="E421" i="2"/>
  <c r="B422" i="2"/>
  <c r="C422" i="2"/>
  <c r="D422" i="2"/>
  <c r="E422" i="2"/>
  <c r="B423" i="2"/>
  <c r="C423" i="2"/>
  <c r="D423" i="2"/>
  <c r="E423" i="2"/>
  <c r="B424" i="2"/>
  <c r="C424" i="2"/>
  <c r="D424" i="2"/>
  <c r="E424" i="2"/>
  <c r="B425" i="2"/>
  <c r="C425" i="2"/>
  <c r="D425" i="2"/>
  <c r="E425" i="2"/>
  <c r="B426" i="2"/>
  <c r="C426" i="2"/>
  <c r="D426" i="2"/>
  <c r="E426" i="2"/>
  <c r="B427" i="2"/>
  <c r="C427" i="2"/>
  <c r="D427" i="2"/>
  <c r="E427" i="2"/>
  <c r="B368" i="2"/>
  <c r="C368" i="2"/>
  <c r="D368" i="2"/>
  <c r="E368" i="2"/>
  <c r="B405" i="2"/>
  <c r="C405" i="2"/>
  <c r="D405" i="2"/>
  <c r="E405" i="2"/>
  <c r="B406" i="2"/>
  <c r="C406" i="2"/>
  <c r="D406" i="2"/>
  <c r="E406" i="2"/>
  <c r="B555" i="2"/>
  <c r="C555" i="2"/>
  <c r="D555" i="2"/>
  <c r="E555" i="2"/>
  <c r="B556" i="2"/>
  <c r="C556" i="2"/>
  <c r="D556" i="2"/>
  <c r="E556" i="2"/>
  <c r="B557" i="2"/>
  <c r="C557" i="2"/>
  <c r="D557" i="2"/>
  <c r="E557" i="2"/>
  <c r="B630" i="2"/>
  <c r="C630" i="2"/>
  <c r="D630" i="2"/>
  <c r="E630" i="2"/>
  <c r="B631" i="2"/>
  <c r="C631" i="2"/>
  <c r="D631" i="2"/>
  <c r="E631" i="2"/>
  <c r="B632" i="2"/>
  <c r="C632" i="2"/>
  <c r="D632" i="2"/>
  <c r="E632" i="2"/>
  <c r="B633" i="2"/>
  <c r="C633" i="2"/>
  <c r="D633" i="2"/>
  <c r="E633" i="2"/>
  <c r="B634" i="2"/>
  <c r="C634" i="2"/>
  <c r="D634" i="2"/>
  <c r="E634" i="2"/>
  <c r="B511" i="2"/>
  <c r="C511" i="2"/>
  <c r="D511" i="2"/>
  <c r="E511" i="2"/>
  <c r="B512" i="2"/>
  <c r="C512" i="2"/>
  <c r="D512" i="2"/>
  <c r="E512" i="2"/>
  <c r="B407" i="2"/>
  <c r="C407" i="2"/>
  <c r="D407" i="2"/>
  <c r="E407" i="2"/>
  <c r="B408" i="2"/>
  <c r="C408" i="2"/>
  <c r="D408" i="2"/>
  <c r="E408" i="2"/>
  <c r="B409" i="2"/>
  <c r="C409" i="2"/>
  <c r="D409" i="2"/>
  <c r="E409" i="2"/>
  <c r="B410" i="2"/>
  <c r="C410" i="2"/>
  <c r="D410" i="2"/>
  <c r="E410" i="2"/>
  <c r="B411" i="2"/>
  <c r="C411" i="2"/>
  <c r="D411" i="2"/>
  <c r="E411" i="2"/>
  <c r="B597" i="2"/>
  <c r="C597" i="2"/>
  <c r="D597" i="2"/>
  <c r="E597" i="2"/>
  <c r="B598" i="2"/>
  <c r="C598" i="2"/>
  <c r="D598" i="2"/>
  <c r="E598" i="2"/>
  <c r="B599" i="2"/>
  <c r="C599" i="2"/>
  <c r="D599" i="2"/>
  <c r="E599" i="2"/>
  <c r="B600" i="2"/>
  <c r="C600" i="2"/>
  <c r="D600" i="2"/>
  <c r="E600" i="2"/>
  <c r="B208" i="2"/>
  <c r="C208" i="2"/>
  <c r="D208" i="2"/>
  <c r="E208" i="2"/>
  <c r="B209" i="2"/>
  <c r="C209" i="2"/>
  <c r="D209" i="2"/>
  <c r="E209" i="2"/>
  <c r="B210" i="2"/>
  <c r="C210" i="2"/>
  <c r="D210" i="2"/>
  <c r="E210" i="2"/>
  <c r="B211" i="2"/>
  <c r="C211" i="2"/>
  <c r="D211" i="2"/>
  <c r="E211" i="2"/>
  <c r="B543" i="2"/>
  <c r="C543" i="2"/>
  <c r="D543" i="2"/>
  <c r="E543" i="2"/>
  <c r="B544" i="2"/>
  <c r="C544" i="2"/>
  <c r="D544" i="2"/>
  <c r="E544" i="2"/>
  <c r="B545" i="2"/>
  <c r="C545" i="2"/>
  <c r="D545" i="2"/>
  <c r="E545" i="2"/>
  <c r="B546" i="2"/>
  <c r="C546" i="2"/>
  <c r="D546" i="2"/>
  <c r="E546" i="2"/>
  <c r="B560" i="2"/>
  <c r="C560" i="2"/>
  <c r="D560" i="2"/>
  <c r="E560" i="2"/>
  <c r="B561" i="2"/>
  <c r="C561" i="2"/>
  <c r="D561" i="2"/>
  <c r="E561" i="2"/>
  <c r="B562" i="2"/>
  <c r="C562" i="2"/>
  <c r="D562" i="2"/>
  <c r="E562" i="2"/>
  <c r="B563" i="2"/>
  <c r="C563" i="2"/>
  <c r="D563" i="2"/>
  <c r="E563" i="2"/>
  <c r="B241" i="2"/>
  <c r="C241" i="2"/>
  <c r="D241" i="2"/>
  <c r="E241" i="2"/>
  <c r="B242" i="2"/>
  <c r="C242" i="2"/>
  <c r="D242" i="2"/>
  <c r="E242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B517" i="2"/>
  <c r="C517" i="2"/>
  <c r="D517" i="2"/>
  <c r="E517" i="2"/>
  <c r="B579" i="2"/>
  <c r="C579" i="2"/>
  <c r="D579" i="2"/>
  <c r="E579" i="2"/>
  <c r="B580" i="2"/>
  <c r="C580" i="2"/>
  <c r="D580" i="2"/>
  <c r="E580" i="2"/>
  <c r="B581" i="2"/>
  <c r="C581" i="2"/>
  <c r="D581" i="2"/>
  <c r="E581" i="2"/>
  <c r="B582" i="2"/>
  <c r="C582" i="2"/>
  <c r="D582" i="2"/>
  <c r="E582" i="2"/>
  <c r="B583" i="2"/>
  <c r="C583" i="2"/>
  <c r="D583" i="2"/>
  <c r="E583" i="2"/>
  <c r="B558" i="2"/>
  <c r="C558" i="2"/>
  <c r="D558" i="2"/>
  <c r="E558" i="2"/>
  <c r="B559" i="2"/>
  <c r="C559" i="2"/>
  <c r="D559" i="2"/>
  <c r="E559" i="2"/>
  <c r="B271" i="2"/>
  <c r="C271" i="2"/>
  <c r="D271" i="2"/>
  <c r="E271" i="2"/>
  <c r="B272" i="2"/>
  <c r="C272" i="2"/>
  <c r="D272" i="2"/>
  <c r="E272" i="2"/>
  <c r="B292" i="2"/>
  <c r="C292" i="2"/>
  <c r="D292" i="2"/>
  <c r="E292" i="2"/>
  <c r="B293" i="2"/>
  <c r="C293" i="2"/>
  <c r="D293" i="2"/>
  <c r="E293" i="2"/>
  <c r="B294" i="2"/>
  <c r="C294" i="2"/>
  <c r="D294" i="2"/>
  <c r="E294" i="2"/>
  <c r="B71" i="2"/>
  <c r="C71" i="2"/>
  <c r="D71" i="2"/>
  <c r="E71" i="2"/>
  <c r="B72" i="2"/>
  <c r="C72" i="2"/>
  <c r="D72" i="2"/>
  <c r="E72" i="2"/>
  <c r="B202" i="2"/>
  <c r="C202" i="2"/>
  <c r="D202" i="2"/>
  <c r="E202" i="2"/>
  <c r="B203" i="2"/>
  <c r="C203" i="2"/>
  <c r="D203" i="2"/>
  <c r="E203" i="2"/>
  <c r="B204" i="2"/>
  <c r="C204" i="2"/>
  <c r="D204" i="2"/>
  <c r="E204" i="2"/>
  <c r="B205" i="2"/>
  <c r="C205" i="2"/>
  <c r="D205" i="2"/>
  <c r="E205" i="2"/>
  <c r="B206" i="2"/>
  <c r="C206" i="2"/>
  <c r="D206" i="2"/>
  <c r="E206" i="2"/>
  <c r="B419" i="2"/>
  <c r="C419" i="2"/>
  <c r="D419" i="2"/>
  <c r="E419" i="2"/>
  <c r="B420" i="2"/>
  <c r="C420" i="2"/>
  <c r="D420" i="2"/>
  <c r="E420" i="2"/>
  <c r="B522" i="2"/>
  <c r="C522" i="2"/>
  <c r="D522" i="2"/>
  <c r="E522" i="2"/>
  <c r="B523" i="2"/>
  <c r="C523" i="2"/>
  <c r="D523" i="2"/>
  <c r="E523" i="2"/>
  <c r="B459" i="2"/>
  <c r="C459" i="2"/>
  <c r="D459" i="2"/>
  <c r="E459" i="2"/>
  <c r="B460" i="2"/>
  <c r="C460" i="2"/>
  <c r="D460" i="2"/>
  <c r="E460" i="2"/>
  <c r="B343" i="2"/>
  <c r="C343" i="2"/>
  <c r="D343" i="2"/>
  <c r="E343" i="2"/>
  <c r="B344" i="2"/>
  <c r="C344" i="2"/>
  <c r="D344" i="2"/>
  <c r="E344" i="2"/>
  <c r="B345" i="2"/>
  <c r="C345" i="2"/>
  <c r="D345" i="2"/>
  <c r="E345" i="2"/>
  <c r="B346" i="2"/>
  <c r="C346" i="2"/>
  <c r="D346" i="2"/>
  <c r="E346" i="2"/>
  <c r="B347" i="2"/>
  <c r="C347" i="2"/>
  <c r="D347" i="2"/>
  <c r="E347" i="2"/>
  <c r="B53" i="2"/>
  <c r="C53" i="2"/>
  <c r="D53" i="2"/>
  <c r="E53" i="2"/>
  <c r="B54" i="2"/>
  <c r="C54" i="2"/>
  <c r="D54" i="2"/>
  <c r="E54" i="2"/>
  <c r="B55" i="2"/>
  <c r="C55" i="2"/>
  <c r="D55" i="2"/>
  <c r="E55" i="2"/>
  <c r="B56" i="2"/>
  <c r="C56" i="2"/>
  <c r="D56" i="2"/>
  <c r="E56" i="2"/>
  <c r="B518" i="2"/>
  <c r="C518" i="2"/>
  <c r="D518" i="2"/>
  <c r="E518" i="2"/>
  <c r="B519" i="2"/>
  <c r="C519" i="2"/>
  <c r="D519" i="2"/>
  <c r="E519" i="2"/>
  <c r="B520" i="2"/>
  <c r="C520" i="2"/>
  <c r="D520" i="2"/>
  <c r="E520" i="2"/>
  <c r="B541" i="2"/>
  <c r="C541" i="2"/>
  <c r="D541" i="2"/>
  <c r="E541" i="2"/>
  <c r="B542" i="2"/>
  <c r="C542" i="2"/>
  <c r="D542" i="2"/>
  <c r="E542" i="2"/>
  <c r="B480" i="2"/>
  <c r="C480" i="2"/>
  <c r="D480" i="2"/>
  <c r="E480" i="2"/>
  <c r="B481" i="2"/>
  <c r="C481" i="2"/>
  <c r="D481" i="2"/>
  <c r="E481" i="2"/>
  <c r="B30" i="2"/>
  <c r="C30" i="2"/>
  <c r="D30" i="2"/>
  <c r="E30" i="2"/>
  <c r="B31" i="2"/>
  <c r="C31" i="2"/>
  <c r="D31" i="2"/>
  <c r="E31" i="2"/>
  <c r="B32" i="2"/>
  <c r="C32" i="2"/>
  <c r="D32" i="2"/>
  <c r="E32" i="2"/>
  <c r="B33" i="2"/>
  <c r="C33" i="2"/>
  <c r="D33" i="2"/>
  <c r="E33" i="2"/>
  <c r="B478" i="2"/>
  <c r="C478" i="2"/>
  <c r="D478" i="2"/>
  <c r="E478" i="2"/>
  <c r="B479" i="2"/>
  <c r="C479" i="2"/>
  <c r="D479" i="2"/>
  <c r="E479" i="2"/>
  <c r="B531" i="2"/>
  <c r="C531" i="2"/>
  <c r="D531" i="2"/>
  <c r="E531" i="2"/>
  <c r="B532" i="2"/>
  <c r="C532" i="2"/>
  <c r="D532" i="2"/>
  <c r="E532" i="2"/>
  <c r="B41" i="2"/>
  <c r="C41" i="2"/>
  <c r="D41" i="2"/>
  <c r="E41" i="2"/>
  <c r="B42" i="2"/>
  <c r="C42" i="2"/>
  <c r="D42" i="2"/>
  <c r="E42" i="2"/>
  <c r="B43" i="2"/>
  <c r="C43" i="2"/>
  <c r="D43" i="2"/>
  <c r="E43" i="2"/>
  <c r="B44" i="2"/>
  <c r="C44" i="2"/>
  <c r="D44" i="2"/>
  <c r="E44" i="2"/>
  <c r="B492" i="2"/>
  <c r="C492" i="2"/>
  <c r="D492" i="2"/>
  <c r="E492" i="2"/>
  <c r="B493" i="2"/>
  <c r="C493" i="2"/>
  <c r="D493" i="2"/>
  <c r="E493" i="2"/>
  <c r="B51" i="2"/>
  <c r="C51" i="2"/>
  <c r="D51" i="2"/>
  <c r="E51" i="2"/>
  <c r="B52" i="2"/>
  <c r="C52" i="2"/>
  <c r="D52" i="2"/>
  <c r="E52" i="2"/>
  <c r="B231" i="2"/>
  <c r="C231" i="2"/>
  <c r="D231" i="2"/>
  <c r="E231" i="2"/>
  <c r="B232" i="2"/>
  <c r="C232" i="2"/>
  <c r="D232" i="2"/>
  <c r="E232" i="2"/>
  <c r="B233" i="2"/>
  <c r="C233" i="2"/>
  <c r="D233" i="2"/>
  <c r="E233" i="2"/>
  <c r="B234" i="2"/>
  <c r="C234" i="2"/>
  <c r="D234" i="2"/>
  <c r="E234" i="2"/>
  <c r="B303" i="2"/>
  <c r="C303" i="2"/>
  <c r="D303" i="2"/>
  <c r="E303" i="2"/>
  <c r="B304" i="2"/>
  <c r="C304" i="2"/>
  <c r="D304" i="2"/>
  <c r="E304" i="2"/>
  <c r="B305" i="2"/>
  <c r="C305" i="2"/>
  <c r="D305" i="2"/>
  <c r="E305" i="2"/>
  <c r="B306" i="2"/>
  <c r="C306" i="2"/>
  <c r="D306" i="2"/>
  <c r="E306" i="2"/>
  <c r="B307" i="2"/>
  <c r="C307" i="2"/>
  <c r="D307" i="2"/>
  <c r="E307" i="2"/>
  <c r="B308" i="2"/>
  <c r="C308" i="2"/>
  <c r="D308" i="2"/>
  <c r="E308" i="2"/>
  <c r="B620" i="2"/>
  <c r="C620" i="2"/>
  <c r="D620" i="2"/>
  <c r="E620" i="2"/>
  <c r="B621" i="2"/>
  <c r="C621" i="2"/>
  <c r="D621" i="2"/>
  <c r="E621" i="2"/>
  <c r="B622" i="2"/>
  <c r="C622" i="2"/>
  <c r="D622" i="2"/>
  <c r="E622" i="2"/>
  <c r="B45" i="2"/>
  <c r="C45" i="2"/>
  <c r="D45" i="2"/>
  <c r="E45" i="2"/>
  <c r="B57" i="2"/>
  <c r="C57" i="2"/>
  <c r="D57" i="2"/>
  <c r="E57" i="2"/>
  <c r="B58" i="2"/>
  <c r="C58" i="2"/>
  <c r="D58" i="2"/>
  <c r="E58" i="2"/>
  <c r="B59" i="2"/>
  <c r="C59" i="2"/>
  <c r="D59" i="2"/>
  <c r="E59" i="2"/>
  <c r="B378" i="2"/>
  <c r="C378" i="2"/>
  <c r="D378" i="2"/>
  <c r="E378" i="2"/>
  <c r="B379" i="2"/>
  <c r="C379" i="2"/>
  <c r="D379" i="2"/>
  <c r="E379" i="2"/>
  <c r="B380" i="2"/>
  <c r="C380" i="2"/>
  <c r="D380" i="2"/>
  <c r="E380" i="2"/>
  <c r="B381" i="2"/>
  <c r="C381" i="2"/>
  <c r="D381" i="2"/>
  <c r="E381" i="2"/>
  <c r="B382" i="2"/>
  <c r="C382" i="2"/>
  <c r="D382" i="2"/>
  <c r="E382" i="2"/>
  <c r="B215" i="2"/>
  <c r="C215" i="2"/>
  <c r="D215" i="2"/>
  <c r="E215" i="2"/>
  <c r="B216" i="2"/>
  <c r="C216" i="2"/>
  <c r="D216" i="2"/>
  <c r="E216" i="2"/>
  <c r="B217" i="2"/>
  <c r="C217" i="2"/>
  <c r="D217" i="2"/>
  <c r="E217" i="2"/>
  <c r="B218" i="2"/>
  <c r="C218" i="2"/>
  <c r="D218" i="2"/>
  <c r="E218" i="2"/>
  <c r="B219" i="2"/>
  <c r="C219" i="2"/>
  <c r="D219" i="2"/>
  <c r="E219" i="2"/>
  <c r="B220" i="2"/>
  <c r="C220" i="2"/>
  <c r="D220" i="2"/>
  <c r="E220" i="2"/>
  <c r="B221" i="2"/>
  <c r="C221" i="2"/>
  <c r="D221" i="2"/>
  <c r="E221" i="2"/>
  <c r="B128" i="2"/>
  <c r="C128" i="2"/>
  <c r="D128" i="2"/>
  <c r="E128" i="2"/>
  <c r="B129" i="2"/>
  <c r="C129" i="2"/>
  <c r="D129" i="2"/>
  <c r="E129" i="2"/>
  <c r="B130" i="2"/>
  <c r="C130" i="2"/>
  <c r="D130" i="2"/>
  <c r="E130" i="2"/>
  <c r="B131" i="2"/>
  <c r="C131" i="2"/>
  <c r="D131" i="2"/>
  <c r="E131" i="2"/>
  <c r="B617" i="2"/>
  <c r="C617" i="2"/>
  <c r="D617" i="2"/>
  <c r="E617" i="2"/>
  <c r="B618" i="2"/>
  <c r="C618" i="2"/>
  <c r="D618" i="2"/>
  <c r="E618" i="2"/>
  <c r="B619" i="2"/>
  <c r="C619" i="2"/>
  <c r="D619" i="2"/>
  <c r="E619" i="2"/>
  <c r="B457" i="2"/>
  <c r="C457" i="2"/>
  <c r="D457" i="2"/>
  <c r="E457" i="2"/>
  <c r="B458" i="2"/>
  <c r="C458" i="2"/>
  <c r="D458" i="2"/>
  <c r="E458" i="2"/>
  <c r="B24" i="2"/>
  <c r="C24" i="2"/>
  <c r="D24" i="2"/>
  <c r="E24" i="2"/>
  <c r="B608" i="2"/>
  <c r="C608" i="2"/>
  <c r="D608" i="2"/>
  <c r="E608" i="2"/>
  <c r="B609" i="2"/>
  <c r="C609" i="2"/>
  <c r="D609" i="2"/>
  <c r="E609" i="2"/>
  <c r="B610" i="2"/>
  <c r="C610" i="2"/>
  <c r="D610" i="2"/>
  <c r="E610" i="2"/>
  <c r="B611" i="2"/>
  <c r="C611" i="2"/>
  <c r="D611" i="2"/>
  <c r="E611" i="2"/>
  <c r="B40" i="2"/>
  <c r="C40" i="2"/>
  <c r="D40" i="2"/>
  <c r="E40" i="2"/>
  <c r="B550" i="2"/>
  <c r="C550" i="2"/>
  <c r="D550" i="2"/>
  <c r="E550" i="2"/>
  <c r="B551" i="2"/>
  <c r="C551" i="2"/>
  <c r="D551" i="2"/>
  <c r="E551" i="2"/>
  <c r="B356" i="2"/>
  <c r="C356" i="2"/>
  <c r="D356" i="2"/>
  <c r="E356" i="2"/>
  <c r="B357" i="2"/>
  <c r="C357" i="2"/>
  <c r="D357" i="2"/>
  <c r="E357" i="2"/>
  <c r="B470" i="2"/>
  <c r="C470" i="2"/>
  <c r="D470" i="2"/>
  <c r="E470" i="2"/>
  <c r="B471" i="2"/>
  <c r="C471" i="2"/>
  <c r="D471" i="2"/>
  <c r="E471" i="2"/>
  <c r="B472" i="2"/>
  <c r="C472" i="2"/>
  <c r="D472" i="2"/>
  <c r="E472" i="2"/>
  <c r="B564" i="2"/>
  <c r="C564" i="2"/>
  <c r="D564" i="2"/>
  <c r="E564" i="2"/>
  <c r="B565" i="2"/>
  <c r="C565" i="2"/>
  <c r="D565" i="2"/>
  <c r="E565" i="2"/>
  <c r="B566" i="2"/>
  <c r="C566" i="2"/>
  <c r="D566" i="2"/>
  <c r="E566" i="2"/>
  <c r="B567" i="2"/>
  <c r="C567" i="2"/>
  <c r="D567" i="2"/>
  <c r="E567" i="2"/>
  <c r="B452" i="2"/>
  <c r="C452" i="2"/>
  <c r="D452" i="2"/>
  <c r="E452" i="2"/>
  <c r="B570" i="2"/>
  <c r="C570" i="2"/>
  <c r="D570" i="2"/>
  <c r="E570" i="2"/>
  <c r="B577" i="2"/>
  <c r="C577" i="2"/>
  <c r="D577" i="2"/>
  <c r="E577" i="2"/>
  <c r="B578" i="2"/>
  <c r="C578" i="2"/>
  <c r="D578" i="2"/>
  <c r="E578" i="2"/>
  <c r="B614" i="2"/>
  <c r="C614" i="2"/>
  <c r="D614" i="2"/>
  <c r="E614" i="2"/>
  <c r="B615" i="2"/>
  <c r="C615" i="2"/>
  <c r="D615" i="2"/>
  <c r="E615" i="2"/>
  <c r="B616" i="2"/>
  <c r="C616" i="2"/>
  <c r="D616" i="2"/>
  <c r="E616" i="2"/>
  <c r="B376" i="2"/>
  <c r="C376" i="2"/>
  <c r="D376" i="2"/>
  <c r="E376" i="2"/>
  <c r="B377" i="2"/>
  <c r="C377" i="2"/>
  <c r="D377" i="2"/>
  <c r="E377" i="2"/>
  <c r="B588" i="2"/>
  <c r="C588" i="2"/>
  <c r="D588" i="2"/>
  <c r="E588" i="2"/>
  <c r="B589" i="2"/>
  <c r="C589" i="2"/>
  <c r="D589" i="2"/>
  <c r="E589" i="2"/>
  <c r="B338" i="2"/>
  <c r="C338" i="2"/>
  <c r="D338" i="2"/>
  <c r="E338" i="2"/>
  <c r="B339" i="2"/>
  <c r="C339" i="2"/>
  <c r="D339" i="2"/>
  <c r="E339" i="2"/>
  <c r="B340" i="2"/>
  <c r="C340" i="2"/>
  <c r="D340" i="2"/>
  <c r="E340" i="2"/>
  <c r="B341" i="2"/>
  <c r="C341" i="2"/>
  <c r="D341" i="2"/>
  <c r="E341" i="2"/>
  <c r="B342" i="2"/>
  <c r="C342" i="2"/>
  <c r="D342" i="2"/>
  <c r="E342" i="2"/>
  <c r="B482" i="2"/>
  <c r="C482" i="2"/>
  <c r="D482" i="2"/>
  <c r="E482" i="2"/>
  <c r="B483" i="2"/>
  <c r="C483" i="2"/>
  <c r="D483" i="2"/>
  <c r="E483" i="2"/>
  <c r="B484" i="2"/>
  <c r="C484" i="2"/>
  <c r="D484" i="2"/>
  <c r="E484" i="2"/>
  <c r="B485" i="2"/>
  <c r="C485" i="2"/>
  <c r="D485" i="2"/>
  <c r="E485" i="2"/>
  <c r="B486" i="2"/>
  <c r="C486" i="2"/>
  <c r="D486" i="2"/>
  <c r="E486" i="2"/>
  <c r="B60" i="2"/>
  <c r="C60" i="2"/>
  <c r="D60" i="2"/>
  <c r="E60" i="2"/>
  <c r="B61" i="2"/>
  <c r="C61" i="2"/>
  <c r="D61" i="2"/>
  <c r="E61" i="2"/>
  <c r="B62" i="2"/>
  <c r="C62" i="2"/>
  <c r="D62" i="2"/>
  <c r="E62" i="2"/>
  <c r="B63" i="2"/>
  <c r="C63" i="2"/>
  <c r="D63" i="2"/>
  <c r="E63" i="2"/>
  <c r="B64" i="2"/>
  <c r="C64" i="2"/>
  <c r="D64" i="2"/>
  <c r="E64" i="2"/>
  <c r="B65" i="2"/>
  <c r="C65" i="2"/>
  <c r="D65" i="2"/>
  <c r="E65" i="2"/>
  <c r="B428" i="2"/>
  <c r="C428" i="2"/>
  <c r="D428" i="2"/>
  <c r="E428" i="2"/>
  <c r="B17" i="2"/>
  <c r="C17" i="2"/>
  <c r="D17" i="2"/>
  <c r="E17" i="2"/>
  <c r="B18" i="2"/>
  <c r="C18" i="2"/>
  <c r="D18" i="2"/>
  <c r="E18" i="2"/>
  <c r="B19" i="2"/>
  <c r="C19" i="2"/>
  <c r="D19" i="2"/>
  <c r="E19" i="2"/>
  <c r="B20" i="2"/>
  <c r="C20" i="2"/>
  <c r="D20" i="2"/>
  <c r="E20" i="2"/>
  <c r="B21" i="2"/>
  <c r="C21" i="2"/>
  <c r="D21" i="2"/>
  <c r="E21" i="2"/>
  <c r="B46" i="2"/>
  <c r="C46" i="2"/>
  <c r="D46" i="2"/>
  <c r="E46" i="2"/>
  <c r="B47" i="2"/>
  <c r="C47" i="2"/>
  <c r="D47" i="2"/>
  <c r="E47" i="2"/>
  <c r="B48" i="2"/>
  <c r="C48" i="2"/>
  <c r="D48" i="2"/>
  <c r="E48" i="2"/>
  <c r="B49" i="2"/>
  <c r="C49" i="2"/>
  <c r="D49" i="2"/>
  <c r="E49" i="2"/>
  <c r="B50" i="2"/>
  <c r="C50" i="2"/>
  <c r="D50" i="2"/>
  <c r="E50" i="2"/>
  <c r="B187" i="2"/>
  <c r="C187" i="2"/>
  <c r="D187" i="2"/>
  <c r="E187" i="2"/>
  <c r="B188" i="2"/>
  <c r="C188" i="2"/>
  <c r="D188" i="2"/>
  <c r="E188" i="2"/>
  <c r="B189" i="2"/>
  <c r="C189" i="2"/>
  <c r="D189" i="2"/>
  <c r="E189" i="2"/>
  <c r="B190" i="2"/>
  <c r="C190" i="2"/>
  <c r="D190" i="2"/>
  <c r="E190" i="2"/>
  <c r="B191" i="2"/>
  <c r="C191" i="2"/>
  <c r="D191" i="2"/>
  <c r="E191" i="2"/>
  <c r="B185" i="2"/>
  <c r="C185" i="2"/>
  <c r="D185" i="2"/>
  <c r="E185" i="2"/>
  <c r="B186" i="2"/>
  <c r="C186" i="2"/>
  <c r="D186" i="2"/>
  <c r="E186" i="2"/>
  <c r="B172" i="2"/>
  <c r="C172" i="2"/>
  <c r="D172" i="2"/>
  <c r="E172" i="2"/>
  <c r="B173" i="2"/>
  <c r="C173" i="2"/>
  <c r="D173" i="2"/>
  <c r="E173" i="2"/>
  <c r="B174" i="2"/>
  <c r="C174" i="2"/>
  <c r="D174" i="2"/>
  <c r="E174" i="2"/>
  <c r="B168" i="2"/>
  <c r="C168" i="2"/>
  <c r="D168" i="2"/>
  <c r="E168" i="2"/>
  <c r="B169" i="2"/>
  <c r="C169" i="2"/>
  <c r="D169" i="2"/>
  <c r="E169" i="2"/>
  <c r="B170" i="2"/>
  <c r="C170" i="2"/>
  <c r="D170" i="2"/>
  <c r="E170" i="2"/>
  <c r="B171" i="2"/>
  <c r="C171" i="2"/>
  <c r="D171" i="2"/>
  <c r="E171" i="2"/>
  <c r="B165" i="2"/>
  <c r="C165" i="2"/>
  <c r="D165" i="2"/>
  <c r="E165" i="2"/>
  <c r="B166" i="2"/>
  <c r="C166" i="2"/>
  <c r="D166" i="2"/>
  <c r="E166" i="2"/>
  <c r="B167" i="2"/>
  <c r="C167" i="2"/>
  <c r="D167" i="2"/>
  <c r="E167" i="2"/>
  <c r="B198" i="2"/>
  <c r="C198" i="2"/>
  <c r="D198" i="2"/>
  <c r="E198" i="2"/>
  <c r="B199" i="2"/>
  <c r="C199" i="2"/>
  <c r="D199" i="2"/>
  <c r="E199" i="2"/>
  <c r="B200" i="2"/>
  <c r="C200" i="2"/>
  <c r="D200" i="2"/>
  <c r="E200" i="2"/>
  <c r="B201" i="2"/>
  <c r="C201" i="2"/>
  <c r="D201" i="2"/>
  <c r="E201" i="2"/>
  <c r="B207" i="2"/>
  <c r="C207" i="2"/>
  <c r="D207" i="2"/>
  <c r="E207" i="2"/>
  <c r="B192" i="2"/>
  <c r="C192" i="2"/>
  <c r="D192" i="2"/>
  <c r="E192" i="2"/>
  <c r="B193" i="2"/>
  <c r="C193" i="2"/>
  <c r="D193" i="2"/>
  <c r="E193" i="2"/>
  <c r="B194" i="2"/>
  <c r="C194" i="2"/>
  <c r="D194" i="2"/>
  <c r="E194" i="2"/>
  <c r="B196" i="2"/>
  <c r="C196" i="2"/>
  <c r="D196" i="2"/>
  <c r="E196" i="2"/>
  <c r="B197" i="2"/>
  <c r="C197" i="2"/>
  <c r="D197" i="2"/>
  <c r="E197" i="2"/>
  <c r="B138" i="2"/>
  <c r="C138" i="2"/>
  <c r="D138" i="2"/>
  <c r="E138" i="2"/>
  <c r="B139" i="2"/>
  <c r="C139" i="2"/>
  <c r="D139" i="2"/>
  <c r="E139" i="2"/>
  <c r="B140" i="2"/>
  <c r="C140" i="2"/>
  <c r="D140" i="2"/>
  <c r="E140" i="2"/>
  <c r="B158" i="2"/>
  <c r="C158" i="2"/>
  <c r="D158" i="2"/>
  <c r="E158" i="2"/>
  <c r="B159" i="2"/>
  <c r="C159" i="2"/>
  <c r="D159" i="2"/>
  <c r="E159" i="2"/>
  <c r="B141" i="2"/>
  <c r="C141" i="2"/>
  <c r="D141" i="2"/>
  <c r="E141" i="2"/>
  <c r="B142" i="2"/>
  <c r="C142" i="2"/>
  <c r="D142" i="2"/>
  <c r="E142" i="2"/>
  <c r="B152" i="2"/>
  <c r="C152" i="2"/>
  <c r="D152" i="2"/>
  <c r="E152" i="2"/>
  <c r="B153" i="2"/>
  <c r="C153" i="2"/>
  <c r="D153" i="2"/>
  <c r="E153" i="2"/>
  <c r="B160" i="2"/>
  <c r="C160" i="2"/>
  <c r="D160" i="2"/>
  <c r="E160" i="2"/>
  <c r="B161" i="2"/>
  <c r="C161" i="2"/>
  <c r="D161" i="2"/>
  <c r="E161" i="2"/>
  <c r="B162" i="2"/>
  <c r="C162" i="2"/>
  <c r="D162" i="2"/>
  <c r="E162" i="2"/>
  <c r="B154" i="2"/>
  <c r="C154" i="2"/>
  <c r="D154" i="2"/>
  <c r="E154" i="2"/>
  <c r="B155" i="2"/>
  <c r="C155" i="2"/>
  <c r="D155" i="2"/>
  <c r="E155" i="2"/>
  <c r="B156" i="2"/>
  <c r="C156" i="2"/>
  <c r="D156" i="2"/>
  <c r="E156" i="2"/>
  <c r="B157" i="2"/>
  <c r="C157" i="2"/>
  <c r="D157" i="2"/>
  <c r="E157" i="2"/>
  <c r="B143" i="2"/>
  <c r="C143" i="2"/>
  <c r="D143" i="2"/>
  <c r="E143" i="2"/>
  <c r="B144" i="2"/>
  <c r="C144" i="2"/>
  <c r="D144" i="2"/>
  <c r="E144" i="2"/>
  <c r="B145" i="2"/>
  <c r="C145" i="2"/>
  <c r="D145" i="2"/>
  <c r="E145" i="2"/>
  <c r="B146" i="2"/>
  <c r="C146" i="2"/>
  <c r="D146" i="2"/>
  <c r="E146" i="2"/>
  <c r="B134" i="2"/>
  <c r="C134" i="2"/>
  <c r="D134" i="2"/>
  <c r="E134" i="2"/>
  <c r="B135" i="2"/>
  <c r="C135" i="2"/>
  <c r="D135" i="2"/>
  <c r="E135" i="2"/>
  <c r="B136" i="2"/>
  <c r="C136" i="2"/>
  <c r="D136" i="2"/>
  <c r="E136" i="2"/>
  <c r="B137" i="2"/>
  <c r="C137" i="2"/>
  <c r="D137" i="2"/>
  <c r="E137" i="2"/>
  <c r="B507" i="2"/>
  <c r="C507" i="2"/>
  <c r="D507" i="2"/>
  <c r="E507" i="2"/>
  <c r="B508" i="2"/>
  <c r="C508" i="2"/>
  <c r="D508" i="2"/>
  <c r="E508" i="2"/>
  <c r="B509" i="2"/>
  <c r="C509" i="2"/>
  <c r="D509" i="2"/>
  <c r="E509" i="2"/>
  <c r="B510" i="2"/>
  <c r="C510" i="2"/>
  <c r="D510" i="2"/>
  <c r="E510" i="2"/>
  <c r="B180" i="2"/>
  <c r="C180" i="2"/>
  <c r="D180" i="2"/>
  <c r="E180" i="2"/>
  <c r="B181" i="2"/>
  <c r="C181" i="2"/>
  <c r="D181" i="2"/>
  <c r="E181" i="2"/>
  <c r="B584" i="2"/>
  <c r="C584" i="2"/>
  <c r="D584" i="2"/>
  <c r="E584" i="2"/>
  <c r="B585" i="2"/>
  <c r="C585" i="2"/>
  <c r="D585" i="2"/>
  <c r="E585" i="2"/>
  <c r="B586" i="2"/>
  <c r="C586" i="2"/>
  <c r="D586" i="2"/>
  <c r="E586" i="2"/>
  <c r="B587" i="2"/>
  <c r="C587" i="2"/>
  <c r="D587" i="2"/>
  <c r="E587" i="2"/>
  <c r="B284" i="2"/>
  <c r="C284" i="2"/>
  <c r="D284" i="2"/>
  <c r="E284" i="2"/>
  <c r="B285" i="2"/>
  <c r="C285" i="2"/>
  <c r="D285" i="2"/>
  <c r="E285" i="2"/>
  <c r="B212" i="2"/>
  <c r="C212" i="2"/>
  <c r="D212" i="2"/>
  <c r="E212" i="2"/>
  <c r="B450" i="2"/>
  <c r="C450" i="2"/>
  <c r="D450" i="2"/>
  <c r="E450" i="2"/>
  <c r="B451" i="2"/>
  <c r="C451" i="2"/>
  <c r="D451" i="2"/>
  <c r="E451" i="2"/>
  <c r="B430" i="2"/>
  <c r="C430" i="2"/>
  <c r="D430" i="2"/>
  <c r="E430" i="2"/>
  <c r="B431" i="2"/>
  <c r="C431" i="2"/>
  <c r="D431" i="2"/>
  <c r="E431" i="2"/>
  <c r="B330" i="2"/>
  <c r="C330" i="2"/>
  <c r="D330" i="2"/>
  <c r="E330" i="2"/>
  <c r="B331" i="2"/>
  <c r="C331" i="2"/>
  <c r="D331" i="2"/>
  <c r="E331" i="2"/>
  <c r="B332" i="2"/>
  <c r="C332" i="2"/>
  <c r="D332" i="2"/>
  <c r="E332" i="2"/>
  <c r="B333" i="2"/>
  <c r="C333" i="2"/>
  <c r="D333" i="2"/>
  <c r="E333" i="2"/>
  <c r="B35" i="2"/>
  <c r="C35" i="2"/>
  <c r="D35" i="2"/>
  <c r="E35" i="2"/>
  <c r="B36" i="2"/>
  <c r="C36" i="2"/>
  <c r="D36" i="2"/>
  <c r="E36" i="2"/>
  <c r="B38" i="2"/>
  <c r="C38" i="2"/>
  <c r="D38" i="2"/>
  <c r="E38" i="2"/>
  <c r="B39" i="2"/>
  <c r="C39" i="2"/>
  <c r="D39" i="2"/>
  <c r="E39" i="2"/>
  <c r="B400" i="2"/>
  <c r="C400" i="2"/>
  <c r="D400" i="2"/>
  <c r="E400" i="2"/>
  <c r="B401" i="2"/>
  <c r="C401" i="2"/>
  <c r="D401" i="2"/>
  <c r="E401" i="2"/>
  <c r="B402" i="2"/>
  <c r="C402" i="2"/>
  <c r="D402" i="2"/>
  <c r="E402" i="2"/>
  <c r="B569" i="2"/>
  <c r="C569" i="2"/>
  <c r="D569" i="2"/>
  <c r="E569" i="2"/>
  <c r="B245" i="2"/>
  <c r="C245" i="2"/>
  <c r="D245" i="2"/>
  <c r="E245" i="2"/>
  <c r="B246" i="2"/>
  <c r="C246" i="2"/>
  <c r="D246" i="2"/>
  <c r="E246" i="2"/>
  <c r="B247" i="2"/>
  <c r="C247" i="2"/>
  <c r="D247" i="2"/>
  <c r="E247" i="2"/>
  <c r="B28" i="2"/>
  <c r="C28" i="2"/>
  <c r="D28" i="2"/>
  <c r="E28" i="2"/>
  <c r="B29" i="2"/>
  <c r="C29" i="2"/>
  <c r="D29" i="2"/>
  <c r="E29" i="2"/>
  <c r="B526" i="2"/>
  <c r="C526" i="2"/>
  <c r="D526" i="2"/>
  <c r="E526" i="2"/>
  <c r="B527" i="2"/>
  <c r="C527" i="2"/>
  <c r="D527" i="2"/>
  <c r="E527" i="2"/>
  <c r="B175" i="2"/>
  <c r="C175" i="2"/>
  <c r="D175" i="2"/>
  <c r="E175" i="2"/>
  <c r="B176" i="2"/>
  <c r="C176" i="2"/>
  <c r="D176" i="2"/>
  <c r="E176" i="2"/>
  <c r="B177" i="2"/>
  <c r="C177" i="2"/>
  <c r="D177" i="2"/>
  <c r="E177" i="2"/>
  <c r="B474" i="2"/>
  <c r="C474" i="2"/>
  <c r="D474" i="2"/>
  <c r="E474" i="2"/>
  <c r="B475" i="2"/>
  <c r="C475" i="2"/>
  <c r="D475" i="2"/>
  <c r="E475" i="2"/>
  <c r="B476" i="2"/>
  <c r="C476" i="2"/>
  <c r="D476" i="2"/>
  <c r="E476" i="2"/>
  <c r="B477" i="2"/>
  <c r="C477" i="2"/>
  <c r="D477" i="2"/>
  <c r="E477" i="2"/>
  <c r="B605" i="2"/>
  <c r="C605" i="2"/>
  <c r="D605" i="2"/>
  <c r="E605" i="2"/>
  <c r="B606" i="2"/>
  <c r="C606" i="2"/>
  <c r="D606" i="2"/>
  <c r="E606" i="2"/>
  <c r="B607" i="2"/>
  <c r="C607" i="2"/>
  <c r="D607" i="2"/>
  <c r="E607" i="2"/>
  <c r="B12" i="2"/>
  <c r="C12" i="2"/>
  <c r="D12" i="2"/>
  <c r="E12" i="2"/>
  <c r="B13" i="2"/>
  <c r="C13" i="2"/>
  <c r="D13" i="2"/>
  <c r="E13" i="2"/>
  <c r="B280" i="2"/>
  <c r="C280" i="2"/>
  <c r="D280" i="2"/>
  <c r="E280" i="2"/>
  <c r="B373" i="2"/>
  <c r="C373" i="2"/>
  <c r="D373" i="2"/>
  <c r="E373" i="2"/>
  <c r="B374" i="2"/>
  <c r="C374" i="2"/>
  <c r="D374" i="2"/>
  <c r="E374" i="2"/>
  <c r="B375" i="2"/>
  <c r="C375" i="2"/>
  <c r="D375" i="2"/>
  <c r="E375" i="2"/>
  <c r="B403" i="2"/>
  <c r="C403" i="2"/>
  <c r="D403" i="2"/>
  <c r="E403" i="2"/>
  <c r="B404" i="2"/>
  <c r="C404" i="2"/>
  <c r="D404" i="2"/>
  <c r="E404" i="2"/>
  <c r="B429" i="2"/>
  <c r="C429" i="2"/>
  <c r="D429" i="2"/>
  <c r="E429" i="2"/>
  <c r="B454" i="2"/>
  <c r="C454" i="2"/>
  <c r="D454" i="2"/>
  <c r="E454" i="2"/>
  <c r="B455" i="2"/>
  <c r="C455" i="2"/>
  <c r="D455" i="2"/>
  <c r="E455" i="2"/>
  <c r="B456" i="2"/>
  <c r="C456" i="2"/>
  <c r="D456" i="2"/>
  <c r="E456" i="2"/>
  <c r="B646" i="2"/>
  <c r="C646" i="2"/>
  <c r="D646" i="2"/>
  <c r="E646" i="2"/>
  <c r="B647" i="2"/>
  <c r="C647" i="2"/>
  <c r="D647" i="2"/>
  <c r="E647" i="2"/>
  <c r="B648" i="2"/>
  <c r="C648" i="2"/>
  <c r="D648" i="2"/>
  <c r="E648" i="2"/>
  <c r="B649" i="2"/>
  <c r="C649" i="2"/>
  <c r="D649" i="2"/>
  <c r="E649" i="2"/>
  <c r="B494" i="2"/>
  <c r="C494" i="2"/>
  <c r="D494" i="2"/>
  <c r="E494" i="2"/>
  <c r="B495" i="2"/>
  <c r="C495" i="2"/>
  <c r="D495" i="2"/>
  <c r="E495" i="2"/>
  <c r="B496" i="2"/>
  <c r="C496" i="2"/>
  <c r="D496" i="2"/>
  <c r="E496" i="2"/>
  <c r="B22" i="2"/>
  <c r="C22" i="2"/>
  <c r="D22" i="2"/>
  <c r="E22" i="2"/>
  <c r="B23" i="2"/>
  <c r="C23" i="2"/>
  <c r="D23" i="2"/>
  <c r="E23" i="2"/>
  <c r="B288" i="2"/>
  <c r="C288" i="2"/>
  <c r="D288" i="2"/>
  <c r="E288" i="2"/>
  <c r="B289" i="2"/>
  <c r="C289" i="2"/>
  <c r="D289" i="2"/>
  <c r="E289" i="2"/>
  <c r="B643" i="2"/>
  <c r="C643" i="2"/>
  <c r="D643" i="2"/>
  <c r="E643" i="2"/>
  <c r="B644" i="2"/>
  <c r="C644" i="2"/>
  <c r="D644" i="2"/>
  <c r="E644" i="2"/>
  <c r="B645" i="2"/>
  <c r="C645" i="2"/>
  <c r="D645" i="2"/>
  <c r="E645" i="2"/>
  <c r="B278" i="2"/>
  <c r="C278" i="2"/>
  <c r="D278" i="2"/>
  <c r="E278" i="2"/>
  <c r="B279" i="2"/>
  <c r="C279" i="2"/>
  <c r="D279" i="2"/>
  <c r="E279" i="2"/>
  <c r="B473" i="2"/>
  <c r="C473" i="2"/>
  <c r="D473" i="2"/>
  <c r="E473" i="2"/>
  <c r="B37" i="2"/>
  <c r="C37" i="2"/>
  <c r="D37" i="2"/>
  <c r="E37" i="2"/>
  <c r="B182" i="2"/>
  <c r="C182" i="2"/>
  <c r="D182" i="2"/>
  <c r="E182" i="2"/>
  <c r="B286" i="2"/>
  <c r="C286" i="2"/>
  <c r="D286" i="2"/>
  <c r="E286" i="2"/>
  <c r="B287" i="2"/>
  <c r="C287" i="2"/>
  <c r="D287" i="2"/>
  <c r="E287" i="2"/>
  <c r="B363" i="2"/>
  <c r="C363" i="2"/>
  <c r="D363" i="2"/>
  <c r="E363" i="2"/>
  <c r="B641" i="2"/>
  <c r="C641" i="2"/>
  <c r="D641" i="2"/>
  <c r="E641" i="2"/>
  <c r="B642" i="2"/>
  <c r="C642" i="2"/>
  <c r="D642" i="2"/>
  <c r="E642" i="2"/>
  <c r="B497" i="2"/>
  <c r="C497" i="2"/>
  <c r="D497" i="2"/>
  <c r="E497" i="2"/>
  <c r="B498" i="2"/>
  <c r="C498" i="2"/>
  <c r="D498" i="2"/>
  <c r="E498" i="2"/>
  <c r="B499" i="2"/>
  <c r="C499" i="2"/>
  <c r="D499" i="2"/>
  <c r="E499" i="2"/>
  <c r="B500" i="2"/>
  <c r="C500" i="2"/>
  <c r="D500" i="2"/>
  <c r="E500" i="2"/>
  <c r="B501" i="2"/>
  <c r="C501" i="2"/>
  <c r="D501" i="2"/>
  <c r="E501" i="2"/>
  <c r="B281" i="2"/>
  <c r="C281" i="2"/>
  <c r="D281" i="2"/>
  <c r="E281" i="2"/>
  <c r="B282" i="2"/>
  <c r="C282" i="2"/>
  <c r="D282" i="2"/>
  <c r="E282" i="2"/>
  <c r="B283" i="2"/>
  <c r="C283" i="2"/>
  <c r="D283" i="2"/>
  <c r="E283" i="2"/>
  <c r="B435" i="2"/>
  <c r="C435" i="2"/>
  <c r="D435" i="2"/>
  <c r="E435" i="2"/>
  <c r="B436" i="2"/>
  <c r="C436" i="2"/>
  <c r="D436" i="2"/>
  <c r="E436" i="2"/>
  <c r="B270" i="2"/>
  <c r="C270" i="2"/>
  <c r="D270" i="2"/>
  <c r="E270" i="2"/>
  <c r="B528" i="2"/>
  <c r="C528" i="2"/>
  <c r="D528" i="2"/>
  <c r="E528" i="2"/>
  <c r="B529" i="2"/>
  <c r="C529" i="2"/>
  <c r="D529" i="2"/>
  <c r="E529" i="2"/>
  <c r="B530" i="2"/>
  <c r="C530" i="2"/>
  <c r="D530" i="2"/>
  <c r="E530" i="2"/>
  <c r="B524" i="2"/>
  <c r="C524" i="2"/>
  <c r="D524" i="2"/>
  <c r="E524" i="2"/>
  <c r="B525" i="2"/>
  <c r="C525" i="2"/>
  <c r="D525" i="2"/>
  <c r="E525" i="2"/>
  <c r="B213" i="2"/>
  <c r="C213" i="2"/>
  <c r="D213" i="2"/>
  <c r="E213" i="2"/>
  <c r="B214" i="2"/>
  <c r="C214" i="2"/>
  <c r="D214" i="2"/>
  <c r="E214" i="2"/>
  <c r="B34" i="2"/>
  <c r="C34" i="2"/>
  <c r="D34" i="2"/>
  <c r="E34" i="2"/>
  <c r="B351" i="2"/>
  <c r="C351" i="2"/>
  <c r="D351" i="2"/>
  <c r="E351" i="2"/>
  <c r="B334" i="2"/>
  <c r="C334" i="2"/>
  <c r="D334" i="2"/>
  <c r="E334" i="2"/>
  <c r="B335" i="2"/>
  <c r="C335" i="2"/>
  <c r="D335" i="2"/>
  <c r="E335" i="2"/>
  <c r="B336" i="2"/>
  <c r="C336" i="2"/>
  <c r="D336" i="2"/>
  <c r="E336" i="2"/>
  <c r="B337" i="2"/>
  <c r="C337" i="2"/>
  <c r="D337" i="2"/>
  <c r="E337" i="2"/>
  <c r="B147" i="2"/>
  <c r="C147" i="2"/>
  <c r="D147" i="2"/>
  <c r="E147" i="2"/>
  <c r="B148" i="2"/>
  <c r="C148" i="2"/>
  <c r="D148" i="2"/>
  <c r="E148" i="2"/>
  <c r="B149" i="2"/>
  <c r="C149" i="2"/>
  <c r="D149" i="2"/>
  <c r="E149" i="2"/>
  <c r="B150" i="2"/>
  <c r="C150" i="2"/>
  <c r="D150" i="2"/>
  <c r="E150" i="2"/>
  <c r="B151" i="2"/>
  <c r="C151" i="2"/>
  <c r="D151" i="2"/>
  <c r="E151" i="2"/>
  <c r="B637" i="2"/>
  <c r="C637" i="2"/>
  <c r="D637" i="2"/>
  <c r="E637" i="2"/>
  <c r="B638" i="2"/>
  <c r="C638" i="2"/>
  <c r="D638" i="2"/>
  <c r="E638" i="2"/>
  <c r="B639" i="2"/>
  <c r="C639" i="2"/>
  <c r="D639" i="2"/>
  <c r="E639" i="2"/>
  <c r="B640" i="2"/>
  <c r="C640" i="2"/>
  <c r="D640" i="2"/>
  <c r="E640" i="2"/>
  <c r="B73" i="2"/>
  <c r="C73" i="2"/>
  <c r="D73" i="2"/>
  <c r="E73" i="2"/>
  <c r="B74" i="2"/>
  <c r="C74" i="2"/>
  <c r="D74" i="2"/>
  <c r="E74" i="2"/>
  <c r="B75" i="2"/>
  <c r="C75" i="2"/>
  <c r="D75" i="2"/>
  <c r="E75" i="2"/>
  <c r="B76" i="2"/>
  <c r="C76" i="2"/>
  <c r="D76" i="2"/>
  <c r="E76" i="2"/>
  <c r="B77" i="2"/>
  <c r="C77" i="2"/>
  <c r="D77" i="2"/>
  <c r="E77" i="2"/>
  <c r="B78" i="2"/>
  <c r="C78" i="2"/>
  <c r="D78" i="2"/>
  <c r="E78" i="2"/>
  <c r="B88" i="2"/>
  <c r="C88" i="2"/>
  <c r="D88" i="2"/>
  <c r="E88" i="2"/>
  <c r="B89" i="2"/>
  <c r="C89" i="2"/>
  <c r="D89" i="2"/>
  <c r="E89" i="2"/>
  <c r="B90" i="2"/>
  <c r="C90" i="2"/>
  <c r="D90" i="2"/>
  <c r="E90" i="2"/>
  <c r="E432" i="2"/>
  <c r="D432" i="2"/>
  <c r="C432" i="2"/>
  <c r="B432" i="2"/>
  <c r="A433" i="2"/>
  <c r="A434" i="2"/>
  <c r="A295" i="2"/>
  <c r="A296" i="2"/>
  <c r="A297" i="2"/>
  <c r="A574" i="2"/>
  <c r="A575" i="2"/>
  <c r="A576" i="2"/>
  <c r="A98" i="2"/>
  <c r="A116" i="2"/>
  <c r="A117" i="2"/>
  <c r="A118" i="2"/>
  <c r="A119" i="2"/>
  <c r="A66" i="2"/>
  <c r="A67" i="2"/>
  <c r="A68" i="2"/>
  <c r="A69" i="2"/>
  <c r="A70" i="2"/>
  <c r="A111" i="2"/>
  <c r="A112" i="2"/>
  <c r="A113" i="2"/>
  <c r="A114" i="2"/>
  <c r="A115" i="2"/>
  <c r="A25" i="2"/>
  <c r="A26" i="2"/>
  <c r="A27" i="2"/>
  <c r="A444" i="2"/>
  <c r="A445" i="2"/>
  <c r="A446" i="2"/>
  <c r="A447" i="2"/>
  <c r="A448" i="2"/>
  <c r="A449" i="2"/>
  <c r="A8" i="2"/>
  <c r="A9" i="2"/>
  <c r="A10" i="2"/>
  <c r="A11" i="2"/>
  <c r="A466" i="2"/>
  <c r="A467" i="2"/>
  <c r="A468" i="2"/>
  <c r="A439" i="2"/>
  <c r="A440" i="2"/>
  <c r="A441" i="2"/>
  <c r="A442" i="2"/>
  <c r="A443" i="2"/>
  <c r="A273" i="2"/>
  <c r="A274" i="2"/>
  <c r="A275" i="2"/>
  <c r="A276" i="2"/>
  <c r="A277" i="2"/>
  <c r="A101" i="2"/>
  <c r="A102" i="2"/>
  <c r="A163" i="2"/>
  <c r="A164" i="2"/>
  <c r="A612" i="2"/>
  <c r="A613" i="2"/>
  <c r="A521" i="2"/>
  <c r="A253" i="2"/>
  <c r="A254" i="2"/>
  <c r="A255" i="2"/>
  <c r="A256" i="2"/>
  <c r="A257" i="2"/>
  <c r="A258" i="2"/>
  <c r="A259" i="2"/>
  <c r="A248" i="2"/>
  <c r="A249" i="2"/>
  <c r="A250" i="2"/>
  <c r="A251" i="2"/>
  <c r="A252" i="2"/>
  <c r="A593" i="2"/>
  <c r="A594" i="2"/>
  <c r="A595" i="2"/>
  <c r="A596" i="2"/>
  <c r="A262" i="2"/>
  <c r="A263" i="2"/>
  <c r="A552" i="2"/>
  <c r="A553" i="2"/>
  <c r="A554" i="2"/>
  <c r="A321" i="2"/>
  <c r="A322" i="2"/>
  <c r="A323" i="2"/>
  <c r="A324" i="2"/>
  <c r="A325" i="2"/>
  <c r="A326" i="2"/>
  <c r="A327" i="2"/>
  <c r="A328" i="2"/>
  <c r="A329" i="2"/>
  <c r="A315" i="2"/>
  <c r="A316" i="2"/>
  <c r="A317" i="2"/>
  <c r="A318" i="2"/>
  <c r="A319" i="2"/>
  <c r="A320" i="2"/>
  <c r="A309" i="2"/>
  <c r="A310" i="2"/>
  <c r="A311" i="2"/>
  <c r="A312" i="2"/>
  <c r="A313" i="2"/>
  <c r="A314" i="2"/>
  <c r="A298" i="2"/>
  <c r="A299" i="2"/>
  <c r="A300" i="2"/>
  <c r="A301" i="2"/>
  <c r="A302" i="2"/>
  <c r="A290" i="2"/>
  <c r="A291" i="2"/>
  <c r="A412" i="2"/>
  <c r="A413" i="2"/>
  <c r="A414" i="2"/>
  <c r="A415" i="2"/>
  <c r="A416" i="2"/>
  <c r="A417" i="2"/>
  <c r="A389" i="2"/>
  <c r="A390" i="2"/>
  <c r="A391" i="2"/>
  <c r="A392" i="2"/>
  <c r="A393" i="2"/>
  <c r="A394" i="2"/>
  <c r="A395" i="2"/>
  <c r="A396" i="2"/>
  <c r="A397" i="2"/>
  <c r="A398" i="2"/>
  <c r="A399" i="2"/>
  <c r="A364" i="2"/>
  <c r="A365" i="2"/>
  <c r="A366" i="2"/>
  <c r="A367" i="2"/>
  <c r="A369" i="2"/>
  <c r="A370" i="2"/>
  <c r="A371" i="2"/>
  <c r="A372" i="2"/>
  <c r="A358" i="2"/>
  <c r="A359" i="2"/>
  <c r="A360" i="2"/>
  <c r="A361" i="2"/>
  <c r="A362" i="2"/>
  <c r="A352" i="2"/>
  <c r="A353" i="2"/>
  <c r="A243" i="2"/>
  <c r="A244" i="2"/>
  <c r="A226" i="2"/>
  <c r="A227" i="2"/>
  <c r="A228" i="2"/>
  <c r="A229" i="2"/>
  <c r="A230" i="2"/>
  <c r="A123" i="2"/>
  <c r="A124" i="2"/>
  <c r="A125" i="2"/>
  <c r="A461" i="2"/>
  <c r="A94" i="2"/>
  <c r="A95" i="2"/>
  <c r="A96" i="2"/>
  <c r="A97" i="2"/>
  <c r="A547" i="2"/>
  <c r="A548" i="2"/>
  <c r="A549" i="2"/>
  <c r="A533" i="2"/>
  <c r="A534" i="2"/>
  <c r="A535" i="2"/>
  <c r="A536" i="2"/>
  <c r="A537" i="2"/>
  <c r="A538" i="2"/>
  <c r="A539" i="2"/>
  <c r="A540" i="2"/>
  <c r="A14" i="2"/>
  <c r="A15" i="2"/>
  <c r="A16" i="2"/>
  <c r="A237" i="2"/>
  <c r="A238" i="2"/>
  <c r="A239" i="2"/>
  <c r="A240" i="2"/>
  <c r="A222" i="2"/>
  <c r="A223" i="2"/>
  <c r="A224" i="2"/>
  <c r="A225" i="2"/>
  <c r="A487" i="2"/>
  <c r="A488" i="2"/>
  <c r="A489" i="2"/>
  <c r="A490" i="2"/>
  <c r="A491" i="2"/>
  <c r="A635" i="2"/>
  <c r="A636" i="2"/>
  <c r="A625" i="2"/>
  <c r="A626" i="2"/>
  <c r="A627" i="2"/>
  <c r="A628" i="2"/>
  <c r="A629" i="2"/>
  <c r="A601" i="2"/>
  <c r="A602" i="2"/>
  <c r="A603" i="2"/>
  <c r="A604" i="2"/>
  <c r="A571" i="2"/>
  <c r="A572" i="2"/>
  <c r="A573" i="2"/>
  <c r="A590" i="2"/>
  <c r="A591" i="2"/>
  <c r="A592" i="2"/>
  <c r="A383" i="2"/>
  <c r="A384" i="2"/>
  <c r="A385" i="2"/>
  <c r="A386" i="2"/>
  <c r="A387" i="2"/>
  <c r="A388" i="2"/>
  <c r="A437" i="2"/>
  <c r="A438" i="2"/>
  <c r="A264" i="2"/>
  <c r="A265" i="2"/>
  <c r="A266" i="2"/>
  <c r="A267" i="2"/>
  <c r="A79" i="2"/>
  <c r="A80" i="2"/>
  <c r="A81" i="2"/>
  <c r="A82" i="2"/>
  <c r="A120" i="2"/>
  <c r="A121" i="2"/>
  <c r="A122" i="2"/>
  <c r="A623" i="2"/>
  <c r="A624" i="2"/>
  <c r="A103" i="2"/>
  <c r="A104" i="2"/>
  <c r="A105" i="2"/>
  <c r="A106" i="2"/>
  <c r="A107" i="2"/>
  <c r="A421" i="2"/>
  <c r="A422" i="2"/>
  <c r="A423" i="2"/>
  <c r="A424" i="2"/>
  <c r="A425" i="2"/>
  <c r="A426" i="2"/>
  <c r="A427" i="2"/>
  <c r="A368" i="2"/>
  <c r="A405" i="2"/>
  <c r="A406" i="2"/>
  <c r="A555" i="2"/>
  <c r="A556" i="2"/>
  <c r="A557" i="2"/>
  <c r="A630" i="2"/>
  <c r="A631" i="2"/>
  <c r="A632" i="2"/>
  <c r="A633" i="2"/>
  <c r="A634" i="2"/>
  <c r="A511" i="2"/>
  <c r="A512" i="2"/>
  <c r="A407" i="2"/>
  <c r="A408" i="2"/>
  <c r="A409" i="2"/>
  <c r="A410" i="2"/>
  <c r="A411" i="2"/>
  <c r="A597" i="2"/>
  <c r="A598" i="2"/>
  <c r="A599" i="2"/>
  <c r="A600" i="2"/>
  <c r="A208" i="2"/>
  <c r="A209" i="2"/>
  <c r="A210" i="2"/>
  <c r="A211" i="2"/>
  <c r="A543" i="2"/>
  <c r="A544" i="2"/>
  <c r="A545" i="2"/>
  <c r="A546" i="2"/>
  <c r="A560" i="2"/>
  <c r="A561" i="2"/>
  <c r="A562" i="2"/>
  <c r="A563" i="2"/>
  <c r="A241" i="2"/>
  <c r="A242" i="2"/>
  <c r="A108" i="2"/>
  <c r="A109" i="2"/>
  <c r="A110" i="2"/>
  <c r="A517" i="2"/>
  <c r="A579" i="2"/>
  <c r="A580" i="2"/>
  <c r="A581" i="2"/>
  <c r="A582" i="2"/>
  <c r="A583" i="2"/>
  <c r="A558" i="2"/>
  <c r="A559" i="2"/>
  <c r="A271" i="2"/>
  <c r="A272" i="2"/>
  <c r="A292" i="2"/>
  <c r="A293" i="2"/>
  <c r="A294" i="2"/>
  <c r="A71" i="2"/>
  <c r="A72" i="2"/>
  <c r="A202" i="2"/>
  <c r="A203" i="2"/>
  <c r="A204" i="2"/>
  <c r="A205" i="2"/>
  <c r="A206" i="2"/>
  <c r="A419" i="2"/>
  <c r="A420" i="2"/>
  <c r="A522" i="2"/>
  <c r="A523" i="2"/>
  <c r="A459" i="2"/>
  <c r="A460" i="2"/>
  <c r="A343" i="2"/>
  <c r="A344" i="2"/>
  <c r="A345" i="2"/>
  <c r="A346" i="2"/>
  <c r="A347" i="2"/>
  <c r="A53" i="2"/>
  <c r="A54" i="2"/>
  <c r="A55" i="2"/>
  <c r="A56" i="2"/>
  <c r="A518" i="2"/>
  <c r="A519" i="2"/>
  <c r="A520" i="2"/>
  <c r="A541" i="2"/>
  <c r="A542" i="2"/>
  <c r="A480" i="2"/>
  <c r="A481" i="2"/>
  <c r="A30" i="2"/>
  <c r="A31" i="2"/>
  <c r="A32" i="2"/>
  <c r="A33" i="2"/>
  <c r="A478" i="2"/>
  <c r="A479" i="2"/>
  <c r="A531" i="2"/>
  <c r="A532" i="2"/>
  <c r="A41" i="2"/>
  <c r="A42" i="2"/>
  <c r="A43" i="2"/>
  <c r="A44" i="2"/>
  <c r="A492" i="2"/>
  <c r="A493" i="2"/>
  <c r="A51" i="2"/>
  <c r="A52" i="2"/>
  <c r="A231" i="2"/>
  <c r="A232" i="2"/>
  <c r="A233" i="2"/>
  <c r="A234" i="2"/>
  <c r="A303" i="2"/>
  <c r="A304" i="2"/>
  <c r="A305" i="2"/>
  <c r="A306" i="2"/>
  <c r="A307" i="2"/>
  <c r="A308" i="2"/>
  <c r="A620" i="2"/>
  <c r="A621" i="2"/>
  <c r="A622" i="2"/>
  <c r="A45" i="2"/>
  <c r="A57" i="2"/>
  <c r="A58" i="2"/>
  <c r="A59" i="2"/>
  <c r="A378" i="2"/>
  <c r="A379" i="2"/>
  <c r="A380" i="2"/>
  <c r="A381" i="2"/>
  <c r="A382" i="2"/>
  <c r="A215" i="2"/>
  <c r="A216" i="2"/>
  <c r="A217" i="2"/>
  <c r="A218" i="2"/>
  <c r="A219" i="2"/>
  <c r="A220" i="2"/>
  <c r="A221" i="2"/>
  <c r="A128" i="2"/>
  <c r="A129" i="2"/>
  <c r="A130" i="2"/>
  <c r="A131" i="2"/>
  <c r="A617" i="2"/>
  <c r="A618" i="2"/>
  <c r="A619" i="2"/>
  <c r="A457" i="2"/>
  <c r="A458" i="2"/>
  <c r="A24" i="2"/>
  <c r="A608" i="2"/>
  <c r="A609" i="2"/>
  <c r="A610" i="2"/>
  <c r="A611" i="2"/>
  <c r="A40" i="2"/>
  <c r="A550" i="2"/>
  <c r="A551" i="2"/>
  <c r="A356" i="2"/>
  <c r="A357" i="2"/>
  <c r="A470" i="2"/>
  <c r="A471" i="2"/>
  <c r="A472" i="2"/>
  <c r="A564" i="2"/>
  <c r="A565" i="2"/>
  <c r="A566" i="2"/>
  <c r="A567" i="2"/>
  <c r="A452" i="2"/>
  <c r="A570" i="2"/>
  <c r="A577" i="2"/>
  <c r="A578" i="2"/>
  <c r="A614" i="2"/>
  <c r="A615" i="2"/>
  <c r="A616" i="2"/>
  <c r="A376" i="2"/>
  <c r="A377" i="2"/>
  <c r="A588" i="2"/>
  <c r="A589" i="2"/>
  <c r="A338" i="2"/>
  <c r="A339" i="2"/>
  <c r="A340" i="2"/>
  <c r="A341" i="2"/>
  <c r="A342" i="2"/>
  <c r="A482" i="2"/>
  <c r="A483" i="2"/>
  <c r="A484" i="2"/>
  <c r="A485" i="2"/>
  <c r="A486" i="2"/>
  <c r="A60" i="2"/>
  <c r="A61" i="2"/>
  <c r="A62" i="2"/>
  <c r="A63" i="2"/>
  <c r="A64" i="2"/>
  <c r="A65" i="2"/>
  <c r="A428" i="2"/>
  <c r="A17" i="2"/>
  <c r="A18" i="2"/>
  <c r="A19" i="2"/>
  <c r="A20" i="2"/>
  <c r="A21" i="2"/>
  <c r="A46" i="2"/>
  <c r="A47" i="2"/>
  <c r="A48" i="2"/>
  <c r="A49" i="2"/>
  <c r="A50" i="2"/>
  <c r="A187" i="2"/>
  <c r="A188" i="2"/>
  <c r="A189" i="2"/>
  <c r="A190" i="2"/>
  <c r="A191" i="2"/>
  <c r="A185" i="2"/>
  <c r="A186" i="2"/>
  <c r="A172" i="2"/>
  <c r="A173" i="2"/>
  <c r="A174" i="2"/>
  <c r="A168" i="2"/>
  <c r="A169" i="2"/>
  <c r="A170" i="2"/>
  <c r="A171" i="2"/>
  <c r="A165" i="2"/>
  <c r="A166" i="2"/>
  <c r="A167" i="2"/>
  <c r="A198" i="2"/>
  <c r="A199" i="2"/>
  <c r="A200" i="2"/>
  <c r="A201" i="2"/>
  <c r="A207" i="2"/>
  <c r="A192" i="2"/>
  <c r="A193" i="2"/>
  <c r="A194" i="2"/>
  <c r="A196" i="2"/>
  <c r="A197" i="2"/>
  <c r="A138" i="2"/>
  <c r="A139" i="2"/>
  <c r="A140" i="2"/>
  <c r="A158" i="2"/>
  <c r="A159" i="2"/>
  <c r="A141" i="2"/>
  <c r="A142" i="2"/>
  <c r="A152" i="2"/>
  <c r="A153" i="2"/>
  <c r="A160" i="2"/>
  <c r="A161" i="2"/>
  <c r="A162" i="2"/>
  <c r="A154" i="2"/>
  <c r="A155" i="2"/>
  <c r="A156" i="2"/>
  <c r="A157" i="2"/>
  <c r="A143" i="2"/>
  <c r="A144" i="2"/>
  <c r="A145" i="2"/>
  <c r="A146" i="2"/>
  <c r="A134" i="2"/>
  <c r="A135" i="2"/>
  <c r="A136" i="2"/>
  <c r="A137" i="2"/>
  <c r="A507" i="2"/>
  <c r="A508" i="2"/>
  <c r="A509" i="2"/>
  <c r="A510" i="2"/>
  <c r="A180" i="2"/>
  <c r="A181" i="2"/>
  <c r="A584" i="2"/>
  <c r="A585" i="2"/>
  <c r="A586" i="2"/>
  <c r="A587" i="2"/>
  <c r="A284" i="2"/>
  <c r="A285" i="2"/>
  <c r="A212" i="2"/>
  <c r="A450" i="2"/>
  <c r="A451" i="2"/>
  <c r="A430" i="2"/>
  <c r="A431" i="2"/>
  <c r="A330" i="2"/>
  <c r="A331" i="2"/>
  <c r="A332" i="2"/>
  <c r="A333" i="2"/>
  <c r="A35" i="2"/>
  <c r="A36" i="2"/>
  <c r="A38" i="2"/>
  <c r="A39" i="2"/>
  <c r="A400" i="2"/>
  <c r="A401" i="2"/>
  <c r="A402" i="2"/>
  <c r="A569" i="2"/>
  <c r="A245" i="2"/>
  <c r="A246" i="2"/>
  <c r="A247" i="2"/>
  <c r="A28" i="2"/>
  <c r="A29" i="2"/>
  <c r="A526" i="2"/>
  <c r="A527" i="2"/>
  <c r="A175" i="2"/>
  <c r="A176" i="2"/>
  <c r="A177" i="2"/>
  <c r="A474" i="2"/>
  <c r="A475" i="2"/>
  <c r="A476" i="2"/>
  <c r="A477" i="2"/>
  <c r="A605" i="2"/>
  <c r="A606" i="2"/>
  <c r="A607" i="2"/>
  <c r="A12" i="2"/>
  <c r="A13" i="2"/>
  <c r="A280" i="2"/>
  <c r="A373" i="2"/>
  <c r="A374" i="2"/>
  <c r="A375" i="2"/>
  <c r="A403" i="2"/>
  <c r="A404" i="2"/>
  <c r="A429" i="2"/>
  <c r="A454" i="2"/>
  <c r="A455" i="2"/>
  <c r="A456" i="2"/>
  <c r="A646" i="2"/>
  <c r="A647" i="2"/>
  <c r="A648" i="2"/>
  <c r="A649" i="2"/>
  <c r="A494" i="2"/>
  <c r="A495" i="2"/>
  <c r="A496" i="2"/>
  <c r="A22" i="2"/>
  <c r="A23" i="2"/>
  <c r="A288" i="2"/>
  <c r="A289" i="2"/>
  <c r="A643" i="2"/>
  <c r="A644" i="2"/>
  <c r="A645" i="2"/>
  <c r="A278" i="2"/>
  <c r="A279" i="2"/>
  <c r="A473" i="2"/>
  <c r="A37" i="2"/>
  <c r="A182" i="2"/>
  <c r="A286" i="2"/>
  <c r="A287" i="2"/>
  <c r="A363" i="2"/>
  <c r="A641" i="2"/>
  <c r="A642" i="2"/>
  <c r="A497" i="2"/>
  <c r="A498" i="2"/>
  <c r="A499" i="2"/>
  <c r="A500" i="2"/>
  <c r="A501" i="2"/>
  <c r="A281" i="2"/>
  <c r="A282" i="2"/>
  <c r="A283" i="2"/>
  <c r="A435" i="2"/>
  <c r="A436" i="2"/>
  <c r="A270" i="2"/>
  <c r="A528" i="2"/>
  <c r="A529" i="2"/>
  <c r="A530" i="2"/>
  <c r="A524" i="2"/>
  <c r="A525" i="2"/>
  <c r="A213" i="2"/>
  <c r="A214" i="2"/>
  <c r="A34" i="2"/>
  <c r="A351" i="2"/>
  <c r="A334" i="2"/>
  <c r="A335" i="2"/>
  <c r="A336" i="2"/>
  <c r="A337" i="2"/>
  <c r="A147" i="2"/>
  <c r="A148" i="2"/>
  <c r="A149" i="2"/>
  <c r="A150" i="2"/>
  <c r="A151" i="2"/>
  <c r="A637" i="2"/>
  <c r="A638" i="2"/>
  <c r="A639" i="2"/>
  <c r="A640" i="2"/>
  <c r="A73" i="2"/>
  <c r="A74" i="2"/>
  <c r="A75" i="2"/>
  <c r="A76" i="2"/>
  <c r="A77" i="2"/>
  <c r="A78" i="2"/>
  <c r="A88" i="2"/>
  <c r="A89" i="2"/>
  <c r="A90" i="2"/>
  <c r="A432" i="2"/>
  <c r="Z297" i="2" l="1"/>
  <c r="Z317" i="2"/>
  <c r="Z554" i="2"/>
  <c r="Z446" i="2"/>
  <c r="Z186" i="2"/>
  <c r="Z234" i="2"/>
  <c r="Z68" i="2"/>
  <c r="Z296" i="2"/>
  <c r="Z200" i="2"/>
  <c r="AA200" i="2" s="1"/>
  <c r="Z531" i="2"/>
  <c r="Z390" i="2"/>
  <c r="Z364" i="2"/>
  <c r="Z315" i="2"/>
  <c r="Z67" i="2"/>
  <c r="Z402" i="2"/>
  <c r="Z20" i="2"/>
  <c r="Z472" i="2"/>
  <c r="Z383" i="2"/>
  <c r="Z299" i="2"/>
  <c r="Z536" i="2"/>
  <c r="Z125" i="2"/>
  <c r="Z417" i="2"/>
  <c r="Z552" i="2"/>
  <c r="Z102" i="2"/>
  <c r="Z444" i="2"/>
  <c r="Z410" i="2"/>
  <c r="Z539" i="2"/>
  <c r="Z376" i="2"/>
  <c r="Z537" i="2"/>
  <c r="Z553" i="2"/>
  <c r="Z248" i="2"/>
  <c r="Z439" i="2"/>
  <c r="Z222" i="2"/>
  <c r="Z362" i="2"/>
  <c r="Z298" i="2"/>
  <c r="Z259" i="2"/>
  <c r="AA259" i="2" s="1"/>
  <c r="Z468" i="2"/>
  <c r="AA468" i="2" s="1"/>
  <c r="Z295" i="2"/>
  <c r="C2" i="55"/>
  <c r="C23" i="55"/>
  <c r="Z203" i="2"/>
  <c r="Z60" i="2"/>
  <c r="Z72" i="2"/>
  <c r="AA72" i="2" s="1"/>
  <c r="Z81" i="2"/>
  <c r="Z369" i="2"/>
  <c r="Z302" i="2"/>
  <c r="Z319" i="2"/>
  <c r="Z111" i="2"/>
  <c r="Z77" i="2"/>
  <c r="Z148" i="2"/>
  <c r="Z530" i="2"/>
  <c r="Z498" i="2"/>
  <c r="Z645" i="2"/>
  <c r="Z647" i="2"/>
  <c r="Z13" i="2"/>
  <c r="Z527" i="2"/>
  <c r="Z38" i="2"/>
  <c r="Z285" i="2"/>
  <c r="AA285" i="2" s="1"/>
  <c r="Z137" i="2"/>
  <c r="Z162" i="2"/>
  <c r="AA162" i="2" s="1"/>
  <c r="Z197" i="2"/>
  <c r="AA197" i="2" s="1"/>
  <c r="Z165" i="2"/>
  <c r="Z189" i="2"/>
  <c r="Z17" i="2"/>
  <c r="Z482" i="2"/>
  <c r="Z614" i="2"/>
  <c r="AA614" i="2" s="1"/>
  <c r="Z357" i="2"/>
  <c r="Z619" i="2"/>
  <c r="Z216" i="2"/>
  <c r="Z621" i="2"/>
  <c r="Z52" i="2"/>
  <c r="Z33" i="2"/>
  <c r="Z55" i="2"/>
  <c r="Z420" i="2"/>
  <c r="Z272" i="2"/>
  <c r="Z108" i="2"/>
  <c r="Z210" i="2"/>
  <c r="AA210" i="2" s="1"/>
  <c r="Z512" i="2"/>
  <c r="AA512" i="2" s="1"/>
  <c r="Z368" i="2"/>
  <c r="Z103" i="2"/>
  <c r="Z265" i="2"/>
  <c r="Z590" i="2"/>
  <c r="Z625" i="2"/>
  <c r="AA625" i="2" s="1"/>
  <c r="Z240" i="2"/>
  <c r="Z535" i="2"/>
  <c r="Z124" i="2"/>
  <c r="AA124" i="2" s="1"/>
  <c r="Z361" i="2"/>
  <c r="Z399" i="2"/>
  <c r="Z416" i="2"/>
  <c r="AA416" i="2" s="1"/>
  <c r="Z314" i="2"/>
  <c r="Z329" i="2"/>
  <c r="Z263" i="2"/>
  <c r="Z258" i="2"/>
  <c r="Z101" i="2"/>
  <c r="Z467" i="2"/>
  <c r="Z27" i="2"/>
  <c r="Z66" i="2"/>
  <c r="Z434" i="2"/>
  <c r="Z372" i="2"/>
  <c r="Z159" i="2"/>
  <c r="Z118" i="2"/>
  <c r="AA118" i="2" s="1"/>
  <c r="Z117" i="2"/>
  <c r="Z75" i="2"/>
  <c r="Z528" i="2"/>
  <c r="Z456" i="2"/>
  <c r="AA456" i="2" s="1"/>
  <c r="Z29" i="2"/>
  <c r="AA29" i="2" s="1"/>
  <c r="Z587" i="2"/>
  <c r="Z160" i="2"/>
  <c r="Z170" i="2"/>
  <c r="Z65" i="2"/>
  <c r="Z551" i="2"/>
  <c r="AA551" i="2" s="1"/>
  <c r="Z382" i="2"/>
  <c r="AA382" i="2" s="1"/>
  <c r="Z493" i="2"/>
  <c r="Z53" i="2"/>
  <c r="Z559" i="2"/>
  <c r="Z208" i="2"/>
  <c r="Z426" i="2"/>
  <c r="Z438" i="2"/>
  <c r="Z635" i="2"/>
  <c r="Z533" i="2"/>
  <c r="Z359" i="2"/>
  <c r="Z414" i="2"/>
  <c r="Z327" i="2"/>
  <c r="AA327" i="2" s="1"/>
  <c r="Z276" i="2"/>
  <c r="Z25" i="2"/>
  <c r="AA25" i="2" s="1"/>
  <c r="Z336" i="2"/>
  <c r="Z641" i="2"/>
  <c r="Z455" i="2"/>
  <c r="Z28" i="2"/>
  <c r="AA28" i="2" s="1"/>
  <c r="Z586" i="2"/>
  <c r="Z153" i="2"/>
  <c r="Z169" i="2"/>
  <c r="Z64" i="2"/>
  <c r="Z570" i="2"/>
  <c r="Z131" i="2"/>
  <c r="Z307" i="2"/>
  <c r="Z30" i="2"/>
  <c r="Z205" i="2"/>
  <c r="Z563" i="2"/>
  <c r="Z633" i="2"/>
  <c r="Z122" i="2"/>
  <c r="Z571" i="2"/>
  <c r="Z237" i="2"/>
  <c r="AA237" i="2" s="1"/>
  <c r="Z229" i="2"/>
  <c r="Z396" i="2"/>
  <c r="Z311" i="2"/>
  <c r="Z595" i="2"/>
  <c r="Z10" i="2"/>
  <c r="AA10" i="2" s="1"/>
  <c r="Z141" i="2"/>
  <c r="Z560" i="2"/>
  <c r="Z337" i="2"/>
  <c r="Z642" i="2"/>
  <c r="Z643" i="2"/>
  <c r="Z607" i="2"/>
  <c r="Z35" i="2"/>
  <c r="Z135" i="2"/>
  <c r="Z194" i="2"/>
  <c r="Z187" i="2"/>
  <c r="Z341" i="2"/>
  <c r="Z577" i="2"/>
  <c r="Z617" i="2"/>
  <c r="Z308" i="2"/>
  <c r="Z31" i="2"/>
  <c r="Z206" i="2"/>
  <c r="Z241" i="2"/>
  <c r="AA241" i="2" s="1"/>
  <c r="Z634" i="2"/>
  <c r="Z623" i="2"/>
  <c r="AA623" i="2" s="1"/>
  <c r="Z572" i="2"/>
  <c r="Z238" i="2"/>
  <c r="Z230" i="2"/>
  <c r="AA230" i="2" s="1"/>
  <c r="Z397" i="2"/>
  <c r="Z312" i="2"/>
  <c r="Z596" i="2"/>
  <c r="Z256" i="2"/>
  <c r="Z11" i="2"/>
  <c r="Z74" i="2"/>
  <c r="Z270" i="2"/>
  <c r="Z289" i="2"/>
  <c r="Z606" i="2"/>
  <c r="Z333" i="2"/>
  <c r="Z134" i="2"/>
  <c r="AA134" i="2" s="1"/>
  <c r="Z193" i="2"/>
  <c r="Z50" i="2"/>
  <c r="AA50" i="2" s="1"/>
  <c r="Z340" i="2"/>
  <c r="Z550" i="2"/>
  <c r="AA550" i="2" s="1"/>
  <c r="Z381" i="2"/>
  <c r="AA381" i="2" s="1"/>
  <c r="Z492" i="2"/>
  <c r="Z347" i="2"/>
  <c r="Z558" i="2"/>
  <c r="Z600" i="2"/>
  <c r="Z425" i="2"/>
  <c r="Z437" i="2"/>
  <c r="Z491" i="2"/>
  <c r="Z549" i="2"/>
  <c r="Z358" i="2"/>
  <c r="Z413" i="2"/>
  <c r="Z326" i="2"/>
  <c r="Z255" i="2"/>
  <c r="Z275" i="2"/>
  <c r="AA275" i="2" s="1"/>
  <c r="Z115" i="2"/>
  <c r="Z23" i="2"/>
  <c r="Z142" i="2"/>
  <c r="Z391" i="2"/>
  <c r="AA391" i="2" s="1"/>
  <c r="Z432" i="2"/>
  <c r="Z69" i="2"/>
  <c r="Z76" i="2"/>
  <c r="Z147" i="2"/>
  <c r="Z529" i="2"/>
  <c r="Z497" i="2"/>
  <c r="Z644" i="2"/>
  <c r="Z646" i="2"/>
  <c r="Z12" i="2"/>
  <c r="Z526" i="2"/>
  <c r="Z36" i="2"/>
  <c r="Z284" i="2"/>
  <c r="AA284" i="2" s="1"/>
  <c r="Z136" i="2"/>
  <c r="Z161" i="2"/>
  <c r="Z196" i="2"/>
  <c r="Z171" i="2"/>
  <c r="Z188" i="2"/>
  <c r="AA188" i="2" s="1"/>
  <c r="Z428" i="2"/>
  <c r="Z342" i="2"/>
  <c r="Z578" i="2"/>
  <c r="Z356" i="2"/>
  <c r="AA356" i="2" s="1"/>
  <c r="Z618" i="2"/>
  <c r="AA618" i="2" s="1"/>
  <c r="Z215" i="2"/>
  <c r="Z620" i="2"/>
  <c r="Z51" i="2"/>
  <c r="Z32" i="2"/>
  <c r="Z54" i="2"/>
  <c r="AA54" i="2" s="1"/>
  <c r="Z419" i="2"/>
  <c r="Z271" i="2"/>
  <c r="AA271" i="2" s="1"/>
  <c r="Z242" i="2"/>
  <c r="Z209" i="2"/>
  <c r="Z511" i="2"/>
  <c r="Z427" i="2"/>
  <c r="Z624" i="2"/>
  <c r="AA624" i="2" s="1"/>
  <c r="Z264" i="2"/>
  <c r="Z573" i="2"/>
  <c r="Z636" i="2"/>
  <c r="Z239" i="2"/>
  <c r="AA239" i="2" s="1"/>
  <c r="Z534" i="2"/>
  <c r="Z123" i="2"/>
  <c r="Z360" i="2"/>
  <c r="AA360" i="2" s="1"/>
  <c r="Z398" i="2"/>
  <c r="Z415" i="2"/>
  <c r="Z313" i="2"/>
  <c r="AA313" i="2" s="1"/>
  <c r="Z328" i="2"/>
  <c r="Z262" i="2"/>
  <c r="Z257" i="2"/>
  <c r="Z277" i="2"/>
  <c r="Z466" i="2"/>
  <c r="Z26" i="2"/>
  <c r="Z119" i="2"/>
  <c r="Z335" i="2"/>
  <c r="Z247" i="2"/>
  <c r="AA247" i="2" s="1"/>
  <c r="Z192" i="2"/>
  <c r="AA192" i="2" s="1"/>
  <c r="Z40" i="2"/>
  <c r="Z204" i="2"/>
  <c r="Z121" i="2"/>
  <c r="Z114" i="2"/>
  <c r="Z334" i="2"/>
  <c r="Z246" i="2"/>
  <c r="AA246" i="2" s="1"/>
  <c r="Z174" i="2"/>
  <c r="Z379" i="2"/>
  <c r="Z582" i="2"/>
  <c r="Z387" i="2"/>
  <c r="Z8" i="2"/>
  <c r="Z363" i="2"/>
  <c r="Z454" i="2"/>
  <c r="Z585" i="2"/>
  <c r="Z152" i="2"/>
  <c r="Z63" i="2"/>
  <c r="Z452" i="2"/>
  <c r="Z306" i="2"/>
  <c r="Z481" i="2"/>
  <c r="Z562" i="2"/>
  <c r="AA562" i="2" s="1"/>
  <c r="Z424" i="2"/>
  <c r="Z490" i="2"/>
  <c r="Z548" i="2"/>
  <c r="Z412" i="2"/>
  <c r="Z325" i="2"/>
  <c r="Z254" i="2"/>
  <c r="Z116" i="2"/>
  <c r="AA116" i="2" s="1"/>
  <c r="Z435" i="2"/>
  <c r="AA435" i="2" s="1"/>
  <c r="Z331" i="2"/>
  <c r="Z145" i="2"/>
  <c r="AA145" i="2" s="1"/>
  <c r="Z48" i="2"/>
  <c r="Z338" i="2"/>
  <c r="AA338" i="2" s="1"/>
  <c r="Z129" i="2"/>
  <c r="Z43" i="2"/>
  <c r="Z598" i="2"/>
  <c r="Z423" i="2"/>
  <c r="Z489" i="2"/>
  <c r="Z547" i="2"/>
  <c r="Z371" i="2"/>
  <c r="Z291" i="2"/>
  <c r="Z309" i="2"/>
  <c r="AA309" i="2" s="1"/>
  <c r="Z593" i="2"/>
  <c r="Z98" i="2"/>
  <c r="Z351" i="2"/>
  <c r="Z286" i="2"/>
  <c r="Z22" i="2"/>
  <c r="Z404" i="2"/>
  <c r="Z476" i="2"/>
  <c r="Z245" i="2"/>
  <c r="Z330" i="2"/>
  <c r="Z181" i="2"/>
  <c r="Z144" i="2"/>
  <c r="Z173" i="2"/>
  <c r="Z47" i="2"/>
  <c r="Z61" i="2"/>
  <c r="Z566" i="2"/>
  <c r="Z610" i="2"/>
  <c r="Z128" i="2"/>
  <c r="Z378" i="2"/>
  <c r="Z304" i="2"/>
  <c r="Z42" i="2"/>
  <c r="Z542" i="2"/>
  <c r="Z344" i="2"/>
  <c r="Z202" i="2"/>
  <c r="Z581" i="2"/>
  <c r="Z597" i="2"/>
  <c r="Z422" i="2"/>
  <c r="Z73" i="2"/>
  <c r="Z288" i="2"/>
  <c r="Z605" i="2"/>
  <c r="Z146" i="2"/>
  <c r="AA146" i="2" s="1"/>
  <c r="Z168" i="2"/>
  <c r="AA168" i="2" s="1"/>
  <c r="Z339" i="2"/>
  <c r="Z130" i="2"/>
  <c r="Z44" i="2"/>
  <c r="Z346" i="2"/>
  <c r="AA346" i="2" s="1"/>
  <c r="Z599" i="2"/>
  <c r="Z632" i="2"/>
  <c r="Z388" i="2"/>
  <c r="Z16" i="2"/>
  <c r="Z228" i="2"/>
  <c r="Z395" i="2"/>
  <c r="AA395" i="2" s="1"/>
  <c r="Z310" i="2"/>
  <c r="Z594" i="2"/>
  <c r="Z9" i="2"/>
  <c r="Z287" i="2"/>
  <c r="Z477" i="2"/>
  <c r="Z584" i="2"/>
  <c r="Z207" i="2"/>
  <c r="Z62" i="2"/>
  <c r="Z611" i="2"/>
  <c r="Z305" i="2"/>
  <c r="Z480" i="2"/>
  <c r="Z561" i="2"/>
  <c r="Z631" i="2"/>
  <c r="AA631" i="2" s="1"/>
  <c r="Z603" i="2"/>
  <c r="AA603" i="2" s="1"/>
  <c r="Z15" i="2"/>
  <c r="Z227" i="2"/>
  <c r="Z394" i="2"/>
  <c r="AA394" i="2" s="1"/>
  <c r="Z324" i="2"/>
  <c r="Z253" i="2"/>
  <c r="Z113" i="2"/>
  <c r="Z639" i="2"/>
  <c r="Z283" i="2"/>
  <c r="Z589" i="2"/>
  <c r="Z436" i="2"/>
  <c r="Z332" i="2"/>
  <c r="AA332" i="2" s="1"/>
  <c r="Z49" i="2"/>
  <c r="Z380" i="2"/>
  <c r="AA380" i="2" s="1"/>
  <c r="Z583" i="2"/>
  <c r="Z604" i="2"/>
  <c r="Z274" i="2"/>
  <c r="Z640" i="2"/>
  <c r="Z429" i="2"/>
  <c r="Z567" i="2"/>
  <c r="Z345" i="2"/>
  <c r="AA345" i="2" s="1"/>
  <c r="Z120" i="2"/>
  <c r="Z273" i="2"/>
  <c r="AA273" i="2" s="1"/>
  <c r="Z201" i="2"/>
  <c r="Z433" i="2"/>
  <c r="Z488" i="2"/>
  <c r="Z290" i="2"/>
  <c r="Z320" i="2"/>
  <c r="Z323" i="2"/>
  <c r="Z252" i="2"/>
  <c r="Z521" i="2"/>
  <c r="Z443" i="2"/>
  <c r="Z449" i="2"/>
  <c r="AA449" i="2" s="1"/>
  <c r="Z112" i="2"/>
  <c r="Z576" i="2"/>
  <c r="Z630" i="2"/>
  <c r="Z82" i="2"/>
  <c r="Z386" i="2"/>
  <c r="Z602" i="2"/>
  <c r="Z14" i="2"/>
  <c r="AA14" i="2" s="1"/>
  <c r="Z97" i="2"/>
  <c r="Z226" i="2"/>
  <c r="Z370" i="2"/>
  <c r="Z393" i="2"/>
  <c r="Z638" i="2"/>
  <c r="Z34" i="2"/>
  <c r="Z282" i="2"/>
  <c r="Z182" i="2"/>
  <c r="Z496" i="2"/>
  <c r="Z403" i="2"/>
  <c r="Z475" i="2"/>
  <c r="AA475" i="2" s="1"/>
  <c r="Z569" i="2"/>
  <c r="Z431" i="2"/>
  <c r="Z180" i="2"/>
  <c r="Z143" i="2"/>
  <c r="AA143" i="2" s="1"/>
  <c r="Z172" i="2"/>
  <c r="Z46" i="2"/>
  <c r="Z588" i="2"/>
  <c r="Z565" i="2"/>
  <c r="AA565" i="2" s="1"/>
  <c r="Z609" i="2"/>
  <c r="Z221" i="2"/>
  <c r="Z59" i="2"/>
  <c r="Z303" i="2"/>
  <c r="Z41" i="2"/>
  <c r="Z541" i="2"/>
  <c r="Z343" i="2"/>
  <c r="AA343" i="2" s="1"/>
  <c r="Z580" i="2"/>
  <c r="Z546" i="2"/>
  <c r="Z411" i="2"/>
  <c r="Z557" i="2"/>
  <c r="Z421" i="2"/>
  <c r="Z385" i="2"/>
  <c r="Z601" i="2"/>
  <c r="Z487" i="2"/>
  <c r="Z540" i="2"/>
  <c r="Z96" i="2"/>
  <c r="Z244" i="2"/>
  <c r="Z392" i="2"/>
  <c r="Z322" i="2"/>
  <c r="Z251" i="2"/>
  <c r="Z613" i="2"/>
  <c r="Z442" i="2"/>
  <c r="Z448" i="2"/>
  <c r="Z575" i="2"/>
  <c r="Z90" i="2"/>
  <c r="Z637" i="2"/>
  <c r="Z214" i="2"/>
  <c r="Z281" i="2"/>
  <c r="Z37" i="2"/>
  <c r="AA37" i="2" s="1"/>
  <c r="Z495" i="2"/>
  <c r="Z375" i="2"/>
  <c r="Z474" i="2"/>
  <c r="AA474" i="2" s="1"/>
  <c r="Z430" i="2"/>
  <c r="AA430" i="2" s="1"/>
  <c r="Z510" i="2"/>
  <c r="Z157" i="2"/>
  <c r="Z158" i="2"/>
  <c r="Z199" i="2"/>
  <c r="Z21" i="2"/>
  <c r="Z486" i="2"/>
  <c r="Z377" i="2"/>
  <c r="AA377" i="2" s="1"/>
  <c r="Z564" i="2"/>
  <c r="Z608" i="2"/>
  <c r="Z220" i="2"/>
  <c r="AA220" i="2" s="1"/>
  <c r="Z58" i="2"/>
  <c r="Z532" i="2"/>
  <c r="Z520" i="2"/>
  <c r="Z460" i="2"/>
  <c r="Z71" i="2"/>
  <c r="Z579" i="2"/>
  <c r="Z545" i="2"/>
  <c r="Z556" i="2"/>
  <c r="Z107" i="2"/>
  <c r="Z80" i="2"/>
  <c r="AA80" i="2" s="1"/>
  <c r="Z384" i="2"/>
  <c r="Z629" i="2"/>
  <c r="Z225" i="2"/>
  <c r="Z95" i="2"/>
  <c r="Z243" i="2"/>
  <c r="AA243" i="2" s="1"/>
  <c r="Z367" i="2"/>
  <c r="Z301" i="2"/>
  <c r="Z318" i="2"/>
  <c r="Z321" i="2"/>
  <c r="Z250" i="2"/>
  <c r="Z612" i="2"/>
  <c r="Z441" i="2"/>
  <c r="Z447" i="2"/>
  <c r="Z70" i="2"/>
  <c r="Z574" i="2"/>
  <c r="Z89" i="2"/>
  <c r="Z151" i="2"/>
  <c r="Z213" i="2"/>
  <c r="Z501" i="2"/>
  <c r="Z473" i="2"/>
  <c r="Z494" i="2"/>
  <c r="Z374" i="2"/>
  <c r="AA374" i="2" s="1"/>
  <c r="Z177" i="2"/>
  <c r="Z401" i="2"/>
  <c r="Z451" i="2"/>
  <c r="AA451" i="2" s="1"/>
  <c r="Z509" i="2"/>
  <c r="Z156" i="2"/>
  <c r="Z140" i="2"/>
  <c r="Z198" i="2"/>
  <c r="Z185" i="2"/>
  <c r="Z485" i="2"/>
  <c r="Z24" i="2"/>
  <c r="Z219" i="2"/>
  <c r="AA219" i="2" s="1"/>
  <c r="Z57" i="2"/>
  <c r="Z233" i="2"/>
  <c r="Z519" i="2"/>
  <c r="Z459" i="2"/>
  <c r="Z294" i="2"/>
  <c r="Z517" i="2"/>
  <c r="Z544" i="2"/>
  <c r="AA544" i="2" s="1"/>
  <c r="Z409" i="2"/>
  <c r="Z555" i="2"/>
  <c r="Z106" i="2"/>
  <c r="Z79" i="2"/>
  <c r="Z628" i="2"/>
  <c r="Z224" i="2"/>
  <c r="Z538" i="2"/>
  <c r="Z94" i="2"/>
  <c r="Z353" i="2"/>
  <c r="Z366" i="2"/>
  <c r="Z300" i="2"/>
  <c r="Z249" i="2"/>
  <c r="Z164" i="2"/>
  <c r="Z440" i="2"/>
  <c r="Z88" i="2"/>
  <c r="Z150" i="2"/>
  <c r="AA150" i="2" s="1"/>
  <c r="Z525" i="2"/>
  <c r="Z500" i="2"/>
  <c r="Z279" i="2"/>
  <c r="AA279" i="2" s="1"/>
  <c r="Z649" i="2"/>
  <c r="Z373" i="2"/>
  <c r="Z176" i="2"/>
  <c r="Z400" i="2"/>
  <c r="Z450" i="2"/>
  <c r="AA450" i="2" s="1"/>
  <c r="Z508" i="2"/>
  <c r="Z155" i="2"/>
  <c r="Z139" i="2"/>
  <c r="Z167" i="2"/>
  <c r="Z191" i="2"/>
  <c r="Z19" i="2"/>
  <c r="Z484" i="2"/>
  <c r="Z616" i="2"/>
  <c r="AA616" i="2" s="1"/>
  <c r="Z471" i="2"/>
  <c r="AA471" i="2" s="1"/>
  <c r="Z458" i="2"/>
  <c r="Z218" i="2"/>
  <c r="Z45" i="2"/>
  <c r="Z232" i="2"/>
  <c r="Z479" i="2"/>
  <c r="Z518" i="2"/>
  <c r="Z523" i="2"/>
  <c r="Z293" i="2"/>
  <c r="AA293" i="2" s="1"/>
  <c r="Z110" i="2"/>
  <c r="AA110" i="2" s="1"/>
  <c r="Z543" i="2"/>
  <c r="Z408" i="2"/>
  <c r="Z406" i="2"/>
  <c r="Z105" i="2"/>
  <c r="Z267" i="2"/>
  <c r="Z592" i="2"/>
  <c r="Z627" i="2"/>
  <c r="Z223" i="2"/>
  <c r="Z461" i="2"/>
  <c r="Z352" i="2"/>
  <c r="Z365" i="2"/>
  <c r="Z389" i="2"/>
  <c r="AA389" i="2" s="1"/>
  <c r="Z316" i="2"/>
  <c r="Z163" i="2"/>
  <c r="Z445" i="2"/>
  <c r="Z78" i="2"/>
  <c r="Z149" i="2"/>
  <c r="Z524" i="2"/>
  <c r="Z499" i="2"/>
  <c r="Z278" i="2"/>
  <c r="Z648" i="2"/>
  <c r="Z280" i="2"/>
  <c r="Z175" i="2"/>
  <c r="Z39" i="2"/>
  <c r="Z212" i="2"/>
  <c r="Z507" i="2"/>
  <c r="Z154" i="2"/>
  <c r="Z138" i="2"/>
  <c r="Z166" i="2"/>
  <c r="AA166" i="2" s="1"/>
  <c r="Z190" i="2"/>
  <c r="Z18" i="2"/>
  <c r="AA18" i="2" s="1"/>
  <c r="Z483" i="2"/>
  <c r="AA483" i="2" s="1"/>
  <c r="Z615" i="2"/>
  <c r="Z470" i="2"/>
  <c r="Z457" i="2"/>
  <c r="Z217" i="2"/>
  <c r="AA217" i="2" s="1"/>
  <c r="Z622" i="2"/>
  <c r="Z231" i="2"/>
  <c r="Z478" i="2"/>
  <c r="AA478" i="2" s="1"/>
  <c r="Z56" i="2"/>
  <c r="Z522" i="2"/>
  <c r="Z292" i="2"/>
  <c r="AA292" i="2" s="1"/>
  <c r="Z109" i="2"/>
  <c r="Z211" i="2"/>
  <c r="Z407" i="2"/>
  <c r="Z405" i="2"/>
  <c r="Z104" i="2"/>
  <c r="Z266" i="2"/>
  <c r="Z591" i="2"/>
  <c r="Z626" i="2"/>
  <c r="AA626" i="2" s="1"/>
  <c r="E8" i="21"/>
  <c r="E9" i="21"/>
  <c r="E10" i="21"/>
  <c r="E11" i="21"/>
  <c r="E12" i="21"/>
  <c r="D8" i="21"/>
  <c r="D9" i="21"/>
  <c r="D10" i="21"/>
  <c r="D11" i="21"/>
  <c r="D12" i="21"/>
  <c r="C8" i="21"/>
  <c r="C9" i="21"/>
  <c r="C10" i="21"/>
  <c r="C11" i="21"/>
  <c r="C12" i="21"/>
  <c r="B8" i="21"/>
  <c r="B9" i="21"/>
  <c r="B10" i="21"/>
  <c r="B11" i="21"/>
  <c r="B12" i="21"/>
  <c r="A8" i="21"/>
  <c r="A9" i="21"/>
  <c r="A10" i="21"/>
  <c r="A11" i="21"/>
  <c r="A12" i="21"/>
  <c r="Y8" i="21"/>
  <c r="Y9" i="21"/>
  <c r="Y10" i="21"/>
  <c r="Y11" i="21"/>
  <c r="Y12" i="21"/>
  <c r="Q8" i="21"/>
  <c r="O8" i="21" s="1"/>
  <c r="Q9" i="21"/>
  <c r="O9" i="21" s="1"/>
  <c r="Q10" i="21"/>
  <c r="O10" i="21" s="1"/>
  <c r="Q11" i="21"/>
  <c r="O11" i="21" s="1"/>
  <c r="Q12" i="21"/>
  <c r="O12" i="21" s="1"/>
  <c r="E12" i="53"/>
  <c r="AA297" i="2" l="1"/>
  <c r="AA364" i="2"/>
  <c r="AA17" i="2"/>
  <c r="AA67" i="2"/>
  <c r="AA369" i="2"/>
  <c r="AA402" i="2"/>
  <c r="AA299" i="2"/>
  <c r="AA317" i="2"/>
  <c r="AA103" i="2"/>
  <c r="AA554" i="2"/>
  <c r="AA248" i="2"/>
  <c r="AA315" i="2"/>
  <c r="AA122" i="2"/>
  <c r="AA446" i="2"/>
  <c r="AA63" i="2"/>
  <c r="AA186" i="2"/>
  <c r="AA263" i="2"/>
  <c r="AA123" i="2"/>
  <c r="AA234" i="2"/>
  <c r="AA49" i="2"/>
  <c r="AA361" i="2"/>
  <c r="AA487" i="2"/>
  <c r="AA536" i="2"/>
  <c r="AA112" i="2"/>
  <c r="AA213" i="2"/>
  <c r="AA390" i="2"/>
  <c r="AA472" i="2"/>
  <c r="AA300" i="2"/>
  <c r="AA170" i="2"/>
  <c r="AA539" i="2"/>
  <c r="AA20" i="2"/>
  <c r="AA155" i="2"/>
  <c r="AA108" i="2"/>
  <c r="AA537" i="2"/>
  <c r="AA68" i="2"/>
  <c r="AA376" i="2"/>
  <c r="AA531" i="2"/>
  <c r="AA189" i="2"/>
  <c r="AA379" i="2"/>
  <c r="AA296" i="2"/>
  <c r="AA385" i="2"/>
  <c r="AA81" i="2"/>
  <c r="AA647" i="2"/>
  <c r="AA439" i="2"/>
  <c r="AA417" i="2"/>
  <c r="AA319" i="2"/>
  <c r="AA649" i="2"/>
  <c r="AA648" i="2"/>
  <c r="AA105" i="2"/>
  <c r="AA440" i="2"/>
  <c r="AA608" i="2"/>
  <c r="AA495" i="2"/>
  <c r="AA553" i="2"/>
  <c r="AA564" i="2"/>
  <c r="AA399" i="2"/>
  <c r="AA295" i="2"/>
  <c r="AA558" i="2"/>
  <c r="AA552" i="2"/>
  <c r="AA302" i="2"/>
  <c r="AA23" i="2"/>
  <c r="AA407" i="2"/>
  <c r="AA359" i="2"/>
  <c r="AA501" i="2"/>
  <c r="AA125" i="2"/>
  <c r="AA498" i="2"/>
  <c r="AA60" i="2"/>
  <c r="AA358" i="2"/>
  <c r="AA444" i="2"/>
  <c r="AA383" i="2"/>
  <c r="AA222" i="2"/>
  <c r="AA256" i="2"/>
  <c r="AA308" i="2"/>
  <c r="AA42" i="2"/>
  <c r="AA419" i="2"/>
  <c r="AA410" i="2"/>
  <c r="AA203" i="2"/>
  <c r="AA362" i="2"/>
  <c r="AA102" i="2"/>
  <c r="AA298" i="2"/>
  <c r="AA393" i="2"/>
  <c r="AA205" i="2"/>
  <c r="AA27" i="2"/>
  <c r="AA43" i="2"/>
  <c r="AA165" i="2"/>
  <c r="AA637" i="2"/>
  <c r="AA324" i="2"/>
  <c r="AA489" i="2"/>
  <c r="AA584" i="2"/>
  <c r="AA420" i="2"/>
  <c r="AA149" i="2"/>
  <c r="AA521" i="2"/>
  <c r="AA151" i="2"/>
  <c r="AA111" i="2"/>
  <c r="AA542" i="2"/>
  <c r="AA187" i="2"/>
  <c r="AA180" i="2"/>
  <c r="AA438" i="2"/>
  <c r="AA476" i="2"/>
  <c r="AA421" i="2"/>
  <c r="AA612" i="2"/>
  <c r="AA409" i="2"/>
  <c r="AA135" i="2"/>
  <c r="AA388" i="2"/>
  <c r="AA595" i="2"/>
  <c r="AA75" i="2"/>
  <c r="AA19" i="2"/>
  <c r="AA66" i="2"/>
  <c r="AA240" i="2"/>
  <c r="AA35" i="2"/>
  <c r="AA408" i="2"/>
  <c r="AA628" i="2"/>
  <c r="AA24" i="2"/>
  <c r="AA57" i="2"/>
  <c r="AA137" i="2"/>
  <c r="AA70" i="2"/>
  <c r="AA473" i="2"/>
  <c r="AA357" i="2"/>
  <c r="AA95" i="2"/>
  <c r="AA40" i="2"/>
  <c r="AA581" i="2"/>
  <c r="AA529" i="2"/>
  <c r="AA586" i="2"/>
  <c r="AA262" i="2"/>
  <c r="AA570" i="2"/>
  <c r="AA590" i="2"/>
  <c r="AA113" i="2"/>
  <c r="AA427" i="2"/>
  <c r="AA511" i="2"/>
  <c r="AA615" i="2"/>
  <c r="AA225" i="2"/>
  <c r="AA101" i="2"/>
  <c r="AA548" i="2"/>
  <c r="AA643" i="2"/>
  <c r="AA527" i="2"/>
  <c r="AA59" i="2"/>
  <c r="AA202" i="2"/>
  <c r="AA304" i="2"/>
  <c r="AA572" i="2"/>
  <c r="AA8" i="2"/>
  <c r="AA339" i="2"/>
  <c r="AA578" i="2"/>
  <c r="AA415" i="2"/>
  <c r="AA164" i="2"/>
  <c r="AA499" i="2"/>
  <c r="AA106" i="2"/>
  <c r="AA107" i="2"/>
  <c r="AA607" i="2"/>
  <c r="AA403" i="2"/>
  <c r="AA288" i="2"/>
  <c r="AA559" i="2"/>
  <c r="AA371" i="2"/>
  <c r="AA600" i="2"/>
  <c r="AA270" i="2"/>
  <c r="AA621" i="2"/>
  <c r="AA384" i="2"/>
  <c r="AA574" i="2"/>
  <c r="AA278" i="2"/>
  <c r="AA131" i="2"/>
  <c r="AA528" i="2"/>
  <c r="AA62" i="2"/>
  <c r="AA646" i="2"/>
  <c r="AA337" i="2"/>
  <c r="AA401" i="2"/>
  <c r="AA94" i="2"/>
  <c r="AA605" i="2"/>
  <c r="AA221" i="2"/>
  <c r="AA282" i="2"/>
  <c r="AA488" i="2"/>
  <c r="AA344" i="2"/>
  <c r="AA201" i="2"/>
  <c r="AA611" i="2"/>
  <c r="AA117" i="2"/>
  <c r="AA448" i="2"/>
  <c r="AA41" i="2"/>
  <c r="AA597" i="2"/>
  <c r="AA326" i="2"/>
  <c r="AA58" i="2"/>
  <c r="AA281" i="2"/>
  <c r="AA522" i="2"/>
  <c r="AA209" i="2"/>
  <c r="AA238" i="2"/>
  <c r="AA642" i="2"/>
  <c r="AA52" i="2"/>
  <c r="AA496" i="2"/>
  <c r="AA65" i="2"/>
  <c r="AA629" i="2"/>
  <c r="AA592" i="2"/>
  <c r="AA198" i="2"/>
  <c r="AA368" i="2"/>
  <c r="AA566" i="2"/>
  <c r="AA204" i="2"/>
  <c r="AA347" i="2"/>
  <c r="AA490" i="2"/>
  <c r="AA265" i="2"/>
  <c r="AA634" i="2"/>
  <c r="AA176" i="2"/>
  <c r="AA69" i="2"/>
  <c r="AA396" i="2"/>
  <c r="AA44" i="2"/>
  <c r="AA373" i="2"/>
  <c r="AA258" i="2"/>
  <c r="AA497" i="2"/>
  <c r="AA48" i="2"/>
  <c r="AA64" i="2"/>
  <c r="AA540" i="2"/>
  <c r="AA115" i="2"/>
  <c r="AA98" i="2"/>
  <c r="AA305" i="2"/>
  <c r="AA583" i="2"/>
  <c r="AA307" i="2"/>
  <c r="AA206" i="2"/>
  <c r="AA428" i="2"/>
  <c r="AA405" i="2"/>
  <c r="AA38" i="2"/>
  <c r="AA79" i="2"/>
  <c r="AA494" i="2"/>
  <c r="AA619" i="2"/>
  <c r="AA445" i="2"/>
  <c r="AA329" i="2"/>
  <c r="AA216" i="2"/>
  <c r="AA82" i="2"/>
  <c r="AA492" i="2"/>
  <c r="AA594" i="2"/>
  <c r="AA229" i="2"/>
  <c r="AA314" i="2"/>
  <c r="AA424" i="2"/>
  <c r="AA481" i="2"/>
  <c r="AA173" i="2"/>
  <c r="AA276" i="2"/>
  <c r="AA532" i="2"/>
  <c r="AA500" i="2"/>
  <c r="AA644" i="2"/>
  <c r="AA224" i="2"/>
  <c r="AA601" i="2"/>
  <c r="AA291" i="2"/>
  <c r="AA387" i="2"/>
  <c r="AA331" i="2"/>
  <c r="AA310" i="2"/>
  <c r="AA306" i="2"/>
  <c r="AA255" i="2"/>
  <c r="AA169" i="2"/>
  <c r="AA53" i="2"/>
  <c r="AA194" i="2"/>
  <c r="AA457" i="2"/>
  <c r="AA406" i="2"/>
  <c r="AA375" i="2"/>
  <c r="AA398" i="2"/>
  <c r="AA142" i="2"/>
  <c r="AA242" i="2"/>
  <c r="AA289" i="2"/>
  <c r="AA342" i="2"/>
  <c r="AA370" i="2"/>
  <c r="AA467" i="2"/>
  <c r="AA593" i="2"/>
  <c r="AA45" i="2"/>
  <c r="AA576" i="2"/>
  <c r="AA493" i="2"/>
  <c r="AA363" i="2"/>
  <c r="AA311" i="2"/>
  <c r="AA208" i="2"/>
  <c r="AA218" i="2"/>
  <c r="AA604" i="2"/>
  <c r="AA144" i="2"/>
  <c r="AA181" i="2"/>
  <c r="AA328" i="2"/>
  <c r="AA458" i="2"/>
  <c r="AA13" i="2"/>
  <c r="AA211" i="2"/>
  <c r="AA109" i="2"/>
  <c r="AA12" i="2"/>
  <c r="AA153" i="2"/>
  <c r="AA228" i="2"/>
  <c r="AA74" i="2"/>
  <c r="AA303" i="2"/>
  <c r="AA174" i="2"/>
  <c r="AA523" i="2"/>
  <c r="AA455" i="2"/>
  <c r="AA11" i="2"/>
  <c r="AA341" i="2"/>
  <c r="AA535" i="2"/>
  <c r="AA441" i="2"/>
  <c r="AA340" i="2"/>
  <c r="AA323" i="2"/>
  <c r="AA97" i="2"/>
  <c r="AA606" i="2"/>
  <c r="AA437" i="2"/>
  <c r="AA404" i="2"/>
  <c r="AA596" i="2"/>
  <c r="AA588" i="2"/>
  <c r="AA560" i="2"/>
  <c r="AA571" i="2"/>
  <c r="AA413" i="2"/>
  <c r="AA414" i="2"/>
  <c r="AA482" i="2"/>
  <c r="AA509" i="2"/>
  <c r="AA154" i="2"/>
  <c r="AA76" i="2"/>
  <c r="AA609" i="2"/>
  <c r="AA141" i="2"/>
  <c r="AA34" i="2"/>
  <c r="AA254" i="2"/>
  <c r="AA352" i="2"/>
  <c r="AA190" i="2"/>
  <c r="AA335" i="2"/>
  <c r="AA119" i="2"/>
  <c r="AA534" i="2"/>
  <c r="AA138" i="2"/>
  <c r="AA301" i="2"/>
  <c r="AA89" i="2"/>
  <c r="AA556" i="2"/>
  <c r="AA55" i="2"/>
  <c r="AA71" i="2"/>
  <c r="AA442" i="2"/>
  <c r="AA602" i="2"/>
  <c r="AA193" i="2"/>
  <c r="AA484" i="2"/>
  <c r="AA159" i="2"/>
  <c r="AA163" i="2"/>
  <c r="AA191" i="2"/>
  <c r="AA447" i="2"/>
  <c r="AA525" i="2"/>
  <c r="AA443" i="2"/>
  <c r="AA378" i="2"/>
  <c r="AA330" i="2"/>
  <c r="AA207" i="2"/>
  <c r="AA160" i="2"/>
  <c r="AA30" i="2"/>
  <c r="AA244" i="2"/>
  <c r="AA641" i="2"/>
  <c r="AA227" i="2"/>
  <c r="AA423" i="2"/>
  <c r="AA16" i="2"/>
  <c r="AA425" i="2"/>
  <c r="AA426" i="2"/>
  <c r="AA196" i="2"/>
  <c r="AA555" i="2"/>
  <c r="AA434" i="2"/>
  <c r="AA575" i="2"/>
  <c r="AA613" i="2"/>
  <c r="AA312" i="2"/>
  <c r="AA152" i="2"/>
  <c r="AA549" i="2"/>
  <c r="AA267" i="2"/>
  <c r="AA563" i="2"/>
  <c r="AA252" i="2"/>
  <c r="AA617" i="2"/>
  <c r="AA533" i="2"/>
  <c r="AA524" i="2"/>
  <c r="AA167" i="2"/>
  <c r="AA140" i="2"/>
  <c r="AA545" i="2"/>
  <c r="AA33" i="2"/>
  <c r="AA77" i="2"/>
  <c r="AA21" i="2"/>
  <c r="AA635" i="2"/>
  <c r="AA557" i="2"/>
  <c r="AA46" i="2"/>
  <c r="AA245" i="2"/>
  <c r="AA582" i="2"/>
  <c r="AA372" i="2"/>
  <c r="AA397" i="2"/>
  <c r="AA73" i="2"/>
  <c r="AA272" i="2"/>
  <c r="AA253" i="2"/>
  <c r="AA547" i="2"/>
  <c r="AA599" i="2"/>
  <c r="AA633" i="2"/>
  <c r="AA336" i="2"/>
  <c r="AA31" i="2"/>
  <c r="AA486" i="2"/>
  <c r="AA645" i="2"/>
  <c r="AA517" i="2"/>
  <c r="AA316" i="2"/>
  <c r="AA543" i="2"/>
  <c r="AA156" i="2"/>
  <c r="AA185" i="2"/>
  <c r="AA491" i="2"/>
  <c r="AA587" i="2"/>
  <c r="AA485" i="2"/>
  <c r="AA411" i="2"/>
  <c r="AA182" i="2"/>
  <c r="AA226" i="2"/>
  <c r="AA452" i="2"/>
  <c r="AA287" i="2"/>
  <c r="AA577" i="2"/>
  <c r="AA432" i="2"/>
  <c r="AA148" i="2"/>
  <c r="AA321" i="2"/>
  <c r="AA530" i="2"/>
  <c r="AA333" i="2"/>
  <c r="AA638" i="2"/>
  <c r="AA580" i="2"/>
  <c r="AA630" i="2"/>
  <c r="AA172" i="2"/>
  <c r="AA561" i="2"/>
  <c r="AA130" i="2"/>
  <c r="AA32" i="2"/>
  <c r="AA90" i="2"/>
  <c r="AA367" i="2"/>
  <c r="AA231" i="2"/>
  <c r="AA320" i="2"/>
  <c r="AA351" i="2"/>
  <c r="AA51" i="2"/>
  <c r="AA479" i="2"/>
  <c r="AA353" i="2"/>
  <c r="AA280" i="2"/>
  <c r="AA223" i="2"/>
  <c r="AA250" i="2"/>
  <c r="AA632" i="2"/>
  <c r="AA461" i="2"/>
  <c r="AA199" i="2"/>
  <c r="AA598" i="2"/>
  <c r="AA334" i="2"/>
  <c r="AA26" i="2"/>
  <c r="AA157" i="2"/>
  <c r="AA161" i="2"/>
  <c r="AA627" i="2"/>
  <c r="AA286" i="2"/>
  <c r="AA636" i="2"/>
  <c r="AA431" i="2"/>
  <c r="AA589" i="2"/>
  <c r="AA573" i="2"/>
  <c r="AA175" i="2"/>
  <c r="AA139" i="2"/>
  <c r="AA412" i="2"/>
  <c r="AA591" i="2"/>
  <c r="AA78" i="2"/>
  <c r="AA249" i="2"/>
  <c r="AA294" i="2"/>
  <c r="AA214" i="2"/>
  <c r="AA251" i="2"/>
  <c r="AA541" i="2"/>
  <c r="AA569" i="2"/>
  <c r="AA290" i="2"/>
  <c r="AA585" i="2"/>
  <c r="AA96" i="2"/>
  <c r="AA88" i="2"/>
  <c r="AA460" i="2"/>
  <c r="AA510" i="2"/>
  <c r="AA422" i="2"/>
  <c r="AA61" i="2"/>
  <c r="AA436" i="2"/>
  <c r="AA277" i="2"/>
  <c r="AA136" i="2"/>
  <c r="AA622" i="2"/>
  <c r="AA579" i="2"/>
  <c r="AA104" i="2"/>
  <c r="AA264" i="2"/>
  <c r="AA114" i="2"/>
  <c r="AA610" i="2"/>
  <c r="AA22" i="2"/>
  <c r="AA640" i="2"/>
  <c r="AA15" i="2"/>
  <c r="AA466" i="2"/>
  <c r="AA158" i="2"/>
  <c r="AA128" i="2"/>
  <c r="AA257" i="2"/>
  <c r="AA283" i="2"/>
  <c r="AA215" i="2"/>
  <c r="AA120" i="2"/>
  <c r="AA129" i="2"/>
  <c r="AA477" i="2"/>
  <c r="AA620" i="2"/>
  <c r="AA147" i="2"/>
  <c r="AA508" i="2"/>
  <c r="AA212" i="2"/>
  <c r="AA365" i="2"/>
  <c r="AA518" i="2"/>
  <c r="AA177" i="2"/>
  <c r="AA56" i="2"/>
  <c r="AA392" i="2"/>
  <c r="AA507" i="2"/>
  <c r="AA386" i="2"/>
  <c r="AA36" i="2"/>
  <c r="AA325" i="2"/>
  <c r="AA526" i="2"/>
  <c r="AA470" i="2"/>
  <c r="AA400" i="2"/>
  <c r="AA519" i="2"/>
  <c r="AA538" i="2"/>
  <c r="AA171" i="2"/>
  <c r="AA47" i="2"/>
  <c r="AA639" i="2"/>
  <c r="AA480" i="2"/>
  <c r="AA9" i="2"/>
  <c r="AA454" i="2"/>
  <c r="AA322" i="2"/>
  <c r="AA567" i="2"/>
  <c r="AA429" i="2"/>
  <c r="AA433" i="2"/>
  <c r="AA366" i="2"/>
  <c r="AA233" i="2"/>
  <c r="AA39" i="2"/>
  <c r="AA459" i="2"/>
  <c r="AA232" i="2"/>
  <c r="AA318" i="2"/>
  <c r="AA520" i="2"/>
  <c r="AA266" i="2"/>
  <c r="AA546" i="2"/>
  <c r="AA274" i="2"/>
  <c r="AA121" i="2"/>
  <c r="P432" i="2"/>
  <c r="X432" i="2"/>
  <c r="Z10" i="21"/>
  <c r="AA10" i="21" s="1"/>
  <c r="Z12" i="21"/>
  <c r="AA12" i="21" s="1"/>
  <c r="Z11" i="21"/>
  <c r="AA11" i="21" s="1"/>
  <c r="Z8" i="21"/>
  <c r="AA8" i="21" s="1"/>
  <c r="V11" i="21"/>
  <c r="Z9" i="21"/>
  <c r="AA9" i="21" s="1"/>
  <c r="V10" i="21"/>
  <c r="V9" i="21"/>
  <c r="V12" i="21"/>
  <c r="V8" i="21"/>
  <c r="X575" i="2" l="1"/>
  <c r="X98" i="2"/>
  <c r="X118" i="2"/>
  <c r="X119" i="2"/>
  <c r="X66" i="2"/>
  <c r="X67" i="2"/>
  <c r="X68" i="2"/>
  <c r="P69" i="2"/>
  <c r="X70" i="2"/>
  <c r="X111" i="2"/>
  <c r="X112" i="2"/>
  <c r="X113" i="2"/>
  <c r="X114" i="2"/>
  <c r="X444" i="2"/>
  <c r="X445" i="2"/>
  <c r="X446" i="2"/>
  <c r="X447" i="2"/>
  <c r="X448" i="2"/>
  <c r="X449" i="2"/>
  <c r="X8" i="2"/>
  <c r="X9" i="2"/>
  <c r="X10" i="2"/>
  <c r="X11" i="2"/>
  <c r="X443" i="2"/>
  <c r="X273" i="2"/>
  <c r="X274" i="2"/>
  <c r="X275" i="2"/>
  <c r="X276" i="2"/>
  <c r="X277" i="2"/>
  <c r="X101" i="2"/>
  <c r="X164" i="2"/>
  <c r="X254" i="2"/>
  <c r="X255" i="2"/>
  <c r="X256" i="2"/>
  <c r="X257" i="2"/>
  <c r="X258" i="2"/>
  <c r="X259" i="2"/>
  <c r="X248" i="2"/>
  <c r="X249" i="2"/>
  <c r="X595" i="2"/>
  <c r="X596" i="2"/>
  <c r="X554" i="2"/>
  <c r="X321" i="2"/>
  <c r="X327" i="2"/>
  <c r="X328" i="2"/>
  <c r="X329" i="2"/>
  <c r="X315" i="2"/>
  <c r="X316" i="2"/>
  <c r="X317" i="2"/>
  <c r="X318" i="2"/>
  <c r="X319" i="2"/>
  <c r="X320" i="2"/>
  <c r="X313" i="2"/>
  <c r="X314" i="2"/>
  <c r="X298" i="2"/>
  <c r="X299" i="2"/>
  <c r="X300" i="2"/>
  <c r="X301" i="2"/>
  <c r="X302" i="2"/>
  <c r="X290" i="2"/>
  <c r="X416" i="2"/>
  <c r="X417" i="2"/>
  <c r="X389" i="2"/>
  <c r="X390" i="2"/>
  <c r="X391" i="2"/>
  <c r="X392" i="2"/>
  <c r="X393" i="2"/>
  <c r="X394" i="2"/>
  <c r="X364" i="2"/>
  <c r="X365" i="2"/>
  <c r="X366" i="2"/>
  <c r="X367" i="2"/>
  <c r="X369" i="2"/>
  <c r="X370" i="2"/>
  <c r="X371" i="2"/>
  <c r="X372" i="2"/>
  <c r="P352" i="2"/>
  <c r="P353" i="2"/>
  <c r="X243" i="2"/>
  <c r="X244" i="2"/>
  <c r="X228" i="2"/>
  <c r="X229" i="2"/>
  <c r="X94" i="2"/>
  <c r="X96" i="2"/>
  <c r="X97" i="2"/>
  <c r="X547" i="2"/>
  <c r="X548" i="2"/>
  <c r="X549" i="2"/>
  <c r="X533" i="2"/>
  <c r="X536" i="2"/>
  <c r="X538" i="2"/>
  <c r="X14" i="2"/>
  <c r="X15" i="2"/>
  <c r="X16" i="2"/>
  <c r="X237" i="2"/>
  <c r="X238" i="2"/>
  <c r="X224" i="2"/>
  <c r="X488" i="2"/>
  <c r="X489" i="2"/>
  <c r="X490" i="2"/>
  <c r="X491" i="2"/>
  <c r="X635" i="2"/>
  <c r="X636" i="2"/>
  <c r="X625" i="2"/>
  <c r="X627" i="2"/>
  <c r="X628" i="2"/>
  <c r="X604" i="2"/>
  <c r="X571" i="2"/>
  <c r="X572" i="2"/>
  <c r="X573" i="2"/>
  <c r="X590" i="2"/>
  <c r="X383" i="2"/>
  <c r="X437" i="2"/>
  <c r="X438" i="2"/>
  <c r="X264" i="2"/>
  <c r="X265" i="2"/>
  <c r="X266" i="2"/>
  <c r="X267" i="2"/>
  <c r="X79" i="2"/>
  <c r="X624" i="2"/>
  <c r="X103" i="2"/>
  <c r="X106" i="2"/>
  <c r="X107" i="2"/>
  <c r="X427" i="2"/>
  <c r="X368" i="2"/>
  <c r="X405" i="2"/>
  <c r="X406" i="2"/>
  <c r="X555" i="2"/>
  <c r="X556" i="2"/>
  <c r="X557" i="2"/>
  <c r="X512" i="2"/>
  <c r="X407" i="2"/>
  <c r="X408" i="2"/>
  <c r="X409" i="2"/>
  <c r="X410" i="2"/>
  <c r="X211" i="2"/>
  <c r="X543" i="2"/>
  <c r="X544" i="2"/>
  <c r="X545" i="2"/>
  <c r="X546" i="2"/>
  <c r="X560" i="2"/>
  <c r="X561" i="2"/>
  <c r="X517" i="2"/>
  <c r="X579" i="2"/>
  <c r="X580" i="2"/>
  <c r="X581" i="2"/>
  <c r="X583" i="2"/>
  <c r="X292" i="2"/>
  <c r="X293" i="2"/>
  <c r="X294" i="2"/>
  <c r="X71" i="2"/>
  <c r="X72" i="2"/>
  <c r="X202" i="2"/>
  <c r="X203" i="2"/>
  <c r="X204" i="2"/>
  <c r="X205" i="2"/>
  <c r="X459" i="2"/>
  <c r="X343" i="2"/>
  <c r="X344" i="2"/>
  <c r="X346" i="2"/>
  <c r="X53" i="2"/>
  <c r="X519" i="2"/>
  <c r="X541" i="2"/>
  <c r="X542" i="2"/>
  <c r="X480" i="2"/>
  <c r="X481" i="2"/>
  <c r="X30" i="2"/>
  <c r="X31" i="2"/>
  <c r="X32" i="2"/>
  <c r="X478" i="2"/>
  <c r="X531" i="2"/>
  <c r="X43" i="2"/>
  <c r="X44" i="2"/>
  <c r="X492" i="2"/>
  <c r="X493" i="2"/>
  <c r="X51" i="2"/>
  <c r="X52" i="2"/>
  <c r="X233" i="2"/>
  <c r="X304" i="2"/>
  <c r="X306" i="2"/>
  <c r="X307" i="2"/>
  <c r="X308" i="2"/>
  <c r="X57" i="2"/>
  <c r="X381" i="2"/>
  <c r="X382" i="2"/>
  <c r="X215" i="2"/>
  <c r="X216" i="2"/>
  <c r="X217" i="2"/>
  <c r="X218" i="2"/>
  <c r="X219" i="2"/>
  <c r="X618" i="2"/>
  <c r="X619" i="2"/>
  <c r="X458" i="2"/>
  <c r="X24" i="2"/>
  <c r="X608" i="2"/>
  <c r="X356" i="2"/>
  <c r="X357" i="2"/>
  <c r="X470" i="2"/>
  <c r="X471" i="2"/>
  <c r="X565" i="2"/>
  <c r="X614" i="2"/>
  <c r="X615" i="2"/>
  <c r="X616" i="2"/>
  <c r="X376" i="2"/>
  <c r="X377" i="2"/>
  <c r="X588" i="2"/>
  <c r="X589" i="2"/>
  <c r="X484" i="2"/>
  <c r="X485" i="2"/>
  <c r="X60" i="2"/>
  <c r="X18" i="2"/>
  <c r="X19" i="2"/>
  <c r="X20" i="2"/>
  <c r="X21" i="2"/>
  <c r="X46" i="2"/>
  <c r="X47" i="2"/>
  <c r="X48" i="2"/>
  <c r="X191" i="2"/>
  <c r="X185" i="2"/>
  <c r="X186" i="2"/>
  <c r="X172" i="2"/>
  <c r="X173" i="2"/>
  <c r="X174" i="2"/>
  <c r="X167" i="2"/>
  <c r="X198" i="2"/>
  <c r="X200" i="2"/>
  <c r="X201" i="2"/>
  <c r="X139" i="2"/>
  <c r="X140" i="2"/>
  <c r="X158" i="2"/>
  <c r="X159" i="2"/>
  <c r="X141" i="2"/>
  <c r="X142" i="2"/>
  <c r="X154" i="2"/>
  <c r="X143" i="2"/>
  <c r="X145" i="2"/>
  <c r="X508" i="2"/>
  <c r="X509" i="2"/>
  <c r="X510" i="2"/>
  <c r="X180" i="2"/>
  <c r="X181" i="2"/>
  <c r="X584" i="2"/>
  <c r="X212" i="2"/>
  <c r="X451" i="2"/>
  <c r="X431" i="2"/>
  <c r="X330" i="2"/>
  <c r="X331" i="2"/>
  <c r="P400" i="2"/>
  <c r="X569" i="2"/>
  <c r="X245" i="2"/>
  <c r="X29" i="2"/>
  <c r="X176" i="2"/>
  <c r="X475" i="2"/>
  <c r="X476" i="2"/>
  <c r="X477" i="2"/>
  <c r="X373" i="2"/>
  <c r="X403" i="2"/>
  <c r="X404" i="2"/>
  <c r="X429" i="2"/>
  <c r="X23" i="2"/>
  <c r="X279" i="2"/>
  <c r="X500" i="2"/>
  <c r="X501" i="2"/>
  <c r="X283" i="2"/>
  <c r="X524" i="2"/>
  <c r="X525" i="2"/>
  <c r="X34" i="2"/>
  <c r="X150" i="2"/>
  <c r="X638" i="2"/>
  <c r="X88" i="2"/>
  <c r="Y6" i="22" l="1"/>
  <c r="Z5" i="41"/>
  <c r="Y5" i="41"/>
  <c r="X129" i="2"/>
  <c r="P227" i="2"/>
  <c r="X227" i="2"/>
  <c r="X253" i="2"/>
  <c r="X120" i="2"/>
  <c r="X593" i="2"/>
  <c r="P296" i="2"/>
  <c r="X22" i="2"/>
  <c r="X534" i="2"/>
  <c r="X305" i="2"/>
  <c r="X323" i="2"/>
  <c r="X439" i="2"/>
  <c r="X246" i="2"/>
  <c r="X553" i="2"/>
  <c r="X36" i="2"/>
  <c r="X54" i="2"/>
  <c r="X262" i="2"/>
  <c r="X136" i="2"/>
  <c r="X196" i="2"/>
  <c r="X597" i="2"/>
  <c r="X631" i="2"/>
  <c r="X296" i="2"/>
  <c r="X76" i="2"/>
  <c r="X521" i="2"/>
  <c r="X639" i="2"/>
  <c r="X567" i="2"/>
  <c r="X603" i="2"/>
  <c r="X163" i="2"/>
  <c r="P339" i="2"/>
  <c r="P610" i="2"/>
  <c r="X73" i="2"/>
  <c r="X456" i="2"/>
  <c r="X192" i="2"/>
  <c r="X577" i="2"/>
  <c r="X634" i="2"/>
  <c r="X640" i="2"/>
  <c r="X497" i="2"/>
  <c r="X454" i="2"/>
  <c r="X135" i="2"/>
  <c r="X207" i="2"/>
  <c r="X428" i="2"/>
  <c r="X452" i="2"/>
  <c r="X128" i="2"/>
  <c r="X345" i="2"/>
  <c r="X242" i="2"/>
  <c r="X632" i="2"/>
  <c r="X82" i="2"/>
  <c r="X398" i="2"/>
  <c r="X312" i="2"/>
  <c r="X642" i="2"/>
  <c r="X146" i="2"/>
  <c r="X65" i="2"/>
  <c r="X241" i="2"/>
  <c r="X397" i="2"/>
  <c r="X310" i="2"/>
  <c r="X147" i="2"/>
  <c r="X363" i="2"/>
  <c r="X35" i="2"/>
  <c r="X171" i="2"/>
  <c r="X63" i="2"/>
  <c r="X566" i="2"/>
  <c r="X419" i="2"/>
  <c r="X562" i="2"/>
  <c r="X630" i="2"/>
  <c r="X123" i="2"/>
  <c r="X395" i="2"/>
  <c r="X309" i="2"/>
  <c r="X594" i="2"/>
  <c r="X337" i="2"/>
  <c r="X287" i="2"/>
  <c r="X12" i="2"/>
  <c r="X332" i="2"/>
  <c r="X144" i="2"/>
  <c r="X170" i="2"/>
  <c r="X62" i="2"/>
  <c r="X380" i="2"/>
  <c r="X42" i="2"/>
  <c r="X206" i="2"/>
  <c r="X388" i="2"/>
  <c r="X230" i="2"/>
  <c r="X576" i="2"/>
  <c r="X335" i="2"/>
  <c r="X286" i="2"/>
  <c r="X607" i="2"/>
  <c r="X161" i="2"/>
  <c r="X168" i="2"/>
  <c r="X61" i="2"/>
  <c r="X551" i="2"/>
  <c r="X379" i="2"/>
  <c r="X426" i="2"/>
  <c r="X387" i="2"/>
  <c r="X239" i="2"/>
  <c r="X252" i="2"/>
  <c r="X442" i="2"/>
  <c r="X334" i="2"/>
  <c r="X644" i="2"/>
  <c r="X605" i="2"/>
  <c r="X160" i="2"/>
  <c r="X342" i="2"/>
  <c r="X40" i="2"/>
  <c r="X378" i="2"/>
  <c r="X209" i="2"/>
  <c r="X424" i="2"/>
  <c r="X386" i="2"/>
  <c r="X415" i="2"/>
  <c r="X441" i="2"/>
  <c r="X574" i="2"/>
  <c r="X351" i="2"/>
  <c r="X643" i="2"/>
  <c r="X284" i="2"/>
  <c r="X152" i="2"/>
  <c r="X341" i="2"/>
  <c r="X611" i="2"/>
  <c r="X620" i="2"/>
  <c r="X208" i="2"/>
  <c r="X423" i="2"/>
  <c r="X226" i="2"/>
  <c r="X414" i="2"/>
  <c r="X529" i="2"/>
  <c r="X288" i="2"/>
  <c r="X587" i="2"/>
  <c r="X188" i="2"/>
  <c r="X339" i="2"/>
  <c r="X610" i="2"/>
  <c r="X271" i="2"/>
  <c r="X599" i="2"/>
  <c r="X422" i="2"/>
  <c r="X360" i="2"/>
  <c r="X412" i="2"/>
  <c r="X325" i="2"/>
  <c r="X528" i="2"/>
  <c r="X526" i="2"/>
  <c r="X585" i="2"/>
  <c r="X187" i="2"/>
  <c r="X338" i="2"/>
  <c r="X559" i="2"/>
  <c r="X598" i="2"/>
  <c r="X359" i="2"/>
  <c r="X291" i="2"/>
  <c r="X324" i="2"/>
  <c r="X436" i="2"/>
  <c r="X49" i="2"/>
  <c r="X617" i="2"/>
  <c r="X623" i="2"/>
  <c r="X75" i="2"/>
  <c r="X435" i="2"/>
  <c r="X646" i="2"/>
  <c r="X247" i="2"/>
  <c r="X194" i="2"/>
  <c r="X578" i="2"/>
  <c r="X130" i="2"/>
  <c r="X582" i="2"/>
  <c r="X511" i="2"/>
  <c r="X121" i="2"/>
  <c r="X602" i="2"/>
  <c r="P563" i="2"/>
  <c r="P312" i="2"/>
  <c r="P311" i="2"/>
  <c r="P358" i="2"/>
  <c r="P309" i="2"/>
  <c r="P359" i="2"/>
  <c r="X440" i="2"/>
  <c r="X69" i="2"/>
  <c r="X297" i="2"/>
  <c r="X466" i="2"/>
  <c r="X26" i="2"/>
  <c r="X467" i="2"/>
  <c r="X27" i="2"/>
  <c r="X25" i="2"/>
  <c r="X115" i="2"/>
  <c r="X117" i="2"/>
  <c r="X468" i="2"/>
  <c r="X295" i="2"/>
  <c r="X116" i="2"/>
  <c r="P25" i="2"/>
  <c r="X182" i="2"/>
  <c r="X59" i="2"/>
  <c r="X385" i="2"/>
  <c r="P199" i="2"/>
  <c r="P58" i="2"/>
  <c r="P539" i="2"/>
  <c r="P250" i="2"/>
  <c r="X250" i="2"/>
  <c r="X612" i="2"/>
  <c r="X90" i="2"/>
  <c r="X214" i="2"/>
  <c r="X37" i="2"/>
  <c r="X375" i="2"/>
  <c r="X402" i="2"/>
  <c r="X486" i="2"/>
  <c r="X564" i="2"/>
  <c r="X220" i="2"/>
  <c r="X234" i="2"/>
  <c r="X520" i="2"/>
  <c r="X80" i="2"/>
  <c r="X629" i="2"/>
  <c r="X539" i="2"/>
  <c r="X496" i="2"/>
  <c r="P411" i="2"/>
  <c r="X411" i="2"/>
  <c r="X487" i="2"/>
  <c r="P575" i="2"/>
  <c r="X282" i="2"/>
  <c r="X221" i="2"/>
  <c r="P601" i="2"/>
  <c r="X601" i="2"/>
  <c r="X251" i="2"/>
  <c r="X78" i="2"/>
  <c r="X499" i="2"/>
  <c r="X278" i="2"/>
  <c r="X648" i="2"/>
  <c r="X280" i="2"/>
  <c r="P280" i="2"/>
  <c r="X175" i="2"/>
  <c r="X39" i="2"/>
  <c r="X507" i="2"/>
  <c r="X138" i="2"/>
  <c r="X166" i="2"/>
  <c r="P166" i="2"/>
  <c r="P190" i="2"/>
  <c r="X190" i="2"/>
  <c r="P483" i="2"/>
  <c r="X483" i="2"/>
  <c r="P622" i="2"/>
  <c r="X622" i="2"/>
  <c r="X231" i="2"/>
  <c r="X56" i="2"/>
  <c r="X522" i="2"/>
  <c r="P109" i="2"/>
  <c r="X109" i="2"/>
  <c r="P104" i="2"/>
  <c r="X104" i="2"/>
  <c r="P591" i="2"/>
  <c r="X591" i="2"/>
  <c r="X626" i="2"/>
  <c r="X222" i="2"/>
  <c r="X125" i="2"/>
  <c r="X362" i="2"/>
  <c r="X552" i="2"/>
  <c r="X102" i="2"/>
  <c r="P295" i="2"/>
  <c r="X303" i="2"/>
  <c r="P81" i="2"/>
  <c r="X81" i="2"/>
  <c r="X613" i="2"/>
  <c r="X149" i="2"/>
  <c r="P457" i="2"/>
  <c r="X457" i="2"/>
  <c r="X421" i="2"/>
  <c r="X540" i="2"/>
  <c r="X609" i="2"/>
  <c r="P41" i="2"/>
  <c r="X41" i="2"/>
  <c r="X322" i="2"/>
  <c r="X637" i="2"/>
  <c r="X281" i="2"/>
  <c r="X495" i="2"/>
  <c r="X474" i="2"/>
  <c r="X430" i="2"/>
  <c r="X157" i="2"/>
  <c r="X199" i="2"/>
  <c r="X58" i="2"/>
  <c r="X532" i="2"/>
  <c r="X460" i="2"/>
  <c r="X384" i="2"/>
  <c r="X225" i="2"/>
  <c r="X95" i="2"/>
  <c r="P454" i="2"/>
  <c r="P397" i="2"/>
  <c r="X74" i="2"/>
  <c r="X336" i="2"/>
  <c r="X270" i="2"/>
  <c r="X641" i="2"/>
  <c r="X289" i="2"/>
  <c r="X455" i="2"/>
  <c r="X606" i="2"/>
  <c r="X28" i="2"/>
  <c r="X333" i="2"/>
  <c r="X586" i="2"/>
  <c r="X134" i="2"/>
  <c r="X153" i="2"/>
  <c r="X193" i="2"/>
  <c r="X169" i="2"/>
  <c r="X50" i="2"/>
  <c r="X64" i="2"/>
  <c r="X340" i="2"/>
  <c r="X570" i="2"/>
  <c r="X550" i="2"/>
  <c r="X131" i="2"/>
  <c r="X347" i="2"/>
  <c r="X558" i="2"/>
  <c r="X563" i="2"/>
  <c r="X600" i="2"/>
  <c r="X633" i="2"/>
  <c r="X425" i="2"/>
  <c r="X122" i="2"/>
  <c r="X358" i="2"/>
  <c r="X396" i="2"/>
  <c r="X413" i="2"/>
  <c r="X311" i="2"/>
  <c r="X326" i="2"/>
  <c r="P305" i="2"/>
  <c r="P252" i="2"/>
  <c r="P440" i="2"/>
  <c r="P297" i="2"/>
  <c r="P553" i="2"/>
  <c r="P631" i="2"/>
  <c r="X89" i="2"/>
  <c r="X151" i="2"/>
  <c r="X213" i="2"/>
  <c r="X473" i="2"/>
  <c r="X494" i="2"/>
  <c r="X374" i="2"/>
  <c r="X177" i="2"/>
  <c r="X401" i="2"/>
  <c r="X156" i="2"/>
  <c r="X472" i="2"/>
  <c r="X353" i="2"/>
  <c r="X649" i="2"/>
  <c r="X400" i="2"/>
  <c r="X450" i="2"/>
  <c r="X155" i="2"/>
  <c r="X45" i="2"/>
  <c r="X232" i="2"/>
  <c r="X479" i="2"/>
  <c r="X518" i="2"/>
  <c r="X523" i="2"/>
  <c r="X110" i="2"/>
  <c r="X105" i="2"/>
  <c r="X592" i="2"/>
  <c r="X223" i="2"/>
  <c r="X537" i="2"/>
  <c r="X461" i="2"/>
  <c r="X352" i="2"/>
  <c r="P263" i="2"/>
  <c r="P388" i="2"/>
  <c r="P521" i="2"/>
  <c r="P262" i="2"/>
  <c r="P466" i="2"/>
  <c r="P387" i="2"/>
  <c r="X77" i="2"/>
  <c r="X148" i="2"/>
  <c r="X530" i="2"/>
  <c r="X498" i="2"/>
  <c r="X645" i="2"/>
  <c r="X647" i="2"/>
  <c r="X13" i="2"/>
  <c r="X527" i="2"/>
  <c r="X38" i="2"/>
  <c r="X285" i="2"/>
  <c r="X137" i="2"/>
  <c r="X162" i="2"/>
  <c r="X197" i="2"/>
  <c r="X165" i="2"/>
  <c r="X189" i="2"/>
  <c r="X17" i="2"/>
  <c r="X482" i="2"/>
  <c r="X621" i="2"/>
  <c r="X33" i="2"/>
  <c r="X55" i="2"/>
  <c r="X420" i="2"/>
  <c r="X272" i="2"/>
  <c r="X108" i="2"/>
  <c r="X210" i="2"/>
  <c r="X240" i="2"/>
  <c r="X535" i="2"/>
  <c r="X124" i="2"/>
  <c r="X361" i="2"/>
  <c r="X399" i="2"/>
  <c r="X263" i="2"/>
  <c r="P75" i="2"/>
  <c r="P607" i="2"/>
  <c r="P587" i="2"/>
  <c r="P577" i="2"/>
  <c r="P617" i="2"/>
  <c r="P193" i="2"/>
  <c r="P558" i="2"/>
  <c r="P639" i="2"/>
  <c r="P61" i="2"/>
  <c r="P597" i="2"/>
  <c r="P494" i="2"/>
  <c r="P156" i="2"/>
  <c r="P472" i="2"/>
  <c r="P106" i="2"/>
  <c r="P649" i="2"/>
  <c r="P450" i="2"/>
  <c r="P155" i="2"/>
  <c r="P110" i="2"/>
  <c r="P105" i="2"/>
  <c r="P627" i="2"/>
  <c r="P351" i="2"/>
  <c r="P226" i="2"/>
  <c r="P18" i="2"/>
  <c r="P536" i="2"/>
  <c r="P315" i="2"/>
  <c r="P22" i="2"/>
  <c r="P197" i="2"/>
  <c r="P189" i="2"/>
  <c r="P482" i="2"/>
  <c r="P621" i="2"/>
  <c r="P108" i="2"/>
  <c r="P535" i="2"/>
  <c r="P144" i="2"/>
  <c r="P286" i="2"/>
  <c r="P42" i="2"/>
  <c r="P602" i="2"/>
  <c r="P495" i="2"/>
  <c r="P157" i="2"/>
  <c r="P486" i="2"/>
  <c r="P564" i="2"/>
  <c r="P460" i="2"/>
  <c r="P441" i="2"/>
  <c r="P122" i="2"/>
  <c r="P73" i="2"/>
  <c r="P251" i="2"/>
  <c r="P347" i="2"/>
  <c r="P605" i="2"/>
  <c r="P76" i="2"/>
  <c r="P12" i="2"/>
  <c r="P284" i="2"/>
  <c r="P188" i="2"/>
  <c r="P620" i="2"/>
  <c r="P239" i="2"/>
  <c r="P287" i="2"/>
  <c r="P246" i="2"/>
  <c r="P207" i="2"/>
  <c r="P62" i="2"/>
  <c r="P345" i="2"/>
  <c r="P582" i="2"/>
  <c r="P603" i="2"/>
  <c r="P291" i="2"/>
  <c r="P623" i="2"/>
  <c r="X433" i="2"/>
  <c r="X434" i="2"/>
  <c r="J2" i="41"/>
  <c r="P12" i="21" l="1"/>
  <c r="W12" i="21"/>
  <c r="X12" i="21" s="1"/>
  <c r="P9" i="21"/>
  <c r="W9" i="21"/>
  <c r="X9" i="21" s="1"/>
  <c r="P10" i="21"/>
  <c r="W10" i="21"/>
  <c r="X10" i="21" s="1"/>
  <c r="P11" i="21"/>
  <c r="W11" i="21"/>
  <c r="X11" i="21" s="1"/>
  <c r="Z6" i="22"/>
  <c r="AA6" i="22"/>
  <c r="P442" i="2"/>
  <c r="P446" i="2"/>
  <c r="P323" i="2"/>
  <c r="P119" i="2"/>
  <c r="P98" i="2"/>
  <c r="P9" i="2"/>
  <c r="P164" i="2"/>
  <c r="P117" i="2"/>
  <c r="P322" i="2"/>
  <c r="P249" i="2"/>
  <c r="P447" i="2"/>
  <c r="P612" i="2"/>
  <c r="P8" i="2"/>
  <c r="P254" i="2"/>
  <c r="P253" i="2"/>
  <c r="P433" i="2"/>
  <c r="P448" i="2"/>
  <c r="P274" i="2"/>
  <c r="P26" i="2"/>
  <c r="P468" i="2"/>
  <c r="P67" i="2"/>
  <c r="P593" i="2"/>
  <c r="P325" i="2"/>
  <c r="P255" i="2"/>
  <c r="P444" i="2"/>
  <c r="P258" i="2"/>
  <c r="P113" i="2"/>
  <c r="P259" i="2"/>
  <c r="P68" i="2"/>
  <c r="P554" i="2"/>
  <c r="P321" i="2"/>
  <c r="P112" i="2"/>
  <c r="P273" i="2"/>
  <c r="P467" i="2"/>
  <c r="P552" i="2"/>
  <c r="P27" i="2"/>
  <c r="P574" i="2"/>
  <c r="P445" i="2"/>
  <c r="P10" i="2"/>
  <c r="P118" i="2"/>
  <c r="P66" i="2"/>
  <c r="P276" i="2"/>
  <c r="P434" i="2"/>
  <c r="P256" i="2"/>
  <c r="P275" i="2"/>
  <c r="P439" i="2"/>
  <c r="P116" i="2"/>
  <c r="P449" i="2"/>
  <c r="P115" i="2"/>
  <c r="P102" i="2"/>
  <c r="P111" i="2"/>
  <c r="P596" i="2"/>
  <c r="P594" i="2"/>
  <c r="P248" i="2"/>
  <c r="P163" i="2"/>
  <c r="P595" i="2"/>
  <c r="P613" i="2"/>
  <c r="P101" i="2"/>
  <c r="P70" i="2"/>
  <c r="P576" i="2"/>
  <c r="P324" i="2"/>
  <c r="P443" i="2"/>
  <c r="P257" i="2"/>
  <c r="P326" i="2"/>
  <c r="P114" i="2"/>
  <c r="P11" i="2"/>
  <c r="P277" i="2"/>
  <c r="P606" i="2"/>
  <c r="P642" i="2"/>
  <c r="P88" i="2"/>
  <c r="P579" i="2"/>
  <c r="P148" i="2"/>
  <c r="P53" i="2"/>
  <c r="P194" i="2"/>
  <c r="P182" i="2"/>
  <c r="P395" i="2"/>
  <c r="P23" i="2"/>
  <c r="P534" i="2"/>
  <c r="P135" i="2"/>
  <c r="P304" i="2"/>
  <c r="P177" i="2"/>
  <c r="P508" i="2"/>
  <c r="P172" i="2"/>
  <c r="P430" i="2"/>
  <c r="P134" i="2"/>
  <c r="P478" i="2"/>
  <c r="P427" i="2"/>
  <c r="P223" i="2"/>
  <c r="P129" i="2"/>
  <c r="P228" i="2"/>
  <c r="P80" i="2"/>
  <c r="P526" i="2"/>
  <c r="P82" i="2"/>
  <c r="P175" i="2"/>
  <c r="P374" i="2"/>
  <c r="P57" i="2"/>
  <c r="P633" i="2"/>
  <c r="P278" i="2"/>
  <c r="P298" i="2"/>
  <c r="P185" i="2"/>
  <c r="P71" i="2"/>
  <c r="P646" i="2"/>
  <c r="P406" i="2"/>
  <c r="P616" i="2"/>
  <c r="P186" i="2"/>
  <c r="P380" i="2"/>
  <c r="P220" i="2"/>
  <c r="P78" i="2"/>
  <c r="P567" i="2"/>
  <c r="P72" i="2"/>
  <c r="P200" i="2"/>
  <c r="P47" i="2"/>
  <c r="P385" i="2"/>
  <c r="P641" i="2"/>
  <c r="P205" i="2"/>
  <c r="P527" i="2"/>
  <c r="P570" i="2"/>
  <c r="P203" i="2"/>
  <c r="P209" i="2"/>
  <c r="P571" i="2"/>
  <c r="P644" i="2"/>
  <c r="P630" i="2"/>
  <c r="P375" i="2"/>
  <c r="P238" i="2"/>
  <c r="P493" i="2"/>
  <c r="P419" i="2"/>
  <c r="P632" i="2"/>
  <c r="P455" i="2"/>
  <c r="P212" i="2"/>
  <c r="P320" i="2"/>
  <c r="P405" i="2"/>
  <c r="P592" i="2"/>
  <c r="P330" i="2"/>
  <c r="P32" i="2"/>
  <c r="P34" i="2"/>
  <c r="P365" i="2"/>
  <c r="P337" i="2"/>
  <c r="P559" i="2"/>
  <c r="P542" i="2"/>
  <c r="P530" i="2"/>
  <c r="P292" i="2"/>
  <c r="P376" i="2"/>
  <c r="P137" i="2"/>
  <c r="P583" i="2"/>
  <c r="P267" i="2"/>
  <c r="P20" i="2"/>
  <c r="P569" i="2"/>
  <c r="P31" i="2"/>
  <c r="P333" i="2"/>
  <c r="P120" i="2"/>
  <c r="P590" i="2"/>
  <c r="P404" i="2"/>
  <c r="P242" i="2"/>
  <c r="P282" i="2"/>
  <c r="P417" i="2"/>
  <c r="P217" i="2"/>
  <c r="P103" i="2"/>
  <c r="P412" i="2"/>
  <c r="P473" i="2"/>
  <c r="P176" i="2"/>
  <c r="P294" i="2"/>
  <c r="P198" i="2"/>
  <c r="P52" i="2"/>
  <c r="P551" i="2"/>
  <c r="P300" i="2"/>
  <c r="P628" i="2"/>
  <c r="P566" i="2"/>
  <c r="P301" i="2"/>
  <c r="P64" i="2"/>
  <c r="P369" i="2"/>
  <c r="P475" i="2"/>
  <c r="P491" i="2"/>
  <c r="P423" i="2"/>
  <c r="P529" i="2"/>
  <c r="P344" i="2"/>
  <c r="P619" i="2"/>
  <c r="P428" i="2"/>
  <c r="P371" i="2"/>
  <c r="P480" i="2"/>
  <c r="P584" i="2"/>
  <c r="P520" i="2"/>
  <c r="P548" i="2"/>
  <c r="P346" i="2"/>
  <c r="P573" i="2"/>
  <c r="P614" i="2"/>
  <c r="P562" i="2"/>
  <c r="P643" i="2"/>
  <c r="P241" i="2"/>
  <c r="P645" i="2"/>
  <c r="P290" i="2"/>
  <c r="P293" i="2"/>
  <c r="P219" i="2"/>
  <c r="P436" i="2"/>
  <c r="P243" i="2"/>
  <c r="P452" i="2"/>
  <c r="P489" i="2"/>
  <c r="P306" i="2"/>
  <c r="P310" i="2"/>
  <c r="P556" i="2"/>
  <c r="P421" i="2"/>
  <c r="P229" i="2"/>
  <c r="P327" i="2"/>
  <c r="P407" i="2"/>
  <c r="P538" i="2"/>
  <c r="P89" i="2"/>
  <c r="P170" i="2"/>
  <c r="P618" i="2"/>
  <c r="P142" i="2"/>
  <c r="P213" i="2"/>
  <c r="P517" i="2"/>
  <c r="P270" i="2"/>
  <c r="P392" i="2"/>
  <c r="P589" i="2"/>
  <c r="P160" i="2"/>
  <c r="P265" i="2"/>
  <c r="P147" i="2"/>
  <c r="P402" i="2"/>
  <c r="P522" i="2"/>
  <c r="P335" i="2"/>
  <c r="P140" i="2"/>
  <c r="P608" i="2"/>
  <c r="P361" i="2"/>
  <c r="P435" i="2"/>
  <c r="P316" i="2"/>
  <c r="P408" i="2"/>
  <c r="P484" i="2"/>
  <c r="P279" i="2"/>
  <c r="P158" i="2"/>
  <c r="P356" i="2"/>
  <c r="P138" i="2"/>
  <c r="P63" i="2"/>
  <c r="P415" i="2"/>
  <c r="P169" i="2"/>
  <c r="P244" i="2"/>
  <c r="P343" i="2"/>
  <c r="P159" i="2"/>
  <c r="P403" i="2"/>
  <c r="P173" i="2"/>
  <c r="P600" i="2"/>
  <c r="P149" i="2"/>
  <c r="P492" i="2"/>
  <c r="P396" i="2"/>
  <c r="P171" i="2"/>
  <c r="P130" i="2"/>
  <c r="P30" i="2"/>
  <c r="P206" i="2"/>
  <c r="P499" i="2"/>
  <c r="P635" i="2"/>
  <c r="P308" i="2"/>
  <c r="P420" i="2"/>
  <c r="P281" i="2"/>
  <c r="P95" i="2"/>
  <c r="P487" i="2"/>
  <c r="P524" i="2"/>
  <c r="P525" i="2"/>
  <c r="P488" i="2"/>
  <c r="P541" i="2"/>
  <c r="P510" i="2"/>
  <c r="P150" i="2"/>
  <c r="P599" i="2"/>
  <c r="P429" i="2"/>
  <c r="P512" i="2"/>
  <c r="P139" i="2"/>
  <c r="P413" i="2"/>
  <c r="P283" i="2"/>
  <c r="P65" i="2"/>
  <c r="P24" i="2"/>
  <c r="P362" i="2"/>
  <c r="P561" i="2"/>
  <c r="P497" i="2"/>
  <c r="P357" i="2"/>
  <c r="P426" i="2"/>
  <c r="P545" i="2"/>
  <c r="P54" i="2"/>
  <c r="P580" i="2"/>
  <c r="P626" i="2"/>
  <c r="P625" i="2"/>
  <c r="P485" i="2"/>
  <c r="P224" i="2"/>
  <c r="P145" i="2"/>
  <c r="P532" i="2"/>
  <c r="P470" i="2"/>
  <c r="P216" i="2"/>
  <c r="P121" i="2"/>
  <c r="P336" i="2"/>
  <c r="P79" i="2"/>
  <c r="P519" i="2"/>
  <c r="P507" i="2"/>
  <c r="P390" i="2"/>
  <c r="P168" i="2"/>
  <c r="P391" i="2"/>
  <c r="P123" i="2"/>
  <c r="P153" i="2"/>
  <c r="P271" i="2"/>
  <c r="P90" i="2"/>
  <c r="P393" i="2"/>
  <c r="P141" i="2"/>
  <c r="P313" i="2"/>
  <c r="P125" i="2"/>
  <c r="P161" i="2"/>
  <c r="P547" i="2"/>
  <c r="P43" i="2"/>
  <c r="P331" i="2"/>
  <c r="P17" i="2"/>
  <c r="P16" i="2"/>
  <c r="P481" i="2"/>
  <c r="P51" i="2"/>
  <c r="P33" i="2"/>
  <c r="P214" i="2"/>
  <c r="P328" i="2"/>
  <c r="P479" i="2"/>
  <c r="P334" i="2"/>
  <c r="P550" i="2"/>
  <c r="P94" i="2"/>
  <c r="P174" i="2"/>
  <c r="P28" i="2"/>
  <c r="P648" i="2"/>
  <c r="P46" i="2"/>
  <c r="P272" i="2"/>
  <c r="P288" i="2"/>
  <c r="P360" i="2"/>
  <c r="P544" i="2"/>
  <c r="P77" i="2"/>
  <c r="P55" i="2"/>
  <c r="P14" i="2"/>
  <c r="P518" i="2"/>
  <c r="P146" i="2"/>
  <c r="P565" i="2"/>
  <c r="P540" i="2"/>
  <c r="P232" i="2"/>
  <c r="P549" i="2"/>
  <c r="P461" i="2"/>
  <c r="P638" i="2"/>
  <c r="P456" i="2"/>
  <c r="P474" i="2"/>
  <c r="P317" i="2"/>
  <c r="P221" i="2"/>
  <c r="P204" i="2"/>
  <c r="P364" i="2"/>
  <c r="P509" i="2"/>
  <c r="P377" i="2"/>
  <c r="P634" i="2"/>
  <c r="P299" i="2"/>
  <c r="P543" i="2"/>
  <c r="P19" i="2"/>
  <c r="P500" i="2"/>
  <c r="P38" i="2"/>
  <c r="P366" i="2"/>
  <c r="P414" i="2"/>
  <c r="P152" i="2"/>
  <c r="P222" i="2"/>
  <c r="P586" i="2"/>
  <c r="P96" i="2"/>
  <c r="P588" i="2"/>
  <c r="P143" i="2"/>
  <c r="P581" i="2"/>
  <c r="P201" i="2"/>
  <c r="P437" i="2"/>
  <c r="P56" i="2"/>
  <c r="P210" i="2"/>
  <c r="P225" i="2"/>
  <c r="P247" i="2"/>
  <c r="P165" i="2"/>
  <c r="P307" i="2"/>
  <c r="P45" i="2"/>
  <c r="P640" i="2"/>
  <c r="P572" i="2"/>
  <c r="P382" i="2"/>
  <c r="P59" i="2"/>
  <c r="P74" i="2"/>
  <c r="P329" i="2"/>
  <c r="P50" i="2"/>
  <c r="P191" i="2"/>
  <c r="P196" i="2"/>
  <c r="P167" i="2"/>
  <c r="P409" i="2"/>
  <c r="P528" i="2"/>
  <c r="P202" i="2"/>
  <c r="P398" i="2"/>
  <c r="P208" i="2"/>
  <c r="P187" i="2"/>
  <c r="P136" i="2"/>
  <c r="P458" i="2"/>
  <c r="P546" i="2"/>
  <c r="P192" i="2"/>
  <c r="P35" i="2"/>
  <c r="P636" i="2"/>
  <c r="P302" i="2"/>
  <c r="P245" i="2"/>
  <c r="P151" i="2"/>
  <c r="P29" i="2"/>
  <c r="P36" i="2"/>
  <c r="P21" i="2"/>
  <c r="P637" i="2"/>
  <c r="P533" i="2"/>
  <c r="P154" i="2"/>
  <c r="P511" i="2"/>
  <c r="P318" i="2"/>
  <c r="P394" i="2"/>
  <c r="P40" i="2"/>
  <c r="P266" i="2"/>
  <c r="P615" i="2"/>
  <c r="P383" i="2"/>
  <c r="P264" i="2"/>
  <c r="P523" i="2"/>
  <c r="P555" i="2"/>
  <c r="P233" i="2"/>
  <c r="P647" i="2"/>
  <c r="P230" i="2"/>
  <c r="P585" i="2"/>
  <c r="P367" i="2"/>
  <c r="P384" i="2"/>
  <c r="P401" i="2"/>
  <c r="P234" i="2"/>
  <c r="P289" i="2"/>
  <c r="P381" i="2"/>
  <c r="P624" i="2"/>
  <c r="P386" i="2"/>
  <c r="P13" i="2"/>
  <c r="P15" i="2"/>
  <c r="P48" i="2"/>
  <c r="P477" i="2"/>
  <c r="P162" i="2"/>
  <c r="P490" i="2"/>
  <c r="P44" i="2"/>
  <c r="P131" i="2"/>
  <c r="P609" i="2"/>
  <c r="P611" i="2"/>
  <c r="P531" i="2"/>
  <c r="P215" i="2"/>
  <c r="P180" i="2"/>
  <c r="P97" i="2"/>
  <c r="P604" i="2"/>
  <c r="P498" i="2"/>
  <c r="P49" i="2"/>
  <c r="P342" i="2"/>
  <c r="P431" i="2"/>
  <c r="P399" i="2"/>
  <c r="P416" i="2"/>
  <c r="P598" i="2"/>
  <c r="P372" i="2"/>
  <c r="P459" i="2"/>
  <c r="P537" i="2"/>
  <c r="P124" i="2"/>
  <c r="P237" i="2"/>
  <c r="P303" i="2"/>
  <c r="P629" i="2"/>
  <c r="P373" i="2"/>
  <c r="P211" i="2"/>
  <c r="P471" i="2"/>
  <c r="P231" i="2"/>
  <c r="P560" i="2"/>
  <c r="P425" i="2"/>
  <c r="P368" i="2"/>
  <c r="P378" i="2"/>
  <c r="P341" i="2"/>
  <c r="P451" i="2"/>
  <c r="P107" i="2"/>
  <c r="P379" i="2"/>
  <c r="P389" i="2"/>
  <c r="P218" i="2"/>
  <c r="P410" i="2"/>
  <c r="P37" i="2"/>
  <c r="P240" i="2"/>
  <c r="P39" i="2"/>
  <c r="P422" i="2"/>
  <c r="P363" i="2"/>
  <c r="P319" i="2"/>
  <c r="P557" i="2"/>
  <c r="P60" i="2"/>
  <c r="P476" i="2"/>
  <c r="P128" i="2"/>
  <c r="P370" i="2"/>
  <c r="P181" i="2"/>
  <c r="P424" i="2"/>
  <c r="P496" i="2"/>
  <c r="P285" i="2"/>
  <c r="P578" i="2"/>
  <c r="P338" i="2"/>
  <c r="P438" i="2"/>
  <c r="P340" i="2"/>
  <c r="P314" i="2"/>
  <c r="P332" i="2"/>
  <c r="P501" i="2"/>
  <c r="F12" i="21"/>
  <c r="P8" i="21" l="1"/>
  <c r="W8" i="21"/>
  <c r="X8" i="21" s="1"/>
  <c r="AA5" i="41"/>
  <c r="F11" i="21"/>
  <c r="J3" i="22" l="1"/>
  <c r="F10" i="21"/>
  <c r="F9" i="21"/>
  <c r="F8" i="21"/>
  <c r="J3" i="21"/>
  <c r="S109" i="21" l="1"/>
  <c r="S110" i="21"/>
  <c r="AB109" i="21"/>
  <c r="AB110" i="21"/>
  <c r="AB108" i="21"/>
  <c r="S108" i="21"/>
  <c r="AB13" i="22"/>
  <c r="S13" i="22"/>
  <c r="S15" i="22"/>
  <c r="T15" i="22" s="1"/>
  <c r="S38" i="22"/>
  <c r="AB38" i="22"/>
  <c r="AB15" i="22"/>
  <c r="S104" i="21"/>
  <c r="S107" i="21"/>
  <c r="S98" i="21"/>
  <c r="S100" i="21"/>
  <c r="S103" i="21"/>
  <c r="S99" i="21"/>
  <c r="S105" i="21"/>
  <c r="S106" i="21"/>
  <c r="S101" i="21"/>
  <c r="S102" i="21"/>
  <c r="AB103" i="21"/>
  <c r="AB104" i="21"/>
  <c r="AB105" i="21"/>
  <c r="AB106" i="21"/>
  <c r="AB107" i="21"/>
  <c r="AB99" i="21"/>
  <c r="AB98" i="21"/>
  <c r="AB100" i="21"/>
  <c r="AB101" i="21"/>
  <c r="AB102" i="21"/>
  <c r="AB30" i="22"/>
  <c r="S30" i="22"/>
  <c r="S8" i="22"/>
  <c r="T8" i="22" s="1"/>
  <c r="S19" i="22"/>
  <c r="S20" i="22"/>
  <c r="S12" i="22"/>
  <c r="S14" i="22"/>
  <c r="S11" i="22"/>
  <c r="S10" i="22"/>
  <c r="S28" i="22"/>
  <c r="AC28" i="22" s="1"/>
  <c r="S36" i="22"/>
  <c r="S23" i="22"/>
  <c r="S29" i="22"/>
  <c r="S26" i="22"/>
  <c r="S17" i="22"/>
  <c r="S34" i="22"/>
  <c r="S18" i="22"/>
  <c r="S27" i="22"/>
  <c r="S16" i="22"/>
  <c r="T16" i="22" s="1"/>
  <c r="S24" i="22"/>
  <c r="S33" i="22"/>
  <c r="S22" i="22"/>
  <c r="S25" i="22"/>
  <c r="AC25" i="22" s="1"/>
  <c r="S32" i="22"/>
  <c r="S9" i="22"/>
  <c r="AB20" i="22"/>
  <c r="AB19" i="22"/>
  <c r="AB14" i="22"/>
  <c r="AB8" i="22"/>
  <c r="AB12" i="22"/>
  <c r="AB11" i="22"/>
  <c r="AB10" i="22"/>
  <c r="AB28" i="22"/>
  <c r="AB36" i="22"/>
  <c r="AB29" i="22"/>
  <c r="AB23" i="22"/>
  <c r="AB26" i="22"/>
  <c r="AB17" i="22"/>
  <c r="AB27" i="22"/>
  <c r="AB34" i="22"/>
  <c r="AB18" i="22"/>
  <c r="AB22" i="22"/>
  <c r="AB33" i="22"/>
  <c r="AB24" i="22"/>
  <c r="AB32" i="22"/>
  <c r="AB16" i="22"/>
  <c r="AB25" i="22"/>
  <c r="AB9" i="22"/>
  <c r="S35" i="22"/>
  <c r="S37" i="22"/>
  <c r="AC37" i="22" s="1"/>
  <c r="S21" i="22"/>
  <c r="S31" i="22"/>
  <c r="T31" i="22" s="1"/>
  <c r="AB35" i="22"/>
  <c r="AB37" i="22"/>
  <c r="AB21" i="22"/>
  <c r="AB31" i="22"/>
  <c r="S17" i="21"/>
  <c r="AC17" i="21" s="1"/>
  <c r="S29" i="21"/>
  <c r="AC29" i="21" s="1"/>
  <c r="S41" i="21"/>
  <c r="AC41" i="21" s="1"/>
  <c r="S53" i="21"/>
  <c r="AC53" i="21" s="1"/>
  <c r="S65" i="21"/>
  <c r="AC65" i="21" s="1"/>
  <c r="S67" i="21"/>
  <c r="AC67" i="21" s="1"/>
  <c r="S89" i="21"/>
  <c r="AC89" i="21" s="1"/>
  <c r="S30" i="21"/>
  <c r="AC30" i="21" s="1"/>
  <c r="S59" i="21"/>
  <c r="AC59" i="21" s="1"/>
  <c r="S84" i="21"/>
  <c r="AC84" i="21" s="1"/>
  <c r="S18" i="21"/>
  <c r="AC18" i="21" s="1"/>
  <c r="S42" i="21"/>
  <c r="AC42" i="21" s="1"/>
  <c r="S54" i="21"/>
  <c r="AC54" i="21" s="1"/>
  <c r="S66" i="21"/>
  <c r="AC66" i="21" s="1"/>
  <c r="S78" i="21"/>
  <c r="AC78" i="21" s="1"/>
  <c r="S90" i="21"/>
  <c r="AC90" i="21" s="1"/>
  <c r="S35" i="21"/>
  <c r="AC35" i="21" s="1"/>
  <c r="S79" i="21"/>
  <c r="AC79" i="21" s="1"/>
  <c r="S36" i="21"/>
  <c r="AC36" i="21" s="1"/>
  <c r="S25" i="21"/>
  <c r="AC25" i="21" s="1"/>
  <c r="S49" i="21"/>
  <c r="AC49" i="21" s="1"/>
  <c r="S85" i="21"/>
  <c r="AC85" i="21" s="1"/>
  <c r="S14" i="21"/>
  <c r="AC14" i="21" s="1"/>
  <c r="S26" i="21"/>
  <c r="AC26" i="21" s="1"/>
  <c r="S62" i="21"/>
  <c r="AC62" i="21" s="1"/>
  <c r="S74" i="21"/>
  <c r="AC74" i="21" s="1"/>
  <c r="S86" i="21"/>
  <c r="AC86" i="21" s="1"/>
  <c r="S19" i="21"/>
  <c r="AC19" i="21" s="1"/>
  <c r="S31" i="21"/>
  <c r="AC31" i="21" s="1"/>
  <c r="S43" i="21"/>
  <c r="AC43" i="21" s="1"/>
  <c r="S55" i="21"/>
  <c r="AC55" i="21" s="1"/>
  <c r="S68" i="21"/>
  <c r="AC68" i="21" s="1"/>
  <c r="S71" i="21"/>
  <c r="AC71" i="21" s="1"/>
  <c r="S91" i="21"/>
  <c r="AC91" i="21" s="1"/>
  <c r="S34" i="21"/>
  <c r="AC34" i="21" s="1"/>
  <c r="S70" i="21"/>
  <c r="AC70" i="21" s="1"/>
  <c r="S24" i="21"/>
  <c r="AC24" i="21" s="1"/>
  <c r="S96" i="21"/>
  <c r="AC96" i="21" s="1"/>
  <c r="S37" i="21"/>
  <c r="AC37" i="21" s="1"/>
  <c r="S61" i="21"/>
  <c r="AC61" i="21" s="1"/>
  <c r="S97" i="21"/>
  <c r="AC97" i="21" s="1"/>
  <c r="S38" i="21"/>
  <c r="AC38" i="21" s="1"/>
  <c r="S20" i="21"/>
  <c r="AC20" i="21" s="1"/>
  <c r="S32" i="21"/>
  <c r="AC32" i="21" s="1"/>
  <c r="S44" i="21"/>
  <c r="AC44" i="21" s="1"/>
  <c r="S56" i="21"/>
  <c r="AC56" i="21" s="1"/>
  <c r="S77" i="21"/>
  <c r="AC77" i="21" s="1"/>
  <c r="S80" i="21"/>
  <c r="AC80" i="21" s="1"/>
  <c r="S92" i="21"/>
  <c r="AC92" i="21" s="1"/>
  <c r="S46" i="21"/>
  <c r="AC46" i="21" s="1"/>
  <c r="S58" i="21"/>
  <c r="AC58" i="21" s="1"/>
  <c r="S94" i="21"/>
  <c r="AC94" i="21" s="1"/>
  <c r="S47" i="21"/>
  <c r="AC47" i="21" s="1"/>
  <c r="S83" i="21"/>
  <c r="AC83" i="21" s="1"/>
  <c r="S60" i="21"/>
  <c r="AC60" i="21" s="1"/>
  <c r="S50" i="21"/>
  <c r="AC50" i="21" s="1"/>
  <c r="S21" i="21"/>
  <c r="AC21" i="21" s="1"/>
  <c r="S33" i="21"/>
  <c r="AC33" i="21" s="1"/>
  <c r="S45" i="21"/>
  <c r="AC45" i="21" s="1"/>
  <c r="S57" i="21"/>
  <c r="AC57" i="21" s="1"/>
  <c r="S69" i="21"/>
  <c r="AC69" i="21" s="1"/>
  <c r="S81" i="21"/>
  <c r="AC81" i="21" s="1"/>
  <c r="S93" i="21"/>
  <c r="AC93" i="21" s="1"/>
  <c r="S22" i="21"/>
  <c r="AC22" i="21" s="1"/>
  <c r="S82" i="21"/>
  <c r="AC82" i="21" s="1"/>
  <c r="S23" i="21"/>
  <c r="AC23" i="21" s="1"/>
  <c r="S72" i="21"/>
  <c r="AC72" i="21" s="1"/>
  <c r="S73" i="21"/>
  <c r="AC73" i="21" s="1"/>
  <c r="S15" i="21"/>
  <c r="AC15" i="21" s="1"/>
  <c r="S27" i="21"/>
  <c r="AC27" i="21" s="1"/>
  <c r="S39" i="21"/>
  <c r="AC39" i="21" s="1"/>
  <c r="S51" i="21"/>
  <c r="AC51" i="21" s="1"/>
  <c r="S63" i="21"/>
  <c r="AC63" i="21" s="1"/>
  <c r="S75" i="21"/>
  <c r="AC75" i="21" s="1"/>
  <c r="S87" i="21"/>
  <c r="AC87" i="21" s="1"/>
  <c r="S16" i="21"/>
  <c r="AC16" i="21" s="1"/>
  <c r="S28" i="21"/>
  <c r="AC28" i="21" s="1"/>
  <c r="S40" i="21"/>
  <c r="AC40" i="21" s="1"/>
  <c r="S52" i="21"/>
  <c r="AC52" i="21" s="1"/>
  <c r="S64" i="21"/>
  <c r="AC64" i="21" s="1"/>
  <c r="S76" i="21"/>
  <c r="AC76" i="21" s="1"/>
  <c r="S88" i="21"/>
  <c r="AC88" i="21" s="1"/>
  <c r="S95" i="21"/>
  <c r="AC95" i="21" s="1"/>
  <c r="S48" i="21"/>
  <c r="AC48" i="21" s="1"/>
  <c r="S13" i="21"/>
  <c r="AC13" i="21" s="1"/>
  <c r="AB15" i="21"/>
  <c r="AB27" i="21"/>
  <c r="AB39" i="21"/>
  <c r="AB51" i="21"/>
  <c r="AB63" i="21"/>
  <c r="AB75" i="21"/>
  <c r="AB87" i="21"/>
  <c r="AB16" i="21"/>
  <c r="AB28" i="21"/>
  <c r="AB40" i="21"/>
  <c r="AB52" i="21"/>
  <c r="AB64" i="21"/>
  <c r="AB76" i="21"/>
  <c r="AB88" i="21"/>
  <c r="AB19" i="21"/>
  <c r="AB33" i="21"/>
  <c r="AB47" i="21"/>
  <c r="AB61" i="21"/>
  <c r="AB67" i="21"/>
  <c r="AB91" i="21"/>
  <c r="AB21" i="21"/>
  <c r="AB35" i="21"/>
  <c r="AB49" i="21"/>
  <c r="AB65" i="21"/>
  <c r="AB71" i="21"/>
  <c r="AB93" i="21"/>
  <c r="AB20" i="21"/>
  <c r="AB34" i="21"/>
  <c r="AB48" i="21"/>
  <c r="AB62" i="21"/>
  <c r="AB78" i="21"/>
  <c r="AB92" i="21"/>
  <c r="AB22" i="21"/>
  <c r="AB36" i="21"/>
  <c r="AB50" i="21"/>
  <c r="AB66" i="21"/>
  <c r="AB80" i="21"/>
  <c r="AB94" i="21"/>
  <c r="AB23" i="21"/>
  <c r="AB37" i="21"/>
  <c r="AB53" i="21"/>
  <c r="AB68" i="21"/>
  <c r="AB81" i="21"/>
  <c r="AB17" i="21"/>
  <c r="AB43" i="21"/>
  <c r="AB69" i="21"/>
  <c r="AB90" i="21"/>
  <c r="AB18" i="21"/>
  <c r="AB44" i="21"/>
  <c r="AB70" i="21"/>
  <c r="AB95" i="21"/>
  <c r="AB24" i="21"/>
  <c r="AB45" i="21"/>
  <c r="AB79" i="21"/>
  <c r="AB96" i="21"/>
  <c r="AB25" i="21"/>
  <c r="AB46" i="21"/>
  <c r="AB72" i="21"/>
  <c r="AB29" i="21"/>
  <c r="AB59" i="21"/>
  <c r="AB31" i="21"/>
  <c r="AB77" i="21"/>
  <c r="AB32" i="21"/>
  <c r="AB73" i="21"/>
  <c r="AB38" i="21"/>
  <c r="AB74" i="21"/>
  <c r="AB41" i="21"/>
  <c r="AB82" i="21"/>
  <c r="AB42" i="21"/>
  <c r="AB83" i="21"/>
  <c r="AB54" i="21"/>
  <c r="AB84" i="21"/>
  <c r="AB55" i="21"/>
  <c r="AB13" i="21"/>
  <c r="AB56" i="21"/>
  <c r="AB86" i="21"/>
  <c r="AB14" i="21"/>
  <c r="AB57" i="21"/>
  <c r="AB89" i="21"/>
  <c r="AB26" i="21"/>
  <c r="AB58" i="21"/>
  <c r="AB97" i="21"/>
  <c r="AB30" i="21"/>
  <c r="AB60" i="21"/>
  <c r="AB85" i="21"/>
  <c r="S8" i="21"/>
  <c r="AC8" i="21" s="1"/>
  <c r="S11" i="21"/>
  <c r="AC11" i="21" s="1"/>
  <c r="S12" i="21"/>
  <c r="AC12" i="21" s="1"/>
  <c r="S9" i="21"/>
  <c r="AC9" i="21" s="1"/>
  <c r="S10" i="21"/>
  <c r="AC10" i="21" s="1"/>
  <c r="AB11" i="21"/>
  <c r="AB12" i="21"/>
  <c r="AB8" i="21"/>
  <c r="AB9" i="21"/>
  <c r="AB10" i="21"/>
  <c r="J3" i="2"/>
  <c r="AC110" i="21" l="1"/>
  <c r="T110" i="21"/>
  <c r="AC109" i="21"/>
  <c r="T109" i="21"/>
  <c r="T108" i="21"/>
  <c r="AC108" i="21"/>
  <c r="AC15" i="22"/>
  <c r="AC13" i="22"/>
  <c r="T13" i="22"/>
  <c r="T38" i="22"/>
  <c r="AC38" i="22"/>
  <c r="AC100" i="21"/>
  <c r="T100" i="21"/>
  <c r="T102" i="21"/>
  <c r="AC102" i="21"/>
  <c r="AC98" i="21"/>
  <c r="T98" i="21"/>
  <c r="AC99" i="21"/>
  <c r="T99" i="21"/>
  <c r="AC107" i="21"/>
  <c r="T107" i="21"/>
  <c r="AC101" i="21"/>
  <c r="T101" i="21"/>
  <c r="T104" i="21"/>
  <c r="AC104" i="21"/>
  <c r="AC106" i="21"/>
  <c r="T106" i="21"/>
  <c r="T103" i="21"/>
  <c r="AC103" i="21"/>
  <c r="T105" i="21"/>
  <c r="AC105" i="21"/>
  <c r="S733" i="2"/>
  <c r="S745" i="2"/>
  <c r="S757" i="2"/>
  <c r="S769" i="2"/>
  <c r="S781" i="2"/>
  <c r="S793" i="2"/>
  <c r="S805" i="2"/>
  <c r="S761" i="2"/>
  <c r="S750" i="2"/>
  <c r="S763" i="2"/>
  <c r="S776" i="2"/>
  <c r="S741" i="2"/>
  <c r="S734" i="2"/>
  <c r="S746" i="2"/>
  <c r="S758" i="2"/>
  <c r="S770" i="2"/>
  <c r="S782" i="2"/>
  <c r="S794" i="2"/>
  <c r="S749" i="2"/>
  <c r="S738" i="2"/>
  <c r="S787" i="2"/>
  <c r="S740" i="2"/>
  <c r="S753" i="2"/>
  <c r="S802" i="2"/>
  <c r="S735" i="2"/>
  <c r="S747" i="2"/>
  <c r="S759" i="2"/>
  <c r="S771" i="2"/>
  <c r="S783" i="2"/>
  <c r="S795" i="2"/>
  <c r="S773" i="2"/>
  <c r="S786" i="2"/>
  <c r="S799" i="2"/>
  <c r="S789" i="2"/>
  <c r="S766" i="2"/>
  <c r="S736" i="2"/>
  <c r="S748" i="2"/>
  <c r="S760" i="2"/>
  <c r="S772" i="2"/>
  <c r="S784" i="2"/>
  <c r="S796" i="2"/>
  <c r="S764" i="2"/>
  <c r="S777" i="2"/>
  <c r="S742" i="2"/>
  <c r="S737" i="2"/>
  <c r="S798" i="2"/>
  <c r="S739" i="2"/>
  <c r="S788" i="2"/>
  <c r="S765" i="2"/>
  <c r="S778" i="2"/>
  <c r="S743" i="2"/>
  <c r="S755" i="2"/>
  <c r="S767" i="2"/>
  <c r="S779" i="2"/>
  <c r="S791" i="2"/>
  <c r="S803" i="2"/>
  <c r="S785" i="2"/>
  <c r="S774" i="2"/>
  <c r="S751" i="2"/>
  <c r="S800" i="2"/>
  <c r="S801" i="2"/>
  <c r="S790" i="2"/>
  <c r="S744" i="2"/>
  <c r="S756" i="2"/>
  <c r="S768" i="2"/>
  <c r="S780" i="2"/>
  <c r="S792" i="2"/>
  <c r="S804" i="2"/>
  <c r="S797" i="2"/>
  <c r="S762" i="2"/>
  <c r="S775" i="2"/>
  <c r="S752" i="2"/>
  <c r="S754" i="2"/>
  <c r="AB743" i="2"/>
  <c r="AB755" i="2"/>
  <c r="AB767" i="2"/>
  <c r="AB779" i="2"/>
  <c r="AB791" i="2"/>
  <c r="AB803" i="2"/>
  <c r="AB762" i="2"/>
  <c r="AB787" i="2"/>
  <c r="AB764" i="2"/>
  <c r="AB744" i="2"/>
  <c r="AB756" i="2"/>
  <c r="AB768" i="2"/>
  <c r="AB780" i="2"/>
  <c r="AB792" i="2"/>
  <c r="AB804" i="2"/>
  <c r="AB738" i="2"/>
  <c r="AB798" i="2"/>
  <c r="AB739" i="2"/>
  <c r="AB799" i="2"/>
  <c r="AB752" i="2"/>
  <c r="AB800" i="2"/>
  <c r="AB733" i="2"/>
  <c r="AB745" i="2"/>
  <c r="AB757" i="2"/>
  <c r="AB769" i="2"/>
  <c r="AB781" i="2"/>
  <c r="AB793" i="2"/>
  <c r="AB805" i="2"/>
  <c r="AB786" i="2"/>
  <c r="AB763" i="2"/>
  <c r="AB776" i="2"/>
  <c r="AB734" i="2"/>
  <c r="AB746" i="2"/>
  <c r="AB758" i="2"/>
  <c r="AB770" i="2"/>
  <c r="AB782" i="2"/>
  <c r="AB794" i="2"/>
  <c r="AB774" i="2"/>
  <c r="AB751" i="2"/>
  <c r="AB740" i="2"/>
  <c r="AB788" i="2"/>
  <c r="AB735" i="2"/>
  <c r="AB747" i="2"/>
  <c r="AB759" i="2"/>
  <c r="AB771" i="2"/>
  <c r="AB783" i="2"/>
  <c r="AB795" i="2"/>
  <c r="AB736" i="2"/>
  <c r="AB748" i="2"/>
  <c r="AB760" i="2"/>
  <c r="AB772" i="2"/>
  <c r="AB784" i="2"/>
  <c r="AB796" i="2"/>
  <c r="AB750" i="2"/>
  <c r="AB775" i="2"/>
  <c r="AB737" i="2"/>
  <c r="AB749" i="2"/>
  <c r="AB761" i="2"/>
  <c r="AB773" i="2"/>
  <c r="AB785" i="2"/>
  <c r="AB797" i="2"/>
  <c r="AB741" i="2"/>
  <c r="AB753" i="2"/>
  <c r="AB765" i="2"/>
  <c r="AB777" i="2"/>
  <c r="AB789" i="2"/>
  <c r="AB801" i="2"/>
  <c r="AB742" i="2"/>
  <c r="AB754" i="2"/>
  <c r="AB766" i="2"/>
  <c r="AB778" i="2"/>
  <c r="AB790" i="2"/>
  <c r="AB802" i="2"/>
  <c r="S700" i="2"/>
  <c r="S708" i="2"/>
  <c r="S716" i="2"/>
  <c r="S724" i="2"/>
  <c r="S732" i="2"/>
  <c r="S711" i="2"/>
  <c r="S712" i="2"/>
  <c r="S721" i="2"/>
  <c r="S730" i="2"/>
  <c r="S731" i="2"/>
  <c r="S701" i="2"/>
  <c r="S709" i="2"/>
  <c r="S717" i="2"/>
  <c r="S725" i="2"/>
  <c r="S703" i="2"/>
  <c r="S727" i="2"/>
  <c r="S704" i="2"/>
  <c r="S713" i="2"/>
  <c r="S722" i="2"/>
  <c r="S723" i="2"/>
  <c r="S702" i="2"/>
  <c r="S710" i="2"/>
  <c r="S718" i="2"/>
  <c r="S726" i="2"/>
  <c r="S719" i="2"/>
  <c r="S720" i="2"/>
  <c r="S728" i="2"/>
  <c r="S705" i="2"/>
  <c r="S729" i="2"/>
  <c r="S706" i="2"/>
  <c r="S715" i="2"/>
  <c r="S714" i="2"/>
  <c r="S707" i="2"/>
  <c r="AB705" i="2"/>
  <c r="AB713" i="2"/>
  <c r="AB721" i="2"/>
  <c r="AB729" i="2"/>
  <c r="AB702" i="2"/>
  <c r="AB710" i="2"/>
  <c r="AB726" i="2"/>
  <c r="AB706" i="2"/>
  <c r="AB714" i="2"/>
  <c r="AB722" i="2"/>
  <c r="AB730" i="2"/>
  <c r="AB700" i="2"/>
  <c r="AB716" i="2"/>
  <c r="AB724" i="2"/>
  <c r="AB720" i="2"/>
  <c r="AB707" i="2"/>
  <c r="AB715" i="2"/>
  <c r="AB723" i="2"/>
  <c r="AB731" i="2"/>
  <c r="AB708" i="2"/>
  <c r="AB732" i="2"/>
  <c r="AB701" i="2"/>
  <c r="AB709" i="2"/>
  <c r="AB717" i="2"/>
  <c r="AB725" i="2"/>
  <c r="AB718" i="2"/>
  <c r="AB703" i="2"/>
  <c r="AB711" i="2"/>
  <c r="AB719" i="2"/>
  <c r="AB727" i="2"/>
  <c r="AB704" i="2"/>
  <c r="AB712" i="2"/>
  <c r="AB728" i="2"/>
  <c r="AC8" i="22"/>
  <c r="AC30" i="22"/>
  <c r="T30" i="22"/>
  <c r="AC20" i="22"/>
  <c r="T20" i="22"/>
  <c r="AC19" i="22"/>
  <c r="T19" i="22"/>
  <c r="T28" i="22"/>
  <c r="AC14" i="22"/>
  <c r="T14" i="22"/>
  <c r="AC12" i="22"/>
  <c r="T12" i="22"/>
  <c r="AC10" i="22"/>
  <c r="T10" i="22"/>
  <c r="AC11" i="22"/>
  <c r="T11" i="22"/>
  <c r="T36" i="22"/>
  <c r="AC36" i="22"/>
  <c r="AC16" i="22"/>
  <c r="AC29" i="22"/>
  <c r="T29" i="22"/>
  <c r="AC23" i="22"/>
  <c r="T23" i="22"/>
  <c r="T25" i="22"/>
  <c r="AC34" i="22"/>
  <c r="T34" i="22"/>
  <c r="AC17" i="22"/>
  <c r="T17" i="22"/>
  <c r="AC26" i="22"/>
  <c r="T26" i="22"/>
  <c r="AC27" i="22"/>
  <c r="T27" i="22"/>
  <c r="AC18" i="22"/>
  <c r="T18" i="22"/>
  <c r="AC22" i="22"/>
  <c r="T22" i="22"/>
  <c r="AC33" i="22"/>
  <c r="T33" i="22"/>
  <c r="AC24" i="22"/>
  <c r="T24" i="22"/>
  <c r="AC9" i="22"/>
  <c r="T9" i="22"/>
  <c r="AC32" i="22"/>
  <c r="T32" i="22"/>
  <c r="S652" i="2"/>
  <c r="S664" i="2"/>
  <c r="S676" i="2"/>
  <c r="S688" i="2"/>
  <c r="S659" i="2"/>
  <c r="S696" i="2"/>
  <c r="S653" i="2"/>
  <c r="S665" i="2"/>
  <c r="S677" i="2"/>
  <c r="S689" i="2"/>
  <c r="S683" i="2"/>
  <c r="S672" i="2"/>
  <c r="S654" i="2"/>
  <c r="S666" i="2"/>
  <c r="S678" i="2"/>
  <c r="S690" i="2"/>
  <c r="S694" i="2"/>
  <c r="S695" i="2"/>
  <c r="S684" i="2"/>
  <c r="S655" i="2"/>
  <c r="S667" i="2"/>
  <c r="S679" i="2"/>
  <c r="S691" i="2"/>
  <c r="S682" i="2"/>
  <c r="S660" i="2"/>
  <c r="S656" i="2"/>
  <c r="S668" i="2"/>
  <c r="S680" i="2"/>
  <c r="S692" i="2"/>
  <c r="S670" i="2"/>
  <c r="S657" i="2"/>
  <c r="S669" i="2"/>
  <c r="S681" i="2"/>
  <c r="S693" i="2"/>
  <c r="S658" i="2"/>
  <c r="S671" i="2"/>
  <c r="S661" i="2"/>
  <c r="S673" i="2"/>
  <c r="S685" i="2"/>
  <c r="S697" i="2"/>
  <c r="S662" i="2"/>
  <c r="S674" i="2"/>
  <c r="S686" i="2"/>
  <c r="S698" i="2"/>
  <c r="S663" i="2"/>
  <c r="S675" i="2"/>
  <c r="S687" i="2"/>
  <c r="S699" i="2"/>
  <c r="AB654" i="2"/>
  <c r="AB662" i="2"/>
  <c r="AB670" i="2"/>
  <c r="AB678" i="2"/>
  <c r="AB686" i="2"/>
  <c r="AB694" i="2"/>
  <c r="AB655" i="2"/>
  <c r="AB663" i="2"/>
  <c r="AB671" i="2"/>
  <c r="AB679" i="2"/>
  <c r="AB687" i="2"/>
  <c r="AB695" i="2"/>
  <c r="AB656" i="2"/>
  <c r="AB664" i="2"/>
  <c r="AB672" i="2"/>
  <c r="AB680" i="2"/>
  <c r="AB688" i="2"/>
  <c r="AB696" i="2"/>
  <c r="AB657" i="2"/>
  <c r="AB665" i="2"/>
  <c r="AB673" i="2"/>
  <c r="AB681" i="2"/>
  <c r="AB689" i="2"/>
  <c r="AB697" i="2"/>
  <c r="AB658" i="2"/>
  <c r="AB666" i="2"/>
  <c r="AB674" i="2"/>
  <c r="AB682" i="2"/>
  <c r="AB690" i="2"/>
  <c r="AB698" i="2"/>
  <c r="AB659" i="2"/>
  <c r="AB667" i="2"/>
  <c r="AB675" i="2"/>
  <c r="AB683" i="2"/>
  <c r="AB691" i="2"/>
  <c r="AB699" i="2"/>
  <c r="AB652" i="2"/>
  <c r="AB684" i="2"/>
  <c r="AB653" i="2"/>
  <c r="AB685" i="2"/>
  <c r="AB660" i="2"/>
  <c r="AB692" i="2"/>
  <c r="AB661" i="2"/>
  <c r="AB693" i="2"/>
  <c r="AB668" i="2"/>
  <c r="AB669" i="2"/>
  <c r="AB676" i="2"/>
  <c r="AB677" i="2"/>
  <c r="AC35" i="22"/>
  <c r="T35" i="22"/>
  <c r="T37" i="22"/>
  <c r="AC31" i="22"/>
  <c r="AC21" i="22"/>
  <c r="T21" i="22"/>
  <c r="S179" i="2"/>
  <c r="S651" i="2"/>
  <c r="S348" i="2"/>
  <c r="S462" i="2"/>
  <c r="S235" i="2"/>
  <c r="S349" i="2"/>
  <c r="S463" i="2"/>
  <c r="S236" i="2"/>
  <c r="S350" i="2"/>
  <c r="S464" i="2"/>
  <c r="S99" i="2"/>
  <c r="S469" i="2"/>
  <c r="S85" i="2"/>
  <c r="S86" i="2"/>
  <c r="S418" i="2"/>
  <c r="S513" i="2"/>
  <c r="S100" i="2"/>
  <c r="S514" i="2"/>
  <c r="S268" i="2"/>
  <c r="S515" i="2"/>
  <c r="S269" i="2"/>
  <c r="S516" i="2"/>
  <c r="S453" i="2"/>
  <c r="S195" i="2"/>
  <c r="S568" i="2"/>
  <c r="S87" i="2"/>
  <c r="S465" i="2"/>
  <c r="S650" i="2"/>
  <c r="AB515" i="2"/>
  <c r="AB269" i="2"/>
  <c r="AB350" i="2"/>
  <c r="AB516" i="2"/>
  <c r="AB453" i="2"/>
  <c r="AB99" i="2"/>
  <c r="AB85" i="2"/>
  <c r="AB195" i="2"/>
  <c r="AB86" i="2"/>
  <c r="AB568" i="2"/>
  <c r="AB651" i="2"/>
  <c r="AB236" i="2"/>
  <c r="AB87" i="2"/>
  <c r="AB418" i="2"/>
  <c r="AB235" i="2"/>
  <c r="AB650" i="2"/>
  <c r="AB465" i="2"/>
  <c r="AB179" i="2"/>
  <c r="AB348" i="2"/>
  <c r="AB462" i="2"/>
  <c r="AB349" i="2"/>
  <c r="AB513" i="2"/>
  <c r="AB100" i="2"/>
  <c r="AB463" i="2"/>
  <c r="AB464" i="2"/>
  <c r="AB469" i="2"/>
  <c r="AB514" i="2"/>
  <c r="AB268" i="2"/>
  <c r="S91" i="2"/>
  <c r="S260" i="2"/>
  <c r="S92" i="2"/>
  <c r="S261" i="2"/>
  <c r="S93" i="2"/>
  <c r="S132" i="2"/>
  <c r="S83" i="2"/>
  <c r="S133" i="2"/>
  <c r="S505" i="2"/>
  <c r="S506" i="2"/>
  <c r="S84" i="2"/>
  <c r="S126" i="2"/>
  <c r="S184" i="2"/>
  <c r="S502" i="2"/>
  <c r="S127" i="2"/>
  <c r="S183" i="2"/>
  <c r="S503" i="2"/>
  <c r="S354" i="2"/>
  <c r="S504" i="2"/>
  <c r="S355" i="2"/>
  <c r="S178" i="2"/>
  <c r="AB93" i="2"/>
  <c r="AB132" i="2"/>
  <c r="AB183" i="2"/>
  <c r="AB83" i="2"/>
  <c r="AB133" i="2"/>
  <c r="AB355" i="2"/>
  <c r="AB178" i="2"/>
  <c r="AB84" i="2"/>
  <c r="AB126" i="2"/>
  <c r="AB506" i="2"/>
  <c r="AB502" i="2"/>
  <c r="AB127" i="2"/>
  <c r="AB184" i="2"/>
  <c r="AB503" i="2"/>
  <c r="AB354" i="2"/>
  <c r="AB505" i="2"/>
  <c r="AB91" i="2"/>
  <c r="AB260" i="2"/>
  <c r="AB92" i="2"/>
  <c r="AB261" i="2"/>
  <c r="AB504" i="2"/>
  <c r="T13" i="21"/>
  <c r="T91" i="21"/>
  <c r="T52" i="21"/>
  <c r="T16" i="21"/>
  <c r="T33" i="21"/>
  <c r="T96" i="21"/>
  <c r="T54" i="21"/>
  <c r="T49" i="21"/>
  <c r="T75" i="21"/>
  <c r="T88" i="21"/>
  <c r="T63" i="21"/>
  <c r="T20" i="21"/>
  <c r="T86" i="21"/>
  <c r="T35" i="21"/>
  <c r="T30" i="21"/>
  <c r="T81" i="21"/>
  <c r="T71" i="21"/>
  <c r="T15" i="21"/>
  <c r="T14" i="21"/>
  <c r="T72" i="21"/>
  <c r="T43" i="21"/>
  <c r="T65" i="21"/>
  <c r="T42" i="21"/>
  <c r="T76" i="21"/>
  <c r="T51" i="21"/>
  <c r="T93" i="21"/>
  <c r="T94" i="21"/>
  <c r="T74" i="21"/>
  <c r="T58" i="21"/>
  <c r="T57" i="21"/>
  <c r="T89" i="21"/>
  <c r="T73" i="21"/>
  <c r="T45" i="21"/>
  <c r="T37" i="21"/>
  <c r="T67" i="21"/>
  <c r="T92" i="21"/>
  <c r="T85" i="21"/>
  <c r="T24" i="21"/>
  <c r="T95" i="21"/>
  <c r="T23" i="21"/>
  <c r="T50" i="21"/>
  <c r="T77" i="21"/>
  <c r="T19" i="21"/>
  <c r="T25" i="21"/>
  <c r="T18" i="21"/>
  <c r="T41" i="21"/>
  <c r="T38" i="21"/>
  <c r="T27" i="21"/>
  <c r="T90" i="21"/>
  <c r="T61" i="21"/>
  <c r="T66" i="21"/>
  <c r="T21" i="21"/>
  <c r="T82" i="21"/>
  <c r="T60" i="21"/>
  <c r="T56" i="21"/>
  <c r="T29" i="21"/>
  <c r="T64" i="21"/>
  <c r="T69" i="21"/>
  <c r="T97" i="21"/>
  <c r="T26" i="21"/>
  <c r="T68" i="21"/>
  <c r="T28" i="21"/>
  <c r="T55" i="21"/>
  <c r="T31" i="21"/>
  <c r="T87" i="21"/>
  <c r="T22" i="21"/>
  <c r="T83" i="21"/>
  <c r="T44" i="21"/>
  <c r="T70" i="21"/>
  <c r="T36" i="21"/>
  <c r="T84" i="21"/>
  <c r="T17" i="21"/>
  <c r="T39" i="21"/>
  <c r="T62" i="21"/>
  <c r="T46" i="21"/>
  <c r="T40" i="21"/>
  <c r="T78" i="21"/>
  <c r="T48" i="21"/>
  <c r="T80" i="21"/>
  <c r="T53" i="21"/>
  <c r="T47" i="21"/>
  <c r="T32" i="21"/>
  <c r="T34" i="21"/>
  <c r="T79" i="21"/>
  <c r="T59" i="21"/>
  <c r="AB433" i="2"/>
  <c r="AB119" i="2"/>
  <c r="AB26" i="2"/>
  <c r="AB466" i="2"/>
  <c r="AB277" i="2"/>
  <c r="AB257" i="2"/>
  <c r="AB262" i="2"/>
  <c r="AB328" i="2"/>
  <c r="AB313" i="2"/>
  <c r="AB415" i="2"/>
  <c r="AB398" i="2"/>
  <c r="AB360" i="2"/>
  <c r="AB123" i="2"/>
  <c r="AB534" i="2"/>
  <c r="AB239" i="2"/>
  <c r="AB636" i="2"/>
  <c r="AB573" i="2"/>
  <c r="AB264" i="2"/>
  <c r="AB624" i="2"/>
  <c r="AB427" i="2"/>
  <c r="AB511" i="2"/>
  <c r="AB209" i="2"/>
  <c r="AB242" i="2"/>
  <c r="AB271" i="2"/>
  <c r="AB419" i="2"/>
  <c r="AB54" i="2"/>
  <c r="AB32" i="2"/>
  <c r="AB51" i="2"/>
  <c r="AB620" i="2"/>
  <c r="AB215" i="2"/>
  <c r="AB618" i="2"/>
  <c r="AB356" i="2"/>
  <c r="AB578" i="2"/>
  <c r="AB342" i="2"/>
  <c r="AB428" i="2"/>
  <c r="AB188" i="2"/>
  <c r="AB171" i="2"/>
  <c r="AB196" i="2"/>
  <c r="AB161" i="2"/>
  <c r="AB136" i="2"/>
  <c r="AB284" i="2"/>
  <c r="AB36" i="2"/>
  <c r="AB526" i="2"/>
  <c r="AB12" i="2"/>
  <c r="AB646" i="2"/>
  <c r="AB644" i="2"/>
  <c r="AB497" i="2"/>
  <c r="AB529" i="2"/>
  <c r="AB147" i="2"/>
  <c r="AB76" i="2"/>
  <c r="AB230" i="2"/>
  <c r="AB434" i="2"/>
  <c r="AB66" i="2"/>
  <c r="AB27" i="2"/>
  <c r="AB467" i="2"/>
  <c r="AB101" i="2"/>
  <c r="AB258" i="2"/>
  <c r="AB263" i="2"/>
  <c r="AB329" i="2"/>
  <c r="AB314" i="2"/>
  <c r="AB416" i="2"/>
  <c r="AB399" i="2"/>
  <c r="AB361" i="2"/>
  <c r="AB124" i="2"/>
  <c r="AB535" i="2"/>
  <c r="AB240" i="2"/>
  <c r="AB625" i="2"/>
  <c r="AB590" i="2"/>
  <c r="AB265" i="2"/>
  <c r="AB103" i="2"/>
  <c r="AB368" i="2"/>
  <c r="AB512" i="2"/>
  <c r="AB210" i="2"/>
  <c r="AB108" i="2"/>
  <c r="AB272" i="2"/>
  <c r="AB420" i="2"/>
  <c r="AB55" i="2"/>
  <c r="AB33" i="2"/>
  <c r="AB52" i="2"/>
  <c r="AB621" i="2"/>
  <c r="AB216" i="2"/>
  <c r="AB619" i="2"/>
  <c r="AB357" i="2"/>
  <c r="AB614" i="2"/>
  <c r="AB482" i="2"/>
  <c r="AB17" i="2"/>
  <c r="AB189" i="2"/>
  <c r="AB165" i="2"/>
  <c r="AB197" i="2"/>
  <c r="AB162" i="2"/>
  <c r="AB137" i="2"/>
  <c r="AB285" i="2"/>
  <c r="AB38" i="2"/>
  <c r="AB527" i="2"/>
  <c r="AB13" i="2"/>
  <c r="AB647" i="2"/>
  <c r="AB645" i="2"/>
  <c r="AB498" i="2"/>
  <c r="AB530" i="2"/>
  <c r="AB148" i="2"/>
  <c r="AB77" i="2"/>
  <c r="AB414" i="2"/>
  <c r="AB295" i="2"/>
  <c r="AB67" i="2"/>
  <c r="AB444" i="2"/>
  <c r="AB468" i="2"/>
  <c r="AB102" i="2"/>
  <c r="AB259" i="2"/>
  <c r="AB552" i="2"/>
  <c r="AB315" i="2"/>
  <c r="AB298" i="2"/>
  <c r="AB417" i="2"/>
  <c r="AB364" i="2"/>
  <c r="AB362" i="2"/>
  <c r="AB125" i="2"/>
  <c r="AB536" i="2"/>
  <c r="AB222" i="2"/>
  <c r="AB626" i="2"/>
  <c r="AB591" i="2"/>
  <c r="AB266" i="2"/>
  <c r="AB104" i="2"/>
  <c r="AB405" i="2"/>
  <c r="AB407" i="2"/>
  <c r="AB211" i="2"/>
  <c r="AB109" i="2"/>
  <c r="AB292" i="2"/>
  <c r="AB522" i="2"/>
  <c r="AB56" i="2"/>
  <c r="AB478" i="2"/>
  <c r="AB231" i="2"/>
  <c r="AB622" i="2"/>
  <c r="AB217" i="2"/>
  <c r="AB457" i="2"/>
  <c r="AB470" i="2"/>
  <c r="AB615" i="2"/>
  <c r="AB483" i="2"/>
  <c r="AB18" i="2"/>
  <c r="AB190" i="2"/>
  <c r="AB166" i="2"/>
  <c r="AB138" i="2"/>
  <c r="AB154" i="2"/>
  <c r="AB507" i="2"/>
  <c r="AB212" i="2"/>
  <c r="AB39" i="2"/>
  <c r="AB175" i="2"/>
  <c r="AB280" i="2"/>
  <c r="AB648" i="2"/>
  <c r="AB278" i="2"/>
  <c r="AB499" i="2"/>
  <c r="AB524" i="2"/>
  <c r="AB149" i="2"/>
  <c r="AB78" i="2"/>
  <c r="AB359" i="2"/>
  <c r="AB296" i="2"/>
  <c r="AB68" i="2"/>
  <c r="AB445" i="2"/>
  <c r="AB439" i="2"/>
  <c r="AB163" i="2"/>
  <c r="AB248" i="2"/>
  <c r="AB553" i="2"/>
  <c r="AB316" i="2"/>
  <c r="AB299" i="2"/>
  <c r="AB389" i="2"/>
  <c r="AB365" i="2"/>
  <c r="AB352" i="2"/>
  <c r="AB461" i="2"/>
  <c r="AB537" i="2"/>
  <c r="AB223" i="2"/>
  <c r="AB627" i="2"/>
  <c r="AB592" i="2"/>
  <c r="AB267" i="2"/>
  <c r="AB105" i="2"/>
  <c r="AB406" i="2"/>
  <c r="AB408" i="2"/>
  <c r="AB543" i="2"/>
  <c r="AB110" i="2"/>
  <c r="AB293" i="2"/>
  <c r="AB523" i="2"/>
  <c r="AB518" i="2"/>
  <c r="AB479" i="2"/>
  <c r="AB232" i="2"/>
  <c r="AB45" i="2"/>
  <c r="AB218" i="2"/>
  <c r="AB458" i="2"/>
  <c r="AB471" i="2"/>
  <c r="AB616" i="2"/>
  <c r="AB484" i="2"/>
  <c r="AB19" i="2"/>
  <c r="AB191" i="2"/>
  <c r="AB167" i="2"/>
  <c r="AB139" i="2"/>
  <c r="AB155" i="2"/>
  <c r="AB508" i="2"/>
  <c r="AB450" i="2"/>
  <c r="AB400" i="2"/>
  <c r="AB176" i="2"/>
  <c r="AB373" i="2"/>
  <c r="AB649" i="2"/>
  <c r="AB279" i="2"/>
  <c r="AB500" i="2"/>
  <c r="AB525" i="2"/>
  <c r="AB150" i="2"/>
  <c r="AB88" i="2"/>
  <c r="AB569" i="2"/>
  <c r="AB297" i="2"/>
  <c r="AB69" i="2"/>
  <c r="AB446" i="2"/>
  <c r="AB440" i="2"/>
  <c r="AB164" i="2"/>
  <c r="AB249" i="2"/>
  <c r="AB554" i="2"/>
  <c r="AB317" i="2"/>
  <c r="AB300" i="2"/>
  <c r="AB390" i="2"/>
  <c r="AB366" i="2"/>
  <c r="AB353" i="2"/>
  <c r="AB94" i="2"/>
  <c r="AB538" i="2"/>
  <c r="AB224" i="2"/>
  <c r="AB628" i="2"/>
  <c r="AB383" i="2"/>
  <c r="AB79" i="2"/>
  <c r="AB106" i="2"/>
  <c r="AB555" i="2"/>
  <c r="AB409" i="2"/>
  <c r="AB544" i="2"/>
  <c r="AB517" i="2"/>
  <c r="AB294" i="2"/>
  <c r="AB459" i="2"/>
  <c r="AB519" i="2"/>
  <c r="AB531" i="2"/>
  <c r="AB233" i="2"/>
  <c r="AB57" i="2"/>
  <c r="AB219" i="2"/>
  <c r="AB24" i="2"/>
  <c r="AB472" i="2"/>
  <c r="AB376" i="2"/>
  <c r="AB485" i="2"/>
  <c r="AB20" i="2"/>
  <c r="AB185" i="2"/>
  <c r="AB198" i="2"/>
  <c r="AB140" i="2"/>
  <c r="AB156" i="2"/>
  <c r="AB509" i="2"/>
  <c r="AB451" i="2"/>
  <c r="AB401" i="2"/>
  <c r="AB177" i="2"/>
  <c r="AB374" i="2"/>
  <c r="AB494" i="2"/>
  <c r="AB473" i="2"/>
  <c r="AB501" i="2"/>
  <c r="AB213" i="2"/>
  <c r="AB151" i="2"/>
  <c r="AB89" i="2"/>
  <c r="AB431" i="2"/>
  <c r="AB574" i="2"/>
  <c r="AB70" i="2"/>
  <c r="AB447" i="2"/>
  <c r="AB441" i="2"/>
  <c r="AB612" i="2"/>
  <c r="AB250" i="2"/>
  <c r="AB321" i="2"/>
  <c r="AB318" i="2"/>
  <c r="AB301" i="2"/>
  <c r="AB391" i="2"/>
  <c r="AB367" i="2"/>
  <c r="AB243" i="2"/>
  <c r="AB95" i="2"/>
  <c r="AB539" i="2"/>
  <c r="AB225" i="2"/>
  <c r="AB629" i="2"/>
  <c r="AB384" i="2"/>
  <c r="AB80" i="2"/>
  <c r="AB107" i="2"/>
  <c r="AB556" i="2"/>
  <c r="AB410" i="2"/>
  <c r="AB545" i="2"/>
  <c r="AB579" i="2"/>
  <c r="AB71" i="2"/>
  <c r="AB460" i="2"/>
  <c r="AB520" i="2"/>
  <c r="AB532" i="2"/>
  <c r="AB234" i="2"/>
  <c r="AB58" i="2"/>
  <c r="AB220" i="2"/>
  <c r="AB608" i="2"/>
  <c r="AB564" i="2"/>
  <c r="AB377" i="2"/>
  <c r="AB486" i="2"/>
  <c r="AB21" i="2"/>
  <c r="AB186" i="2"/>
  <c r="AB199" i="2"/>
  <c r="AB158" i="2"/>
  <c r="AB157" i="2"/>
  <c r="AB510" i="2"/>
  <c r="AB430" i="2"/>
  <c r="AB402" i="2"/>
  <c r="AB474" i="2"/>
  <c r="AB375" i="2"/>
  <c r="AB495" i="2"/>
  <c r="AB37" i="2"/>
  <c r="AB281" i="2"/>
  <c r="AB214" i="2"/>
  <c r="AB637" i="2"/>
  <c r="AB90" i="2"/>
  <c r="AB180" i="2"/>
  <c r="AB575" i="2"/>
  <c r="AB111" i="2"/>
  <c r="AB448" i="2"/>
  <c r="AB442" i="2"/>
  <c r="AB613" i="2"/>
  <c r="AB251" i="2"/>
  <c r="AB322" i="2"/>
  <c r="AB319" i="2"/>
  <c r="AB302" i="2"/>
  <c r="AB392" i="2"/>
  <c r="AB369" i="2"/>
  <c r="AB244" i="2"/>
  <c r="AB96" i="2"/>
  <c r="AB540" i="2"/>
  <c r="AB487" i="2"/>
  <c r="AB601" i="2"/>
  <c r="AB385" i="2"/>
  <c r="AB81" i="2"/>
  <c r="AB421" i="2"/>
  <c r="AB557" i="2"/>
  <c r="AB411" i="2"/>
  <c r="AB546" i="2"/>
  <c r="AB580" i="2"/>
  <c r="AB72" i="2"/>
  <c r="AB343" i="2"/>
  <c r="AB541" i="2"/>
  <c r="AB41" i="2"/>
  <c r="AB303" i="2"/>
  <c r="AB59" i="2"/>
  <c r="AB221" i="2"/>
  <c r="AB609" i="2"/>
  <c r="AB565" i="2"/>
  <c r="AB588" i="2"/>
  <c r="AB60" i="2"/>
  <c r="AB46" i="2"/>
  <c r="AB172" i="2"/>
  <c r="AB200" i="2"/>
  <c r="AB159" i="2"/>
  <c r="AB143" i="2"/>
  <c r="AB475" i="2"/>
  <c r="AB403" i="2"/>
  <c r="AB496" i="2"/>
  <c r="AB182" i="2"/>
  <c r="AB282" i="2"/>
  <c r="AB34" i="2"/>
  <c r="AB638" i="2"/>
  <c r="AB256" i="2"/>
  <c r="AB576" i="2"/>
  <c r="AB112" i="2"/>
  <c r="AB449" i="2"/>
  <c r="AB443" i="2"/>
  <c r="AB521" i="2"/>
  <c r="AB252" i="2"/>
  <c r="AB323" i="2"/>
  <c r="AB320" i="2"/>
  <c r="AB290" i="2"/>
  <c r="AB393" i="2"/>
  <c r="AB370" i="2"/>
  <c r="AB226" i="2"/>
  <c r="AB97" i="2"/>
  <c r="AB14" i="2"/>
  <c r="AB488" i="2"/>
  <c r="AB602" i="2"/>
  <c r="AB386" i="2"/>
  <c r="AB82" i="2"/>
  <c r="AB422" i="2"/>
  <c r="AB630" i="2"/>
  <c r="AB597" i="2"/>
  <c r="AB560" i="2"/>
  <c r="AB581" i="2"/>
  <c r="AB202" i="2"/>
  <c r="AB344" i="2"/>
  <c r="AB542" i="2"/>
  <c r="AB42" i="2"/>
  <c r="AB304" i="2"/>
  <c r="AB378" i="2"/>
  <c r="AB128" i="2"/>
  <c r="AB610" i="2"/>
  <c r="AB566" i="2"/>
  <c r="AB589" i="2"/>
  <c r="AB61" i="2"/>
  <c r="AB47" i="2"/>
  <c r="AB173" i="2"/>
  <c r="AB201" i="2"/>
  <c r="AB141" i="2"/>
  <c r="AB144" i="2"/>
  <c r="AB181" i="2"/>
  <c r="AB330" i="2"/>
  <c r="AB245" i="2"/>
  <c r="AB476" i="2"/>
  <c r="AB404" i="2"/>
  <c r="AB22" i="2"/>
  <c r="AB286" i="2"/>
  <c r="AB283" i="2"/>
  <c r="AB351" i="2"/>
  <c r="AB639" i="2"/>
  <c r="AB270" i="2"/>
  <c r="AB118" i="2"/>
  <c r="AB596" i="2"/>
  <c r="AB312" i="2"/>
  <c r="AB533" i="2"/>
  <c r="AB572" i="2"/>
  <c r="AB426" i="2"/>
  <c r="AB241" i="2"/>
  <c r="AB31" i="2"/>
  <c r="AB382" i="2"/>
  <c r="AB551" i="2"/>
  <c r="AB65" i="2"/>
  <c r="AB194" i="2"/>
  <c r="AB587" i="2"/>
  <c r="AB607" i="2"/>
  <c r="AB642" i="2"/>
  <c r="AB75" i="2"/>
  <c r="AB98" i="2"/>
  <c r="AB113" i="2"/>
  <c r="AB8" i="2"/>
  <c r="AB273" i="2"/>
  <c r="AB253" i="2"/>
  <c r="AB593" i="2"/>
  <c r="AB324" i="2"/>
  <c r="AB309" i="2"/>
  <c r="AB291" i="2"/>
  <c r="AB394" i="2"/>
  <c r="AB371" i="2"/>
  <c r="AB227" i="2"/>
  <c r="AB547" i="2"/>
  <c r="AB15" i="2"/>
  <c r="AB489" i="2"/>
  <c r="AB603" i="2"/>
  <c r="AB387" i="2"/>
  <c r="AB120" i="2"/>
  <c r="AB423" i="2"/>
  <c r="AB631" i="2"/>
  <c r="AB598" i="2"/>
  <c r="AB561" i="2"/>
  <c r="AB582" i="2"/>
  <c r="AB203" i="2"/>
  <c r="AB345" i="2"/>
  <c r="AB480" i="2"/>
  <c r="AB43" i="2"/>
  <c r="AB305" i="2"/>
  <c r="AB379" i="2"/>
  <c r="AB129" i="2"/>
  <c r="AB611" i="2"/>
  <c r="AB567" i="2"/>
  <c r="AB338" i="2"/>
  <c r="AB62" i="2"/>
  <c r="AB48" i="2"/>
  <c r="AB174" i="2"/>
  <c r="AB207" i="2"/>
  <c r="AB142" i="2"/>
  <c r="AB145" i="2"/>
  <c r="AB584" i="2"/>
  <c r="AB331" i="2"/>
  <c r="AB246" i="2"/>
  <c r="AB477" i="2"/>
  <c r="AB429" i="2"/>
  <c r="AB23" i="2"/>
  <c r="AB287" i="2"/>
  <c r="AB435" i="2"/>
  <c r="AB334" i="2"/>
  <c r="AB640" i="2"/>
  <c r="AB336" i="2"/>
  <c r="AB11" i="2"/>
  <c r="AB238" i="2"/>
  <c r="AB623" i="2"/>
  <c r="AB208" i="2"/>
  <c r="AB206" i="2"/>
  <c r="AB493" i="2"/>
  <c r="AB617" i="2"/>
  <c r="AB341" i="2"/>
  <c r="AB187" i="2"/>
  <c r="AB160" i="2"/>
  <c r="AB35" i="2"/>
  <c r="AB643" i="2"/>
  <c r="AB528" i="2"/>
  <c r="AB116" i="2"/>
  <c r="AB114" i="2"/>
  <c r="AB9" i="2"/>
  <c r="AB274" i="2"/>
  <c r="AB254" i="2"/>
  <c r="AB594" i="2"/>
  <c r="AB325" i="2"/>
  <c r="AB310" i="2"/>
  <c r="AB412" i="2"/>
  <c r="AB395" i="2"/>
  <c r="AB372" i="2"/>
  <c r="AB228" i="2"/>
  <c r="AB548" i="2"/>
  <c r="AB16" i="2"/>
  <c r="AB490" i="2"/>
  <c r="AB604" i="2"/>
  <c r="AB388" i="2"/>
  <c r="AB121" i="2"/>
  <c r="AB424" i="2"/>
  <c r="AB632" i="2"/>
  <c r="AB599" i="2"/>
  <c r="AB562" i="2"/>
  <c r="AB583" i="2"/>
  <c r="AB204" i="2"/>
  <c r="AB346" i="2"/>
  <c r="AB481" i="2"/>
  <c r="AB44" i="2"/>
  <c r="AB306" i="2"/>
  <c r="AB380" i="2"/>
  <c r="AB130" i="2"/>
  <c r="AB40" i="2"/>
  <c r="AB452" i="2"/>
  <c r="AB339" i="2"/>
  <c r="AB63" i="2"/>
  <c r="AB49" i="2"/>
  <c r="AB168" i="2"/>
  <c r="AB192" i="2"/>
  <c r="AB152" i="2"/>
  <c r="AB146" i="2"/>
  <c r="AB585" i="2"/>
  <c r="AB332" i="2"/>
  <c r="AB247" i="2"/>
  <c r="AB605" i="2"/>
  <c r="AB454" i="2"/>
  <c r="AB288" i="2"/>
  <c r="AB363" i="2"/>
  <c r="AB436" i="2"/>
  <c r="AB335" i="2"/>
  <c r="AB73" i="2"/>
  <c r="AB641" i="2"/>
  <c r="AB25" i="2"/>
  <c r="AB327" i="2"/>
  <c r="AB397" i="2"/>
  <c r="AB635" i="2"/>
  <c r="AB438" i="2"/>
  <c r="AB634" i="2"/>
  <c r="AB559" i="2"/>
  <c r="AB53" i="2"/>
  <c r="AB308" i="2"/>
  <c r="AB577" i="2"/>
  <c r="AB170" i="2"/>
  <c r="AB135" i="2"/>
  <c r="AB29" i="2"/>
  <c r="AB456" i="2"/>
  <c r="AB337" i="2"/>
  <c r="AB117" i="2"/>
  <c r="AB115" i="2"/>
  <c r="AB10" i="2"/>
  <c r="AB275" i="2"/>
  <c r="AB255" i="2"/>
  <c r="AB595" i="2"/>
  <c r="AB326" i="2"/>
  <c r="AB311" i="2"/>
  <c r="AB413" i="2"/>
  <c r="AB396" i="2"/>
  <c r="AB358" i="2"/>
  <c r="AB229" i="2"/>
  <c r="AB549" i="2"/>
  <c r="AB237" i="2"/>
  <c r="AB491" i="2"/>
  <c r="AB571" i="2"/>
  <c r="AB437" i="2"/>
  <c r="AB122" i="2"/>
  <c r="AB425" i="2"/>
  <c r="AB633" i="2"/>
  <c r="AB600" i="2"/>
  <c r="AB563" i="2"/>
  <c r="AB558" i="2"/>
  <c r="AB205" i="2"/>
  <c r="AB347" i="2"/>
  <c r="AB30" i="2"/>
  <c r="AB492" i="2"/>
  <c r="AB307" i="2"/>
  <c r="AB381" i="2"/>
  <c r="AB131" i="2"/>
  <c r="AB550" i="2"/>
  <c r="AB570" i="2"/>
  <c r="AB340" i="2"/>
  <c r="AB64" i="2"/>
  <c r="AB50" i="2"/>
  <c r="AB169" i="2"/>
  <c r="AB193" i="2"/>
  <c r="AB153" i="2"/>
  <c r="AB134" i="2"/>
  <c r="AB586" i="2"/>
  <c r="AB333" i="2"/>
  <c r="AB28" i="2"/>
  <c r="AB606" i="2"/>
  <c r="AB455" i="2"/>
  <c r="AB289" i="2"/>
  <c r="AB74" i="2"/>
  <c r="AB276" i="2"/>
  <c r="AB432" i="2"/>
  <c r="S432" i="2"/>
  <c r="T11" i="21"/>
  <c r="S433" i="2"/>
  <c r="AC433" i="2" s="1"/>
  <c r="S119" i="2"/>
  <c r="AC119" i="2" s="1"/>
  <c r="S26" i="2"/>
  <c r="AC26" i="2" s="1"/>
  <c r="S466" i="2"/>
  <c r="AC466" i="2" s="1"/>
  <c r="S277" i="2"/>
  <c r="AC277" i="2" s="1"/>
  <c r="S257" i="2"/>
  <c r="AC257" i="2" s="1"/>
  <c r="S262" i="2"/>
  <c r="AC262" i="2" s="1"/>
  <c r="S328" i="2"/>
  <c r="AC328" i="2" s="1"/>
  <c r="S313" i="2"/>
  <c r="AC313" i="2" s="1"/>
  <c r="S415" i="2"/>
  <c r="AC415" i="2" s="1"/>
  <c r="S398" i="2"/>
  <c r="AC398" i="2" s="1"/>
  <c r="S360" i="2"/>
  <c r="AC360" i="2" s="1"/>
  <c r="S123" i="2"/>
  <c r="AC123" i="2" s="1"/>
  <c r="S534" i="2"/>
  <c r="AC534" i="2" s="1"/>
  <c r="S239" i="2"/>
  <c r="AC239" i="2" s="1"/>
  <c r="S636" i="2"/>
  <c r="AC636" i="2" s="1"/>
  <c r="S573" i="2"/>
  <c r="AC573" i="2" s="1"/>
  <c r="S264" i="2"/>
  <c r="AC264" i="2" s="1"/>
  <c r="S624" i="2"/>
  <c r="AC624" i="2" s="1"/>
  <c r="S427" i="2"/>
  <c r="AC427" i="2" s="1"/>
  <c r="S511" i="2"/>
  <c r="AC511" i="2" s="1"/>
  <c r="S209" i="2"/>
  <c r="AC209" i="2" s="1"/>
  <c r="S242" i="2"/>
  <c r="AC242" i="2" s="1"/>
  <c r="S271" i="2"/>
  <c r="AC271" i="2" s="1"/>
  <c r="S419" i="2"/>
  <c r="AC419" i="2" s="1"/>
  <c r="S54" i="2"/>
  <c r="AC54" i="2" s="1"/>
  <c r="S32" i="2"/>
  <c r="AC32" i="2" s="1"/>
  <c r="S51" i="2"/>
  <c r="AC51" i="2" s="1"/>
  <c r="S620" i="2"/>
  <c r="AC620" i="2" s="1"/>
  <c r="S215" i="2"/>
  <c r="AC215" i="2" s="1"/>
  <c r="S618" i="2"/>
  <c r="AC618" i="2" s="1"/>
  <c r="S356" i="2"/>
  <c r="AC356" i="2" s="1"/>
  <c r="S578" i="2"/>
  <c r="AC578" i="2" s="1"/>
  <c r="S342" i="2"/>
  <c r="AC342" i="2" s="1"/>
  <c r="S428" i="2"/>
  <c r="AC428" i="2" s="1"/>
  <c r="S188" i="2"/>
  <c r="AC188" i="2" s="1"/>
  <c r="S171" i="2"/>
  <c r="AC171" i="2" s="1"/>
  <c r="S196" i="2"/>
  <c r="AC196" i="2" s="1"/>
  <c r="S161" i="2"/>
  <c r="AC161" i="2" s="1"/>
  <c r="S136" i="2"/>
  <c r="AC136" i="2" s="1"/>
  <c r="S284" i="2"/>
  <c r="AC284" i="2" s="1"/>
  <c r="S36" i="2"/>
  <c r="AC36" i="2" s="1"/>
  <c r="S526" i="2"/>
  <c r="AC526" i="2" s="1"/>
  <c r="S434" i="2"/>
  <c r="AC434" i="2" s="1"/>
  <c r="S66" i="2"/>
  <c r="AC66" i="2" s="1"/>
  <c r="S27" i="2"/>
  <c r="AC27" i="2" s="1"/>
  <c r="S467" i="2"/>
  <c r="AC467" i="2" s="1"/>
  <c r="S101" i="2"/>
  <c r="AC101" i="2" s="1"/>
  <c r="S258" i="2"/>
  <c r="AC258" i="2" s="1"/>
  <c r="S263" i="2"/>
  <c r="AC263" i="2" s="1"/>
  <c r="S329" i="2"/>
  <c r="AC329" i="2" s="1"/>
  <c r="S314" i="2"/>
  <c r="AC314" i="2" s="1"/>
  <c r="S416" i="2"/>
  <c r="AC416" i="2" s="1"/>
  <c r="S399" i="2"/>
  <c r="AC399" i="2" s="1"/>
  <c r="S361" i="2"/>
  <c r="AC361" i="2" s="1"/>
  <c r="S124" i="2"/>
  <c r="AC124" i="2" s="1"/>
  <c r="S535" i="2"/>
  <c r="AC535" i="2" s="1"/>
  <c r="S240" i="2"/>
  <c r="AC240" i="2" s="1"/>
  <c r="S625" i="2"/>
  <c r="AC625" i="2" s="1"/>
  <c r="S590" i="2"/>
  <c r="AC590" i="2" s="1"/>
  <c r="S265" i="2"/>
  <c r="AC265" i="2" s="1"/>
  <c r="S103" i="2"/>
  <c r="AC103" i="2" s="1"/>
  <c r="S368" i="2"/>
  <c r="AC368" i="2" s="1"/>
  <c r="S512" i="2"/>
  <c r="AC512" i="2" s="1"/>
  <c r="S210" i="2"/>
  <c r="AC210" i="2" s="1"/>
  <c r="S108" i="2"/>
  <c r="AC108" i="2" s="1"/>
  <c r="S272" i="2"/>
  <c r="AC272" i="2" s="1"/>
  <c r="S420" i="2"/>
  <c r="AC420" i="2" s="1"/>
  <c r="S55" i="2"/>
  <c r="AC55" i="2" s="1"/>
  <c r="S33" i="2"/>
  <c r="AC33" i="2" s="1"/>
  <c r="S52" i="2"/>
  <c r="AC52" i="2" s="1"/>
  <c r="S621" i="2"/>
  <c r="AC621" i="2" s="1"/>
  <c r="S216" i="2"/>
  <c r="AC216" i="2" s="1"/>
  <c r="S619" i="2"/>
  <c r="AC619" i="2" s="1"/>
  <c r="S357" i="2"/>
  <c r="AC357" i="2" s="1"/>
  <c r="S614" i="2"/>
  <c r="AC614" i="2" s="1"/>
  <c r="S482" i="2"/>
  <c r="AC482" i="2" s="1"/>
  <c r="S17" i="2"/>
  <c r="AC17" i="2" s="1"/>
  <c r="S189" i="2"/>
  <c r="AC189" i="2" s="1"/>
  <c r="S165" i="2"/>
  <c r="AC165" i="2" s="1"/>
  <c r="S197" i="2"/>
  <c r="AC197" i="2" s="1"/>
  <c r="S162" i="2"/>
  <c r="AC162" i="2" s="1"/>
  <c r="S137" i="2"/>
  <c r="AC137" i="2" s="1"/>
  <c r="S285" i="2"/>
  <c r="AC285" i="2" s="1"/>
  <c r="S38" i="2"/>
  <c r="AC38" i="2" s="1"/>
  <c r="S527" i="2"/>
  <c r="AC527" i="2" s="1"/>
  <c r="S13" i="2"/>
  <c r="AC13" i="2" s="1"/>
  <c r="S647" i="2"/>
  <c r="AC647" i="2" s="1"/>
  <c r="S645" i="2"/>
  <c r="AC645" i="2" s="1"/>
  <c r="S498" i="2"/>
  <c r="AC498" i="2" s="1"/>
  <c r="S530" i="2"/>
  <c r="AC530" i="2" s="1"/>
  <c r="S295" i="2"/>
  <c r="AC295" i="2" s="1"/>
  <c r="S67" i="2"/>
  <c r="AC67" i="2" s="1"/>
  <c r="S444" i="2"/>
  <c r="AC444" i="2" s="1"/>
  <c r="S468" i="2"/>
  <c r="AC468" i="2" s="1"/>
  <c r="S102" i="2"/>
  <c r="AC102" i="2" s="1"/>
  <c r="S259" i="2"/>
  <c r="AC259" i="2" s="1"/>
  <c r="S552" i="2"/>
  <c r="AC552" i="2" s="1"/>
  <c r="S315" i="2"/>
  <c r="AC315" i="2" s="1"/>
  <c r="S298" i="2"/>
  <c r="AC298" i="2" s="1"/>
  <c r="S417" i="2"/>
  <c r="AC417" i="2" s="1"/>
  <c r="S364" i="2"/>
  <c r="AC364" i="2" s="1"/>
  <c r="S362" i="2"/>
  <c r="AC362" i="2" s="1"/>
  <c r="S125" i="2"/>
  <c r="AC125" i="2" s="1"/>
  <c r="S536" i="2"/>
  <c r="AC536" i="2" s="1"/>
  <c r="S222" i="2"/>
  <c r="AC222" i="2" s="1"/>
  <c r="S626" i="2"/>
  <c r="AC626" i="2" s="1"/>
  <c r="S591" i="2"/>
  <c r="AC591" i="2" s="1"/>
  <c r="S266" i="2"/>
  <c r="AC266" i="2" s="1"/>
  <c r="S104" i="2"/>
  <c r="AC104" i="2" s="1"/>
  <c r="S405" i="2"/>
  <c r="AC405" i="2" s="1"/>
  <c r="S407" i="2"/>
  <c r="AC407" i="2" s="1"/>
  <c r="S211" i="2"/>
  <c r="AC211" i="2" s="1"/>
  <c r="S109" i="2"/>
  <c r="AC109" i="2" s="1"/>
  <c r="S292" i="2"/>
  <c r="AC292" i="2" s="1"/>
  <c r="S522" i="2"/>
  <c r="AC522" i="2" s="1"/>
  <c r="S56" i="2"/>
  <c r="AC56" i="2" s="1"/>
  <c r="S478" i="2"/>
  <c r="AC478" i="2" s="1"/>
  <c r="S231" i="2"/>
  <c r="AC231" i="2" s="1"/>
  <c r="S622" i="2"/>
  <c r="AC622" i="2" s="1"/>
  <c r="S217" i="2"/>
  <c r="AC217" i="2" s="1"/>
  <c r="S457" i="2"/>
  <c r="AC457" i="2" s="1"/>
  <c r="S470" i="2"/>
  <c r="AC470" i="2" s="1"/>
  <c r="S615" i="2"/>
  <c r="AC615" i="2" s="1"/>
  <c r="S483" i="2"/>
  <c r="AC483" i="2" s="1"/>
  <c r="S18" i="2"/>
  <c r="AC18" i="2" s="1"/>
  <c r="S190" i="2"/>
  <c r="AC190" i="2" s="1"/>
  <c r="S166" i="2"/>
  <c r="AC166" i="2" s="1"/>
  <c r="S138" i="2"/>
  <c r="AC138" i="2" s="1"/>
  <c r="S154" i="2"/>
  <c r="AC154" i="2" s="1"/>
  <c r="S507" i="2"/>
  <c r="AC507" i="2" s="1"/>
  <c r="S296" i="2"/>
  <c r="AC296" i="2" s="1"/>
  <c r="S68" i="2"/>
  <c r="AC68" i="2" s="1"/>
  <c r="S445" i="2"/>
  <c r="AC445" i="2" s="1"/>
  <c r="S439" i="2"/>
  <c r="AC439" i="2" s="1"/>
  <c r="S163" i="2"/>
  <c r="AC163" i="2" s="1"/>
  <c r="S248" i="2"/>
  <c r="AC248" i="2" s="1"/>
  <c r="S553" i="2"/>
  <c r="AC553" i="2" s="1"/>
  <c r="S316" i="2"/>
  <c r="AC316" i="2" s="1"/>
  <c r="S299" i="2"/>
  <c r="AC299" i="2" s="1"/>
  <c r="S389" i="2"/>
  <c r="AC389" i="2" s="1"/>
  <c r="S365" i="2"/>
  <c r="AC365" i="2" s="1"/>
  <c r="S352" i="2"/>
  <c r="AC352" i="2" s="1"/>
  <c r="S461" i="2"/>
  <c r="AC461" i="2" s="1"/>
  <c r="S537" i="2"/>
  <c r="AC537" i="2" s="1"/>
  <c r="S223" i="2"/>
  <c r="AC223" i="2" s="1"/>
  <c r="S627" i="2"/>
  <c r="AC627" i="2" s="1"/>
  <c r="S592" i="2"/>
  <c r="AC592" i="2" s="1"/>
  <c r="S267" i="2"/>
  <c r="AC267" i="2" s="1"/>
  <c r="S105" i="2"/>
  <c r="AC105" i="2" s="1"/>
  <c r="S406" i="2"/>
  <c r="AC406" i="2" s="1"/>
  <c r="S408" i="2"/>
  <c r="AC408" i="2" s="1"/>
  <c r="S543" i="2"/>
  <c r="AC543" i="2" s="1"/>
  <c r="S110" i="2"/>
  <c r="AC110" i="2" s="1"/>
  <c r="S293" i="2"/>
  <c r="AC293" i="2" s="1"/>
  <c r="S523" i="2"/>
  <c r="AC523" i="2" s="1"/>
  <c r="S518" i="2"/>
  <c r="AC518" i="2" s="1"/>
  <c r="S479" i="2"/>
  <c r="AC479" i="2" s="1"/>
  <c r="S232" i="2"/>
  <c r="AC232" i="2" s="1"/>
  <c r="S45" i="2"/>
  <c r="AC45" i="2" s="1"/>
  <c r="S218" i="2"/>
  <c r="AC218" i="2" s="1"/>
  <c r="S458" i="2"/>
  <c r="AC458" i="2" s="1"/>
  <c r="S471" i="2"/>
  <c r="AC471" i="2" s="1"/>
  <c r="S616" i="2"/>
  <c r="AC616" i="2" s="1"/>
  <c r="S484" i="2"/>
  <c r="AC484" i="2" s="1"/>
  <c r="S19" i="2"/>
  <c r="AC19" i="2" s="1"/>
  <c r="S191" i="2"/>
  <c r="AC191" i="2" s="1"/>
  <c r="S167" i="2"/>
  <c r="AC167" i="2" s="1"/>
  <c r="S139" i="2"/>
  <c r="AC139" i="2" s="1"/>
  <c r="S155" i="2"/>
  <c r="AC155" i="2" s="1"/>
  <c r="S297" i="2"/>
  <c r="AC297" i="2" s="1"/>
  <c r="S69" i="2"/>
  <c r="AC69" i="2" s="1"/>
  <c r="S446" i="2"/>
  <c r="AC446" i="2" s="1"/>
  <c r="S440" i="2"/>
  <c r="AC440" i="2" s="1"/>
  <c r="S164" i="2"/>
  <c r="AC164" i="2" s="1"/>
  <c r="S249" i="2"/>
  <c r="AC249" i="2" s="1"/>
  <c r="S554" i="2"/>
  <c r="AC554" i="2" s="1"/>
  <c r="S317" i="2"/>
  <c r="AC317" i="2" s="1"/>
  <c r="S300" i="2"/>
  <c r="AC300" i="2" s="1"/>
  <c r="S390" i="2"/>
  <c r="AC390" i="2" s="1"/>
  <c r="S366" i="2"/>
  <c r="AC366" i="2" s="1"/>
  <c r="S353" i="2"/>
  <c r="AC353" i="2" s="1"/>
  <c r="S94" i="2"/>
  <c r="AC94" i="2" s="1"/>
  <c r="S538" i="2"/>
  <c r="AC538" i="2" s="1"/>
  <c r="S224" i="2"/>
  <c r="AC224" i="2" s="1"/>
  <c r="S628" i="2"/>
  <c r="AC628" i="2" s="1"/>
  <c r="S383" i="2"/>
  <c r="AC383" i="2" s="1"/>
  <c r="S79" i="2"/>
  <c r="AC79" i="2" s="1"/>
  <c r="S106" i="2"/>
  <c r="AC106" i="2" s="1"/>
  <c r="S555" i="2"/>
  <c r="AC555" i="2" s="1"/>
  <c r="S409" i="2"/>
  <c r="AC409" i="2" s="1"/>
  <c r="S544" i="2"/>
  <c r="AC544" i="2" s="1"/>
  <c r="S517" i="2"/>
  <c r="AC517" i="2" s="1"/>
  <c r="S294" i="2"/>
  <c r="AC294" i="2" s="1"/>
  <c r="S459" i="2"/>
  <c r="AC459" i="2" s="1"/>
  <c r="S519" i="2"/>
  <c r="AC519" i="2" s="1"/>
  <c r="S531" i="2"/>
  <c r="AC531" i="2" s="1"/>
  <c r="S233" i="2"/>
  <c r="AC233" i="2" s="1"/>
  <c r="S57" i="2"/>
  <c r="AC57" i="2" s="1"/>
  <c r="S219" i="2"/>
  <c r="AC219" i="2" s="1"/>
  <c r="S24" i="2"/>
  <c r="AC24" i="2" s="1"/>
  <c r="S472" i="2"/>
  <c r="AC472" i="2" s="1"/>
  <c r="S376" i="2"/>
  <c r="AC376" i="2" s="1"/>
  <c r="S485" i="2"/>
  <c r="AC485" i="2" s="1"/>
  <c r="S20" i="2"/>
  <c r="AC20" i="2" s="1"/>
  <c r="S185" i="2"/>
  <c r="AC185" i="2" s="1"/>
  <c r="S198" i="2"/>
  <c r="AC198" i="2" s="1"/>
  <c r="S140" i="2"/>
  <c r="AC140" i="2" s="1"/>
  <c r="S156" i="2"/>
  <c r="AC156" i="2" s="1"/>
  <c r="S574" i="2"/>
  <c r="AC574" i="2" s="1"/>
  <c r="S70" i="2"/>
  <c r="AC70" i="2" s="1"/>
  <c r="S447" i="2"/>
  <c r="AC447" i="2" s="1"/>
  <c r="S441" i="2"/>
  <c r="AC441" i="2" s="1"/>
  <c r="S612" i="2"/>
  <c r="AC612" i="2" s="1"/>
  <c r="S250" i="2"/>
  <c r="AC250" i="2" s="1"/>
  <c r="S321" i="2"/>
  <c r="AC321" i="2" s="1"/>
  <c r="S318" i="2"/>
  <c r="AC318" i="2" s="1"/>
  <c r="S301" i="2"/>
  <c r="AC301" i="2" s="1"/>
  <c r="S391" i="2"/>
  <c r="AC391" i="2" s="1"/>
  <c r="S367" i="2"/>
  <c r="AC367" i="2" s="1"/>
  <c r="S243" i="2"/>
  <c r="AC243" i="2" s="1"/>
  <c r="S95" i="2"/>
  <c r="AC95" i="2" s="1"/>
  <c r="S539" i="2"/>
  <c r="AC539" i="2" s="1"/>
  <c r="S225" i="2"/>
  <c r="AC225" i="2" s="1"/>
  <c r="S629" i="2"/>
  <c r="AC629" i="2" s="1"/>
  <c r="S384" i="2"/>
  <c r="AC384" i="2" s="1"/>
  <c r="S80" i="2"/>
  <c r="AC80" i="2" s="1"/>
  <c r="S107" i="2"/>
  <c r="AC107" i="2" s="1"/>
  <c r="S556" i="2"/>
  <c r="AC556" i="2" s="1"/>
  <c r="S410" i="2"/>
  <c r="AC410" i="2" s="1"/>
  <c r="S545" i="2"/>
  <c r="AC545" i="2" s="1"/>
  <c r="S579" i="2"/>
  <c r="AC579" i="2" s="1"/>
  <c r="S71" i="2"/>
  <c r="AC71" i="2" s="1"/>
  <c r="S460" i="2"/>
  <c r="AC460" i="2" s="1"/>
  <c r="S520" i="2"/>
  <c r="AC520" i="2" s="1"/>
  <c r="S532" i="2"/>
  <c r="AC532" i="2" s="1"/>
  <c r="S234" i="2"/>
  <c r="AC234" i="2" s="1"/>
  <c r="S58" i="2"/>
  <c r="AC58" i="2" s="1"/>
  <c r="S220" i="2"/>
  <c r="AC220" i="2" s="1"/>
  <c r="S608" i="2"/>
  <c r="AC608" i="2" s="1"/>
  <c r="S564" i="2"/>
  <c r="AC564" i="2" s="1"/>
  <c r="S377" i="2"/>
  <c r="AC377" i="2" s="1"/>
  <c r="S486" i="2"/>
  <c r="AC486" i="2" s="1"/>
  <c r="S21" i="2"/>
  <c r="AC21" i="2" s="1"/>
  <c r="S186" i="2"/>
  <c r="AC186" i="2" s="1"/>
  <c r="S199" i="2"/>
  <c r="AC199" i="2" s="1"/>
  <c r="S158" i="2"/>
  <c r="AC158" i="2" s="1"/>
  <c r="S157" i="2"/>
  <c r="AC157" i="2" s="1"/>
  <c r="S510" i="2"/>
  <c r="AC510" i="2" s="1"/>
  <c r="S430" i="2"/>
  <c r="AC430" i="2" s="1"/>
  <c r="S402" i="2"/>
  <c r="AC402" i="2" s="1"/>
  <c r="S474" i="2"/>
  <c r="AC474" i="2" s="1"/>
  <c r="S375" i="2"/>
  <c r="AC375" i="2" s="1"/>
  <c r="S495" i="2"/>
  <c r="AC495" i="2" s="1"/>
  <c r="S37" i="2"/>
  <c r="AC37" i="2" s="1"/>
  <c r="S281" i="2"/>
  <c r="AC281" i="2" s="1"/>
  <c r="S214" i="2"/>
  <c r="AC214" i="2" s="1"/>
  <c r="S637" i="2"/>
  <c r="AC637" i="2" s="1"/>
  <c r="S90" i="2"/>
  <c r="AC90" i="2" s="1"/>
  <c r="S575" i="2"/>
  <c r="AC575" i="2" s="1"/>
  <c r="S111" i="2"/>
  <c r="AC111" i="2" s="1"/>
  <c r="S448" i="2"/>
  <c r="AC448" i="2" s="1"/>
  <c r="S442" i="2"/>
  <c r="AC442" i="2" s="1"/>
  <c r="S613" i="2"/>
  <c r="AC613" i="2" s="1"/>
  <c r="S251" i="2"/>
  <c r="AC251" i="2" s="1"/>
  <c r="S322" i="2"/>
  <c r="AC322" i="2" s="1"/>
  <c r="S319" i="2"/>
  <c r="AC319" i="2" s="1"/>
  <c r="S302" i="2"/>
  <c r="AC302" i="2" s="1"/>
  <c r="S392" i="2"/>
  <c r="AC392" i="2" s="1"/>
  <c r="S369" i="2"/>
  <c r="AC369" i="2" s="1"/>
  <c r="S244" i="2"/>
  <c r="AC244" i="2" s="1"/>
  <c r="S96" i="2"/>
  <c r="AC96" i="2" s="1"/>
  <c r="S540" i="2"/>
  <c r="AC540" i="2" s="1"/>
  <c r="S487" i="2"/>
  <c r="AC487" i="2" s="1"/>
  <c r="S601" i="2"/>
  <c r="AC601" i="2" s="1"/>
  <c r="S385" i="2"/>
  <c r="AC385" i="2" s="1"/>
  <c r="S81" i="2"/>
  <c r="AC81" i="2" s="1"/>
  <c r="S421" i="2"/>
  <c r="AC421" i="2" s="1"/>
  <c r="S557" i="2"/>
  <c r="AC557" i="2" s="1"/>
  <c r="S411" i="2"/>
  <c r="AC411" i="2" s="1"/>
  <c r="S546" i="2"/>
  <c r="AC546" i="2" s="1"/>
  <c r="S580" i="2"/>
  <c r="AC580" i="2" s="1"/>
  <c r="S72" i="2"/>
  <c r="AC72" i="2" s="1"/>
  <c r="S343" i="2"/>
  <c r="AC343" i="2" s="1"/>
  <c r="S541" i="2"/>
  <c r="AC541" i="2" s="1"/>
  <c r="S41" i="2"/>
  <c r="AC41" i="2" s="1"/>
  <c r="S303" i="2"/>
  <c r="AC303" i="2" s="1"/>
  <c r="S59" i="2"/>
  <c r="AC59" i="2" s="1"/>
  <c r="S576" i="2"/>
  <c r="AC576" i="2" s="1"/>
  <c r="S9" i="2"/>
  <c r="AC9" i="2" s="1"/>
  <c r="S256" i="2"/>
  <c r="AC256" i="2" s="1"/>
  <c r="S309" i="2"/>
  <c r="AC309" i="2" s="1"/>
  <c r="S396" i="2"/>
  <c r="AC396" i="2" s="1"/>
  <c r="S97" i="2"/>
  <c r="AC97" i="2" s="1"/>
  <c r="S490" i="2"/>
  <c r="AC490" i="2" s="1"/>
  <c r="S438" i="2"/>
  <c r="AC438" i="2" s="1"/>
  <c r="S631" i="2"/>
  <c r="AC631" i="2" s="1"/>
  <c r="S563" i="2"/>
  <c r="AC563" i="2" s="1"/>
  <c r="S344" i="2"/>
  <c r="AC344" i="2" s="1"/>
  <c r="S44" i="2"/>
  <c r="AC44" i="2" s="1"/>
  <c r="S382" i="2"/>
  <c r="AC382" i="2" s="1"/>
  <c r="S551" i="2"/>
  <c r="AC551" i="2" s="1"/>
  <c r="S341" i="2"/>
  <c r="AC341" i="2" s="1"/>
  <c r="S187" i="2"/>
  <c r="AC187" i="2" s="1"/>
  <c r="S194" i="2"/>
  <c r="AC194" i="2" s="1"/>
  <c r="S135" i="2"/>
  <c r="AC135" i="2" s="1"/>
  <c r="S431" i="2"/>
  <c r="AC431" i="2" s="1"/>
  <c r="S247" i="2"/>
  <c r="AC247" i="2" s="1"/>
  <c r="S12" i="2"/>
  <c r="AC12" i="2" s="1"/>
  <c r="S649" i="2"/>
  <c r="AC649" i="2" s="1"/>
  <c r="S182" i="2"/>
  <c r="AC182" i="2" s="1"/>
  <c r="S435" i="2"/>
  <c r="AC435" i="2" s="1"/>
  <c r="S336" i="2"/>
  <c r="AC336" i="2" s="1"/>
  <c r="S75" i="2"/>
  <c r="AC75" i="2" s="1"/>
  <c r="S98" i="2"/>
  <c r="AC98" i="2" s="1"/>
  <c r="S10" i="2"/>
  <c r="AC10" i="2" s="1"/>
  <c r="S252" i="2"/>
  <c r="AC252" i="2" s="1"/>
  <c r="S310" i="2"/>
  <c r="AC310" i="2" s="1"/>
  <c r="S397" i="2"/>
  <c r="AC397" i="2" s="1"/>
  <c r="S547" i="2"/>
  <c r="AC547" i="2" s="1"/>
  <c r="S491" i="2"/>
  <c r="AC491" i="2" s="1"/>
  <c r="S82" i="2"/>
  <c r="AC82" i="2" s="1"/>
  <c r="S632" i="2"/>
  <c r="AC632" i="2" s="1"/>
  <c r="S241" i="2"/>
  <c r="AC241" i="2" s="1"/>
  <c r="S345" i="2"/>
  <c r="AC345" i="2" s="1"/>
  <c r="S492" i="2"/>
  <c r="AC492" i="2" s="1"/>
  <c r="S221" i="2"/>
  <c r="AC221" i="2" s="1"/>
  <c r="S565" i="2"/>
  <c r="AC565" i="2" s="1"/>
  <c r="S60" i="2"/>
  <c r="AC60" i="2" s="1"/>
  <c r="S172" i="2"/>
  <c r="AC172" i="2" s="1"/>
  <c r="S159" i="2"/>
  <c r="AC159" i="2" s="1"/>
  <c r="S508" i="2"/>
  <c r="AC508" i="2" s="1"/>
  <c r="S330" i="2"/>
  <c r="AC330" i="2" s="1"/>
  <c r="S28" i="2"/>
  <c r="AC28" i="2" s="1"/>
  <c r="S280" i="2"/>
  <c r="AC280" i="2" s="1"/>
  <c r="S494" i="2"/>
  <c r="AC494" i="2" s="1"/>
  <c r="S286" i="2"/>
  <c r="AC286" i="2" s="1"/>
  <c r="S436" i="2"/>
  <c r="AC436" i="2" s="1"/>
  <c r="S337" i="2"/>
  <c r="AC337" i="2" s="1"/>
  <c r="S76" i="2"/>
  <c r="AC76" i="2" s="1"/>
  <c r="S116" i="2"/>
  <c r="AC116" i="2" s="1"/>
  <c r="S11" i="2"/>
  <c r="AC11" i="2" s="1"/>
  <c r="S593" i="2"/>
  <c r="AC593" i="2" s="1"/>
  <c r="S311" i="2"/>
  <c r="AC311" i="2" s="1"/>
  <c r="S370" i="2"/>
  <c r="AC370" i="2" s="1"/>
  <c r="S548" i="2"/>
  <c r="AC548" i="2" s="1"/>
  <c r="S635" i="2"/>
  <c r="AC635" i="2" s="1"/>
  <c r="S120" i="2"/>
  <c r="AC120" i="2" s="1"/>
  <c r="S633" i="2"/>
  <c r="AC633" i="2" s="1"/>
  <c r="S581" i="2"/>
  <c r="AC581" i="2" s="1"/>
  <c r="S346" i="2"/>
  <c r="AC346" i="2" s="1"/>
  <c r="S493" i="2"/>
  <c r="AC493" i="2" s="1"/>
  <c r="S128" i="2"/>
  <c r="AC128" i="2" s="1"/>
  <c r="S566" i="2"/>
  <c r="AC566" i="2" s="1"/>
  <c r="S61" i="2"/>
  <c r="AC61" i="2" s="1"/>
  <c r="S173" i="2"/>
  <c r="AC173" i="2" s="1"/>
  <c r="S141" i="2"/>
  <c r="AC141" i="2" s="1"/>
  <c r="S509" i="2"/>
  <c r="AC509" i="2" s="1"/>
  <c r="S331" i="2"/>
  <c r="AC331" i="2" s="1"/>
  <c r="S29" i="2"/>
  <c r="AC29" i="2" s="1"/>
  <c r="S373" i="2"/>
  <c r="AC373" i="2" s="1"/>
  <c r="S496" i="2"/>
  <c r="AC496" i="2" s="1"/>
  <c r="S287" i="2"/>
  <c r="AC287" i="2" s="1"/>
  <c r="S270" i="2"/>
  <c r="AC270" i="2" s="1"/>
  <c r="S147" i="2"/>
  <c r="AC147" i="2" s="1"/>
  <c r="S77" i="2"/>
  <c r="AC77" i="2" s="1"/>
  <c r="S117" i="2"/>
  <c r="AC117" i="2" s="1"/>
  <c r="S443" i="2"/>
  <c r="AC443" i="2" s="1"/>
  <c r="S594" i="2"/>
  <c r="AC594" i="2" s="1"/>
  <c r="S312" i="2"/>
  <c r="AC312" i="2" s="1"/>
  <c r="S371" i="2"/>
  <c r="AC371" i="2" s="1"/>
  <c r="S549" i="2"/>
  <c r="AC549" i="2" s="1"/>
  <c r="S602" i="2"/>
  <c r="AC602" i="2" s="1"/>
  <c r="S121" i="2"/>
  <c r="AC121" i="2" s="1"/>
  <c r="S634" i="2"/>
  <c r="AC634" i="2" s="1"/>
  <c r="S582" i="2"/>
  <c r="AC582" i="2" s="1"/>
  <c r="S347" i="2"/>
  <c r="AC347" i="2" s="1"/>
  <c r="S304" i="2"/>
  <c r="AC304" i="2" s="1"/>
  <c r="S129" i="2"/>
  <c r="AC129" i="2" s="1"/>
  <c r="S567" i="2"/>
  <c r="AC567" i="2" s="1"/>
  <c r="S62" i="2"/>
  <c r="AC62" i="2" s="1"/>
  <c r="S174" i="2"/>
  <c r="AC174" i="2" s="1"/>
  <c r="S142" i="2"/>
  <c r="AC142" i="2" s="1"/>
  <c r="S180" i="2"/>
  <c r="AC180" i="2" s="1"/>
  <c r="S332" i="2"/>
  <c r="AC332" i="2" s="1"/>
  <c r="S175" i="2"/>
  <c r="AC175" i="2" s="1"/>
  <c r="S374" i="2"/>
  <c r="AC374" i="2" s="1"/>
  <c r="S22" i="2"/>
  <c r="AC22" i="2" s="1"/>
  <c r="S363" i="2"/>
  <c r="AC363" i="2" s="1"/>
  <c r="S528" i="2"/>
  <c r="AC528" i="2" s="1"/>
  <c r="S148" i="2"/>
  <c r="AC148" i="2" s="1"/>
  <c r="S78" i="2"/>
  <c r="AC78" i="2" s="1"/>
  <c r="S603" i="2"/>
  <c r="AC603" i="2" s="1"/>
  <c r="S597" i="2"/>
  <c r="AC597" i="2" s="1"/>
  <c r="S583" i="2"/>
  <c r="AC583" i="2" s="1"/>
  <c r="S53" i="2"/>
  <c r="AC53" i="2" s="1"/>
  <c r="S130" i="2"/>
  <c r="AC130" i="2" s="1"/>
  <c r="S452" i="2"/>
  <c r="AC452" i="2" s="1"/>
  <c r="S63" i="2"/>
  <c r="AC63" i="2" s="1"/>
  <c r="S168" i="2"/>
  <c r="AC168" i="2" s="1"/>
  <c r="S152" i="2"/>
  <c r="AC152" i="2" s="1"/>
  <c r="S181" i="2"/>
  <c r="AC181" i="2" s="1"/>
  <c r="S176" i="2"/>
  <c r="AC176" i="2" s="1"/>
  <c r="S403" i="2"/>
  <c r="AC403" i="2" s="1"/>
  <c r="S23" i="2"/>
  <c r="AC23" i="2" s="1"/>
  <c r="S641" i="2"/>
  <c r="AC641" i="2" s="1"/>
  <c r="S529" i="2"/>
  <c r="AC529" i="2" s="1"/>
  <c r="S149" i="2"/>
  <c r="AC149" i="2" s="1"/>
  <c r="S88" i="2"/>
  <c r="AC88" i="2" s="1"/>
  <c r="S112" i="2"/>
  <c r="AC112" i="2" s="1"/>
  <c r="S596" i="2"/>
  <c r="AC596" i="2" s="1"/>
  <c r="S291" i="2"/>
  <c r="AC291" i="2" s="1"/>
  <c r="S358" i="2"/>
  <c r="AC358" i="2" s="1"/>
  <c r="S14" i="2"/>
  <c r="AC14" i="2" s="1"/>
  <c r="S604" i="2"/>
  <c r="AC604" i="2" s="1"/>
  <c r="S623" i="2"/>
  <c r="AC623" i="2" s="1"/>
  <c r="S598" i="2"/>
  <c r="AC598" i="2" s="1"/>
  <c r="S558" i="2"/>
  <c r="AC558" i="2" s="1"/>
  <c r="S306" i="2"/>
  <c r="AC306" i="2" s="1"/>
  <c r="S131" i="2"/>
  <c r="AC131" i="2" s="1"/>
  <c r="S570" i="2"/>
  <c r="AC570" i="2" s="1"/>
  <c r="S64" i="2"/>
  <c r="AC64" i="2" s="1"/>
  <c r="S169" i="2"/>
  <c r="AC169" i="2" s="1"/>
  <c r="S153" i="2"/>
  <c r="AC153" i="2" s="1"/>
  <c r="S35" i="2"/>
  <c r="AC35" i="2" s="1"/>
  <c r="S177" i="2"/>
  <c r="AC177" i="2" s="1"/>
  <c r="S404" i="2"/>
  <c r="AC404" i="2" s="1"/>
  <c r="S288" i="2"/>
  <c r="AC288" i="2" s="1"/>
  <c r="S524" i="2"/>
  <c r="AC524" i="2" s="1"/>
  <c r="S150" i="2"/>
  <c r="AC150" i="2" s="1"/>
  <c r="S89" i="2"/>
  <c r="AC89" i="2" s="1"/>
  <c r="S113" i="2"/>
  <c r="AC113" i="2" s="1"/>
  <c r="S323" i="2"/>
  <c r="AC323" i="2" s="1"/>
  <c r="S412" i="2"/>
  <c r="AC412" i="2" s="1"/>
  <c r="S359" i="2"/>
  <c r="AC359" i="2" s="1"/>
  <c r="S15" i="2"/>
  <c r="AC15" i="2" s="1"/>
  <c r="S571" i="2"/>
  <c r="AC571" i="2" s="1"/>
  <c r="S422" i="2"/>
  <c r="AC422" i="2" s="1"/>
  <c r="S599" i="2"/>
  <c r="AC599" i="2" s="1"/>
  <c r="S118" i="2"/>
  <c r="AC118" i="2" s="1"/>
  <c r="S273" i="2"/>
  <c r="AC273" i="2" s="1"/>
  <c r="S595" i="2"/>
  <c r="AC595" i="2" s="1"/>
  <c r="S290" i="2"/>
  <c r="AC290" i="2" s="1"/>
  <c r="S372" i="2"/>
  <c r="AC372" i="2" s="1"/>
  <c r="S533" i="2"/>
  <c r="AC533" i="2" s="1"/>
  <c r="S122" i="2"/>
  <c r="AC122" i="2" s="1"/>
  <c r="S305" i="2"/>
  <c r="AC305" i="2" s="1"/>
  <c r="S333" i="2"/>
  <c r="AC333" i="2" s="1"/>
  <c r="S274" i="2"/>
  <c r="AC274" i="2" s="1"/>
  <c r="S542" i="2"/>
  <c r="AC542" i="2" s="1"/>
  <c r="S584" i="2"/>
  <c r="AC584" i="2" s="1"/>
  <c r="S642" i="2"/>
  <c r="AC642" i="2" s="1"/>
  <c r="S275" i="2"/>
  <c r="AC275" i="2" s="1"/>
  <c r="S114" i="2"/>
  <c r="AC114" i="2" s="1"/>
  <c r="S326" i="2"/>
  <c r="AC326" i="2" s="1"/>
  <c r="S230" i="2"/>
  <c r="AC230" i="2" s="1"/>
  <c r="S424" i="2"/>
  <c r="AC424" i="2" s="1"/>
  <c r="S204" i="2"/>
  <c r="AC204" i="2" s="1"/>
  <c r="S379" i="2"/>
  <c r="AC379" i="2" s="1"/>
  <c r="S338" i="2"/>
  <c r="AC338" i="2" s="1"/>
  <c r="S207" i="2"/>
  <c r="AC207" i="2" s="1"/>
  <c r="S212" i="2"/>
  <c r="AC212" i="2" s="1"/>
  <c r="S605" i="2"/>
  <c r="AC605" i="2" s="1"/>
  <c r="S278" i="2"/>
  <c r="AC278" i="2" s="1"/>
  <c r="S351" i="2"/>
  <c r="AC351" i="2" s="1"/>
  <c r="S639" i="2"/>
  <c r="AC639" i="2" s="1"/>
  <c r="S560" i="2"/>
  <c r="AC560" i="2" s="1"/>
  <c r="S386" i="2"/>
  <c r="AC386" i="2" s="1"/>
  <c r="S646" i="2"/>
  <c r="AC646" i="2" s="1"/>
  <c r="S562" i="2"/>
  <c r="AC562" i="2" s="1"/>
  <c r="S74" i="2"/>
  <c r="AC74" i="2" s="1"/>
  <c r="S307" i="2"/>
  <c r="AC307" i="2" s="1"/>
  <c r="S586" i="2"/>
  <c r="AC586" i="2" s="1"/>
  <c r="S203" i="2"/>
  <c r="AC203" i="2" s="1"/>
  <c r="S115" i="2"/>
  <c r="AC115" i="2" s="1"/>
  <c r="S327" i="2"/>
  <c r="AC327" i="2" s="1"/>
  <c r="S16" i="2"/>
  <c r="AC16" i="2" s="1"/>
  <c r="S425" i="2"/>
  <c r="AC425" i="2" s="1"/>
  <c r="S205" i="2"/>
  <c r="AC205" i="2" s="1"/>
  <c r="S380" i="2"/>
  <c r="AC380" i="2" s="1"/>
  <c r="S339" i="2"/>
  <c r="AC339" i="2" s="1"/>
  <c r="S192" i="2"/>
  <c r="AC192" i="2" s="1"/>
  <c r="S450" i="2"/>
  <c r="AC450" i="2" s="1"/>
  <c r="S606" i="2"/>
  <c r="AC606" i="2" s="1"/>
  <c r="S279" i="2"/>
  <c r="AC279" i="2" s="1"/>
  <c r="S334" i="2"/>
  <c r="AC334" i="2" s="1"/>
  <c r="S572" i="2"/>
  <c r="AC572" i="2" s="1"/>
  <c r="S640" i="2"/>
  <c r="AC640" i="2" s="1"/>
  <c r="S40" i="2"/>
  <c r="AC40" i="2" s="1"/>
  <c r="S43" i="2"/>
  <c r="AC43" i="2" s="1"/>
  <c r="S648" i="2"/>
  <c r="AC648" i="2" s="1"/>
  <c r="S227" i="2"/>
  <c r="AC227" i="2" s="1"/>
  <c r="S525" i="2"/>
  <c r="AC525" i="2" s="1"/>
  <c r="S476" i="2"/>
  <c r="AC476" i="2" s="1"/>
  <c r="S229" i="2"/>
  <c r="AC229" i="2" s="1"/>
  <c r="S644" i="2"/>
  <c r="AC644" i="2" s="1"/>
  <c r="S25" i="2"/>
  <c r="AC25" i="2" s="1"/>
  <c r="S320" i="2"/>
  <c r="AC320" i="2" s="1"/>
  <c r="S237" i="2"/>
  <c r="AC237" i="2" s="1"/>
  <c r="S426" i="2"/>
  <c r="AC426" i="2" s="1"/>
  <c r="S206" i="2"/>
  <c r="AC206" i="2" s="1"/>
  <c r="S381" i="2"/>
  <c r="AC381" i="2" s="1"/>
  <c r="S340" i="2"/>
  <c r="AC340" i="2" s="1"/>
  <c r="S193" i="2"/>
  <c r="AC193" i="2" s="1"/>
  <c r="S451" i="2"/>
  <c r="AC451" i="2" s="1"/>
  <c r="S607" i="2"/>
  <c r="AC607" i="2" s="1"/>
  <c r="S473" i="2"/>
  <c r="AC473" i="2" s="1"/>
  <c r="S335" i="2"/>
  <c r="AC335" i="2" s="1"/>
  <c r="S521" i="2"/>
  <c r="AC521" i="2" s="1"/>
  <c r="S49" i="2"/>
  <c r="AC49" i="2" s="1"/>
  <c r="S226" i="2"/>
  <c r="AC226" i="2" s="1"/>
  <c r="S585" i="2"/>
  <c r="AC585" i="2" s="1"/>
  <c r="S308" i="2"/>
  <c r="AC308" i="2" s="1"/>
  <c r="S589" i="2"/>
  <c r="AC589" i="2" s="1"/>
  <c r="S34" i="2"/>
  <c r="AC34" i="2" s="1"/>
  <c r="S449" i="2"/>
  <c r="AC449" i="2" s="1"/>
  <c r="S413" i="2"/>
  <c r="AC413" i="2" s="1"/>
  <c r="S238" i="2"/>
  <c r="AC238" i="2" s="1"/>
  <c r="S630" i="2"/>
  <c r="AC630" i="2" s="1"/>
  <c r="S480" i="2"/>
  <c r="AC480" i="2" s="1"/>
  <c r="S617" i="2"/>
  <c r="AC617" i="2" s="1"/>
  <c r="S65" i="2"/>
  <c r="AC65" i="2" s="1"/>
  <c r="S160" i="2"/>
  <c r="AC160" i="2" s="1"/>
  <c r="S39" i="2"/>
  <c r="AC39" i="2" s="1"/>
  <c r="S429" i="2"/>
  <c r="AC429" i="2" s="1"/>
  <c r="S497" i="2"/>
  <c r="AC497" i="2" s="1"/>
  <c r="S151" i="2"/>
  <c r="AC151" i="2" s="1"/>
  <c r="S414" i="2"/>
  <c r="AC414" i="2" s="1"/>
  <c r="S488" i="2"/>
  <c r="AC488" i="2" s="1"/>
  <c r="S600" i="2"/>
  <c r="AC600" i="2" s="1"/>
  <c r="S481" i="2"/>
  <c r="AC481" i="2" s="1"/>
  <c r="S609" i="2"/>
  <c r="AC609" i="2" s="1"/>
  <c r="S143" i="2"/>
  <c r="AC143" i="2" s="1"/>
  <c r="S400" i="2"/>
  <c r="AC400" i="2" s="1"/>
  <c r="S454" i="2"/>
  <c r="AC454" i="2" s="1"/>
  <c r="S499" i="2"/>
  <c r="AC499" i="2" s="1"/>
  <c r="S638" i="2"/>
  <c r="AC638" i="2" s="1"/>
  <c r="S208" i="2"/>
  <c r="AC208" i="2" s="1"/>
  <c r="S144" i="2"/>
  <c r="AC144" i="2" s="1"/>
  <c r="S455" i="2"/>
  <c r="AC455" i="2" s="1"/>
  <c r="S500" i="2"/>
  <c r="AC500" i="2" s="1"/>
  <c r="S394" i="2"/>
  <c r="AC394" i="2" s="1"/>
  <c r="S31" i="2"/>
  <c r="AC31" i="2" s="1"/>
  <c r="S48" i="2"/>
  <c r="AC48" i="2" s="1"/>
  <c r="S145" i="2"/>
  <c r="AC145" i="2" s="1"/>
  <c r="S569" i="2"/>
  <c r="AC569" i="2" s="1"/>
  <c r="S501" i="2"/>
  <c r="AC501" i="2" s="1"/>
  <c r="S253" i="2"/>
  <c r="AC253" i="2" s="1"/>
  <c r="S561" i="2"/>
  <c r="AC561" i="2" s="1"/>
  <c r="S42" i="2"/>
  <c r="AC42" i="2" s="1"/>
  <c r="S146" i="2"/>
  <c r="AC146" i="2" s="1"/>
  <c r="S245" i="2"/>
  <c r="AC245" i="2" s="1"/>
  <c r="S282" i="2"/>
  <c r="AC282" i="2" s="1"/>
  <c r="S254" i="2"/>
  <c r="AC254" i="2" s="1"/>
  <c r="S387" i="2"/>
  <c r="AC387" i="2" s="1"/>
  <c r="S50" i="2"/>
  <c r="AC50" i="2" s="1"/>
  <c r="S134" i="2"/>
  <c r="AC134" i="2" s="1"/>
  <c r="S246" i="2"/>
  <c r="AC246" i="2" s="1"/>
  <c r="S283" i="2"/>
  <c r="AC283" i="2" s="1"/>
  <c r="S255" i="2"/>
  <c r="AC255" i="2" s="1"/>
  <c r="S388" i="2"/>
  <c r="AC388" i="2" s="1"/>
  <c r="S559" i="2"/>
  <c r="AC559" i="2" s="1"/>
  <c r="S170" i="2"/>
  <c r="AC170" i="2" s="1"/>
  <c r="S475" i="2"/>
  <c r="AC475" i="2" s="1"/>
  <c r="S289" i="2"/>
  <c r="AC289" i="2" s="1"/>
  <c r="S228" i="2"/>
  <c r="AC228" i="2" s="1"/>
  <c r="S437" i="2"/>
  <c r="AC437" i="2" s="1"/>
  <c r="S202" i="2"/>
  <c r="AC202" i="2" s="1"/>
  <c r="S588" i="2"/>
  <c r="AC588" i="2" s="1"/>
  <c r="S643" i="2"/>
  <c r="AC643" i="2" s="1"/>
  <c r="S213" i="2"/>
  <c r="AC213" i="2" s="1"/>
  <c r="S325" i="2"/>
  <c r="AC325" i="2" s="1"/>
  <c r="S378" i="2"/>
  <c r="AC378" i="2" s="1"/>
  <c r="S201" i="2"/>
  <c r="AC201" i="2" s="1"/>
  <c r="S587" i="2"/>
  <c r="AC587" i="2" s="1"/>
  <c r="S477" i="2"/>
  <c r="AC477" i="2" s="1"/>
  <c r="S8" i="2"/>
  <c r="AC8" i="2" s="1"/>
  <c r="S46" i="2"/>
  <c r="AC46" i="2" s="1"/>
  <c r="S276" i="2"/>
  <c r="AC276" i="2" s="1"/>
  <c r="S393" i="2"/>
  <c r="AC393" i="2" s="1"/>
  <c r="S489" i="2"/>
  <c r="AC489" i="2" s="1"/>
  <c r="S30" i="2"/>
  <c r="AC30" i="2" s="1"/>
  <c r="S610" i="2"/>
  <c r="AC610" i="2" s="1"/>
  <c r="S47" i="2"/>
  <c r="AC47" i="2" s="1"/>
  <c r="S401" i="2"/>
  <c r="AC401" i="2" s="1"/>
  <c r="S611" i="2"/>
  <c r="AC611" i="2" s="1"/>
  <c r="S456" i="2"/>
  <c r="AC456" i="2" s="1"/>
  <c r="S395" i="2"/>
  <c r="AC395" i="2" s="1"/>
  <c r="S73" i="2"/>
  <c r="AC73" i="2" s="1"/>
  <c r="S550" i="2"/>
  <c r="AC550" i="2" s="1"/>
  <c r="S577" i="2"/>
  <c r="AC577" i="2" s="1"/>
  <c r="S200" i="2"/>
  <c r="AC200" i="2" s="1"/>
  <c r="S423" i="2"/>
  <c r="AC423" i="2" s="1"/>
  <c r="S324" i="2"/>
  <c r="AC324" i="2" s="1"/>
  <c r="T12" i="21"/>
  <c r="T9" i="21"/>
  <c r="T10" i="21"/>
  <c r="T8" i="21"/>
  <c r="Y6" i="21"/>
  <c r="AC740" i="2" l="1"/>
  <c r="T740" i="2"/>
  <c r="AC752" i="2"/>
  <c r="T752" i="2"/>
  <c r="AC800" i="2"/>
  <c r="T800" i="2"/>
  <c r="AC788" i="2"/>
  <c r="T788" i="2"/>
  <c r="T736" i="2"/>
  <c r="AC736" i="2"/>
  <c r="AC802" i="2"/>
  <c r="T802" i="2"/>
  <c r="AC741" i="2"/>
  <c r="T741" i="2"/>
  <c r="AC775" i="2"/>
  <c r="T775" i="2"/>
  <c r="AC751" i="2"/>
  <c r="T751" i="2"/>
  <c r="AC739" i="2"/>
  <c r="T739" i="2"/>
  <c r="AC766" i="2"/>
  <c r="T766" i="2"/>
  <c r="AC753" i="2"/>
  <c r="T753" i="2"/>
  <c r="AC776" i="2"/>
  <c r="T776" i="2"/>
  <c r="AC774" i="2"/>
  <c r="T774" i="2"/>
  <c r="AC797" i="2"/>
  <c r="T797" i="2"/>
  <c r="AC742" i="2"/>
  <c r="T742" i="2"/>
  <c r="AC792" i="2"/>
  <c r="T792" i="2"/>
  <c r="AC780" i="2"/>
  <c r="T780" i="2"/>
  <c r="T779" i="2"/>
  <c r="AC779" i="2"/>
  <c r="AC764" i="2"/>
  <c r="T764" i="2"/>
  <c r="AC795" i="2"/>
  <c r="T795" i="2"/>
  <c r="AC794" i="2"/>
  <c r="T794" i="2"/>
  <c r="AC793" i="2"/>
  <c r="T793" i="2"/>
  <c r="AC762" i="2"/>
  <c r="T762" i="2"/>
  <c r="AC785" i="2"/>
  <c r="T785" i="2"/>
  <c r="AC761" i="2"/>
  <c r="T761" i="2"/>
  <c r="T791" i="2"/>
  <c r="AC791" i="2"/>
  <c r="AC768" i="2"/>
  <c r="T768" i="2"/>
  <c r="AC767" i="2"/>
  <c r="T767" i="2"/>
  <c r="AC796" i="2"/>
  <c r="T796" i="2"/>
  <c r="T783" i="2"/>
  <c r="AC783" i="2"/>
  <c r="T782" i="2"/>
  <c r="AC782" i="2"/>
  <c r="AC781" i="2"/>
  <c r="T781" i="2"/>
  <c r="AC787" i="2"/>
  <c r="T787" i="2"/>
  <c r="AC804" i="2"/>
  <c r="T804" i="2"/>
  <c r="AC773" i="2"/>
  <c r="T773" i="2"/>
  <c r="AC756" i="2"/>
  <c r="T756" i="2"/>
  <c r="AC755" i="2"/>
  <c r="T755" i="2"/>
  <c r="AC784" i="2"/>
  <c r="T784" i="2"/>
  <c r="AC771" i="2"/>
  <c r="T771" i="2"/>
  <c r="T770" i="2"/>
  <c r="AC770" i="2"/>
  <c r="T769" i="2"/>
  <c r="AC769" i="2"/>
  <c r="AC798" i="2"/>
  <c r="T798" i="2"/>
  <c r="AC799" i="2"/>
  <c r="T799" i="2"/>
  <c r="AC803" i="2"/>
  <c r="T803" i="2"/>
  <c r="AC749" i="2"/>
  <c r="T749" i="2"/>
  <c r="AC744" i="2"/>
  <c r="T744" i="2"/>
  <c r="T743" i="2"/>
  <c r="AC743" i="2"/>
  <c r="AC772" i="2"/>
  <c r="T772" i="2"/>
  <c r="AC759" i="2"/>
  <c r="T759" i="2"/>
  <c r="T758" i="2"/>
  <c r="AC758" i="2"/>
  <c r="T757" i="2"/>
  <c r="AC757" i="2"/>
  <c r="AC789" i="2"/>
  <c r="T789" i="2"/>
  <c r="AC750" i="2"/>
  <c r="T750" i="2"/>
  <c r="AC786" i="2"/>
  <c r="T786" i="2"/>
  <c r="AC777" i="2"/>
  <c r="T777" i="2"/>
  <c r="AC790" i="2"/>
  <c r="T790" i="2"/>
  <c r="AC778" i="2"/>
  <c r="T778" i="2"/>
  <c r="AC760" i="2"/>
  <c r="T760" i="2"/>
  <c r="T747" i="2"/>
  <c r="AC747" i="2"/>
  <c r="AC746" i="2"/>
  <c r="T746" i="2"/>
  <c r="AC745" i="2"/>
  <c r="T745" i="2"/>
  <c r="AC763" i="2"/>
  <c r="T763" i="2"/>
  <c r="T737" i="2"/>
  <c r="AC737" i="2"/>
  <c r="AC738" i="2"/>
  <c r="T738" i="2"/>
  <c r="AC805" i="2"/>
  <c r="T805" i="2"/>
  <c r="AC754" i="2"/>
  <c r="T754" i="2"/>
  <c r="AC801" i="2"/>
  <c r="T801" i="2"/>
  <c r="AC765" i="2"/>
  <c r="T765" i="2"/>
  <c r="T748" i="2"/>
  <c r="AC748" i="2"/>
  <c r="AC735" i="2"/>
  <c r="T735" i="2"/>
  <c r="T734" i="2"/>
  <c r="AC734" i="2"/>
  <c r="T733" i="2"/>
  <c r="AC733" i="2"/>
  <c r="AC714" i="2"/>
  <c r="T714" i="2"/>
  <c r="AC726" i="2"/>
  <c r="T726" i="2"/>
  <c r="T727" i="2"/>
  <c r="AC727" i="2"/>
  <c r="AC721" i="2"/>
  <c r="T721" i="2"/>
  <c r="T715" i="2"/>
  <c r="AC715" i="2"/>
  <c r="T718" i="2"/>
  <c r="AC718" i="2"/>
  <c r="T703" i="2"/>
  <c r="AC703" i="2"/>
  <c r="AC712" i="2"/>
  <c r="T712" i="2"/>
  <c r="AC706" i="2"/>
  <c r="T706" i="2"/>
  <c r="T710" i="2"/>
  <c r="AC710" i="2"/>
  <c r="AC725" i="2"/>
  <c r="T725" i="2"/>
  <c r="AC711" i="2"/>
  <c r="T711" i="2"/>
  <c r="AC729" i="2"/>
  <c r="T729" i="2"/>
  <c r="T702" i="2"/>
  <c r="AC702" i="2"/>
  <c r="T717" i="2"/>
  <c r="AC717" i="2"/>
  <c r="T732" i="2"/>
  <c r="AC732" i="2"/>
  <c r="AC705" i="2"/>
  <c r="T705" i="2"/>
  <c r="AC723" i="2"/>
  <c r="T723" i="2"/>
  <c r="T709" i="2"/>
  <c r="AC709" i="2"/>
  <c r="T724" i="2"/>
  <c r="AC724" i="2"/>
  <c r="AC728" i="2"/>
  <c r="T728" i="2"/>
  <c r="AC722" i="2"/>
  <c r="T722" i="2"/>
  <c r="T701" i="2"/>
  <c r="AC701" i="2"/>
  <c r="AC716" i="2"/>
  <c r="T716" i="2"/>
  <c r="AC720" i="2"/>
  <c r="T720" i="2"/>
  <c r="AC713" i="2"/>
  <c r="T713" i="2"/>
  <c r="AC731" i="2"/>
  <c r="T731" i="2"/>
  <c r="T708" i="2"/>
  <c r="AC708" i="2"/>
  <c r="T707" i="2"/>
  <c r="AC707" i="2"/>
  <c r="T719" i="2"/>
  <c r="AC719" i="2"/>
  <c r="AC704" i="2"/>
  <c r="T704" i="2"/>
  <c r="AC730" i="2"/>
  <c r="T730" i="2"/>
  <c r="AC700" i="2"/>
  <c r="T700" i="2"/>
  <c r="AC654" i="2"/>
  <c r="T654" i="2"/>
  <c r="AC680" i="2"/>
  <c r="T680" i="2"/>
  <c r="AC665" i="2"/>
  <c r="T665" i="2"/>
  <c r="AC698" i="2"/>
  <c r="T698" i="2"/>
  <c r="AC658" i="2"/>
  <c r="T658" i="2"/>
  <c r="AC691" i="2"/>
  <c r="T691" i="2"/>
  <c r="AC678" i="2"/>
  <c r="T678" i="2"/>
  <c r="AC653" i="2"/>
  <c r="T653" i="2"/>
  <c r="AC674" i="2"/>
  <c r="T674" i="2"/>
  <c r="AC672" i="2"/>
  <c r="T672" i="2"/>
  <c r="AC671" i="2"/>
  <c r="T671" i="2"/>
  <c r="AC690" i="2"/>
  <c r="T690" i="2"/>
  <c r="AC686" i="2"/>
  <c r="T686" i="2"/>
  <c r="AC679" i="2"/>
  <c r="T679" i="2"/>
  <c r="AC666" i="2"/>
  <c r="T666" i="2"/>
  <c r="AC696" i="2"/>
  <c r="T696" i="2"/>
  <c r="AC655" i="2"/>
  <c r="T655" i="2"/>
  <c r="AC683" i="2"/>
  <c r="T683" i="2"/>
  <c r="AC681" i="2"/>
  <c r="T681" i="2"/>
  <c r="AC699" i="2"/>
  <c r="T699" i="2"/>
  <c r="AC697" i="2"/>
  <c r="T697" i="2"/>
  <c r="AC669" i="2"/>
  <c r="T669" i="2"/>
  <c r="AC660" i="2"/>
  <c r="T660" i="2"/>
  <c r="AC667" i="2"/>
  <c r="T667" i="2"/>
  <c r="AC684" i="2"/>
  <c r="T684" i="2"/>
  <c r="AC687" i="2"/>
  <c r="T687" i="2"/>
  <c r="AC685" i="2"/>
  <c r="T685" i="2"/>
  <c r="AC657" i="2"/>
  <c r="T657" i="2"/>
  <c r="AC694" i="2"/>
  <c r="T694" i="2"/>
  <c r="AC688" i="2"/>
  <c r="T688" i="2"/>
  <c r="AC668" i="2"/>
  <c r="T668" i="2"/>
  <c r="AC675" i="2"/>
  <c r="T675" i="2"/>
  <c r="AC673" i="2"/>
  <c r="T673" i="2"/>
  <c r="AC682" i="2"/>
  <c r="T682" i="2"/>
  <c r="AC676" i="2"/>
  <c r="T676" i="2"/>
  <c r="AC692" i="2"/>
  <c r="T692" i="2"/>
  <c r="AC695" i="2"/>
  <c r="T695" i="2"/>
  <c r="AC663" i="2"/>
  <c r="T663" i="2"/>
  <c r="AC661" i="2"/>
  <c r="T661" i="2"/>
  <c r="AC689" i="2"/>
  <c r="T689" i="2"/>
  <c r="AC664" i="2"/>
  <c r="T664" i="2"/>
  <c r="AC659" i="2"/>
  <c r="T659" i="2"/>
  <c r="AC662" i="2"/>
  <c r="T662" i="2"/>
  <c r="AC693" i="2"/>
  <c r="T693" i="2"/>
  <c r="AC656" i="2"/>
  <c r="T656" i="2"/>
  <c r="AC670" i="2"/>
  <c r="T670" i="2"/>
  <c r="AC677" i="2"/>
  <c r="T677" i="2"/>
  <c r="AC652" i="2"/>
  <c r="T652" i="2"/>
  <c r="AC432" i="2"/>
  <c r="T432" i="2"/>
  <c r="AC464" i="2"/>
  <c r="T464" i="2"/>
  <c r="AC87" i="2"/>
  <c r="T87" i="2"/>
  <c r="AC514" i="2"/>
  <c r="T514" i="2"/>
  <c r="AC463" i="2"/>
  <c r="T463" i="2"/>
  <c r="AC568" i="2"/>
  <c r="T568" i="2"/>
  <c r="AC349" i="2"/>
  <c r="T349" i="2"/>
  <c r="AC350" i="2"/>
  <c r="T350" i="2"/>
  <c r="AC100" i="2"/>
  <c r="T100" i="2"/>
  <c r="AC235" i="2"/>
  <c r="T235" i="2"/>
  <c r="AC195" i="2"/>
  <c r="T195" i="2"/>
  <c r="AC513" i="2"/>
  <c r="T513" i="2"/>
  <c r="AC462" i="2"/>
  <c r="T462" i="2"/>
  <c r="AC236" i="2"/>
  <c r="T236" i="2"/>
  <c r="AC418" i="2"/>
  <c r="T418" i="2"/>
  <c r="AC348" i="2"/>
  <c r="T348" i="2"/>
  <c r="AC269" i="2"/>
  <c r="T269" i="2"/>
  <c r="AC268" i="2"/>
  <c r="T268" i="2"/>
  <c r="AC453" i="2"/>
  <c r="T453" i="2"/>
  <c r="AC86" i="2"/>
  <c r="T86" i="2"/>
  <c r="AC651" i="2"/>
  <c r="T651" i="2"/>
  <c r="AC469" i="2"/>
  <c r="T469" i="2"/>
  <c r="AC99" i="2"/>
  <c r="T99" i="2"/>
  <c r="AC515" i="2"/>
  <c r="T515" i="2"/>
  <c r="AC650" i="2"/>
  <c r="T650" i="2"/>
  <c r="AC465" i="2"/>
  <c r="T465" i="2"/>
  <c r="AC516" i="2"/>
  <c r="T516" i="2"/>
  <c r="AC85" i="2"/>
  <c r="T85" i="2"/>
  <c r="AC179" i="2"/>
  <c r="T179" i="2"/>
  <c r="AC184" i="2"/>
  <c r="T184" i="2"/>
  <c r="AC84" i="2"/>
  <c r="T84" i="2"/>
  <c r="AC132" i="2"/>
  <c r="T132" i="2"/>
  <c r="AC127" i="2"/>
  <c r="T127" i="2"/>
  <c r="AC505" i="2"/>
  <c r="T505" i="2"/>
  <c r="T261" i="2"/>
  <c r="AC261" i="2"/>
  <c r="AC178" i="2"/>
  <c r="T178" i="2"/>
  <c r="AC133" i="2"/>
  <c r="T133" i="2"/>
  <c r="AC502" i="2"/>
  <c r="T502" i="2"/>
  <c r="T503" i="2"/>
  <c r="AC503" i="2"/>
  <c r="AC183" i="2"/>
  <c r="T183" i="2"/>
  <c r="AC355" i="2"/>
  <c r="T355" i="2"/>
  <c r="AC83" i="2"/>
  <c r="T83" i="2"/>
  <c r="AC506" i="2"/>
  <c r="T506" i="2"/>
  <c r="AC354" i="2"/>
  <c r="T354" i="2"/>
  <c r="AC504" i="2"/>
  <c r="T504" i="2"/>
  <c r="AC260" i="2"/>
  <c r="T260" i="2"/>
  <c r="AC92" i="2"/>
  <c r="T92" i="2"/>
  <c r="AC93" i="2"/>
  <c r="T93" i="2"/>
  <c r="AC126" i="2"/>
  <c r="T126" i="2"/>
  <c r="AC91" i="2"/>
  <c r="T91" i="2"/>
  <c r="T405" i="2"/>
  <c r="T614" i="2"/>
  <c r="T46" i="2"/>
  <c r="T553" i="2"/>
  <c r="T621" i="2"/>
  <c r="T588" i="2"/>
  <c r="T164" i="2"/>
  <c r="T143" i="2"/>
  <c r="T647" i="2"/>
  <c r="T456" i="2"/>
  <c r="T185" i="2"/>
  <c r="T421" i="2"/>
  <c r="T279" i="2"/>
  <c r="T160" i="2"/>
  <c r="T231" i="2"/>
  <c r="T482" i="2"/>
  <c r="T625" i="2"/>
  <c r="T222" i="2"/>
  <c r="T460" i="2"/>
  <c r="T35" i="2"/>
  <c r="T249" i="2"/>
  <c r="T136" i="2"/>
  <c r="T209" i="2"/>
  <c r="T524" i="2"/>
  <c r="T554" i="2"/>
  <c r="T509" i="2"/>
  <c r="T167" i="2"/>
  <c r="T59" i="2"/>
  <c r="T450" i="2"/>
  <c r="T110" i="2"/>
  <c r="T55" i="2"/>
  <c r="T67" i="2"/>
  <c r="T575" i="2"/>
  <c r="T408" i="2"/>
  <c r="T234" i="2"/>
  <c r="T600" i="2"/>
  <c r="T247" i="2"/>
  <c r="T130" i="2"/>
  <c r="T121" i="2"/>
  <c r="T594" i="2"/>
  <c r="T563" i="2"/>
  <c r="T477" i="2"/>
  <c r="T611" i="2"/>
  <c r="T423" i="2"/>
  <c r="T324" i="2"/>
  <c r="T25" i="2"/>
  <c r="T30" i="2"/>
  <c r="T404" i="2"/>
  <c r="T566" i="2"/>
  <c r="T630" i="2"/>
  <c r="T320" i="2"/>
  <c r="T248" i="2"/>
  <c r="T329" i="2"/>
  <c r="T415" i="2"/>
  <c r="T212" i="2"/>
  <c r="T417" i="2"/>
  <c r="T149" i="2"/>
  <c r="T451" i="2"/>
  <c r="T176" i="2"/>
  <c r="T206" i="2"/>
  <c r="T442" i="2"/>
  <c r="T605" i="2"/>
  <c r="T424" i="2"/>
  <c r="T118" i="2"/>
  <c r="T288" i="2"/>
  <c r="T567" i="2"/>
  <c r="T314" i="2"/>
  <c r="T75" i="2"/>
  <c r="T411" i="2"/>
  <c r="T214" i="2"/>
  <c r="T190" i="2"/>
  <c r="T24" i="2"/>
  <c r="T54" i="2"/>
  <c r="T440" i="2"/>
  <c r="T161" i="2"/>
  <c r="T458" i="2"/>
  <c r="T522" i="2"/>
  <c r="T89" i="2"/>
  <c r="T564" i="2"/>
  <c r="T537" i="2"/>
  <c r="T475" i="2"/>
  <c r="T107" i="2"/>
  <c r="T187" i="2"/>
  <c r="T140" i="2"/>
  <c r="T555" i="2"/>
  <c r="T155" i="2"/>
  <c r="T188" i="2"/>
  <c r="T577" i="2"/>
  <c r="T557" i="2"/>
  <c r="T135" i="2"/>
  <c r="T208" i="2"/>
  <c r="T71" i="2"/>
  <c r="T219" i="2"/>
  <c r="T428" i="2"/>
  <c r="T238" i="2"/>
  <c r="T437" i="2"/>
  <c r="T332" i="2"/>
  <c r="T380" i="2"/>
  <c r="T388" i="2"/>
  <c r="T254" i="2"/>
  <c r="T425" i="2"/>
  <c r="T246" i="2"/>
  <c r="T129" i="2"/>
  <c r="T120" i="2"/>
  <c r="T593" i="2"/>
  <c r="T558" i="2"/>
  <c r="T476" i="2"/>
  <c r="T610" i="2"/>
  <c r="T422" i="2"/>
  <c r="T323" i="2"/>
  <c r="T163" i="2"/>
  <c r="T263" i="2"/>
  <c r="T313" i="2"/>
  <c r="T398" i="2"/>
  <c r="T41" i="2"/>
  <c r="T495" i="2"/>
  <c r="T56" i="2"/>
  <c r="T157" i="2"/>
  <c r="T642" i="2"/>
  <c r="T292" i="2"/>
  <c r="T302" i="2"/>
  <c r="T485" i="2"/>
  <c r="T559" i="2"/>
  <c r="T211" i="2"/>
  <c r="T147" i="2"/>
  <c r="T619" i="2"/>
  <c r="T369" i="2"/>
  <c r="T200" i="2"/>
  <c r="T552" i="2"/>
  <c r="T31" i="2"/>
  <c r="T171" i="2"/>
  <c r="T624" i="2"/>
  <c r="T616" i="2"/>
  <c r="T529" i="2"/>
  <c r="T233" i="2"/>
  <c r="T382" i="2"/>
  <c r="T139" i="2"/>
  <c r="T406" i="2"/>
  <c r="T108" i="2"/>
  <c r="T242" i="2"/>
  <c r="T648" i="2"/>
  <c r="T60" i="2"/>
  <c r="T397" i="2"/>
  <c r="T237" i="2"/>
  <c r="T585" i="2"/>
  <c r="T306" i="2"/>
  <c r="T604" i="2"/>
  <c r="T274" i="2"/>
  <c r="T74" i="2"/>
  <c r="T571" i="2"/>
  <c r="T331" i="2"/>
  <c r="T379" i="2"/>
  <c r="T387" i="2"/>
  <c r="T253" i="2"/>
  <c r="T633" i="2"/>
  <c r="T245" i="2"/>
  <c r="T128" i="2"/>
  <c r="T82" i="2"/>
  <c r="T252" i="2"/>
  <c r="T439" i="2"/>
  <c r="T258" i="2"/>
  <c r="T328" i="2"/>
  <c r="T22" i="2"/>
  <c r="T591" i="2"/>
  <c r="T569" i="2"/>
  <c r="T357" i="2"/>
  <c r="T95" i="2"/>
  <c r="T284" i="2"/>
  <c r="T244" i="2"/>
  <c r="T607" i="2"/>
  <c r="T473" i="2"/>
  <c r="T215" i="2"/>
  <c r="T105" i="2"/>
  <c r="T104" i="2"/>
  <c r="T501" i="2"/>
  <c r="T58" i="2"/>
  <c r="T298" i="2"/>
  <c r="T217" i="2"/>
  <c r="T352" i="2"/>
  <c r="T20" i="2"/>
  <c r="T383" i="2"/>
  <c r="T293" i="2"/>
  <c r="T38" i="2"/>
  <c r="T459" i="2"/>
  <c r="T523" i="2"/>
  <c r="T170" i="2"/>
  <c r="T623" i="2"/>
  <c r="T410" i="2"/>
  <c r="T409" i="2"/>
  <c r="T218" i="2"/>
  <c r="T601" i="2"/>
  <c r="T11" i="2"/>
  <c r="T358" i="2"/>
  <c r="T146" i="2"/>
  <c r="T44" i="2"/>
  <c r="T490" i="2"/>
  <c r="T9" i="2"/>
  <c r="T270" i="2"/>
  <c r="T549" i="2"/>
  <c r="T584" i="2"/>
  <c r="T305" i="2"/>
  <c r="T603" i="2"/>
  <c r="T273" i="2"/>
  <c r="T336" i="2"/>
  <c r="T122" i="2"/>
  <c r="T330" i="2"/>
  <c r="T378" i="2"/>
  <c r="T386" i="2"/>
  <c r="T521" i="2"/>
  <c r="T445" i="2"/>
  <c r="T101" i="2"/>
  <c r="T262" i="2"/>
  <c r="T76" i="2"/>
  <c r="T447" i="2"/>
  <c r="T384" i="2"/>
  <c r="T240" i="2"/>
  <c r="T347" i="2"/>
  <c r="T363" i="2"/>
  <c r="T494" i="2"/>
  <c r="T69" i="2"/>
  <c r="T225" i="2"/>
  <c r="T18" i="2"/>
  <c r="T138" i="2"/>
  <c r="T470" i="2"/>
  <c r="T508" i="2"/>
  <c r="T191" i="2"/>
  <c r="T510" i="2"/>
  <c r="T32" i="2"/>
  <c r="T301" i="2"/>
  <c r="T626" i="2"/>
  <c r="T644" i="2"/>
  <c r="T52" i="2"/>
  <c r="T259" i="2"/>
  <c r="T546" i="2"/>
  <c r="T150" i="2"/>
  <c r="T342" i="2"/>
  <c r="T636" i="2"/>
  <c r="T125" i="2"/>
  <c r="T199" i="2"/>
  <c r="T511" i="2"/>
  <c r="T634" i="2"/>
  <c r="T19" i="2"/>
  <c r="T592" i="2"/>
  <c r="T368" i="2"/>
  <c r="T427" i="2"/>
  <c r="T426" i="2"/>
  <c r="T297" i="2"/>
  <c r="T413" i="2"/>
  <c r="T152" i="2"/>
  <c r="T481" i="2"/>
  <c r="T16" i="2"/>
  <c r="T114" i="2"/>
  <c r="T455" i="2"/>
  <c r="T396" i="2"/>
  <c r="T145" i="2"/>
  <c r="T43" i="2"/>
  <c r="T489" i="2"/>
  <c r="T8" i="2"/>
  <c r="T641" i="2"/>
  <c r="T491" i="2"/>
  <c r="T181" i="2"/>
  <c r="T304" i="2"/>
  <c r="T602" i="2"/>
  <c r="T443" i="2"/>
  <c r="T68" i="2"/>
  <c r="T467" i="2"/>
  <c r="T257" i="2"/>
  <c r="T213" i="2"/>
  <c r="T565" i="2"/>
  <c r="T517" i="2"/>
  <c r="T102" i="2"/>
  <c r="T290" i="2"/>
  <c r="T221" i="2"/>
  <c r="T402" i="2"/>
  <c r="T401" i="2"/>
  <c r="T81" i="2"/>
  <c r="T474" i="2"/>
  <c r="T484" i="2"/>
  <c r="T53" i="2"/>
  <c r="T486" i="2"/>
  <c r="T544" i="2"/>
  <c r="T538" i="2"/>
  <c r="T375" i="2"/>
  <c r="T520" i="2"/>
  <c r="T444" i="2"/>
  <c r="T266" i="2"/>
  <c r="T36" i="2"/>
  <c r="T281" i="2"/>
  <c r="T88" i="2"/>
  <c r="T472" i="2"/>
  <c r="T536" i="2"/>
  <c r="T608" i="2"/>
  <c r="T264" i="2"/>
  <c r="T250" i="2"/>
  <c r="T341" i="2"/>
  <c r="T487" i="2"/>
  <c r="T80" i="2"/>
  <c r="T79" i="2"/>
  <c r="T321" i="2"/>
  <c r="T356" i="2"/>
  <c r="T311" i="2"/>
  <c r="T192" i="2"/>
  <c r="T346" i="2"/>
  <c r="T548" i="2"/>
  <c r="T116" i="2"/>
  <c r="T333" i="2"/>
  <c r="T255" i="2"/>
  <c r="T142" i="2"/>
  <c r="T480" i="2"/>
  <c r="T15" i="2"/>
  <c r="T113" i="2"/>
  <c r="T606" i="2"/>
  <c r="T229" i="2"/>
  <c r="T144" i="2"/>
  <c r="T42" i="2"/>
  <c r="T488" i="2"/>
  <c r="T449" i="2"/>
  <c r="T296" i="2"/>
  <c r="T27" i="2"/>
  <c r="T277" i="2"/>
  <c r="T12" i="2"/>
  <c r="T343" i="2"/>
  <c r="T241" i="2"/>
  <c r="T177" i="2"/>
  <c r="T194" i="2"/>
  <c r="T597" i="2"/>
  <c r="T649" i="2"/>
  <c r="T72" i="2"/>
  <c r="T220" i="2"/>
  <c r="T17" i="2"/>
  <c r="T197" i="2"/>
  <c r="T376" i="2"/>
  <c r="T189" i="2"/>
  <c r="T232" i="2"/>
  <c r="T391" i="2"/>
  <c r="T33" i="2"/>
  <c r="T106" i="2"/>
  <c r="T362" i="2"/>
  <c r="T527" i="2"/>
  <c r="T420" i="2"/>
  <c r="T294" i="2"/>
  <c r="T390" i="2"/>
  <c r="T198" i="2"/>
  <c r="T507" i="2"/>
  <c r="T337" i="2"/>
  <c r="T618" i="2"/>
  <c r="T367" i="2"/>
  <c r="T530" i="2"/>
  <c r="T272" i="2"/>
  <c r="T540" i="2"/>
  <c r="T78" i="2"/>
  <c r="T471" i="2"/>
  <c r="T96" i="2"/>
  <c r="T590" i="2"/>
  <c r="T573" i="2"/>
  <c r="T441" i="2"/>
  <c r="T182" i="2"/>
  <c r="T289" i="2"/>
  <c r="T326" i="2"/>
  <c r="T168" i="2"/>
  <c r="T204" i="2"/>
  <c r="T228" i="2"/>
  <c r="T533" i="2"/>
  <c r="T134" i="2"/>
  <c r="T640" i="2"/>
  <c r="T207" i="2"/>
  <c r="T345" i="2"/>
  <c r="T547" i="2"/>
  <c r="T98" i="2"/>
  <c r="T586" i="2"/>
  <c r="T595" i="2"/>
  <c r="T141" i="2"/>
  <c r="T542" i="2"/>
  <c r="T14" i="2"/>
  <c r="T112" i="2"/>
  <c r="T535" i="2"/>
  <c r="T66" i="2"/>
  <c r="T466" i="2"/>
  <c r="T454" i="2"/>
  <c r="T21" i="2"/>
  <c r="T385" i="2"/>
  <c r="T29" i="2"/>
  <c r="T532" i="2"/>
  <c r="T303" i="2"/>
  <c r="T40" i="2"/>
  <c r="T325" i="2"/>
  <c r="T205" i="2"/>
  <c r="T429" i="2"/>
  <c r="T631" i="2"/>
  <c r="T589" i="2"/>
  <c r="T156" i="2"/>
  <c r="T525" i="2"/>
  <c r="T77" i="2"/>
  <c r="T216" i="2"/>
  <c r="T543" i="2"/>
  <c r="T637" i="2"/>
  <c r="T512" i="2"/>
  <c r="T628" i="2"/>
  <c r="T90" i="2"/>
  <c r="T300" i="2"/>
  <c r="T430" i="2"/>
  <c r="T579" i="2"/>
  <c r="T638" i="2"/>
  <c r="T578" i="2"/>
  <c r="T483" i="2"/>
  <c r="T500" i="2"/>
  <c r="T57" i="2"/>
  <c r="T319" i="2"/>
  <c r="T180" i="2"/>
  <c r="T265" i="2"/>
  <c r="T251" i="2"/>
  <c r="T148" i="2"/>
  <c r="T34" i="2"/>
  <c r="T617" i="2"/>
  <c r="T366" i="2"/>
  <c r="T224" i="2"/>
  <c r="T223" i="2"/>
  <c r="T574" i="2"/>
  <c r="T551" i="2"/>
  <c r="T28" i="2"/>
  <c r="T275" i="2"/>
  <c r="T49" i="2"/>
  <c r="T583" i="2"/>
  <c r="T372" i="2"/>
  <c r="T359" i="2"/>
  <c r="T50" i="2"/>
  <c r="T334" i="2"/>
  <c r="T174" i="2"/>
  <c r="T203" i="2"/>
  <c r="T227" i="2"/>
  <c r="T635" i="2"/>
  <c r="T153" i="2"/>
  <c r="T639" i="2"/>
  <c r="T201" i="2"/>
  <c r="T344" i="2"/>
  <c r="T97" i="2"/>
  <c r="T576" i="2"/>
  <c r="T124" i="2"/>
  <c r="T434" i="2"/>
  <c r="T26" i="2"/>
  <c r="T256" i="2"/>
  <c r="T109" i="2"/>
  <c r="T365" i="2"/>
  <c r="T497" i="2"/>
  <c r="T172" i="2"/>
  <c r="T400" i="2"/>
  <c r="T545" i="2"/>
  <c r="T438" i="2"/>
  <c r="T37" i="2"/>
  <c r="T239" i="2"/>
  <c r="T448" i="2"/>
  <c r="T645" i="2"/>
  <c r="T446" i="2"/>
  <c r="T137" i="2"/>
  <c r="T210" i="2"/>
  <c r="T587" i="2"/>
  <c r="T151" i="2"/>
  <c r="T271" i="2"/>
  <c r="T457" i="2"/>
  <c r="T643" i="2"/>
  <c r="T51" i="2"/>
  <c r="T613" i="2"/>
  <c r="T615" i="2"/>
  <c r="T295" i="2"/>
  <c r="T403" i="2"/>
  <c r="T499" i="2"/>
  <c r="T45" i="2"/>
  <c r="T318" i="2"/>
  <c r="T94" i="2"/>
  <c r="T461" i="2"/>
  <c r="T196" i="2"/>
  <c r="T572" i="2"/>
  <c r="T193" i="2"/>
  <c r="T10" i="2"/>
  <c r="T63" i="2"/>
  <c r="T562" i="2"/>
  <c r="T395" i="2"/>
  <c r="T312" i="2"/>
  <c r="T340" i="2"/>
  <c r="T435" i="2"/>
  <c r="T48" i="2"/>
  <c r="T582" i="2"/>
  <c r="T371" i="2"/>
  <c r="T230" i="2"/>
  <c r="T169" i="2"/>
  <c r="T351" i="2"/>
  <c r="T173" i="2"/>
  <c r="T202" i="2"/>
  <c r="T226" i="2"/>
  <c r="T389" i="2"/>
  <c r="T361" i="2"/>
  <c r="T534" i="2"/>
  <c r="T119" i="2"/>
  <c r="T307" i="2"/>
  <c r="T280" i="2"/>
  <c r="T13" i="2"/>
  <c r="T285" i="2"/>
  <c r="T308" i="2"/>
  <c r="T629" i="2"/>
  <c r="T627" i="2"/>
  <c r="T154" i="2"/>
  <c r="T468" i="2"/>
  <c r="T431" i="2"/>
  <c r="T158" i="2"/>
  <c r="T556" i="2"/>
  <c r="T65" i="2"/>
  <c r="T646" i="2"/>
  <c r="T353" i="2"/>
  <c r="T541" i="2"/>
  <c r="T374" i="2"/>
  <c r="T519" i="2"/>
  <c r="T111" i="2"/>
  <c r="T478" i="2"/>
  <c r="T175" i="2"/>
  <c r="T496" i="2"/>
  <c r="T493" i="2"/>
  <c r="T612" i="2"/>
  <c r="T364" i="2"/>
  <c r="T392" i="2"/>
  <c r="T620" i="2"/>
  <c r="T570" i="2"/>
  <c r="T115" i="2"/>
  <c r="T339" i="2"/>
  <c r="T599" i="2"/>
  <c r="T412" i="2"/>
  <c r="T596" i="2"/>
  <c r="T131" i="2"/>
  <c r="T73" i="2"/>
  <c r="T287" i="2"/>
  <c r="T62" i="2"/>
  <c r="T561" i="2"/>
  <c r="T394" i="2"/>
  <c r="T414" i="2"/>
  <c r="T64" i="2"/>
  <c r="T283" i="2"/>
  <c r="T47" i="2"/>
  <c r="T581" i="2"/>
  <c r="T370" i="2"/>
  <c r="T299" i="2"/>
  <c r="T399" i="2"/>
  <c r="T123" i="2"/>
  <c r="T433" i="2"/>
  <c r="T309" i="2"/>
  <c r="T622" i="2"/>
  <c r="T498" i="2"/>
  <c r="T317" i="2"/>
  <c r="T377" i="2"/>
  <c r="T186" i="2"/>
  <c r="T267" i="2"/>
  <c r="T243" i="2"/>
  <c r="T539" i="2"/>
  <c r="T609" i="2"/>
  <c r="T282" i="2"/>
  <c r="T166" i="2"/>
  <c r="T165" i="2"/>
  <c r="T103" i="2"/>
  <c r="T479" i="2"/>
  <c r="T162" i="2"/>
  <c r="T580" i="2"/>
  <c r="T526" i="2"/>
  <c r="T419" i="2"/>
  <c r="T531" i="2"/>
  <c r="T407" i="2"/>
  <c r="T528" i="2"/>
  <c r="T278" i="2"/>
  <c r="T159" i="2"/>
  <c r="T373" i="2"/>
  <c r="T518" i="2"/>
  <c r="T70" i="2"/>
  <c r="T315" i="2"/>
  <c r="T322" i="2"/>
  <c r="T39" i="2"/>
  <c r="T381" i="2"/>
  <c r="T117" i="2"/>
  <c r="T452" i="2"/>
  <c r="T632" i="2"/>
  <c r="T310" i="2"/>
  <c r="T276" i="2"/>
  <c r="T492" i="2"/>
  <c r="T436" i="2"/>
  <c r="T23" i="2"/>
  <c r="T338" i="2"/>
  <c r="T598" i="2"/>
  <c r="T291" i="2"/>
  <c r="T327" i="2"/>
  <c r="T550" i="2"/>
  <c r="T335" i="2"/>
  <c r="T286" i="2"/>
  <c r="T61" i="2"/>
  <c r="T560" i="2"/>
  <c r="T393" i="2"/>
  <c r="T316" i="2"/>
  <c r="T416" i="2"/>
  <c r="T360" i="2"/>
  <c r="Z6" i="21"/>
  <c r="AA6" i="21"/>
  <c r="Y6" i="2"/>
  <c r="Z6" i="2"/>
  <c r="AA6" i="2" l="1"/>
  <c r="A7" i="41" a="1"/>
  <c r="A7" i="4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Listado_PT (2)" description="Conexión a la consulta 'Listado_PT (2)' en el libro." type="5" refreshedVersion="8" background="1" saveData="1">
    <dbPr connection="Provider=Microsoft.Mashup.OleDb.1;Data Source=$Workbook$;Location=&quot;Listado_PT (2)&quot;;Extended Properties=&quot;&quot;" command="SELECT * FROM [Listado_PT (2)]"/>
  </connection>
  <connection id="2" xr16:uid="{00000000-0015-0000-FFFF-FFFF01000000}" keepAlive="1" name="Consulta - Listado_PT (3)" description="Conexión a la consulta 'Listado_PT (3)' en el libro." type="5" refreshedVersion="8" background="1" saveData="1">
    <dbPr connection="Provider=Microsoft.Mashup.OleDb.1;Data Source=$Workbook$;Location=&quot;Listado_PT (3)&quot;;Extended Properties=&quot;&quot;" command="SELECT * FROM [Listado_PT (3)]"/>
  </connection>
  <connection id="3" xr16:uid="{A0D42D4F-7BBE-4329-97AE-B7D4A6438F7B}" name="SqlServer 172.30.6.234 Logistica" type="100" refreshedVersion="8">
    <extLst>
      <ext xmlns:x15="http://schemas.microsoft.com/office/spreadsheetml/2010/11/main" uri="{DE250136-89BD-433C-8126-D09CA5730AF9}">
        <x15:connection id="4c3c2cfe-c3e6-4a87-9683-b66c2cb813c7"/>
      </ext>
    </extLst>
  </connection>
  <connection id="4" xr16:uid="{6275870A-566B-4D65-87CE-576B2022FE2D}" name="SqlServer 172.30.6.234 Logistica 2" type="100" refreshedVersion="8">
    <extLst>
      <ext xmlns:x15="http://schemas.microsoft.com/office/spreadsheetml/2010/11/main" uri="{DE250136-89BD-433C-8126-D09CA5730AF9}">
        <x15:connection id="7e072995-b4c2-4f3e-b476-1d38a01edd72"/>
      </ext>
    </extLst>
  </connection>
  <connection id="5" xr16:uid="{F88BFFD9-9347-4C13-83D4-5105DAB83350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<sst xmlns="http://schemas.openxmlformats.org/spreadsheetml/2006/main" count="35398" uniqueCount="5006">
  <si>
    <t>1</t>
  </si>
  <si>
    <t>6</t>
  </si>
  <si>
    <t>2</t>
  </si>
  <si>
    <t>3</t>
  </si>
  <si>
    <t>4</t>
  </si>
  <si>
    <t>5</t>
  </si>
  <si>
    <t>7</t>
  </si>
  <si>
    <t>8</t>
  </si>
  <si>
    <t>9</t>
  </si>
  <si>
    <t>10</t>
  </si>
  <si>
    <t>11</t>
  </si>
  <si>
    <t>12</t>
  </si>
  <si>
    <t>50</t>
  </si>
  <si>
    <t>Material</t>
  </si>
  <si>
    <t>Texto breve de material</t>
  </si>
  <si>
    <t>GrM2</t>
  </si>
  <si>
    <t>GrM2_Marca</t>
  </si>
  <si>
    <t>GrM3</t>
  </si>
  <si>
    <t>GrM3_Familia</t>
  </si>
  <si>
    <t>PLM STATUS</t>
  </si>
  <si>
    <t>Estado</t>
  </si>
  <si>
    <t>Origen</t>
  </si>
  <si>
    <t>Planta</t>
  </si>
  <si>
    <t>Tipo_Producto</t>
  </si>
  <si>
    <t>Tipo_venta</t>
  </si>
  <si>
    <t>Unidad_Primaria</t>
  </si>
  <si>
    <t>Gramaje</t>
  </si>
  <si>
    <t>Estado_Proyec</t>
  </si>
  <si>
    <t>Cnsrv</t>
  </si>
  <si>
    <t>Categoría</t>
  </si>
  <si>
    <t>Plan de Embarque</t>
  </si>
  <si>
    <t>Gramaje Base</t>
  </si>
  <si>
    <t>% Participación Gramaje Base</t>
  </si>
  <si>
    <t>Costo Unitario</t>
  </si>
  <si>
    <t>Área</t>
  </si>
  <si>
    <t>UND/MINUTO</t>
  </si>
  <si>
    <t>OEE</t>
  </si>
  <si>
    <t>UND/CUBETA</t>
  </si>
  <si>
    <t>CAPACIDAD CUBETAS</t>
  </si>
  <si>
    <t>CUBETA/PALLET</t>
  </si>
  <si>
    <t>CAPACIDAD PALLET</t>
  </si>
  <si>
    <t>KG/BATCH</t>
  </si>
  <si>
    <t>UND/BATCH</t>
  </si>
  <si>
    <t>MAQUINA</t>
  </si>
  <si>
    <t>Familia por base</t>
  </si>
  <si>
    <t>Familia por base_SAP</t>
  </si>
  <si>
    <t>Días de Maduración</t>
  </si>
  <si>
    <t>Factor de Uso Leche</t>
  </si>
  <si>
    <t>Tipo de Leche 1</t>
  </si>
  <si>
    <t>Tipo de Leche 2</t>
  </si>
  <si>
    <t>Tipo de Leche 3</t>
  </si>
  <si>
    <t>Factor de Uso Leche 1</t>
  </si>
  <si>
    <t>Factor de Uso Leche 2</t>
  </si>
  <si>
    <t>Factor de Uso Leche 3</t>
  </si>
  <si>
    <t>Factor Uso LECHE EN POLVO</t>
  </si>
  <si>
    <t>Generación de Crema 1</t>
  </si>
  <si>
    <t>Generación de Crema 2</t>
  </si>
  <si>
    <t>Generación de Crema 3</t>
  </si>
  <si>
    <t>Pérdida por Descremado 1</t>
  </si>
  <si>
    <t>Pérdida por Descremado 2</t>
  </si>
  <si>
    <t>Pérdida por Descremado 3</t>
  </si>
  <si>
    <t>Factor de Uso Crema 1</t>
  </si>
  <si>
    <t>Abreviado</t>
  </si>
  <si>
    <t>Peso Empaque</t>
  </si>
  <si>
    <t>Estaciones</t>
  </si>
  <si>
    <t>ResponsableMarca</t>
  </si>
  <si>
    <t>precio_base</t>
  </si>
  <si>
    <t>id_TipoMaterial</t>
  </si>
  <si>
    <t>id_GrupoMateriales</t>
  </si>
  <si>
    <t>Embarque</t>
  </si>
  <si>
    <t>ZUR</t>
  </si>
  <si>
    <t>Lead Time</t>
  </si>
  <si>
    <t>Pedido Mínimo</t>
  </si>
  <si>
    <t>Nombre Proveedor</t>
  </si>
  <si>
    <t>17024</t>
  </si>
  <si>
    <t>YOG FNSSE FRTROJ MUSLI 155G</t>
  </si>
  <si>
    <t>YOGURT FINESSE</t>
  </si>
  <si>
    <t>YOGURT FINESSE VASO</t>
  </si>
  <si>
    <t>LINEA</t>
  </si>
  <si>
    <t>A</t>
  </si>
  <si>
    <t>Local</t>
  </si>
  <si>
    <t>MACHACHI</t>
  </si>
  <si>
    <t>Linea</t>
  </si>
  <si>
    <t>Normal</t>
  </si>
  <si>
    <t>UN</t>
  </si>
  <si>
    <t>BEBIDAS LACTEAS</t>
  </si>
  <si>
    <t>x</t>
  </si>
  <si>
    <t>Fermentados</t>
  </si>
  <si>
    <t>BISIGNANO</t>
  </si>
  <si>
    <t>Bebida de Yogurt Finesse Kiosko</t>
  </si>
  <si>
    <t>B BEB DE YOG DESLAC FNSSE</t>
  </si>
  <si>
    <t>LECHE DESCREMADA TERMIZADA 0,05%MG A 0,1%MG</t>
  </si>
  <si>
    <t>LECHE SEMIDESCREMADA TERMIZADA 1,8%MG A 2%MG</t>
  </si>
  <si>
    <t>LECHE ENTERA TERMIZADA 3,5%MG A 3,6%MG</t>
  </si>
  <si>
    <t xml:space="preserve">Luis Armendariz                         </t>
  </si>
  <si>
    <t>FERT</t>
  </si>
  <si>
    <t xml:space="preserve">PT0       </t>
  </si>
  <si>
    <t>S</t>
  </si>
  <si>
    <t xml:space="preserve">ALPINA                                                                          </t>
  </si>
  <si>
    <t>45977</t>
  </si>
  <si>
    <t>BON YURT CHOCAPIC 158G</t>
  </si>
  <si>
    <t>BON YURT</t>
  </si>
  <si>
    <t>BON YURT REGULAR</t>
  </si>
  <si>
    <t>INACTIVO</t>
  </si>
  <si>
    <t>I</t>
  </si>
  <si>
    <t>845620</t>
  </si>
  <si>
    <t>PRV 8+1 FUNDA 900 GR FRUTILLA KIOSKO</t>
  </si>
  <si>
    <t>YOGURT KIOSKO</t>
  </si>
  <si>
    <t>BEBIDA DE YOGURT KIOSKO FUNDA FAMILI</t>
  </si>
  <si>
    <t>PROMOCION VIRTU</t>
  </si>
  <si>
    <t>Promoción Virtual</t>
  </si>
  <si>
    <t>Promoción</t>
  </si>
  <si>
    <t>SOLPACK</t>
  </si>
  <si>
    <t>Yogurt Bebible Kiosko</t>
  </si>
  <si>
    <t>B BEB YOG BBLE KIOSKO</t>
  </si>
  <si>
    <t>PVIR</t>
  </si>
  <si>
    <t xml:space="preserve">PVIR      </t>
  </si>
  <si>
    <t>N</t>
  </si>
  <si>
    <t>16518</t>
  </si>
  <si>
    <t>MPLX4 GRIEG KIOSKO MULTISAB 480</t>
  </si>
  <si>
    <t>GRIEGO SABORIZADO</t>
  </si>
  <si>
    <t>Yogurt Griego Kiosko</t>
  </si>
  <si>
    <t>14399</t>
  </si>
  <si>
    <t>AVENA NARMAR VASO 250 GR</t>
  </si>
  <si>
    <t>AVENA ALPINA</t>
  </si>
  <si>
    <t>AVENA VASO</t>
  </si>
  <si>
    <t>Importado</t>
  </si>
  <si>
    <t>COLOMBIA</t>
  </si>
  <si>
    <t>x2</t>
  </si>
  <si>
    <t/>
  </si>
  <si>
    <t xml:space="preserve">AV. NARMAR 250G     </t>
  </si>
  <si>
    <t>14439</t>
  </si>
  <si>
    <t>CREM LCH CAJ 250ML</t>
  </si>
  <si>
    <t>CREMA DE LECHE</t>
  </si>
  <si>
    <t>CREMA DE LECHE CAJA</t>
  </si>
  <si>
    <t>Subcontratación</t>
  </si>
  <si>
    <t>EL ORDEÑO</t>
  </si>
  <si>
    <t>QUESOS Y GRASAS</t>
  </si>
  <si>
    <t xml:space="preserve">Esteban Montenegro                      </t>
  </si>
  <si>
    <t xml:space="preserve">PT01      </t>
  </si>
  <si>
    <t>15011</t>
  </si>
  <si>
    <t>YOGURT DESLACTOSADO FINESSE ACAI 180</t>
  </si>
  <si>
    <t>YOGURT FINESSE DESLACT BOTELLA PERSONAL</t>
  </si>
  <si>
    <t>R-24</t>
  </si>
  <si>
    <t xml:space="preserve">YF DESLAC ACAI 180G </t>
  </si>
  <si>
    <t>4010</t>
  </si>
  <si>
    <t>RGN LGHT FTLLA BOT 180G</t>
  </si>
  <si>
    <t>REGENERIS</t>
  </si>
  <si>
    <t>REGENERIS BAJO EN GRASA BOTELLA PERSONAL</t>
  </si>
  <si>
    <t>Regeneris bajo en grasa</t>
  </si>
  <si>
    <t>B LAC RGN LGHT</t>
  </si>
  <si>
    <t>RGN LIGHT FTLLA 180G</t>
  </si>
  <si>
    <t>16679</t>
  </si>
  <si>
    <t>RGN BBLE MORA 1750</t>
  </si>
  <si>
    <t>REGENERIS BEBIBLE BOTELLA FAMILIAR</t>
  </si>
  <si>
    <t>MZ - FAMILIAR</t>
  </si>
  <si>
    <t>Bebible Regeneris</t>
  </si>
  <si>
    <t>B LAC RGN BBLE</t>
  </si>
  <si>
    <t xml:space="preserve">RGN BBLE CIR 1750G  </t>
  </si>
  <si>
    <t>10071</t>
  </si>
  <si>
    <t>Q RICOTTA KIOSKO BLOQ 450G</t>
  </si>
  <si>
    <t>QUESO FRESCO KIOSKO</t>
  </si>
  <si>
    <t>QUESO RICOTTA KIOSKO BLOQUE</t>
  </si>
  <si>
    <t>SAN GABRIEL</t>
  </si>
  <si>
    <t>x1</t>
  </si>
  <si>
    <t>Quesería</t>
  </si>
  <si>
    <t>Termoformadora</t>
  </si>
  <si>
    <t>LECHE ESTANDARIZADA ENTERA 3.0 - 3.4% MG SAN GABRIEL</t>
  </si>
  <si>
    <t xml:space="preserve">Q.RICOTTA 450G      </t>
  </si>
  <si>
    <t>10096</t>
  </si>
  <si>
    <t>Q CREMO DEL CAMPO KIOSKO BLOQ 450G</t>
  </si>
  <si>
    <t>QUESO FRESCO CREMOSO KIOSKO BLOQUE</t>
  </si>
  <si>
    <t xml:space="preserve">Q.CAMPO 450G        </t>
  </si>
  <si>
    <t>14714</t>
  </si>
  <si>
    <t>Q MOZZARELLA PIZZ KIOSKO RALLADO 1.5K</t>
  </si>
  <si>
    <t>QUESO MOZARELLA KIOSKO</t>
  </si>
  <si>
    <t>QUESO MOZARELLA PIZZA KIOSKO RALLADO</t>
  </si>
  <si>
    <t>LECHE ESTANDARIZADA SEMIDESCREMADA 2.2 - 2.5% MG SAN GABRIEL</t>
  </si>
  <si>
    <t xml:space="preserve">Q.MOZZ PIZ RLL 1.5K </t>
  </si>
  <si>
    <t>11322</t>
  </si>
  <si>
    <t>Q ESPAR CHED KIOSKO VASO 45G</t>
  </si>
  <si>
    <t>QUESO FUNDIDO</t>
  </si>
  <si>
    <t>Mz Alpinito</t>
  </si>
  <si>
    <t xml:space="preserve">Q.ESPAR CHEDD 45G   </t>
  </si>
  <si>
    <t>8208</t>
  </si>
  <si>
    <t>AREQUIPE GAR 4.6KG</t>
  </si>
  <si>
    <t>AREQUIPE ALPINA</t>
  </si>
  <si>
    <t>AREQUIPE ALPINA FAMILIAR</t>
  </si>
  <si>
    <t>POSTRES</t>
  </si>
  <si>
    <t>Postres</t>
  </si>
  <si>
    <t>Manual Postres</t>
  </si>
  <si>
    <t xml:space="preserve">AREQUIPE 4.6KG      </t>
  </si>
  <si>
    <t>200208</t>
  </si>
  <si>
    <t>BOT ETIQ RGN FTLLA 1000G MAQ</t>
  </si>
  <si>
    <t xml:space="preserve">Producto semielaborado                  </t>
  </si>
  <si>
    <t xml:space="preserve">Procesos                      </t>
  </si>
  <si>
    <t>GENERAL</t>
  </si>
  <si>
    <t>HALB</t>
  </si>
  <si>
    <t xml:space="preserve">PS02      </t>
  </si>
  <si>
    <t>200209</t>
  </si>
  <si>
    <t>BOT ETIQ RGN MOR 1000G MAQ</t>
  </si>
  <si>
    <t>200210</t>
  </si>
  <si>
    <t>BOT ETIQ RGN DZNO 1000G MAQ</t>
  </si>
  <si>
    <t>202864</t>
  </si>
  <si>
    <t>LCH ESTAND ENTE MF 2.7 3.4 MG ECU</t>
  </si>
  <si>
    <t>KG</t>
  </si>
  <si>
    <t>202867</t>
  </si>
  <si>
    <t>LCH ESTAND SDES MF 2.2 2.5 MG ECU</t>
  </si>
  <si>
    <t>202868</t>
  </si>
  <si>
    <t>LCH ESTAND SDES MF 1.2 1.5 MG ECU</t>
  </si>
  <si>
    <t>201399</t>
  </si>
  <si>
    <t>CUAJADA Q SAND LONJ AL PESO KIOSKO</t>
  </si>
  <si>
    <t>200542</t>
  </si>
  <si>
    <t>MIX B LCH DESL UHT</t>
  </si>
  <si>
    <t xml:space="preserve">MIX Microingrediente          </t>
  </si>
  <si>
    <t>G</t>
  </si>
  <si>
    <t xml:space="preserve">PS03      </t>
  </si>
  <si>
    <t>201409</t>
  </si>
  <si>
    <t>PUNTAS DE QUESO PIZZA</t>
  </si>
  <si>
    <t>200804</t>
  </si>
  <si>
    <t>MIX B BEB DE YOG DESLAC FNSSE</t>
  </si>
  <si>
    <t>200805</t>
  </si>
  <si>
    <t>MIX ENZIMA YOG DESLAC FNSSE</t>
  </si>
  <si>
    <t>200806</t>
  </si>
  <si>
    <t>MIX CUL B YOG DESLAC FNSSE</t>
  </si>
  <si>
    <t>201551</t>
  </si>
  <si>
    <t>SOBREC CANDY POPS 30G</t>
  </si>
  <si>
    <t>200584</t>
  </si>
  <si>
    <t>MIX CUL B BEB YOG BBLE KIOSKO</t>
  </si>
  <si>
    <t>200585</t>
  </si>
  <si>
    <t>MIX B SAB BEB YOG BBLE KIOSKO FTLLA</t>
  </si>
  <si>
    <t>201152</t>
  </si>
  <si>
    <t>HIGN Y DESNF KIOSKO FAB FILADOS</t>
  </si>
  <si>
    <t xml:space="preserve">Lavados                       </t>
  </si>
  <si>
    <t xml:space="preserve">PS04      </t>
  </si>
  <si>
    <t>201153</t>
  </si>
  <si>
    <t>HIGN Y DESNF KIOSKO EMP TERMOFORMADO QUE</t>
  </si>
  <si>
    <t>201423</t>
  </si>
  <si>
    <t>MIX CUAJADA SANDUCHE KIOSKO</t>
  </si>
  <si>
    <t>200791</t>
  </si>
  <si>
    <t>B LAC YOG RGN</t>
  </si>
  <si>
    <t>202629</t>
  </si>
  <si>
    <t>B SAB YOG DESLAC FNSSE VAINILLA</t>
  </si>
  <si>
    <t>202655</t>
  </si>
  <si>
    <t>B SAB BEBIDA YOG KIOSKO FRUTILLA</t>
  </si>
  <si>
    <t>202547</t>
  </si>
  <si>
    <t>CUAJADA Q HIERBAS KIOSKO 400G</t>
  </si>
  <si>
    <t>202549</t>
  </si>
  <si>
    <t>CUAJADA Q HOLANDES KIOSKO RUEDA 400G</t>
  </si>
  <si>
    <t>202650</t>
  </si>
  <si>
    <t>B CUAJ Q ANDINO SEMIMAD KIOSKO</t>
  </si>
  <si>
    <t>202651</t>
  </si>
  <si>
    <t>CUAJADA Q ANDINO KIOSKO 450G</t>
  </si>
  <si>
    <t>200414</t>
  </si>
  <si>
    <t>CUAJADA Q SANDU KIOSKO BLOQ</t>
  </si>
  <si>
    <t>300753</t>
  </si>
  <si>
    <t>69345 NATURAL COLOR</t>
  </si>
  <si>
    <t xml:space="preserve">Materia prima                           </t>
  </si>
  <si>
    <t xml:space="preserve">Esencias y Colorante          </t>
  </si>
  <si>
    <t xml:space="preserve">ROH </t>
  </si>
  <si>
    <t xml:space="preserve">MP004     </t>
  </si>
  <si>
    <t xml:space="preserve">ALPINA COLOMBIA                                                                 </t>
  </si>
  <si>
    <t>300000</t>
  </si>
  <si>
    <t>AZUCAR</t>
  </si>
  <si>
    <t xml:space="preserve">Azúcar                        </t>
  </si>
  <si>
    <t xml:space="preserve">DIR_MP02  </t>
  </si>
  <si>
    <t xml:space="preserve">INGENIO AZUCARERO DEL NORTE                                                     </t>
  </si>
  <si>
    <t>300079</t>
  </si>
  <si>
    <t>ACIDO FOLICO</t>
  </si>
  <si>
    <t xml:space="preserve">MP Otros                      </t>
  </si>
  <si>
    <t xml:space="preserve">DIR_MP00  </t>
  </si>
  <si>
    <t>300087</t>
  </si>
  <si>
    <t>PECTINA LA 410</t>
  </si>
  <si>
    <t>300108</t>
  </si>
  <si>
    <t>ESTABILIZANTE ALPINA 1 HANN</t>
  </si>
  <si>
    <t>300110</t>
  </si>
  <si>
    <t>SULFATO DE ZINC HEPTAHIDRATADO</t>
  </si>
  <si>
    <t>300111</t>
  </si>
  <si>
    <t>VITAMINA B12</t>
  </si>
  <si>
    <t>300112</t>
  </si>
  <si>
    <t>MAXILACT LG 2000  N</t>
  </si>
  <si>
    <t>300449</t>
  </si>
  <si>
    <t>SOBRE CULTIVO PM IDC</t>
  </si>
  <si>
    <t>300964</t>
  </si>
  <si>
    <t>COLOR NATURAL BLACK CARROT</t>
  </si>
  <si>
    <t>301004</t>
  </si>
  <si>
    <t>CULTIVOS MIX MOZZARELLA 10.500 L</t>
  </si>
  <si>
    <t>301005</t>
  </si>
  <si>
    <t>CULTIVOS MIX MOZZARELLA 6000 L</t>
  </si>
  <si>
    <t>301007</t>
  </si>
  <si>
    <t>CULTIVOS MIX PARMESANO 5000 L</t>
  </si>
  <si>
    <t>301191</t>
  </si>
  <si>
    <t>MERMELADA GRIEGO FRUTOS ROJOS</t>
  </si>
  <si>
    <t xml:space="preserve">Procesados de Fruta           </t>
  </si>
  <si>
    <t xml:space="preserve">MP002     </t>
  </si>
  <si>
    <t xml:space="preserve">CARLOS ORTEGA                                                                   </t>
  </si>
  <si>
    <t>301192</t>
  </si>
  <si>
    <t>MERMELADA GRIEGO MORA  ARANDANOS</t>
  </si>
  <si>
    <t>300335</t>
  </si>
  <si>
    <t>SUCRALGEM 508691 TP0499</t>
  </si>
  <si>
    <t>300315</t>
  </si>
  <si>
    <t>ESENCIA DE FRUTILLA FF5900  KIOSKO</t>
  </si>
  <si>
    <t>603349</t>
  </si>
  <si>
    <t>BOT ETIQ RGN BBLE FTLLA 1750G</t>
  </si>
  <si>
    <t xml:space="preserve">Empaque                                 </t>
  </si>
  <si>
    <t xml:space="preserve">Botellas                      </t>
  </si>
  <si>
    <t>VERP</t>
  </si>
  <si>
    <t xml:space="preserve">ME004     </t>
  </si>
  <si>
    <t xml:space="preserve">INPLASTICO                                                                      </t>
  </si>
  <si>
    <t>602181</t>
  </si>
  <si>
    <t>BOT. ETIQ. YOGURT FINESSE VAINILLA 180 G</t>
  </si>
  <si>
    <t>602262</t>
  </si>
  <si>
    <t>MULTIEMPAQUE QUESO DEDOS LIGHT</t>
  </si>
  <si>
    <t xml:space="preserve">MATERIAL DE EMPAQUE           </t>
  </si>
  <si>
    <t xml:space="preserve">ME00      </t>
  </si>
  <si>
    <t xml:space="preserve">FLEXIPLAST                                                                      </t>
  </si>
  <si>
    <t>602263</t>
  </si>
  <si>
    <t>LAMINADO QUESO DEDOS LIGHT</t>
  </si>
  <si>
    <t>600662</t>
  </si>
  <si>
    <t>FUNDA CRYOVAC 9X19  KIOSKO</t>
  </si>
  <si>
    <t>604017</t>
  </si>
  <si>
    <t>BOTELLA FINESSE TROZOS DURAZNO 1650GRS</t>
  </si>
  <si>
    <t>604018</t>
  </si>
  <si>
    <t>ETIQ GRIEGO FRUTOS ROJOS 500</t>
  </si>
  <si>
    <t>600653</t>
  </si>
  <si>
    <t>VASO DULCE DE LECHE 250  KIOSKO</t>
  </si>
  <si>
    <t xml:space="preserve">ENVASES Y EMPAQUES            </t>
  </si>
  <si>
    <t xml:space="preserve">NL087     </t>
  </si>
  <si>
    <t xml:space="preserve">POLIGRUP                                                                        </t>
  </si>
  <si>
    <t>600743</t>
  </si>
  <si>
    <t>FOIL QUESO FUNDIDO 45 GR</t>
  </si>
  <si>
    <t xml:space="preserve">Foil Aluminio                 </t>
  </si>
  <si>
    <t xml:space="preserve">DIR_ME23  </t>
  </si>
  <si>
    <t xml:space="preserve">MULTIDIMENSIONALES                                                              </t>
  </si>
  <si>
    <t>600745</t>
  </si>
  <si>
    <t>VASO IMPRESO QUESO FUNDIDO CHEDDAR 45 GR</t>
  </si>
  <si>
    <t xml:space="preserve">Vasos                         </t>
  </si>
  <si>
    <t xml:space="preserve">ME021     </t>
  </si>
  <si>
    <t>603340</t>
  </si>
  <si>
    <t>BOT ETIQ BEB YOG KIOSKO FTLLA 1700G</t>
  </si>
  <si>
    <t>600735</t>
  </si>
  <si>
    <t>ETIQ QUESO FRESCO LIGHT 700 KIOSKO</t>
  </si>
  <si>
    <t xml:space="preserve">Etiquetas                     </t>
  </si>
  <si>
    <t xml:space="preserve">ME010     </t>
  </si>
  <si>
    <t xml:space="preserve">WA ETIQUETAS                                                                    </t>
  </si>
  <si>
    <t>603123</t>
  </si>
  <si>
    <t>BOT ETIQ BON YURT HOJUELAS 1180G HOME</t>
  </si>
  <si>
    <t>603124</t>
  </si>
  <si>
    <t>ETIQ C N FRESCO 200 GR</t>
  </si>
  <si>
    <t xml:space="preserve">Etiqueta Termoencogi          </t>
  </si>
  <si>
    <t xml:space="preserve">ME011     </t>
  </si>
  <si>
    <t>603134</t>
  </si>
  <si>
    <t>LAMINA FRESCO 700 GR</t>
  </si>
  <si>
    <t>603140</t>
  </si>
  <si>
    <t>ETIQ C N FRESCO 700 GR</t>
  </si>
  <si>
    <t>603148</t>
  </si>
  <si>
    <t>SEPARADOR MOZARELLA 500 TRASVERSAL</t>
  </si>
  <si>
    <t xml:space="preserve">Corrugado                     </t>
  </si>
  <si>
    <t xml:space="preserve">DIR_ME39  </t>
  </si>
  <si>
    <t xml:space="preserve">CORRUGADORA NACIONAL CRANSA                                                     </t>
  </si>
  <si>
    <t>601660</t>
  </si>
  <si>
    <t>VASO GELATINA KIOSKO SABOR FRESA 170GR</t>
  </si>
  <si>
    <t>601940</t>
  </si>
  <si>
    <t>CAJA YOGURT 180 GR. X 18</t>
  </si>
  <si>
    <t>602032</t>
  </si>
  <si>
    <t>ETIQ. AREQUIPE GALON</t>
  </si>
  <si>
    <t>603435</t>
  </si>
  <si>
    <t>SEPARADOR MOZARELLA DELACTOSADO</t>
  </si>
  <si>
    <t>603436</t>
  </si>
  <si>
    <t>ETQ MOZARELLA 500G DESLACTOSADA CN</t>
  </si>
  <si>
    <t>605470</t>
  </si>
  <si>
    <t>ETIQ. BEB REGN DURAZNO 1750</t>
  </si>
  <si>
    <t>605471</t>
  </si>
  <si>
    <t>ETIQ. BEB REGN FRUTILLA 1750</t>
  </si>
  <si>
    <t>605472</t>
  </si>
  <si>
    <t>ETIQ. TROZOS REGN MORA 1000</t>
  </si>
  <si>
    <t>601246</t>
  </si>
  <si>
    <t>CAJA CARTON MOZARELLA 500 KIOSKO</t>
  </si>
  <si>
    <t>605756</t>
  </si>
  <si>
    <t>TARRINA GRIEGO FRUTOS ROJOS 400G</t>
  </si>
  <si>
    <t>600753</t>
  </si>
  <si>
    <t>LAMINADO MOZARELLA LONJAS 150 GR</t>
  </si>
  <si>
    <t>600754</t>
  </si>
  <si>
    <t>CAJA PLEGABLE IMPRESA CUNA 300 GR</t>
  </si>
  <si>
    <t>603484</t>
  </si>
  <si>
    <t>CAJA AREQUIPE 250 X 48 UNDS     </t>
  </si>
  <si>
    <t>600690</t>
  </si>
  <si>
    <t>ETIQ PROVOLONE AHUMADO 260 GR KIOSKO</t>
  </si>
  <si>
    <t>600691</t>
  </si>
  <si>
    <t>ETIQ PROVOLONE AHUM C N 260GR KIOSKO</t>
  </si>
  <si>
    <t>600750</t>
  </si>
  <si>
    <t>ETIQ. CHEDDAR LONJAS 200 C N</t>
  </si>
  <si>
    <t>602671</t>
  </si>
  <si>
    <t>ETIQUETA CREMOSO DEL CAMPO 450 GR  C N</t>
  </si>
  <si>
    <t>600724</t>
  </si>
  <si>
    <t>LAMINADO MOZARELLA LIGHT 700 KIOSKO</t>
  </si>
  <si>
    <t>600725</t>
  </si>
  <si>
    <t>LAMINADO MOZARELLA 500 KIOSKO</t>
  </si>
  <si>
    <t>600726</t>
  </si>
  <si>
    <t>LAMINADO MOZARELLA LIGHT 500 KIOSKO</t>
  </si>
  <si>
    <t>605438</t>
  </si>
  <si>
    <t>ETIQ. BEB YOG KIOSKO FTLLA 950</t>
  </si>
  <si>
    <t>600717</t>
  </si>
  <si>
    <t>ETIQ. QUESO MADURO HOLANDES 300 GR. C N</t>
  </si>
  <si>
    <t>600718</t>
  </si>
  <si>
    <t>LAMINADO QUESO MADURO JAVIERINO 300 GR.</t>
  </si>
  <si>
    <t>600729</t>
  </si>
  <si>
    <t>LAMINADO MOZARELLA LIGHT 200 KIOSKO</t>
  </si>
  <si>
    <t>607052</t>
  </si>
  <si>
    <t>ETIQ YOGURT FINESSE NATURAL 1670</t>
  </si>
  <si>
    <t>603021</t>
  </si>
  <si>
    <t>BOT ETIQ REGENERIS CIRUELA 180G</t>
  </si>
  <si>
    <t>603557</t>
  </si>
  <si>
    <t>ALPINA  GRIEGO FRESA Y FRAMBUEZA 150</t>
  </si>
  <si>
    <t>601262</t>
  </si>
  <si>
    <t>SEPARADORES DULCE DE LECHE 500 GR K</t>
  </si>
  <si>
    <t>601266</t>
  </si>
  <si>
    <t>FUNDA SIX PACK BONYURT 163 GR EC</t>
  </si>
  <si>
    <t>600669</t>
  </si>
  <si>
    <t>LAMINADO MOZARELLA 900  KIOSKO</t>
  </si>
  <si>
    <t>600672</t>
  </si>
  <si>
    <t>ETIQ BLO HORMA PIZZA MOZARELLA KIOSKO</t>
  </si>
  <si>
    <t>605431</t>
  </si>
  <si>
    <t>ETIQ. YOGURT FINESSE FRTROJ 950</t>
  </si>
  <si>
    <t>601263</t>
  </si>
  <si>
    <t>CAJA BI PACK REQUESON SUPERMAXI</t>
  </si>
  <si>
    <t>601268</t>
  </si>
  <si>
    <t>CAJA GALON K EC</t>
  </si>
  <si>
    <t>601273</t>
  </si>
  <si>
    <t>TELA LIENZO</t>
  </si>
  <si>
    <t xml:space="preserve">Otros                         </t>
  </si>
  <si>
    <t xml:space="preserve">DIR_OT00  </t>
  </si>
  <si>
    <t xml:space="preserve"> MARGARITA AMELIA ARANDA VERDEZOTO                                              </t>
  </si>
  <si>
    <t>601292</t>
  </si>
  <si>
    <t>ETIQUETA BEBIBLE DURAZNO 3.5KG KIOSKO</t>
  </si>
  <si>
    <t xml:space="preserve">COREPTEC                                                                        </t>
  </si>
  <si>
    <t>603328</t>
  </si>
  <si>
    <t>ETIQ.SELECCION ESPECIAL 500 GR C N</t>
  </si>
  <si>
    <t>603353</t>
  </si>
  <si>
    <t>BOT ETIQ TZOS KIOSKO FTLLA 950G</t>
  </si>
  <si>
    <t>600466</t>
  </si>
  <si>
    <t>LAMINA BEBIBLE GUANAB  MOR 900G KIOSKO</t>
  </si>
  <si>
    <t>600649</t>
  </si>
  <si>
    <t>TAPA 200  KIOSKO</t>
  </si>
  <si>
    <t>600652</t>
  </si>
  <si>
    <t>TAPA QUESO FUNDIDO ROJA</t>
  </si>
  <si>
    <t>602067</t>
  </si>
  <si>
    <t>BOT ETIQ BBLE KIOSKO KIDS MORA 180G</t>
  </si>
  <si>
    <t>602104</t>
  </si>
  <si>
    <t>BOT ETIQ YOG KUMIS 180G</t>
  </si>
  <si>
    <t>602157</t>
  </si>
  <si>
    <t>ETIQUETA YOG KIOSKO MORA 120G</t>
  </si>
  <si>
    <t>602158</t>
  </si>
  <si>
    <t>ETIQUETA YOG KIOSKO MORA 180G</t>
  </si>
  <si>
    <t>600961</t>
  </si>
  <si>
    <t>ELEMENTO PREMIO KIOSKO</t>
  </si>
  <si>
    <t xml:space="preserve">Empaque Promocional           </t>
  </si>
  <si>
    <t xml:space="preserve">ME020     </t>
  </si>
  <si>
    <t xml:space="preserve">QUINTEPLAST / GRUPO MERCANTIL                                                   </t>
  </si>
  <si>
    <t>600962</t>
  </si>
  <si>
    <t>ETIQ. KIOSKO YOGURT DURAZNO 120 PROMO</t>
  </si>
  <si>
    <t>601257</t>
  </si>
  <si>
    <t>CAJA DULCE DE LECHE 250 GR</t>
  </si>
  <si>
    <t>601238</t>
  </si>
  <si>
    <t>ETIQUETA MADURO SANDUCHE 300  KIOSKO</t>
  </si>
  <si>
    <t>14628</t>
  </si>
  <si>
    <t>PR SURTIDO BON YURT 170GR</t>
  </si>
  <si>
    <t>PROMOCION</t>
  </si>
  <si>
    <t>Multiempaque</t>
  </si>
  <si>
    <t xml:space="preserve">PR01      </t>
  </si>
  <si>
    <t>14629</t>
  </si>
  <si>
    <t>PR SURTIDO REGENERIS 180GR</t>
  </si>
  <si>
    <t>REGENERIS BEBIBLE BOTELLA PERSONAL</t>
  </si>
  <si>
    <t>5725</t>
  </si>
  <si>
    <t>Q FRES KIOSKO BLOQ 900G</t>
  </si>
  <si>
    <t>QUESO FRESCO KIOSKO BLOQUE</t>
  </si>
  <si>
    <t xml:space="preserve">Q.FRESCO 900GR      </t>
  </si>
  <si>
    <t>14630</t>
  </si>
  <si>
    <t>PR ALM+KIOSKO+CANDY</t>
  </si>
  <si>
    <t>MULTIMARCA</t>
  </si>
  <si>
    <t>ARMADOS</t>
  </si>
  <si>
    <t>11320</t>
  </si>
  <si>
    <t>Q ESPAR MOZAR KIOSKO VASO 45G</t>
  </si>
  <si>
    <t xml:space="preserve">Q.ESPAR MOZZ 45G    </t>
  </si>
  <si>
    <t>2024.12</t>
  </si>
  <si>
    <t>Q MIX GOURMET KIOSKO CUBO BOL 150G</t>
  </si>
  <si>
    <t>QUESO SEMIMADURO KIOSKO</t>
  </si>
  <si>
    <t>NUEVO</t>
  </si>
  <si>
    <t>TNEW</t>
  </si>
  <si>
    <t xml:space="preserve">TNEW      </t>
  </si>
  <si>
    <t>2024.13</t>
  </si>
  <si>
    <t>Q MOZAR KIOSKO AHUMADO 400G</t>
  </si>
  <si>
    <t>QUESO MOZARELLA KIOSKO BLOQUE AHU</t>
  </si>
  <si>
    <t>LECHE ESTANDARIZADA SEMIDESCREMADA 1.2 - 1.5% MG SAN GABRIEL</t>
  </si>
  <si>
    <t>14551</t>
  </si>
  <si>
    <t>PR BEBI YOG KIOSKO FRU 120G PREM 6+1</t>
  </si>
  <si>
    <t>BEBIDA DE YOGURT KIOSKO PREMIO</t>
  </si>
  <si>
    <t>14606</t>
  </si>
  <si>
    <t>YOG BBLE KID KK MORA BOT 120G</t>
  </si>
  <si>
    <t>BEBIDA DE YOGURT KIOSKO BOTELLA PERSONAL</t>
  </si>
  <si>
    <t xml:space="preserve">YK BBLE K MORA 120G </t>
  </si>
  <si>
    <t>14607</t>
  </si>
  <si>
    <t>YOG BBLE KID KK MORA BOT 180G</t>
  </si>
  <si>
    <t xml:space="preserve">YK BBLE K MORA 180G </t>
  </si>
  <si>
    <t>16513</t>
  </si>
  <si>
    <t>GRIEG KIOSKO MOR Y ARAND 120</t>
  </si>
  <si>
    <t>5729</t>
  </si>
  <si>
    <t>Q MOZAR KIOSKO BLOQ 200G</t>
  </si>
  <si>
    <t>QUESO MOZARELLA KIOSKO BLOQUE</t>
  </si>
  <si>
    <t xml:space="preserve">Q.MOZZ 200G         </t>
  </si>
  <si>
    <t>16385</t>
  </si>
  <si>
    <t>BY MINI MASMELOS 115G</t>
  </si>
  <si>
    <t>BON YURT MINI</t>
  </si>
  <si>
    <t>Bonyurt</t>
  </si>
  <si>
    <t>B LAC BY</t>
  </si>
  <si>
    <t xml:space="preserve">BY MINI MAS 115G    </t>
  </si>
  <si>
    <t>10965</t>
  </si>
  <si>
    <t>CAJA NAVIDENA AREQUIPE + Q MOZAR TAT</t>
  </si>
  <si>
    <t xml:space="preserve">CAJA NAVIDEÑA       </t>
  </si>
  <si>
    <t>16454</t>
  </si>
  <si>
    <t>PR 3 FUNDA KIOSKO 900G FRUMORDUR OBS JAR</t>
  </si>
  <si>
    <t>400009</t>
  </si>
  <si>
    <t>OPTIMUN</t>
  </si>
  <si>
    <t xml:space="preserve">Otros Materiales                        </t>
  </si>
  <si>
    <t>ZROH</t>
  </si>
  <si>
    <t>401144</t>
  </si>
  <si>
    <t>EXELERATE 101</t>
  </si>
  <si>
    <t>401145</t>
  </si>
  <si>
    <t>PRINCIPAL</t>
  </si>
  <si>
    <t>400509</t>
  </si>
  <si>
    <t>FLOCULANTE  C</t>
  </si>
  <si>
    <t xml:space="preserve">Varios                        </t>
  </si>
  <si>
    <t xml:space="preserve">Z03       </t>
  </si>
  <si>
    <t xml:space="preserve">ECUAPETQUIM                                                                     </t>
  </si>
  <si>
    <t>401146</t>
  </si>
  <si>
    <t>FOOD SERVICE FOAM HAND</t>
  </si>
  <si>
    <t>400001</t>
  </si>
  <si>
    <t>HIPOCLORITO DE SODIO PENCLORITO</t>
  </si>
  <si>
    <t xml:space="preserve">Aseo y Desinfección           </t>
  </si>
  <si>
    <t xml:space="preserve">DIR_MP08  </t>
  </si>
  <si>
    <t xml:space="preserve">RELUBQUIM                                                                       </t>
  </si>
  <si>
    <t>400420</t>
  </si>
  <si>
    <t>CAL APAGADA</t>
  </si>
  <si>
    <t>401140</t>
  </si>
  <si>
    <t>TOPAX 66</t>
  </si>
  <si>
    <t xml:space="preserve">ECOLAB ECUADOR CIA LTDA                                                         </t>
  </si>
  <si>
    <t>400005</t>
  </si>
  <si>
    <t>ALCOHOL INDUSTRIAL INSUMO</t>
  </si>
  <si>
    <t>L</t>
  </si>
  <si>
    <t xml:space="preserve">TOP TRADING                                                                     </t>
  </si>
  <si>
    <t>201429</t>
  </si>
  <si>
    <t>CEREAL FROOT LOOPS RECUPERADO</t>
  </si>
  <si>
    <t xml:space="preserve">PRODUC SEMIELABORA            </t>
  </si>
  <si>
    <t xml:space="preserve">PS0       </t>
  </si>
  <si>
    <t>201433</t>
  </si>
  <si>
    <t>GALLETAS TRITURADAS DE CHOCO RECUPERADAS</t>
  </si>
  <si>
    <t>11224</t>
  </si>
  <si>
    <t>YOG TZOS KIOSKO MOR BOT 950G</t>
  </si>
  <si>
    <t>YOGURT KIOSKO TROZOS BOTELLA FAMILIAR</t>
  </si>
  <si>
    <t>Trozos kiosko Nuevo</t>
  </si>
  <si>
    <t>B LAC YOG TZOS KIOSKO</t>
  </si>
  <si>
    <t xml:space="preserve">YK TZOS MORA 950G   </t>
  </si>
  <si>
    <t>8206</t>
  </si>
  <si>
    <t>MPLX6 AREQUIPE VASO 50G</t>
  </si>
  <si>
    <t>MULTIEMPAQUE_SG</t>
  </si>
  <si>
    <t>Multiempaque_linea</t>
  </si>
  <si>
    <t xml:space="preserve">6P AREQUIPE 50G     </t>
  </si>
  <si>
    <t>5732</t>
  </si>
  <si>
    <t>Q MOZAR KIOSKO BLOQ 700G</t>
  </si>
  <si>
    <t xml:space="preserve">Q.MOZZ 700G         </t>
  </si>
  <si>
    <t>200796</t>
  </si>
  <si>
    <t>MIX B SAB RGN BBLE FTLLA</t>
  </si>
  <si>
    <t>200395</t>
  </si>
  <si>
    <t>CUAJADA Q MOZAR LGHT KIOSKO 200G</t>
  </si>
  <si>
    <t>200396</t>
  </si>
  <si>
    <t>CUAJADA Q MOZAR LGHT KIOSKO 500G</t>
  </si>
  <si>
    <t>600751</t>
  </si>
  <si>
    <t>LAMINADO CHEDDAR LONJAS 200 GR</t>
  </si>
  <si>
    <t>600752</t>
  </si>
  <si>
    <t>ETIQ. MOZARELLA LONJAS 150 C N</t>
  </si>
  <si>
    <t>200207</t>
  </si>
  <si>
    <t>BOT ETIQ BBLE KIOSKO KIDS DZNO 180G</t>
  </si>
  <si>
    <t>300014</t>
  </si>
  <si>
    <t>CERA ROJA  5</t>
  </si>
  <si>
    <t xml:space="preserve">MAX TOMASELLI C LTDA                                                            </t>
  </si>
  <si>
    <t>601203</t>
  </si>
  <si>
    <t>CAJA SUPERMAXI SIX PACK E</t>
  </si>
  <si>
    <t>600425</t>
  </si>
  <si>
    <t>FUNDA SIX PK VASOS REGENERIS  TROZOS 150</t>
  </si>
  <si>
    <t xml:space="preserve">Multiempaq Termoenco          </t>
  </si>
  <si>
    <t xml:space="preserve">ME015     </t>
  </si>
  <si>
    <t>600427</t>
  </si>
  <si>
    <t>VASO BONYURT ZUCARITAS FM E.</t>
  </si>
  <si>
    <t xml:space="preserve">SAN MIGUEL INDUSTRIAS ECUADOR                                                   </t>
  </si>
  <si>
    <t>600428</t>
  </si>
  <si>
    <t>VASO BONYURT FROOT LOOPS FM</t>
  </si>
  <si>
    <t>600429</t>
  </si>
  <si>
    <t>VASO YOGURT REGENERIS DURAZNO 150 E</t>
  </si>
  <si>
    <t>600730</t>
  </si>
  <si>
    <t>LAMINA QUESO PERA 50 GR KIOSKO</t>
  </si>
  <si>
    <t>600734</t>
  </si>
  <si>
    <t>LAMINADO QUESO DEL CAMPO 450 GR</t>
  </si>
  <si>
    <t>600737</t>
  </si>
  <si>
    <t>LAMINADO RICOTTA 450 KIOSKO</t>
  </si>
  <si>
    <t>600738</t>
  </si>
  <si>
    <t>MEK SOLVENTE DE CODIFICACION 750 ML V 70</t>
  </si>
  <si>
    <t>TAR</t>
  </si>
  <si>
    <t>600723</t>
  </si>
  <si>
    <t>LAMINADO MOZARELLA 700 KIOSKO</t>
  </si>
  <si>
    <t>606696</t>
  </si>
  <si>
    <t>FUNDA SIX PACK AVENA FINESSE VASO</t>
  </si>
  <si>
    <t>606706</t>
  </si>
  <si>
    <t>VASO BONYURT TANGO TROCEADO</t>
  </si>
  <si>
    <t>606755</t>
  </si>
  <si>
    <t>ETIQ MIX QUESO NAVIDENO 400GR FRENTE</t>
  </si>
  <si>
    <t>602838</t>
  </si>
  <si>
    <t>BOT ETIQ YOG KIOSKO FRESA 120G</t>
  </si>
  <si>
    <t>606446</t>
  </si>
  <si>
    <t>SPARADR LRGRO FNDAS CJA MZARLLA LRG</t>
  </si>
  <si>
    <t>606447</t>
  </si>
  <si>
    <t>SPARADR TRSVERSAL FNDS CJA MZARLLA LRG</t>
  </si>
  <si>
    <t>600462</t>
  </si>
  <si>
    <t>VASO BONYURT AREQUIPE 165 GR</t>
  </si>
  <si>
    <t>600714</t>
  </si>
  <si>
    <t>LAMINADO QUESO MADURO SANDUCHE 300 GR.</t>
  </si>
  <si>
    <t>603152</t>
  </si>
  <si>
    <t>SEPARADOR MOZARELLA LARGO LARGUERO</t>
  </si>
  <si>
    <t>603156</t>
  </si>
  <si>
    <t>SEPARADORES DULCE DE LECHE 500G TRASVER</t>
  </si>
  <si>
    <t>602662</t>
  </si>
  <si>
    <t>ETIQUETA MOZARELLA 350 GR   C N</t>
  </si>
  <si>
    <t>602694</t>
  </si>
  <si>
    <t>BOTELLA ETIQ YOGURT NATURAL 950  KIOSKO</t>
  </si>
  <si>
    <t>602701</t>
  </si>
  <si>
    <t>FOIL SIN IMPRESION YOGURT MINI</t>
  </si>
  <si>
    <t>600450</t>
  </si>
  <si>
    <t>VASO YOG TROZOS FRUTILLA 150 KIOSKO</t>
  </si>
  <si>
    <t>601050</t>
  </si>
  <si>
    <t>ETIQ. REGENERIS BAJO EN GRASA FRUTILLA 1</t>
  </si>
  <si>
    <t>603808</t>
  </si>
  <si>
    <t>TARRINA QUESO CREMA 250 GRS</t>
  </si>
  <si>
    <t>607506</t>
  </si>
  <si>
    <t>LAMINA YOGURT DURAZNO 150ML</t>
  </si>
  <si>
    <t>606238</t>
  </si>
  <si>
    <t>RIBBON PREMIUM VJR 30X600 NE 250</t>
  </si>
  <si>
    <t>600676</t>
  </si>
  <si>
    <t>NITROGENO GAS ECUADOR</t>
  </si>
  <si>
    <t xml:space="preserve">ME Otros                      </t>
  </si>
  <si>
    <t>M3</t>
  </si>
  <si>
    <t xml:space="preserve">DIR_ME00  </t>
  </si>
  <si>
    <t xml:space="preserve">INDURA ECUADOR                                                                  </t>
  </si>
  <si>
    <t>604802</t>
  </si>
  <si>
    <t>FOIL SOBRECOPA PET UNIDADES</t>
  </si>
  <si>
    <t xml:space="preserve">JVYH                                                                            </t>
  </si>
  <si>
    <t>604803</t>
  </si>
  <si>
    <t>EMP HOLANDES RUEDA 400 GR</t>
  </si>
  <si>
    <t>604804</t>
  </si>
  <si>
    <t>EMP HOLANDES RUEDA 400 GR C N</t>
  </si>
  <si>
    <t>605443</t>
  </si>
  <si>
    <t>ETIQ. BEB YOG KIOSKO FTLLA 1700</t>
  </si>
  <si>
    <t>605477</t>
  </si>
  <si>
    <t>ETIQ. TROZOS REGN DURAZNO 1750</t>
  </si>
  <si>
    <t>607360</t>
  </si>
  <si>
    <t>VASO MINI MASHMELLOWS</t>
  </si>
  <si>
    <t>607367</t>
  </si>
  <si>
    <t>DOYPACK SALSA Q CRIOLLA 200G</t>
  </si>
  <si>
    <t xml:space="preserve">Doypack                       </t>
  </si>
  <si>
    <t xml:space="preserve">DIR_ME33  </t>
  </si>
  <si>
    <t>607417</t>
  </si>
  <si>
    <t>ROLLO PAPEL 21CM</t>
  </si>
  <si>
    <t xml:space="preserve">Lamina Otros                  </t>
  </si>
  <si>
    <t xml:space="preserve">DIR_ME09  </t>
  </si>
  <si>
    <t xml:space="preserve">FULLPACKING                                                                     </t>
  </si>
  <si>
    <t>607418</t>
  </si>
  <si>
    <t>ROLLO PAPEL 11CM</t>
  </si>
  <si>
    <t>8260</t>
  </si>
  <si>
    <t>AREQUIPE VASO 250G ECU</t>
  </si>
  <si>
    <t>Mz Arequipe</t>
  </si>
  <si>
    <t xml:space="preserve">AREQUIPE 250G       </t>
  </si>
  <si>
    <t>8261</t>
  </si>
  <si>
    <t>AREQUIPE VASO 500G ECU</t>
  </si>
  <si>
    <t xml:space="preserve">AREQUIPE5 500G      </t>
  </si>
  <si>
    <t>5759</t>
  </si>
  <si>
    <t>Q HOLAN KIOSKO 20 LONJ 300G</t>
  </si>
  <si>
    <t>QUESO HOLANDES KIOSKO TAJADO</t>
  </si>
  <si>
    <t xml:space="preserve">Q.HOLANDES LON 300G </t>
  </si>
  <si>
    <t>16980</t>
  </si>
  <si>
    <t>PACK Q MOZZ 350G + Q PARM 40G</t>
  </si>
  <si>
    <t>16919</t>
  </si>
  <si>
    <t>PACK QUESOS KIOSKO NAVIDAD + TABLA</t>
  </si>
  <si>
    <t>16986</t>
  </si>
  <si>
    <t>PR QUESO MOZZ 200G PVP ESPECIAL</t>
  </si>
  <si>
    <t>14546</t>
  </si>
  <si>
    <t>PR TRIPACKGLOW 1FRU+1DU+1MOR</t>
  </si>
  <si>
    <t>16514</t>
  </si>
  <si>
    <t>GRIEG KIOSKO NATURAL 400</t>
  </si>
  <si>
    <t>200397</t>
  </si>
  <si>
    <t>CUAJADA Q MOZAR LGHT KIOSKO 700G</t>
  </si>
  <si>
    <t>200398</t>
  </si>
  <si>
    <t>B CUAJADA Q MOZAR PIZZ KIOSKO</t>
  </si>
  <si>
    <t>200399</t>
  </si>
  <si>
    <t>CUAJADA Q MOZAR PIZZ  KIOSKO BLOQ 3KG</t>
  </si>
  <si>
    <t>200184</t>
  </si>
  <si>
    <t>SOBREC GRAGEAS DE CHOC 25G</t>
  </si>
  <si>
    <t>200527</t>
  </si>
  <si>
    <t>AGUA ALPINA</t>
  </si>
  <si>
    <t>202542</t>
  </si>
  <si>
    <t>MIX BASE SABORIZADA GRIEGO LIMON EC</t>
  </si>
  <si>
    <t>202548</t>
  </si>
  <si>
    <t>MIX Q MOZZARELLA HIERBAS</t>
  </si>
  <si>
    <t>202630</t>
  </si>
  <si>
    <t>MIX B SAB YOG DESLAC FNSSE VAINILLA</t>
  </si>
  <si>
    <t>200836</t>
  </si>
  <si>
    <t>B PARA MQUILLA</t>
  </si>
  <si>
    <t>201154</t>
  </si>
  <si>
    <t>HIGN Y DESNF KIOSKO EMP AL VACIO QUESOS</t>
  </si>
  <si>
    <t>201155</t>
  </si>
  <si>
    <t>MIX B CUAJADA RQSON KIOSKO</t>
  </si>
  <si>
    <t>201157</t>
  </si>
  <si>
    <t>MIX B SAB ALPINITO FTLLA</t>
  </si>
  <si>
    <t>201176</t>
  </si>
  <si>
    <t>MIX B CUAJADA EL QUESO KIOSKO</t>
  </si>
  <si>
    <t>201168</t>
  </si>
  <si>
    <t>MIX CUL B CUAJADA Q JAVIER SEMIMAD</t>
  </si>
  <si>
    <t>201198</t>
  </si>
  <si>
    <t>B CUAJADA Q PROVO NAT KIOSKO</t>
  </si>
  <si>
    <t>202640</t>
  </si>
  <si>
    <t>SOBREC MASHMELO DE COLORES 15G</t>
  </si>
  <si>
    <t>200388</t>
  </si>
  <si>
    <t>CUAJADA Q FRES LGHT KIOSKO 700G</t>
  </si>
  <si>
    <t>17069</t>
  </si>
  <si>
    <t>YOG FINESSE NAT VASO 150g</t>
  </si>
  <si>
    <t>B LAC finesse</t>
  </si>
  <si>
    <t>16519</t>
  </si>
  <si>
    <t>SURTI COMBO COBERTURA</t>
  </si>
  <si>
    <t>17113</t>
  </si>
  <si>
    <t>5755</t>
  </si>
  <si>
    <t>Q HIERBAS KIOSKO AL PESO</t>
  </si>
  <si>
    <t>QUESO SEMIMADURO HIERBAS KIOSKO BLOQUE</t>
  </si>
  <si>
    <t xml:space="preserve">Q.HIERBAS PESO      </t>
  </si>
  <si>
    <t>11835</t>
  </si>
  <si>
    <t>YOG DUO KIOSKO PINA COCO BOT 180G</t>
  </si>
  <si>
    <t>BEBIDA DE YOGURT KIOSKO DUO BOTELLA PERS</t>
  </si>
  <si>
    <t>5728</t>
  </si>
  <si>
    <t>Q FRES LGHT KIOSKO BLOQ 700G</t>
  </si>
  <si>
    <t>QUESO FRESCO LIGHT KIOSKO BLOQUE</t>
  </si>
  <si>
    <t>15147</t>
  </si>
  <si>
    <t>GELAKIOSKO CEREZA 160G</t>
  </si>
  <si>
    <t>GELATINA KIOSKO</t>
  </si>
  <si>
    <t>Gelatina</t>
  </si>
  <si>
    <t>B POSTRE GELIFICADO KIOSKO</t>
  </si>
  <si>
    <t xml:space="preserve">GELTA CRZA 160G     </t>
  </si>
  <si>
    <t>12320</t>
  </si>
  <si>
    <t>Q PROVO AHUM KIOSKO LONJ 1KG</t>
  </si>
  <si>
    <t>QUESO PROVOLONE KIOSKO TAJADO</t>
  </si>
  <si>
    <t xml:space="preserve">Q.PROV AHU LON 1K   </t>
  </si>
  <si>
    <t>842953</t>
  </si>
  <si>
    <t>PRV 6+1 QUESO MOZZ 200GR KIOSKO</t>
  </si>
  <si>
    <t>QUESO MOZARELLA PIZZA KIOSKO BLOQUE</t>
  </si>
  <si>
    <t>Quesokiosko</t>
  </si>
  <si>
    <t xml:space="preserve">PRV6+1 MOZZ 200GR   </t>
  </si>
  <si>
    <t>842954</t>
  </si>
  <si>
    <t>PRV 5+1 QUESO MOZZ 350GR KIOSKO</t>
  </si>
  <si>
    <t>Cremaleche</t>
  </si>
  <si>
    <t xml:space="preserve">PRV5+1_MOZZ 350GR   </t>
  </si>
  <si>
    <t>14644</t>
  </si>
  <si>
    <t>YOG NAT KIOSKO BOTELLA 950G</t>
  </si>
  <si>
    <t>YOGURT KIOSKO NATURAL BOTELLA FAMILIAR</t>
  </si>
  <si>
    <t>Natural Kiosko</t>
  </si>
  <si>
    <t>B LAC YOG KIOSKO NAT</t>
  </si>
  <si>
    <t>YK BBLE NATURAL 950G</t>
  </si>
  <si>
    <t>4133</t>
  </si>
  <si>
    <t>MPLX6 RGN TZOS MULTSAB VASO 150G</t>
  </si>
  <si>
    <t>REGENERIS REGULAR VASO</t>
  </si>
  <si>
    <t>MULTIEMPAQUE_MACH</t>
  </si>
  <si>
    <t>Multiempaque_Linea</t>
  </si>
  <si>
    <t xml:space="preserve">6P RGN TZOS 150G    </t>
  </si>
  <si>
    <t>5734</t>
  </si>
  <si>
    <t>Q MOZAR KIOSKO BLOQ 600G</t>
  </si>
  <si>
    <t>QUESO MOZARELLA KIOSKO EMBUTIDO</t>
  </si>
  <si>
    <t xml:space="preserve">Q.MOZZ 600G         </t>
  </si>
  <si>
    <t>11834</t>
  </si>
  <si>
    <t>YOG DUO KIOSKO GUANA MOR BOT 950G</t>
  </si>
  <si>
    <t>BEBIDA DE YOGURT KIOSKO DUO BOTELLA FAMI</t>
  </si>
  <si>
    <t>601662</t>
  </si>
  <si>
    <t>VASO GELATINA KIOSKO SABOR CEREZA 170GR</t>
  </si>
  <si>
    <t>601664</t>
  </si>
  <si>
    <t>SOBRECOPA GELATINA KIOSKO</t>
  </si>
  <si>
    <t>601665</t>
  </si>
  <si>
    <t>VASO BONYURT HERSHEYS CHIPS  EC</t>
  </si>
  <si>
    <t>601675</t>
  </si>
  <si>
    <t>LAMINA QUESO DEDOS  KIOSKO</t>
  </si>
  <si>
    <t>601423</t>
  </si>
  <si>
    <t>4 PACK FINESSE 180 GR</t>
  </si>
  <si>
    <t>601425</t>
  </si>
  <si>
    <t>4 PACK BY AREQUIPE</t>
  </si>
  <si>
    <t>601447</t>
  </si>
  <si>
    <t>VASO BONYURT CANDY POPS</t>
  </si>
  <si>
    <t>600460</t>
  </si>
  <si>
    <t>TAPA  VERDE 1750 LINER  FAMILIAR</t>
  </si>
  <si>
    <t xml:space="preserve">Tapa botella                  </t>
  </si>
  <si>
    <t xml:space="preserve">DIR_ME13  </t>
  </si>
  <si>
    <t>600461</t>
  </si>
  <si>
    <t>TAPA SNAP ON BLANCA REGEN 180 GR 38MM</t>
  </si>
  <si>
    <t>202658</t>
  </si>
  <si>
    <t>B SAB BEBIDA YOG KIOSKO PINA COCO</t>
  </si>
  <si>
    <t>201422</t>
  </si>
  <si>
    <t>CEREAL ALMOHADILLA AREQUIPE RECUPERADO</t>
  </si>
  <si>
    <t>201424</t>
  </si>
  <si>
    <t>CEREAL ARROZ CROCANTE FRESA RECUPERADO</t>
  </si>
  <si>
    <t>201425</t>
  </si>
  <si>
    <t>CEREAL ARROZ CROCANTE CHOCO RECUPERADO</t>
  </si>
  <si>
    <t>201426</t>
  </si>
  <si>
    <t>CEREAL BOLITAS DE COLORES RECUPERADO</t>
  </si>
  <si>
    <t>201427</t>
  </si>
  <si>
    <t>CEREAL HOJUELAS CHOCO AZUCAR RECUPERADO</t>
  </si>
  <si>
    <t>200818</t>
  </si>
  <si>
    <t>BOT ETIQ RGN CER GDLLA 180G MAQ</t>
  </si>
  <si>
    <t>200819</t>
  </si>
  <si>
    <t>BOT ETIQ RGN CER TAMAR 180G MAQ</t>
  </si>
  <si>
    <t>602625</t>
  </si>
  <si>
    <t>BOTELLA ETIQ. FINESSE ACAI 950 GR</t>
  </si>
  <si>
    <t>602661</t>
  </si>
  <si>
    <t>ETIQUETA MOZARELLA 200 GR   C N</t>
  </si>
  <si>
    <t>602667</t>
  </si>
  <si>
    <t>ETIQUETA MOZARELLA LIGHT 200 GR  C N</t>
  </si>
  <si>
    <t>602672</t>
  </si>
  <si>
    <t>ETIQUETA QUESO RICOTTA 250 GR  C N</t>
  </si>
  <si>
    <t>602674</t>
  </si>
  <si>
    <t>ETIQUETA MOZARELLA 350 GR C N</t>
  </si>
  <si>
    <t>602683</t>
  </si>
  <si>
    <t>CAJA PLEGADIZA CANDY POPS X 6 UND</t>
  </si>
  <si>
    <t>600977</t>
  </si>
  <si>
    <t>ETIQ. TROZOS DURAZNO 1700 KIOSKO</t>
  </si>
  <si>
    <t>604453</t>
  </si>
  <si>
    <t>ETIQUETA BONYURT HOME  1080 GR</t>
  </si>
  <si>
    <t>15592</t>
  </si>
  <si>
    <t>YOG BBLE KIOSKO NATURAL FUN 900G</t>
  </si>
  <si>
    <t>YK BBLE NATURAL 900G</t>
  </si>
  <si>
    <t>4134</t>
  </si>
  <si>
    <t>MPLX6 RGN BBLE MULTSAB BOT 180G</t>
  </si>
  <si>
    <t xml:space="preserve">6P RGN BBLE 180G    </t>
  </si>
  <si>
    <t>10179</t>
  </si>
  <si>
    <t>MPLX6 Q MOZAR KIOSKO SNACK 50G</t>
  </si>
  <si>
    <t>QUESO MOZARELLA SNACK</t>
  </si>
  <si>
    <t xml:space="preserve">6P MOZZ SNACK 50G   </t>
  </si>
  <si>
    <t>15459</t>
  </si>
  <si>
    <t>AREQUIPE Y PRETZEL STICKS 75 GRAMOS</t>
  </si>
  <si>
    <t>MAQUILA_SG</t>
  </si>
  <si>
    <t xml:space="preserve">ARQ. PRTZ 75G       </t>
  </si>
  <si>
    <t>15565</t>
  </si>
  <si>
    <t>FOURPACK AREQUIPE Y PRETZELS 75 GR</t>
  </si>
  <si>
    <t xml:space="preserve">4PARQ. PRTZ 75G     </t>
  </si>
  <si>
    <t>14538</t>
  </si>
  <si>
    <t>PR 6+1 QUESO MOZZ KIOSKO 200GR</t>
  </si>
  <si>
    <t>14181</t>
  </si>
  <si>
    <t>CANASTA NAVIDENA Q KIOSKO</t>
  </si>
  <si>
    <t>ANCHETAS</t>
  </si>
  <si>
    <t xml:space="preserve">CANASTA NAVIDEÑA    </t>
  </si>
  <si>
    <t>11311</t>
  </si>
  <si>
    <t>MPLX18 AREQUIPE VASO 50G</t>
  </si>
  <si>
    <t xml:space="preserve">18P AREQUIPE 50G    </t>
  </si>
  <si>
    <t>15567</t>
  </si>
  <si>
    <t>BON YURT HOME HOJUELAS 1180 GR</t>
  </si>
  <si>
    <t>MZ - 2</t>
  </si>
  <si>
    <t xml:space="preserve">BY HOME 1180 GR     </t>
  </si>
  <si>
    <t>15574</t>
  </si>
  <si>
    <t>PACK RGN 1750 G PITAJAYA FRESA</t>
  </si>
  <si>
    <t>10663</t>
  </si>
  <si>
    <t>BY NEON VASO 170G</t>
  </si>
  <si>
    <t xml:space="preserve">BY NEON 170G        </t>
  </si>
  <si>
    <t>16272</t>
  </si>
  <si>
    <t>Q KIOSKO MIX RALLADOS 300G</t>
  </si>
  <si>
    <t>QUESO SEMIMADURO KIOSKO MIX RALLADO</t>
  </si>
  <si>
    <t>QUESO SEMIMADURO MIX RALLADO</t>
  </si>
  <si>
    <t xml:space="preserve">Q.MIX RALLADO 300GR </t>
  </si>
  <si>
    <t>5523</t>
  </si>
  <si>
    <t>BY BLCK VASO 165G</t>
  </si>
  <si>
    <t xml:space="preserve">BY BLACK 165G       </t>
  </si>
  <si>
    <t>200403</t>
  </si>
  <si>
    <t>CUAJADA Q JAVIER KIOSKO 320G</t>
  </si>
  <si>
    <t>200404</t>
  </si>
  <si>
    <t>CUAJADA Q CRIOL KIOSKO BLOQ</t>
  </si>
  <si>
    <t>202862</t>
  </si>
  <si>
    <t>PERMEADO MF ECU</t>
  </si>
  <si>
    <t>200386</t>
  </si>
  <si>
    <t>CUAJADA Q FRESC KIOSKO 900G</t>
  </si>
  <si>
    <t>200001</t>
  </si>
  <si>
    <t>B AREQUIPE</t>
  </si>
  <si>
    <t>200064</t>
  </si>
  <si>
    <t>200162</t>
  </si>
  <si>
    <t>200400</t>
  </si>
  <si>
    <t>CUAJADA Q RICOT KIOSKO 250G</t>
  </si>
  <si>
    <t>202664</t>
  </si>
  <si>
    <t>MIX CUL B BEB YOG KIOSKO</t>
  </si>
  <si>
    <t>200181</t>
  </si>
  <si>
    <t>BOT ETIQ RGN CER PITA 180G MAQ</t>
  </si>
  <si>
    <t>202836</t>
  </si>
  <si>
    <t>BASE SAB GRIEGO MORA ARANDANOS KIOSKO EC</t>
  </si>
  <si>
    <t>202837</t>
  </si>
  <si>
    <t>BASE SABORIZADA LIMON KIOSKO EC</t>
  </si>
  <si>
    <t>843815</t>
  </si>
  <si>
    <t>PRV 6+1 RGN TZOS DZNO VASO 150G</t>
  </si>
  <si>
    <t>Regenerisregeneris</t>
  </si>
  <si>
    <t>PRV6+1 YR TZ DU 150G</t>
  </si>
  <si>
    <t>16903</t>
  </si>
  <si>
    <t>BY TANGO 163 GR</t>
  </si>
  <si>
    <t xml:space="preserve">BY TANGO 162G       </t>
  </si>
  <si>
    <t>11219</t>
  </si>
  <si>
    <t>YOG TZOS KIOSKO FTLLA VASO 150G</t>
  </si>
  <si>
    <t>YOGURT KIOSKO TROZOS VASO</t>
  </si>
  <si>
    <t xml:space="preserve">YK TZOS FTLLA 150G  </t>
  </si>
  <si>
    <t>11220</t>
  </si>
  <si>
    <t>YOG TZOS KIOSKO DZNO VASO 150G</t>
  </si>
  <si>
    <t xml:space="preserve">YK TZOS DZNO 150G   </t>
  </si>
  <si>
    <t>11221</t>
  </si>
  <si>
    <t>YOG TZOS KIOSKO MOR VASO 150G</t>
  </si>
  <si>
    <t xml:space="preserve">YK TZOS MORA 150G   </t>
  </si>
  <si>
    <t>14335</t>
  </si>
  <si>
    <t>MPLX4 GELAT PREM KIOSKO CZA 170G</t>
  </si>
  <si>
    <t>16373</t>
  </si>
  <si>
    <t>YOG BBLE KIOSKO DZNO 180</t>
  </si>
  <si>
    <t xml:space="preserve">KioskoBeb180        </t>
  </si>
  <si>
    <t>300508</t>
  </si>
  <si>
    <t>NISINA KIOSKO</t>
  </si>
  <si>
    <t xml:space="preserve">MATERIA PRIMA                 </t>
  </si>
  <si>
    <t xml:space="preserve">MP00      </t>
  </si>
  <si>
    <t xml:space="preserve">DISTRIBUIDORA DESCALZI                                                          </t>
  </si>
  <si>
    <t>300161</t>
  </si>
  <si>
    <t>CEREAL FROOT LOOPS</t>
  </si>
  <si>
    <t xml:space="preserve">Cereales                      </t>
  </si>
  <si>
    <t xml:space="preserve">MP008     </t>
  </si>
  <si>
    <t xml:space="preserve">KELLOGGS                                                                        </t>
  </si>
  <si>
    <t>300008</t>
  </si>
  <si>
    <t>CREMA DE LECHE MAQUILA</t>
  </si>
  <si>
    <t>300740</t>
  </si>
  <si>
    <t>CREMA DE LECHE 1 LT</t>
  </si>
  <si>
    <t xml:space="preserve">Crema de Leche                </t>
  </si>
  <si>
    <t xml:space="preserve">DIR_LT01  </t>
  </si>
  <si>
    <t xml:space="preserve">CARLOS TENEZACA, ANDINA, NESTLE, VITA                                           </t>
  </si>
  <si>
    <t>300062</t>
  </si>
  <si>
    <t>COLORANTE CURCUMA PT 8 S 9</t>
  </si>
  <si>
    <t>LBA</t>
  </si>
  <si>
    <t>300063</t>
  </si>
  <si>
    <t>COLORANTE ANNATO AP 10 43</t>
  </si>
  <si>
    <t>300186</t>
  </si>
  <si>
    <t>ESENCIA DE PINA COLADA FP9021 00</t>
  </si>
  <si>
    <t xml:space="preserve">ADITMAQ                                                                         </t>
  </si>
  <si>
    <t>300945</t>
  </si>
  <si>
    <t>MASHMELO DE COLORES E</t>
  </si>
  <si>
    <t xml:space="preserve">Topping                       </t>
  </si>
  <si>
    <t xml:space="preserve">DIR_MP01  </t>
  </si>
  <si>
    <t xml:space="preserve">CANDYMELOWS CANDYSA SA                                                          </t>
  </si>
  <si>
    <t>301006</t>
  </si>
  <si>
    <t>CULTIVOS MIX BEBIBLE</t>
  </si>
  <si>
    <t xml:space="preserve">Cultivos                      </t>
  </si>
  <si>
    <t xml:space="preserve">DIR_MP03  </t>
  </si>
  <si>
    <t xml:space="preserve">MONDOLATTE                                                                      </t>
  </si>
  <si>
    <t>14555</t>
  </si>
  <si>
    <t>PR REGE BBLE FRESA 180G 6+1</t>
  </si>
  <si>
    <t>10992</t>
  </si>
  <si>
    <t>MPX6 YOG BBLE KID KK MULTSAB BOT 120G</t>
  </si>
  <si>
    <t>6P YK BBLE MULT 120G</t>
  </si>
  <si>
    <t>2122</t>
  </si>
  <si>
    <t>RGN CER PITA BOT 1000G</t>
  </si>
  <si>
    <t>REGENERIS CEREAL BOTELLA FAMILIAR</t>
  </si>
  <si>
    <t>Bebible Pitajaya</t>
  </si>
  <si>
    <t xml:space="preserve">RGN CER PITA 1000G  </t>
  </si>
  <si>
    <t>16511</t>
  </si>
  <si>
    <t>GRIEG KIOSKO FRUT ROJ 400</t>
  </si>
  <si>
    <t>12721</t>
  </si>
  <si>
    <t>YOG FNSSE NAT BOT 1650G</t>
  </si>
  <si>
    <t>YOGURT FINESSE DESLACT BOTELLA FAMILIAR</t>
  </si>
  <si>
    <t xml:space="preserve">YF NATURAL 1650G    </t>
  </si>
  <si>
    <t>16274</t>
  </si>
  <si>
    <t>KIOSKO MIX LONJEADOS 400 G</t>
  </si>
  <si>
    <t>QUESO MIX KIOSKO TAJADO</t>
  </si>
  <si>
    <t xml:space="preserve">MIX LONJAS 400 G    </t>
  </si>
  <si>
    <t>11189</t>
  </si>
  <si>
    <t>YOG BBLE KIOSKO MOR BOT 180G MINI</t>
  </si>
  <si>
    <t xml:space="preserve">YK BBLE MORA 180G   </t>
  </si>
  <si>
    <t>16494</t>
  </si>
  <si>
    <t>QUESO KIOSKO JAVIERINO LONJ 1KG AL PESO</t>
  </si>
  <si>
    <t>QUESO JAVIERINO KIOSKO TAJADO</t>
  </si>
  <si>
    <t>5735</t>
  </si>
  <si>
    <t>Q MOZAR LGHT KIOSKO BLOQ 200G</t>
  </si>
  <si>
    <t>QUESO MOZARELLA LIGHT KIOSKO BLOQUE</t>
  </si>
  <si>
    <t xml:space="preserve">Q.MOZZ LIGHT 200G   </t>
  </si>
  <si>
    <t>5700</t>
  </si>
  <si>
    <t>CREM LCH AGRIA KIOSKO VASO 220G</t>
  </si>
  <si>
    <t>CREMA DE LECHE KIOSKO FAMILIAR</t>
  </si>
  <si>
    <t>Grasas</t>
  </si>
  <si>
    <t xml:space="preserve">CREM AGRIA 220G     </t>
  </si>
  <si>
    <t>5701</t>
  </si>
  <si>
    <t>CREM LCH AGRIA KIOSKO GAR 3.5KG</t>
  </si>
  <si>
    <t>CREMA DE LECHE KIOSKO GALON</t>
  </si>
  <si>
    <t>Manual Grasas</t>
  </si>
  <si>
    <t xml:space="preserve">CREM AGRIA 3.5K     </t>
  </si>
  <si>
    <t>13535</t>
  </si>
  <si>
    <t>Q JAVIER KIOSKO INST LONJ AL PESO</t>
  </si>
  <si>
    <t xml:space="preserve">Q.JAVIER LON PESO   </t>
  </si>
  <si>
    <t>11225</t>
  </si>
  <si>
    <t>YOG TZOS KIOSKO FTLLA BOT 1700G</t>
  </si>
  <si>
    <t xml:space="preserve">YK TZOS FTLLA 1700G </t>
  </si>
  <si>
    <t>1224</t>
  </si>
  <si>
    <t>MPLX4 BY BLCK VASO 165G</t>
  </si>
  <si>
    <t xml:space="preserve">4P BY BLACK 165G    </t>
  </si>
  <si>
    <t>300452</t>
  </si>
  <si>
    <t>SOBRE CULTIVO PSC IDC LH1  KIOSKO</t>
  </si>
  <si>
    <t>300475</t>
  </si>
  <si>
    <t>CAJA STI 010203 500 G</t>
  </si>
  <si>
    <t>300341</t>
  </si>
  <si>
    <t>SABORIZANTE QUESO MOZARELLA 3Q5993 00</t>
  </si>
  <si>
    <t>300170</t>
  </si>
  <si>
    <t>SALSA TROZO FRUTA DZNO REFORM 50% FRUTA</t>
  </si>
  <si>
    <t>300171</t>
  </si>
  <si>
    <t>SALSA TROZO FRUTA MORA REFORM 50% FRUTA</t>
  </si>
  <si>
    <t>301408</t>
  </si>
  <si>
    <t>HIERBAS RUEDA 400 GR</t>
  </si>
  <si>
    <t>300946</t>
  </si>
  <si>
    <t>OBLEAS AREQUIPE E</t>
  </si>
  <si>
    <t>300963</t>
  </si>
  <si>
    <t>SABOR NATURAL ACAI SC701686</t>
  </si>
  <si>
    <t>401141</t>
  </si>
  <si>
    <t>VORTEXX ES</t>
  </si>
  <si>
    <t>401147</t>
  </si>
  <si>
    <t>WISPER V</t>
  </si>
  <si>
    <t>401148</t>
  </si>
  <si>
    <t>CLEAN  SMOOTH</t>
  </si>
  <si>
    <t>401949</t>
  </si>
  <si>
    <t>ACTIGEL SANITIZANTES DE MANOS 1 GALON</t>
  </si>
  <si>
    <t>400425</t>
  </si>
  <si>
    <t>AMONIACO EN GAS  E</t>
  </si>
  <si>
    <t>400002</t>
  </si>
  <si>
    <t>ACIDO NITRICO</t>
  </si>
  <si>
    <t xml:space="preserve">SOLVESA                                                                         </t>
  </si>
  <si>
    <t>400059</t>
  </si>
  <si>
    <t>SODA CAUSTICA EN ESCAMAS E</t>
  </si>
  <si>
    <t xml:space="preserve">DISAN                                                                           </t>
  </si>
  <si>
    <t>400060</t>
  </si>
  <si>
    <t>ALCOHOL POTABLE  KIOSKO</t>
  </si>
  <si>
    <t>300491</t>
  </si>
  <si>
    <t>SAL INDUSTRIAL</t>
  </si>
  <si>
    <t xml:space="preserve">EMPROSAL                                                                        </t>
  </si>
  <si>
    <t>600440</t>
  </si>
  <si>
    <t>VASO BONYURT  GALLETAS</t>
  </si>
  <si>
    <t>600441</t>
  </si>
  <si>
    <t>4 PACK BON YURT BLACK 162 GR</t>
  </si>
  <si>
    <t>600442</t>
  </si>
  <si>
    <t>TAPA SNAP ON AMARILLA REGEN 180 GR  38</t>
  </si>
  <si>
    <t>600434</t>
  </si>
  <si>
    <t>FUNDA FOUR PACK BONYURT</t>
  </si>
  <si>
    <t>600437</t>
  </si>
  <si>
    <t>PLEGADIZA AREQUIPE 6X50 GR N.D.</t>
  </si>
  <si>
    <t xml:space="preserve">MARCELO ARELLANO                                                                </t>
  </si>
  <si>
    <t>603812</t>
  </si>
  <si>
    <t>FAJILLA TRANSPARENTE 20X10CM</t>
  </si>
  <si>
    <t>603813</t>
  </si>
  <si>
    <t>FAJILLA TRANSPARENTE 22X10CM</t>
  </si>
  <si>
    <t>603871</t>
  </si>
  <si>
    <t>FUNDA TRANSPARTENTE PACK REGRESO CLASES</t>
  </si>
  <si>
    <t>5804</t>
  </si>
  <si>
    <t>YOG NAT KIOSKO TARRO 1 KG</t>
  </si>
  <si>
    <t xml:space="preserve">YK NATURAL 1000G    </t>
  </si>
  <si>
    <t>202883</t>
  </si>
  <si>
    <t>B SAB BEB YOG BBLE KIOSKO GUANAB</t>
  </si>
  <si>
    <t>202964</t>
  </si>
  <si>
    <t>B SAB RGN BBLE MOR</t>
  </si>
  <si>
    <t>200385</t>
  </si>
  <si>
    <t>B CUAJADA RQSON KIOSKO</t>
  </si>
  <si>
    <t>200232</t>
  </si>
  <si>
    <t>BASE MQUILLA SIN SAL</t>
  </si>
  <si>
    <t>202652</t>
  </si>
  <si>
    <t>MIX B CUAJ Q ANDINO SEMIMAD KIOSKO</t>
  </si>
  <si>
    <t>202847</t>
  </si>
  <si>
    <t>BEBIDA DE YOGURT BY EC</t>
  </si>
  <si>
    <t>200020</t>
  </si>
  <si>
    <t>B SAB BEB YOG BBLE KIOSKO FTLLA</t>
  </si>
  <si>
    <t>200021</t>
  </si>
  <si>
    <t>B SAB BEB YOG BBLE KIOSKO DZNO</t>
  </si>
  <si>
    <t>562194</t>
  </si>
  <si>
    <t>JAMON SANDUCHERO TIPO2 71GR 5 REBANADAS</t>
  </si>
  <si>
    <t xml:space="preserve">SALJUPER                                                                        </t>
  </si>
  <si>
    <t>201191</t>
  </si>
  <si>
    <t>MIX 2 B CUAJADA Q MOZAR PIZZ KIOSKO</t>
  </si>
  <si>
    <t>201160</t>
  </si>
  <si>
    <t>MIX B CUAJADA Q PROVO NAT KIOSKO</t>
  </si>
  <si>
    <t>200420</t>
  </si>
  <si>
    <t>CUAJADA Q GOUDA BLOQ</t>
  </si>
  <si>
    <t>200229</t>
  </si>
  <si>
    <t>BOT ETIQ FNSSE FRTROJ 950G MAQ</t>
  </si>
  <si>
    <t>200230</t>
  </si>
  <si>
    <t>BOT ETIQ FNSSE TZOS ALOE 950G MAQ</t>
  </si>
  <si>
    <t>200376</t>
  </si>
  <si>
    <t>BOT ETIQ YOG BBLE KIOSKO FTLLA 3500G</t>
  </si>
  <si>
    <t>603161</t>
  </si>
  <si>
    <t>PRECINTO DUO PACK BOT FAMILIAR 950</t>
  </si>
  <si>
    <t>604622</t>
  </si>
  <si>
    <t>ETIQ. AMERICANO LONJAS 150GR</t>
  </si>
  <si>
    <t>603357</t>
  </si>
  <si>
    <t>BOT ETIQ BEB YOG KIOSKO MOR 950G</t>
  </si>
  <si>
    <t>603358</t>
  </si>
  <si>
    <t>BOT ETIQ TZOS KIOSKO DZNO 950G</t>
  </si>
  <si>
    <t>603359</t>
  </si>
  <si>
    <t>BOT ETIQ FNSSE FRTROJ 950G</t>
  </si>
  <si>
    <t>603360</t>
  </si>
  <si>
    <t>BOT ETIQ RGN CER TAMAR 1000G</t>
  </si>
  <si>
    <t>603362</t>
  </si>
  <si>
    <t>BOT ETIQ TZOS KIOSKO MOR 950G</t>
  </si>
  <si>
    <t>603363</t>
  </si>
  <si>
    <t>BOT ETIQ TZOS KIOSKO DZNO 1700G</t>
  </si>
  <si>
    <t>11836</t>
  </si>
  <si>
    <t>YOG DUO KIOSKO PINA COCO BOT 950G</t>
  </si>
  <si>
    <t xml:space="preserve">YK PINA-COCO 950G   </t>
  </si>
  <si>
    <t>17215</t>
  </si>
  <si>
    <t>YOG BBLE KIOSKO FTILLA FUN 150G</t>
  </si>
  <si>
    <t>BEBIDA DE YOGURT KIOSKO FUNDA PER</t>
  </si>
  <si>
    <t>Bebida Yogurt Kiosko</t>
  </si>
  <si>
    <t xml:space="preserve">YK BBLE FTLLA 900G  </t>
  </si>
  <si>
    <t>16230</t>
  </si>
  <si>
    <t>Q GOUDA KIOSKO LONJ 200G</t>
  </si>
  <si>
    <t>QUESO GOUDA KIOSKO TAJADO</t>
  </si>
  <si>
    <t xml:space="preserve">Q.GOUNA LONJ 200GR  </t>
  </si>
  <si>
    <t>6219239</t>
  </si>
  <si>
    <t>ALPINETTE FRESA 140G ECU</t>
  </si>
  <si>
    <t>ALPINETTE</t>
  </si>
  <si>
    <t>X</t>
  </si>
  <si>
    <t>ALPINETTE FRESA 140G</t>
  </si>
  <si>
    <t>ZFER</t>
  </si>
  <si>
    <t xml:space="preserve">PT03      </t>
  </si>
  <si>
    <t>6221239</t>
  </si>
  <si>
    <t>ALPINETTE CEREZA 140G ECU</t>
  </si>
  <si>
    <t>ALPINETTE CEREZ 140G</t>
  </si>
  <si>
    <t>11287</t>
  </si>
  <si>
    <t>MPLX6 YOG TZOS KIOSKO MULTSAB VASO 150G</t>
  </si>
  <si>
    <t xml:space="preserve">6P YK TZOS MULTI    </t>
  </si>
  <si>
    <t>13184</t>
  </si>
  <si>
    <t>SANDU KIOSKO 5 LONJ 60G SIN ETIQ</t>
  </si>
  <si>
    <t>QUESO SANDUCHE KIOSKO TAJADO</t>
  </si>
  <si>
    <t>Q.FRESCO LGHT 450 GR</t>
  </si>
  <si>
    <t>605473</t>
  </si>
  <si>
    <t>ETIQ. TROZOS REGN DURAZNO 1000</t>
  </si>
  <si>
    <t>605474</t>
  </si>
  <si>
    <t>ETIQ. TROZOS REGN FRUTILLA 1000</t>
  </si>
  <si>
    <t>605475</t>
  </si>
  <si>
    <t>ETIQ. TROZOS REGN FRUTILLA 1750</t>
  </si>
  <si>
    <t>602191</t>
  </si>
  <si>
    <t>TAPA SNAP ON BLANCA</t>
  </si>
  <si>
    <t>602408</t>
  </si>
  <si>
    <t>CAJA TETRA SLIM CREMA DE LECHE 1000G</t>
  </si>
  <si>
    <t>600732</t>
  </si>
  <si>
    <t>ETIQUETA QUESO FRESCO 450 KIOSKO</t>
  </si>
  <si>
    <t>600733</t>
  </si>
  <si>
    <t>ETIQ EL QUESO CREMOSO 450 KIOSKO</t>
  </si>
  <si>
    <t>605765</t>
  </si>
  <si>
    <t>LAMINA MOZARELLA HIERBAS 500 GR</t>
  </si>
  <si>
    <t>12530</t>
  </si>
  <si>
    <t>RGN CER GDLLA BOT 180G</t>
  </si>
  <si>
    <t>REGENERIS CEREAL BOTELLA PERSONAL</t>
  </si>
  <si>
    <t>Bebible Cereal G-T</t>
  </si>
  <si>
    <t>B LAC BEB DE YOG RGN DESLAC</t>
  </si>
  <si>
    <t xml:space="preserve">RGN CER GDLLA 180G  </t>
  </si>
  <si>
    <t>12531</t>
  </si>
  <si>
    <t>RGN CER TAMAR BOT 1750G</t>
  </si>
  <si>
    <t xml:space="preserve">YR CER TAM 1750GR   </t>
  </si>
  <si>
    <t>11222</t>
  </si>
  <si>
    <t>YOG TZOS KIOSKO FTLLA BOT 950G</t>
  </si>
  <si>
    <t xml:space="preserve">YK TZOS FTLLA 950G  </t>
  </si>
  <si>
    <t>15637</t>
  </si>
  <si>
    <t>PACK AVENA ORIGINAL 250G P4LL6</t>
  </si>
  <si>
    <t>16371</t>
  </si>
  <si>
    <t>Q ANDINO KIOSKO RUEDA 450G</t>
  </si>
  <si>
    <t>QUESO ANDINO KIOSKO BLOQUE</t>
  </si>
  <si>
    <t xml:space="preserve">Q.ANDINO            </t>
  </si>
  <si>
    <t>17217</t>
  </si>
  <si>
    <t>YOG BBLE KIOSKO DURAZNO FUN 150G</t>
  </si>
  <si>
    <t>5717</t>
  </si>
  <si>
    <t>Q AMERIC KIOSKO 20 LONJ 300G</t>
  </si>
  <si>
    <t>QUESO AMERICANO KIOSKO TAJADO</t>
  </si>
  <si>
    <t xml:space="preserve">Q.AMERC LON 3OOG    </t>
  </si>
  <si>
    <t>16515</t>
  </si>
  <si>
    <t>GRIEG KIOSKO NATURAL 120</t>
  </si>
  <si>
    <t>11323</t>
  </si>
  <si>
    <t>Q ESPAR CHED KIOSKO VASO 240G</t>
  </si>
  <si>
    <t xml:space="preserve">Q.ESPAR CHED 240G   </t>
  </si>
  <si>
    <t>13838</t>
  </si>
  <si>
    <t>ALPINETTE MORA 140GR A 1.10 DOLARES</t>
  </si>
  <si>
    <t xml:space="preserve">PT02      </t>
  </si>
  <si>
    <t>13839</t>
  </si>
  <si>
    <t>ALPINETTE FRESA 140GR 1.10 DOLARES</t>
  </si>
  <si>
    <t>ALPINETTE FRTLL 104G</t>
  </si>
  <si>
    <t>16366</t>
  </si>
  <si>
    <t>YOG FNSSE VAINILLA 180</t>
  </si>
  <si>
    <t>Y.FNSSE VAINILLA 180</t>
  </si>
  <si>
    <t>14553</t>
  </si>
  <si>
    <t>PR YOG REGE CERE PITAJA 180G 6+1</t>
  </si>
  <si>
    <t>12681</t>
  </si>
  <si>
    <t>Q CHED KIOSKO BLOQ 350G</t>
  </si>
  <si>
    <t>QUESO SEMIMADURO CHEDDAR KIOSKO BLOQUE</t>
  </si>
  <si>
    <t>14584</t>
  </si>
  <si>
    <t>BY MINI CANPOP VASO 130G</t>
  </si>
  <si>
    <t xml:space="preserve">BY MINI CANPOP 130G </t>
  </si>
  <si>
    <t>15148</t>
  </si>
  <si>
    <t>GELAKIOSKO UVA 160G</t>
  </si>
  <si>
    <t xml:space="preserve">GELTA UVA 160G      </t>
  </si>
  <si>
    <t>12907</t>
  </si>
  <si>
    <t>YOG CER KIOSKO FTLLA HOJ CHOC VASO 120G</t>
  </si>
  <si>
    <t>BEBIDA DE YOGURT KIOSKO VASO</t>
  </si>
  <si>
    <t>13585</t>
  </si>
  <si>
    <t>BEB DE YOG DESLAC FNSSE FTLLA 950G</t>
  </si>
  <si>
    <t>14588</t>
  </si>
  <si>
    <t>KUMIS ORIG BOT 180G</t>
  </si>
  <si>
    <t>KUMIS ALPINA</t>
  </si>
  <si>
    <t>KUMIS BOTELLA FAMILIAR</t>
  </si>
  <si>
    <t>Kumis</t>
  </si>
  <si>
    <t>B LAC KUMIS ORIG</t>
  </si>
  <si>
    <t xml:space="preserve">KUMIS 180 GR        </t>
  </si>
  <si>
    <t>5780</t>
  </si>
  <si>
    <t>Q MIX MEX KIOSKO RALL BOL 300G</t>
  </si>
  <si>
    <t>QUESO TACO CHESSE KIOSKO RALLADO</t>
  </si>
  <si>
    <t xml:space="preserve">Q.MIX MEX RALL 300G </t>
  </si>
  <si>
    <t>16495</t>
  </si>
  <si>
    <t>QUESO KIOSKO MOZZARELLA LONJ 1KG AL PESO</t>
  </si>
  <si>
    <t>QUESO MOZARELLA PIZZA KIOSKO TAJADO</t>
  </si>
  <si>
    <t>QUESO MOZZARELLA KIOSKO TAJADO</t>
  </si>
  <si>
    <t>15012</t>
  </si>
  <si>
    <t>YOGURT DESLACTOSADO FINESSE ACAI 950</t>
  </si>
  <si>
    <t xml:space="preserve">YF ACAI 950G        </t>
  </si>
  <si>
    <t>16459</t>
  </si>
  <si>
    <t>MOZZARELLA STICK AL GRANEL X 40 UN</t>
  </si>
  <si>
    <t xml:space="preserve">1.MOZZ LIGHT 35G    </t>
  </si>
  <si>
    <t>11226</t>
  </si>
  <si>
    <t>YOG TZOS KIOSKO DZNO BOT 1700G</t>
  </si>
  <si>
    <t xml:space="preserve">YK TZOS DZNO 1700G  </t>
  </si>
  <si>
    <t>11227</t>
  </si>
  <si>
    <t>YOG TZOS KIOSKO MOR BOT 1700G</t>
  </si>
  <si>
    <t xml:space="preserve">YK TZOS MORA 1700G  </t>
  </si>
  <si>
    <t>9088</t>
  </si>
  <si>
    <t>MPLX4 BY MULTSAB VASO ECU</t>
  </si>
  <si>
    <t xml:space="preserve">4P BY MULTISABOR    </t>
  </si>
  <si>
    <t>NEW023</t>
  </si>
  <si>
    <t>YOG VASO KIOSKO 180 GR</t>
  </si>
  <si>
    <t>INNOVACION</t>
  </si>
  <si>
    <t xml:space="preserve">NEW023              </t>
  </si>
  <si>
    <t>16512</t>
  </si>
  <si>
    <t>GRIEG KIOSKO MOR Y ARAND 400</t>
  </si>
  <si>
    <t>12096</t>
  </si>
  <si>
    <t>Q PARME KIOSKO CUNA 300G</t>
  </si>
  <si>
    <t>QUESO PARMESANO KIOSKO BLOQUE</t>
  </si>
  <si>
    <t xml:space="preserve">Q.PARMES CUÑA 300G  </t>
  </si>
  <si>
    <t>200377</t>
  </si>
  <si>
    <t>BOT ETIQ YOG BBLE KIOSKO MELOC 3500G</t>
  </si>
  <si>
    <t>200378</t>
  </si>
  <si>
    <t>BOT ETIQ YOG BBLE KIOSKO MOR 3500G</t>
  </si>
  <si>
    <t>200382</t>
  </si>
  <si>
    <t>BASE CREMA AGRIA 220  KIOSKO</t>
  </si>
  <si>
    <t>200228</t>
  </si>
  <si>
    <t>BOT ETIQ FNSSE FRTROJ 180G MAQ</t>
  </si>
  <si>
    <t>202654</t>
  </si>
  <si>
    <t>B BEBIDA YOGURT KIOSKO</t>
  </si>
  <si>
    <t>202846</t>
  </si>
  <si>
    <t>BASE LACTEA GRIEGO KIOSKO EC</t>
  </si>
  <si>
    <t>201382</t>
  </si>
  <si>
    <t>GELATINA PARA ENSAMB FRE 170G KIOSKO</t>
  </si>
  <si>
    <t xml:space="preserve">Semiterniados                 </t>
  </si>
  <si>
    <t xml:space="preserve">PS01      </t>
  </si>
  <si>
    <t>201392</t>
  </si>
  <si>
    <t>MIX CUL B LAC YOG KIOSKO TZOS</t>
  </si>
  <si>
    <t>200393</t>
  </si>
  <si>
    <t>CUAJADA Q MOZAR EMBUTIDO KIOSKO 600G</t>
  </si>
  <si>
    <t>200406</t>
  </si>
  <si>
    <t>CUAJADA Q HOLAN 450G ECU</t>
  </si>
  <si>
    <t>200407</t>
  </si>
  <si>
    <t>CUAJADA Q FRESC KIOSKO 700G</t>
  </si>
  <si>
    <t>200421</t>
  </si>
  <si>
    <t>CUAJADA Q MOZAR FNSSE 400G</t>
  </si>
  <si>
    <t>200522</t>
  </si>
  <si>
    <t>AGUA DE DISOLUCION MICROINGREDIENTES</t>
  </si>
  <si>
    <t>200687</t>
  </si>
  <si>
    <t>HIGN Y DESNF FAB GRASAS</t>
  </si>
  <si>
    <t>200689</t>
  </si>
  <si>
    <t>HIGN Y DESNF LAVADOS MADUROS</t>
  </si>
  <si>
    <t>200690</t>
  </si>
  <si>
    <t>HIGN Y DESNF CIP SUEROS</t>
  </si>
  <si>
    <t>200691</t>
  </si>
  <si>
    <t>HIGN Y DESNF EMP SOKA</t>
  </si>
  <si>
    <t>200177</t>
  </si>
  <si>
    <t>BOT ETIQ RGN LGHT FTLLA 1000G MAQ</t>
  </si>
  <si>
    <t>201174</t>
  </si>
  <si>
    <t>MIX 1 B CUAJADA Q MOZAR KIOSKO</t>
  </si>
  <si>
    <t>201205</t>
  </si>
  <si>
    <t>B CUAJADA Q JAVIER SEMIMAD KIOSKO</t>
  </si>
  <si>
    <t>203401</t>
  </si>
  <si>
    <t>B LAC YOG FAM REGENERIS</t>
  </si>
  <si>
    <t>200815</t>
  </si>
  <si>
    <t>B SAB RGN DESLAC CER TAMAR</t>
  </si>
  <si>
    <t>200816</t>
  </si>
  <si>
    <t>BOT ETIQ RGN CER GDLLA 1000G MAQ</t>
  </si>
  <si>
    <t>200817</t>
  </si>
  <si>
    <t>BOT ETIQ RGN CER TAMAR 1000G MAQ</t>
  </si>
  <si>
    <t>201408</t>
  </si>
  <si>
    <t>CUAJADA QUESO AMASADO 250 GR KIOSKO</t>
  </si>
  <si>
    <t>301017</t>
  </si>
  <si>
    <t>SABOR IDENTICO AL NATURAL NARANJILLA</t>
  </si>
  <si>
    <t xml:space="preserve">PALHARMONY FLAVOURS AND REDIENTS SA                                             </t>
  </si>
  <si>
    <t>300026</t>
  </si>
  <si>
    <t>SAL</t>
  </si>
  <si>
    <t>300027</t>
  </si>
  <si>
    <t>CLORURO DE CALCIO</t>
  </si>
  <si>
    <t xml:space="preserve">BRENNTAG ECUADOR S A                                                            </t>
  </si>
  <si>
    <t>300176</t>
  </si>
  <si>
    <t>DULCE CON TROZOS DE ALOE</t>
  </si>
  <si>
    <t>300177</t>
  </si>
  <si>
    <t>CEREAL ARROZ CROCANTE FRESA E</t>
  </si>
  <si>
    <t xml:space="preserve">DULCENAC                                                                        </t>
  </si>
  <si>
    <t>300179</t>
  </si>
  <si>
    <t>SALSA DE CER REFORMULADA CON CHIA  LINA</t>
  </si>
  <si>
    <t>300180</t>
  </si>
  <si>
    <t>CEREAL BOLITAS DE COLORES E</t>
  </si>
  <si>
    <t xml:space="preserve">DULCIONE                                                                        </t>
  </si>
  <si>
    <t>300182</t>
  </si>
  <si>
    <t>CEREAL GRANOLA CON CHIA  E</t>
  </si>
  <si>
    <t>300184</t>
  </si>
  <si>
    <t>SOBRE CULTIVO YF L811 200U</t>
  </si>
  <si>
    <t xml:space="preserve">DESCALZI                                                                        </t>
  </si>
  <si>
    <t>601807</t>
  </si>
  <si>
    <t>DELVOCID INSTANT 100G BOTTLE</t>
  </si>
  <si>
    <t xml:space="preserve">AGROALIMENTAR                                                                   </t>
  </si>
  <si>
    <t>300287</t>
  </si>
  <si>
    <t>SALVADO DE TRIGO</t>
  </si>
  <si>
    <t>301409</t>
  </si>
  <si>
    <t>HIERBAS RUEDA 400 GR CN</t>
  </si>
  <si>
    <t>302034</t>
  </si>
  <si>
    <t>CEREAL MUSLI SIN AZUCAR</t>
  </si>
  <si>
    <t xml:space="preserve">TERRAFERTIL                                                                     </t>
  </si>
  <si>
    <t>302121</t>
  </si>
  <si>
    <t>CEREAL CHOCAPIC</t>
  </si>
  <si>
    <t>302124</t>
  </si>
  <si>
    <t>AJO EN POLVO</t>
  </si>
  <si>
    <t xml:space="preserve">ALEXANDER RICARDO SANCHEZ OBANDO                                                </t>
  </si>
  <si>
    <t>302125</t>
  </si>
  <si>
    <t>CEBOLLA EN POLVO</t>
  </si>
  <si>
    <t>300028</t>
  </si>
  <si>
    <t>ACIDO CITRICO 50</t>
  </si>
  <si>
    <t xml:space="preserve"> DISAN ECUADOR SA                                                               </t>
  </si>
  <si>
    <t>300450</t>
  </si>
  <si>
    <t>SOBRE CULTIVO DEM KIOSKO</t>
  </si>
  <si>
    <t xml:space="preserve">SACCO SRL                                                                       </t>
  </si>
  <si>
    <t>604589</t>
  </si>
  <si>
    <t>ETIQ. CHEDDAR LINEA DIARIA 75 GR</t>
  </si>
  <si>
    <t>604590</t>
  </si>
  <si>
    <t>ETIQ. AMERICANO LINEA DIARIA 75 GR</t>
  </si>
  <si>
    <t>605422</t>
  </si>
  <si>
    <t>SIX PACK YOGURT KIOSKO SURTIDO</t>
  </si>
  <si>
    <t>601012</t>
  </si>
  <si>
    <t>ETIQ. FINESSE TROZOS ALOE 180 GR</t>
  </si>
  <si>
    <t>601293</t>
  </si>
  <si>
    <t>BOTELLA BLANCA 250 GR. KIOSKO</t>
  </si>
  <si>
    <t>605753</t>
  </si>
  <si>
    <t>VASO GRIEGO MORA ARANDANOS 120G</t>
  </si>
  <si>
    <t>601493</t>
  </si>
  <si>
    <t>CAJA SUPERMAXI PACK E</t>
  </si>
  <si>
    <t>601495</t>
  </si>
  <si>
    <t>FUNDA POLIETILENO BLANCA GRANDE</t>
  </si>
  <si>
    <t xml:space="preserve">Bolsas otras                  </t>
  </si>
  <si>
    <t xml:space="preserve">DIR_ME22  </t>
  </si>
  <si>
    <t xml:space="preserve">INDUPLAST                                                                       </t>
  </si>
  <si>
    <t>605433</t>
  </si>
  <si>
    <t>ETIQ. YOGURT FINESSE FRTROJ 1670</t>
  </si>
  <si>
    <t>605434</t>
  </si>
  <si>
    <t>ETIQ. YOGURT FINESSE ALOE 950</t>
  </si>
  <si>
    <t>600664</t>
  </si>
  <si>
    <t>ETIQUETA MADURO AMERICANO 300  KIOSKO</t>
  </si>
  <si>
    <t>603797</t>
  </si>
  <si>
    <t>TAPA CELESTE TARRINA YOG GRIEGO 500G</t>
  </si>
  <si>
    <t>602841</t>
  </si>
  <si>
    <t>BOT ETIQ BBLE KIOSKO KIDS DURAZNO 180G</t>
  </si>
  <si>
    <t>602843</t>
  </si>
  <si>
    <t>STICKER GRATIS REDONDO</t>
  </si>
  <si>
    <t>602845</t>
  </si>
  <si>
    <t>ETIQ SANDUCHE 60CN</t>
  </si>
  <si>
    <t>602880</t>
  </si>
  <si>
    <t>VASO GELATINA KIOSKO SABOR UVA 160 GR</t>
  </si>
  <si>
    <t>605768</t>
  </si>
  <si>
    <t>CAJA 120 KIOSKO PROMO X 16 UNDS</t>
  </si>
  <si>
    <t>605769</t>
  </si>
  <si>
    <t>ETIQ MOZARELLA HIERBAS 150 GR CN</t>
  </si>
  <si>
    <t>605770</t>
  </si>
  <si>
    <t>ETIQ MOZARELLA HIERBAS 75 GR CN</t>
  </si>
  <si>
    <t>603344</t>
  </si>
  <si>
    <t>BOT ETIQ BEB YOG KIOSKO DZNO 950G</t>
  </si>
  <si>
    <t>600727</t>
  </si>
  <si>
    <t>LAMINADO MOZARELLA 350 KIOSKO</t>
  </si>
  <si>
    <t>603346</t>
  </si>
  <si>
    <t>BOT ETIQ TZOS KIOSKO FTLLA 1700G</t>
  </si>
  <si>
    <t>603347</t>
  </si>
  <si>
    <t>BOT ETIQ BEB YOG KIOSKO DZNO 1700G</t>
  </si>
  <si>
    <t>603351</t>
  </si>
  <si>
    <t>BOT ETIQ YOG FNSSE FRTROJ 1670G</t>
  </si>
  <si>
    <t>600430</t>
  </si>
  <si>
    <t>FOIL YOGURT ACTIVO</t>
  </si>
  <si>
    <t>604021</t>
  </si>
  <si>
    <t>ETIQ FINESSE 160</t>
  </si>
  <si>
    <t>604090</t>
  </si>
  <si>
    <t>Q HOLAN KIOSKO INST LONG AK PESO ARBOLIT</t>
  </si>
  <si>
    <t>604091</t>
  </si>
  <si>
    <t>Q JAVIER KIOSKO INST LONG AL PESO</t>
  </si>
  <si>
    <t>604092</t>
  </si>
  <si>
    <t>Q AMERICANO LONGAS AL PESO BKING</t>
  </si>
  <si>
    <t>604093</t>
  </si>
  <si>
    <t>Q MOZAR PIZZ KIOSKO LONG AL PESO CORAL</t>
  </si>
  <si>
    <t>604094</t>
  </si>
  <si>
    <t>Q AMERIC KIOSKO LONJ AL PESO CORAL</t>
  </si>
  <si>
    <t>605506</t>
  </si>
  <si>
    <t>ETIQ REGN PITAHAYA 1000</t>
  </si>
  <si>
    <t>606756</t>
  </si>
  <si>
    <t>ETIQ MIX QUESO NAVIDENO 400GR CN</t>
  </si>
  <si>
    <t>606815</t>
  </si>
  <si>
    <t>LAMINADO BASE 125 MICRAS</t>
  </si>
  <si>
    <t xml:space="preserve">DISTRIBUIDORA YUMAN                                                             </t>
  </si>
  <si>
    <t>606816</t>
  </si>
  <si>
    <t>LAMINA BASE 100 MICRAS</t>
  </si>
  <si>
    <t>606867</t>
  </si>
  <si>
    <t>STICKERS OFERTA 235</t>
  </si>
  <si>
    <t>607051</t>
  </si>
  <si>
    <t>ETIQ YOGURT FINESSE NATURAL 950</t>
  </si>
  <si>
    <t>601417</t>
  </si>
  <si>
    <t>ETIQ QUESO PROVOLONE LONJAS 150 C N</t>
  </si>
  <si>
    <t>603809</t>
  </si>
  <si>
    <t>TAPA QUESO CREMA</t>
  </si>
  <si>
    <t>601005</t>
  </si>
  <si>
    <t>ETIQ. YOG FRUTILLA BEBIBLE REGENERI 1750</t>
  </si>
  <si>
    <t>601006</t>
  </si>
  <si>
    <t>ETIQ KIOSKO YOGURT GUANABANA MORA 950</t>
  </si>
  <si>
    <t>600741</t>
  </si>
  <si>
    <t>ETIQ RICOTTA 250 KIOSKO</t>
  </si>
  <si>
    <t>600744</t>
  </si>
  <si>
    <t>TARRINA PARA Q FUNDIDO NATURAL 240 G.</t>
  </si>
  <si>
    <t>605436</t>
  </si>
  <si>
    <t>ETIQ. YOGURT FINESSE DZNO 950</t>
  </si>
  <si>
    <t>605437</t>
  </si>
  <si>
    <t>ETIQ. YOGURT FINESSE DZNO 1670</t>
  </si>
  <si>
    <t>601044</t>
  </si>
  <si>
    <t>ETIQ YOG PITAHAYA 1000 GR REGENERIS</t>
  </si>
  <si>
    <t>601045</t>
  </si>
  <si>
    <t>ETIQ ADHE NATURAL 1KG  KIOSKO</t>
  </si>
  <si>
    <t>601047</t>
  </si>
  <si>
    <t>603104</t>
  </si>
  <si>
    <t>PRECINTO DUO PACK BOT FAMILIAR</t>
  </si>
  <si>
    <t>606450</t>
  </si>
  <si>
    <t>BOT ETIQ RGN BBLE MORA 180G</t>
  </si>
  <si>
    <t>605426</t>
  </si>
  <si>
    <t>BOTELLA BLANCA 1670G</t>
  </si>
  <si>
    <t>605468</t>
  </si>
  <si>
    <t>ETIQ. BEB REGN FRUTILLA 1000</t>
  </si>
  <si>
    <t>605469</t>
  </si>
  <si>
    <t>ETIQ. BEB REGN DURAZNO 1000</t>
  </si>
  <si>
    <t>601904</t>
  </si>
  <si>
    <t>LAM KIOSKO MOZARELLA 300G</t>
  </si>
  <si>
    <t>603373</t>
  </si>
  <si>
    <t>BOT ETIQ YOG DESLAC FNSSE CLAS 1650G</t>
  </si>
  <si>
    <t>603376</t>
  </si>
  <si>
    <t>BOT ETIQ YOG DESLAC FNSSE CLAS 180G</t>
  </si>
  <si>
    <t>603377</t>
  </si>
  <si>
    <t>BOT ETIQ YOG DESLAC NAT 950G</t>
  </si>
  <si>
    <t>603378</t>
  </si>
  <si>
    <t>BOT ETIQ YOG DESLAC NAT 1650G</t>
  </si>
  <si>
    <t>603555</t>
  </si>
  <si>
    <t>ALPINA GRIEGO MORA Y ARANDANOS 150</t>
  </si>
  <si>
    <t>603556</t>
  </si>
  <si>
    <t>ALPINA GRIEGO MORA Y ARANDANOS 500</t>
  </si>
  <si>
    <t>603798</t>
  </si>
  <si>
    <t>ETIQRICOTTA 250 C N</t>
  </si>
  <si>
    <t>604015</t>
  </si>
  <si>
    <t>BOTELLA FINESSE TROZOS DURAZNO 180GRS</t>
  </si>
  <si>
    <t>601399</t>
  </si>
  <si>
    <t>4 PACK Q UNTABLE CHEDDAR 45 GR KIOSKO</t>
  </si>
  <si>
    <t>601400</t>
  </si>
  <si>
    <t>ETIQUETA MOZARELLA LONJAS 150 GR FRENTE</t>
  </si>
  <si>
    <t>601401</t>
  </si>
  <si>
    <t>ETIQUETA CHEDDAR LONJAS 200 GR FRENTE</t>
  </si>
  <si>
    <t>602610</t>
  </si>
  <si>
    <t>CAJA NAVIDAD AREQUIPE + Q MOZARELLA</t>
  </si>
  <si>
    <t>600449</t>
  </si>
  <si>
    <t>LAMINA BEBIBLE MORA 900 GR KIOSKO</t>
  </si>
  <si>
    <t>600454</t>
  </si>
  <si>
    <t>TAPA SNAP ON BLANCA YAGU 38 MM ECU</t>
  </si>
  <si>
    <t>605427</t>
  </si>
  <si>
    <t>BOTELLA BLANCA 1700G</t>
  </si>
  <si>
    <t>603372</t>
  </si>
  <si>
    <t>BOT ETIQ RGN CER TAMAR 180G</t>
  </si>
  <si>
    <t>603341</t>
  </si>
  <si>
    <t>BOT ETIQ RGN MOR 1000G</t>
  </si>
  <si>
    <t>603342</t>
  </si>
  <si>
    <t>BOT ETIQ RGN CER PITA 1750G</t>
  </si>
  <si>
    <t>603343</t>
  </si>
  <si>
    <t>BOT ETIQ RGN CER PITA 1000G</t>
  </si>
  <si>
    <t>601441</t>
  </si>
  <si>
    <t>JUGUETE MUNECO PLASTICO</t>
  </si>
  <si>
    <t>601442</t>
  </si>
  <si>
    <t>TINA PLASTICA</t>
  </si>
  <si>
    <t>606355</t>
  </si>
  <si>
    <t>DOYPACK DULCE DE LECHE 100G</t>
  </si>
  <si>
    <t>606427</t>
  </si>
  <si>
    <t>BOT ETIQ RGN BBLE MORA 1750G</t>
  </si>
  <si>
    <t>606441</t>
  </si>
  <si>
    <t>FUNDA SELECCION ESPECIAL 150G</t>
  </si>
  <si>
    <t xml:space="preserve">Bolsas Quesos                 </t>
  </si>
  <si>
    <t xml:space="preserve">DIR_ME35  </t>
  </si>
  <si>
    <t xml:space="preserve">ALITECNO                                                                        </t>
  </si>
  <si>
    <t>606445</t>
  </si>
  <si>
    <t>VASO BON YURT GRANOLA CHOCOLATE</t>
  </si>
  <si>
    <t>604147</t>
  </si>
  <si>
    <t>ETIQUETA QUESO SANDUCHE 75GR C N</t>
  </si>
  <si>
    <t>604248</t>
  </si>
  <si>
    <t>ETIQ. COMBO SANDUCHERO 146 GR</t>
  </si>
  <si>
    <t>607466</t>
  </si>
  <si>
    <t>ETIQ CHEDDAR LINEA DIARIA 75G CN MOD</t>
  </si>
  <si>
    <t>607467</t>
  </si>
  <si>
    <t>ETIQ MOZZARLLA LNEA DIARIA 75G CN MOD</t>
  </si>
  <si>
    <t>400417</t>
  </si>
  <si>
    <t>ACIDO SULFURICO</t>
  </si>
  <si>
    <t xml:space="preserve">QUIMPAC / RELUBQUIM                                                             </t>
  </si>
  <si>
    <t>201394</t>
  </si>
  <si>
    <t>MIX CUL B CUAJADA Q FRES LGHT KIOSKO</t>
  </si>
  <si>
    <t>201404</t>
  </si>
  <si>
    <t>PUNTAS DE QUESO SEMIMADURO HIERBAS</t>
  </si>
  <si>
    <t>200053</t>
  </si>
  <si>
    <t>B LCH DESL UHT</t>
  </si>
  <si>
    <t>200548</t>
  </si>
  <si>
    <t>SOLUC COLOR CURCUMA 10%</t>
  </si>
  <si>
    <t>200579</t>
  </si>
  <si>
    <t>MIX CUL B LAC YAGU</t>
  </si>
  <si>
    <t>200597</t>
  </si>
  <si>
    <t>MIX DISOLUCION GENERICO</t>
  </si>
  <si>
    <t>200613</t>
  </si>
  <si>
    <t>MIX CUL B ALPINITO</t>
  </si>
  <si>
    <t>200684</t>
  </si>
  <si>
    <t>HIGN Y DESNF MEZ Y PAST SOKA</t>
  </si>
  <si>
    <t>200685</t>
  </si>
  <si>
    <t>HIGN Y DESNF RECIBO DE LCH</t>
  </si>
  <si>
    <t>200686</t>
  </si>
  <si>
    <t>HIGN Y DESNF SABORIZADO LIQUIDA</t>
  </si>
  <si>
    <t>16374</t>
  </si>
  <si>
    <t>YOG BBLE KIOSKO MORA 180</t>
  </si>
  <si>
    <t>16375</t>
  </si>
  <si>
    <t>MPX6 YOG BBLE KIOSKO 180</t>
  </si>
  <si>
    <t xml:space="preserve">PACK KIOSKOX6       </t>
  </si>
  <si>
    <t>15997</t>
  </si>
  <si>
    <t>QUESO SANDUCHE KIOSKO 75G</t>
  </si>
  <si>
    <t xml:space="preserve">Q SANDUCHE 75GR     </t>
  </si>
  <si>
    <t>15804</t>
  </si>
  <si>
    <t>GRIEGO NAT 500G</t>
  </si>
  <si>
    <t>YOGURT GRIEGO</t>
  </si>
  <si>
    <t>Yog Griego</t>
  </si>
  <si>
    <t>BASE LACTEA GRIEGO EC</t>
  </si>
  <si>
    <t xml:space="preserve">YG NATURAL 500G     </t>
  </si>
  <si>
    <t>845621</t>
  </si>
  <si>
    <t>PRV 8+1 FUNDA 900 GR DURAZNO KIOSKO</t>
  </si>
  <si>
    <t>200176</t>
  </si>
  <si>
    <t>BOT ETIQ RGN LGHT FTLLA 180G MAQ</t>
  </si>
  <si>
    <t>200379</t>
  </si>
  <si>
    <t>B CREM DE LCH AGRIA KIOSKO</t>
  </si>
  <si>
    <t>202541</t>
  </si>
  <si>
    <t>BASE SABORIZADA GRIEGO SABOR LIMON EC</t>
  </si>
  <si>
    <t>201400</t>
  </si>
  <si>
    <t>PUNTAS DE QUESO SEMIMADURO SANDUCHE</t>
  </si>
  <si>
    <t>201401</t>
  </si>
  <si>
    <t>CUAJADA Q JAVIER LONJ AL PESO KIOSKO</t>
  </si>
  <si>
    <t>201403</t>
  </si>
  <si>
    <t>CUAJADA Q HIER LONJ AL PESO KIOSKO</t>
  </si>
  <si>
    <t>202835</t>
  </si>
  <si>
    <t>BASE SAB GRIEGO FRUTOS ROJOS KIOSKO EC</t>
  </si>
  <si>
    <t>200692</t>
  </si>
  <si>
    <t>HIGN Y DESNF EMP LINEA MZ 750</t>
  </si>
  <si>
    <t>201195</t>
  </si>
  <si>
    <t>B CUAJADA Q FRES LGHT KIOSKO</t>
  </si>
  <si>
    <t>201406</t>
  </si>
  <si>
    <t>PUNTAS QUESO SEMIMAD PROVOLONE AHUMADO</t>
  </si>
  <si>
    <t>14180</t>
  </si>
  <si>
    <t>Q AMERIC LONJ BKING AL PESO</t>
  </si>
  <si>
    <t>Q.AMER LON PESO BKIN</t>
  </si>
  <si>
    <t>14716</t>
  </si>
  <si>
    <t>Q AMERIC KIOSKO LONJ AL PESO COR</t>
  </si>
  <si>
    <t xml:space="preserve">Q.AMER LON PESO     </t>
  </si>
  <si>
    <t>14252</t>
  </si>
  <si>
    <t>FUNDA ALMOHADILLAS AREQUIPE 25G</t>
  </si>
  <si>
    <t>Maquila</t>
  </si>
  <si>
    <t>DULCENAC</t>
  </si>
  <si>
    <t xml:space="preserve">ALMOHA AREQ 25G     </t>
  </si>
  <si>
    <t>14334</t>
  </si>
  <si>
    <t>MPLX4 GELAT PREM KIOSKO FRE 170G</t>
  </si>
  <si>
    <t>4P GELA PREM FRE 170</t>
  </si>
  <si>
    <t>842939</t>
  </si>
  <si>
    <t>PRV 6+1 KIDS 180GR FRUTILLA KIOSKO</t>
  </si>
  <si>
    <t>5763</t>
  </si>
  <si>
    <t>Q JAVIER KIOSKO BLOQ 320G</t>
  </si>
  <si>
    <t>QUESO JAVIERINO KIOSKO BLOQUE</t>
  </si>
  <si>
    <t xml:space="preserve">Q.JAVIER BLOQ 320G  </t>
  </si>
  <si>
    <t>12371</t>
  </si>
  <si>
    <t>QUESO PIZZA MOZZARELLA KIOSKO LONJAS 75</t>
  </si>
  <si>
    <t xml:space="preserve">Q.MOZZ PIZ LON 75G  </t>
  </si>
  <si>
    <t>15872</t>
  </si>
  <si>
    <t>PACK FNSSE FRTROJ 950G GRT GRANOLA NH</t>
  </si>
  <si>
    <t>10984</t>
  </si>
  <si>
    <t>YOG BBLE KID KK FTLLA BOT 120G</t>
  </si>
  <si>
    <t>YK BBLE K FTLLA 120G</t>
  </si>
  <si>
    <t>16906</t>
  </si>
  <si>
    <t>MPLX6 AVENA FINESSE VASO 250G</t>
  </si>
  <si>
    <t>AVENA FINESSE</t>
  </si>
  <si>
    <t>AVENA FINESSE VASO</t>
  </si>
  <si>
    <t>MULTIEMPAQUE</t>
  </si>
  <si>
    <t xml:space="preserve">6P AVE NATURAL 250G </t>
  </si>
  <si>
    <t>12851</t>
  </si>
  <si>
    <t>PR Q SAND KIOSKO BLOQ 140G + MORT</t>
  </si>
  <si>
    <t xml:space="preserve">Q SAND 140G + MORT  </t>
  </si>
  <si>
    <t>12715</t>
  </si>
  <si>
    <t>Q HIERBAS KIOSKO BLOQ 350G</t>
  </si>
  <si>
    <t>12528</t>
  </si>
  <si>
    <t>RGN CER GDLLA BOT 1750G</t>
  </si>
  <si>
    <t xml:space="preserve">RGN CER GDLLA 1750G </t>
  </si>
  <si>
    <t>16235</t>
  </si>
  <si>
    <t>Q CHEDDAR KIOSKO BLOQ 400G</t>
  </si>
  <si>
    <t>QUESO CHEDDAR KIOSKO BLOQUE</t>
  </si>
  <si>
    <t xml:space="preserve">Q.CHEDDAR BLQ 400GR </t>
  </si>
  <si>
    <t>14710</t>
  </si>
  <si>
    <t>AVENA NARMAR VASO 250G</t>
  </si>
  <si>
    <t>843816</t>
  </si>
  <si>
    <t>PRV 6+1 RGN TZOS FTLLA VASO 150G</t>
  </si>
  <si>
    <t>PRV6+1 YR TZ FR 150G</t>
  </si>
  <si>
    <t>11175</t>
  </si>
  <si>
    <t>YOG BBLE KID KK FTLLA BOT 180G</t>
  </si>
  <si>
    <t>YK BBLE K FLTTA 180G</t>
  </si>
  <si>
    <t>11177</t>
  </si>
  <si>
    <t>YOG BBLE KID KK DZNO BOT 180G</t>
  </si>
  <si>
    <t xml:space="preserve">YK BBLE K DZNO 180G </t>
  </si>
  <si>
    <t>11184</t>
  </si>
  <si>
    <t>YOG BBLE KIOSKO FTLLA BOT 120G MINI</t>
  </si>
  <si>
    <t>11034</t>
  </si>
  <si>
    <t>PRL Q MOZAR KIOSKO + REPOSTERO</t>
  </si>
  <si>
    <t>201137</t>
  </si>
  <si>
    <t>B ALPINITO</t>
  </si>
  <si>
    <t>201469</t>
  </si>
  <si>
    <t>MIX B BEB DE YOG DESLAC FNSSE ALPINA</t>
  </si>
  <si>
    <t>201559</t>
  </si>
  <si>
    <t>BOT ETIQ KUMIS ORIG 1000G</t>
  </si>
  <si>
    <t>201150</t>
  </si>
  <si>
    <t>MIX B MQUILLA NAT KIOSKO</t>
  </si>
  <si>
    <t>202258</t>
  </si>
  <si>
    <t>MIX BASE SABORIZADA GRIEGO FRUT ROJOS EC</t>
  </si>
  <si>
    <t>200204</t>
  </si>
  <si>
    <t>B SAB RGN BBLE FTLLA</t>
  </si>
  <si>
    <t>200166</t>
  </si>
  <si>
    <t>BASE LAC KUMIS ORIG BOT</t>
  </si>
  <si>
    <t>200541</t>
  </si>
  <si>
    <t>MIX B LCH DESL UHT ENZIMA</t>
  </si>
  <si>
    <t>203325</t>
  </si>
  <si>
    <t>SOBREC CHOCAPIC 13G</t>
  </si>
  <si>
    <t>600982</t>
  </si>
  <si>
    <t>ETIQ YOG FRUTILLA 1000 GR REGENERIS E</t>
  </si>
  <si>
    <t>600985</t>
  </si>
  <si>
    <t>ETIQ YOG MORA 1000GR REGENERIS ECU</t>
  </si>
  <si>
    <t>600987</t>
  </si>
  <si>
    <t>ETIQ YOG DZNO 1000GR REGENERIS ECU</t>
  </si>
  <si>
    <t>600989</t>
  </si>
  <si>
    <t>ETIQ YOG DZNO 1750GR REGENERIS ECU</t>
  </si>
  <si>
    <t>600949</t>
  </si>
  <si>
    <t>FUNDA SIX PK BOT REGENERIS  BEBIBLE 180</t>
  </si>
  <si>
    <t>601801</t>
  </si>
  <si>
    <t>ETIQUETA QUESO MOZARELLA 75 GR  KIOSKO</t>
  </si>
  <si>
    <t>604634</t>
  </si>
  <si>
    <t>SOBRECOPA TRANSLUCIDA PET</t>
  </si>
  <si>
    <t xml:space="preserve">Sobrecopa PET                 </t>
  </si>
  <si>
    <t xml:space="preserve">DIR_ME12  </t>
  </si>
  <si>
    <t>604635</t>
  </si>
  <si>
    <t>SOBRECOPA NEON PET</t>
  </si>
  <si>
    <t>201428</t>
  </si>
  <si>
    <t>CEREAL GRANOLA CON CHIA RECUPERADO</t>
  </si>
  <si>
    <t>200222</t>
  </si>
  <si>
    <t>BOT ETIQ YOG DUO KIOSKO PINA COCO 180G</t>
  </si>
  <si>
    <t>200830</t>
  </si>
  <si>
    <t>BOT ETIQ YOG DESLAC FNSSE CLAS 950G MAQ</t>
  </si>
  <si>
    <t>200831</t>
  </si>
  <si>
    <t>BOT ETIQ YOG DESLAC NAT 950G MAQ</t>
  </si>
  <si>
    <t>200832</t>
  </si>
  <si>
    <t>SOBREC CANDY POPS 35G</t>
  </si>
  <si>
    <t>200833</t>
  </si>
  <si>
    <t>SOBREC HOJ DE MAIZ SABOR CHOC 15G</t>
  </si>
  <si>
    <t>201212</t>
  </si>
  <si>
    <t>CUAJADA Q HIERBAS KIOSKO 350G</t>
  </si>
  <si>
    <t>201213</t>
  </si>
  <si>
    <t>CUAJADA Q PROVO NAT KIOSKO BLOQ</t>
  </si>
  <si>
    <t>5778</t>
  </si>
  <si>
    <t>Q SANDU KIOSKO 20 LONJ 300G</t>
  </si>
  <si>
    <t xml:space="preserve">Q.SAND LON 300G     </t>
  </si>
  <si>
    <t>10653</t>
  </si>
  <si>
    <t>YOG BBLE KIOSKO FTLLA FUN 900G</t>
  </si>
  <si>
    <t>16407</t>
  </si>
  <si>
    <t>Q ESPAR CHED KIOSKO DOYP 200G</t>
  </si>
  <si>
    <t>Llenadora DoyPack</t>
  </si>
  <si>
    <t xml:space="preserve">Q.CHED DOY 240G     </t>
  </si>
  <si>
    <t>15802</t>
  </si>
  <si>
    <t>GRIEGO MOR Y ARAND 500G</t>
  </si>
  <si>
    <t xml:space="preserve">YG MORA-ARAN 500G   </t>
  </si>
  <si>
    <t>12569</t>
  </si>
  <si>
    <t>YOG FNSSE CLAS BOT 180G</t>
  </si>
  <si>
    <t xml:space="preserve">YF CLASICO 180G     </t>
  </si>
  <si>
    <t>843474</t>
  </si>
  <si>
    <t>PRV 6+1 BY BLACK VASO 165GR</t>
  </si>
  <si>
    <t>11188</t>
  </si>
  <si>
    <t>YOG BBLE KIOSKO MOR BOT 120G MINI</t>
  </si>
  <si>
    <t xml:space="preserve">YK BBLE MORA 120G   </t>
  </si>
  <si>
    <t>2082</t>
  </si>
  <si>
    <t>MPLX4 RGN TZOS MULTSAB VASO 150G</t>
  </si>
  <si>
    <t>4P RGN TZOS MUL 150G</t>
  </si>
  <si>
    <t>16017</t>
  </si>
  <si>
    <t>YOG FNSSE DURAZNO BOT 1670G</t>
  </si>
  <si>
    <t xml:space="preserve">YF DURAZNO 1670G    </t>
  </si>
  <si>
    <t>5703</t>
  </si>
  <si>
    <t>CREM LCH NAT KIOSKO GAR 3.5KG</t>
  </si>
  <si>
    <t xml:space="preserve">CREM LECHE 3.5K     </t>
  </si>
  <si>
    <t>14585</t>
  </si>
  <si>
    <t>MPLX6 BY MINI CANPOP VASO 130G</t>
  </si>
  <si>
    <t>MINI BONYURT</t>
  </si>
  <si>
    <t>843473</t>
  </si>
  <si>
    <t>PRV 6+1 AREQUIPE  ALPINA  250  GR</t>
  </si>
  <si>
    <t>Arequipealpina</t>
  </si>
  <si>
    <t xml:space="preserve">PRV6+1 AREQ 250GR   </t>
  </si>
  <si>
    <t>15594</t>
  </si>
  <si>
    <t>YOG BBLE KIOSKO NRJLA BOT 950G</t>
  </si>
  <si>
    <t>BEBIDA DE YOGURT KIOSKO BOTELLA FAMILIAR</t>
  </si>
  <si>
    <t xml:space="preserve">YK BBLE NRJLA 950G  </t>
  </si>
  <si>
    <t>15615</t>
  </si>
  <si>
    <t>PACK FINESSE 1670G ALOE FR</t>
  </si>
  <si>
    <t>15625</t>
  </si>
  <si>
    <t>PACK BY BLACK P4LL5</t>
  </si>
  <si>
    <t xml:space="preserve">4P BY BLACK         </t>
  </si>
  <si>
    <t>17053</t>
  </si>
  <si>
    <t>KIOSKO SANDUCHE LONJAS LINEA DIARIA 75G</t>
  </si>
  <si>
    <t>2024.01</t>
  </si>
  <si>
    <t>AREQUIPE 250 GR IN &amp; OUT</t>
  </si>
  <si>
    <t>2024.02</t>
  </si>
  <si>
    <t>Q PARME KIOSKO AJO BOL 50G</t>
  </si>
  <si>
    <t>QUESO PARMESANO KIOSKO RALLADO</t>
  </si>
  <si>
    <t xml:space="preserve">Q.PARMESA RALL 40G  </t>
  </si>
  <si>
    <t>2024.03</t>
  </si>
  <si>
    <t>Q PARME KIOSKO AJO BOL 100G</t>
  </si>
  <si>
    <t>14550</t>
  </si>
  <si>
    <t>PR BBLE KIOSKO KID DZNO 180G 6+1</t>
  </si>
  <si>
    <t>14587</t>
  </si>
  <si>
    <t>KUMIS ORIG BOT 1000G ECU</t>
  </si>
  <si>
    <t xml:space="preserve">KUMIS 1000G         </t>
  </si>
  <si>
    <t>10990</t>
  </si>
  <si>
    <t>YOG BBLE KIOSKO MOR FUN 900G</t>
  </si>
  <si>
    <t xml:space="preserve">YK BBLE MORA 900G   </t>
  </si>
  <si>
    <t>12956</t>
  </si>
  <si>
    <t>AVENA ORIGINAL ALPINA 250 GR A 1 DOLAR</t>
  </si>
  <si>
    <t>842955</t>
  </si>
  <si>
    <t>PRV 6+1 QUESO MOZZ 500GR KIOSKO</t>
  </si>
  <si>
    <t xml:space="preserve">PRV6+1 MOZZ 500GR   </t>
  </si>
  <si>
    <t>16530</t>
  </si>
  <si>
    <t>BY MINI GOMITAS 127G</t>
  </si>
  <si>
    <t>Bebida Bonyurt</t>
  </si>
  <si>
    <t>5244</t>
  </si>
  <si>
    <t>RGN BBLE FTLLA BOT 1750G</t>
  </si>
  <si>
    <t>RGN BBLE FTLLA 1750G</t>
  </si>
  <si>
    <t>16507</t>
  </si>
  <si>
    <t>PACK MOZZ 350G GRATIS MERMELADA 100G</t>
  </si>
  <si>
    <t xml:space="preserve">pack                </t>
  </si>
  <si>
    <t>11956</t>
  </si>
  <si>
    <t>YOG FNSSE SBILA BOT 180G</t>
  </si>
  <si>
    <t xml:space="preserve">YF SBILA 180G       </t>
  </si>
  <si>
    <t>4160</t>
  </si>
  <si>
    <t>RGN BBLE DZNO BOT 180G</t>
  </si>
  <si>
    <t xml:space="preserve">RGN BBLE DZNO 180G  </t>
  </si>
  <si>
    <t>14899</t>
  </si>
  <si>
    <t>BON YURT NAVIDAD 165 GRAMOS</t>
  </si>
  <si>
    <t xml:space="preserve">BY NAVIDEÑO 165G    </t>
  </si>
  <si>
    <t>16517</t>
  </si>
  <si>
    <t>GRIEG KIOSKO LIMON 400</t>
  </si>
  <si>
    <t>16156</t>
  </si>
  <si>
    <t>Q CHED KIOSKO 5 LONJ 75G</t>
  </si>
  <si>
    <t>QUESO SEMIMADURO CHEDDAR KIOSKO TAJADO</t>
  </si>
  <si>
    <t xml:space="preserve">Q.CHDDAR LON 75G    </t>
  </si>
  <si>
    <t>16158</t>
  </si>
  <si>
    <t>Q AMERIC KIOSKO 5 LONJ 75G</t>
  </si>
  <si>
    <t xml:space="preserve">Q.AMERICANA LON 75G </t>
  </si>
  <si>
    <t>16500</t>
  </si>
  <si>
    <t>PACK NAV PARM+MOZZ 75G+SANDU 75G</t>
  </si>
  <si>
    <t>842947</t>
  </si>
  <si>
    <t>PRV 5+1 BY NEON VASO 170GR</t>
  </si>
  <si>
    <t xml:space="preserve">PRV+1 BY NEON 170GR </t>
  </si>
  <si>
    <t>842948</t>
  </si>
  <si>
    <t>PRV 5+1 BY FROOT LOOPS VASO 154GR</t>
  </si>
  <si>
    <t xml:space="preserve">PRV5+1 BY FRO LOOPS </t>
  </si>
  <si>
    <t>843012</t>
  </si>
  <si>
    <t>PRV 6+1 KISKO KK MORA 180 GR</t>
  </si>
  <si>
    <t>5736</t>
  </si>
  <si>
    <t>Q MOZAR LGHT KIOSKO BLOQ 500G</t>
  </si>
  <si>
    <t xml:space="preserve">Q.MOZZ LIGHT 500G   </t>
  </si>
  <si>
    <t>843499</t>
  </si>
  <si>
    <t>PRV 6+1 KIOS KK180GR 2FR+2DU+2MO GRA FRU</t>
  </si>
  <si>
    <t>13439</t>
  </si>
  <si>
    <t>MPL AVENA CAN VASO 250G + GTA</t>
  </si>
  <si>
    <t xml:space="preserve">4P AVE NAT 250GR    </t>
  </si>
  <si>
    <t>16304</t>
  </si>
  <si>
    <t>PR Q MOZAR 200G+YOG FTLLA FUN 900G</t>
  </si>
  <si>
    <t>10465</t>
  </si>
  <si>
    <t>MPL ALPILUNCH + YAGU</t>
  </si>
  <si>
    <t>5711</t>
  </si>
  <si>
    <t>MQUILLA NAT KIOSKO 1KG</t>
  </si>
  <si>
    <t>MANTEQUILLA</t>
  </si>
  <si>
    <t>MANTEQUILLA CON SAL</t>
  </si>
  <si>
    <t xml:space="preserve">MQUILLA 1KG         </t>
  </si>
  <si>
    <t>5748</t>
  </si>
  <si>
    <t>Q MOZAR PIZZ KIOSKO RALL BOL 300G</t>
  </si>
  <si>
    <t>Q.MOZZ PIZ RALL 300G</t>
  </si>
  <si>
    <t>202546</t>
  </si>
  <si>
    <t>Q MOZZARELLA HIERBAS 500G</t>
  </si>
  <si>
    <t>202839</t>
  </si>
  <si>
    <t>GRIEGO SEMIT NATURAL KIOSKO EC 120G</t>
  </si>
  <si>
    <t>202840</t>
  </si>
  <si>
    <t>GRIEGO SEMIT FRUTO ROJOS KIOSKO EC 120G</t>
  </si>
  <si>
    <t>202851</t>
  </si>
  <si>
    <t>GRIEGO SEMIT MORA ARANDANOS KIOSKO 120G</t>
  </si>
  <si>
    <t>202852</t>
  </si>
  <si>
    <t>GRIEGO SEMIT LIMON KIOSKO 120G</t>
  </si>
  <si>
    <t>201207</t>
  </si>
  <si>
    <t>LCH ESTAND SDESC 2.2  2.5% MG</t>
  </si>
  <si>
    <t>201208</t>
  </si>
  <si>
    <t>LCH ESTAND SDESC 1.2 - 1.5% MG</t>
  </si>
  <si>
    <t>201192</t>
  </si>
  <si>
    <t>B SAB ALPINITO FTLLA</t>
  </si>
  <si>
    <t>203331</t>
  </si>
  <si>
    <t>SOBREC MASHMELO DE COLORES 8G</t>
  </si>
  <si>
    <t>203021</t>
  </si>
  <si>
    <t>SOBREC TANGO TROCEADO 18G</t>
  </si>
  <si>
    <t>200834</t>
  </si>
  <si>
    <t>SOBREC GRAN Y CHIA 30G</t>
  </si>
  <si>
    <t>202373</t>
  </si>
  <si>
    <t>B SAB YOG FNSSE TZOS DURAZNO</t>
  </si>
  <si>
    <t>201178</t>
  </si>
  <si>
    <t>MIX 2 B CUAJADA Q FRES KIOSKO</t>
  </si>
  <si>
    <t>201179</t>
  </si>
  <si>
    <t>MIX 2 B CUAJADA Q MOZAR LGHT KIOSKO</t>
  </si>
  <si>
    <t>201184</t>
  </si>
  <si>
    <t>MIX 2 B CUAJADA Q MOZAR KIOSKO</t>
  </si>
  <si>
    <t>201405</t>
  </si>
  <si>
    <t>CUAJADA Q PROV LONJ AL PESO KIOSKO</t>
  </si>
  <si>
    <t>201467</t>
  </si>
  <si>
    <t>MIX B SAB BEB YOG DESLAC FNSSE FTLLA</t>
  </si>
  <si>
    <t>201354</t>
  </si>
  <si>
    <t>300175</t>
  </si>
  <si>
    <t>SALSA TROZOS FRUTOS ROJOS</t>
  </si>
  <si>
    <t>300344</t>
  </si>
  <si>
    <t>CULTIVO CUAJO MICROBIANO KIOSKO</t>
  </si>
  <si>
    <t>300345</t>
  </si>
  <si>
    <t>SALSA MANZANA YOX</t>
  </si>
  <si>
    <t>300395</t>
  </si>
  <si>
    <t>REUTILIZAR</t>
  </si>
  <si>
    <t>300410</t>
  </si>
  <si>
    <t>SOBRE CULTIVO JOINTEC D 50 DCU KIOSKO</t>
  </si>
  <si>
    <t>300411</t>
  </si>
  <si>
    <t>SOBRE CULTIVO JOINTEC E 50 DCU KIOSKO</t>
  </si>
  <si>
    <t>300332</t>
  </si>
  <si>
    <t>ESENCIA DE HUMO LIQUIDO</t>
  </si>
  <si>
    <t>300333</t>
  </si>
  <si>
    <t>COLORANTE CARAMELO CA</t>
  </si>
  <si>
    <t>5819</t>
  </si>
  <si>
    <t>Q FRES KIOSKO BLOQ 700G</t>
  </si>
  <si>
    <t xml:space="preserve">Q.FRESCO 700G       </t>
  </si>
  <si>
    <t>2123</t>
  </si>
  <si>
    <t>RGN CER PITA BOT 1750G ECU</t>
  </si>
  <si>
    <t xml:space="preserve">RGN CER PITA 1750G  </t>
  </si>
  <si>
    <t>15680</t>
  </si>
  <si>
    <t>PACK FINESSE ALOE+FRUTOS ROJOS</t>
  </si>
  <si>
    <t>15683</t>
  </si>
  <si>
    <t>PACK RGN FRESA 1000G + FNSSE SBILA 950G</t>
  </si>
  <si>
    <t>14715</t>
  </si>
  <si>
    <t>Q MOZAR PIZZ KIOSKO LONJ AL PESO COR</t>
  </si>
  <si>
    <t xml:space="preserve">Q.MOZZ PIZ LON PESO </t>
  </si>
  <si>
    <t>201170</t>
  </si>
  <si>
    <t>MIX CUL B CUAJADA Q MOZAR PIZZ KIOSKO</t>
  </si>
  <si>
    <t>201171</t>
  </si>
  <si>
    <t>MIX CUL B CUAJADA Q PARME KIOSKO</t>
  </si>
  <si>
    <t>201173</t>
  </si>
  <si>
    <t>MIX B CUAJADA Q CREMO DEL CAMPO KIOSKO</t>
  </si>
  <si>
    <t>301308</t>
  </si>
  <si>
    <t>ACIDO MALICO</t>
  </si>
  <si>
    <t>300172</t>
  </si>
  <si>
    <t>SALSA FRUTA FRUTILLA</t>
  </si>
  <si>
    <t>300173</t>
  </si>
  <si>
    <t>SALSA FRUTA DURAZNO</t>
  </si>
  <si>
    <t>300022</t>
  </si>
  <si>
    <t>LECHE EN POLVO ENTERA  COMPRADA</t>
  </si>
  <si>
    <t>300114</t>
  </si>
  <si>
    <t>SABOR PITAHAYA MANE EC 0151602</t>
  </si>
  <si>
    <t xml:space="preserve">TECNIAROMAS                                                                     </t>
  </si>
  <si>
    <t>301155</t>
  </si>
  <si>
    <t>ACIDO CITRICO ANHYDROUS</t>
  </si>
  <si>
    <t>300015</t>
  </si>
  <si>
    <t>FECULA DE MAIZ MAIZENA</t>
  </si>
  <si>
    <t>300021</t>
  </si>
  <si>
    <t>CASEINATO DE SODIO</t>
  </si>
  <si>
    <t>301346</t>
  </si>
  <si>
    <t>VINAGRE</t>
  </si>
  <si>
    <t xml:space="preserve">QUIMICOS EXPORTACIONES E IMPORTACIO                                             </t>
  </si>
  <si>
    <t>300042</t>
  </si>
  <si>
    <t>SOBRE CULTIVO YF L812 500U</t>
  </si>
  <si>
    <t>200190</t>
  </si>
  <si>
    <t>BOT ETIQ YOG KIOSKO FTLLA 120G</t>
  </si>
  <si>
    <t>200191</t>
  </si>
  <si>
    <t>BOT ETIQ YOG KIOSKO DZNO 120G</t>
  </si>
  <si>
    <t>200206</t>
  </si>
  <si>
    <t>BOT ETIQ BBLE KIOSKO KIDS FTLLA 180G</t>
  </si>
  <si>
    <t>200079</t>
  </si>
  <si>
    <t>CUCHARA AREQ POSTRE PAQT X 6UND</t>
  </si>
  <si>
    <t xml:space="preserve">Cuchara                       </t>
  </si>
  <si>
    <t>PAQ</t>
  </si>
  <si>
    <t xml:space="preserve">DIR_ME15  </t>
  </si>
  <si>
    <t xml:space="preserve">WILLSEB                                                                         </t>
  </si>
  <si>
    <t>600728</t>
  </si>
  <si>
    <t>LAMINADO MOZARELLA 200 KIOSKO</t>
  </si>
  <si>
    <t>600700</t>
  </si>
  <si>
    <t>ETIQUETA BLO LONJAS JAVIERINO KIOSKO</t>
  </si>
  <si>
    <t>600701</t>
  </si>
  <si>
    <t>ETIQUETA BLOQUE LONJAS HOLANDES KIOSKO</t>
  </si>
  <si>
    <t>601496</t>
  </si>
  <si>
    <t>FUNDA POLIETILENO BLANCA PEQUENA</t>
  </si>
  <si>
    <t>601497</t>
  </si>
  <si>
    <t>FUNDA DESPACHO 7.87 X 15 K</t>
  </si>
  <si>
    <t xml:space="preserve">PLASTICOS DEL LITORAL PLASTLIT SA                                               </t>
  </si>
  <si>
    <t>601704</t>
  </si>
  <si>
    <t>CAJA MANTEQUILLA CON SAL 200GR KIOSKO</t>
  </si>
  <si>
    <t>603338</t>
  </si>
  <si>
    <t>BOT ETIQ KUMIS ORIG 1750G</t>
  </si>
  <si>
    <t>604624</t>
  </si>
  <si>
    <t>ETQ. AMERICANO 150 G CN</t>
  </si>
  <si>
    <t>600746</t>
  </si>
  <si>
    <t>TARRINA PARA Q FUNDIDO CHEDDAR 240 G.</t>
  </si>
  <si>
    <t>600979</t>
  </si>
  <si>
    <t>ETIQ. KIOSKO YOGURT FRUTILLA 180 PROMO</t>
  </si>
  <si>
    <t>600981</t>
  </si>
  <si>
    <t>ETIQ. KIOSKO YOGURT DURAZNO 180 PROMO</t>
  </si>
  <si>
    <t>602881</t>
  </si>
  <si>
    <t>VASO GELATINA KIOSKO SABOR FRESA 160 GR</t>
  </si>
  <si>
    <t>602882</t>
  </si>
  <si>
    <t>VASO GELATINA KIOSKO SABOR CEREZA 160 GR</t>
  </si>
  <si>
    <t>600722</t>
  </si>
  <si>
    <t>LAMINA LINEA DIARIA SANDUCHE 60 GR</t>
  </si>
  <si>
    <t>600731</t>
  </si>
  <si>
    <t>ETIQ. QUESO FRESCO 900 GR FRENTE</t>
  </si>
  <si>
    <t>601032</t>
  </si>
  <si>
    <t>ETIQ. FINESSE CLASSICO 950 GR ECU</t>
  </si>
  <si>
    <t>601033</t>
  </si>
  <si>
    <t>ETIQ. FINESSE CLASSICO 180 GR ECU</t>
  </si>
  <si>
    <t>601034</t>
  </si>
  <si>
    <t>ETIQ. FINESSE NATURAL 950 GR ECU</t>
  </si>
  <si>
    <t>601036</t>
  </si>
  <si>
    <t>ETIQ. YOGURT KIOSKO FRUTILLA 180 MINI</t>
  </si>
  <si>
    <t>201458</t>
  </si>
  <si>
    <t>LECHE EN POLVO ENTERA PULVERIZADA ECUADO</t>
  </si>
  <si>
    <t xml:space="preserve">Leche Polvo Entera            </t>
  </si>
  <si>
    <t xml:space="preserve">DIR_LT04  </t>
  </si>
  <si>
    <t xml:space="preserve">EL ORDEÑO                                                                       </t>
  </si>
  <si>
    <t>300339</t>
  </si>
  <si>
    <t>SAL FUNDENTE SELF C12</t>
  </si>
  <si>
    <t xml:space="preserve">GRANOTEC ECUADOR                                                                </t>
  </si>
  <si>
    <t>300743</t>
  </si>
  <si>
    <t>SABOR FRUTILLA 1101804547 SILESIA</t>
  </si>
  <si>
    <t>300412</t>
  </si>
  <si>
    <t>SOBRE CULTIVO BIFI KIOSKO</t>
  </si>
  <si>
    <t>300413</t>
  </si>
  <si>
    <t>SOBRE CULTIVO LACID KIOSKO</t>
  </si>
  <si>
    <t>300415</t>
  </si>
  <si>
    <t>SOBRE F DVS YO FLEX  MMILD 1.0 X 500 U</t>
  </si>
  <si>
    <t>300443</t>
  </si>
  <si>
    <t>SOBRE CULTIVO LACTICO MO 032 X 20UC</t>
  </si>
  <si>
    <t>300444</t>
  </si>
  <si>
    <t>SOBRE CULTIVO LACTICO MO 142 X 10UC</t>
  </si>
  <si>
    <t>601014</t>
  </si>
  <si>
    <t>ETIQ. FINESSE FRUTOS ROJOS 950 GR</t>
  </si>
  <si>
    <t>601015</t>
  </si>
  <si>
    <t>ETIQ. FINESSE TROZOS ALOE 950 GR</t>
  </si>
  <si>
    <t>600704</t>
  </si>
  <si>
    <t>ETIQUETA QUESO LONJAS AMERICANO K</t>
  </si>
  <si>
    <t>605435</t>
  </si>
  <si>
    <t>ETIQ. YOGURT FINESSE ALOE 1670</t>
  </si>
  <si>
    <t>600712</t>
  </si>
  <si>
    <t>LAMINADO QUESO MADURO JAVIERINO 150 GR.</t>
  </si>
  <si>
    <t>600713</t>
  </si>
  <si>
    <t>ETIQ. QUESO MADURO JAVIERINO 150 GR. C N</t>
  </si>
  <si>
    <t>605504</t>
  </si>
  <si>
    <t>ELEMENTO PREMIO BORRADOR MUNDIAL</t>
  </si>
  <si>
    <t>602673</t>
  </si>
  <si>
    <t>ETIQUETA QUESO RICOTTA 450 GR  C N</t>
  </si>
  <si>
    <t>605507</t>
  </si>
  <si>
    <t>ETIQ REGN FRUTILLA BAJO EN GRASA 1000</t>
  </si>
  <si>
    <t>605509</t>
  </si>
  <si>
    <t>ETIQ REGN PITAHAYA 1750</t>
  </si>
  <si>
    <t>605510</t>
  </si>
  <si>
    <t>ETIQ REGN FRUTILLA BAJO EN GRASA 1750</t>
  </si>
  <si>
    <t>605511</t>
  </si>
  <si>
    <t>ETIQ REGN CIRUELA 1000</t>
  </si>
  <si>
    <t>607577</t>
  </si>
  <si>
    <t>PACK PERA LICENCIA</t>
  </si>
  <si>
    <t>607507</t>
  </si>
  <si>
    <t>LAMINA YOGURT MORA 150ML</t>
  </si>
  <si>
    <t>607514</t>
  </si>
  <si>
    <t>ETIQ MANTQUILLA INST 1 KG</t>
  </si>
  <si>
    <t>600736</t>
  </si>
  <si>
    <t>ETIQ QUESO FRESCO LIGHT 450GR KIOSKO</t>
  </si>
  <si>
    <t>600740</t>
  </si>
  <si>
    <t>ETIQUETA QUESO FRESCO 700  KIOSKO</t>
  </si>
  <si>
    <t>601038</t>
  </si>
  <si>
    <t>ETIQ. YOGURT KIOSKO DURAZNO 180 MINI</t>
  </si>
  <si>
    <t>601040</t>
  </si>
  <si>
    <t>ETIQ. YOGURT KIOSKO MORA 180 MINI</t>
  </si>
  <si>
    <t>600438</t>
  </si>
  <si>
    <t>TAPA SNAP ON CELESTE REGEN 180GR 38 MM</t>
  </si>
  <si>
    <t>603029</t>
  </si>
  <si>
    <t>BOT BLANCA 950G</t>
  </si>
  <si>
    <t>603047</t>
  </si>
  <si>
    <t>BOT ETIQ BON YURT HOJUELAS 950 G</t>
  </si>
  <si>
    <t>603048</t>
  </si>
  <si>
    <t>BOT ETIQ BON YURT AREQUIPE 950 G</t>
  </si>
  <si>
    <t>603049</t>
  </si>
  <si>
    <t>PRECINTO BON YURT 1080 G</t>
  </si>
  <si>
    <t>603050</t>
  </si>
  <si>
    <t>ETIQ AREQUIPE CON PRETZELS 75 GR</t>
  </si>
  <si>
    <t>601008</t>
  </si>
  <si>
    <t>ETIQ YOG KIOSKO GUANAB MOR 180 MINI</t>
  </si>
  <si>
    <t>601009</t>
  </si>
  <si>
    <t>ETIQ KIOSKO YOGURT PINA COCO 950</t>
  </si>
  <si>
    <t>601010</t>
  </si>
  <si>
    <t>ETIQ YOGURT KIOSKO PINA COCO 180 MINI</t>
  </si>
  <si>
    <t>601011</t>
  </si>
  <si>
    <t>SOBRECOPA BONYURT AREQUIPE</t>
  </si>
  <si>
    <t>600000</t>
  </si>
  <si>
    <t>BOLSA PARA CUBETA</t>
  </si>
  <si>
    <t>601320</t>
  </si>
  <si>
    <t>606327</t>
  </si>
  <si>
    <t>LAMINA CREMA DE LECHE 200 ML EL ORDENO</t>
  </si>
  <si>
    <t>606328</t>
  </si>
  <si>
    <t>LAMINA CREMA DE LECHE 200 ML LACTALIS</t>
  </si>
  <si>
    <t>301399</t>
  </si>
  <si>
    <t>SABOR LIMON 80357 B</t>
  </si>
  <si>
    <t>301400</t>
  </si>
  <si>
    <t>CLOROFILA WS AP CO C 10000</t>
  </si>
  <si>
    <t>301413</t>
  </si>
  <si>
    <t>OREGANO EN HOJA</t>
  </si>
  <si>
    <t>300451</t>
  </si>
  <si>
    <t>SOBRE CULTIVO DOM KIOSKO</t>
  </si>
  <si>
    <t>300453</t>
  </si>
  <si>
    <t>SOBRE CULTIVO DHL IDC LH2  KIOSKO</t>
  </si>
  <si>
    <t>300454</t>
  </si>
  <si>
    <t>SOBRE CULTIVO MOT KIOSKO</t>
  </si>
  <si>
    <t>300116</t>
  </si>
  <si>
    <t>COLORANTE COCHINILLA 5%</t>
  </si>
  <si>
    <t xml:space="preserve">DISTRIBUIDORA DESCALZI / SOLVESA                                                </t>
  </si>
  <si>
    <t>300147</t>
  </si>
  <si>
    <t>NUTRILAC CH 4560</t>
  </si>
  <si>
    <t>300160</t>
  </si>
  <si>
    <t>CEREAL ARROZ CROCANTE CHOCOLATE  E</t>
  </si>
  <si>
    <t>600697</t>
  </si>
  <si>
    <t>FUNDA SIX PACK PERA 50 GR.</t>
  </si>
  <si>
    <t>604014</t>
  </si>
  <si>
    <t>TARRINA ALPINA GRIEGO CLASICO 500</t>
  </si>
  <si>
    <t>604016</t>
  </si>
  <si>
    <t>BOTELLA FINESSE TROZOS DURAZNO 950GRS</t>
  </si>
  <si>
    <t>605459</t>
  </si>
  <si>
    <t>ETIQ QUESO ANDINO 450 G FRENTE</t>
  </si>
  <si>
    <t>605460</t>
  </si>
  <si>
    <t>ETIQ QUESO ANDINO 450 G CN</t>
  </si>
  <si>
    <t>602590</t>
  </si>
  <si>
    <t>ROTULO VERDE</t>
  </si>
  <si>
    <t>601258</t>
  </si>
  <si>
    <t>CAJA DULCE DE LECHE 500 GR</t>
  </si>
  <si>
    <t>601260</t>
  </si>
  <si>
    <t>FUNDAS 12 X 18 KIOSKO</t>
  </si>
  <si>
    <t>601261</t>
  </si>
  <si>
    <t>CAJA CARTON MOZARELLA 200 KIOSKO</t>
  </si>
  <si>
    <t>602532</t>
  </si>
  <si>
    <t>PLEGADIZA AREQUIPE OBLEAS  E</t>
  </si>
  <si>
    <t>602533</t>
  </si>
  <si>
    <t>CAJA AREQUIPE OBLEA 500 GR</t>
  </si>
  <si>
    <t>602534</t>
  </si>
  <si>
    <t>REFUERZO CAJA AREQUIPE OBLEA 500</t>
  </si>
  <si>
    <t>602584</t>
  </si>
  <si>
    <t>STICKERS YOGURT GRIEGO MORA ARANDANO</t>
  </si>
  <si>
    <t>602585</t>
  </si>
  <si>
    <t>STICKERS YOGURT GRIEGO NATURAL</t>
  </si>
  <si>
    <t>603157</t>
  </si>
  <si>
    <t>SEPARADORES DULCE DE LECHE 500G LARGUER</t>
  </si>
  <si>
    <t>603308</t>
  </si>
  <si>
    <t>TARRO TINTA V4201 D</t>
  </si>
  <si>
    <t>603311</t>
  </si>
  <si>
    <t>TARRO DISOLVENTE V7201 D</t>
  </si>
  <si>
    <t>403056</t>
  </si>
  <si>
    <t>V706 D SOLVENTE CODIFICACION CONTROLADA</t>
  </si>
  <si>
    <t>403053</t>
  </si>
  <si>
    <t>V4211 D TINTA CODIFICACION NO CONTROLADA</t>
  </si>
  <si>
    <t>403054</t>
  </si>
  <si>
    <t>V7206 D SOLVENTE CODIFICACION CONTROLADA</t>
  </si>
  <si>
    <t>403055</t>
  </si>
  <si>
    <t>V411 D TINTA CODIFICACION NO CONTROLADA</t>
  </si>
  <si>
    <t>602901</t>
  </si>
  <si>
    <t>LAMINA SELECCION ESPECIAL 500GR</t>
  </si>
  <si>
    <t>604636</t>
  </si>
  <si>
    <t>SOBRECOPA AZUL PET</t>
  </si>
  <si>
    <t>604637</t>
  </si>
  <si>
    <t>SOBRECOPA AREQUIPE PET</t>
  </si>
  <si>
    <t>604801</t>
  </si>
  <si>
    <t>ETIQ MOZARELLA HIERBAS 500 GR C N</t>
  </si>
  <si>
    <t>602844</t>
  </si>
  <si>
    <t>ETIQ MOZARELLA KIOSKO 500CN</t>
  </si>
  <si>
    <t>603485</t>
  </si>
  <si>
    <t>CAJA DULCE DE LECHE 250 X 16 UNDS</t>
  </si>
  <si>
    <t>603026</t>
  </si>
  <si>
    <t>LAMINA YOGURT NATURAL 900G</t>
  </si>
  <si>
    <t>606451</t>
  </si>
  <si>
    <t>BOT ETIQ RGN BBLE MORA 1000G</t>
  </si>
  <si>
    <t>603102</t>
  </si>
  <si>
    <t>STICKER 4+2</t>
  </si>
  <si>
    <t>600953</t>
  </si>
  <si>
    <t>ETIQ. KIOSKO YOGURT DURAZNO 950</t>
  </si>
  <si>
    <t>600954</t>
  </si>
  <si>
    <t>ETIQ. KIOSKO YOGURT FRUTILLA 950</t>
  </si>
  <si>
    <t>600955</t>
  </si>
  <si>
    <t>ETIQ. KIOSKO YOGURT MORA 950</t>
  </si>
  <si>
    <t>600957</t>
  </si>
  <si>
    <t>ETIQ. KIOSKO YOGURT FRUTILLA 1700</t>
  </si>
  <si>
    <t>201468</t>
  </si>
  <si>
    <t>B BEB DE YOG DESLAC FNSSE ALPINA</t>
  </si>
  <si>
    <t>201411</t>
  </si>
  <si>
    <t>PUNTAS DE MASA FUNDIDO</t>
  </si>
  <si>
    <t>201421</t>
  </si>
  <si>
    <t>CEREAL HOJUELAS AZUCARADAS RECUPERADO</t>
  </si>
  <si>
    <t>202325</t>
  </si>
  <si>
    <t>BASE QUESO CREMA ECU</t>
  </si>
  <si>
    <t>202326</t>
  </si>
  <si>
    <t>MIX BASE QUESO CREMA ECU</t>
  </si>
  <si>
    <t>201359</t>
  </si>
  <si>
    <t>SOBREC CON CHOC HERSHEYS 25G</t>
  </si>
  <si>
    <t>201369</t>
  </si>
  <si>
    <t>MIX B POSTRE GELIFICADO KIOSKO</t>
  </si>
  <si>
    <t>201560</t>
  </si>
  <si>
    <t>BOT ETIQ KUMIS ORIG 180G</t>
  </si>
  <si>
    <t>201696</t>
  </si>
  <si>
    <t>SOBREC MASHMELO DE COLORES 20G</t>
  </si>
  <si>
    <t>201188</t>
  </si>
  <si>
    <t>MIX B PREFUNDIDO KIOSKO</t>
  </si>
  <si>
    <t>201189</t>
  </si>
  <si>
    <t>MIX B FUNDIDO QUESO CHED KIOSKO</t>
  </si>
  <si>
    <t>201190</t>
  </si>
  <si>
    <t>MIX 1 B CUAJADA Q CRIOL KIOSKO</t>
  </si>
  <si>
    <t>201325</t>
  </si>
  <si>
    <t>MIX CUL B CUAJADA Q CRIOL KIOSKO</t>
  </si>
  <si>
    <t>202044</t>
  </si>
  <si>
    <t>MIX SAB YOG BEB KIOSKO NARANJILLA</t>
  </si>
  <si>
    <t>201374</t>
  </si>
  <si>
    <t>MIX B CUAJADA SANDU KIOSKO</t>
  </si>
  <si>
    <t>201375</t>
  </si>
  <si>
    <t>MIX CUL B CUAJADA Q SAND KIOSKO</t>
  </si>
  <si>
    <t>201380</t>
  </si>
  <si>
    <t>GELATINA PARA ENSAMB CZA 170G KIOSKO</t>
  </si>
  <si>
    <t>201407</t>
  </si>
  <si>
    <t>CUAJADA Q MOZAR LONJ AL PESO KIOSKO</t>
  </si>
  <si>
    <t>201678</t>
  </si>
  <si>
    <t>BASE SABORIZADA BON YURT FRUTILLA ECU</t>
  </si>
  <si>
    <t>202043</t>
  </si>
  <si>
    <t>B SAB YOG BEB KIOSKO NARANJILLA</t>
  </si>
  <si>
    <t>200188</t>
  </si>
  <si>
    <t>BOT ETIQ BEB YOG KIOSKO FTLLA 1700G MAQ</t>
  </si>
  <si>
    <t>200380</t>
  </si>
  <si>
    <t>B CREM DE LCH NAT KIOSKO</t>
  </si>
  <si>
    <t>201211</t>
  </si>
  <si>
    <t>CUAJADA Q CHED KIOSKO 350G</t>
  </si>
  <si>
    <t>201206</t>
  </si>
  <si>
    <t>B CUAJADA Q CREMO DEL CAMPO KIOSKO</t>
  </si>
  <si>
    <t>201440</t>
  </si>
  <si>
    <t>SUERO DE LECHE PAST EL KIOSKO</t>
  </si>
  <si>
    <t>201449</t>
  </si>
  <si>
    <t>GAR ETIQ AREQUIPE 4.6KG</t>
  </si>
  <si>
    <t>200775</t>
  </si>
  <si>
    <t>MIX B LAC BY</t>
  </si>
  <si>
    <t>200777</t>
  </si>
  <si>
    <t>MIX B LAC YOG KIOSKO NAT</t>
  </si>
  <si>
    <t>200778</t>
  </si>
  <si>
    <t>MIX CUL B LAC RGN</t>
  </si>
  <si>
    <t>200779</t>
  </si>
  <si>
    <t>MIX B LAC RGN LGHT</t>
  </si>
  <si>
    <t>200221</t>
  </si>
  <si>
    <t>BOT ETIQ YOG DUO KIOSKO PINA COCO 950G M</t>
  </si>
  <si>
    <t>201197</t>
  </si>
  <si>
    <t>B CUAJADA Q MOZAR LGHT KIOSKO</t>
  </si>
  <si>
    <t>200223</t>
  </si>
  <si>
    <t>B SAB BEB YOG DUO BBLE KIOSKO PINA COCO</t>
  </si>
  <si>
    <t>200224</t>
  </si>
  <si>
    <t>B SAB BEB YOG DUO BBLE KIOSKO GUANA MOR</t>
  </si>
  <si>
    <t>201158</t>
  </si>
  <si>
    <t>MIX B CUAJADA Q HIERBAS SEMIMAD KIOSKO</t>
  </si>
  <si>
    <t>5514</t>
  </si>
  <si>
    <t>Q HOLAN KIOSKO BLOQ 450G</t>
  </si>
  <si>
    <t>QUESO HOLANDES KIOSKO BLOQUE</t>
  </si>
  <si>
    <t xml:space="preserve">Q.HOLANDES 450G     </t>
  </si>
  <si>
    <t>16078</t>
  </si>
  <si>
    <t>PACK Q SAND KIOSKO BLOQ 146G JAM</t>
  </si>
  <si>
    <t xml:space="preserve">Q SAND + JAMÓN 143G </t>
  </si>
  <si>
    <t>2024.09</t>
  </si>
  <si>
    <t>Q MOZAR  KIOSKO RALL LIGHT 300G</t>
  </si>
  <si>
    <t>QUESO MOZARELLA LIGHT KIOSKO RALL</t>
  </si>
  <si>
    <t>2024.10</t>
  </si>
  <si>
    <t>Q MOZAR KIOSKO AHUMADO 50G</t>
  </si>
  <si>
    <t>5765</t>
  </si>
  <si>
    <t>Q JAVIER KIOSKO 20 LONJ 300G</t>
  </si>
  <si>
    <t xml:space="preserve">Q.JAVIER LON 200G   </t>
  </si>
  <si>
    <t>4923</t>
  </si>
  <si>
    <t>RGN TZOS MOR VASO 150 G</t>
  </si>
  <si>
    <t>Regeneris Trozos</t>
  </si>
  <si>
    <t xml:space="preserve">RGN TZOS MORA 150G  </t>
  </si>
  <si>
    <t>16681</t>
  </si>
  <si>
    <t>RGN BBLE MORA 180</t>
  </si>
  <si>
    <t>RGN BBLE CIRUEL 180G</t>
  </si>
  <si>
    <t>600702</t>
  </si>
  <si>
    <t>ETIQUETA BLOQUE LONJAS PIZZA KIOSKO</t>
  </si>
  <si>
    <t>602513</t>
  </si>
  <si>
    <t>ETIQ. MOZARELLA KIOSKO 200 GR. PROMO</t>
  </si>
  <si>
    <t>602514</t>
  </si>
  <si>
    <t>ETIQ. MOZARELLA KIOSKO 350 GR. PROMO</t>
  </si>
  <si>
    <t>603150</t>
  </si>
  <si>
    <t>SEPARADOR MOZARELLA LARGO TRASVERSAL</t>
  </si>
  <si>
    <t>603167</t>
  </si>
  <si>
    <t>BOT SIN ETIQUETA 120 GR</t>
  </si>
  <si>
    <t>600965</t>
  </si>
  <si>
    <t>ETIQ. YOGURT KIOSKO DURAZNO 120 MINI</t>
  </si>
  <si>
    <t>600966</t>
  </si>
  <si>
    <t>ETIQ. YOGURT KIOSKO MORA 120 MINI</t>
  </si>
  <si>
    <t>600968</t>
  </si>
  <si>
    <t>ETIQ. YOG NATURAL CON DULCE 950 KIOSKO</t>
  </si>
  <si>
    <t>300318</t>
  </si>
  <si>
    <t>HIERRO AMINOQUELATO 2 100 TF</t>
  </si>
  <si>
    <t>300319</t>
  </si>
  <si>
    <t>COLOR ANNATO GROW POLVO  35240</t>
  </si>
  <si>
    <t>300324</t>
  </si>
  <si>
    <t>COLOR MONTECARMIN 24432</t>
  </si>
  <si>
    <t>300326</t>
  </si>
  <si>
    <t>CULTIVO CUAJO LIQUIDO KIOSKO</t>
  </si>
  <si>
    <t>300334</t>
  </si>
  <si>
    <t>MOUTHFEEL 538817 TP FIRMENICH</t>
  </si>
  <si>
    <t>300493</t>
  </si>
  <si>
    <t>ACEITE</t>
  </si>
  <si>
    <t xml:space="preserve">INDUSTRIAL DANEC                                                                </t>
  </si>
  <si>
    <t>301311</t>
  </si>
  <si>
    <t>COLORANTE AMARILLO N5</t>
  </si>
  <si>
    <t>301312</t>
  </si>
  <si>
    <t>SOBRO FRUTOS TROPICALES 9395B</t>
  </si>
  <si>
    <t>301373</t>
  </si>
  <si>
    <t>QUESO MADURO REBANADO DE 150 GR</t>
  </si>
  <si>
    <t>5769</t>
  </si>
  <si>
    <t>Q MIX ESPECIAL KIOSKO CUBO BOL 350G</t>
  </si>
  <si>
    <t>QUESO SEMIMADURO KIOSKO MIX CUBOS</t>
  </si>
  <si>
    <t xml:space="preserve">Q.MIX CUBOS 350G    </t>
  </si>
  <si>
    <t>17037</t>
  </si>
  <si>
    <t>YOG FINESSE NATURAL 950G</t>
  </si>
  <si>
    <t xml:space="preserve">YF DURAZNO 950G     </t>
  </si>
  <si>
    <t>201450</t>
  </si>
  <si>
    <t>GAR ETIQ CREM LCH AGRIA KIOSKO GAR 3.5KG</t>
  </si>
  <si>
    <t>201451</t>
  </si>
  <si>
    <t>GAR ETIQ CREM LCH NAT KIOSKO GAR 3.5KG</t>
  </si>
  <si>
    <t>201456</t>
  </si>
  <si>
    <t>SOBREC GELA KIOSKO PREM</t>
  </si>
  <si>
    <t>201460</t>
  </si>
  <si>
    <t>AGUA CALIENTE  A 60 GRADOS CENTIGRADOS</t>
  </si>
  <si>
    <t>200408</t>
  </si>
  <si>
    <t>Q PARME MADUR 5KG</t>
  </si>
  <si>
    <t>201398</t>
  </si>
  <si>
    <t>PUNTAS DE QUESO SEMIMADURO HOLANDES</t>
  </si>
  <si>
    <t>200799</t>
  </si>
  <si>
    <t>BOT ETIQ RGN BBLE FTLLA 1000G MAQ</t>
  </si>
  <si>
    <t>200800</t>
  </si>
  <si>
    <t>MIX B SAB BBLE KIOSKO PINA COCO</t>
  </si>
  <si>
    <t>200801</t>
  </si>
  <si>
    <t>MIX B SAB BBLE KIOSKO GUANA MOR</t>
  </si>
  <si>
    <t>200808</t>
  </si>
  <si>
    <t>SOBREC CHOCGOZ 30G</t>
  </si>
  <si>
    <t>200810</t>
  </si>
  <si>
    <t>BOT ETIQ YOG FNSSE TZOS ALOE 1670G MAQ</t>
  </si>
  <si>
    <t>200811</t>
  </si>
  <si>
    <t>BOT ETIQ YOG FNSSE FRTROJ 1670G MAQ</t>
  </si>
  <si>
    <t>200812</t>
  </si>
  <si>
    <t>BOT ETIQ RGN DESLAC CER GDLLA 1750G MAQ</t>
  </si>
  <si>
    <t>200381</t>
  </si>
  <si>
    <t>B MQUILLA NAT KIOSKO</t>
  </si>
  <si>
    <t>200490</t>
  </si>
  <si>
    <t>B LCH HIDROL AREQUIPE</t>
  </si>
  <si>
    <t>11518</t>
  </si>
  <si>
    <t>YOG GRIEG FNSSE NAT VASO 150G</t>
  </si>
  <si>
    <t>YOGURT GRIEGO FINESSE</t>
  </si>
  <si>
    <t>Finesse</t>
  </si>
  <si>
    <t>11958</t>
  </si>
  <si>
    <t>Q MOZAR FNSSE SNACK 35G</t>
  </si>
  <si>
    <t>QUESO FINESSE</t>
  </si>
  <si>
    <t>QUESO SNACK FINESSE</t>
  </si>
  <si>
    <t xml:space="preserve">Q.MOZZ FNESS 35GR   </t>
  </si>
  <si>
    <t>11959</t>
  </si>
  <si>
    <t>MPX5 Q MOZAR FNSSE SNACK 35G</t>
  </si>
  <si>
    <t>15786</t>
  </si>
  <si>
    <t>PACK NAVI GOUDA350G MOZZ500G GRT TABLA</t>
  </si>
  <si>
    <t xml:space="preserve">PACK NAV GOU-MOZZ   </t>
  </si>
  <si>
    <t>15787</t>
  </si>
  <si>
    <t>PACK NAVI SAN75G MOZ200G PAR40G GRT TABL</t>
  </si>
  <si>
    <t xml:space="preserve">PACK NAV SAN-MOZZ   </t>
  </si>
  <si>
    <t>12122</t>
  </si>
  <si>
    <t>BY MINI CRUNFRE VASO 114G</t>
  </si>
  <si>
    <t xml:space="preserve">BY MINI CRUFRE 114G </t>
  </si>
  <si>
    <t>845622</t>
  </si>
  <si>
    <t>PRV 8+1 FUNDA 900 GR MORA KIOSKO</t>
  </si>
  <si>
    <t>601443</t>
  </si>
  <si>
    <t>ETIQ QUESO MADURO CHEDDAR 350 GR</t>
  </si>
  <si>
    <t>601444</t>
  </si>
  <si>
    <t>ETIQ QUESO MADURO CHEDDAR 350 CN</t>
  </si>
  <si>
    <t>602668</t>
  </si>
  <si>
    <t>ETIQUETA MOZARELLA LIGHT 500 GR  C N</t>
  </si>
  <si>
    <t>602103</t>
  </si>
  <si>
    <t>BOT ETIQ YOG KUMIS 1000 G</t>
  </si>
  <si>
    <t>602161</t>
  </si>
  <si>
    <t>CAJA YOGURT FINESSE 180 GR. X 12</t>
  </si>
  <si>
    <t>604844</t>
  </si>
  <si>
    <t>PRECINTO TRANSPARENTE</t>
  </si>
  <si>
    <t>600692</t>
  </si>
  <si>
    <t>ETIQ JAVIERINO 320 KIOSKO</t>
  </si>
  <si>
    <t>602624</t>
  </si>
  <si>
    <t>BOTELLA ETIQ. FINESSE ACAI 180 GR</t>
  </si>
  <si>
    <t>300328</t>
  </si>
  <si>
    <t>PEREJIL  KIOSKO</t>
  </si>
  <si>
    <t>301306</t>
  </si>
  <si>
    <t>GRANOVIT NP2 VITAMINAS Y MINERALES</t>
  </si>
  <si>
    <t>301307</t>
  </si>
  <si>
    <t>ESTABILIZANTE TECGEM AA 288 T17/038</t>
  </si>
  <si>
    <t>302131</t>
  </si>
  <si>
    <t xml:space="preserve">NESTLE                                                                          </t>
  </si>
  <si>
    <t>300314</t>
  </si>
  <si>
    <t>ESENCIA DE DURAZNO KIOSKO</t>
  </si>
  <si>
    <t>300163</t>
  </si>
  <si>
    <t>MERMELADA DE FRE REFORMULADA 50 % FRUTA</t>
  </si>
  <si>
    <t>300164</t>
  </si>
  <si>
    <t>MERMELADA DE MORA REFORMULADA 50 % FRUTA</t>
  </si>
  <si>
    <t>300185</t>
  </si>
  <si>
    <t>SUCRALOSA MIX 1</t>
  </si>
  <si>
    <t>301027</t>
  </si>
  <si>
    <t>SAPHERA 2600L</t>
  </si>
  <si>
    <t>200506</t>
  </si>
  <si>
    <t>5511</t>
  </si>
  <si>
    <t>Q PARME KIOSKO RALL BOL 100G</t>
  </si>
  <si>
    <t xml:space="preserve">Q.PARMESA RALL 100G </t>
  </si>
  <si>
    <t>16231</t>
  </si>
  <si>
    <t>Q CHEDDAR KIOSKO LONJ 400G</t>
  </si>
  <si>
    <t xml:space="preserve">Q.CHDDAR LON 400G   </t>
  </si>
  <si>
    <t>13646</t>
  </si>
  <si>
    <t>RISTRA FUNDAS DE ALMOH DE AREQ 25GR X 12</t>
  </si>
  <si>
    <t xml:space="preserve">RISTRAS ALMOH AREQ  </t>
  </si>
  <si>
    <t>12038</t>
  </si>
  <si>
    <t>MPX4 Q ESPAR CHED KIOSKO VASO 45G</t>
  </si>
  <si>
    <t xml:space="preserve">4P Q.ESPAR CHED 45G </t>
  </si>
  <si>
    <t>200780</t>
  </si>
  <si>
    <t>201397</t>
  </si>
  <si>
    <t>CUAJADA QUESO AMASADO 450 GR KIOSKO</t>
  </si>
  <si>
    <t>8654</t>
  </si>
  <si>
    <t>BONYURT FRUTILLA ZUCARITAS</t>
  </si>
  <si>
    <t xml:space="preserve">BY FTLLA ZUCARITAS  </t>
  </si>
  <si>
    <t>16508</t>
  </si>
  <si>
    <t>PACK MOZZ 500G GRATIS JAMON LINEA DIARIA</t>
  </si>
  <si>
    <t>15801</t>
  </si>
  <si>
    <t>GRIEGO FRUT ROJ 150G</t>
  </si>
  <si>
    <t xml:space="preserve">YG FRUT-ROJOS 150G  </t>
  </si>
  <si>
    <t>5779</t>
  </si>
  <si>
    <t>Q SANDU KIOSKO LONJ AL PESO</t>
  </si>
  <si>
    <t xml:space="preserve">Q.SAND LON PESO     </t>
  </si>
  <si>
    <t>14963</t>
  </si>
  <si>
    <t>CANASTA NAVIDAD AREQ 250G + Q MOZZ 350G</t>
  </si>
  <si>
    <t xml:space="preserve">CANST NAV ARE-MOZZ  </t>
  </si>
  <si>
    <t>2024.14</t>
  </si>
  <si>
    <t>Q ESPECIAL KIOSKO CUBO AHUMADO BOL 150G</t>
  </si>
  <si>
    <t xml:space="preserve">Q.MIX CUBOS 150G    </t>
  </si>
  <si>
    <t>845623</t>
  </si>
  <si>
    <t>PRV 8+1 FUNDA 900 GR PINA KIOSKO</t>
  </si>
  <si>
    <t>2024.11</t>
  </si>
  <si>
    <t>Q JAV KIOSKO 50G</t>
  </si>
  <si>
    <t>201151</t>
  </si>
  <si>
    <t>HIGN Y DESNF KIOSKO FAB QUE DE SUERO</t>
  </si>
  <si>
    <t>202841</t>
  </si>
  <si>
    <t>CUJ Q MOZAR PIZZA HIERBAS KIOSKO BQ 3KG</t>
  </si>
  <si>
    <t>203052</t>
  </si>
  <si>
    <t>CUAJADA Q GOUDA KIOSKO 400G</t>
  </si>
  <si>
    <t>200389</t>
  </si>
  <si>
    <t>CUAJADA Q MOZAR KIOSKO 200G</t>
  </si>
  <si>
    <t>200409</t>
  </si>
  <si>
    <t>MASA FUNDIDO TIPO AMERIC KIOSKO</t>
  </si>
  <si>
    <t>200410</t>
  </si>
  <si>
    <t>CUAJADA Q HIERBAS KIOSKO BLOQ</t>
  </si>
  <si>
    <t>200411</t>
  </si>
  <si>
    <t>CUAJADA Q HOLAN SEMIMAD KIOSKO BLOQ</t>
  </si>
  <si>
    <t>201187</t>
  </si>
  <si>
    <t>MIX B FUNDIDO Q MOZAR KIOSKO</t>
  </si>
  <si>
    <t>11191</t>
  </si>
  <si>
    <t>MPLX8 YOG BBLE KIOSKO MULTSAB BOT 180G</t>
  </si>
  <si>
    <t xml:space="preserve">8P YK BBLE 180G     </t>
  </si>
  <si>
    <t>5726</t>
  </si>
  <si>
    <t>Q FRES CRIOL KIOSKO AL PESO</t>
  </si>
  <si>
    <t>Henkovac</t>
  </si>
  <si>
    <t>Q.FRECO CRIOLLO PESO</t>
  </si>
  <si>
    <t>843769</t>
  </si>
  <si>
    <t>PRV 6+1 AVEN ALP NATURAL  VASO 250G</t>
  </si>
  <si>
    <t>Avenaalpina</t>
  </si>
  <si>
    <t>PRV6+1 AVE NAT 250GR</t>
  </si>
  <si>
    <t>14962</t>
  </si>
  <si>
    <t>CANASTA NAVIDAD AREQ 250G + Q MOZZ 200G</t>
  </si>
  <si>
    <t>5760</t>
  </si>
  <si>
    <t>Q HOLAN KIOSKO 10 LONJ 150G</t>
  </si>
  <si>
    <t xml:space="preserve">Q.HOLANDES LON 150G </t>
  </si>
  <si>
    <t>15873</t>
  </si>
  <si>
    <t>PACK FNSSE ACAI 950G GRT GRANOLA NH</t>
  </si>
  <si>
    <t>16526</t>
  </si>
  <si>
    <t>PR FINESSE FR 900+GRANOLA</t>
  </si>
  <si>
    <t>16585</t>
  </si>
  <si>
    <t>PR FINESSE VN 900 +GRANOLA</t>
  </si>
  <si>
    <t>10622</t>
  </si>
  <si>
    <t>AREQUIPE VASO 50G + Q MOZAR SNACK 50G</t>
  </si>
  <si>
    <t>4248</t>
  </si>
  <si>
    <t>RGN TZOS DZNO BOT 1750G</t>
  </si>
  <si>
    <t>REGENERIS REGULAR BOTELLA FAMILIAR</t>
  </si>
  <si>
    <t xml:space="preserve">YK TZOS DZNO 1750G  </t>
  </si>
  <si>
    <t>16680</t>
  </si>
  <si>
    <t>RGN BBLE MORA 1000</t>
  </si>
  <si>
    <t xml:space="preserve">RGN BBLE CIR 1000G  </t>
  </si>
  <si>
    <t>8414</t>
  </si>
  <si>
    <t>AREQUIPE VASO 50G ECU</t>
  </si>
  <si>
    <t xml:space="preserve">AREQUIPE 50G        </t>
  </si>
  <si>
    <t>4865</t>
  </si>
  <si>
    <t>KUMIS ORIG BOT 1750G</t>
  </si>
  <si>
    <t xml:space="preserve">KUMIS 1750 G        </t>
  </si>
  <si>
    <t>13440</t>
  </si>
  <si>
    <t>MPL AVENA FNSSE VASO 250G + GTA</t>
  </si>
  <si>
    <t xml:space="preserve">4P AVE FNSS 250GR   </t>
  </si>
  <si>
    <t>843475</t>
  </si>
  <si>
    <t>PRV 6+1 BY FROOT LOOPS VASO 154GR</t>
  </si>
  <si>
    <t>201412</t>
  </si>
  <si>
    <t>CUAJADA SANDUCHE KIOSKO</t>
  </si>
  <si>
    <t>201441</t>
  </si>
  <si>
    <t>CUAJADA Q HOL LONJ AL PESO KIOSKO</t>
  </si>
  <si>
    <t>202097</t>
  </si>
  <si>
    <t>B CUAJADA Q MOZAR KIOSKO DESLAC KG</t>
  </si>
  <si>
    <t>202098</t>
  </si>
  <si>
    <t>CUAJADA Q MOZAR KIOSKO DESLAC 500 G</t>
  </si>
  <si>
    <t>201161</t>
  </si>
  <si>
    <t>MIX B DUL LCH KIOSKO</t>
  </si>
  <si>
    <t>201162</t>
  </si>
  <si>
    <t>MIX CUL B CUAJADA Q CREMO DEL CAMPO</t>
  </si>
  <si>
    <t>200693</t>
  </si>
  <si>
    <t>HIGN Y DESNF EMP LINEA EMPAK</t>
  </si>
  <si>
    <t>200694</t>
  </si>
  <si>
    <t>HIGN Y DESNF EMP BOTELLA</t>
  </si>
  <si>
    <t>200770</t>
  </si>
  <si>
    <t>LCH TERM SEMID ESTAND 1.55 2.0 % MG EC</t>
  </si>
  <si>
    <t>200201</t>
  </si>
  <si>
    <t>BOT ETIQ TZOS KIOSKO FTLLA 1700G MAQ</t>
  </si>
  <si>
    <t>200202</t>
  </si>
  <si>
    <t>BOT ETIQ TZOS KIOSKO DZNO 1700G MAQ</t>
  </si>
  <si>
    <t>200203</t>
  </si>
  <si>
    <t>BOT ETIQ TZOS KIOSKO MOR 1700G MAQ</t>
  </si>
  <si>
    <t>201209</t>
  </si>
  <si>
    <t>B PREFUNDIDO KIOSKO</t>
  </si>
  <si>
    <t>201410</t>
  </si>
  <si>
    <t>MASA AMERICANO LONJ AL PESO KIOSKO</t>
  </si>
  <si>
    <t>201439</t>
  </si>
  <si>
    <t>B MQUILLA CON SAL KIOSKO</t>
  </si>
  <si>
    <t>200798</t>
  </si>
  <si>
    <t>BOT ETIQ RGN MOR 1750G MAQ</t>
  </si>
  <si>
    <t>200215</t>
  </si>
  <si>
    <t>BOT ETIQ RGN BBLE DZNO 1000G MAQ</t>
  </si>
  <si>
    <t>200216</t>
  </si>
  <si>
    <t>BOT ETIQ RGN BBLE DZNO 1750G MAQ</t>
  </si>
  <si>
    <t>300447</t>
  </si>
  <si>
    <t>SOBRE CHOOZIT RA 73 LYO 125 DCU</t>
  </si>
  <si>
    <t>301374</t>
  </si>
  <si>
    <t>QUESO MADURO CUNA</t>
  </si>
  <si>
    <t>301398</t>
  </si>
  <si>
    <t>CUAJO CHYMOSTAR</t>
  </si>
  <si>
    <t>301404</t>
  </si>
  <si>
    <t>HOLANDES RUEDA 400 GR</t>
  </si>
  <si>
    <t>301405</t>
  </si>
  <si>
    <t>HOLANDES RUEDA 400 GR CN</t>
  </si>
  <si>
    <t>301406</t>
  </si>
  <si>
    <t>CHEDDAR RUEDA 400 GR</t>
  </si>
  <si>
    <t>300316</t>
  </si>
  <si>
    <t>ESTABILIZANTE GRINSTED WT CALAT KIOSKO</t>
  </si>
  <si>
    <t xml:space="preserve">AROMCOLOR                                                                       </t>
  </si>
  <si>
    <t>300317</t>
  </si>
  <si>
    <t>ESTABILIZANTE CREMA OBSIEMUL CTB</t>
  </si>
  <si>
    <t xml:space="preserve">OBSIDIAN                                                                        </t>
  </si>
  <si>
    <t>300744</t>
  </si>
  <si>
    <t>SOBRE CULTIVO YF L811 50 U</t>
  </si>
  <si>
    <t>301157</t>
  </si>
  <si>
    <t>CUAJO SUPREME   </t>
  </si>
  <si>
    <t>300115</t>
  </si>
  <si>
    <t>SABOR PITAHAYA DISAROMAS 4273 CP</t>
  </si>
  <si>
    <t xml:space="preserve">DISAROMAS COLOMBIA                                                              </t>
  </si>
  <si>
    <t>300501</t>
  </si>
  <si>
    <t>SOBRE CULTIVO YF L812 50 U</t>
  </si>
  <si>
    <t>300502</t>
  </si>
  <si>
    <t>CARRAGENINA CARRAGEL PWJ 3153</t>
  </si>
  <si>
    <t>300648</t>
  </si>
  <si>
    <t>SABOR CEREZA SC687777</t>
  </si>
  <si>
    <t>300649</t>
  </si>
  <si>
    <t>COLORANTE AZUL UVA 2007</t>
  </si>
  <si>
    <t>300652</t>
  </si>
  <si>
    <t>HERSHEYS SEMISWEET CHIPS 25 LB</t>
  </si>
  <si>
    <t>300653</t>
  </si>
  <si>
    <t>SABOR FRESA 40.050 B</t>
  </si>
  <si>
    <t>300654</t>
  </si>
  <si>
    <t>SABOR UVA CONCORD 40.209 B</t>
  </si>
  <si>
    <t>600970</t>
  </si>
  <si>
    <t>ETIQ. YOG NATURAL CON DULCE 1700 KIOSKO</t>
  </si>
  <si>
    <t>600972</t>
  </si>
  <si>
    <t>ETIQ. TROZOS DURAZNO 950 KIOSKO</t>
  </si>
  <si>
    <t>600973</t>
  </si>
  <si>
    <t>ETIQ. TROZOS FRUTILLA 950 KIOSKO</t>
  </si>
  <si>
    <t>600974</t>
  </si>
  <si>
    <t>ETIQ. TROZOS MORA 950 KIOSKO</t>
  </si>
  <si>
    <t>600976</t>
  </si>
  <si>
    <t>ETIQ. TROZOS FRUTILLA 1700 KIOSKO</t>
  </si>
  <si>
    <t>600698</t>
  </si>
  <si>
    <t>FUNDA DESPACHO 9.5 X 17.5 K</t>
  </si>
  <si>
    <t>600699</t>
  </si>
  <si>
    <t>ETIQUETA BLOQUE LONJAS SANDUCHE KIOSKO</t>
  </si>
  <si>
    <t>601234</t>
  </si>
  <si>
    <t>LAMINADO BASE 420175 KIOSKO</t>
  </si>
  <si>
    <t>600435</t>
  </si>
  <si>
    <t>FUNDA SIXPACK YOGURTH E</t>
  </si>
  <si>
    <t>601402</t>
  </si>
  <si>
    <t>FUNDA QUESO PARMESANO RUEDA 4.8 KG</t>
  </si>
  <si>
    <t>601406</t>
  </si>
  <si>
    <t>ETIQUETA QUESO PROVOLONE LONJAS 150 GR</t>
  </si>
  <si>
    <t>601407</t>
  </si>
  <si>
    <t>TAPA SNAP ON LILA FNSSE 180 GR 38 MM E</t>
  </si>
  <si>
    <t>601408</t>
  </si>
  <si>
    <t>ETIQUETA QUESO MOZARELLA FINESSE 400 GR</t>
  </si>
  <si>
    <t>601412</t>
  </si>
  <si>
    <t>ETIQUETA RICOTTA 450 CON SAL KIOSKO</t>
  </si>
  <si>
    <t>563309</t>
  </si>
  <si>
    <t>ELEMENTO TOPPER KUNFU PANDA</t>
  </si>
  <si>
    <t>562279</t>
  </si>
  <si>
    <t>ELEMENTO PREMIO DANGLERS</t>
  </si>
  <si>
    <t>12533</t>
  </si>
  <si>
    <t>RGN CER TAMAR BOT 180G</t>
  </si>
  <si>
    <t xml:space="preserve">YR CER TAM 180GR    </t>
  </si>
  <si>
    <t>12416</t>
  </si>
  <si>
    <t>Q AMASADO KIOSKO BLOQ 450G</t>
  </si>
  <si>
    <t>QUESO AMASADO KIOSKO BLOQUE</t>
  </si>
  <si>
    <t xml:space="preserve">Q.AMASADO 450G      </t>
  </si>
  <si>
    <t>16861</t>
  </si>
  <si>
    <t>QUESO RICOTTA UNTABLE KIOSKO 400G</t>
  </si>
  <si>
    <t>QUESO ESPARCIBLE</t>
  </si>
  <si>
    <t>QUESO RICOTTA KIOSKO UNTABLE</t>
  </si>
  <si>
    <t>16867</t>
  </si>
  <si>
    <t>PACK FUNDAS + CEREAL</t>
  </si>
  <si>
    <t>16868</t>
  </si>
  <si>
    <t>PACK FUNDAS+KIT ESCOLAR</t>
  </si>
  <si>
    <t>16904</t>
  </si>
  <si>
    <t>MPLX4 BY TANGO VASO 162 GR</t>
  </si>
  <si>
    <t>16910</t>
  </si>
  <si>
    <t>CANASTA NAVIDENA CARRITO DE COMPRAS</t>
  </si>
  <si>
    <t xml:space="preserve">PR03      </t>
  </si>
  <si>
    <t>17115</t>
  </si>
  <si>
    <t>BY MINI CRUNFRE VASO 90G</t>
  </si>
  <si>
    <t>5208</t>
  </si>
  <si>
    <t>Q HOLAN KIOSKO PRIMAX</t>
  </si>
  <si>
    <t xml:space="preserve">Q.HOLANDES PRIMAX   </t>
  </si>
  <si>
    <t>10830</t>
  </si>
  <si>
    <t>YOG BBLE KIOSKO DZNO BOT 3.5KG</t>
  </si>
  <si>
    <t>BEBIDA DE YOGURT KIOSKO GALONERA</t>
  </si>
  <si>
    <t>Llenadora de Botellas</t>
  </si>
  <si>
    <t xml:space="preserve">YK BBLE DZNO 3.5G   </t>
  </si>
  <si>
    <t>12036</t>
  </si>
  <si>
    <t>Q CHED KIOSKO 10 LONJ 200G</t>
  </si>
  <si>
    <t xml:space="preserve">Q.CHED LON 200G     </t>
  </si>
  <si>
    <t>10986</t>
  </si>
  <si>
    <t>YOG BBLE KID KK DZNO BOT 120G</t>
  </si>
  <si>
    <t xml:space="preserve">YK BBLE K DZNO 120G </t>
  </si>
  <si>
    <t>12200</t>
  </si>
  <si>
    <t>DULCE LCH KIOSKO 4.6G</t>
  </si>
  <si>
    <t>DULCE LECHE KIOSCO</t>
  </si>
  <si>
    <t>DULCE DE LECHE KIOSCO INSTITUCIONAL</t>
  </si>
  <si>
    <t>14718</t>
  </si>
  <si>
    <t>MANTEQUILLA CON SAL KIOSKO 125G</t>
  </si>
  <si>
    <t xml:space="preserve">MQUILLA SAL 125G    </t>
  </si>
  <si>
    <t>15674</t>
  </si>
  <si>
    <t>RGN BBLE CIRUELA 1000</t>
  </si>
  <si>
    <t>200772</t>
  </si>
  <si>
    <t>MIX B LAC YOG KIOSKO TZOS</t>
  </si>
  <si>
    <t>200586</t>
  </si>
  <si>
    <t>MIX B SAB BEB YOG BBLE KIOSKO DZNO</t>
  </si>
  <si>
    <t>200587</t>
  </si>
  <si>
    <t>MIX B SAB BEB YOG BBLE KIOSKO MOR</t>
  </si>
  <si>
    <t>200618</t>
  </si>
  <si>
    <t>MIX CUL B LAC YOG KIOSKO NAT</t>
  </si>
  <si>
    <t>201183</t>
  </si>
  <si>
    <t>MIX B CUAJADA Q PARME ECU</t>
  </si>
  <si>
    <t>201185</t>
  </si>
  <si>
    <t>MIX B CUAJADA Q MOZAR PIZZ KIOSKO</t>
  </si>
  <si>
    <t>200790</t>
  </si>
  <si>
    <t>MIX B LAC YOG RGN</t>
  </si>
  <si>
    <t>200792</t>
  </si>
  <si>
    <t>MIX B SAB RGN FTLLA</t>
  </si>
  <si>
    <t>200793</t>
  </si>
  <si>
    <t>MIX B SAB RGN DZNO</t>
  </si>
  <si>
    <t>200217</t>
  </si>
  <si>
    <t>BOT ETIQ RGN BBLE FTLLA 1750G MAQ</t>
  </si>
  <si>
    <t>200219</t>
  </si>
  <si>
    <t>BOT ETIQ YOG DUO KIOSKO GUANA MOR 950G</t>
  </si>
  <si>
    <t>200220</t>
  </si>
  <si>
    <t>BOT ETIQ YOG DUO KIOSKO GUANA MOR 180G</t>
  </si>
  <si>
    <t>200783</t>
  </si>
  <si>
    <t>MIX B SAB RGN LGHT FTLLA</t>
  </si>
  <si>
    <t>200807</t>
  </si>
  <si>
    <t>MIX B SAB YOG DESLAC FNSSE TZOS ALOE</t>
  </si>
  <si>
    <t>200825</t>
  </si>
  <si>
    <t>MIX B SAB RGN CER GDLLA</t>
  </si>
  <si>
    <t>201147</t>
  </si>
  <si>
    <t>MIX B CREM DE LCH AGRIA KIOSKO</t>
  </si>
  <si>
    <t>200771</t>
  </si>
  <si>
    <t>LCH ENTE TERMI 3.5%MG A 3.6%MG</t>
  </si>
  <si>
    <t>300898</t>
  </si>
  <si>
    <t>COLORANTE NATURAL GROW COLOR 69345</t>
  </si>
  <si>
    <t>300023</t>
  </si>
  <si>
    <t>LECHE EN POLVO DESCREMADA</t>
  </si>
  <si>
    <t xml:space="preserve">Leche Polvo Descrema          </t>
  </si>
  <si>
    <t xml:space="preserve">DIR_LT05  </t>
  </si>
  <si>
    <t xml:space="preserve">LACTALIS                                                                        </t>
  </si>
  <si>
    <t>300288</t>
  </si>
  <si>
    <t>SALVADO DE AVENA</t>
  </si>
  <si>
    <t>300408</t>
  </si>
  <si>
    <t>CAJA CULTIVO F DVS BB 12 BIF X 500 G</t>
  </si>
  <si>
    <t>300420</t>
  </si>
  <si>
    <t>CULTIVO HOLANDES R 703</t>
  </si>
  <si>
    <t>300445</t>
  </si>
  <si>
    <t>SOBRE CULTIVO HANSEN STI 12 50U</t>
  </si>
  <si>
    <t>301407</t>
  </si>
  <si>
    <t>CHEDDAR RUEDA 400 GR CN</t>
  </si>
  <si>
    <t>301340</t>
  </si>
  <si>
    <t>CULTIVO YOFLEX ACIDIFIX 200 U CU 716878</t>
  </si>
  <si>
    <t>300068</t>
  </si>
  <si>
    <t>ALMIDON PURITY 1000</t>
  </si>
  <si>
    <t>300162</t>
  </si>
  <si>
    <t>MERMELADA DE DZNO REFORMULADA 50 % FRUTA</t>
  </si>
  <si>
    <t>300178</t>
  </si>
  <si>
    <t>CER ARZ CROCANTE CHOCO COMPOUND NG BCL</t>
  </si>
  <si>
    <t>300181</t>
  </si>
  <si>
    <t>CEREAL HOJUELAS CHOCO AZUCARADAS  EC</t>
  </si>
  <si>
    <t>300183</t>
  </si>
  <si>
    <t>ESTABILIZANTE YOGURT  KIOSKO</t>
  </si>
  <si>
    <t>300340</t>
  </si>
  <si>
    <t>SAL FUNDENTE SELF L9</t>
  </si>
  <si>
    <t>300338</t>
  </si>
  <si>
    <t>ANNATO POLVO AFC WS 4600P.FCC 11 LB.</t>
  </si>
  <si>
    <t>300320</t>
  </si>
  <si>
    <t>ESENCIA DE QUESO CHEDDAR KIOSKO</t>
  </si>
  <si>
    <t xml:space="preserve">SAPORITI                                                                        </t>
  </si>
  <si>
    <t>300321</t>
  </si>
  <si>
    <t>FOSFATO TRISODICO KIOSKO</t>
  </si>
  <si>
    <t xml:space="preserve">RESIQUIM                                                                        </t>
  </si>
  <si>
    <t>601235</t>
  </si>
  <si>
    <t>LAMINADO FRESCO 500 KIOSKO</t>
  </si>
  <si>
    <t>605527</t>
  </si>
  <si>
    <t>ETIQ. QUESO MOZARELLA 100 GR</t>
  </si>
  <si>
    <t>605704</t>
  </si>
  <si>
    <t>LAMINA MOZARELLA 550 GR EXTRA CONTENIDO</t>
  </si>
  <si>
    <t>605745</t>
  </si>
  <si>
    <t>LAMINA MOZARELLA HIERBAS 150 GR</t>
  </si>
  <si>
    <t>600990</t>
  </si>
  <si>
    <t>ETIQ YOG FRUTILLA 1750GR REGENERIS ECU</t>
  </si>
  <si>
    <t>600426</t>
  </si>
  <si>
    <t>VASO BONYURT CHOCO KRISPIS</t>
  </si>
  <si>
    <t>600433</t>
  </si>
  <si>
    <t>TAPA PLASTICA 1LT PRESION ROJA  KIOSKO</t>
  </si>
  <si>
    <t>601913</t>
  </si>
  <si>
    <t>TAPA CREMA AGRIA KIOSKO VERDE</t>
  </si>
  <si>
    <t>560019</t>
  </si>
  <si>
    <t>CUCHARA PLEGABLE</t>
  </si>
  <si>
    <t>562191</t>
  </si>
  <si>
    <t>ELEMENTO PREMIO ARMABLE</t>
  </si>
  <si>
    <t>605754</t>
  </si>
  <si>
    <t>TARRINA GRIEGO NATURAL 400G</t>
  </si>
  <si>
    <t>601661</t>
  </si>
  <si>
    <t>POMA GALON</t>
  </si>
  <si>
    <t>600708</t>
  </si>
  <si>
    <t>LAMINADO QUESO MADURO SANDUCHE 150 GR.</t>
  </si>
  <si>
    <t>600709</t>
  </si>
  <si>
    <t>ETIQ. QUESO MADURO SANDUCHE 150 GR. C N</t>
  </si>
  <si>
    <t>604846</t>
  </si>
  <si>
    <t>ETIQ GOUDA LONJ 200 GR</t>
  </si>
  <si>
    <t>604847</t>
  </si>
  <si>
    <t>ETIQ GOUDA LONJ 200 C N</t>
  </si>
  <si>
    <t>604880</t>
  </si>
  <si>
    <t>MIX RALLADO 4 QUESOS 300 GR</t>
  </si>
  <si>
    <t>603075</t>
  </si>
  <si>
    <t>SOBRECOPA PRETZEL 30 GR IMPRESA</t>
  </si>
  <si>
    <t>603097</t>
  </si>
  <si>
    <t>LAMINA FRESCO 200 GR</t>
  </si>
  <si>
    <t>601175</t>
  </si>
  <si>
    <t>FUNDA CRYOVAC 8X18  KIOSKO</t>
  </si>
  <si>
    <t>603147</t>
  </si>
  <si>
    <t>SEPARADOR YOGURT 2 LT KIOSKO LARGUERO</t>
  </si>
  <si>
    <t>604620</t>
  </si>
  <si>
    <t>VASO GRIEGO LIMON 150</t>
  </si>
  <si>
    <t>604621</t>
  </si>
  <si>
    <t>TARRINA GRIEGO LIMON 500</t>
  </si>
  <si>
    <t>604800</t>
  </si>
  <si>
    <t>ETIQ. MOZARELLA HIERBAS 500 GR</t>
  </si>
  <si>
    <t>604879</t>
  </si>
  <si>
    <t>ELEMENTO KIOSKO HEROES</t>
  </si>
  <si>
    <t>605027</t>
  </si>
  <si>
    <t>BOT. ETIQ. YOGURT FINESSE VAINILLA 1650</t>
  </si>
  <si>
    <t>600958</t>
  </si>
  <si>
    <t>ETIQ. KIOSKO YOGURT DURAZNO 1700</t>
  </si>
  <si>
    <t>601051</t>
  </si>
  <si>
    <t>602887</t>
  </si>
  <si>
    <t>PACK AREQUIPE PRETZEL 30 GR</t>
  </si>
  <si>
    <t>603020</t>
  </si>
  <si>
    <t>BOT ETIQ YOGURT NARANJILLA 950G</t>
  </si>
  <si>
    <t>600674</t>
  </si>
  <si>
    <t>ETIQ SELECCION ESPECIAL KIOSKO</t>
  </si>
  <si>
    <t>600681</t>
  </si>
  <si>
    <t>ETIQUETA HOLANDES 450 GR ND</t>
  </si>
  <si>
    <t>600682</t>
  </si>
  <si>
    <t>ETIQ.HOLANDES KIOSKO 450 G</t>
  </si>
  <si>
    <t>600687</t>
  </si>
  <si>
    <t>ETIQ BLOQUE SANDUCHE KIOSKO</t>
  </si>
  <si>
    <t>603105</t>
  </si>
  <si>
    <t>ETIQ C N MOZARELLA DESLACTOSADO</t>
  </si>
  <si>
    <t>603108</t>
  </si>
  <si>
    <t>ETIQ. FRESCO 200 GR</t>
  </si>
  <si>
    <t>600719</t>
  </si>
  <si>
    <t>ETIQ. QUESO MADURO JAVIERINO 300 GR. C N</t>
  </si>
  <si>
    <t>600721</t>
  </si>
  <si>
    <t>ETIQ MADURO MOZARELLA 300 K C N</t>
  </si>
  <si>
    <t>600644</t>
  </si>
  <si>
    <t>ETIQ CREMA AGRIA 3 5 KG  KIOSKO</t>
  </si>
  <si>
    <t>606865</t>
  </si>
  <si>
    <t>STICKERS GRATIS 4X4</t>
  </si>
  <si>
    <t>606866</t>
  </si>
  <si>
    <t>STICKERS OFERTA 1</t>
  </si>
  <si>
    <t>607053</t>
  </si>
  <si>
    <t>FOIL IMPRESION FINESSE 75MM</t>
  </si>
  <si>
    <t>600654</t>
  </si>
  <si>
    <t>VASO ETIQUETEADO AREQUIPE 250GR</t>
  </si>
  <si>
    <t>605440</t>
  </si>
  <si>
    <t>ETIQ. BEB YOG KIOSKO DZNO 950</t>
  </si>
  <si>
    <t>605441</t>
  </si>
  <si>
    <t>ETIQ. YOG KIOSKO NATURAL 950</t>
  </si>
  <si>
    <t>606196</t>
  </si>
  <si>
    <t>LAMINA YOGURT GUANABANA 900GR KIOSKO</t>
  </si>
  <si>
    <t>600696</t>
  </si>
  <si>
    <t>ETIQ GOUDA 350 GR NUEVO CN KIOSKO</t>
  </si>
  <si>
    <t>601912</t>
  </si>
  <si>
    <t>TAPA QUESO CHEDDAR KIOSKO NARANJA</t>
  </si>
  <si>
    <t>601013</t>
  </si>
  <si>
    <t>ETIQ. FINESSE FRUTOS ROJOS 180 GR</t>
  </si>
  <si>
    <t>605031</t>
  </si>
  <si>
    <t>ETIQ HOLANDES + CHEDDAR LONJAS 400G</t>
  </si>
  <si>
    <t>605033</t>
  </si>
  <si>
    <t>ETIQ HOLANDES + CHEDDAR LONJAS 400G C N</t>
  </si>
  <si>
    <t>600960</t>
  </si>
  <si>
    <t>BOTELLA BLANCA 120 KIOSKO PROMO</t>
  </si>
  <si>
    <t>600024</t>
  </si>
  <si>
    <t>ROLLO CINTA PP 48 MM X 50  SIN IMPRESIO</t>
  </si>
  <si>
    <t xml:space="preserve">CIERPRONTI                                                                      </t>
  </si>
  <si>
    <t>600033</t>
  </si>
  <si>
    <t>FOIL SIN IMPRESION UNIDADES</t>
  </si>
  <si>
    <t>600047</t>
  </si>
  <si>
    <t>TAPA TRANSPARENTE AREQP 250 GR  Y 500 GR</t>
  </si>
  <si>
    <t xml:space="preserve">Tapas                         </t>
  </si>
  <si>
    <t xml:space="preserve">ME024     </t>
  </si>
  <si>
    <t>600056</t>
  </si>
  <si>
    <t>ETIQ MANTEQUILLA 1 KILO KIOSKO</t>
  </si>
  <si>
    <t>600057</t>
  </si>
  <si>
    <t>FUNDA PAPEL MANTEQUILLA  KIOSKO</t>
  </si>
  <si>
    <t xml:space="preserve"> NOVAPLASTEC SAS                                                                </t>
  </si>
  <si>
    <t>603380</t>
  </si>
  <si>
    <t>BOT ETIQU YOG KIOSKO MORA 120G</t>
  </si>
  <si>
    <t>603468</t>
  </si>
  <si>
    <t>SOBRECOPA MINI</t>
  </si>
  <si>
    <t>604315</t>
  </si>
  <si>
    <t>CAJA YOGURT GRIEGO 500GR X 8 UNDS</t>
  </si>
  <si>
    <t>604452</t>
  </si>
  <si>
    <t>ETIQUETA BONYURT HOJUELA 950 GR</t>
  </si>
  <si>
    <t>601909</t>
  </si>
  <si>
    <t>LAM KIOSKO PROVLN SBR HUMO 150G</t>
  </si>
  <si>
    <t>605526</t>
  </si>
  <si>
    <t>BOTELLA BLANCA 950G KIOSKO</t>
  </si>
  <si>
    <t>605530</t>
  </si>
  <si>
    <t>ETIQ MOZARELLA STICK 1.4 KG</t>
  </si>
  <si>
    <t>600716</t>
  </si>
  <si>
    <t>LAMINADO QUESO MADURO HOLANDES 300 GR.</t>
  </si>
  <si>
    <t>600458</t>
  </si>
  <si>
    <t>PK BEBIBLE YOG KIOSKO 180 GR. MINI X 8 U</t>
  </si>
  <si>
    <t>600459</t>
  </si>
  <si>
    <t>SIX PACK YOG KIOSKO TROZOS</t>
  </si>
  <si>
    <t>601799</t>
  </si>
  <si>
    <t>CAJA CREMA KIOSKO</t>
  </si>
  <si>
    <t>601841</t>
  </si>
  <si>
    <t>CAJA QUESO SEMIMADURO JAVIERINO 320 X 12</t>
  </si>
  <si>
    <t>601247</t>
  </si>
  <si>
    <t>CAJA QUESO MADURO KIOSKO</t>
  </si>
  <si>
    <t>601249</t>
  </si>
  <si>
    <t>CAJA MOZARELLA LARGO</t>
  </si>
  <si>
    <t>601252</t>
  </si>
  <si>
    <t>CAJA EMBUTIDO</t>
  </si>
  <si>
    <t>601253</t>
  </si>
  <si>
    <t>CAJA YOGURT 1 LT KIOSKO</t>
  </si>
  <si>
    <t>600444</t>
  </si>
  <si>
    <t>LAMINA BEBIBLE FRUTILLA 900 GR KIOSKO</t>
  </si>
  <si>
    <t>604587</t>
  </si>
  <si>
    <t>LAMINA MOZZARELLA LINEA DIARIA 75 GR</t>
  </si>
  <si>
    <t>603558</t>
  </si>
  <si>
    <t>ALPINA  GRIEGO FRESA Y FRAMBUEZA 500</t>
  </si>
  <si>
    <t>5749</t>
  </si>
  <si>
    <t>RQSON KIOSKO BLOQ 500G</t>
  </si>
  <si>
    <t>REQUESON KIOSKO BOLSA</t>
  </si>
  <si>
    <t xml:space="preserve">RQSON 500G          </t>
  </si>
  <si>
    <t>12551</t>
  </si>
  <si>
    <t>MPLX6 YOG DUO KIOSKO MULTSAB VASO 180G</t>
  </si>
  <si>
    <t>13586</t>
  </si>
  <si>
    <t>BEB DE YOG DESLAC FNSSE FTLLA 180G</t>
  </si>
  <si>
    <t>5546</t>
  </si>
  <si>
    <t>Q PARME KIOSKO CUNA AL PESO</t>
  </si>
  <si>
    <t xml:space="preserve">Q.PARMESANO PESO    </t>
  </si>
  <si>
    <t>14032</t>
  </si>
  <si>
    <t>BY HERSHEYS VASO 170G</t>
  </si>
  <si>
    <t xml:space="preserve">BY HEWSHEY 170G     </t>
  </si>
  <si>
    <t>16745</t>
  </si>
  <si>
    <t>SELECCION ESPECIAL KIOSKO 150G</t>
  </si>
  <si>
    <t>16018</t>
  </si>
  <si>
    <t>YOG FNSSE DURAZNO BOT 950G</t>
  </si>
  <si>
    <t>12548</t>
  </si>
  <si>
    <t>YOG FNSSE SBILA BOT 1670G</t>
  </si>
  <si>
    <t xml:space="preserve">YF SBILA 1670G      </t>
  </si>
  <si>
    <t>14561</t>
  </si>
  <si>
    <t>PR GELAT PREM KIO FRE VASO 170G 4+1</t>
  </si>
  <si>
    <t>14562</t>
  </si>
  <si>
    <t>PR AVENA ORIGINAL ALPINA 250G 6+1</t>
  </si>
  <si>
    <t>14228</t>
  </si>
  <si>
    <t>PILOTO CANELA 250 GR A 0.85 CENT</t>
  </si>
  <si>
    <t xml:space="preserve">AVE CANELA 0.85     </t>
  </si>
  <si>
    <t>8653</t>
  </si>
  <si>
    <t>BY CHOCKRI VASO 169G</t>
  </si>
  <si>
    <t xml:space="preserve">BY CHOCKRI 169G     </t>
  </si>
  <si>
    <t>10654</t>
  </si>
  <si>
    <t>YOG BBLE KIOSKO DZNO FUN 900G</t>
  </si>
  <si>
    <t xml:space="preserve">YK BBLE DZNO 900G   </t>
  </si>
  <si>
    <t>17262</t>
  </si>
  <si>
    <t xml:space="preserve">Q.MIX GOURMET 150G  </t>
  </si>
  <si>
    <t>2126</t>
  </si>
  <si>
    <t>CREM LCH FUN 250ML</t>
  </si>
  <si>
    <t>CREMA DE LECHE BOLSA</t>
  </si>
  <si>
    <t>MAQUILA</t>
  </si>
  <si>
    <t xml:space="preserve">CREM FUNDA 250G     </t>
  </si>
  <si>
    <t>3183</t>
  </si>
  <si>
    <t>MPLX6 AVENA ORIG VASO 250G</t>
  </si>
  <si>
    <t>16260</t>
  </si>
  <si>
    <t>GRIEGO LIMON 500G</t>
  </si>
  <si>
    <t xml:space="preserve">YG LIMON 500GR      </t>
  </si>
  <si>
    <t>16506</t>
  </si>
  <si>
    <t>PACK MOZZ 200G GRATIS AREQUIPE 50G</t>
  </si>
  <si>
    <t>8656</t>
  </si>
  <si>
    <t>BY FROOT LOOPS VASO 154 G</t>
  </si>
  <si>
    <t xml:space="preserve">BY FROOT LOOPS 170G </t>
  </si>
  <si>
    <t>8658</t>
  </si>
  <si>
    <t>MPX6 BY MULTSAB VASO 163G</t>
  </si>
  <si>
    <t>16743</t>
  </si>
  <si>
    <t>DULCE DE LECHE KIOSKO DOYPACK 100G</t>
  </si>
  <si>
    <t>DULCE DE LECHE KIOSCO FAMILIAR</t>
  </si>
  <si>
    <t xml:space="preserve">DULCE LCH 500G      </t>
  </si>
  <si>
    <t>600705</t>
  </si>
  <si>
    <t>ETIQ HOLANDES LONJAS BLOQUE 2 KG</t>
  </si>
  <si>
    <t>600720</t>
  </si>
  <si>
    <t>ETIQUETA MADURO MOZARELLA 300 KIOSKO</t>
  </si>
  <si>
    <t>300495</t>
  </si>
  <si>
    <t>CERA VERDE KIOSKO</t>
  </si>
  <si>
    <t>600747</t>
  </si>
  <si>
    <t>FUNDA SEL. SEMIMADURO GOURMET 350 GR ABR</t>
  </si>
  <si>
    <t>600675</t>
  </si>
  <si>
    <t>FUNDA PARMESANO KIOSKO 500 G</t>
  </si>
  <si>
    <t>601712</t>
  </si>
  <si>
    <t>CAJA QUESO AMASADO  RICOTTA 250</t>
  </si>
  <si>
    <t>602839</t>
  </si>
  <si>
    <t>BOT ETIQ YOG KIOSKO DURAZNO 120G</t>
  </si>
  <si>
    <t>602840</t>
  </si>
  <si>
    <t>BOT ETIQ BBLE KIOSKO KIDS FRESA 180G</t>
  </si>
  <si>
    <t>600655</t>
  </si>
  <si>
    <t>VASO ETIQUETEADO AREQUIPE 500GR</t>
  </si>
  <si>
    <t>600656</t>
  </si>
  <si>
    <t>VASO AREQUIPE 50 GR N.D.</t>
  </si>
  <si>
    <t>600657</t>
  </si>
  <si>
    <t>FOIL AREQUIPE 60 MM.</t>
  </si>
  <si>
    <t>600659</t>
  </si>
  <si>
    <t>STCK DE SEGURIDAD GAR AREQUIPE 4 6 KG</t>
  </si>
  <si>
    <t>601042</t>
  </si>
  <si>
    <t>ETIQ YOG PITAHAYA 1750 GR REGENERIS</t>
  </si>
  <si>
    <t>600706</t>
  </si>
  <si>
    <t>CAJASUPERMAXI BOGGY YOGURT 200 E</t>
  </si>
  <si>
    <t>600707</t>
  </si>
  <si>
    <t>FUNDA QUESO AMERICANO  HOLANDES</t>
  </si>
  <si>
    <t>600446</t>
  </si>
  <si>
    <t>VASO BONYURT NEON</t>
  </si>
  <si>
    <t>600447</t>
  </si>
  <si>
    <t>FUNDA FOUR PACK BONYURT NEON</t>
  </si>
  <si>
    <t>4920</t>
  </si>
  <si>
    <t>RGN TZOS DZNO VASO 150G</t>
  </si>
  <si>
    <t xml:space="preserve">RGN TZOS DZNO 150G  </t>
  </si>
  <si>
    <t>4921</t>
  </si>
  <si>
    <t>RGN TZOS FTLLA VASO 150G</t>
  </si>
  <si>
    <t xml:space="preserve">RGN TZOS FTLLA 150G </t>
  </si>
  <si>
    <t>5712</t>
  </si>
  <si>
    <t>MQUILLA NAT KIOSKO AL PESO</t>
  </si>
  <si>
    <t>MANTEQUILLA INSTITUCIONAL</t>
  </si>
  <si>
    <t xml:space="preserve">MQUILLA PESO        </t>
  </si>
  <si>
    <t>13648</t>
  </si>
  <si>
    <t>GELAT PREM KIOSKO UVA VASO 170G</t>
  </si>
  <si>
    <t xml:space="preserve">GELAT PREM UVA 170G </t>
  </si>
  <si>
    <t>16510</t>
  </si>
  <si>
    <t>GRIEG KIOSKO FRUT ROJ 120</t>
  </si>
  <si>
    <t>6222239</t>
  </si>
  <si>
    <t>ALPINETTE MELOCOTON 140G ECU</t>
  </si>
  <si>
    <t>ALPINETTE MELOC 140G</t>
  </si>
  <si>
    <t>11402</t>
  </si>
  <si>
    <t>AREQUIPE INST VASO 2.5KG</t>
  </si>
  <si>
    <t>AREQUIPE INSTITUCIONAL</t>
  </si>
  <si>
    <t>11454</t>
  </si>
  <si>
    <t>CANASTA PREPAGO</t>
  </si>
  <si>
    <t>601422</t>
  </si>
  <si>
    <t>VASO FINESSE 140 GR</t>
  </si>
  <si>
    <t>602518</t>
  </si>
  <si>
    <t>ETIQ. MOZARELLA KIOSKO LIGHT 500 G PROMO</t>
  </si>
  <si>
    <t>602528</t>
  </si>
  <si>
    <t>ETIQUETA ALERGENOS 8X10</t>
  </si>
  <si>
    <t>602531</t>
  </si>
  <si>
    <t>VASO BONYURT MASHMELO  E</t>
  </si>
  <si>
    <t>605419</t>
  </si>
  <si>
    <t>BOT ETIQ YOGURT KIOSKO FRESA 180G</t>
  </si>
  <si>
    <t>605420</t>
  </si>
  <si>
    <t>BOT ETIQ YOGURT KIOSKO DURAZNO 180G</t>
  </si>
  <si>
    <t>605421</t>
  </si>
  <si>
    <t>BOT ETIQ YOGURT KIOSKO MORA 180G</t>
  </si>
  <si>
    <t>602540</t>
  </si>
  <si>
    <t>PAPEL ANTIGRASO 125 GR</t>
  </si>
  <si>
    <t xml:space="preserve">COMERCIALIZADORA ROJAS Y BERRU FULL                                             </t>
  </si>
  <si>
    <t>602541</t>
  </si>
  <si>
    <t>PAPEL ANTIGRASO 250 GR</t>
  </si>
  <si>
    <t>4454239</t>
  </si>
  <si>
    <t>AVENA CANELA VASO 250G ECU</t>
  </si>
  <si>
    <t xml:space="preserve">AVE CANELA 250G     </t>
  </si>
  <si>
    <t>4472</t>
  </si>
  <si>
    <t>AVENA DESL VASO 250G</t>
  </si>
  <si>
    <t xml:space="preserve">AVE DESLACT 250GR   </t>
  </si>
  <si>
    <t>12624</t>
  </si>
  <si>
    <t>MPX4 YOG FNSSE MULTSAB BOT 180G</t>
  </si>
  <si>
    <t>4P YF MULTISAB. 180G</t>
  </si>
  <si>
    <t>16130</t>
  </si>
  <si>
    <t>PR ARQUE 250G + Q CREMA 250G</t>
  </si>
  <si>
    <t xml:space="preserve">PR AREQ 250+Q.CREM  </t>
  </si>
  <si>
    <t>5505</t>
  </si>
  <si>
    <t>YOG GRIEGO FRE VASO 150G ANT</t>
  </si>
  <si>
    <t>GRIEGO CAMA DE FRUTAS</t>
  </si>
  <si>
    <t xml:space="preserve">YG FRESA 150GR      </t>
  </si>
  <si>
    <t>16786</t>
  </si>
  <si>
    <t>PACK DIA DE LA MADRE MOZZ350+TABLA</t>
  </si>
  <si>
    <t>QUESO MOZARELLA</t>
  </si>
  <si>
    <t>11321</t>
  </si>
  <si>
    <t>Q ESPAR MOZAR KIOSKO VASO 240G</t>
  </si>
  <si>
    <t xml:space="preserve">Q.ESPAR MOZZ 240G   </t>
  </si>
  <si>
    <t>14229</t>
  </si>
  <si>
    <t>PILOTO CFINESSE 250 GR A 0.90 CENT</t>
  </si>
  <si>
    <t xml:space="preserve">AVE FINESSE 0.85    </t>
  </si>
  <si>
    <t>201562</t>
  </si>
  <si>
    <t>BOT ETIQ YOG KIOSKO MORA 180G</t>
  </si>
  <si>
    <t>607339</t>
  </si>
  <si>
    <t>VASO BON YURT CHOCAPIC</t>
  </si>
  <si>
    <t>607351</t>
  </si>
  <si>
    <t>FOIL IMPRESO VASO BY BLACK PP</t>
  </si>
  <si>
    <t>605747</t>
  </si>
  <si>
    <t>LAMINA LINEA DIARIA HOLANDES 75 GR</t>
  </si>
  <si>
    <t>605748</t>
  </si>
  <si>
    <t>ETIQ MOZARELLA 550GR CN</t>
  </si>
  <si>
    <t>605795</t>
  </si>
  <si>
    <t>605865</t>
  </si>
  <si>
    <t>ELEMENTO STICKY ANIMALES</t>
  </si>
  <si>
    <t>606725</t>
  </si>
  <si>
    <t>FUNDA FOUR PACK BY TANGO</t>
  </si>
  <si>
    <t>605758</t>
  </si>
  <si>
    <t>TAPA GRIEGO 120 PP</t>
  </si>
  <si>
    <t>16019</t>
  </si>
  <si>
    <t>YOG FNSSE DURAZNO BOT 180G</t>
  </si>
  <si>
    <t xml:space="preserve">YF DURAZNO 180G     </t>
  </si>
  <si>
    <t>16259</t>
  </si>
  <si>
    <t>GRIEGO LIMON 150G</t>
  </si>
  <si>
    <t xml:space="preserve">YG LIMON 150GR      </t>
  </si>
  <si>
    <t>843054</t>
  </si>
  <si>
    <t>PRV 5+1 BONYURT2BLK.2FTLOO.1NEO GTR 1NEO</t>
  </si>
  <si>
    <t xml:space="preserve">PRV5+1 BY MULTI SAB </t>
  </si>
  <si>
    <t>15002</t>
  </si>
  <si>
    <t>ALPICOMBO IDEAL</t>
  </si>
  <si>
    <t>13649</t>
  </si>
  <si>
    <t>GELAT PREM KIOSKO FRE VASO 170G</t>
  </si>
  <si>
    <t xml:space="preserve">GELAT PREM FRE 170G </t>
  </si>
  <si>
    <t>16987</t>
  </si>
  <si>
    <t>CANASTA NAVIDENA 1 PERNIL</t>
  </si>
  <si>
    <t>16988</t>
  </si>
  <si>
    <t>CANASTA NAVIDENA 2 SIN PERNIL</t>
  </si>
  <si>
    <t>16232</t>
  </si>
  <si>
    <t>Q AMERIC KIOSKO LONJ 150G</t>
  </si>
  <si>
    <t xml:space="preserve">Q.AMERC LON 150G    </t>
  </si>
  <si>
    <t>600463</t>
  </si>
  <si>
    <t>4 PACK REGENERIS PITAHAYA 180</t>
  </si>
  <si>
    <t>600464</t>
  </si>
  <si>
    <t>TAPA FAMILIAR CELESTE FINESSE</t>
  </si>
  <si>
    <t>600465</t>
  </si>
  <si>
    <t>TAPA SNAP ON CELESTE FINESSE</t>
  </si>
  <si>
    <t>604585</t>
  </si>
  <si>
    <t>LAMINA CHEDDAR LINEA DIARIA 75 GR</t>
  </si>
  <si>
    <t>604586</t>
  </si>
  <si>
    <t>LAMINA AMERICANO LINEA DIARIA 75 GR</t>
  </si>
  <si>
    <t>604625</t>
  </si>
  <si>
    <t>ETIQ. CHEDDAR LONJAS 400 GR</t>
  </si>
  <si>
    <t>603364</t>
  </si>
  <si>
    <t>BOT ETIQ TZOS KIOSKO MOR 1700G</t>
  </si>
  <si>
    <t>603365</t>
  </si>
  <si>
    <t>BOT ETIQ YOG FNSSE TZOS ALOE 1670G</t>
  </si>
  <si>
    <t>200803</t>
  </si>
  <si>
    <t>MIX B SAB YOG DESLAC FNSSE FRTROJ</t>
  </si>
  <si>
    <t>202074</t>
  </si>
  <si>
    <t>MIX SAB YOG BEB REG CIRUELA PASA</t>
  </si>
  <si>
    <t>200774</t>
  </si>
  <si>
    <t>201372</t>
  </si>
  <si>
    <t>MIX B SAB GELATINA KIOSKO FRE</t>
  </si>
  <si>
    <t>200785</t>
  </si>
  <si>
    <t>202543</t>
  </si>
  <si>
    <t>GRIEGO ENSAMBLAR SEMIT LIMON EC150G</t>
  </si>
  <si>
    <t>202782</t>
  </si>
  <si>
    <t>CUAJADA Q MOZAR KIOSKO 100G</t>
  </si>
  <si>
    <t>202863</t>
  </si>
  <si>
    <t>HIGN Y DESNF EQUIPO MF ECU</t>
  </si>
  <si>
    <t>203164</t>
  </si>
  <si>
    <t>SOBREC MUSLI SIN AZUCAR 10G</t>
  </si>
  <si>
    <t>11107</t>
  </si>
  <si>
    <t>YOG BBLE KIOSKO DZNO BOT 950G</t>
  </si>
  <si>
    <t xml:space="preserve">YK BBLE DZNO 950G   </t>
  </si>
  <si>
    <t>11102</t>
  </si>
  <si>
    <t>BON YURT FROOT LOOPS MINI 109 G</t>
  </si>
  <si>
    <t>11105</t>
  </si>
  <si>
    <t>YOG BBLE KIOSKO FTLLA BOT 950G</t>
  </si>
  <si>
    <t xml:space="preserve">YK BBLE FRTLL 950G  </t>
  </si>
  <si>
    <t>11185</t>
  </si>
  <si>
    <t>YOG BBLE KIOSKO FTLLA BOT 180G MINI</t>
  </si>
  <si>
    <t>12039</t>
  </si>
  <si>
    <t>MPX4 Q ESPAR MOZAR KIOSKO VASO 45G</t>
  </si>
  <si>
    <t xml:space="preserve">4P Q.ESPAR MOZZ 45G </t>
  </si>
  <si>
    <t>11520239</t>
  </si>
  <si>
    <t>YOGURT GRIEGO FINESSE MELO VASO 150G ECU</t>
  </si>
  <si>
    <t>11796</t>
  </si>
  <si>
    <t>BY AREQ VASO 165G</t>
  </si>
  <si>
    <t xml:space="preserve">BY AREQUIPE 165G    </t>
  </si>
  <si>
    <t>200412</t>
  </si>
  <si>
    <t>CUAJADA Q PROVO AHUM KIOSKO BLOQ ECU</t>
  </si>
  <si>
    <t>200814</t>
  </si>
  <si>
    <t>BOT ETIQ RGN DESLAC CER TAMAR 1750G MAQ</t>
  </si>
  <si>
    <t>201172</t>
  </si>
  <si>
    <t>MIX CUL B CUAJADA Q PROVO NAT KIOSKO</t>
  </si>
  <si>
    <t>201758</t>
  </si>
  <si>
    <t>MIX B SAB YOG DESLAC FNSSE ACAI</t>
  </si>
  <si>
    <t>201759</t>
  </si>
  <si>
    <t>B SAB YOG DESLAC FNSSE ACAI</t>
  </si>
  <si>
    <t>201960</t>
  </si>
  <si>
    <t>LCH ESTAND SDESC  SG</t>
  </si>
  <si>
    <t>202003</t>
  </si>
  <si>
    <t>MEGA BON YURT HOJUELAS 1080 G SEMITER</t>
  </si>
  <si>
    <t>200178</t>
  </si>
  <si>
    <t>BOT ETIQ RGN LGHT FTLLA 1750G MAQ</t>
  </si>
  <si>
    <t>603559</t>
  </si>
  <si>
    <t>ALPINA  GRIEGO NATURAL 500</t>
  </si>
  <si>
    <t>600917</t>
  </si>
  <si>
    <t>FOIL SOBRECOPA UNIDADES</t>
  </si>
  <si>
    <t>600919</t>
  </si>
  <si>
    <t>PEROXIDO DE HIDROGENO35% 69KG</t>
  </si>
  <si>
    <t>600042</t>
  </si>
  <si>
    <t>TINTA DISOLV CODIFICADORA VJ 16 8535Q</t>
  </si>
  <si>
    <t>600043</t>
  </si>
  <si>
    <t>TARRO TINTA CODIFICADORA REF 168530Q UN</t>
  </si>
  <si>
    <t>600421</t>
  </si>
  <si>
    <t>BOLSA CREMA DE LECHE 250 ML</t>
  </si>
  <si>
    <t>601445</t>
  </si>
  <si>
    <t>ETIQ QUESO MADURO HIERBAS 350 GR</t>
  </si>
  <si>
    <t>601446</t>
  </si>
  <si>
    <t>ETIQ QUESO MADURO HIERBAS 350 CN</t>
  </si>
  <si>
    <t>301172</t>
  </si>
  <si>
    <t>STABIPROT 90 G GN MPC 80 %</t>
  </si>
  <si>
    <t>301178</t>
  </si>
  <si>
    <t>MERMELADA GRIEGO FRUTOS ROJOS UN</t>
  </si>
  <si>
    <t>301179</t>
  </si>
  <si>
    <t>MERMELADA GRIEGO MORA  ARANDANOS UN</t>
  </si>
  <si>
    <t>301193</t>
  </si>
  <si>
    <t>LECITINA SOYA</t>
  </si>
  <si>
    <t>301194</t>
  </si>
  <si>
    <t>FLORA DANICA CU 713490</t>
  </si>
  <si>
    <t>301195</t>
  </si>
  <si>
    <t>CARRASOL PGU 5339</t>
  </si>
  <si>
    <t>301196</t>
  </si>
  <si>
    <t>MALTOEXTRINA</t>
  </si>
  <si>
    <t>301304</t>
  </si>
  <si>
    <t>FLORA DANICA CU 713490 . 50 U</t>
  </si>
  <si>
    <t>300446</t>
  </si>
  <si>
    <t>SOBRE CHOOZIT RA 71 LYO 125 DCU</t>
  </si>
  <si>
    <t xml:space="preserve">ALITECNO COMERCIO DE INSUMOS PARA LA IND                                        </t>
  </si>
  <si>
    <t>12568</t>
  </si>
  <si>
    <t>YOG FNSSE CLAS BOT 950G</t>
  </si>
  <si>
    <t xml:space="preserve">YF CLASICO 950G     </t>
  </si>
  <si>
    <t>4889</t>
  </si>
  <si>
    <t>RGN TZOS MOR BOT 1000G</t>
  </si>
  <si>
    <t xml:space="preserve">RGN TZOS MOR 1000G  </t>
  </si>
  <si>
    <t>14713</t>
  </si>
  <si>
    <t>Q JAVIERINO KIOSKO RALLADO 1.5K</t>
  </si>
  <si>
    <t xml:space="preserve">Q.JAVIER RALL 1.5K  </t>
  </si>
  <si>
    <t>12529</t>
  </si>
  <si>
    <t>RGN CER GDLLA BOT 1000G</t>
  </si>
  <si>
    <t xml:space="preserve">RGN CER GDLLA 1000G </t>
  </si>
  <si>
    <t>15803</t>
  </si>
  <si>
    <t>GRIEGO FRUT ROJ 500G</t>
  </si>
  <si>
    <t xml:space="preserve">YG FRUT-ROJOS 500G  </t>
  </si>
  <si>
    <t>11106</t>
  </si>
  <si>
    <t>YOG BBLE KIOSKO FTLLA BOT 1700G</t>
  </si>
  <si>
    <t xml:space="preserve">YK BBLE FRTLL 1700G </t>
  </si>
  <si>
    <t>300741</t>
  </si>
  <si>
    <t>CREMA GRANEL COMPRADA</t>
  </si>
  <si>
    <t>300165</t>
  </si>
  <si>
    <t>SALSA FRUTA FRESA BAJO EN GRASA</t>
  </si>
  <si>
    <t>300166</t>
  </si>
  <si>
    <t>SALSA DE CEREALES 25 KG</t>
  </si>
  <si>
    <t>300167</t>
  </si>
  <si>
    <t>CEREAL HOJUELAS AZUCARADAS EC</t>
  </si>
  <si>
    <t>300030</t>
  </si>
  <si>
    <t>BENZOATO DE SODIO  25</t>
  </si>
  <si>
    <t>300031</t>
  </si>
  <si>
    <t>SORBATO DE POTASIO L  25</t>
  </si>
  <si>
    <t xml:space="preserve">DISAN / RESIQUIM                                                                </t>
  </si>
  <si>
    <t>300174</t>
  </si>
  <si>
    <t>CEREAL ALMOHADILLA AREQUIPE</t>
  </si>
  <si>
    <t>301661</t>
  </si>
  <si>
    <t>SABOR NATURAL FRUTOS ROJOS</t>
  </si>
  <si>
    <t>301747</t>
  </si>
  <si>
    <t>SABOR GUANABANA</t>
  </si>
  <si>
    <t>607355</t>
  </si>
  <si>
    <t>FOIL IMPRESO VASO BY ZUCARITAS FM PP</t>
  </si>
  <si>
    <t>607356</t>
  </si>
  <si>
    <t>FOIL IMPRESO VASO BY ZUCARITAS FRSA PP</t>
  </si>
  <si>
    <t>607357</t>
  </si>
  <si>
    <t>FOIL IMPRESO VASO BY NEON PP</t>
  </si>
  <si>
    <t>607358</t>
  </si>
  <si>
    <t>VASO MINI BONYURT HOJUELA AZUCARADA</t>
  </si>
  <si>
    <t>600451</t>
  </si>
  <si>
    <t>FOIL IMPRESO KIOSKO</t>
  </si>
  <si>
    <t>600667</t>
  </si>
  <si>
    <t>ETIQ. MADURO AMERICANO 300 GR C N</t>
  </si>
  <si>
    <t>600668</t>
  </si>
  <si>
    <t>ETIQ BLOQUE FRESCO CRIOLLO  KIOSKO</t>
  </si>
  <si>
    <t>604809</t>
  </si>
  <si>
    <t>EMP HIERBAS RUEDA 400 GR C N</t>
  </si>
  <si>
    <t>605029</t>
  </si>
  <si>
    <t>ETIQ. YOGURT FINESSE VAINILLA 950 G</t>
  </si>
  <si>
    <t>607352</t>
  </si>
  <si>
    <t>FOIL IMPRESO VASO BY AREQUIPE PP</t>
  </si>
  <si>
    <t>601018</t>
  </si>
  <si>
    <t>ETIQ. FINESSE FRUTOS ROJOS 1670 GR ECU</t>
  </si>
  <si>
    <t>601019</t>
  </si>
  <si>
    <t>ETIQ. FINESSE CLASSICO 1650 GR ECU</t>
  </si>
  <si>
    <t>601021</t>
  </si>
  <si>
    <t>ETIQ. REGENERIS GRANADILLA 1750 GR</t>
  </si>
  <si>
    <t>601023</t>
  </si>
  <si>
    <t>ETIQ. REGENERIS TAMARINDO 1750 GR</t>
  </si>
  <si>
    <t>601025</t>
  </si>
  <si>
    <t>ETIQ. REGENERIS GRANADILLA 1000 GR</t>
  </si>
  <si>
    <t>601027</t>
  </si>
  <si>
    <t>ETIQ. REGENERIS GRANADILLA 180 GR</t>
  </si>
  <si>
    <t>605028</t>
  </si>
  <si>
    <t>ETIQ. YOGURT FINESSE VAINILLA 180 G</t>
  </si>
  <si>
    <t>605401</t>
  </si>
  <si>
    <t>LAMINA PLASTICO 50CM X 60 MIC</t>
  </si>
  <si>
    <t>600748</t>
  </si>
  <si>
    <t>ETIQ. Q MOZARELLA LONJAS FINESSE 225 GR</t>
  </si>
  <si>
    <t>600749</t>
  </si>
  <si>
    <t>ETIQ. Q MOZARELLA LONJAS FNSSE 225GR C N</t>
  </si>
  <si>
    <t>600756</t>
  </si>
  <si>
    <t>STICKER DE SEGURIDAD PARMESANO</t>
  </si>
  <si>
    <t>600757</t>
  </si>
  <si>
    <t>LAMINA QUESO MOZARELLA FINESSE 400 GR</t>
  </si>
  <si>
    <t>605035</t>
  </si>
  <si>
    <t>VASO BY MINI MARSHMALLOWS 115 GR</t>
  </si>
  <si>
    <t>603799</t>
  </si>
  <si>
    <t>ETIQ.MOZARELLA 700</t>
  </si>
  <si>
    <t>4161</t>
  </si>
  <si>
    <t>RGN BBLE DZNO BOT 1000G</t>
  </si>
  <si>
    <t xml:space="preserve">RGN BBLE DZNO 1000G </t>
  </si>
  <si>
    <t>4162</t>
  </si>
  <si>
    <t>RGN BBLE FTLLA BOT 180G</t>
  </si>
  <si>
    <t xml:space="preserve">RGN BBLE FTLLA 180G </t>
  </si>
  <si>
    <t>10518</t>
  </si>
  <si>
    <t>Q HOLAN KIOSKO LONJ 500G BKING</t>
  </si>
  <si>
    <t xml:space="preserve">Q.HOLAN LON 500G KB </t>
  </si>
  <si>
    <t>16236</t>
  </si>
  <si>
    <t>Q MOZAR HIERBAS KIOSKO BLOQ 500G</t>
  </si>
  <si>
    <t xml:space="preserve">Q.MOZZ HIERB 500GR  </t>
  </si>
  <si>
    <t>17216</t>
  </si>
  <si>
    <t>YOG BBLE KIOSKO MORA FUN 150G</t>
  </si>
  <si>
    <t>11109</t>
  </si>
  <si>
    <t>YOG BBLE KIOSKO MOR BOT 950G</t>
  </si>
  <si>
    <t xml:space="preserve">YK BBLE MORA 950G   </t>
  </si>
  <si>
    <t>14627</t>
  </si>
  <si>
    <t>PR SURTIDO GELAKIOSKO 170GR</t>
  </si>
  <si>
    <t>15566</t>
  </si>
  <si>
    <t>MEGA BON YURT HOJUELAS 1080 GR</t>
  </si>
  <si>
    <t>MEGA BY HOME 1080 GR</t>
  </si>
  <si>
    <t>14556</t>
  </si>
  <si>
    <t>PR BY BLCK VASO 165G 5+1</t>
  </si>
  <si>
    <t>14557</t>
  </si>
  <si>
    <t>PR BY NEON VASO 165G 5+1</t>
  </si>
  <si>
    <t>14085</t>
  </si>
  <si>
    <t>PR 8 BON YURT MULTISAB GTR TOMATODO BY</t>
  </si>
  <si>
    <t>15158</t>
  </si>
  <si>
    <t>REUTILIZAR ECUADOR</t>
  </si>
  <si>
    <t>15628</t>
  </si>
  <si>
    <t>PACK CER KIOSKO FTLLA VASO 120G P4LL5</t>
  </si>
  <si>
    <t>14536</t>
  </si>
  <si>
    <t>PR 4+1 YOG KIOSKO DUO GUAN MORA FUN900GR</t>
  </si>
  <si>
    <t>17114</t>
  </si>
  <si>
    <t>BON YURT MINI HOJUELAS 87G</t>
  </si>
  <si>
    <t>203322</t>
  </si>
  <si>
    <t>SOBREC HOJUELA AZUC 7G</t>
  </si>
  <si>
    <t>203323</t>
  </si>
  <si>
    <t>SOBREC ARZ CROCANTE FRE 10G</t>
  </si>
  <si>
    <t>203324</t>
  </si>
  <si>
    <t>SOBREC CANDY POPS 25G</t>
  </si>
  <si>
    <t>200390</t>
  </si>
  <si>
    <t>CUAJADA Q MOZAR KIOSKO 350G</t>
  </si>
  <si>
    <t>201181</t>
  </si>
  <si>
    <t>MIX 1 B CUAJADA Q FRESC KIOSKO</t>
  </si>
  <si>
    <t>201182</t>
  </si>
  <si>
    <t>MIX B CUAJADA Q RICOT KIOSKO</t>
  </si>
  <si>
    <t>200773</t>
  </si>
  <si>
    <t>LCH DESC TERMI 0.05%MG A 0.1%MG</t>
  </si>
  <si>
    <t>200835</t>
  </si>
  <si>
    <t>CREMA DE LECHE CRUDA 38% MG ECUADOR</t>
  </si>
  <si>
    <t>200837</t>
  </si>
  <si>
    <t>SOLIDO LACTEO CRUDO MANTEQUILLA.</t>
  </si>
  <si>
    <t>202232</t>
  </si>
  <si>
    <t>MIX B LACTEA GRIEGO EC</t>
  </si>
  <si>
    <t>202233</t>
  </si>
  <si>
    <t>MIX CULTIVO GRIEGO EC</t>
  </si>
  <si>
    <t>200211</t>
  </si>
  <si>
    <t>BOT ETIQ RGN DZNO 1750G MAQ</t>
  </si>
  <si>
    <t>200212</t>
  </si>
  <si>
    <t>BOT ETIQ RGN FTLLA 1750G</t>
  </si>
  <si>
    <t>200213</t>
  </si>
  <si>
    <t>BOT ETIQ RGN BBLE DZNO 180G MAQ</t>
  </si>
  <si>
    <t>200214</t>
  </si>
  <si>
    <t>BOT ETIQ RGN BBLE FTLLA 180G MAQ</t>
  </si>
  <si>
    <t>200168</t>
  </si>
  <si>
    <t>SOBREC HOJ AZUC 18G</t>
  </si>
  <si>
    <t>200179</t>
  </si>
  <si>
    <t>SOBREC GTA DE CHOC 20G</t>
  </si>
  <si>
    <t>200797</t>
  </si>
  <si>
    <t>MIX B SAB RGN BBLE DZNO</t>
  </si>
  <si>
    <t>300448</t>
  </si>
  <si>
    <t>SOBRE CULTIVO STA KIOSKO</t>
  </si>
  <si>
    <t>302271</t>
  </si>
  <si>
    <t>SABOR BANANO CMX 41334</t>
  </si>
  <si>
    <t>301018</t>
  </si>
  <si>
    <t>SABOR IDENTICO AL NATURAL CIRUELA</t>
  </si>
  <si>
    <t>301145</t>
  </si>
  <si>
    <t>CULTIVO PIZZA</t>
  </si>
  <si>
    <t>301147</t>
  </si>
  <si>
    <t>CUAJO CHYMAX SUPREME 1000</t>
  </si>
  <si>
    <t>300088</t>
  </si>
  <si>
    <t>SUCRALOSA 10</t>
  </si>
  <si>
    <t>300102</t>
  </si>
  <si>
    <t>POLIDEXTROSA LITESSE</t>
  </si>
  <si>
    <t xml:space="preserve">TATE Y LYLE FOOD INGREDIENTS                                                    </t>
  </si>
  <si>
    <t>300107</t>
  </si>
  <si>
    <t>HA LACTASE</t>
  </si>
  <si>
    <t>300113</t>
  </si>
  <si>
    <t>ALMIDON MAXIGEL 617</t>
  </si>
  <si>
    <t xml:space="preserve">TATE LYLE SOLUTIONS USA LLC                                                     </t>
  </si>
  <si>
    <t>300322</t>
  </si>
  <si>
    <t>ALMIDON DE PAPA  KIOSKO</t>
  </si>
  <si>
    <t xml:space="preserve">QSI                                                                             </t>
  </si>
  <si>
    <t>300323</t>
  </si>
  <si>
    <t>COLORANTE QUESO  KIOSKO</t>
  </si>
  <si>
    <t>300325</t>
  </si>
  <si>
    <t>OREGANO MOLIDO</t>
  </si>
  <si>
    <t>300327</t>
  </si>
  <si>
    <t>CULTIVO CLERIZIMA KIOSKO</t>
  </si>
  <si>
    <t xml:space="preserve">CAGLIFICIO CLERICI SPA                                                          </t>
  </si>
  <si>
    <t>300742</t>
  </si>
  <si>
    <t>MAQUILA LECHE EN POLVO ENTERA</t>
  </si>
  <si>
    <t>301496</t>
  </si>
  <si>
    <t>ENZIMA YIELDMAX</t>
  </si>
  <si>
    <t>301309</t>
  </si>
  <si>
    <t>SOBRO FRUTOS ROJOS 9424 B</t>
  </si>
  <si>
    <t>301310</t>
  </si>
  <si>
    <t>MILK FLAVOR 542214  APL0497</t>
  </si>
  <si>
    <t>300033</t>
  </si>
  <si>
    <t>GELATINA TIPO C 25</t>
  </si>
  <si>
    <t>604843</t>
  </si>
  <si>
    <t>VASO BONYURT MINI GOMITAS</t>
  </si>
  <si>
    <t>600688</t>
  </si>
  <si>
    <t>ETIQ BLOQUE HOLANDES KIOSKO</t>
  </si>
  <si>
    <t>600689</t>
  </si>
  <si>
    <t>FUNDA CRYOVAC 7X9 TRANSPARENTE KIOSKO</t>
  </si>
  <si>
    <t>603168</t>
  </si>
  <si>
    <t>PRECINTO AREQUIPE CON PRETZELTS INDIVIDU</t>
  </si>
  <si>
    <t>603221</t>
  </si>
  <si>
    <t>FUNDA MADUROS 1 KG</t>
  </si>
  <si>
    <t>603345</t>
  </si>
  <si>
    <t>BOT ETIQ RGN DZNO 1000G</t>
  </si>
  <si>
    <t>603348</t>
  </si>
  <si>
    <t>BOT ETIQ RGN LGHT FTLLA 1750G</t>
  </si>
  <si>
    <t>607420</t>
  </si>
  <si>
    <t>ROLLO PLASTICO 18CM</t>
  </si>
  <si>
    <t xml:space="preserve">NOVAPLASTEC                                                                     </t>
  </si>
  <si>
    <t>607465</t>
  </si>
  <si>
    <t>ETIQ QUESO SANDUCHE 75GR CN MOD</t>
  </si>
  <si>
    <t>601029</t>
  </si>
  <si>
    <t>ETIQ. REGENERIS TAMARINDO 1000 GR</t>
  </si>
  <si>
    <t>601031</t>
  </si>
  <si>
    <t>ETIQ. REGENERIS TAMARINDO 180 GR</t>
  </si>
  <si>
    <t>600645</t>
  </si>
  <si>
    <t>GARRAFA TAPA Y RIATA 4 KG  KIOSKO</t>
  </si>
  <si>
    <t>600646</t>
  </si>
  <si>
    <t>FOIL GARRAFA 4 KG</t>
  </si>
  <si>
    <t xml:space="preserve">CENTAK ANDINA SAS                                                               </t>
  </si>
  <si>
    <t>600703</t>
  </si>
  <si>
    <t>ETIQ Q GRANDE LONJAS HIERBAS KIOSKO</t>
  </si>
  <si>
    <t>603261</t>
  </si>
  <si>
    <t>ETIQUETA QUESO HOLANDES LONJAS 1 KG</t>
  </si>
  <si>
    <t>603265</t>
  </si>
  <si>
    <t>ETIQUETA QUESO JAVIERINO LONJAS 1 KG</t>
  </si>
  <si>
    <t>603329</t>
  </si>
  <si>
    <t>BOT ETIQ YOG KIOSKO NAT 1000G</t>
  </si>
  <si>
    <t>603800</t>
  </si>
  <si>
    <t>603802</t>
  </si>
  <si>
    <t>STICKER GLOW DARK</t>
  </si>
  <si>
    <t>603803</t>
  </si>
  <si>
    <t>TARRINA QUESO CREMA 4KG</t>
  </si>
  <si>
    <t>604806</t>
  </si>
  <si>
    <t>EMP CHEDDAR RUEDA 400 GR C N</t>
  </si>
  <si>
    <t>604807</t>
  </si>
  <si>
    <t>EMP HIERBAS RUEDA 400 GR</t>
  </si>
  <si>
    <t>606665</t>
  </si>
  <si>
    <t>FOIL CON IMPRESION 75MM PS</t>
  </si>
  <si>
    <t>601476</t>
  </si>
  <si>
    <t>FUNDA COMBO SANDUCHERO ECU</t>
  </si>
  <si>
    <t>601477</t>
  </si>
  <si>
    <t>ETIQUETA COMBO SANDUCHERO ECU</t>
  </si>
  <si>
    <t>601478</t>
  </si>
  <si>
    <t>ETIQ COMBO SANDU CUADRO NUTRIC ECU</t>
  </si>
  <si>
    <t>603355</t>
  </si>
  <si>
    <t>BOT ETIQ RGN BBLE DZNO 1750G</t>
  </si>
  <si>
    <t>603356</t>
  </si>
  <si>
    <t>BOT ETIQ RGN BBLE DZNO 1000G</t>
  </si>
  <si>
    <t>604805</t>
  </si>
  <si>
    <t>EMP CHEDDAR RUEDA 400 GR</t>
  </si>
  <si>
    <t>605402</t>
  </si>
  <si>
    <t>LAMINA PLASTICO 40CM X 60 MIC</t>
  </si>
  <si>
    <t>600710</t>
  </si>
  <si>
    <t>LAMINADO QUESO MADURO HOLANDES 150 GR.</t>
  </si>
  <si>
    <t>601677</t>
  </si>
  <si>
    <t>ETIQUETA GALON AREQUIPE 2.5 KG</t>
  </si>
  <si>
    <t>601679</t>
  </si>
  <si>
    <t>GUARDAMOVIL PLASTICO</t>
  </si>
  <si>
    <t>601702</t>
  </si>
  <si>
    <t>CAJA FOUR PACK RGN PITAJAYA 180</t>
  </si>
  <si>
    <t>601703</t>
  </si>
  <si>
    <t>CAJA FOUR PACK RGN BAJO EN GRASA 180</t>
  </si>
  <si>
    <t>600448</t>
  </si>
  <si>
    <t>FUNDA SIX PACK KIOSKO 120</t>
  </si>
  <si>
    <t>601016</t>
  </si>
  <si>
    <t>SOBRECOPA BONYURT</t>
  </si>
  <si>
    <t>601017</t>
  </si>
  <si>
    <t>ETIQ. FINESSE TROZOS ALOE 1670 GR ECU</t>
  </si>
  <si>
    <t>600673</t>
  </si>
  <si>
    <t>ETIQ BLOQUE HIERBAS KIOSKO</t>
  </si>
  <si>
    <t>605778</t>
  </si>
  <si>
    <t>CAJA GRIEGO 400GR X 8 UNDS</t>
  </si>
  <si>
    <t>605796</t>
  </si>
  <si>
    <t>605797</t>
  </si>
  <si>
    <t>LAMINA MOZARELLA HIERBAS 75 GR</t>
  </si>
  <si>
    <t>605798</t>
  </si>
  <si>
    <t>605900</t>
  </si>
  <si>
    <t>FUNDA KILO 23x28</t>
  </si>
  <si>
    <t>602587</t>
  </si>
  <si>
    <t>CAJA PLEGADIZA MANTEQUILLA 125 CON SAL</t>
  </si>
  <si>
    <t>602588</t>
  </si>
  <si>
    <t>CAJA PLEGADIZA MANTEQUILLA 250 CON SAL</t>
  </si>
  <si>
    <t>602660</t>
  </si>
  <si>
    <t>ETIQUETA QUESO AMASADO 450 GR C N</t>
  </si>
  <si>
    <t>600959</t>
  </si>
  <si>
    <t>ETIQ. KIOSKO YOGURT FRUTILLA 120 PROMO</t>
  </si>
  <si>
    <t>607585</t>
  </si>
  <si>
    <t>V706 D SOLVENTE CODIFICACION CONTROLADO</t>
  </si>
  <si>
    <t>607588</t>
  </si>
  <si>
    <t>V411 D TINTA CODFCACN NO CONTRLDA</t>
  </si>
  <si>
    <t>607587</t>
  </si>
  <si>
    <t>V7206 D SOLVENTE CODFCACN CONTRLDA</t>
  </si>
  <si>
    <t>605512</t>
  </si>
  <si>
    <t>ETIQ REGN GRANADILLA 1000</t>
  </si>
  <si>
    <t>605759</t>
  </si>
  <si>
    <t>TAPA GRIEGO 400</t>
  </si>
  <si>
    <t>601843</t>
  </si>
  <si>
    <t>4 PACK ALPINETE MORA</t>
  </si>
  <si>
    <t>601844</t>
  </si>
  <si>
    <t>4 PACK ALPINETE CEREZA</t>
  </si>
  <si>
    <t>601204</t>
  </si>
  <si>
    <t>CAJA SUPERMAXI ABASTOS E</t>
  </si>
  <si>
    <t>603103</t>
  </si>
  <si>
    <t>STICKER DUO</t>
  </si>
  <si>
    <t>601906</t>
  </si>
  <si>
    <t>LAM KIOSKO QUESO FRESCO 450</t>
  </si>
  <si>
    <t>601907</t>
  </si>
  <si>
    <t>LAM KIOSKO AMASADO 450 GR</t>
  </si>
  <si>
    <t>601908</t>
  </si>
  <si>
    <t>LAM KIOSKO RICOTTA 250G</t>
  </si>
  <si>
    <t>603149</t>
  </si>
  <si>
    <t>SEPARADOR MOZARELLA 500 LARGUERO</t>
  </si>
  <si>
    <t>603367</t>
  </si>
  <si>
    <t>BOT ETIQ FNSSE TZOS ALOE 950G</t>
  </si>
  <si>
    <t>603368</t>
  </si>
  <si>
    <t>BOT ETIQ RGN DESLAC CER TAMAR 1750G</t>
  </si>
  <si>
    <t>601242</t>
  </si>
  <si>
    <t>TELAS RICOTA GRANDE KIOSKO</t>
  </si>
  <si>
    <t>600663</t>
  </si>
  <si>
    <t>FUNDA SEPARADORES  KIOSKO</t>
  </si>
  <si>
    <t xml:space="preserve">OYEMPAQUES / FULLPACKING                                                        </t>
  </si>
  <si>
    <t>600665</t>
  </si>
  <si>
    <t>LAMINADO TAPA SIN IMPRESION  KIOSKO</t>
  </si>
  <si>
    <t>600666</t>
  </si>
  <si>
    <t>LAMINADO BASE 150 MICRAS</t>
  </si>
  <si>
    <t>603361</t>
  </si>
  <si>
    <t>BOT ETIQ RGN LGHT FTLLA 180G</t>
  </si>
  <si>
    <t>607095</t>
  </si>
  <si>
    <t>CCHARA PLEGABLE PEQUEÑA SIN FUNDA</t>
  </si>
  <si>
    <t>605052</t>
  </si>
  <si>
    <t>Q CHED KIOSKO DOYPACK 200 G</t>
  </si>
  <si>
    <t>605030</t>
  </si>
  <si>
    <t>ETIQ. YOGURT FINESSE VAINILLA 1650 G</t>
  </si>
  <si>
    <t>605749</t>
  </si>
  <si>
    <t>VASO GRIEGO NATURAL 120G</t>
  </si>
  <si>
    <t>601715</t>
  </si>
  <si>
    <t>CAJA VASO YOGURT 150 GR X 12 UND</t>
  </si>
  <si>
    <t>600647</t>
  </si>
  <si>
    <t>ETIQ CREMA NATURAL 3 5 KG  KIOSKO</t>
  </si>
  <si>
    <t>600648</t>
  </si>
  <si>
    <t>FUNDAS QUINTALES  KIOSKO</t>
  </si>
  <si>
    <t>605442</t>
  </si>
  <si>
    <t>ETIQ. BEB YOG KIOSKO NARANJILLA 950</t>
  </si>
  <si>
    <t>601915</t>
  </si>
  <si>
    <t>4 PACK GELATINA</t>
  </si>
  <si>
    <t>601916</t>
  </si>
  <si>
    <t>4 PACK GELATINA FRESA</t>
  </si>
  <si>
    <t>601917</t>
  </si>
  <si>
    <t>4 PACK GELATINA CEREZA</t>
  </si>
  <si>
    <t>201134</t>
  </si>
  <si>
    <t>CREMA DE LECHE CRUDA 40% MG KIOSKO</t>
  </si>
  <si>
    <t>15870</t>
  </si>
  <si>
    <t>PACK FNSSE FRTROJ 1670G GRT GRANOLA NH</t>
  </si>
  <si>
    <t>15871</t>
  </si>
  <si>
    <t>PACK FNSSE SBILA 1670G GRT GRANOLA NH</t>
  </si>
  <si>
    <t>12720</t>
  </si>
  <si>
    <t>YOG FNSSE CLAS BOT 1650G</t>
  </si>
  <si>
    <t xml:space="preserve">YF CLASICO 1650G    </t>
  </si>
  <si>
    <t>15013</t>
  </si>
  <si>
    <t>BON YURT MASMELOS 165 GRAMOS</t>
  </si>
  <si>
    <t>11957</t>
  </si>
  <si>
    <t>Q MOZAR FNSSE BLOQ 400G</t>
  </si>
  <si>
    <t>QUESO MOZZARELLA FINESSE TAJADO</t>
  </si>
  <si>
    <t>16520</t>
  </si>
  <si>
    <t>PR 3 FUNDA 900G FRUMORDUR OBS CARIOCA</t>
  </si>
  <si>
    <t>842952</t>
  </si>
  <si>
    <t>PRV 6+1 CREM LCH FUN 250ML</t>
  </si>
  <si>
    <t xml:space="preserve">PRV6+1 CREMA 250GR  </t>
  </si>
  <si>
    <t>15634</t>
  </si>
  <si>
    <t>PACK AVENA FINESSE 250G P3LL3</t>
  </si>
  <si>
    <t>15635</t>
  </si>
  <si>
    <t>PACK AVENA DESLACTOSADA 250G P3LL3</t>
  </si>
  <si>
    <t>15636</t>
  </si>
  <si>
    <t>PACK AVENA FRUTAL 250G P2LL2</t>
  </si>
  <si>
    <t>5507</t>
  </si>
  <si>
    <t>YOG GRIEGO NAT VASO 150G</t>
  </si>
  <si>
    <t xml:space="preserve">YG NATURAL 150GR    </t>
  </si>
  <si>
    <t>5510</t>
  </si>
  <si>
    <t>Q PARME KIOSKO RALL BOL 40G</t>
  </si>
  <si>
    <t>14626</t>
  </si>
  <si>
    <t>PR SURTIDO KIOSKO KIDS 180GR</t>
  </si>
  <si>
    <t>16744</t>
  </si>
  <si>
    <t>CREMA DE LECHE ALPINA 200G</t>
  </si>
  <si>
    <t xml:space="preserve">CREM FUNDA 200G     </t>
  </si>
  <si>
    <t>5771</t>
  </si>
  <si>
    <t>Q PROVO AHUM KIOSKO BLOQ 260G</t>
  </si>
  <si>
    <t>QUESO PROVOLONE KIOSKO BLOQUE</t>
  </si>
  <si>
    <t xml:space="preserve">Q.PROVO AHUM 260G   </t>
  </si>
  <si>
    <t>16528</t>
  </si>
  <si>
    <t>Q MOZZARELLA HIERBAS LONJAS 75G</t>
  </si>
  <si>
    <t>16529</t>
  </si>
  <si>
    <t>Q MOZZARELLA HIERBAS LONJAS 150G</t>
  </si>
  <si>
    <t>5772</t>
  </si>
  <si>
    <t>Q PROVO AHUM KIOSKO AL PESO</t>
  </si>
  <si>
    <t xml:space="preserve">Q.PROVO AHUM PESO   </t>
  </si>
  <si>
    <t>5776</t>
  </si>
  <si>
    <t>Q SANDU KIOSKO AL PESO</t>
  </si>
  <si>
    <t>QUESO SANDUCHE KIOSKO BLOQUE</t>
  </si>
  <si>
    <t xml:space="preserve">Q SANDU AL PESO     </t>
  </si>
  <si>
    <t>14554</t>
  </si>
  <si>
    <t>PR REGE BBLE DZNO 180G 6+1</t>
  </si>
  <si>
    <t>842940</t>
  </si>
  <si>
    <t>PRV 6+1 KIDS 180GR DURAZNO KIOSKO</t>
  </si>
  <si>
    <t>11833</t>
  </si>
  <si>
    <t>YOG DUO KIOSKO GUANA MOR BOT 180G</t>
  </si>
  <si>
    <t>5757</t>
  </si>
  <si>
    <t>Q HIERBAS KIOSKO LONJ AL PESO</t>
  </si>
  <si>
    <t>QUESO SEMIMADURO HIERBAS KIOSKO TAJADO</t>
  </si>
  <si>
    <t xml:space="preserve">Q.HIERBAS LON PESO  </t>
  </si>
  <si>
    <t>14102</t>
  </si>
  <si>
    <t>CAJA NAVIDENA ARQ MOZ SMS</t>
  </si>
  <si>
    <t xml:space="preserve">CAJA NAVIDAD        </t>
  </si>
  <si>
    <t>13829</t>
  </si>
  <si>
    <t>MPLX5 QUESO MOZARELLA LIGHT KIOSKO 35 G</t>
  </si>
  <si>
    <t xml:space="preserve">5P MOZZ LIGHT 35G   </t>
  </si>
  <si>
    <t>11186</t>
  </si>
  <si>
    <t>YOG BBLE KIOSKO DZNO BOT 120G MINI</t>
  </si>
  <si>
    <t>10721</t>
  </si>
  <si>
    <t>AVENA ORIGINAL 1052G TETRA SLIM</t>
  </si>
  <si>
    <t>AVENA TETRA FAMILIAR</t>
  </si>
  <si>
    <t>11953</t>
  </si>
  <si>
    <t>YOG FNSSE FRTROJ BOT 950G</t>
  </si>
  <si>
    <t xml:space="preserve">YF FRTROJ 950G      </t>
  </si>
  <si>
    <t>12300</t>
  </si>
  <si>
    <t>YOG BBLE KIOSKO MOR BOT 3.5KG</t>
  </si>
  <si>
    <t xml:space="preserve">YK BBLE MOR 3.5K    </t>
  </si>
  <si>
    <t>1250</t>
  </si>
  <si>
    <t>YAGU FRUTILLA 120 GR BOTELLA</t>
  </si>
  <si>
    <t>YAGU</t>
  </si>
  <si>
    <t>YAGU PERSONAL</t>
  </si>
  <si>
    <t>12035</t>
  </si>
  <si>
    <t>Q MOZAR KIOSKO 10 LONJ 150G</t>
  </si>
  <si>
    <t xml:space="preserve">Q.MOZZ LONJ 150G    </t>
  </si>
  <si>
    <t>5758</t>
  </si>
  <si>
    <t>Q HOLAN KIOSKO AL PESO</t>
  </si>
  <si>
    <t xml:space="preserve">Q.HOLANDES PESO     </t>
  </si>
  <si>
    <t>843434</t>
  </si>
  <si>
    <t>PRV 6+1 FUNDA 900 GR MORA KIOSKO</t>
  </si>
  <si>
    <t>Yogurtkiosko</t>
  </si>
  <si>
    <t>PRV6+1 YK F MO 900GR</t>
  </si>
  <si>
    <t>15384</t>
  </si>
  <si>
    <t>LONCHERA REGRESO A CLASES</t>
  </si>
  <si>
    <t>14440</t>
  </si>
  <si>
    <t>CREM LCH CAJ 1L</t>
  </si>
  <si>
    <t>16493</t>
  </si>
  <si>
    <t>QUESO KIOSKO HOLANDES LONJ 1KG AL PESO</t>
  </si>
  <si>
    <t>201135</t>
  </si>
  <si>
    <t>LCH ESTAND ENTRE 3.0 3.4% MG</t>
  </si>
  <si>
    <t>201148</t>
  </si>
  <si>
    <t>CREMA DE LCH PAST</t>
  </si>
  <si>
    <t>201210</t>
  </si>
  <si>
    <t>B CUAJADA Q RICOT SAL KIOSKO</t>
  </si>
  <si>
    <t>200639</t>
  </si>
  <si>
    <t>MIX LCH HIDROL</t>
  </si>
  <si>
    <t>200640</t>
  </si>
  <si>
    <t>MIX B AREQUIPE</t>
  </si>
  <si>
    <t>201169</t>
  </si>
  <si>
    <t>MIX CUL B CUAJADA Q MOZAR LGHT KIOSKO</t>
  </si>
  <si>
    <t>200193</t>
  </si>
  <si>
    <t>BOT ETIQ BEB YOG KIOSKO DZNO 120G</t>
  </si>
  <si>
    <t>200784</t>
  </si>
  <si>
    <t>MIX B SAB RGN TZOS PITA</t>
  </si>
  <si>
    <t>200786</t>
  </si>
  <si>
    <t>MIX CUL BASE KUMIS ORIG</t>
  </si>
  <si>
    <t>12299</t>
  </si>
  <si>
    <t>YOG DUO KIOSKO PINA COCO FUN 900G</t>
  </si>
  <si>
    <t xml:space="preserve">YK PINA-COCO 900G   </t>
  </si>
  <si>
    <t>17116</t>
  </si>
  <si>
    <t>BY MINI CANPOP VASO 105G</t>
  </si>
  <si>
    <t>17117</t>
  </si>
  <si>
    <t>BY MINI MASMELOS 88G</t>
  </si>
  <si>
    <t>17025</t>
  </si>
  <si>
    <t>YOG FNSSE DURAZNO MUSLI 155G</t>
  </si>
  <si>
    <t>16233</t>
  </si>
  <si>
    <t>Q HOLAN KIOSKO BLOQ 400G</t>
  </si>
  <si>
    <t>Q.HOLANDES BLQ 400GR</t>
  </si>
  <si>
    <t>16234</t>
  </si>
  <si>
    <t>Q HIERBAS SEMIMAD KIOSKO 400G</t>
  </si>
  <si>
    <t xml:space="preserve">Q.HIERB BLQ 400GR   </t>
  </si>
  <si>
    <t>16781</t>
  </si>
  <si>
    <t>BY GRANOLA 165G</t>
  </si>
  <si>
    <t xml:space="preserve">BY GRAN 165G        </t>
  </si>
  <si>
    <t>14336</t>
  </si>
  <si>
    <t>LONCHERA BARBIE GELAT KIOSKO 510G</t>
  </si>
  <si>
    <t>LONCHERAS</t>
  </si>
  <si>
    <t xml:space="preserve">LONCHE BARBIE GELA  </t>
  </si>
  <si>
    <t>14337</t>
  </si>
  <si>
    <t>LONCHERA HOTWHEELS GELAT KIOSKO 510G</t>
  </si>
  <si>
    <t xml:space="preserve">LONCHE HOTW GELA    </t>
  </si>
  <si>
    <t>5730</t>
  </si>
  <si>
    <t>Q MOZAR KIOSKO BLOQ 350G</t>
  </si>
  <si>
    <t xml:space="preserve">Q.MOZZ 350G         </t>
  </si>
  <si>
    <t>14625</t>
  </si>
  <si>
    <t>PR SURTIDO KIOSKO KIDS 120GR</t>
  </si>
  <si>
    <t>843437</t>
  </si>
  <si>
    <t>PRV 8+1 QUESO MOZZ 200GR KIOSKO</t>
  </si>
  <si>
    <t xml:space="preserve">PRV8+1 MOZZ 200GR   </t>
  </si>
  <si>
    <t>14964</t>
  </si>
  <si>
    <t>CANASTA NAVIDAD AREQ 250G + GOUDA 350G</t>
  </si>
  <si>
    <t>16860</t>
  </si>
  <si>
    <t>SALSA DE QUESO CRIOLLO KIOSKO 200G</t>
  </si>
  <si>
    <t>QUESO FRESCO UNTABLE</t>
  </si>
  <si>
    <t>4012</t>
  </si>
  <si>
    <t>RGN LGHT FTLLA BOT 1750G</t>
  </si>
  <si>
    <t>REGENERIS BAJO EN GRASA BOTELLA FAMILIAR</t>
  </si>
  <si>
    <t>RGN LIGHT FTLL 1750G</t>
  </si>
  <si>
    <t>200787</t>
  </si>
  <si>
    <t>MIX B LAC KUMIS ORIG</t>
  </si>
  <si>
    <t>200194</t>
  </si>
  <si>
    <t>BOT ETIQ BEB YOG KIOSKO MOR 120G</t>
  </si>
  <si>
    <t>200195</t>
  </si>
  <si>
    <t>BOT ETIQ YOG KIOSKO FTLLA 180G MINI</t>
  </si>
  <si>
    <t>201438</t>
  </si>
  <si>
    <t>HIGN Y DESNF PRENSAS KIOSKO</t>
  </si>
  <si>
    <t>200226</t>
  </si>
  <si>
    <t>B SAB YOG FNSSE TZOS DE ALOE</t>
  </si>
  <si>
    <t>202042</t>
  </si>
  <si>
    <t>CUAJADA QUESO FRESCO 200 GR KIOSKO</t>
  </si>
  <si>
    <t>202073</t>
  </si>
  <si>
    <t>B SAB YOG BEB REG CIRUELA PASA</t>
  </si>
  <si>
    <t>202848</t>
  </si>
  <si>
    <t>SOBREC GOMITAS OSOS 27.1 G</t>
  </si>
  <si>
    <t>200218</t>
  </si>
  <si>
    <t>SOBREC ALMOHADILLAS AREQUIPE 20G</t>
  </si>
  <si>
    <t>201149</t>
  </si>
  <si>
    <t>MIX B CREM DE LCH NAT KIOSKO</t>
  </si>
  <si>
    <t>201156</t>
  </si>
  <si>
    <t>MIX MASA FUNDIDO TIPO AMERIC KIOSKO</t>
  </si>
  <si>
    <t>200405</t>
  </si>
  <si>
    <t>CUAJADA Q FRESC KIOSKO 450G</t>
  </si>
  <si>
    <t>201370</t>
  </si>
  <si>
    <t>MIX B SAB GELATINA KIOSKO CZA</t>
  </si>
  <si>
    <t>202653</t>
  </si>
  <si>
    <t>MIX CUL B CUAJ Q ANDINO SEMIMAD KIOSKO</t>
  </si>
  <si>
    <t>202659</t>
  </si>
  <si>
    <t>MIX B SAB BEBIDA YOG KIOSKO PINA COCO</t>
  </si>
  <si>
    <t>201199</t>
  </si>
  <si>
    <t>B CUAJADA Q CRIOL KIOSKO</t>
  </si>
  <si>
    <t>200081</t>
  </si>
  <si>
    <t>BASE AREQUIPE PARA REPROCESAR</t>
  </si>
  <si>
    <t>200163</t>
  </si>
  <si>
    <t>SOBREC CHOCKRI 17G</t>
  </si>
  <si>
    <t>300342</t>
  </si>
  <si>
    <t>ESENCIA DE QUESO CHEDDAR 971673 DSM</t>
  </si>
  <si>
    <t xml:space="preserve">BARENTZ ECUADOR SA                                                              </t>
  </si>
  <si>
    <t>300343</t>
  </si>
  <si>
    <t>COLORANTE B CAROTENE 10 CWS</t>
  </si>
  <si>
    <t>300401</t>
  </si>
  <si>
    <t>CULTIVO HOLANDES R 704</t>
  </si>
  <si>
    <t>301182</t>
  </si>
  <si>
    <t>STABIPROT 90 G GN MPC 80%</t>
  </si>
  <si>
    <t xml:space="preserve">DISAROMATI                                                                      </t>
  </si>
  <si>
    <t>300337</t>
  </si>
  <si>
    <t>ESENCIA DE LECHE KIOSKO</t>
  </si>
  <si>
    <t>300193</t>
  </si>
  <si>
    <t>ESENCIA DE TAMARINDO E</t>
  </si>
  <si>
    <t>300194</t>
  </si>
  <si>
    <t>COLORANTE CARAMELO CDL 010</t>
  </si>
  <si>
    <t>300231</t>
  </si>
  <si>
    <t>ACIDO SORBICO P</t>
  </si>
  <si>
    <t>300025</t>
  </si>
  <si>
    <t>LECHE CRUDA PROVEEDOR</t>
  </si>
  <si>
    <t xml:space="preserve">Lacteos Otros                 </t>
  </si>
  <si>
    <t xml:space="preserve">DIR_LT00  </t>
  </si>
  <si>
    <t>301852</t>
  </si>
  <si>
    <t>GRANOLA CHOCOLATE</t>
  </si>
  <si>
    <t>301891</t>
  </si>
  <si>
    <t>TANGO TROCEADO</t>
  </si>
  <si>
    <t>300188</t>
  </si>
  <si>
    <t>ESENCIA DE GUANABANA FG5911 00</t>
  </si>
  <si>
    <t>300189</t>
  </si>
  <si>
    <t>ESENCIA DE MORA DE CASTILLA 4M1439 00</t>
  </si>
  <si>
    <t>300190</t>
  </si>
  <si>
    <t>SUCRALOSA MIX 3</t>
  </si>
  <si>
    <t>300192</t>
  </si>
  <si>
    <t>SUCRALOSA MIX 2</t>
  </si>
  <si>
    <t>300029</t>
  </si>
  <si>
    <t>CITRATO TRISODICO  25</t>
  </si>
  <si>
    <t>300168</t>
  </si>
  <si>
    <t>GRAGEAS DE CHOCO SURT GRANEL 2X5 KG</t>
  </si>
  <si>
    <t xml:space="preserve">CORDIALSA                                                                       </t>
  </si>
  <si>
    <t>300169</t>
  </si>
  <si>
    <t>SALSA TROZO frt FRUTILLA REFORM 50% frt</t>
  </si>
  <si>
    <t>603022</t>
  </si>
  <si>
    <t>BOT ETIQ REGENERIS CIRUELA 1000G</t>
  </si>
  <si>
    <t>607576</t>
  </si>
  <si>
    <t>PACK DEDOS LIGHT LICENCIA</t>
  </si>
  <si>
    <t>601709</t>
  </si>
  <si>
    <t>CAJA QUESO PARMESANO CUNA  KIOSKO</t>
  </si>
  <si>
    <t>607098</t>
  </si>
  <si>
    <t>SOBRECOPA PEQUEÑA PP TRANSLUCIDA</t>
  </si>
  <si>
    <t xml:space="preserve">PRINTOPAC                                                                       </t>
  </si>
  <si>
    <t>607099</t>
  </si>
  <si>
    <t>FOIL SOBRECOPA PEQUEÑA PP</t>
  </si>
  <si>
    <t>605267</t>
  </si>
  <si>
    <t>CREMA AGRIA KIOSKO DOYPACK 200 G</t>
  </si>
  <si>
    <t>602412</t>
  </si>
  <si>
    <t>VASO BONYURT ZUCARITAS FRESA  E</t>
  </si>
  <si>
    <t>602538</t>
  </si>
  <si>
    <t>CAJA PLEGADIZA MANTEQUILLA 125 GR</t>
  </si>
  <si>
    <t>603335</t>
  </si>
  <si>
    <t>BOT. ETIQ. YOGURT FINESSE VAINILLA 950 G</t>
  </si>
  <si>
    <t>603339</t>
  </si>
  <si>
    <t>BOT ETIQ BEB YOG KIOSKO FTLLA 950G</t>
  </si>
  <si>
    <t>601054</t>
  </si>
  <si>
    <t>ETIQ YOG PITAHAYA 180 GR REGENERIS</t>
  </si>
  <si>
    <t>601055</t>
  </si>
  <si>
    <t>ETIQ. FINESSE NATURAL 1650 GR ECU</t>
  </si>
  <si>
    <t>601057</t>
  </si>
  <si>
    <t>ETIQ. KUMIS 1750G E</t>
  </si>
  <si>
    <t>601058</t>
  </si>
  <si>
    <t>SOBRECOPA FINESSE</t>
  </si>
  <si>
    <t>601059</t>
  </si>
  <si>
    <t>CAJA SUPERMAXI MANTEQUILLA E</t>
  </si>
  <si>
    <t>601171</t>
  </si>
  <si>
    <t>ETIQ. TERM. KIOSKO BEBIBLE DURAZNO 2 KG.</t>
  </si>
  <si>
    <t>603371</t>
  </si>
  <si>
    <t>BOT ETIQ YOG DESLAC FNSSE CLAS 950G</t>
  </si>
  <si>
    <t>601842</t>
  </si>
  <si>
    <t>4 PACK AVENA CANELA</t>
  </si>
  <si>
    <t>603024</t>
  </si>
  <si>
    <t>BOT ETIQ REGENERIS CIRUELA 1750G</t>
  </si>
  <si>
    <t>601426</t>
  </si>
  <si>
    <t>6 PACK KIOSKO DUO</t>
  </si>
  <si>
    <t>601428</t>
  </si>
  <si>
    <t>LAMINADO MOZARELLA FINESSE DEDOS</t>
  </si>
  <si>
    <t>601429</t>
  </si>
  <si>
    <t>MULTIEMPAQUE QUESO DEDOS FINESSE</t>
  </si>
  <si>
    <t>603330</t>
  </si>
  <si>
    <t>BOT ETIQ RGN DZNO 1750G</t>
  </si>
  <si>
    <t>603331</t>
  </si>
  <si>
    <t>BOT ETIQ RGN MOR 1750G</t>
  </si>
  <si>
    <t>603332</t>
  </si>
  <si>
    <t>BOT ETIQ RGN BBLE FTLLA 180G</t>
  </si>
  <si>
    <t>601705</t>
  </si>
  <si>
    <t>CAJA QUESO MOZARELLA FINESSE 200 GR</t>
  </si>
  <si>
    <t>601706</t>
  </si>
  <si>
    <t>CAJA QUESO MOZARELLA FINESSE 400 GR</t>
  </si>
  <si>
    <t>600422</t>
  </si>
  <si>
    <t>MULTIEMPAQUE FOUR PACK REGENERIS E</t>
  </si>
  <si>
    <t>601403</t>
  </si>
  <si>
    <t>ETIQUETA QUESO PROVOLONE LONJAS 1 KG</t>
  </si>
  <si>
    <t>601410</t>
  </si>
  <si>
    <t>VASO CEREAL FRUTILLA MINI  KIOSKO</t>
  </si>
  <si>
    <t>601174</t>
  </si>
  <si>
    <t>ETIQUETA BEBIBLE MORA 3.5 KG  KIOSKO</t>
  </si>
  <si>
    <t>601708</t>
  </si>
  <si>
    <t>CAJA QUESO AMERICANO LONJAS  KIOSKO</t>
  </si>
  <si>
    <t>601710</t>
  </si>
  <si>
    <t>CAJA QUESO HIERBAS  KIOSKO</t>
  </si>
  <si>
    <t>600661</t>
  </si>
  <si>
    <t>BOL MADURACION HOLANDES 450 G. CLEAR 7.</t>
  </si>
  <si>
    <t>605403</t>
  </si>
  <si>
    <t>LAMINA PLASTICO 30CM X 60 MIC</t>
  </si>
  <si>
    <t>607419</t>
  </si>
  <si>
    <t>ROLLO PLASTICO 21CM</t>
  </si>
  <si>
    <t>604146</t>
  </si>
  <si>
    <t>LINEA DIARIA SANDUCHE 75 GRS</t>
  </si>
  <si>
    <t>601304</t>
  </si>
  <si>
    <t>SEPARADOR YOGURT 2 LT KIOSKO</t>
  </si>
  <si>
    <t>601361</t>
  </si>
  <si>
    <t>ETIQ. LINEA DIARIA SANDUCHE 60 GR. FRENT</t>
  </si>
  <si>
    <t>601362</t>
  </si>
  <si>
    <t>CUCHILLO PARA QUESO</t>
  </si>
  <si>
    <t>601398</t>
  </si>
  <si>
    <t>4 PACK Q UNTABLE MOZARELLA 45 GRKIOSKO</t>
  </si>
  <si>
    <t>605513</t>
  </si>
  <si>
    <t>ETIQ REGN CIRUELA 1750</t>
  </si>
  <si>
    <t>605514</t>
  </si>
  <si>
    <t>ETIQ REGN GRANADILLA 1750</t>
  </si>
  <si>
    <t>603146</t>
  </si>
  <si>
    <t>SEPARADOR YOGURT 2 LT KIOSKO TRASVERSAL</t>
  </si>
  <si>
    <t>600423</t>
  </si>
  <si>
    <t>FUNDA SIX PAK AVENA VASO E</t>
  </si>
  <si>
    <t>600424</t>
  </si>
  <si>
    <t>TAPA BLANCA 750 1750 CON LINER ESP</t>
  </si>
  <si>
    <t>601207</t>
  </si>
  <si>
    <t>CAJA SUPERMAXI LITRO BEBIBLE E</t>
  </si>
  <si>
    <t>601212</t>
  </si>
  <si>
    <t>TARRO SOLUCION LIMPIEZA REF 163601Q CODI</t>
  </si>
  <si>
    <t>601213</t>
  </si>
  <si>
    <t>ETIQUETA 3.5X3</t>
  </si>
  <si>
    <t>201561</t>
  </si>
  <si>
    <t>BOT ETIQ YOG KIOSKO MORA 120G</t>
  </si>
  <si>
    <t>605757</t>
  </si>
  <si>
    <t>TARRINA GRIEGO MORA ARANDANOS 400G</t>
  </si>
  <si>
    <t>601172</t>
  </si>
  <si>
    <t>BOTELLA BLANCA 3500 KIOSKO</t>
  </si>
  <si>
    <t>601173</t>
  </si>
  <si>
    <t>ETIQ BEBIBLE FRUTILLA 3.5 KG  KIOSKO</t>
  </si>
  <si>
    <t>601707</t>
  </si>
  <si>
    <t>CAJA QUESO PIZZA LONJAS 300  RALLADO 50</t>
  </si>
  <si>
    <t>600715</t>
  </si>
  <si>
    <t>ETIQ. QUESO MADURO SANDUCHE 300 GR. C N</t>
  </si>
  <si>
    <t>600686</t>
  </si>
  <si>
    <t>ETIQ BLOQUE JAVIERINO KIOSKO</t>
  </si>
  <si>
    <t>603098</t>
  </si>
  <si>
    <t>STICKER 2+1</t>
  </si>
  <si>
    <t>603099</t>
  </si>
  <si>
    <t>STICKER 2+2</t>
  </si>
  <si>
    <t>603100</t>
  </si>
  <si>
    <t>STICKER 3+3</t>
  </si>
  <si>
    <t>605266</t>
  </si>
  <si>
    <t>Q MOZARELLA KIOSKO DOYPACK 200G</t>
  </si>
  <si>
    <t>600650</t>
  </si>
  <si>
    <t>FOIL 101  COEX SIN IMPRESION  68 BONYU</t>
  </si>
  <si>
    <t>600651</t>
  </si>
  <si>
    <t>VASO DULCE DE LECHE 500  KIOSKO</t>
  </si>
  <si>
    <t>601177</t>
  </si>
  <si>
    <t>FUNDA MALLA PROVOLONE  KIOSKO</t>
  </si>
  <si>
    <t xml:space="preserve">CARLOS MANUEL GOMEZ QUIRANZA                                                    </t>
  </si>
  <si>
    <t>601198</t>
  </si>
  <si>
    <t>CAJA SUPERMAXI VARIOS E</t>
  </si>
  <si>
    <t>601199</t>
  </si>
  <si>
    <t>CAJA SUPERMAXI FOUR PACK E</t>
  </si>
  <si>
    <t>600445</t>
  </si>
  <si>
    <t>LAMINA BEBIBLE DURAZNO 900 GR KIOSKO</t>
  </si>
  <si>
    <t>600013</t>
  </si>
  <si>
    <t>BOLSA PARA CUBETA DEVOLUCION</t>
  </si>
  <si>
    <t>601941</t>
  </si>
  <si>
    <t>TARRINA CREMA AGRIA 220</t>
  </si>
  <si>
    <t>601240</t>
  </si>
  <si>
    <t>ETIQUETA MADURO HOLANDES 300  KIOSKO</t>
  </si>
  <si>
    <t>601241</t>
  </si>
  <si>
    <t>ETIQUETA MADURO JAVIERINO 300  KIOSKO</t>
  </si>
  <si>
    <t>601248</t>
  </si>
  <si>
    <t>CAJA QUESO PIZZA Y TACO</t>
  </si>
  <si>
    <t>601250</t>
  </si>
  <si>
    <t>SEPARADOR MOZARELLA LARGO</t>
  </si>
  <si>
    <t>601251</t>
  </si>
  <si>
    <t>SEPARADOR MOZARELLA 500</t>
  </si>
  <si>
    <t>300512</t>
  </si>
  <si>
    <t>DIOXIDO DE CLORO DIOXIPACK</t>
  </si>
  <si>
    <t xml:space="preserve">PRODUCTOS QUIMICOS PAC PROQUIPAC CI                                             </t>
  </si>
  <si>
    <t>400449</t>
  </si>
  <si>
    <t>SEDIFLOC 850</t>
  </si>
  <si>
    <t>401142</t>
  </si>
  <si>
    <t>TOPAX 58</t>
  </si>
  <si>
    <t>15627</t>
  </si>
  <si>
    <t>PACK BY 2BLACK+2NEON GRAT FL P4LL5</t>
  </si>
  <si>
    <t>NEW024</t>
  </si>
  <si>
    <t>QUESO CREMA KIOSKO INSTITUCIONAL</t>
  </si>
  <si>
    <t xml:space="preserve">NEW024              </t>
  </si>
  <si>
    <t>16516</t>
  </si>
  <si>
    <t>GRIEG KIOSKO LIMON 120</t>
  </si>
  <si>
    <t>5719</t>
  </si>
  <si>
    <t>Q AMERIC KIOSKO LONJ AL PESO</t>
  </si>
  <si>
    <t xml:space="preserve">Q.AMERC LON PESO    </t>
  </si>
  <si>
    <t>5753</t>
  </si>
  <si>
    <t>Q GOUDA KIOSKO BLOQ 350G</t>
  </si>
  <si>
    <t>QUESO GOUDA KIOSKO BLOQUE</t>
  </si>
  <si>
    <t xml:space="preserve">Q GOUDA 350G        </t>
  </si>
  <si>
    <t>5770</t>
  </si>
  <si>
    <t>Q MIX ESPECIAL KIOSKO CUBO BOL 500G</t>
  </si>
  <si>
    <t xml:space="preserve">Q.MIX CUBOS 500G    </t>
  </si>
  <si>
    <t>16157</t>
  </si>
  <si>
    <t>Q MOZZAR KIOSKO 5 LONJ 75G</t>
  </si>
  <si>
    <t>12319</t>
  </si>
  <si>
    <t>Q PROVO AHUM KIOSKO 10 LONJ 150G</t>
  </si>
  <si>
    <t xml:space="preserve">Q.PROV AHU LON 150G </t>
  </si>
  <si>
    <t>5767</t>
  </si>
  <si>
    <t>Q JAVIER KIOSKO LONJ AL PESO</t>
  </si>
  <si>
    <t>5746</t>
  </si>
  <si>
    <t>Q MOZAR PIZZ KIOSKO 20 LONJ 300G</t>
  </si>
  <si>
    <t xml:space="preserve">Q.MOZZ PIZ LON 300G </t>
  </si>
  <si>
    <t>5747</t>
  </si>
  <si>
    <t>Q MOZAR PIZZ KIOSKO LONJ AL PESO</t>
  </si>
  <si>
    <t>13647</t>
  </si>
  <si>
    <t>GELAT PREM KIOSKO CZA VASO 170G</t>
  </si>
  <si>
    <t xml:space="preserve">GELAT PREM CZA 170G </t>
  </si>
  <si>
    <t>2121</t>
  </si>
  <si>
    <t>RGN CER PITA BOT 180G</t>
  </si>
  <si>
    <t xml:space="preserve">RGN CER PITA 180G   </t>
  </si>
  <si>
    <t>5818</t>
  </si>
  <si>
    <t>Q FRES KIOSKO BLOQ 450G</t>
  </si>
  <si>
    <t xml:space="preserve">Q.FRESCO 450G       </t>
  </si>
  <si>
    <t>4895</t>
  </si>
  <si>
    <t>RGN TZOS DZNO BOT 1000G</t>
  </si>
  <si>
    <t xml:space="preserve">RGN TZOS DZNO 1000G </t>
  </si>
  <si>
    <t>845302</t>
  </si>
  <si>
    <t>PRV 10+1 CREM LCH FUN 250ML</t>
  </si>
  <si>
    <t xml:space="preserve">PRV10+1 CREMA 250GR </t>
  </si>
  <si>
    <t>845618</t>
  </si>
  <si>
    <t>PRV 3+1 QUESO CREMA KIOSKO 250G</t>
  </si>
  <si>
    <t>QUESO CREMA KIOSKO</t>
  </si>
  <si>
    <t>845619</t>
  </si>
  <si>
    <t>PRV 7+1 QUESO MOZZ 350GR KIOSKO</t>
  </si>
  <si>
    <t>Termoformado</t>
  </si>
  <si>
    <t>MOZZARELLA</t>
  </si>
  <si>
    <t>16496</t>
  </si>
  <si>
    <t>QUESO KIOSKO HIERBAS LONJ 1 KG AL PESO</t>
  </si>
  <si>
    <t>QUESO HIERBAS KIOSKO TAJADO</t>
  </si>
  <si>
    <t>17350</t>
  </si>
  <si>
    <t>YOG BBLE KID KK BANANO BOT 180G</t>
  </si>
  <si>
    <t>17370</t>
  </si>
  <si>
    <t>PACK TABLA+PARM 40G+ AMERIC 75G+SAN 75G</t>
  </si>
  <si>
    <t>17258</t>
  </si>
  <si>
    <t>MPLX6 Q MOZAR KIOSKO SNACK 50G LICENCIA</t>
  </si>
  <si>
    <t>17155</t>
  </si>
  <si>
    <t>MQUILLA NAT KIOSKO 1KG INST MOD OTROS</t>
  </si>
  <si>
    <t>12202239</t>
  </si>
  <si>
    <t>ALPINETTE MARACUYA 140G ECU</t>
  </si>
  <si>
    <t>ALPINETTE MARAC 140G</t>
  </si>
  <si>
    <t>11101</t>
  </si>
  <si>
    <t>BON YURT BLACK MINI 115 G</t>
  </si>
  <si>
    <t xml:space="preserve">BY MINI BLCK        </t>
  </si>
  <si>
    <t>200231</t>
  </si>
  <si>
    <t>SOBREC ARZ CROCANTE FRE 14G</t>
  </si>
  <si>
    <t>200809</t>
  </si>
  <si>
    <t>SOBREC CEREAL ZUC 15G</t>
  </si>
  <si>
    <t>200387</t>
  </si>
  <si>
    <t>CUAJADA Q FRES LGHT KIOSKO 450G</t>
  </si>
  <si>
    <t>200547</t>
  </si>
  <si>
    <t>SOLUC COLOR AZUL BRILLANTE AL 4%</t>
  </si>
  <si>
    <t>201457</t>
  </si>
  <si>
    <t>AGUA RESIDUAL TRATADA</t>
  </si>
  <si>
    <t>11536</t>
  </si>
  <si>
    <t>CANASTA TENTACION</t>
  </si>
  <si>
    <t>200402</t>
  </si>
  <si>
    <t>CUAJADA Q JAVIER KIOSKO BLOQ</t>
  </si>
  <si>
    <t>200782</t>
  </si>
  <si>
    <t>MIX B SAB YOG KIOSKO TZOS MOR</t>
  </si>
  <si>
    <t>200788</t>
  </si>
  <si>
    <t>BOT ETIQ YOG KIOSKO NAT 950G</t>
  </si>
  <si>
    <t>202946</t>
  </si>
  <si>
    <t>SOBREC GRANOLA CHOCOLATE 20G</t>
  </si>
  <si>
    <t>201402</t>
  </si>
  <si>
    <t>PUNTAS DE QUESO SEMIMADURO JAVIERINO</t>
  </si>
  <si>
    <t>200384</t>
  </si>
  <si>
    <t>B DUL LCH KIOSKO</t>
  </si>
  <si>
    <t>200813</t>
  </si>
  <si>
    <t>B SAB RGN DESLAC CER GDLLA</t>
  </si>
  <si>
    <t>201200</t>
  </si>
  <si>
    <t>B CUAJADA Q AMARILLOS</t>
  </si>
  <si>
    <t>201201</t>
  </si>
  <si>
    <t>B CUAJADA Q PARME</t>
  </si>
  <si>
    <t>15593</t>
  </si>
  <si>
    <t>Q MOZZARELLA DESLACTOSADO 500 GR</t>
  </si>
  <si>
    <t xml:space="preserve">Q.MOZZ DESLAC 500G  </t>
  </si>
  <si>
    <t>842946</t>
  </si>
  <si>
    <t>PRV 5+1 BY BLACK VASO 165GR</t>
  </si>
  <si>
    <t>PRV5+1 BY BLCK 165GR</t>
  </si>
  <si>
    <t>16989</t>
  </si>
  <si>
    <t>CANASTA NAVIDENA 3 CREMA DE LECHE</t>
  </si>
  <si>
    <t>17014</t>
  </si>
  <si>
    <t>Q HOLANDES KIOSKO RALLADO 1500G</t>
  </si>
  <si>
    <t>QUESO HOLANDES BLOQUE</t>
  </si>
  <si>
    <t>6226239</t>
  </si>
  <si>
    <t>ALPINETTE MORA 140G ECU</t>
  </si>
  <si>
    <t xml:space="preserve">ALPINETTE MORA 140G </t>
  </si>
  <si>
    <t>843817</t>
  </si>
  <si>
    <t>PRV 6+1 RGN TZOS MOR VASO 150 G</t>
  </si>
  <si>
    <t>PRV6+1 YR TZ MO 150G</t>
  </si>
  <si>
    <t>11977</t>
  </si>
  <si>
    <t>MPLX4 RGN CER PITA BOT 180G</t>
  </si>
  <si>
    <t xml:space="preserve">4P RGN CER PIT 180G </t>
  </si>
  <si>
    <t>14539</t>
  </si>
  <si>
    <t>PR 6+1 QUESO MOZZ KIOSKO 350GR</t>
  </si>
  <si>
    <t>843435</t>
  </si>
  <si>
    <t>PRV 6+1 FUNDA 900 GR FRUTILLA KIOSKO</t>
  </si>
  <si>
    <t>PRV6+1 YK F FR 900GR</t>
  </si>
  <si>
    <t>201202</t>
  </si>
  <si>
    <t>B CUAJADA Q HOLAN SEMIMAD KIOSKO</t>
  </si>
  <si>
    <t>201203</t>
  </si>
  <si>
    <t>B CUAJADA Q GOUDA SEMIMAD KIOSKO</t>
  </si>
  <si>
    <t>201204</t>
  </si>
  <si>
    <t>B CUAJADA Q HIERBAS SEMIMAD KIOSKO</t>
  </si>
  <si>
    <t>200789</t>
  </si>
  <si>
    <t>BOT ETIQ YOG KIOSKO NAT 1700G</t>
  </si>
  <si>
    <t>200180</t>
  </si>
  <si>
    <t>B SAB RGN FIB CER PITA ECU</t>
  </si>
  <si>
    <t>201140</t>
  </si>
  <si>
    <t>MIX CUL B LAC YOG BBLE KIOSKO</t>
  </si>
  <si>
    <t>201141</t>
  </si>
  <si>
    <t>MIX B LAC YOG BBLE KIOSKO</t>
  </si>
  <si>
    <t>843436</t>
  </si>
  <si>
    <t>PRV 6+1 FUNDA 900 GR DURAZNO KIOSKO</t>
  </si>
  <si>
    <t>PRV6+1 YK F DU 900GR</t>
  </si>
  <si>
    <t>12570</t>
  </si>
  <si>
    <t>YOG FNSSE NAT BOT 950G</t>
  </si>
  <si>
    <t xml:space="preserve">YF NATURAL 950G     </t>
  </si>
  <si>
    <t>11108</t>
  </si>
  <si>
    <t>YOG BBLE KIOSKO DZNO BOT 1700G</t>
  </si>
  <si>
    <t xml:space="preserve">YK BBLE DZNO 1700G  </t>
  </si>
  <si>
    <t>17052</t>
  </si>
  <si>
    <t>KIOSKO MOZZARELL LONJAS LINEA DIARIA 75G</t>
  </si>
  <si>
    <t>16368</t>
  </si>
  <si>
    <t>YOG FNSSE VAINILLA 1650</t>
  </si>
  <si>
    <t>Y.FNSS VAINILLA 1670</t>
  </si>
  <si>
    <t>16372</t>
  </si>
  <si>
    <t>YOG BBLE KIOSKO FTILLA 180</t>
  </si>
  <si>
    <t>14552</t>
  </si>
  <si>
    <t>PR BEBI YOG KIOSKO DZNO 120G PREM 6+1</t>
  </si>
  <si>
    <t>201142</t>
  </si>
  <si>
    <t>LCH DESC 0.01  0.5% MG SAN GABRIEL</t>
  </si>
  <si>
    <t>201143</t>
  </si>
  <si>
    <t>MIX B LAC YAGU ECU</t>
  </si>
  <si>
    <t>201144</t>
  </si>
  <si>
    <t>B LAC YAGU</t>
  </si>
  <si>
    <t>201145</t>
  </si>
  <si>
    <t>MIX B SAB YAGU DZNO</t>
  </si>
  <si>
    <t>201146</t>
  </si>
  <si>
    <t>MIX B SAB YAGU FTLLA</t>
  </si>
  <si>
    <t>202545</t>
  </si>
  <si>
    <t>CUAJADA Q JAVIER KIOSKO RUEDA 400G</t>
  </si>
  <si>
    <t>201159</t>
  </si>
  <si>
    <t>MIX B CUAJADA Q GOUDA SEMIMAD KIOSKO</t>
  </si>
  <si>
    <t>200170</t>
  </si>
  <si>
    <t>B SAB RGN FTLLA</t>
  </si>
  <si>
    <t>200171</t>
  </si>
  <si>
    <t>B SAB RGN MOR</t>
  </si>
  <si>
    <t>14717</t>
  </si>
  <si>
    <t>Q HOLAN KIOSKO 10 LONJ 150G SIN ETIQUETA</t>
  </si>
  <si>
    <t>17036</t>
  </si>
  <si>
    <t>YOG FINESSE NATURAL 1650G</t>
  </si>
  <si>
    <t>14164</t>
  </si>
  <si>
    <t>MPLX4 ALPINETTE MOR 140G</t>
  </si>
  <si>
    <t>4P ALPINETTE MO 140G</t>
  </si>
  <si>
    <t>14165</t>
  </si>
  <si>
    <t>MPLX4 ALPINETTE CZA 140G</t>
  </si>
  <si>
    <t>4P ALPINETTE CR 140G</t>
  </si>
  <si>
    <t>200175</t>
  </si>
  <si>
    <t>B SAB RGN LGHT FTLLA</t>
  </si>
  <si>
    <t>202656</t>
  </si>
  <si>
    <t>B SAB BEBIDA YOG KIOSKO DURAZNO</t>
  </si>
  <si>
    <t>202657</t>
  </si>
  <si>
    <t>B SAB BEBIDA YOG KIOSKO MORA</t>
  </si>
  <si>
    <t>201381</t>
  </si>
  <si>
    <t>GELATINA PARA ENSAMB UVA 170G KIOSKO</t>
  </si>
  <si>
    <t>202193</t>
  </si>
  <si>
    <t>BOT KIOSKO BEB MORA 120G PROMO</t>
  </si>
  <si>
    <t>200391</t>
  </si>
  <si>
    <t>CUAJADA Q MOZAR KIOSKO 500G</t>
  </si>
  <si>
    <t>200392</t>
  </si>
  <si>
    <t>CUAJADA Q MOZAR KIOSKO 700G</t>
  </si>
  <si>
    <t>200394</t>
  </si>
  <si>
    <t>CUAJADA Q MOZAR KIOSKO 900G</t>
  </si>
  <si>
    <t>201434</t>
  </si>
  <si>
    <t>MIX CULTIVO CUAJADA SANDUCHE KIOSKO</t>
  </si>
  <si>
    <t>201654</t>
  </si>
  <si>
    <t>MIX BASE SABOR. BON YURT FRUTILLA ECU</t>
  </si>
  <si>
    <t>202047</t>
  </si>
  <si>
    <t>AREQUIPE PRETZEL INDV VASO 75 G SEMIT</t>
  </si>
  <si>
    <t>202390</t>
  </si>
  <si>
    <t>Q SANDU KIOSKO 5 LONJ 75G SIN ETIQ</t>
  </si>
  <si>
    <t>5766</t>
  </si>
  <si>
    <t>Q JAVIER KIOSKO 10 LONJ 150G</t>
  </si>
  <si>
    <t xml:space="preserve">Q.JAVIER LON 150G   </t>
  </si>
  <si>
    <t>4894</t>
  </si>
  <si>
    <t>RGN TZOS FTLLA BOT 1000G</t>
  </si>
  <si>
    <t>RGN TZOS FTLLA 1000G</t>
  </si>
  <si>
    <t>8499239</t>
  </si>
  <si>
    <t>AVENA FINESSE VASO 250G ECU</t>
  </si>
  <si>
    <t xml:space="preserve">AVE FINESSE 250G    </t>
  </si>
  <si>
    <t>14537</t>
  </si>
  <si>
    <t>PR 6+1 CREM LCH FUN 250ML</t>
  </si>
  <si>
    <t>4011</t>
  </si>
  <si>
    <t>RGN LGHT FTLLA BOT 1000G</t>
  </si>
  <si>
    <t>RGN LIGHT FTLL 1000G</t>
  </si>
  <si>
    <t>5709</t>
  </si>
  <si>
    <t>DULCE LCH KIOSKO VASO 500G</t>
  </si>
  <si>
    <t>5513</t>
  </si>
  <si>
    <t>Q PARME KIOSKO RALL BOL 500G</t>
  </si>
  <si>
    <t xml:space="preserve">Q.PARMESA RALL 500G </t>
  </si>
  <si>
    <t>603101</t>
  </si>
  <si>
    <t>STICKER 4+1</t>
  </si>
  <si>
    <t>600670</t>
  </si>
  <si>
    <t>FUNDA ALIFAN MOZARELLA 600  KIOSKO</t>
  </si>
  <si>
    <t>M</t>
  </si>
  <si>
    <t>600671</t>
  </si>
  <si>
    <t>CLIPS 6B QUESOS  KIOSKO</t>
  </si>
  <si>
    <t>602052</t>
  </si>
  <si>
    <t>CAJA YOGURT GRIEGO</t>
  </si>
  <si>
    <t>600993</t>
  </si>
  <si>
    <t>ETIQ YOG MORA 1750 GR REGENERIS ECU</t>
  </si>
  <si>
    <t>600995</t>
  </si>
  <si>
    <t>ETIQ DZNO 180 GR BEBIBLEREGENERIS ECU</t>
  </si>
  <si>
    <t>600997</t>
  </si>
  <si>
    <t>ETIQ FRUTILLA 180 GR BEBIBLE REGENERIS</t>
  </si>
  <si>
    <t>600693</t>
  </si>
  <si>
    <t>FUNDA REQUESON 500 KIOSKO</t>
  </si>
  <si>
    <t>601254</t>
  </si>
  <si>
    <t>CAJA YOGURT 2 LT KIOSKO</t>
  </si>
  <si>
    <t>844039</t>
  </si>
  <si>
    <t>PRV 4+1 RGN VASO 2FR+1DUR+1MOR GRT MORA</t>
  </si>
  <si>
    <t>PRV4+1 YR TZ MU 150G</t>
  </si>
  <si>
    <t>8655</t>
  </si>
  <si>
    <t>BY ZUC VASO 170G ECU</t>
  </si>
  <si>
    <t xml:space="preserve">BY ZUC VASO 170G    </t>
  </si>
  <si>
    <t>16678</t>
  </si>
  <si>
    <t>YOG BBLE KIOSKO GNBN 900G</t>
  </si>
  <si>
    <t>5506</t>
  </si>
  <si>
    <t>YOG GRIEGO MOR ARAND VASO 150G</t>
  </si>
  <si>
    <t xml:space="preserve">YG MORA-ARAN 150GR  </t>
  </si>
  <si>
    <t>5777</t>
  </si>
  <si>
    <t>Q SANDU KIOSKO 10 LONJ 150G</t>
  </si>
  <si>
    <t xml:space="preserve">Q.SANDUCHE 150G     </t>
  </si>
  <si>
    <t>14548</t>
  </si>
  <si>
    <t>PR TRIPACKGLOW 1FRU+1DU+1PINCOC</t>
  </si>
  <si>
    <t>14549</t>
  </si>
  <si>
    <t>PR BBLE KIOSKO KID FRUT 180G 6+1</t>
  </si>
  <si>
    <t>13645</t>
  </si>
  <si>
    <t>CAJA BARQ DE AREQ 240G</t>
  </si>
  <si>
    <t>CAJ BRQLLO AREQ 240G</t>
  </si>
  <si>
    <t>12552</t>
  </si>
  <si>
    <t>YOG CER KIOSKO FTLLA VASO 120G</t>
  </si>
  <si>
    <t>YK FTLLA CEREAL 120G</t>
  </si>
  <si>
    <t>13534</t>
  </si>
  <si>
    <t>Q HOLAN KIOSKO INST LONJ AL PESO</t>
  </si>
  <si>
    <t xml:space="preserve">Q.HOLAN LON PESO    </t>
  </si>
  <si>
    <t>12567</t>
  </si>
  <si>
    <t>BY CHOCGOZ VASO 175G</t>
  </si>
  <si>
    <t xml:space="preserve">BY CHOCOGOZO 175GR  </t>
  </si>
  <si>
    <t>5737</t>
  </si>
  <si>
    <t>Q MOZAR LGHT KIOSKO BLOQ 700G</t>
  </si>
  <si>
    <t xml:space="preserve">Q.MOZZ LIGHT 700G   </t>
  </si>
  <si>
    <t>4013</t>
  </si>
  <si>
    <t>MPLX4 RGN LGHT FTLLA BOT 180G</t>
  </si>
  <si>
    <t>4P RGN LG FTLLA 180G</t>
  </si>
  <si>
    <t>14534</t>
  </si>
  <si>
    <t>PR 4+1 BEB YOG KIOSKO FRU FUN900GR</t>
  </si>
  <si>
    <t>14721</t>
  </si>
  <si>
    <t>MANTEQUILLA SIN SAL KIOSKO 250G</t>
  </si>
  <si>
    <t>MANTEQUILLA SIN SAL</t>
  </si>
  <si>
    <t xml:space="preserve">MQUILLA 250G        </t>
  </si>
  <si>
    <t>11037</t>
  </si>
  <si>
    <t>MPLX4 BY NEON VASO 170G</t>
  </si>
  <si>
    <t xml:space="preserve">4P BY NEON 170G     </t>
  </si>
  <si>
    <t>603379</t>
  </si>
  <si>
    <t>BOT ETIQU BBLE KIOSKO KIDS MORA 180G</t>
  </si>
  <si>
    <t>601452</t>
  </si>
  <si>
    <t>TARRINA MANTEQUILLA 200</t>
  </si>
  <si>
    <t>601458</t>
  </si>
  <si>
    <t>FOIL YOGURT GRIEGO</t>
  </si>
  <si>
    <t>601459</t>
  </si>
  <si>
    <t>VASO CEREAL CHOCOLATE MINI KIOSKO</t>
  </si>
  <si>
    <t>600999</t>
  </si>
  <si>
    <t>ETIQ DZNO 1000 GR BEBIBLE REGENERIS EC</t>
  </si>
  <si>
    <t>601001</t>
  </si>
  <si>
    <t>ETIQ FRUTILLA 1000 GR BEBIBLE REGENERIS</t>
  </si>
  <si>
    <t>601003</t>
  </si>
  <si>
    <t>ETIQ. YOG DURAZNO BEBIBLE REGENERIS 1750</t>
  </si>
  <si>
    <t>601237</t>
  </si>
  <si>
    <t>TARRO SOLUCION LIMPIEZA 163601Q  KIOSK</t>
  </si>
  <si>
    <t>17259</t>
  </si>
  <si>
    <t>Q MOZAR KIOSKO SNACK 50G LICENCIA</t>
  </si>
  <si>
    <t>17261</t>
  </si>
  <si>
    <t>Q JAVIERNINO KIOSKO CUBO BOL 50</t>
  </si>
  <si>
    <t>17263</t>
  </si>
  <si>
    <t>SALSA CRIOLLA DOYP 200G</t>
  </si>
  <si>
    <t>17264</t>
  </si>
  <si>
    <t>RICOTTA UNT TAR 190G</t>
  </si>
  <si>
    <t>17265</t>
  </si>
  <si>
    <t>Q MOZAR KIOSKO BLOQ AHUM 350G</t>
  </si>
  <si>
    <t>QUESO MOZARELLA KIOSKO AHUMADO</t>
  </si>
  <si>
    <t>17266</t>
  </si>
  <si>
    <t>Q MOZZ KIOSKO AHUM DOY 150G</t>
  </si>
  <si>
    <t>17267</t>
  </si>
  <si>
    <t>Q MOZAR KIOSKO AHUM SNACK 50G</t>
  </si>
  <si>
    <t xml:space="preserve">Q.MOZZ PIZ PESO     </t>
  </si>
  <si>
    <t>201466</t>
  </si>
  <si>
    <t>B SAB BEB YOG DESLAC FNSSE FTLLA</t>
  </si>
  <si>
    <t>200401</t>
  </si>
  <si>
    <t>CUAJADA Q PROVO AHUM KIOSKO 260G</t>
  </si>
  <si>
    <t>200413</t>
  </si>
  <si>
    <t>CUAJADA Q GOUDA KIOSKO 350G</t>
  </si>
  <si>
    <t>12550</t>
  </si>
  <si>
    <t>MPLX4 BY MULTSAB VASO</t>
  </si>
  <si>
    <t>14733</t>
  </si>
  <si>
    <t>PR QUESO MOZZ 200GR + AREQ VASO 50G</t>
  </si>
  <si>
    <t>14734</t>
  </si>
  <si>
    <t>PR QUESO MOZZ 700GR + AREQ VASO 250G</t>
  </si>
  <si>
    <t>12417</t>
  </si>
  <si>
    <t>Q AMASADO KIOSKO BLOQ 250G</t>
  </si>
  <si>
    <t>14558</t>
  </si>
  <si>
    <t>PR BY FROOT LOOPS VASO 165G 5+1</t>
  </si>
  <si>
    <t>200795</t>
  </si>
  <si>
    <t>MIX B LAC RGN BBLE</t>
  </si>
  <si>
    <t>200182</t>
  </si>
  <si>
    <t>BOT ETIQ RGN CER PITA 1000G MAQ</t>
  </si>
  <si>
    <t>200183</t>
  </si>
  <si>
    <t>BOT ETIQ RGN CER PITA 1750G MAQ</t>
  </si>
  <si>
    <t>200185</t>
  </si>
  <si>
    <t>BOT ETIQ BEB YOG KIOSKO DZNO 950G MAQ</t>
  </si>
  <si>
    <t>200186</t>
  </si>
  <si>
    <t>BOT ETIQ BEB YOG KIOSKO FTLLA 950G MAQ</t>
  </si>
  <si>
    <t>200187</t>
  </si>
  <si>
    <t>BOT ETIQ BEB YOG KIOSKO MOR 950G MAQ</t>
  </si>
  <si>
    <t>200826</t>
  </si>
  <si>
    <t>MIX B SAB RGN CER TAMAR</t>
  </si>
  <si>
    <t>202194</t>
  </si>
  <si>
    <t>BOT KIOSKO BEB MORA 180G PROMO</t>
  </si>
  <si>
    <t>202231</t>
  </si>
  <si>
    <t>5727</t>
  </si>
  <si>
    <t>Q FRES LGHT KIOSKO BLOQ 450G</t>
  </si>
  <si>
    <t>16131</t>
  </si>
  <si>
    <t>PR Q.CREMA 250G + MOZZ 200G GRT INDV</t>
  </si>
  <si>
    <t xml:space="preserve">PR Q.CREM+MOZZ 200  </t>
  </si>
  <si>
    <t>4163</t>
  </si>
  <si>
    <t>RGN BBLE FTLLA BOT 1000G</t>
  </si>
  <si>
    <t>RGN BBLE FTLLA 1000G</t>
  </si>
  <si>
    <t>4247</t>
  </si>
  <si>
    <t>RGN TZOS MOR BOT 1750G</t>
  </si>
  <si>
    <t xml:space="preserve">YK TZOS MORA 1750G  </t>
  </si>
  <si>
    <t>14535</t>
  </si>
  <si>
    <t>PR 4+1 BEB YOG KIOSKO DURA FUN900GR</t>
  </si>
  <si>
    <t>2024.05</t>
  </si>
  <si>
    <t>Q PARME KIOSKO PIMIENTA BOL 50G</t>
  </si>
  <si>
    <t>2024.06</t>
  </si>
  <si>
    <t>Q PARME KIOSKO PIMIENTA BOL 100G</t>
  </si>
  <si>
    <t>602665</t>
  </si>
  <si>
    <t>ETIQUETA MOZARELLA 700 GR    C N</t>
  </si>
  <si>
    <t>602666</t>
  </si>
  <si>
    <t>ETIQUETA MOZARELLA 900 GR   C N</t>
  </si>
  <si>
    <t>602515</t>
  </si>
  <si>
    <t>ETIQ. MOZARELLA KIOSKO 500 GR. PROMO</t>
  </si>
  <si>
    <t>601486</t>
  </si>
  <si>
    <t>GALLETA CRAKENA</t>
  </si>
  <si>
    <t>601487</t>
  </si>
  <si>
    <t>STIKER AVENA + GALLETA</t>
  </si>
  <si>
    <t>600963</t>
  </si>
  <si>
    <t>ETIQ. YOGURT KIOSKO FRUTILLA 120 MINI</t>
  </si>
  <si>
    <t>600658</t>
  </si>
  <si>
    <t>ETIQUETA DULCE DE LECHE 4 6 KG</t>
  </si>
  <si>
    <t>600660</t>
  </si>
  <si>
    <t>ETIQ. DULCE DE LECHE INSTITUCIONAL 4.6</t>
  </si>
  <si>
    <t>402586</t>
  </si>
  <si>
    <t>ULTRASIL MP</t>
  </si>
  <si>
    <t>402574</t>
  </si>
  <si>
    <t>P3 ULTRASIL 115</t>
  </si>
  <si>
    <t>402583</t>
  </si>
  <si>
    <t>P3 ULTRASIL 75</t>
  </si>
  <si>
    <t>402584</t>
  </si>
  <si>
    <t>ULTRASIL 69</t>
  </si>
  <si>
    <t>402585</t>
  </si>
  <si>
    <t>ULTRASIL 67</t>
  </si>
  <si>
    <t>401143</t>
  </si>
  <si>
    <t>AC SEEC</t>
  </si>
  <si>
    <t>400423</t>
  </si>
  <si>
    <t>FLOCULANTE CATIONICO SUPER FLO</t>
  </si>
  <si>
    <t>400062</t>
  </si>
  <si>
    <t>FAGETRIALD REF SP FGT  05</t>
  </si>
  <si>
    <t>400424</t>
  </si>
  <si>
    <t>FLOCULANTE ANIONICO E</t>
  </si>
  <si>
    <t>17051</t>
  </si>
  <si>
    <t>KIOSKO CHEDDAR LONJAS LINEA DIARIA 75G</t>
  </si>
  <si>
    <t>15146</t>
  </si>
  <si>
    <t>GELAKIOSKO FRESA 160G</t>
  </si>
  <si>
    <t xml:space="preserve">GELTA FRESA 160G    </t>
  </si>
  <si>
    <t>5275</t>
  </si>
  <si>
    <t>RGN BBLE DZNO BOT 1750G</t>
  </si>
  <si>
    <t xml:space="preserve">RGN BBLE DZNO 1750G </t>
  </si>
  <si>
    <t>15609</t>
  </si>
  <si>
    <t>QUESO FRESCO BLOQUE 200GR</t>
  </si>
  <si>
    <t xml:space="preserve">Q.FRESCO 200G       </t>
  </si>
  <si>
    <t>14720</t>
  </si>
  <si>
    <t>MANTEQUILLA SIN SAL KIOSKO 125G</t>
  </si>
  <si>
    <t xml:space="preserve">MQUILLA 125G        </t>
  </si>
  <si>
    <t>12722</t>
  </si>
  <si>
    <t>BY MINI CANPOP VASO 135G</t>
  </si>
  <si>
    <t>11223</t>
  </si>
  <si>
    <t>YOG TZOS KIOSKO DZNO BOT 950G</t>
  </si>
  <si>
    <t xml:space="preserve">YK TZOS DZNO 950G   </t>
  </si>
  <si>
    <t>5750</t>
  </si>
  <si>
    <t>Q RICOTTA KIOSKO BLOQ 250G</t>
  </si>
  <si>
    <t>15626</t>
  </si>
  <si>
    <t>PACK BY NEON P4LL5</t>
  </si>
  <si>
    <t>NEW003</t>
  </si>
  <si>
    <t>Q GOUDA KIOSKO  CUNA 200GR</t>
  </si>
  <si>
    <t xml:space="preserve">NEW003              </t>
  </si>
  <si>
    <t>NEW004</t>
  </si>
  <si>
    <t>Q MOZARELLA LIGHT LONJ 300GR</t>
  </si>
  <si>
    <t xml:space="preserve">NEW004              </t>
  </si>
  <si>
    <t>NEW012</t>
  </si>
  <si>
    <t>Q PARMESANO KIOSKO CUNA 250GR</t>
  </si>
  <si>
    <t xml:space="preserve">NEW012              </t>
  </si>
  <si>
    <t>13828</t>
  </si>
  <si>
    <t>QUESO MOZARELLA LIGHT KIOSKO 35 G</t>
  </si>
  <si>
    <t>12549</t>
  </si>
  <si>
    <t>YOG FNSSE FRTROJ BOT 1670G</t>
  </si>
  <si>
    <t xml:space="preserve">YF FRTROJ 1670G     </t>
  </si>
  <si>
    <t>13837</t>
  </si>
  <si>
    <t>ALPINETTE CEREZA 140GR A 1.10 DOLARES</t>
  </si>
  <si>
    <t>16367</t>
  </si>
  <si>
    <t>YOG FNSSE VAINILLA 950</t>
  </si>
  <si>
    <t>Y.FNSSE VAINILLA 950</t>
  </si>
  <si>
    <t>12037</t>
  </si>
  <si>
    <t>Q MIX GOURMET KIOSKO CUBO BOL 350G</t>
  </si>
  <si>
    <t xml:space="preserve">Q.MIX GOURMET 350G  </t>
  </si>
  <si>
    <t>15800</t>
  </si>
  <si>
    <t>GRIEGO MOR Y ARAND 150G</t>
  </si>
  <si>
    <t xml:space="preserve">YG MORA-ARAN 150G   </t>
  </si>
  <si>
    <t>16497</t>
  </si>
  <si>
    <t>QUESO MOZZARELLA KIOSKO 100G</t>
  </si>
  <si>
    <t xml:space="preserve">Q.MOZZ 100G         </t>
  </si>
  <si>
    <t>12050</t>
  </si>
  <si>
    <t>YOG DUO KIOSKO GUANA MOR FUN 900G</t>
  </si>
  <si>
    <t>12095</t>
  </si>
  <si>
    <t>MPLX2 YOG BBLE KIOSKO FUN 900G + JARRA</t>
  </si>
  <si>
    <t>605755</t>
  </si>
  <si>
    <t>TARRINA GRIEGO LIMON 400G</t>
  </si>
  <si>
    <t>605746</t>
  </si>
  <si>
    <t>604019</t>
  </si>
  <si>
    <t>ETIQ GRIEGO MORA ARANDANOS 500</t>
  </si>
  <si>
    <t>604020</t>
  </si>
  <si>
    <t>ETIQ  BY SAN VALENTIN</t>
  </si>
  <si>
    <t>600456</t>
  </si>
  <si>
    <t>CAJA PARA AREQUIPE 18 UND X 50 GR.</t>
  </si>
  <si>
    <t>600457</t>
  </si>
  <si>
    <t>4 PACK YOG REGENERIS BAJO EN GRASA 180GR</t>
  </si>
  <si>
    <t>600677</t>
  </si>
  <si>
    <t>FUNDA PARMESANO KIOSKO 40 G</t>
  </si>
  <si>
    <t>602053</t>
  </si>
  <si>
    <t>SEPARADOR YOGURT GRIEGO</t>
  </si>
  <si>
    <t>602066</t>
  </si>
  <si>
    <t>600680</t>
  </si>
  <si>
    <t>RESINITE 10 PULGADAS</t>
  </si>
  <si>
    <t>600683</t>
  </si>
  <si>
    <t>FUNDA SEL ESPECIAL 350 GR ABRE FACIL CU</t>
  </si>
  <si>
    <t>600684</t>
  </si>
  <si>
    <t>ETIQUETA PROVOLONE AHUMADO BLOQUE  E</t>
  </si>
  <si>
    <t>600431</t>
  </si>
  <si>
    <t>VASO YOGURT REGENERIS FRUTILLA 150 E</t>
  </si>
  <si>
    <t>607354</t>
  </si>
  <si>
    <t>FOIL IMPRESO VASO BY FROOTLOOPS PP</t>
  </si>
  <si>
    <t>602886</t>
  </si>
  <si>
    <t>SOBRECOPA PRETZELTS 25 GR</t>
  </si>
  <si>
    <t xml:space="preserve">SUSANA MONICA ZENTNER HARPMANN                                                  </t>
  </si>
  <si>
    <t>602669</t>
  </si>
  <si>
    <t>ETIQUETA MOZARELLA LIGHT 700 GR  C N</t>
  </si>
  <si>
    <t>602670</t>
  </si>
  <si>
    <t>ETIQUETA QUESO FRESCO 450 GR  C N</t>
  </si>
  <si>
    <t>2024.07</t>
  </si>
  <si>
    <t>Q PARME KIOSKO PIMIENTA BOL 250G</t>
  </si>
  <si>
    <t>202235</t>
  </si>
  <si>
    <t>BASE SABORIZADA GRIEGO MORA ARANDANOS EC</t>
  </si>
  <si>
    <t>202236</t>
  </si>
  <si>
    <t>GRIEGO SEMIT MORA ARANDANOS 150G</t>
  </si>
  <si>
    <t>202237</t>
  </si>
  <si>
    <t>BASE SABORIZADA GRIEGO FRUTOS ROJOS EC</t>
  </si>
  <si>
    <t>202238</t>
  </si>
  <si>
    <t>GRIEGO SEMIT FRUTO ROJOS EC 150G</t>
  </si>
  <si>
    <t>201120</t>
  </si>
  <si>
    <t>HIGN Y DESNF FAB AREQUIPE</t>
  </si>
  <si>
    <t>201130</t>
  </si>
  <si>
    <t>BOT ETIQ YOG BBLE KIOSKO DZNO 2000G</t>
  </si>
  <si>
    <t>200189</t>
  </si>
  <si>
    <t>BOT ETIQ BEB YOG KIOSKO DZNO 1700G MAQ</t>
  </si>
  <si>
    <t>5764</t>
  </si>
  <si>
    <t>Q JAVIER KIOSKO AL PESO</t>
  </si>
  <si>
    <t xml:space="preserve">Q.JAVIER PESO       </t>
  </si>
  <si>
    <t>4249</t>
  </si>
  <si>
    <t>RGN TZOS FTLLA BOT 1750G</t>
  </si>
  <si>
    <t xml:space="preserve">YK TZOS FTLLA 1750G </t>
  </si>
  <si>
    <t>5761</t>
  </si>
  <si>
    <t>Q HOLAN KIOSKO LONJ AL PESO</t>
  </si>
  <si>
    <t xml:space="preserve">Q.HOLANDES LON PESO </t>
  </si>
  <si>
    <t>16527</t>
  </si>
  <si>
    <t>Q HOLANDES KIOSKO LONJAS 75G</t>
  </si>
  <si>
    <t>15894</t>
  </si>
  <si>
    <t>PACK ESCOLAR ECU</t>
  </si>
  <si>
    <t xml:space="preserve">PACK ESCOLAR        </t>
  </si>
  <si>
    <t>15959</t>
  </si>
  <si>
    <t>QUESO CREMA KIOSKO 250G</t>
  </si>
  <si>
    <t xml:space="preserve">Q.CREMA 250G        </t>
  </si>
  <si>
    <t>13438</t>
  </si>
  <si>
    <t>MPL AVENA ORIG VASO 250G + GTA</t>
  </si>
  <si>
    <t>200192</t>
  </si>
  <si>
    <t>BOT ETIQ BEB YOG KIOSKO FTLLA 120G</t>
  </si>
  <si>
    <t>202261</t>
  </si>
  <si>
    <t>MIX BASE SABORIZADA GRIEGO MORA ARAND EC</t>
  </si>
  <si>
    <t>202374</t>
  </si>
  <si>
    <t>MIX B SAB YOG FNSSE TZOS DURAZNO</t>
  </si>
  <si>
    <t>200776</t>
  </si>
  <si>
    <t>MIX B SAB YOG KIOSKO TZOS DZNO</t>
  </si>
  <si>
    <t>200781</t>
  </si>
  <si>
    <t>MIX B SAB YOG KIOSKO TZOS FTLLA</t>
  </si>
  <si>
    <t>200820</t>
  </si>
  <si>
    <t>MIX B SAB YOG DESLAC FNSSE CLAS</t>
  </si>
  <si>
    <t>200821</t>
  </si>
  <si>
    <t>B SAB YOG DESLAC FNSSE CLAS</t>
  </si>
  <si>
    <t>200827</t>
  </si>
  <si>
    <t>BOT ETIQ YOG DESLAC FNSSE CLAS 1650G MAQ</t>
  </si>
  <si>
    <t>11954</t>
  </si>
  <si>
    <t>YOG FNSSE FRTROJ BOT 180G</t>
  </si>
  <si>
    <t xml:space="preserve">YF FRTROJ 180G      </t>
  </si>
  <si>
    <t>11955</t>
  </si>
  <si>
    <t>YOG FNSSE SBILA BOT 950G</t>
  </si>
  <si>
    <t xml:space="preserve">YF SBILA 950G       </t>
  </si>
  <si>
    <t>14719</t>
  </si>
  <si>
    <t>MANTEQUILLA CON SAL KIOSKO 250G</t>
  </si>
  <si>
    <t xml:space="preserve">MQUILLA SAL 250G    </t>
  </si>
  <si>
    <t>5512</t>
  </si>
  <si>
    <t>Q PARME KIOSKO RALL BOL 250G</t>
  </si>
  <si>
    <t xml:space="preserve">Q.PARMESA RALL 250G </t>
  </si>
  <si>
    <t>11187</t>
  </si>
  <si>
    <t>YOG BBLE KIOSKO DZNO BOT 180G MINI</t>
  </si>
  <si>
    <t>5745</t>
  </si>
  <si>
    <t>Q MOZAR PIZZ KIOSKO AL PESO</t>
  </si>
  <si>
    <t>15613</t>
  </si>
  <si>
    <t>601176</t>
  </si>
  <si>
    <t>FUNDA CRYOVAC ROJA 6X8  KIOSKO</t>
  </si>
  <si>
    <t>601214</t>
  </si>
  <si>
    <t>ETIQUETA 3X1.5</t>
  </si>
  <si>
    <t>604591</t>
  </si>
  <si>
    <t>ETIQ. MOZZARELLA LINEA DIARIA 75 GR</t>
  </si>
  <si>
    <t>562215</t>
  </si>
  <si>
    <t>ELEMENTOS ANIMALES SALVAJES</t>
  </si>
  <si>
    <t>563011</t>
  </si>
  <si>
    <t>ELEMENTO ESCALADOR HERO</t>
  </si>
  <si>
    <t>600711</t>
  </si>
  <si>
    <t>ETIQ. QUESO MADURO HOLANDES 150 GR. C N</t>
  </si>
  <si>
    <t>603366</t>
  </si>
  <si>
    <t>BOT ETIQ RGN DESLAC CER GDLLA 1750G</t>
  </si>
  <si>
    <t>603370</t>
  </si>
  <si>
    <t>BOT ETIQ YOG FNSSE TZOS ALOE 180G</t>
  </si>
  <si>
    <t>603374</t>
  </si>
  <si>
    <t>BOT ETIQ RGN CER GDLLA 180G</t>
  </si>
  <si>
    <t>603333</t>
  </si>
  <si>
    <t>BOT ETIQ RGN BBLE FTLLA 1000G</t>
  </si>
  <si>
    <t>603336</t>
  </si>
  <si>
    <t>BOT ETIQ RGN BBLE DZNO 180G</t>
  </si>
  <si>
    <t>603337</t>
  </si>
  <si>
    <t>BOT ETIQ RGN FTLLA 1000G</t>
  </si>
  <si>
    <t>605771</t>
  </si>
  <si>
    <t>ETIQ  LINEA DIARIA HOLANDES 75 GR CN</t>
  </si>
  <si>
    <t>602586</t>
  </si>
  <si>
    <t>STICKERS YOGURT GRIEGO FRESA</t>
  </si>
  <si>
    <t>601990</t>
  </si>
  <si>
    <t>TAPA YOGURT GRIEGO</t>
  </si>
  <si>
    <t>602037</t>
  </si>
  <si>
    <t>TAPA FAMILIAR LILA</t>
  </si>
  <si>
    <t>602041</t>
  </si>
  <si>
    <t>FUNDA 4 PACK BOT REGENERIS BEBI 180</t>
  </si>
  <si>
    <t>600948</t>
  </si>
  <si>
    <t>SOBRECOPA  KIOSKO</t>
  </si>
  <si>
    <t>603375</t>
  </si>
  <si>
    <t>BOT ETIQ FNSSE FRTROJ 180G</t>
  </si>
  <si>
    <t>603381</t>
  </si>
  <si>
    <t>BOT ETIQU RGN FTLLA 1750G</t>
  </si>
  <si>
    <t>601430</t>
  </si>
  <si>
    <t>ETIQUETA QUESO AMASADO CON SAL 250 GR</t>
  </si>
  <si>
    <t>601431</t>
  </si>
  <si>
    <t>VASO BONYURT CHOCO GOZO 175 GR</t>
  </si>
  <si>
    <t>601440</t>
  </si>
  <si>
    <t>JUGUETE VOLQUETA PLASTICA</t>
  </si>
  <si>
    <t>602045</t>
  </si>
  <si>
    <t>600739</t>
  </si>
  <si>
    <t>MEK TINTA DE CODIFICACION 750 ML V 401</t>
  </si>
  <si>
    <t>600742</t>
  </si>
  <si>
    <t>VASO IMPRESO QUESO FUNDIDO NATURAL 45 GR</t>
  </si>
  <si>
    <t>601713</t>
  </si>
  <si>
    <t>CAJA QUESO REQUESON  KIOSKO</t>
  </si>
  <si>
    <t>600978</t>
  </si>
  <si>
    <t>ETIQ. TROZOS MORA 1700 KIOSKO</t>
  </si>
  <si>
    <t>603036</t>
  </si>
  <si>
    <t>FUNDA SEPARADORA 11cmX11cm</t>
  </si>
  <si>
    <t>603044</t>
  </si>
  <si>
    <t>4 PACK AREQUIPE + PRETZELS</t>
  </si>
  <si>
    <t>603074</t>
  </si>
  <si>
    <t>VASO AREQUIPE 75 GR</t>
  </si>
  <si>
    <t>600755</t>
  </si>
  <si>
    <t>FUNDA QUESO PARMESANO CUNA 300 GR</t>
  </si>
  <si>
    <t xml:space="preserve">EPCYS COMERCIALIZADORA SA                                                       </t>
  </si>
  <si>
    <t>600865</t>
  </si>
  <si>
    <t>RESINITE 18 PULGADAS</t>
  </si>
  <si>
    <t>601910</t>
  </si>
  <si>
    <t>LAM KIOSKO AMERICANO 300G</t>
  </si>
  <si>
    <t>601914</t>
  </si>
  <si>
    <t>TAPA DULCE DE LECHE KIOSCO CAFE</t>
  </si>
  <si>
    <t>15630</t>
  </si>
  <si>
    <t>PACK KK 2FRU+2DUR GRAT MORA 120G P4LL5</t>
  </si>
  <si>
    <t>15631</t>
  </si>
  <si>
    <t>PACK RGN BBLE 2FRU+2DUR GRAT FRESA P4LL5</t>
  </si>
  <si>
    <t>15632</t>
  </si>
  <si>
    <t>PACK RGNVASO 2FRU+1DUR+1MOR GR MOR P4LL5</t>
  </si>
  <si>
    <t>15633</t>
  </si>
  <si>
    <t>PACK GRIEGO FRE+MOR GRAT NAT P2LL3</t>
  </si>
  <si>
    <t>5733</t>
  </si>
  <si>
    <t>Q MOZAR KIOSKO BLOQ 900G</t>
  </si>
  <si>
    <t xml:space="preserve">Q.MOZZ 900G         </t>
  </si>
  <si>
    <t>2024.04</t>
  </si>
  <si>
    <t>Q PARME KIOSKO AJO BOL 250G</t>
  </si>
  <si>
    <t>5731</t>
  </si>
  <si>
    <t>Q MOZAR KIOSKO BLOQ 500G</t>
  </si>
  <si>
    <t xml:space="preserve">Q.MOZZ 500G         </t>
  </si>
  <si>
    <t>5706</t>
  </si>
  <si>
    <t>DULCE LCH KIOSKO VASO 250G</t>
  </si>
  <si>
    <t xml:space="preserve">DULCE LCH 250G      </t>
  </si>
  <si>
    <t>601716</t>
  </si>
  <si>
    <t>ETIQUETA UNICA COMBO SANDUCHERO ECU</t>
  </si>
  <si>
    <t>601798</t>
  </si>
  <si>
    <t>ETIQUETA MADURO SANDUCHE 150  KIOSKO</t>
  </si>
  <si>
    <t>601846</t>
  </si>
  <si>
    <t>BOTELLA ETIQ. YOGURT FINESSE FRESA 950</t>
  </si>
  <si>
    <t>601905</t>
  </si>
  <si>
    <t>LAM KIOSKO AMASADO 250 GR</t>
  </si>
  <si>
    <t>601845</t>
  </si>
  <si>
    <t>BOTELLA ETIQ YOGURT FINESSE FRESA 180</t>
  </si>
  <si>
    <t>600439</t>
  </si>
  <si>
    <t>TAPA CELESTE 1750 LINER FAMILIAR</t>
  </si>
  <si>
    <t>600678</t>
  </si>
  <si>
    <t>FUNDA PARMESANO KIOSKO 100 G</t>
  </si>
  <si>
    <t>600679</t>
  </si>
  <si>
    <t>FUNDA PARMESANO KIOSKO 250 G</t>
  </si>
  <si>
    <t>300046</t>
  </si>
  <si>
    <t>ESTABILIZANTE STABISOL JCO 1</t>
  </si>
  <si>
    <t xml:space="preserve">PRISAL SA                                                                       </t>
  </si>
  <si>
    <t>300052</t>
  </si>
  <si>
    <t>ESENCIA DE FRESA YL 584144C</t>
  </si>
  <si>
    <t>300054</t>
  </si>
  <si>
    <t>ESENCIA DE MORA YL YY 55945C</t>
  </si>
  <si>
    <t>300057</t>
  </si>
  <si>
    <t>ESENCIA MELOCOTON FINESSE</t>
  </si>
  <si>
    <t>300058</t>
  </si>
  <si>
    <t>RODIGEL 200 XHANTAL GRINSTED XANTHAN</t>
  </si>
  <si>
    <t>300059</t>
  </si>
  <si>
    <t>COLORANTE AZUL BRILLANTE FCF</t>
  </si>
  <si>
    <t>300187</t>
  </si>
  <si>
    <t>ESENCIA DE COCO FC085 00</t>
  </si>
  <si>
    <t>300191</t>
  </si>
  <si>
    <t>SABOR NAT ARTIFICIAL TIPO UVA 1101605504</t>
  </si>
  <si>
    <t xml:space="preserve">BIOTEQ                                                                          </t>
  </si>
  <si>
    <t>300120</t>
  </si>
  <si>
    <t>SABOR DURAZNO SF 366 953 3</t>
  </si>
  <si>
    <t>605439</t>
  </si>
  <si>
    <t>ETIQ. BEB YOG KIOSKO MORA 950</t>
  </si>
  <si>
    <t>605760</t>
  </si>
  <si>
    <t>FOIL SIN IMPRESION VASO PP</t>
  </si>
  <si>
    <t>600467</t>
  </si>
  <si>
    <t>VASO BY MINI BONYURT ARZ CROCANTE FRESA</t>
  </si>
  <si>
    <t>603350</t>
  </si>
  <si>
    <t>BOT ETIQ RGN CER GDLLA 1000G</t>
  </si>
  <si>
    <t>603352</t>
  </si>
  <si>
    <t>BOT ETIQ RGN CER PITA 180G</t>
  </si>
  <si>
    <t>600058</t>
  </si>
  <si>
    <t>TAPAS PLASTICAS ROJAS  KIOSKO</t>
  </si>
  <si>
    <t>602031</t>
  </si>
  <si>
    <t>CUCHARA PLEGABLE PEQUENA</t>
  </si>
  <si>
    <t>600432</t>
  </si>
  <si>
    <t>VASO YOGURT REGENERIS MORA 150 E</t>
  </si>
  <si>
    <t>600443</t>
  </si>
  <si>
    <t>TAPA AMARILLA 1000  1750 CON LINERS ESP</t>
  </si>
  <si>
    <t>600950</t>
  </si>
  <si>
    <t>SOBRECOPA AZUL GALLETAS</t>
  </si>
  <si>
    <t>600951</t>
  </si>
  <si>
    <t>SOBRECOPA NEON</t>
  </si>
  <si>
    <t>607505</t>
  </si>
  <si>
    <t>LAMINA YOGURT FRUTILLA 150ML</t>
  </si>
  <si>
    <t>607359</t>
  </si>
  <si>
    <t>FOIL IMPRESO VASO CHOCAPIC PP</t>
  </si>
  <si>
    <t>601504</t>
  </si>
  <si>
    <t>TOMA TODO PLASTICO BONYURT</t>
  </si>
  <si>
    <t>601507</t>
  </si>
  <si>
    <t>CERA AMARILLA  KIOSKO</t>
  </si>
  <si>
    <t>601508</t>
  </si>
  <si>
    <t>CERA NARANJA  KIOSKO</t>
  </si>
  <si>
    <t>601656</t>
  </si>
  <si>
    <t>VASO GELATINA KIOSKO SABOR UVA 170GR</t>
  </si>
  <si>
    <t>601659</t>
  </si>
  <si>
    <t>TAPA GALON</t>
  </si>
  <si>
    <t>200165</t>
  </si>
  <si>
    <t>B SAB YOG TZOS KIOSKO DZNO</t>
  </si>
  <si>
    <t>200167</t>
  </si>
  <si>
    <t>BOT ETIQ KUMIS ORIG 1750G MAQ</t>
  </si>
  <si>
    <t>200172</t>
  </si>
  <si>
    <t>BOT ETIQ YOG KIOSKO NAT 1000G MAQ</t>
  </si>
  <si>
    <t>200173</t>
  </si>
  <si>
    <t>B SAB YOG TZOS KIOSKO FTLLA</t>
  </si>
  <si>
    <t>200174</t>
  </si>
  <si>
    <t>B SAB YOG TZOS KIOSKO MOR</t>
  </si>
  <si>
    <t>200794</t>
  </si>
  <si>
    <t>MIX B SAB RGN MOR</t>
  </si>
  <si>
    <t>202838</t>
  </si>
  <si>
    <t>MIX BASE SAB GRIEGO FRUT ROJOS KIOSKO EC</t>
  </si>
  <si>
    <t>202842</t>
  </si>
  <si>
    <t>MIX Q MOZZARELLA PIZZA HIERBAS</t>
  </si>
  <si>
    <t>202884</t>
  </si>
  <si>
    <t>MIX B SAB BEB YOG BBLE KIOSKO GUANAB</t>
  </si>
  <si>
    <t>601215</t>
  </si>
  <si>
    <t>ETIQUETA 9.5 X 4.5</t>
  </si>
  <si>
    <t>601230</t>
  </si>
  <si>
    <t>REFUERZO PARA CAJA ABASTOS EC</t>
  </si>
  <si>
    <t>605444</t>
  </si>
  <si>
    <t>ETIQ. BEB YOG KIOSKO DZNO 1700</t>
  </si>
  <si>
    <t>607495</t>
  </si>
  <si>
    <t>TARRINA RICOTTA UNTABLE 200G</t>
  </si>
  <si>
    <t>607496</t>
  </si>
  <si>
    <t>FOIL 101 RICOTTA UNTABLE</t>
  </si>
  <si>
    <t>603354</t>
  </si>
  <si>
    <t>BOT ETIQ RGN LGHT FTLLA 1000G</t>
  </si>
  <si>
    <t>607054</t>
  </si>
  <si>
    <t>VASO FINESSE NATURAL 150G</t>
  </si>
  <si>
    <t>607096</t>
  </si>
  <si>
    <t>VASO FINESSE DURAZNO 155G</t>
  </si>
  <si>
    <t>607097</t>
  </si>
  <si>
    <t>VASO FINESSE FRUT ROJOS 155G</t>
  </si>
  <si>
    <t>201355</t>
  </si>
  <si>
    <t>B SAB GELATINA CZA KIOSKO</t>
  </si>
  <si>
    <t>201356</t>
  </si>
  <si>
    <t>B SAB GELATINA UVA KIOSKO</t>
  </si>
  <si>
    <t>201357</t>
  </si>
  <si>
    <t>B SAB GELATINA FRE KIOSKO</t>
  </si>
  <si>
    <t>201393</t>
  </si>
  <si>
    <t>MIX CUL B LAC BY</t>
  </si>
  <si>
    <t>200164</t>
  </si>
  <si>
    <t>SOBREC FROLOO 9G</t>
  </si>
  <si>
    <t>200802</t>
  </si>
  <si>
    <t>200205</t>
  </si>
  <si>
    <t>B SAB RGN BBLE DZNO</t>
  </si>
  <si>
    <t>200225</t>
  </si>
  <si>
    <t>B SAB YOG DESLAC FNSSE FRTROJ</t>
  </si>
  <si>
    <t>200227</t>
  </si>
  <si>
    <t>BOT ETIQ YOG FNSSE TZOS ALOE 180G MAQ</t>
  </si>
  <si>
    <t>11111</t>
  </si>
  <si>
    <t>Q MOZAR KIOSKO LIGHT RALL 300G</t>
  </si>
  <si>
    <t>200828</t>
  </si>
  <si>
    <t>BOT ETIQ YOG DESLAC NAT 1650G MAQ</t>
  </si>
  <si>
    <t>200829</t>
  </si>
  <si>
    <t>BOT ETIQ YOG DESLAC FNSSE CLAS 180G MAQ</t>
  </si>
  <si>
    <t>201193</t>
  </si>
  <si>
    <t>B CUAJADA Q RICOT KIOSKO</t>
  </si>
  <si>
    <t>201194</t>
  </si>
  <si>
    <t>B CUAJADA Q FRESC KIOSKO</t>
  </si>
  <si>
    <t>201196</t>
  </si>
  <si>
    <t>B CUAJADA Q MOZAR KIOSKO</t>
  </si>
  <si>
    <t>200022</t>
  </si>
  <si>
    <t>B SAB BEB YOG BBLE KIOSKO MOR</t>
  </si>
  <si>
    <t>200169</t>
  </si>
  <si>
    <t>B SAB RGN MELOC</t>
  </si>
  <si>
    <t>200198</t>
  </si>
  <si>
    <t>BOT ETIQ TZOS KIOSKO DZNO 950G MAQ</t>
  </si>
  <si>
    <t>201131</t>
  </si>
  <si>
    <t>B LAC YOG BBLE KIOSKO</t>
  </si>
  <si>
    <t>201132</t>
  </si>
  <si>
    <t>MIX B SAB YOG BBLE KIOSKO DZNO</t>
  </si>
  <si>
    <t>201133</t>
  </si>
  <si>
    <t>B SAB YOG BBLE KIOSKO DZNO</t>
  </si>
  <si>
    <t>201136</t>
  </si>
  <si>
    <t>MIX B ALPINITO</t>
  </si>
  <si>
    <t>200415</t>
  </si>
  <si>
    <t>CUAJADA Q RICOT KIOSKO 450G</t>
  </si>
  <si>
    <t>200416</t>
  </si>
  <si>
    <t>CUAJADA Q CREMO DEL CAMPO KIOSKO 450G</t>
  </si>
  <si>
    <t>200417</t>
  </si>
  <si>
    <t>B FUNDIDO Q CHED KIOSKO</t>
  </si>
  <si>
    <t>200418</t>
  </si>
  <si>
    <t>B FUNDIDO Q MOZAR KIOSKO</t>
  </si>
  <si>
    <t>16408</t>
  </si>
  <si>
    <t>Q ESPAR MOZZ KIOSKO DOYP 200G</t>
  </si>
  <si>
    <t xml:space="preserve">Q.MOZZ DOY 240G     </t>
  </si>
  <si>
    <t>844040</t>
  </si>
  <si>
    <t>PRV 4+1 KK180G 2FR+1DUR+1MOR GRT DUR</t>
  </si>
  <si>
    <t>PRV4+1 YK KK MU 150G</t>
  </si>
  <si>
    <t>844764</t>
  </si>
  <si>
    <t>PRV 6+1 FUNDA 2FRU+2MOR+2DUR GRT 1 PIN</t>
  </si>
  <si>
    <t>PRV6+1 YK F MU 900GR</t>
  </si>
  <si>
    <t>12571</t>
  </si>
  <si>
    <t>YOG FNSSE FRTROJ GRAN VASO 170G</t>
  </si>
  <si>
    <t>YF FRTROJ GRAN. 170G</t>
  </si>
  <si>
    <t>4450239</t>
  </si>
  <si>
    <t>AVENA ORIGINAL VASO 250G ECU</t>
  </si>
  <si>
    <t xml:space="preserve">AVE NATURAL 250G    </t>
  </si>
  <si>
    <t>14563</t>
  </si>
  <si>
    <t>PR Q MOZAR KIOSKO BLOQ 500G 6+1</t>
  </si>
  <si>
    <t>15629</t>
  </si>
  <si>
    <t>PACK KK 2FRU+2DUR GRAT MORA 180G P4LL5</t>
  </si>
  <si>
    <t>8657</t>
  </si>
  <si>
    <t>BONYURT DURAZNO ZUCARITAS</t>
  </si>
  <si>
    <t>202660</t>
  </si>
  <si>
    <t>MIX BEBIDA YOGURT KIOSKO</t>
  </si>
  <si>
    <t>202661</t>
  </si>
  <si>
    <t>MIX B SAB BEBIDA YOG KIOSKO FRUTILLA</t>
  </si>
  <si>
    <t>200196</t>
  </si>
  <si>
    <t>BOT ETIQ YOG KIOSKO DZNO 180G MINI</t>
  </si>
  <si>
    <t>200197</t>
  </si>
  <si>
    <t>BOT ETIQ YOG KIOSKO MOR 180G MINI</t>
  </si>
  <si>
    <t>200383</t>
  </si>
  <si>
    <t>HIGN Y DESNF FAB KIOSKO SEMIMAD FRESCOS</t>
  </si>
  <si>
    <t>201138</t>
  </si>
  <si>
    <t>MIX B SAB YOG BBLE KIOSKO FTLLA</t>
  </si>
  <si>
    <t>201139</t>
  </si>
  <si>
    <t>B SAB YOG BBLE KIOSKO FTLLA</t>
  </si>
  <si>
    <t>202965</t>
  </si>
  <si>
    <t>MIX B SAB RGN BBLE MOR</t>
  </si>
  <si>
    <t>200519</t>
  </si>
  <si>
    <t>SUERO DE LECHE EL KIOSKO</t>
  </si>
  <si>
    <t>200419</t>
  </si>
  <si>
    <t>CUAJADA Q PROVO AHUM KIOSKO BLOQ</t>
  </si>
  <si>
    <t>200822</t>
  </si>
  <si>
    <t>MIX B BEB DE YOG RGN DESLAC</t>
  </si>
  <si>
    <t>200823</t>
  </si>
  <si>
    <t>MIX ENZIMA YOG RGN DESLAC</t>
  </si>
  <si>
    <t>200824</t>
  </si>
  <si>
    <t>15673</t>
  </si>
  <si>
    <t>RGN BBLE CIRUELA 180</t>
  </si>
  <si>
    <t>14559</t>
  </si>
  <si>
    <t>PR GELAT PREM KIO CZA VASO 170G 4+1</t>
  </si>
  <si>
    <t>201371</t>
  </si>
  <si>
    <t>MIX B SAB GELATINA KIOSKO UVA</t>
  </si>
  <si>
    <t>200583</t>
  </si>
  <si>
    <t>MIX B BEB DE YOG BBLE KIOSKO</t>
  </si>
  <si>
    <t>201436</t>
  </si>
  <si>
    <t>GRAGEAS DE CHOCOLATE RECUPERADAS</t>
  </si>
  <si>
    <t>201175</t>
  </si>
  <si>
    <t>MIX 1 B CUAJADA Q MOZAR LGHT KIOSKO</t>
  </si>
  <si>
    <t>201177</t>
  </si>
  <si>
    <t>MIX B CUAJADA Q HOLAN SEMIMAD KIOSKO</t>
  </si>
  <si>
    <t>201180</t>
  </si>
  <si>
    <t>MIX B CUAJADA Q AMARILLOS KIOSKO</t>
  </si>
  <si>
    <t>200199</t>
  </si>
  <si>
    <t>BOT ETIQ TZOS KIOSKO FTLLA 950G MAQ</t>
  </si>
  <si>
    <t>200200</t>
  </si>
  <si>
    <t>BOT ETIQ TZOS KIOSKO MOR 950G MAQ</t>
  </si>
  <si>
    <t>202861</t>
  </si>
  <si>
    <t>RETENTADO MF ECU</t>
  </si>
  <si>
    <t>201163</t>
  </si>
  <si>
    <t>MIX CUL B CUAJADA Q AMARILLOS KIOSKO</t>
  </si>
  <si>
    <t>14560</t>
  </si>
  <si>
    <t>PR GELAT PREM KIO UVA VASO 170G 4+1</t>
  </si>
  <si>
    <t>14547</t>
  </si>
  <si>
    <t>PR TRIPACKGLOW 1FRU+1DU+1GUAMOR</t>
  </si>
  <si>
    <t>10127</t>
  </si>
  <si>
    <t>Q MOZAR KIOSKO SNACK 50G</t>
  </si>
  <si>
    <t>2024.08</t>
  </si>
  <si>
    <t>Q PARME KIOSKO MENOS MAD RALL Y FINO 40G</t>
  </si>
  <si>
    <t>10665</t>
  </si>
  <si>
    <t>Q SANDU KIOSKO 5 LONJ 60G</t>
  </si>
  <si>
    <t xml:space="preserve">Q.SANDUCHE LON 60G  </t>
  </si>
  <si>
    <t>10792</t>
  </si>
  <si>
    <t>MPLX6 BY MINI MULTSAB VASO 135G</t>
  </si>
  <si>
    <t>10829</t>
  </si>
  <si>
    <t>YOG BBLE KIOSKO FTLLA BOT 3.5KG</t>
  </si>
  <si>
    <t xml:space="preserve">YK BBLE FTLLA 3.5G  </t>
  </si>
  <si>
    <t>300150</t>
  </si>
  <si>
    <t>GALLETAS TRITURADAS DE CHOCOLATE</t>
  </si>
  <si>
    <t>300157</t>
  </si>
  <si>
    <t>ESENCIA GRANADILLA 89594A LUCTA</t>
  </si>
  <si>
    <t xml:space="preserve">FRAGAROMAS                                                                      </t>
  </si>
  <si>
    <t>301305</t>
  </si>
  <si>
    <t>CULTIVO YFL.L811 50 U</t>
  </si>
  <si>
    <t>300032</t>
  </si>
  <si>
    <t>GELATINA TIPO AD</t>
  </si>
  <si>
    <t xml:space="preserve">Gelatina                      </t>
  </si>
  <si>
    <t xml:space="preserve">DIR_MP04  </t>
  </si>
  <si>
    <t xml:space="preserve">ERNESTO GUADALUPE                                                               </t>
  </si>
  <si>
    <t>300034</t>
  </si>
  <si>
    <t>BICARBONATO DE SODIO</t>
  </si>
  <si>
    <t>300118</t>
  </si>
  <si>
    <t>SABOR FRESA BMX 40042</t>
  </si>
  <si>
    <t>300119</t>
  </si>
  <si>
    <t>SABOR MORA BMX 174899</t>
  </si>
  <si>
    <t>300329</t>
  </si>
  <si>
    <t>ESENCIA DE HIERBAS KIOSKO</t>
  </si>
  <si>
    <t>300330</t>
  </si>
  <si>
    <t>PEREJIL EN POLVO KIOSKO</t>
  </si>
  <si>
    <t>400436</t>
  </si>
  <si>
    <t>SAL INDUSTRIAL EN GRANO  CALDERO</t>
  </si>
  <si>
    <t>400502</t>
  </si>
  <si>
    <t>POLIMERO AI2 O3 KIOSKO</t>
  </si>
  <si>
    <t>400503</t>
  </si>
  <si>
    <t>INDICADOR PAC 133 E</t>
  </si>
  <si>
    <t>401947</t>
  </si>
  <si>
    <t>TARRO TINTA V4201</t>
  </si>
  <si>
    <t>401948</t>
  </si>
  <si>
    <t>TARRO DISOLVENTE V7201</t>
  </si>
  <si>
    <t>400000</t>
  </si>
  <si>
    <t>SODA CAUSTICA</t>
  </si>
  <si>
    <t>401149</t>
  </si>
  <si>
    <t>STABILON WT</t>
  </si>
  <si>
    <t>401150</t>
  </si>
  <si>
    <t>EXELERATE HSI</t>
  </si>
  <si>
    <t>400007</t>
  </si>
  <si>
    <t>OXICIDE OXONIA ACTIVE</t>
  </si>
  <si>
    <t>300035</t>
  </si>
  <si>
    <t>300037</t>
  </si>
  <si>
    <t>ESTABILIZANTE RECODAM</t>
  </si>
  <si>
    <t>300038</t>
  </si>
  <si>
    <t>HARINA DE AVENA PRECOCIDA</t>
  </si>
  <si>
    <t>300039</t>
  </si>
  <si>
    <t>GENUPECTIN LM 106 AS YA</t>
  </si>
  <si>
    <t>300050</t>
  </si>
  <si>
    <t>ACIDO L ASCORBICO VITAMINA C 50</t>
  </si>
  <si>
    <t>300051</t>
  </si>
  <si>
    <t>VITAMINA D3 TIPO 100CWS</t>
  </si>
  <si>
    <t>300055</t>
  </si>
  <si>
    <t>ACELSUFAME K SUNNET 200  25</t>
  </si>
  <si>
    <t>300061</t>
  </si>
  <si>
    <t>COLORANTE AMARILLO OCASO FCF</t>
  </si>
  <si>
    <t>300065</t>
  </si>
  <si>
    <t>TRIPOLIFOSFATO DE SODIO</t>
  </si>
  <si>
    <t>605703</t>
  </si>
  <si>
    <t>FOUR PACK GRIEGO 120G</t>
  </si>
  <si>
    <t xml:space="preserve">Empaque Complementar          </t>
  </si>
  <si>
    <t xml:space="preserve">ME007     </t>
  </si>
  <si>
    <t>606577</t>
  </si>
  <si>
    <t>CAJA GRIEGO PACK X 4 UNDS</t>
  </si>
  <si>
    <t>603096</t>
  </si>
  <si>
    <t>LAMINA MOZARELLA DESLACTOSADO 500 GR</t>
  </si>
  <si>
    <t>603369</t>
  </si>
  <si>
    <t>BOT ETIQ YOG DUO KIOSKO PINA COCO 950G</t>
  </si>
  <si>
    <t>604626</t>
  </si>
  <si>
    <t>ETQ. POSTERIOR CHEDDAR 400 G CN</t>
  </si>
  <si>
    <t>600452</t>
  </si>
  <si>
    <t>VASO YOGURT TROZOS DURAZNO 150 KIOSKO</t>
  </si>
  <si>
    <t>600694</t>
  </si>
  <si>
    <t>FUNDA PIZZA CHESSE 300 GR ABRE FACIL K</t>
  </si>
  <si>
    <t>600695</t>
  </si>
  <si>
    <t>ETIQ GOUDA 350 GR NUEVO KIOSKO</t>
  </si>
  <si>
    <t>602539</t>
  </si>
  <si>
    <t>CAJA PLEGADIZA MANTEQUILLA 250 GR</t>
  </si>
  <si>
    <t>607135</t>
  </si>
  <si>
    <t>CAJA LINEAS DIARIAS X 18 UND</t>
  </si>
  <si>
    <t>600685</t>
  </si>
  <si>
    <t>FUNDA TACO CHESSE 300 GR ABRE FACIL K</t>
  </si>
  <si>
    <t>605751</t>
  </si>
  <si>
    <t>VASO GRIEGO LIMON 120G</t>
  </si>
  <si>
    <t>605752</t>
  </si>
  <si>
    <t>VASO GRIEGO FRUTOS ROJOS 120G</t>
  </si>
  <si>
    <t>605638</t>
  </si>
  <si>
    <t>ETIQ. HIERBAS LONJAS 1 KG</t>
  </si>
  <si>
    <t>605639</t>
  </si>
  <si>
    <t>ETIQ. JAVIERINO LONJAS 1KG</t>
  </si>
  <si>
    <t>605640</t>
  </si>
  <si>
    <t>ETIQ HOLANDES LONJAS 1KG</t>
  </si>
  <si>
    <t>605641</t>
  </si>
  <si>
    <t>ETIQ. MOZZARELLA PIZZA LONJAS 1KG</t>
  </si>
  <si>
    <t>201164</t>
  </si>
  <si>
    <t>MIX CUL B CUAJADA Q FRESC KIOSKO</t>
  </si>
  <si>
    <t>201165</t>
  </si>
  <si>
    <t>MIX CUL B CUAJADA Q GOUDA SEMIMAD KIOSKO</t>
  </si>
  <si>
    <t>201166</t>
  </si>
  <si>
    <t>MIX CUL CUAJADA Q HIERBAS SEMIMAD KIOSKO</t>
  </si>
  <si>
    <t>201167</t>
  </si>
  <si>
    <t>MIX CUL B CUAJADA Q HOLAN SEMIMAD KIOSKO</t>
  </si>
  <si>
    <t>200525</t>
  </si>
  <si>
    <t>MQUILLA INDUSTRIAL PROS</t>
  </si>
  <si>
    <t>202662</t>
  </si>
  <si>
    <t>MIX B SAB BEBIDA YOG KIOSKO DURAZNO</t>
  </si>
  <si>
    <t>202663</t>
  </si>
  <si>
    <t>MIX B SAB BEBIDA YOG KIOSKO MORA</t>
  </si>
  <si>
    <t>201186</t>
  </si>
  <si>
    <t>MIX B CUAJADA Q JAVIER KIOSKO SEMIMAD</t>
  </si>
  <si>
    <t>12709</t>
  </si>
  <si>
    <t>MQUILLA KIOSKO 200G</t>
  </si>
  <si>
    <t>11961</t>
  </si>
  <si>
    <t>Q MOZAR FNSSE 15 LONJ 225G</t>
  </si>
  <si>
    <t>12532</t>
  </si>
  <si>
    <t>RGN CER TAMAR BOT 1000G</t>
  </si>
  <si>
    <t xml:space="preserve">YR CER TAM 1000GR   </t>
  </si>
  <si>
    <t>11085</t>
  </si>
  <si>
    <t>MPLX4 AVENA CAN VASO 250G</t>
  </si>
  <si>
    <t xml:space="preserve">4P AVE CANELA 250G  </t>
  </si>
  <si>
    <t>15675</t>
  </si>
  <si>
    <t>RGN BBLE CIRUELA 1750</t>
  </si>
  <si>
    <t>16386</t>
  </si>
  <si>
    <t>CREM LCH AGRIA KIOSKO DOYP 200G</t>
  </si>
  <si>
    <t xml:space="preserve">CREM AG DOY 220G    </t>
  </si>
  <si>
    <t>NEW001</t>
  </si>
  <si>
    <t>QUESO CREMA KIOSKO 500G</t>
  </si>
  <si>
    <t xml:space="preserve">NEW001              </t>
  </si>
  <si>
    <t>300331</t>
  </si>
  <si>
    <t>LIPASA ENZIMA KIOSKO</t>
  </si>
  <si>
    <t>300069</t>
  </si>
  <si>
    <t>COLORANTE ROJO NO 40 ALLURA  30</t>
  </si>
  <si>
    <t>301244</t>
  </si>
  <si>
    <t>CU.710466 CULTIVO SA500 50 UNI</t>
  </si>
  <si>
    <t>301259</t>
  </si>
  <si>
    <t>SABOR DURAZNO 9073C</t>
  </si>
  <si>
    <t>301260</t>
  </si>
  <si>
    <t>SABOR FLAVORFIT SWEET SC799498</t>
  </si>
  <si>
    <t>301261</t>
  </si>
  <si>
    <t>SALSA TROZOS DURAZNO SIN AZUCAR</t>
  </si>
  <si>
    <t>301189</t>
  </si>
  <si>
    <t>AVONLAC 282 WPC 80 PORCIENTO</t>
  </si>
  <si>
    <t>301416</t>
  </si>
  <si>
    <t>OSITOS GOMA</t>
  </si>
  <si>
    <t xml:space="preserve">INDUSTRIAS PERLA FOODS INPERFOODS C                                             </t>
  </si>
  <si>
    <t>301445</t>
  </si>
  <si>
    <t>SABOR NATURAL VAINILLA V15966 00</t>
  </si>
  <si>
    <t>600468</t>
  </si>
  <si>
    <t>LAMINA BEBIBLE PINA COCO 900 GR KIOSKO</t>
  </si>
  <si>
    <t>600616</t>
  </si>
  <si>
    <t>DIVISION MEDIA CUBETA</t>
  </si>
  <si>
    <t>605476</t>
  </si>
  <si>
    <t>ETIQ. TROZOS REGN MORA 1750</t>
  </si>
  <si>
    <t>600453</t>
  </si>
  <si>
    <t>VASO YOGURT TROZOS MORA 150 KIOSKO</t>
  </si>
  <si>
    <t>600455</t>
  </si>
  <si>
    <t>TAPA SNAP ON ROJA 38MM KIOSKO ECU</t>
  </si>
  <si>
    <t>601243</t>
  </si>
  <si>
    <t>TELA QUESO PEQUENO KIOSKO</t>
  </si>
  <si>
    <t>601244</t>
  </si>
  <si>
    <t>TELA QUESO GRANDE KIOSKO</t>
  </si>
  <si>
    <t>601245</t>
  </si>
  <si>
    <t>TELA SECADO MOZARELLA GRANDE KIOSKO</t>
  </si>
  <si>
    <t>Reporte de Caducidad</t>
  </si>
  <si>
    <t>Criterio</t>
  </si>
  <si>
    <t>Denominación</t>
  </si>
  <si>
    <t>Fecha Actual</t>
  </si>
  <si>
    <t xml:space="preserve">  20&gt; x&lt; 27 días</t>
  </si>
  <si>
    <t>Próximos Fecha Corta</t>
  </si>
  <si>
    <t xml:space="preserve">  &gt;=  27 días</t>
  </si>
  <si>
    <t>Vigente</t>
  </si>
  <si>
    <t xml:space="preserve">               </t>
  </si>
  <si>
    <t xml:space="preserve">         </t>
  </si>
  <si>
    <t>GUAYAQUIL</t>
  </si>
  <si>
    <t>PLANTA</t>
  </si>
  <si>
    <t>CATEGORIA</t>
  </si>
  <si>
    <t>Responsable de Marca</t>
  </si>
  <si>
    <t>MARCA</t>
  </si>
  <si>
    <t>FAMILIA</t>
  </si>
  <si>
    <t>SEDE</t>
  </si>
  <si>
    <t>CENTRO</t>
  </si>
  <si>
    <t>ALMACEN</t>
  </si>
  <si>
    <t>CODIGO</t>
  </si>
  <si>
    <t>PRODUCTO</t>
  </si>
  <si>
    <t>Cantidad Ingreso Bodega</t>
  </si>
  <si>
    <t>Conversión</t>
  </si>
  <si>
    <t>VIDA UTIL (Días)</t>
  </si>
  <si>
    <t>Fecha de Ingreso</t>
  </si>
  <si>
    <t>Día Ingreso Bodega</t>
  </si>
  <si>
    <t>Fecha Elab.</t>
  </si>
  <si>
    <t>Fecha Cad</t>
  </si>
  <si>
    <t># Días para Caducar</t>
  </si>
  <si>
    <t>V.U. Actual</t>
  </si>
  <si>
    <t>Stock Actual Unds</t>
  </si>
  <si>
    <t>Stock Actual Kgs</t>
  </si>
  <si>
    <t># DÍAS Recepción Producto</t>
  </si>
  <si>
    <t>V.U Recepción Producto</t>
  </si>
  <si>
    <t>COSTO UNIT base</t>
  </si>
  <si>
    <t>COSTO UNIT Conv</t>
  </si>
  <si>
    <t>COSTO TOTAL</t>
  </si>
  <si>
    <t>DIAS DE ALMACENAMIENTO</t>
  </si>
  <si>
    <t>STATUS</t>
  </si>
  <si>
    <t>TONELADAS</t>
  </si>
  <si>
    <t>l</t>
  </si>
  <si>
    <t xml:space="preserve"> </t>
  </si>
  <si>
    <t>CEDE</t>
  </si>
  <si>
    <t xml:space="preserve">                               Por Un Mundo Delicioso</t>
  </si>
  <si>
    <t>FECHA CORTA</t>
  </si>
  <si>
    <t>Artículo</t>
  </si>
  <si>
    <t>Descripción de artículo</t>
  </si>
  <si>
    <t>Stock Actual</t>
  </si>
  <si>
    <t>%  V.U.</t>
  </si>
  <si>
    <t xml:space="preserve"> Días para Caducar</t>
  </si>
  <si>
    <t>Dolares</t>
  </si>
  <si>
    <t>Política de Inventario</t>
  </si>
  <si>
    <t>bodega</t>
  </si>
  <si>
    <t>Totales</t>
  </si>
  <si>
    <t>Sitio</t>
  </si>
  <si>
    <t>Días Cob</t>
  </si>
  <si>
    <t>Bodega Abastecimiento</t>
  </si>
  <si>
    <t>Bodega Despacho</t>
  </si>
  <si>
    <t>Total Cobertura</t>
  </si>
  <si>
    <t>Tabla 2</t>
  </si>
  <si>
    <t>Fecha</t>
  </si>
  <si>
    <t xml:space="preserve">F Corta Kg </t>
  </si>
  <si>
    <t>Inv Kg</t>
  </si>
  <si>
    <t>Tabla 6</t>
  </si>
  <si>
    <t>F Corta $</t>
  </si>
  <si>
    <t>Inv $</t>
  </si>
  <si>
    <t>Tabla 3</t>
  </si>
  <si>
    <t>Con_SG_Kg</t>
  </si>
  <si>
    <t>Con_Mach_kg</t>
  </si>
  <si>
    <t>Etiquetas de fila</t>
  </si>
  <si>
    <t>Kilos</t>
  </si>
  <si>
    <t>NombreTablas</t>
  </si>
  <si>
    <t xml:space="preserve">  &lt;= 20 días</t>
  </si>
  <si>
    <t>Fecha Corta</t>
  </si>
  <si>
    <t>SNGABRIEL</t>
  </si>
  <si>
    <t>Bodega</t>
  </si>
  <si>
    <t>TONELADAS (KG)</t>
  </si>
  <si>
    <t>FECHA</t>
  </si>
  <si>
    <t>Producto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</si>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</sst>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dd\-mm\-yy;@"/>
    <numFmt numFmtId="166" formatCode="[$-F800]dddd\,\ mmmm\ dd\,\ yyyy"/>
    <numFmt numFmtId="167" formatCode="dd/mm/yy"/>
    <numFmt numFmtId="168" formatCode="_ * #,##0_ ;_ * \-#,##0_ ;_ * &quot;-&quot;??_ ;_ @_ "/>
    <numFmt numFmtId="169" formatCode="&quot;€&quot;#,##0.00"/>
    <numFmt numFmtId="170" formatCode="_-* #,##0_-;\-* #,##0_-;_-* &quot;-&quot;??_-;_-@_-"/>
    <numFmt numFmtId="171" formatCode="_-* #,##0.0_-;\-* #,##0.0_-;_-* &quot;-&quot;??_-;_-@_-"/>
    <numFmt numFmtId="172" formatCode="0.0"/>
    <numFmt numFmtId="173" formatCode="0.0%"/>
    <numFmt numFmtId="174" formatCode="_-&quot;€&quot;* #,##0_-;\-&quot;€&quot;* #,##0_-;_-&quot;€&quot;* &quot;-&quot;??_-;_-@_-"/>
    <numFmt numFmtId="175" formatCode="_-[$$-240A]\ * #,##0.00_-;\-[$$-240A]\ * #,##0.00_-;_-[$$-240A]\ * &quot;-&quot;??_-;_-@_-"/>
    <numFmt numFmtId="176" formatCode="d/mm/yyyy"/>
  </numFmts>
  <fonts count="2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sz val="10"/>
      <name val="Aptos Narrow"/>
      <family val="2"/>
      <scheme val="minor"/>
    </font>
    <font>
      <b/>
      <u/>
      <sz val="20"/>
      <color theme="0"/>
      <name val="Arial  "/>
    </font>
    <font>
      <sz val="10"/>
      <name val="Arial  "/>
    </font>
    <font>
      <b/>
      <sz val="12"/>
      <color theme="0"/>
      <name val="Arial  "/>
    </font>
    <font>
      <b/>
      <sz val="10"/>
      <color theme="0"/>
      <name val="Arial  "/>
    </font>
    <font>
      <b/>
      <sz val="10"/>
      <name val="Arial  "/>
    </font>
    <font>
      <sz val="10"/>
      <color theme="1"/>
      <name val="Arial  "/>
    </font>
    <font>
      <b/>
      <sz val="10"/>
      <name val="Aptos Narrow"/>
      <family val="2"/>
      <scheme val="minor"/>
    </font>
    <font>
      <sz val="11"/>
      <name val="Aptos Narrow"/>
      <family val="2"/>
      <scheme val="minor"/>
    </font>
    <font>
      <b/>
      <sz val="10"/>
      <color rgb="FFFFFF00"/>
      <name val="Arial  "/>
    </font>
    <font>
      <sz val="10"/>
      <color theme="1"/>
      <name val="Aptos Narrow"/>
      <family val="2"/>
      <scheme val="minor"/>
    </font>
    <font>
      <sz val="11"/>
      <color rgb="FFFFFF00"/>
      <name val="Aptos Narrow"/>
      <family val="2"/>
      <scheme val="minor"/>
    </font>
    <font>
      <b/>
      <sz val="14"/>
      <name val="Aptos Narrow"/>
      <family val="2"/>
      <scheme val="minor"/>
    </font>
    <font>
      <sz val="14"/>
      <name val="Arial  "/>
    </font>
    <font>
      <sz val="8"/>
      <name val="Aptos Narrow"/>
      <family val="2"/>
      <scheme val="minor"/>
    </font>
    <font>
      <b/>
      <sz val="16"/>
      <name val="Aptos Narrow"/>
      <family val="2"/>
      <scheme val="minor"/>
    </font>
    <font>
      <b/>
      <sz val="16"/>
      <name val="Arial  "/>
    </font>
    <font>
      <sz val="10"/>
      <color rgb="FFFFFF00"/>
      <name val="Arial  "/>
    </font>
    <font>
      <b/>
      <sz val="11"/>
      <color theme="1"/>
      <name val="Aptos Narrow"/>
      <family val="2"/>
      <scheme val="minor"/>
    </font>
    <font>
      <b/>
      <sz val="11"/>
      <color rgb="FFFFFF00"/>
      <name val="Aptos Narrow"/>
      <family val="2"/>
      <scheme val="minor"/>
    </font>
    <font>
      <b/>
      <sz val="10"/>
      <color rgb="FFFF0000"/>
      <name val="Arial  "/>
    </font>
    <font>
      <b/>
      <sz val="11"/>
      <color theme="0"/>
      <name val="Aptos Narrow"/>
      <family val="2"/>
      <scheme val="minor"/>
    </font>
    <font>
      <b/>
      <sz val="14"/>
      <color rgb="FFFFFF00"/>
      <name val="Aptos Narrow"/>
      <family val="2"/>
      <scheme val="minor"/>
    </font>
    <font>
      <b/>
      <sz val="11"/>
      <color theme="6" tint="0.79998168889431442"/>
      <name val="Aptos Narrow"/>
      <family val="2"/>
      <scheme val="minor"/>
    </font>
    <font>
      <b/>
      <sz val="5"/>
      <color theme="1"/>
      <name val="Aptos Narrow"/>
      <family val="2"/>
      <scheme val="minor"/>
    </font>
    <font>
      <b/>
      <sz val="11"/>
      <color rgb="FF002060"/>
      <name val="Aptos Narrow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DF74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3" tint="0.89999084444715716"/>
        <bgColor theme="4" tint="0.7999816888943144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6"/>
        <bgColor theme="6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theme="1"/>
      </patternFill>
    </fill>
    <fill>
      <patternFill patternType="solid">
        <fgColor theme="0"/>
        <bgColor theme="4" tint="0.79998168889431442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theme="6" tint="0.3999755851924192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4" fontId="1" fillId="0" borderId="0" applyFont="0" applyFill="0" applyBorder="0" applyAlignment="0" applyProtection="0"/>
  </cellStyleXfs>
  <cellXfs count="315">
    <xf numFmtId="0" fontId="0" fillId="0" borderId="0" xfId="0"/>
    <xf numFmtId="0" fontId="3" fillId="0" borderId="0" xfId="4" applyFont="1" applyAlignment="1" applyProtection="1">
      <alignment horizontal="left"/>
      <protection locked="0"/>
    </xf>
    <xf numFmtId="0" fontId="5" fillId="0" borderId="0" xfId="4" applyFont="1" applyProtection="1">
      <protection locked="0"/>
    </xf>
    <xf numFmtId="2" fontId="5" fillId="0" borderId="0" xfId="4" applyNumberFormat="1" applyFont="1" applyAlignment="1" applyProtection="1">
      <alignment horizontal="center"/>
      <protection locked="0"/>
    </xf>
    <xf numFmtId="0" fontId="5" fillId="0" borderId="0" xfId="4" applyFont="1" applyAlignment="1" applyProtection="1">
      <alignment horizontal="center"/>
      <protection locked="0"/>
    </xf>
    <xf numFmtId="165" fontId="6" fillId="3" borderId="1" xfId="4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4" applyFont="1" applyFill="1" applyBorder="1" applyAlignment="1" applyProtection="1">
      <alignment horizontal="center"/>
      <protection locked="0"/>
    </xf>
    <xf numFmtId="165" fontId="5" fillId="0" borderId="0" xfId="4" applyNumberFormat="1" applyFont="1" applyAlignment="1" applyProtection="1">
      <alignment horizontal="center"/>
      <protection locked="0"/>
    </xf>
    <xf numFmtId="14" fontId="5" fillId="0" borderId="0" xfId="4" applyNumberFormat="1" applyFont="1" applyAlignment="1" applyProtection="1">
      <alignment horizontal="center"/>
      <protection locked="0"/>
    </xf>
    <xf numFmtId="43" fontId="5" fillId="0" borderId="0" xfId="1" applyFont="1" applyAlignment="1" applyProtection="1">
      <alignment horizontal="center"/>
      <protection locked="0"/>
    </xf>
    <xf numFmtId="2" fontId="5" fillId="0" borderId="0" xfId="1" applyNumberFormat="1" applyFont="1" applyAlignment="1" applyProtection="1">
      <alignment horizontal="center"/>
      <protection locked="0"/>
    </xf>
    <xf numFmtId="0" fontId="7" fillId="4" borderId="1" xfId="4" applyFont="1" applyFill="1" applyBorder="1" applyAlignment="1" applyProtection="1">
      <alignment horizontal="center"/>
      <protection locked="0"/>
    </xf>
    <xf numFmtId="16" fontId="5" fillId="0" borderId="0" xfId="4" applyNumberFormat="1" applyFont="1" applyAlignment="1" applyProtection="1">
      <alignment horizontal="center"/>
      <protection locked="0"/>
    </xf>
    <xf numFmtId="2" fontId="5" fillId="0" borderId="0" xfId="4" applyNumberFormat="1" applyFont="1" applyProtection="1">
      <protection locked="0"/>
    </xf>
    <xf numFmtId="0" fontId="8" fillId="0" borderId="0" xfId="4" applyFont="1" applyProtection="1">
      <protection locked="0"/>
    </xf>
    <xf numFmtId="0" fontId="5" fillId="6" borderId="1" xfId="4" applyFont="1" applyFill="1" applyBorder="1" applyAlignment="1" applyProtection="1">
      <alignment horizontal="center" vertical="center" wrapText="1"/>
      <protection locked="0"/>
    </xf>
    <xf numFmtId="167" fontId="8" fillId="0" borderId="0" xfId="4" applyNumberFormat="1" applyFont="1" applyAlignment="1" applyProtection="1">
      <alignment horizontal="center"/>
      <protection locked="0"/>
    </xf>
    <xf numFmtId="0" fontId="5" fillId="7" borderId="1" xfId="4" applyFont="1" applyFill="1" applyBorder="1" applyAlignment="1" applyProtection="1">
      <alignment horizontal="center"/>
      <protection locked="0"/>
    </xf>
    <xf numFmtId="14" fontId="0" fillId="0" borderId="0" xfId="0" applyNumberFormat="1" applyAlignment="1">
      <alignment horizontal="center"/>
    </xf>
    <xf numFmtId="168" fontId="5" fillId="0" borderId="0" xfId="1" applyNumberFormat="1" applyFont="1" applyFill="1" applyBorder="1" applyAlignment="1" applyProtection="1">
      <alignment horizontal="center"/>
      <protection locked="0"/>
    </xf>
    <xf numFmtId="0" fontId="10" fillId="0" borderId="0" xfId="4" applyFont="1" applyAlignment="1" applyProtection="1">
      <alignment horizontal="left"/>
      <protection locked="0"/>
    </xf>
    <xf numFmtId="0" fontId="11" fillId="0" borderId="0" xfId="0" applyFont="1" applyAlignment="1">
      <alignment horizontal="center"/>
    </xf>
    <xf numFmtId="0" fontId="8" fillId="0" borderId="0" xfId="4" applyFont="1" applyAlignment="1" applyProtection="1">
      <alignment horizontal="center" vertical="center"/>
      <protection locked="0"/>
    </xf>
    <xf numFmtId="2" fontId="8" fillId="0" borderId="0" xfId="4" applyNumberFormat="1" applyFont="1" applyAlignment="1" applyProtection="1">
      <alignment horizontal="center" vertical="center"/>
      <protection locked="0"/>
    </xf>
    <xf numFmtId="0" fontId="13" fillId="0" borderId="1" xfId="0" applyFont="1" applyBorder="1" applyAlignment="1">
      <alignment horizontal="left" vertical="top"/>
    </xf>
    <xf numFmtId="0" fontId="5" fillId="0" borderId="4" xfId="4" applyFont="1" applyBorder="1" applyAlignment="1" applyProtection="1">
      <alignment horizontal="left" vertical="top"/>
      <protection locked="0"/>
    </xf>
    <xf numFmtId="0" fontId="0" fillId="0" borderId="1" xfId="0" applyBorder="1" applyAlignment="1">
      <alignment horizontal="center"/>
    </xf>
    <xf numFmtId="43" fontId="9" fillId="0" borderId="5" xfId="1" applyFont="1" applyBorder="1" applyAlignment="1">
      <alignment horizontal="center" vertical="top"/>
    </xf>
    <xf numFmtId="0" fontId="9" fillId="0" borderId="5" xfId="0" applyFont="1" applyBorder="1" applyAlignment="1">
      <alignment horizontal="center" vertical="top"/>
    </xf>
    <xf numFmtId="14" fontId="0" fillId="0" borderId="1" xfId="0" applyNumberFormat="1" applyBorder="1" applyAlignment="1">
      <alignment horizontal="center"/>
    </xf>
    <xf numFmtId="1" fontId="9" fillId="0" borderId="6" xfId="4" applyNumberFormat="1" applyFont="1" applyBorder="1" applyAlignment="1" applyProtection="1">
      <alignment horizontal="center"/>
      <protection locked="0"/>
    </xf>
    <xf numFmtId="9" fontId="9" fillId="0" borderId="5" xfId="3" applyFont="1" applyFill="1" applyBorder="1" applyAlignment="1" applyProtection="1">
      <alignment horizontal="center"/>
      <protection locked="0"/>
    </xf>
    <xf numFmtId="9" fontId="9" fillId="0" borderId="1" xfId="3" applyFont="1" applyFill="1" applyBorder="1" applyAlignment="1" applyProtection="1">
      <alignment horizontal="center"/>
      <protection locked="0"/>
    </xf>
    <xf numFmtId="1" fontId="9" fillId="0" borderId="1" xfId="4" applyNumberFormat="1" applyFont="1" applyBorder="1" applyAlignment="1" applyProtection="1">
      <alignment horizontal="center"/>
      <protection locked="0"/>
    </xf>
    <xf numFmtId="0" fontId="9" fillId="0" borderId="1" xfId="0" applyFont="1" applyBorder="1" applyAlignment="1">
      <alignment horizontal="center"/>
    </xf>
    <xf numFmtId="0" fontId="5" fillId="0" borderId="1" xfId="4" applyFont="1" applyBorder="1" applyAlignment="1" applyProtection="1">
      <alignment horizontal="center"/>
      <protection locked="0"/>
    </xf>
    <xf numFmtId="164" fontId="0" fillId="0" borderId="0" xfId="2" applyFont="1"/>
    <xf numFmtId="43" fontId="5" fillId="0" borderId="2" xfId="2" applyNumberFormat="1" applyFont="1" applyBorder="1" applyAlignment="1" applyProtection="1">
      <alignment horizontal="center"/>
      <protection locked="0"/>
    </xf>
    <xf numFmtId="43" fontId="5" fillId="0" borderId="1" xfId="1" applyFont="1" applyBorder="1" applyAlignment="1">
      <alignment horizontal="center" vertical="top"/>
    </xf>
    <xf numFmtId="0" fontId="14" fillId="9" borderId="0" xfId="0" applyFont="1" applyFill="1"/>
    <xf numFmtId="2" fontId="16" fillId="0" borderId="0" xfId="1" applyNumberFormat="1" applyFont="1" applyAlignment="1" applyProtection="1">
      <alignment horizontal="center"/>
      <protection locked="0"/>
    </xf>
    <xf numFmtId="166" fontId="12" fillId="10" borderId="1" xfId="4" applyNumberFormat="1" applyFont="1" applyFill="1" applyBorder="1" applyAlignment="1" applyProtection="1">
      <alignment horizontal="center" vertical="center"/>
      <protection locked="0"/>
    </xf>
    <xf numFmtId="0" fontId="3" fillId="0" borderId="1" xfId="4" applyFont="1" applyBorder="1" applyAlignment="1" applyProtection="1">
      <alignment horizontal="left"/>
      <protection locked="0"/>
    </xf>
    <xf numFmtId="0" fontId="5" fillId="0" borderId="1" xfId="4" applyFont="1" applyBorder="1" applyAlignment="1" applyProtection="1">
      <alignment horizontal="left" vertical="top"/>
      <protection locked="0"/>
    </xf>
    <xf numFmtId="9" fontId="5" fillId="0" borderId="1" xfId="4" applyNumberFormat="1" applyFont="1" applyBorder="1" applyAlignment="1" applyProtection="1">
      <alignment horizontal="center"/>
      <protection locked="0"/>
    </xf>
    <xf numFmtId="14" fontId="5" fillId="0" borderId="1" xfId="4" applyNumberFormat="1" applyFont="1" applyBorder="1" applyAlignment="1" applyProtection="1">
      <alignment horizontal="center"/>
      <protection locked="0"/>
    </xf>
    <xf numFmtId="14" fontId="0" fillId="0" borderId="0" xfId="0" applyNumberFormat="1"/>
    <xf numFmtId="0" fontId="0" fillId="0" borderId="0" xfId="0" applyAlignment="1">
      <alignment horizontal="center"/>
    </xf>
    <xf numFmtId="14" fontId="16" fillId="0" borderId="0" xfId="1" applyNumberFormat="1" applyFont="1" applyAlignment="1" applyProtection="1">
      <alignment horizontal="center"/>
      <protection locked="0"/>
    </xf>
    <xf numFmtId="0" fontId="3" fillId="0" borderId="3" xfId="4" applyFont="1" applyBorder="1" applyAlignment="1" applyProtection="1">
      <alignment horizontal="left"/>
      <protection locked="0"/>
    </xf>
    <xf numFmtId="0" fontId="5" fillId="0" borderId="3" xfId="4" applyFont="1" applyBorder="1" applyAlignment="1" applyProtection="1">
      <alignment horizontal="left" vertical="top"/>
      <protection locked="0"/>
    </xf>
    <xf numFmtId="14" fontId="5" fillId="0" borderId="3" xfId="4" applyNumberFormat="1" applyFont="1" applyBorder="1" applyAlignment="1" applyProtection="1">
      <alignment horizontal="center"/>
      <protection locked="0"/>
    </xf>
    <xf numFmtId="1" fontId="5" fillId="0" borderId="3" xfId="4" applyNumberFormat="1" applyFont="1" applyBorder="1" applyAlignment="1" applyProtection="1">
      <alignment horizontal="center"/>
      <protection locked="0"/>
    </xf>
    <xf numFmtId="9" fontId="5" fillId="0" borderId="3" xfId="4" applyNumberFormat="1" applyFont="1" applyBorder="1" applyAlignment="1" applyProtection="1">
      <alignment horizontal="center"/>
      <protection locked="0"/>
    </xf>
    <xf numFmtId="43" fontId="5" fillId="0" borderId="3" xfId="2" applyNumberFormat="1" applyFont="1" applyBorder="1" applyAlignment="1" applyProtection="1">
      <alignment horizontal="center"/>
      <protection locked="0"/>
    </xf>
    <xf numFmtId="0" fontId="15" fillId="0" borderId="0" xfId="0" applyFont="1" applyAlignment="1">
      <alignment horizontal="center"/>
    </xf>
    <xf numFmtId="14" fontId="12" fillId="0" borderId="0" xfId="4" applyNumberFormat="1" applyFont="1" applyAlignment="1" applyProtection="1">
      <alignment vertical="center" wrapText="1"/>
      <protection locked="0"/>
    </xf>
    <xf numFmtId="169" fontId="5" fillId="0" borderId="0" xfId="1" applyNumberFormat="1" applyFont="1" applyAlignment="1" applyProtection="1">
      <alignment horizontal="center"/>
      <protection locked="0"/>
    </xf>
    <xf numFmtId="169" fontId="5" fillId="0" borderId="0" xfId="1" applyNumberFormat="1" applyFont="1" applyAlignment="1" applyProtection="1">
      <alignment horizontal="right"/>
      <protection locked="0"/>
    </xf>
    <xf numFmtId="49" fontId="5" fillId="0" borderId="0" xfId="4" applyNumberFormat="1" applyFont="1" applyAlignment="1" applyProtection="1">
      <alignment horizontal="center"/>
      <protection locked="0"/>
    </xf>
    <xf numFmtId="49" fontId="11" fillId="0" borderId="0" xfId="0" applyNumberFormat="1" applyFont="1" applyAlignment="1">
      <alignment horizontal="center"/>
    </xf>
    <xf numFmtId="49" fontId="12" fillId="10" borderId="1" xfId="4" applyNumberFormat="1" applyFont="1" applyFill="1" applyBorder="1" applyAlignment="1" applyProtection="1">
      <alignment horizontal="center" vertical="center"/>
      <protection locked="0"/>
    </xf>
    <xf numFmtId="49" fontId="3" fillId="0" borderId="0" xfId="4" applyNumberFormat="1" applyFont="1" applyAlignment="1" applyProtection="1">
      <alignment horizontal="center"/>
      <protection locked="0"/>
    </xf>
    <xf numFmtId="0" fontId="3" fillId="0" borderId="0" xfId="4" applyFont="1" applyAlignment="1" applyProtection="1">
      <alignment horizontal="center"/>
      <protection locked="0"/>
    </xf>
    <xf numFmtId="0" fontId="8" fillId="0" borderId="0" xfId="4" applyFont="1" applyAlignment="1" applyProtection="1">
      <alignment horizontal="center"/>
      <protection locked="0"/>
    </xf>
    <xf numFmtId="166" fontId="12" fillId="12" borderId="1" xfId="4" applyNumberFormat="1" applyFont="1" applyFill="1" applyBorder="1" applyAlignment="1" applyProtection="1">
      <alignment horizontal="center" vertical="center"/>
      <protection locked="0"/>
    </xf>
    <xf numFmtId="166" fontId="12" fillId="12" borderId="3" xfId="4" applyNumberFormat="1" applyFont="1" applyFill="1" applyBorder="1" applyAlignment="1" applyProtection="1">
      <alignment horizontal="center" vertical="center"/>
      <protection locked="0"/>
    </xf>
    <xf numFmtId="166" fontId="12" fillId="13" borderId="1" xfId="4" applyNumberFormat="1" applyFont="1" applyFill="1" applyBorder="1" applyAlignment="1" applyProtection="1">
      <alignment horizontal="center" vertical="center"/>
      <protection locked="0"/>
    </xf>
    <xf numFmtId="166" fontId="12" fillId="13" borderId="3" xfId="4" applyNumberFormat="1" applyFont="1" applyFill="1" applyBorder="1" applyAlignment="1" applyProtection="1">
      <alignment horizontal="center" vertical="center"/>
      <protection locked="0"/>
    </xf>
    <xf numFmtId="165" fontId="12" fillId="10" borderId="1" xfId="4" applyNumberFormat="1" applyFont="1" applyFill="1" applyBorder="1" applyAlignment="1" applyProtection="1">
      <alignment horizontal="center" vertical="center" wrapText="1"/>
      <protection locked="0"/>
    </xf>
    <xf numFmtId="14" fontId="9" fillId="0" borderId="0" xfId="0" applyNumberFormat="1" applyFont="1" applyAlignment="1">
      <alignment horizontal="center" vertical="top"/>
    </xf>
    <xf numFmtId="14" fontId="15" fillId="0" borderId="0" xfId="0" applyNumberFormat="1" applyFont="1" applyAlignment="1">
      <alignment horizontal="center"/>
    </xf>
    <xf numFmtId="0" fontId="9" fillId="0" borderId="4" xfId="0" applyFont="1" applyBorder="1" applyAlignment="1">
      <alignment horizontal="center" vertical="top"/>
    </xf>
    <xf numFmtId="0" fontId="5" fillId="0" borderId="3" xfId="4" applyFont="1" applyBorder="1" applyAlignment="1" applyProtection="1">
      <alignment horizontal="center" vertical="top"/>
      <protection locked="0"/>
    </xf>
    <xf numFmtId="0" fontId="18" fillId="0" borderId="0" xfId="4" applyFont="1" applyAlignment="1" applyProtection="1">
      <alignment horizontal="left"/>
      <protection locked="0"/>
    </xf>
    <xf numFmtId="49" fontId="19" fillId="0" borderId="0" xfId="4" applyNumberFormat="1" applyFont="1" applyAlignment="1" applyProtection="1">
      <alignment horizontal="center"/>
      <protection locked="0"/>
    </xf>
    <xf numFmtId="0" fontId="19" fillId="0" borderId="0" xfId="4" applyFont="1" applyAlignment="1" applyProtection="1">
      <alignment horizontal="center" vertical="center"/>
      <protection locked="0"/>
    </xf>
    <xf numFmtId="0" fontId="0" fillId="0" borderId="0" xfId="0" pivotButton="1"/>
    <xf numFmtId="0" fontId="21" fillId="0" borderId="0" xfId="0" applyFont="1"/>
    <xf numFmtId="9" fontId="0" fillId="0" borderId="0" xfId="3" applyFont="1"/>
    <xf numFmtId="0" fontId="0" fillId="0" borderId="0" xfId="0" applyAlignment="1">
      <alignment horizontal="left"/>
    </xf>
    <xf numFmtId="49" fontId="12" fillId="12" borderId="3" xfId="4" applyNumberFormat="1" applyFont="1" applyFill="1" applyBorder="1" applyAlignment="1" applyProtection="1">
      <alignment horizontal="center" vertical="center" wrapText="1"/>
      <protection locked="0"/>
    </xf>
    <xf numFmtId="0" fontId="12" fillId="12" borderId="1" xfId="4" applyFont="1" applyFill="1" applyBorder="1" applyAlignment="1" applyProtection="1">
      <alignment horizontal="center" vertical="center" wrapText="1"/>
      <protection locked="0"/>
    </xf>
    <xf numFmtId="2" fontId="12" fillId="12" borderId="1" xfId="4" applyNumberFormat="1" applyFont="1" applyFill="1" applyBorder="1" applyAlignment="1" applyProtection="1">
      <alignment horizontal="center" vertical="center" wrapText="1"/>
      <protection locked="0"/>
    </xf>
    <xf numFmtId="14" fontId="12" fillId="12" borderId="1" xfId="4" applyNumberFormat="1" applyFont="1" applyFill="1" applyBorder="1" applyAlignment="1" applyProtection="1">
      <alignment horizontal="center" vertical="center" wrapText="1"/>
      <protection locked="0"/>
    </xf>
    <xf numFmtId="14" fontId="12" fillId="12" borderId="3" xfId="4" applyNumberFormat="1" applyFont="1" applyFill="1" applyBorder="1" applyAlignment="1" applyProtection="1">
      <alignment horizontal="center" vertical="center" wrapText="1"/>
      <protection locked="0"/>
    </xf>
    <xf numFmtId="0" fontId="12" fillId="12" borderId="1" xfId="0" applyFont="1" applyFill="1" applyBorder="1" applyAlignment="1">
      <alignment horizontal="center" vertical="center" wrapText="1"/>
    </xf>
    <xf numFmtId="165" fontId="12" fillId="12" borderId="1" xfId="4" applyNumberFormat="1" applyFont="1" applyFill="1" applyBorder="1" applyAlignment="1" applyProtection="1">
      <alignment horizontal="center" vertical="center" wrapText="1"/>
      <protection locked="0"/>
    </xf>
    <xf numFmtId="170" fontId="5" fillId="0" borderId="0" xfId="1" applyNumberFormat="1" applyFont="1" applyAlignment="1" applyProtection="1">
      <alignment horizontal="center"/>
      <protection locked="0"/>
    </xf>
    <xf numFmtId="170" fontId="0" fillId="0" borderId="0" xfId="1" applyNumberFormat="1" applyFont="1" applyAlignment="1">
      <alignment horizontal="center"/>
    </xf>
    <xf numFmtId="170" fontId="9" fillId="14" borderId="1" xfId="1" applyNumberFormat="1" applyFont="1" applyFill="1" applyBorder="1" applyAlignment="1">
      <alignment horizontal="center"/>
    </xf>
    <xf numFmtId="170" fontId="8" fillId="0" borderId="0" xfId="1" applyNumberFormat="1" applyFont="1" applyAlignment="1" applyProtection="1">
      <alignment horizontal="center"/>
      <protection locked="0"/>
    </xf>
    <xf numFmtId="1" fontId="5" fillId="0" borderId="0" xfId="1" applyNumberFormat="1" applyFont="1" applyAlignment="1" applyProtection="1">
      <alignment horizontal="center"/>
      <protection locked="0"/>
    </xf>
    <xf numFmtId="1" fontId="8" fillId="0" borderId="0" xfId="4" applyNumberFormat="1" applyFont="1" applyAlignment="1" applyProtection="1">
      <alignment horizontal="center" vertical="center"/>
      <protection locked="0"/>
    </xf>
    <xf numFmtId="1" fontId="0" fillId="0" borderId="0" xfId="0" applyNumberFormat="1" applyAlignment="1">
      <alignment horizontal="center"/>
    </xf>
    <xf numFmtId="1" fontId="5" fillId="0" borderId="0" xfId="4" applyNumberFormat="1" applyFont="1" applyAlignment="1" applyProtection="1">
      <alignment horizontal="center"/>
      <protection locked="0"/>
    </xf>
    <xf numFmtId="9" fontId="5" fillId="0" borderId="0" xfId="3" applyFont="1" applyAlignment="1" applyProtection="1">
      <alignment horizontal="center"/>
      <protection locked="0"/>
    </xf>
    <xf numFmtId="170" fontId="0" fillId="0" borderId="0" xfId="1" applyNumberFormat="1" applyFont="1"/>
    <xf numFmtId="0" fontId="0" fillId="0" borderId="0" xfId="0" applyAlignment="1">
      <alignment horizontal="center" vertical="center"/>
    </xf>
    <xf numFmtId="0" fontId="5" fillId="0" borderId="1" xfId="4" applyFont="1" applyBorder="1" applyAlignment="1" applyProtection="1">
      <alignment horizontal="center" vertical="top"/>
      <protection locked="0"/>
    </xf>
    <xf numFmtId="9" fontId="8" fillId="0" borderId="0" xfId="3" applyFont="1" applyAlignment="1" applyProtection="1">
      <alignment horizontal="center"/>
      <protection locked="0"/>
    </xf>
    <xf numFmtId="9" fontId="12" fillId="12" borderId="1" xfId="3" applyFont="1" applyFill="1" applyBorder="1" applyAlignment="1" applyProtection="1">
      <alignment horizontal="center" vertical="center" wrapText="1"/>
      <protection locked="0"/>
    </xf>
    <xf numFmtId="0" fontId="3" fillId="0" borderId="0" xfId="3" applyNumberFormat="1" applyFont="1" applyAlignment="1" applyProtection="1">
      <alignment horizontal="center"/>
      <protection locked="0"/>
    </xf>
    <xf numFmtId="43" fontId="5" fillId="11" borderId="10" xfId="2" applyNumberFormat="1" applyFont="1" applyFill="1" applyBorder="1" applyAlignment="1">
      <alignment horizontal="center"/>
    </xf>
    <xf numFmtId="171" fontId="0" fillId="0" borderId="0" xfId="1" applyNumberFormat="1" applyFont="1"/>
    <xf numFmtId="9" fontId="5" fillId="0" borderId="0" xfId="3" applyFont="1" applyAlignment="1" applyProtection="1">
      <alignment horizontal="right"/>
      <protection locked="0"/>
    </xf>
    <xf numFmtId="9" fontId="5" fillId="0" borderId="0" xfId="3" applyFont="1" applyFill="1" applyBorder="1" applyAlignment="1" applyProtection="1">
      <alignment horizontal="center"/>
      <protection locked="0"/>
    </xf>
    <xf numFmtId="1" fontId="12" fillId="12" borderId="1" xfId="4" applyNumberFormat="1" applyFont="1" applyFill="1" applyBorder="1" applyAlignment="1" applyProtection="1">
      <alignment horizontal="center" vertical="center" wrapText="1"/>
      <protection locked="0"/>
    </xf>
    <xf numFmtId="170" fontId="12" fillId="12" borderId="1" xfId="1" applyNumberFormat="1" applyFont="1" applyFill="1" applyBorder="1" applyAlignment="1" applyProtection="1">
      <alignment horizontal="center" vertical="center" wrapText="1"/>
      <protection locked="0"/>
    </xf>
    <xf numFmtId="169" fontId="12" fillId="12" borderId="1" xfId="1" applyNumberFormat="1" applyFont="1" applyFill="1" applyBorder="1" applyAlignment="1" applyProtection="1">
      <alignment horizontal="center" vertical="center" wrapText="1"/>
      <protection locked="0"/>
    </xf>
    <xf numFmtId="166" fontId="12" fillId="15" borderId="1" xfId="4" applyNumberFormat="1" applyFont="1" applyFill="1" applyBorder="1" applyAlignment="1" applyProtection="1">
      <alignment horizontal="center" vertical="center"/>
      <protection locked="0"/>
    </xf>
    <xf numFmtId="0" fontId="13" fillId="16" borderId="1" xfId="0" applyFont="1" applyFill="1" applyBorder="1" applyAlignment="1">
      <alignment horizontal="left" vertical="top"/>
    </xf>
    <xf numFmtId="49" fontId="0" fillId="16" borderId="1" xfId="0" applyNumberFormat="1" applyFill="1" applyBorder="1" applyAlignment="1">
      <alignment horizontal="center"/>
    </xf>
    <xf numFmtId="0" fontId="5" fillId="16" borderId="1" xfId="4" applyFont="1" applyFill="1" applyBorder="1" applyAlignment="1">
      <alignment horizontal="left" vertical="top"/>
    </xf>
    <xf numFmtId="0" fontId="0" fillId="16" borderId="1" xfId="0" applyFill="1" applyBorder="1" applyAlignment="1">
      <alignment horizontal="center"/>
    </xf>
    <xf numFmtId="1" fontId="5" fillId="16" borderId="1" xfId="1" applyNumberFormat="1" applyFont="1" applyFill="1" applyBorder="1" applyAlignment="1">
      <alignment horizontal="center" vertical="top"/>
    </xf>
    <xf numFmtId="43" fontId="9" fillId="16" borderId="1" xfId="1" applyFont="1" applyFill="1" applyBorder="1" applyAlignment="1">
      <alignment horizontal="center" vertical="top"/>
    </xf>
    <xf numFmtId="0" fontId="9" fillId="16" borderId="1" xfId="0" applyFont="1" applyFill="1" applyBorder="1" applyAlignment="1">
      <alignment horizontal="center" vertical="top"/>
    </xf>
    <xf numFmtId="14" fontId="0" fillId="16" borderId="1" xfId="0" applyNumberFormat="1" applyFill="1" applyBorder="1" applyAlignment="1">
      <alignment horizontal="center"/>
    </xf>
    <xf numFmtId="0" fontId="9" fillId="16" borderId="1" xfId="0" applyFont="1" applyFill="1" applyBorder="1" applyAlignment="1">
      <alignment horizontal="left" vertical="top"/>
    </xf>
    <xf numFmtId="0" fontId="0" fillId="17" borderId="1" xfId="0" applyFill="1" applyBorder="1"/>
    <xf numFmtId="0" fontId="0" fillId="17" borderId="1" xfId="0" applyFill="1" applyBorder="1" applyAlignment="1">
      <alignment horizontal="center"/>
    </xf>
    <xf numFmtId="1" fontId="0" fillId="17" borderId="1" xfId="0" applyNumberFormat="1" applyFill="1" applyBorder="1" applyAlignment="1">
      <alignment horizontal="center"/>
    </xf>
    <xf numFmtId="14" fontId="0" fillId="17" borderId="1" xfId="0" applyNumberFormat="1" applyFill="1" applyBorder="1"/>
    <xf numFmtId="14" fontId="0" fillId="17" borderId="1" xfId="0" applyNumberFormat="1" applyFill="1" applyBorder="1" applyAlignment="1">
      <alignment horizontal="center"/>
    </xf>
    <xf numFmtId="0" fontId="0" fillId="17" borderId="0" xfId="0" applyFill="1"/>
    <xf numFmtId="0" fontId="0" fillId="17" borderId="0" xfId="0" applyFill="1" applyAlignment="1">
      <alignment horizontal="center"/>
    </xf>
    <xf numFmtId="1" fontId="0" fillId="17" borderId="0" xfId="0" applyNumberFormat="1" applyFill="1" applyAlignment="1">
      <alignment horizontal="center"/>
    </xf>
    <xf numFmtId="14" fontId="0" fillId="17" borderId="0" xfId="0" applyNumberFormat="1" applyFill="1"/>
    <xf numFmtId="14" fontId="0" fillId="17" borderId="0" xfId="0" applyNumberFormat="1" applyFill="1" applyAlignment="1">
      <alignment horizontal="center"/>
    </xf>
    <xf numFmtId="9" fontId="9" fillId="16" borderId="1" xfId="3" applyFont="1" applyFill="1" applyBorder="1" applyAlignment="1">
      <alignment horizontal="center"/>
    </xf>
    <xf numFmtId="170" fontId="0" fillId="16" borderId="1" xfId="1" applyNumberFormat="1" applyFont="1" applyFill="1" applyBorder="1" applyAlignment="1">
      <alignment horizontal="center"/>
    </xf>
    <xf numFmtId="1" fontId="9" fillId="16" borderId="1" xfId="4" applyNumberFormat="1" applyFont="1" applyFill="1" applyBorder="1" applyAlignment="1">
      <alignment horizontal="center"/>
    </xf>
    <xf numFmtId="170" fontId="9" fillId="16" borderId="1" xfId="1" applyNumberFormat="1" applyFont="1" applyFill="1" applyBorder="1" applyAlignment="1">
      <alignment horizontal="center"/>
    </xf>
    <xf numFmtId="9" fontId="5" fillId="16" borderId="1" xfId="3" applyFont="1" applyFill="1" applyBorder="1" applyAlignment="1">
      <alignment horizontal="center"/>
    </xf>
    <xf numFmtId="169" fontId="5" fillId="16" borderId="1" xfId="2" applyNumberFormat="1" applyFont="1" applyFill="1" applyBorder="1" applyAlignment="1">
      <alignment horizontal="center"/>
    </xf>
    <xf numFmtId="169" fontId="5" fillId="16" borderId="1" xfId="1" applyNumberFormat="1" applyFont="1" applyFill="1" applyBorder="1" applyAlignment="1">
      <alignment horizontal="center"/>
    </xf>
    <xf numFmtId="164" fontId="9" fillId="16" borderId="1" xfId="2" applyFont="1" applyFill="1" applyBorder="1" applyAlignment="1">
      <alignment horizontal="center"/>
    </xf>
    <xf numFmtId="0" fontId="9" fillId="16" borderId="1" xfId="0" applyFont="1" applyFill="1" applyBorder="1" applyAlignment="1">
      <alignment horizontal="center"/>
    </xf>
    <xf numFmtId="9" fontId="0" fillId="17" borderId="1" xfId="3" applyFont="1" applyFill="1" applyBorder="1"/>
    <xf numFmtId="170" fontId="0" fillId="17" borderId="1" xfId="1" applyNumberFormat="1" applyFont="1" applyFill="1" applyBorder="1"/>
    <xf numFmtId="169" fontId="0" fillId="17" borderId="1" xfId="0" applyNumberFormat="1" applyFill="1" applyBorder="1"/>
    <xf numFmtId="164" fontId="0" fillId="17" borderId="1" xfId="2" applyFont="1" applyFill="1" applyBorder="1"/>
    <xf numFmtId="9" fontId="0" fillId="17" borderId="0" xfId="3" applyFont="1" applyFill="1"/>
    <xf numFmtId="170" fontId="0" fillId="17" borderId="0" xfId="1" applyNumberFormat="1" applyFont="1" applyFill="1"/>
    <xf numFmtId="169" fontId="0" fillId="17" borderId="0" xfId="0" applyNumberFormat="1" applyFill="1"/>
    <xf numFmtId="171" fontId="12" fillId="12" borderId="1" xfId="1" applyNumberFormat="1" applyFont="1" applyFill="1" applyBorder="1" applyAlignment="1">
      <alignment horizontal="center" vertical="center" wrapText="1"/>
    </xf>
    <xf numFmtId="171" fontId="0" fillId="17" borderId="0" xfId="1" applyNumberFormat="1" applyFont="1" applyFill="1"/>
    <xf numFmtId="169" fontId="12" fillId="15" borderId="0" xfId="2" applyNumberFormat="1" applyFont="1" applyFill="1" applyAlignment="1" applyProtection="1">
      <alignment horizontal="center"/>
      <protection locked="0"/>
    </xf>
    <xf numFmtId="169" fontId="12" fillId="15" borderId="0" xfId="1" applyNumberFormat="1" applyFont="1" applyFill="1" applyAlignment="1" applyProtection="1">
      <alignment horizontal="center"/>
      <protection locked="0"/>
    </xf>
    <xf numFmtId="171" fontId="0" fillId="17" borderId="5" xfId="1" applyNumberFormat="1" applyFont="1" applyFill="1" applyBorder="1"/>
    <xf numFmtId="0" fontId="22" fillId="12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170" fontId="22" fillId="12" borderId="0" xfId="1" applyNumberFormat="1" applyFont="1" applyFill="1" applyAlignment="1">
      <alignment horizontal="center"/>
    </xf>
    <xf numFmtId="0" fontId="8" fillId="6" borderId="1" xfId="4" applyFont="1" applyFill="1" applyBorder="1" applyAlignment="1" applyProtection="1">
      <alignment horizontal="center" vertical="center" wrapText="1"/>
      <protection locked="0"/>
    </xf>
    <xf numFmtId="0" fontId="8" fillId="7" borderId="1" xfId="4" applyFont="1" applyFill="1" applyBorder="1" applyAlignment="1" applyProtection="1">
      <alignment horizontal="center"/>
      <protection locked="0"/>
    </xf>
    <xf numFmtId="49" fontId="12" fillId="18" borderId="3" xfId="4" applyNumberFormat="1" applyFont="1" applyFill="1" applyBorder="1" applyAlignment="1" applyProtection="1">
      <alignment horizontal="center" vertical="center" wrapText="1"/>
      <protection locked="0"/>
    </xf>
    <xf numFmtId="0" fontId="12" fillId="18" borderId="1" xfId="4" applyFont="1" applyFill="1" applyBorder="1" applyAlignment="1" applyProtection="1">
      <alignment horizontal="center" vertical="center" wrapText="1"/>
      <protection locked="0"/>
    </xf>
    <xf numFmtId="2" fontId="12" fillId="18" borderId="1" xfId="4" applyNumberFormat="1" applyFont="1" applyFill="1" applyBorder="1" applyAlignment="1" applyProtection="1">
      <alignment horizontal="center" vertical="center" wrapText="1"/>
      <protection locked="0"/>
    </xf>
    <xf numFmtId="14" fontId="12" fillId="18" borderId="1" xfId="4" applyNumberFormat="1" applyFont="1" applyFill="1" applyBorder="1" applyAlignment="1" applyProtection="1">
      <alignment horizontal="center" vertical="center" wrapText="1"/>
      <protection locked="0"/>
    </xf>
    <xf numFmtId="43" fontId="12" fillId="18" borderId="1" xfId="1" applyFont="1" applyFill="1" applyBorder="1" applyAlignment="1" applyProtection="1">
      <alignment horizontal="center" vertical="center" wrapText="1"/>
      <protection locked="0"/>
    </xf>
    <xf numFmtId="0" fontId="12" fillId="18" borderId="1" xfId="0" applyFont="1" applyFill="1" applyBorder="1" applyAlignment="1">
      <alignment horizontal="center" vertical="center" wrapText="1"/>
    </xf>
    <xf numFmtId="0" fontId="12" fillId="18" borderId="5" xfId="0" applyFont="1" applyFill="1" applyBorder="1" applyAlignment="1">
      <alignment horizontal="center" vertical="center" wrapText="1"/>
    </xf>
    <xf numFmtId="0" fontId="20" fillId="18" borderId="8" xfId="0" applyFont="1" applyFill="1" applyBorder="1" applyAlignment="1">
      <alignment horizontal="center" vertical="center"/>
    </xf>
    <xf numFmtId="49" fontId="0" fillId="0" borderId="0" xfId="0" applyNumberFormat="1"/>
    <xf numFmtId="49" fontId="0" fillId="0" borderId="0" xfId="0" quotePrefix="1" applyNumberFormat="1"/>
    <xf numFmtId="14" fontId="23" fillId="6" borderId="3" xfId="4" applyNumberFormat="1" applyFont="1" applyFill="1" applyBorder="1" applyAlignment="1" applyProtection="1">
      <alignment horizontal="center" vertical="center" wrapText="1"/>
      <protection locked="0"/>
    </xf>
    <xf numFmtId="49" fontId="23" fillId="6" borderId="3" xfId="4" applyNumberFormat="1" applyFont="1" applyFill="1" applyBorder="1" applyAlignment="1" applyProtection="1">
      <alignment horizontal="center" vertical="center" wrapText="1"/>
      <protection locked="0"/>
    </xf>
    <xf numFmtId="43" fontId="23" fillId="6" borderId="1" xfId="1" applyFont="1" applyFill="1" applyBorder="1" applyAlignment="1" applyProtection="1">
      <alignment horizontal="center" vertical="center" wrapText="1"/>
      <protection locked="0"/>
    </xf>
    <xf numFmtId="171" fontId="0" fillId="0" borderId="6" xfId="1" applyNumberFormat="1" applyFont="1" applyBorder="1" applyAlignment="1">
      <alignment horizontal="center"/>
    </xf>
    <xf numFmtId="14" fontId="9" fillId="0" borderId="6" xfId="4" applyNumberFormat="1" applyFont="1" applyBorder="1" applyAlignment="1" applyProtection="1">
      <alignment horizontal="center"/>
      <protection locked="0"/>
    </xf>
    <xf numFmtId="171" fontId="5" fillId="0" borderId="2" xfId="2" applyNumberFormat="1" applyFont="1" applyBorder="1" applyAlignment="1" applyProtection="1">
      <alignment horizontal="center"/>
      <protection locked="0"/>
    </xf>
    <xf numFmtId="172" fontId="5" fillId="0" borderId="0" xfId="1" applyNumberFormat="1" applyFont="1" applyAlignment="1" applyProtection="1">
      <alignment horizontal="center"/>
      <protection locked="0"/>
    </xf>
    <xf numFmtId="172" fontId="3" fillId="0" borderId="0" xfId="4" applyNumberFormat="1" applyFont="1" applyAlignment="1" applyProtection="1">
      <alignment horizontal="center"/>
      <protection locked="0"/>
    </xf>
    <xf numFmtId="172" fontId="12" fillId="18" borderId="1" xfId="1" applyNumberFormat="1" applyFont="1" applyFill="1" applyBorder="1" applyAlignment="1" applyProtection="1">
      <alignment horizontal="center" vertical="center" wrapText="1"/>
      <protection locked="0"/>
    </xf>
    <xf numFmtId="49" fontId="3" fillId="0" borderId="0" xfId="4" applyNumberFormat="1" applyFont="1" applyAlignment="1" applyProtection="1">
      <alignment horizontal="left"/>
      <protection locked="0"/>
    </xf>
    <xf numFmtId="49" fontId="5" fillId="0" borderId="0" xfId="4" applyNumberFormat="1" applyFont="1" applyAlignment="1" applyProtection="1">
      <alignment horizontal="left"/>
      <protection locked="0"/>
    </xf>
    <xf numFmtId="49" fontId="11" fillId="0" borderId="0" xfId="0" applyNumberFormat="1" applyFont="1" applyAlignment="1">
      <alignment horizontal="left"/>
    </xf>
    <xf numFmtId="170" fontId="0" fillId="0" borderId="0" xfId="0" applyNumberFormat="1"/>
    <xf numFmtId="173" fontId="0" fillId="0" borderId="0" xfId="3" applyNumberFormat="1" applyFont="1"/>
    <xf numFmtId="1" fontId="5" fillId="0" borderId="1" xfId="4" applyNumberFormat="1" applyFont="1" applyBorder="1" applyAlignment="1" applyProtection="1">
      <alignment horizontal="center"/>
      <protection locked="0"/>
    </xf>
    <xf numFmtId="171" fontId="5" fillId="0" borderId="1" xfId="2" applyNumberFormat="1" applyFont="1" applyBorder="1" applyAlignment="1" applyProtection="1">
      <alignment horizontal="center"/>
      <protection locked="0"/>
    </xf>
    <xf numFmtId="14" fontId="5" fillId="0" borderId="5" xfId="4" applyNumberFormat="1" applyFont="1" applyBorder="1" applyAlignment="1" applyProtection="1">
      <alignment horizontal="center"/>
      <protection locked="0"/>
    </xf>
    <xf numFmtId="14" fontId="5" fillId="0" borderId="6" xfId="4" applyNumberFormat="1" applyFont="1" applyBorder="1" applyAlignment="1" applyProtection="1">
      <alignment horizontal="center" vertical="top"/>
      <protection locked="0"/>
    </xf>
    <xf numFmtId="171" fontId="5" fillId="0" borderId="4" xfId="1" applyNumberFormat="1" applyFont="1" applyBorder="1" applyAlignment="1" applyProtection="1">
      <alignment horizontal="center"/>
      <protection locked="0"/>
    </xf>
    <xf numFmtId="0" fontId="25" fillId="0" borderId="0" xfId="4" applyFont="1" applyAlignment="1" applyProtection="1">
      <alignment horizontal="left"/>
      <protection locked="0"/>
    </xf>
    <xf numFmtId="10" fontId="21" fillId="0" borderId="0" xfId="3" applyNumberFormat="1" applyFont="1" applyAlignment="1">
      <alignment horizontal="center"/>
    </xf>
    <xf numFmtId="43" fontId="9" fillId="0" borderId="7" xfId="4" applyNumberFormat="1" applyFont="1" applyBorder="1" applyAlignment="1" applyProtection="1">
      <alignment horizontal="center" vertical="top"/>
      <protection locked="0"/>
    </xf>
    <xf numFmtId="0" fontId="21" fillId="23" borderId="15" xfId="0" applyFont="1" applyFill="1" applyBorder="1"/>
    <xf numFmtId="0" fontId="28" fillId="21" borderId="14" xfId="0" applyFont="1" applyFill="1" applyBorder="1" applyAlignment="1">
      <alignment horizontal="center"/>
    </xf>
    <xf numFmtId="0" fontId="28" fillId="21" borderId="15" xfId="0" applyFont="1" applyFill="1" applyBorder="1" applyAlignment="1">
      <alignment horizontal="center"/>
    </xf>
    <xf numFmtId="0" fontId="21" fillId="22" borderId="16" xfId="0" applyFont="1" applyFill="1" applyBorder="1"/>
    <xf numFmtId="0" fontId="21" fillId="23" borderId="17" xfId="0" applyFont="1" applyFill="1" applyBorder="1"/>
    <xf numFmtId="0" fontId="21" fillId="22" borderId="18" xfId="0" applyFont="1" applyFill="1" applyBorder="1"/>
    <xf numFmtId="0" fontId="21" fillId="23" borderId="19" xfId="0" applyFont="1" applyFill="1" applyBorder="1"/>
    <xf numFmtId="0" fontId="24" fillId="2" borderId="14" xfId="0" applyFont="1" applyFill="1" applyBorder="1"/>
    <xf numFmtId="1" fontId="3" fillId="0" borderId="0" xfId="4" applyNumberFormat="1" applyFont="1" applyAlignment="1" applyProtection="1">
      <alignment horizontal="center"/>
      <protection locked="0"/>
    </xf>
    <xf numFmtId="1" fontId="23" fillId="6" borderId="1" xfId="1" applyNumberFormat="1" applyFont="1" applyFill="1" applyBorder="1" applyAlignment="1" applyProtection="1">
      <alignment horizontal="center" vertical="center" wrapText="1"/>
      <protection locked="0"/>
    </xf>
    <xf numFmtId="0" fontId="12" fillId="8" borderId="1" xfId="4" applyFont="1" applyFill="1" applyBorder="1" applyAlignment="1" applyProtection="1">
      <alignment horizontal="center" vertical="center" wrapText="1"/>
      <protection locked="0"/>
    </xf>
    <xf numFmtId="49" fontId="12" fillId="8" borderId="1" xfId="4" applyNumberFormat="1" applyFont="1" applyFill="1" applyBorder="1" applyAlignment="1" applyProtection="1">
      <alignment horizontal="left" vertical="center"/>
      <protection locked="0"/>
    </xf>
    <xf numFmtId="166" fontId="12" fillId="8" borderId="1" xfId="4" applyNumberFormat="1" applyFont="1" applyFill="1" applyBorder="1" applyAlignment="1" applyProtection="1">
      <alignment horizontal="center" vertical="center"/>
      <protection locked="0"/>
    </xf>
    <xf numFmtId="43" fontId="12" fillId="8" borderId="1" xfId="1" applyFont="1" applyFill="1" applyBorder="1" applyAlignment="1" applyProtection="1">
      <alignment horizontal="center" vertical="center" wrapText="1"/>
      <protection locked="0"/>
    </xf>
    <xf numFmtId="9" fontId="12" fillId="8" borderId="1" xfId="3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>
      <alignment horizontal="center" vertical="center" wrapText="1"/>
    </xf>
    <xf numFmtId="0" fontId="12" fillId="8" borderId="9" xfId="0" applyFont="1" applyFill="1" applyBorder="1" applyAlignment="1">
      <alignment horizontal="center" vertical="center" wrapText="1"/>
    </xf>
    <xf numFmtId="43" fontId="5" fillId="0" borderId="1" xfId="4" applyNumberFormat="1" applyFont="1" applyBorder="1" applyAlignment="1" applyProtection="1">
      <alignment horizontal="center"/>
      <protection locked="0"/>
    </xf>
    <xf numFmtId="0" fontId="5" fillId="0" borderId="6" xfId="4" applyFont="1" applyBorder="1" applyAlignment="1" applyProtection="1">
      <alignment horizontal="center"/>
      <protection locked="0"/>
    </xf>
    <xf numFmtId="9" fontId="5" fillId="0" borderId="5" xfId="4" applyNumberFormat="1" applyFont="1" applyBorder="1" applyAlignment="1" applyProtection="1">
      <alignment horizontal="center"/>
      <protection locked="0"/>
    </xf>
    <xf numFmtId="0" fontId="13" fillId="0" borderId="2" xfId="0" applyFont="1" applyBorder="1" applyAlignment="1">
      <alignment horizontal="left" vertical="top"/>
    </xf>
    <xf numFmtId="0" fontId="3" fillId="0" borderId="2" xfId="4" applyFont="1" applyBorder="1" applyAlignment="1" applyProtection="1">
      <alignment horizontal="left"/>
      <protection locked="0"/>
    </xf>
    <xf numFmtId="0" fontId="13" fillId="0" borderId="3" xfId="0" applyFont="1" applyBorder="1" applyAlignment="1">
      <alignment horizontal="left" vertical="top"/>
    </xf>
    <xf numFmtId="0" fontId="0" fillId="0" borderId="0" xfId="0" pivotButton="1" applyAlignment="1">
      <alignment horizontal="center" vertical="center"/>
    </xf>
    <xf numFmtId="0" fontId="0" fillId="0" borderId="0" xfId="0" pivotButton="1" applyAlignment="1">
      <alignment horizontal="center"/>
    </xf>
    <xf numFmtId="0" fontId="21" fillId="11" borderId="20" xfId="0" applyFont="1" applyFill="1" applyBorder="1" applyAlignment="1">
      <alignment horizontal="center"/>
    </xf>
    <xf numFmtId="175" fontId="21" fillId="0" borderId="0" xfId="0" applyNumberFormat="1" applyFont="1" applyAlignment="1">
      <alignment horizontal="center"/>
    </xf>
    <xf numFmtId="175" fontId="22" fillId="12" borderId="0" xfId="2" applyNumberFormat="1" applyFont="1" applyFill="1" applyAlignment="1">
      <alignment horizontal="center"/>
    </xf>
    <xf numFmtId="175" fontId="22" fillId="12" borderId="0" xfId="0" applyNumberFormat="1" applyFont="1" applyFill="1" applyAlignment="1">
      <alignment horizontal="center"/>
    </xf>
    <xf numFmtId="175" fontId="21" fillId="0" borderId="0" xfId="0" applyNumberFormat="1" applyFont="1"/>
    <xf numFmtId="175" fontId="0" fillId="0" borderId="0" xfId="0" applyNumberFormat="1"/>
    <xf numFmtId="175" fontId="0" fillId="0" borderId="0" xfId="0" applyNumberFormat="1" applyAlignment="1">
      <alignment horizontal="center"/>
    </xf>
    <xf numFmtId="175" fontId="24" fillId="24" borderId="0" xfId="2" applyNumberFormat="1" applyFont="1" applyFill="1" applyAlignment="1">
      <alignment horizontal="center"/>
    </xf>
    <xf numFmtId="175" fontId="0" fillId="0" borderId="0" xfId="2" applyNumberFormat="1" applyFont="1"/>
    <xf numFmtId="175" fontId="27" fillId="0" borderId="0" xfId="2" applyNumberFormat="1" applyFont="1" applyAlignment="1">
      <alignment horizontal="left"/>
    </xf>
    <xf numFmtId="175" fontId="21" fillId="0" borderId="0" xfId="2" applyNumberFormat="1" applyFont="1"/>
    <xf numFmtId="175" fontId="24" fillId="19" borderId="12" xfId="2" applyNumberFormat="1" applyFont="1" applyFill="1" applyBorder="1" applyAlignment="1">
      <alignment horizontal="center"/>
    </xf>
    <xf numFmtId="175" fontId="26" fillId="20" borderId="0" xfId="2" applyNumberFormat="1" applyFont="1" applyFill="1"/>
    <xf numFmtId="175" fontId="26" fillId="20" borderId="0" xfId="2" applyNumberFormat="1" applyFont="1" applyFill="1" applyAlignment="1">
      <alignment horizontal="left"/>
    </xf>
    <xf numFmtId="175" fontId="5" fillId="0" borderId="0" xfId="1" applyNumberFormat="1" applyFont="1" applyAlignment="1" applyProtection="1">
      <alignment horizontal="center"/>
      <protection locked="0"/>
    </xf>
    <xf numFmtId="175" fontId="5" fillId="0" borderId="0" xfId="2" applyNumberFormat="1" applyFont="1" applyAlignment="1" applyProtection="1">
      <alignment horizontal="center"/>
      <protection locked="0"/>
    </xf>
    <xf numFmtId="175" fontId="5" fillId="0" borderId="0" xfId="4" applyNumberFormat="1" applyFont="1" applyAlignment="1" applyProtection="1">
      <alignment horizontal="center"/>
      <protection locked="0"/>
    </xf>
    <xf numFmtId="175" fontId="3" fillId="0" borderId="0" xfId="4" applyNumberFormat="1" applyFont="1" applyAlignment="1" applyProtection="1">
      <alignment horizontal="center"/>
      <protection locked="0"/>
    </xf>
    <xf numFmtId="175" fontId="3" fillId="0" borderId="0" xfId="2" applyNumberFormat="1" applyFont="1" applyAlignment="1" applyProtection="1">
      <alignment horizontal="center"/>
      <protection locked="0"/>
    </xf>
    <xf numFmtId="175" fontId="12" fillId="8" borderId="0" xfId="2" applyNumberFormat="1" applyFont="1" applyFill="1" applyAlignment="1" applyProtection="1">
      <alignment horizontal="center"/>
      <protection locked="0"/>
    </xf>
    <xf numFmtId="175" fontId="12" fillId="8" borderId="0" xfId="1" applyNumberFormat="1" applyFont="1" applyFill="1" applyAlignment="1" applyProtection="1">
      <alignment horizontal="center"/>
      <protection locked="0"/>
    </xf>
    <xf numFmtId="175" fontId="12" fillId="8" borderId="1" xfId="1" applyNumberFormat="1" applyFont="1" applyFill="1" applyBorder="1" applyAlignment="1" applyProtection="1">
      <alignment horizontal="center" vertical="center" wrapText="1"/>
      <protection locked="0"/>
    </xf>
    <xf numFmtId="175" fontId="12" fillId="8" borderId="1" xfId="2" applyNumberFormat="1" applyFont="1" applyFill="1" applyBorder="1" applyAlignment="1" applyProtection="1">
      <alignment horizontal="center" vertical="center" wrapText="1"/>
      <protection locked="0"/>
    </xf>
    <xf numFmtId="175" fontId="5" fillId="0" borderId="1" xfId="2" applyNumberFormat="1" applyFont="1" applyBorder="1" applyAlignment="1" applyProtection="1">
      <alignment horizontal="center"/>
      <protection locked="0"/>
    </xf>
    <xf numFmtId="175" fontId="5" fillId="0" borderId="2" xfId="2" applyNumberFormat="1" applyFont="1" applyBorder="1" applyAlignment="1" applyProtection="1">
      <alignment horizontal="center"/>
      <protection locked="0"/>
    </xf>
    <xf numFmtId="175" fontId="12" fillId="18" borderId="0" xfId="2" applyNumberFormat="1" applyFont="1" applyFill="1" applyAlignment="1" applyProtection="1">
      <alignment horizontal="center"/>
      <protection locked="0"/>
    </xf>
    <xf numFmtId="175" fontId="12" fillId="18" borderId="0" xfId="1" applyNumberFormat="1" applyFont="1" applyFill="1" applyAlignment="1" applyProtection="1">
      <alignment horizontal="center"/>
      <protection locked="0"/>
    </xf>
    <xf numFmtId="175" fontId="12" fillId="18" borderId="1" xfId="1" applyNumberFormat="1" applyFont="1" applyFill="1" applyBorder="1" applyAlignment="1" applyProtection="1">
      <alignment horizontal="center" vertical="center" wrapText="1"/>
      <protection locked="0"/>
    </xf>
    <xf numFmtId="175" fontId="5" fillId="0" borderId="1" xfId="1" applyNumberFormat="1" applyFont="1" applyBorder="1" applyAlignment="1" applyProtection="1">
      <alignment horizontal="center"/>
      <protection locked="0"/>
    </xf>
    <xf numFmtId="175" fontId="5" fillId="0" borderId="3" xfId="2" applyNumberFormat="1" applyFont="1" applyBorder="1" applyAlignment="1" applyProtection="1">
      <alignment horizontal="center"/>
      <protection locked="0"/>
    </xf>
    <xf numFmtId="175" fontId="0" fillId="0" borderId="0" xfId="0" pivotButton="1" applyNumberFormat="1" applyAlignment="1">
      <alignment horizontal="left"/>
    </xf>
    <xf numFmtId="175" fontId="21" fillId="0" borderId="0" xfId="0" applyNumberFormat="1" applyFont="1" applyAlignment="1">
      <alignment horizontal="left"/>
    </xf>
    <xf numFmtId="9" fontId="21" fillId="0" borderId="0" xfId="3" applyFont="1" applyAlignment="1">
      <alignment horizontal="center"/>
    </xf>
    <xf numFmtId="43" fontId="5" fillId="0" borderId="3" xfId="4" applyNumberFormat="1" applyFont="1" applyBorder="1" applyAlignment="1" applyProtection="1">
      <alignment horizontal="center"/>
      <protection locked="0"/>
    </xf>
    <xf numFmtId="0" fontId="5" fillId="0" borderId="13" xfId="4" applyFont="1" applyBorder="1" applyAlignment="1" applyProtection="1">
      <alignment horizontal="center"/>
      <protection locked="0"/>
    </xf>
    <xf numFmtId="0" fontId="22" fillId="12" borderId="0" xfId="0" applyFont="1" applyFill="1" applyAlignment="1">
      <alignment horizontal="left"/>
    </xf>
    <xf numFmtId="9" fontId="21" fillId="0" borderId="0" xfId="0" applyNumberFormat="1" applyFont="1"/>
    <xf numFmtId="49" fontId="0" fillId="25" borderId="0" xfId="0" applyNumberFormat="1" applyFill="1" applyAlignment="1">
      <alignment horizontal="center"/>
    </xf>
    <xf numFmtId="49" fontId="0" fillId="9" borderId="0" xfId="0" applyNumberFormat="1" applyFill="1" applyAlignment="1">
      <alignment horizontal="center"/>
    </xf>
    <xf numFmtId="49" fontId="5" fillId="25" borderId="0" xfId="4" applyNumberFormat="1" applyFont="1" applyFill="1" applyAlignment="1">
      <alignment horizontal="center"/>
    </xf>
    <xf numFmtId="49" fontId="5" fillId="9" borderId="0" xfId="4" applyNumberFormat="1" applyFont="1" applyFill="1" applyAlignment="1">
      <alignment horizontal="center"/>
    </xf>
    <xf numFmtId="49" fontId="5" fillId="9" borderId="0" xfId="4" quotePrefix="1" applyNumberFormat="1" applyFont="1" applyFill="1" applyAlignment="1">
      <alignment horizontal="center"/>
    </xf>
    <xf numFmtId="49" fontId="5" fillId="25" borderId="0" xfId="4" quotePrefix="1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1" xfId="0" applyNumberFormat="1" applyBorder="1" applyAlignment="1">
      <alignment horizontal="center"/>
    </xf>
    <xf numFmtId="49" fontId="5" fillId="0" borderId="1" xfId="4" applyNumberFormat="1" applyFont="1" applyBorder="1" applyAlignment="1" applyProtection="1">
      <alignment horizontal="center"/>
      <protection locked="0"/>
    </xf>
    <xf numFmtId="49" fontId="5" fillId="0" borderId="1" xfId="4" quotePrefix="1" applyNumberFormat="1" applyFont="1" applyBorder="1" applyAlignment="1" applyProtection="1">
      <alignment horizontal="center"/>
      <protection locked="0"/>
    </xf>
    <xf numFmtId="43" fontId="0" fillId="0" borderId="1" xfId="1" applyFont="1" applyBorder="1" applyAlignment="1">
      <alignment horizontal="center"/>
    </xf>
    <xf numFmtId="43" fontId="5" fillId="0" borderId="1" xfId="1" applyFont="1" applyBorder="1" applyAlignment="1" applyProtection="1">
      <alignment horizontal="center"/>
      <protection locked="0"/>
    </xf>
    <xf numFmtId="43" fontId="5" fillId="0" borderId="1" xfId="1" applyFont="1" applyFill="1" applyBorder="1" applyAlignment="1" applyProtection="1">
      <alignment horizontal="center"/>
      <protection locked="0"/>
    </xf>
    <xf numFmtId="43" fontId="0" fillId="0" borderId="1" xfId="1" applyFont="1" applyBorder="1" applyAlignment="1"/>
    <xf numFmtId="43" fontId="5" fillId="0" borderId="1" xfId="1" applyFont="1" applyBorder="1" applyAlignment="1" applyProtection="1">
      <protection locked="0"/>
    </xf>
    <xf numFmtId="43" fontId="5" fillId="0" borderId="5" xfId="1" applyFont="1" applyFill="1" applyBorder="1" applyAlignment="1" applyProtection="1">
      <alignment horizontal="center"/>
      <protection locked="0"/>
    </xf>
    <xf numFmtId="43" fontId="5" fillId="0" borderId="5" xfId="1" applyFont="1" applyBorder="1" applyAlignment="1" applyProtection="1">
      <alignment horizontal="center"/>
      <protection locked="0"/>
    </xf>
    <xf numFmtId="43" fontId="0" fillId="0" borderId="5" xfId="1" applyFont="1" applyBorder="1" applyAlignment="1">
      <alignment horizontal="center"/>
    </xf>
    <xf numFmtId="170" fontId="3" fillId="0" borderId="0" xfId="1" applyNumberFormat="1" applyFont="1" applyAlignment="1" applyProtection="1">
      <alignment horizontal="center"/>
      <protection locked="0"/>
    </xf>
    <xf numFmtId="170" fontId="12" fillId="18" borderId="1" xfId="1" applyNumberFormat="1" applyFont="1" applyFill="1" applyBorder="1" applyAlignment="1" applyProtection="1">
      <alignment horizontal="center" vertical="center" wrapText="1"/>
      <protection locked="0"/>
    </xf>
    <xf numFmtId="170" fontId="9" fillId="0" borderId="6" xfId="1" applyNumberFormat="1" applyFont="1" applyBorder="1" applyAlignment="1" applyProtection="1">
      <alignment horizontal="center"/>
      <protection locked="0"/>
    </xf>
    <xf numFmtId="49" fontId="5" fillId="0" borderId="3" xfId="4" applyNumberFormat="1" applyFont="1" applyBorder="1" applyAlignment="1" applyProtection="1">
      <alignment horizontal="left"/>
      <protection locked="0"/>
    </xf>
    <xf numFmtId="14" fontId="5" fillId="0" borderId="3" xfId="4" applyNumberFormat="1" applyFont="1" applyBorder="1" applyAlignment="1" applyProtection="1">
      <alignment horizontal="center" vertical="top"/>
      <protection locked="0"/>
    </xf>
    <xf numFmtId="1" fontId="5" fillId="0" borderId="7" xfId="1" applyNumberFormat="1" applyFont="1" applyFill="1" applyBorder="1" applyAlignment="1" applyProtection="1">
      <alignment horizontal="center"/>
      <protection locked="0"/>
    </xf>
    <xf numFmtId="2" fontId="5" fillId="0" borderId="3" xfId="4" applyNumberFormat="1" applyFont="1" applyBorder="1" applyAlignment="1" applyProtection="1">
      <alignment horizontal="center"/>
      <protection locked="0"/>
    </xf>
    <xf numFmtId="9" fontId="5" fillId="0" borderId="3" xfId="3" applyFont="1" applyBorder="1" applyAlignment="1" applyProtection="1">
      <alignment horizontal="center"/>
      <protection locked="0"/>
    </xf>
    <xf numFmtId="175" fontId="5" fillId="0" borderId="3" xfId="4" applyNumberFormat="1" applyFont="1" applyBorder="1" applyAlignment="1" applyProtection="1">
      <alignment horizontal="center"/>
      <protection locked="0"/>
    </xf>
    <xf numFmtId="0" fontId="5" fillId="0" borderId="3" xfId="2" applyNumberFormat="1" applyFont="1" applyBorder="1" applyAlignment="1" applyProtection="1">
      <alignment horizontal="center"/>
      <protection locked="0"/>
    </xf>
    <xf numFmtId="14" fontId="5" fillId="0" borderId="1" xfId="4" applyNumberFormat="1" applyFont="1" applyBorder="1" applyAlignment="1" applyProtection="1">
      <alignment horizontal="center" vertical="top"/>
      <protection locked="0"/>
    </xf>
    <xf numFmtId="9" fontId="5" fillId="0" borderId="1" xfId="3" applyFont="1" applyBorder="1" applyAlignment="1" applyProtection="1">
      <alignment horizontal="center"/>
      <protection locked="0"/>
    </xf>
    <xf numFmtId="170" fontId="5" fillId="0" borderId="1" xfId="1" applyNumberFormat="1" applyFont="1" applyBorder="1" applyAlignment="1" applyProtection="1">
      <alignment horizontal="center"/>
      <protection locked="0"/>
    </xf>
    <xf numFmtId="170" fontId="0" fillId="17" borderId="0" xfId="1" applyNumberFormat="1" applyFont="1" applyFill="1" applyAlignment="1">
      <alignment horizontal="center"/>
    </xf>
    <xf numFmtId="49" fontId="0" fillId="0" borderId="0" xfId="0" applyNumberFormat="1" applyAlignment="1">
      <alignment horizontal="center" vertical="center"/>
    </xf>
    <xf numFmtId="0" fontId="5" fillId="0" borderId="0" xfId="1" applyNumberFormat="1" applyFont="1" applyAlignment="1" applyProtection="1">
      <alignment horizontal="right"/>
      <protection locked="0"/>
    </xf>
    <xf numFmtId="0" fontId="3" fillId="0" borderId="0" xfId="1" applyNumberFormat="1" applyFont="1" applyAlignment="1" applyProtection="1">
      <alignment horizontal="right"/>
      <protection locked="0"/>
    </xf>
    <xf numFmtId="0" fontId="23" fillId="6" borderId="1" xfId="1" applyNumberFormat="1" applyFont="1" applyFill="1" applyBorder="1" applyAlignment="1" applyProtection="1">
      <alignment horizontal="right" vertical="center" wrapText="1"/>
      <protection locked="0"/>
    </xf>
    <xf numFmtId="0" fontId="0" fillId="0" borderId="1" xfId="1" applyNumberFormat="1" applyFont="1" applyBorder="1" applyAlignment="1">
      <alignment horizontal="center"/>
    </xf>
    <xf numFmtId="0" fontId="0" fillId="0" borderId="0" xfId="1" applyNumberFormat="1" applyFont="1" applyAlignment="1">
      <alignment horizontal="center"/>
    </xf>
    <xf numFmtId="0" fontId="5" fillId="0" borderId="5" xfId="1" applyNumberFormat="1" applyFont="1" applyFill="1" applyBorder="1" applyAlignment="1" applyProtection="1">
      <alignment horizontal="center"/>
      <protection locked="0"/>
    </xf>
    <xf numFmtId="43" fontId="5" fillId="0" borderId="1" xfId="2" applyNumberFormat="1" applyFont="1" applyBorder="1" applyAlignment="1" applyProtection="1">
      <alignment horizontal="center"/>
      <protection locked="0"/>
    </xf>
    <xf numFmtId="0" fontId="5" fillId="0" borderId="5" xfId="4" applyFont="1" applyBorder="1" applyAlignment="1" applyProtection="1">
      <alignment horizontal="center"/>
      <protection locked="0"/>
    </xf>
    <xf numFmtId="0" fontId="9" fillId="0" borderId="6" xfId="0" applyFont="1" applyBorder="1" applyAlignment="1">
      <alignment horizontal="center" vertical="top"/>
    </xf>
    <xf numFmtId="0" fontId="5" fillId="0" borderId="4" xfId="4" applyFont="1" applyBorder="1" applyAlignment="1" applyProtection="1">
      <alignment horizontal="center" vertical="top"/>
      <protection locked="0"/>
    </xf>
    <xf numFmtId="0" fontId="9" fillId="0" borderId="1" xfId="0" applyFont="1" applyBorder="1" applyAlignment="1">
      <alignment horizontal="center" vertical="top"/>
    </xf>
    <xf numFmtId="9" fontId="5" fillId="0" borderId="5" xfId="3" applyFont="1" applyBorder="1" applyAlignment="1" applyProtection="1">
      <alignment horizontal="center"/>
      <protection locked="0"/>
    </xf>
    <xf numFmtId="0" fontId="5" fillId="0" borderId="1" xfId="1" applyNumberFormat="1" applyFont="1" applyFill="1" applyBorder="1" applyAlignment="1" applyProtection="1">
      <alignment horizontal="center"/>
      <protection locked="0"/>
    </xf>
    <xf numFmtId="0" fontId="0" fillId="0" borderId="5" xfId="1" applyNumberFormat="1" applyFont="1" applyBorder="1" applyAlignment="1">
      <alignment horizontal="center"/>
    </xf>
    <xf numFmtId="43" fontId="5" fillId="0" borderId="5" xfId="1" applyFont="1" applyBorder="1" applyAlignment="1" applyProtection="1">
      <protection locked="0"/>
    </xf>
    <xf numFmtId="43" fontId="0" fillId="0" borderId="5" xfId="1" applyFont="1" applyBorder="1" applyAlignment="1"/>
    <xf numFmtId="170" fontId="5" fillId="0" borderId="6" xfId="1" applyNumberFormat="1" applyFont="1" applyBorder="1" applyAlignment="1" applyProtection="1">
      <alignment horizontal="center"/>
      <protection locked="0"/>
    </xf>
    <xf numFmtId="170" fontId="9" fillId="0" borderId="1" xfId="1" applyNumberFormat="1" applyFont="1" applyBorder="1" applyAlignment="1" applyProtection="1">
      <alignment horizontal="center"/>
      <protection locked="0"/>
    </xf>
    <xf numFmtId="176" fontId="0" fillId="0" borderId="0" xfId="0" applyNumberFormat="1" applyAlignment="1">
      <alignment horizontal="left"/>
    </xf>
    <xf numFmtId="176" fontId="21" fillId="0" borderId="0" xfId="0" applyNumberFormat="1" applyFont="1" applyAlignment="1">
      <alignment horizontal="left"/>
    </xf>
    <xf numFmtId="176" fontId="5" fillId="0" borderId="1" xfId="4" applyNumberFormat="1" applyFont="1" applyBorder="1" applyAlignment="1" applyProtection="1">
      <alignment horizontal="center"/>
      <protection locked="0"/>
    </xf>
    <xf numFmtId="176" fontId="5" fillId="0" borderId="1" xfId="4" applyNumberFormat="1" applyFont="1" applyBorder="1" applyAlignment="1" applyProtection="1">
      <alignment horizontal="center" vertical="top"/>
      <protection locked="0"/>
    </xf>
    <xf numFmtId="0" fontId="3" fillId="0" borderId="21" xfId="4" applyFont="1" applyBorder="1" applyAlignment="1" applyProtection="1">
      <alignment horizontal="left"/>
      <protection locked="0"/>
    </xf>
    <xf numFmtId="176" fontId="5" fillId="0" borderId="5" xfId="4" applyNumberFormat="1" applyFont="1" applyBorder="1" applyAlignment="1" applyProtection="1">
      <alignment horizontal="center"/>
      <protection locked="0"/>
    </xf>
    <xf numFmtId="176" fontId="5" fillId="0" borderId="6" xfId="4" applyNumberFormat="1" applyFont="1" applyBorder="1" applyAlignment="1" applyProtection="1">
      <alignment horizontal="center" vertical="top"/>
      <protection locked="0"/>
    </xf>
    <xf numFmtId="176" fontId="5" fillId="0" borderId="3" xfId="4" applyNumberFormat="1" applyFont="1" applyBorder="1" applyAlignment="1" applyProtection="1">
      <alignment horizontal="center"/>
      <protection locked="0"/>
    </xf>
    <xf numFmtId="176" fontId="5" fillId="0" borderId="3" xfId="4" applyNumberFormat="1" applyFont="1" applyBorder="1" applyAlignment="1" applyProtection="1">
      <alignment horizontal="center" vertical="top"/>
      <protection locked="0"/>
    </xf>
    <xf numFmtId="0" fontId="4" fillId="2" borderId="0" xfId="4" applyFont="1" applyFill="1" applyAlignment="1" applyProtection="1">
      <alignment horizontal="left"/>
      <protection locked="0"/>
    </xf>
    <xf numFmtId="0" fontId="22" fillId="5" borderId="0" xfId="0" applyFont="1" applyFill="1" applyAlignment="1">
      <alignment horizontal="center"/>
    </xf>
    <xf numFmtId="0" fontId="15" fillId="0" borderId="0" xfId="0" applyFont="1" applyAlignment="1">
      <alignment horizontal="center"/>
    </xf>
    <xf numFmtId="18" fontId="12" fillId="15" borderId="0" xfId="4" applyNumberFormat="1" applyFont="1" applyFill="1" applyAlignment="1" applyProtection="1">
      <alignment horizontal="center" vertical="center"/>
      <protection locked="0"/>
    </xf>
    <xf numFmtId="18" fontId="12" fillId="15" borderId="11" xfId="4" applyNumberFormat="1" applyFont="1" applyFill="1" applyBorder="1" applyAlignment="1" applyProtection="1">
      <alignment horizontal="center" vertical="center"/>
      <protection locked="0"/>
    </xf>
  </cellXfs>
  <cellStyles count="6">
    <cellStyle name="Millares" xfId="1" builtinId="3"/>
    <cellStyle name="Moneda" xfId="2" builtinId="4"/>
    <cellStyle name="Moneda 2" xfId="5" xr:uid="{4C8DF50E-143F-4512-85F3-2707E9A7918D}"/>
    <cellStyle name="Normal" xfId="0" builtinId="0"/>
    <cellStyle name="Normal 2 2" xfId="4" xr:uid="{F1C721D6-B67F-4010-9C99-B0755AF070DA}"/>
    <cellStyle name="Porcentaje" xfId="3" builtinId="5"/>
  </cellStyles>
  <dxfs count="580"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ont>
        <b/>
        <i val="0"/>
        <color rgb="FF9C0006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ont>
        <b/>
        <i val="0"/>
        <color rgb="FF9C0006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ont>
        <b/>
        <i val="0"/>
        <color rgb="FF9C0006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ont>
        <b/>
        <i val="0"/>
        <color rgb="FF9C0006"/>
      </font>
      <fill>
        <patternFill>
          <bgColor rgb="FFFF0000"/>
        </patternFill>
      </fill>
    </dxf>
    <dxf>
      <font>
        <b/>
        <i val="0"/>
        <color rgb="FF9C0006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ont>
        <b/>
        <i val="0"/>
        <color rgb="FF9C0006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FFFF00"/>
        <name val="Aptos Narrow"/>
        <family val="2"/>
        <scheme val="minor"/>
      </font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FFFF00"/>
        <name val="Aptos Narrow"/>
        <family val="2"/>
        <scheme val="minor"/>
      </font>
      <alignment horizontal="left" vertical="bottom" textRotation="0" wrapText="0" indent="0" justifyLastLine="0" shrinkToFit="0" readingOrder="0"/>
      <protection locked="0" hidden="0"/>
    </dxf>
    <dxf>
      <numFmt numFmtId="170" formatCode="_-* #,##0_-;\-* #,##0_-;_-* &quot;-&quot;??_-;_-@_-"/>
    </dxf>
    <dxf>
      <numFmt numFmtId="170" formatCode="_-* #,##0_-;\-* #,##0_-;_-* &quot;-&quot;??_-;_-@_-"/>
    </dxf>
    <dxf>
      <numFmt numFmtId="170" formatCode="_-* #,##0_-;\-* #,##0_-;_-* &quot;-&quot;??_-;_-@_-"/>
    </dxf>
    <dxf>
      <numFmt numFmtId="170" formatCode="_-* #,##0_-;\-* #,##0_-;_-* &quot;-&quot;??_-;_-@_-"/>
    </dxf>
    <dxf>
      <numFmt numFmtId="170" formatCode="_-* #,##0_-;\-* #,##0_-;_-* &quot;-&quot;??_-;_-@_-"/>
    </dxf>
    <dxf>
      <numFmt numFmtId="170" formatCode="_-* #,##0_-;\-* #,##0_-;_-* &quot;-&quot;??_-;_-@_-"/>
    </dxf>
    <dxf>
      <numFmt numFmtId="170" formatCode="_-* #,##0_-;\-* #,##0_-;_-* &quot;-&quot;??_-;_-@_-"/>
    </dxf>
    <dxf>
      <font>
        <b/>
      </font>
    </dxf>
    <dxf>
      <numFmt numFmtId="170" formatCode="_-* #,##0_-;\-* #,##0_-;_-* &quot;-&quot;??_-;_-@_-"/>
    </dxf>
    <dxf>
      <numFmt numFmtId="175" formatCode="_-[$$-240A]\ * #,##0.00_-;\-[$$-240A]\ * #,##0.00_-;_-[$$-240A]\ * &quot;-&quot;??_-;_-@_-"/>
    </dxf>
    <dxf>
      <numFmt numFmtId="175" formatCode="_-[$$-240A]\ * #,##0.00_-;\-[$$-240A]\ * #,##0.00_-;_-[$$-240A]\ * &quot;-&quot;??_-;_-@_-"/>
    </dxf>
    <dxf>
      <numFmt numFmtId="175" formatCode="_-[$$-240A]\ * #,##0.00_-;\-[$$-240A]\ * #,##0.00_-;_-[$$-240A]\ * &quot;-&quot;??_-;_-@_-"/>
    </dxf>
    <dxf>
      <font>
        <b/>
      </font>
    </dxf>
    <dxf>
      <font>
        <b/>
      </font>
    </dxf>
    <dxf>
      <numFmt numFmtId="170" formatCode="_-* #,##0_-;\-* #,##0_-;_-* &quot;-&quot;??_-;_-@_-"/>
      <alignment horizontal="left"/>
    </dxf>
    <dxf>
      <alignment horizontal="center"/>
    </dxf>
    <dxf>
      <alignment horizontal="center"/>
    </dxf>
    <dxf>
      <numFmt numFmtId="174" formatCode="_-&quot;€&quot;* #,##0_-;\-&quot;€&quot;* #,##0_-;_-&quot;€&quot;* &quot;-&quot;??_-;_-@_-"/>
    </dxf>
    <dxf>
      <font>
        <b/>
      </font>
    </dxf>
    <dxf>
      <numFmt numFmtId="170" formatCode="_-* #,##0_-;\-* #,##0_-;_-* &quot;-&quot;??_-;_-@_-"/>
    </dxf>
    <dxf>
      <numFmt numFmtId="176" formatCode="d/mm/yyyy"/>
    </dxf>
    <dxf>
      <numFmt numFmtId="175" formatCode="_-[$$-240A]\ * #,##0.00_-;\-[$$-240A]\ * #,##0.00_-;_-[$$-240A]\ * &quot;-&quot;??_-;_-@_-"/>
    </dxf>
    <dxf>
      <numFmt numFmtId="175" formatCode="_-[$$-240A]\ * #,##0.00_-;\-[$$-240A]\ * #,##0.00_-;_-[$$-240A]\ * &quot;-&quot;??_-;_-@_-"/>
    </dxf>
    <dxf>
      <numFmt numFmtId="175" formatCode="_-[$$-240A]\ * #,##0.00_-;\-[$$-240A]\ * #,##0.00_-;_-[$$-240A]\ * &quot;-&quot;??_-;_-@_-"/>
    </dxf>
    <dxf>
      <numFmt numFmtId="175" formatCode="_-[$$-240A]\ * #,##0.00_-;\-[$$-240A]\ * #,##0.00_-;_-[$$-240A]\ * &quot;-&quot;??_-;_-@_-"/>
    </dxf>
    <dxf>
      <alignment horizontal="left"/>
    </dxf>
    <dxf>
      <font>
        <b/>
      </font>
    </dxf>
    <dxf>
      <font>
        <b/>
      </font>
    </dxf>
    <dxf>
      <alignment horizontal="center"/>
    </dxf>
    <dxf>
      <numFmt numFmtId="170" formatCode="_-* #,##0_-;\-* #,##0_-;_-* &quot;-&quot;??_-;_-@_-"/>
    </dxf>
    <dxf>
      <numFmt numFmtId="176" formatCode="d/mm/yyyy"/>
    </dxf>
    <dxf>
      <numFmt numFmtId="175" formatCode="_-[$$-240A]\ * #,##0.00_-;\-[$$-240A]\ * #,##0.00_-;_-[$$-240A]\ * &quot;-&quot;??_-;_-@_-"/>
    </dxf>
    <dxf>
      <numFmt numFmtId="175" formatCode="_-[$$-240A]\ * #,##0.00_-;\-[$$-240A]\ * #,##0.00_-;_-[$$-240A]\ * &quot;-&quot;??_-;_-@_-"/>
    </dxf>
    <dxf>
      <numFmt numFmtId="175" formatCode="_-[$$-240A]\ * #,##0.00_-;\-[$$-240A]\ * #,##0.00_-;_-[$$-240A]\ * &quot;-&quot;??_-;_-@_-"/>
    </dxf>
    <dxf>
      <numFmt numFmtId="175" formatCode="_-[$$-240A]\ * #,##0.00_-;\-[$$-240A]\ * #,##0.00_-;_-[$$-240A]\ * &quot;-&quot;??_-;_-@_-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center"/>
    </dxf>
    <dxf>
      <numFmt numFmtId="174" formatCode="_-&quot;€&quot;* #,##0_-;\-&quot;€&quot;* #,##0_-;_-&quot;€&quot;* &quot;-&quot;??_-;_-@_-"/>
    </dxf>
    <dxf>
      <font>
        <b/>
      </font>
    </dxf>
    <dxf>
      <numFmt numFmtId="170" formatCode="_-* #,##0_-;\-* #,##0_-;_-* &quot;-&quot;??_-;_-@_-"/>
    </dxf>
    <dxf>
      <numFmt numFmtId="175" formatCode="_-[$$-240A]\ * #,##0.00_-;\-[$$-240A]\ * #,##0.00_-;_-[$$-240A]\ * &quot;-&quot;??_-;_-@_-"/>
    </dxf>
    <dxf>
      <numFmt numFmtId="175" formatCode="_-[$$-240A]\ * #,##0.00_-;\-[$$-240A]\ * #,##0.00_-;_-[$$-240A]\ * &quot;-&quot;??_-;_-@_-"/>
    </dxf>
    <dxf>
      <font>
        <b/>
        <color rgb="FFFFFF00"/>
      </font>
      <fill>
        <patternFill patternType="solid">
          <fgColor indexed="64"/>
          <bgColor theme="9" tint="-0.499984740745262"/>
        </patternFill>
      </fill>
      <alignment horizontal="center"/>
    </dxf>
    <dxf>
      <numFmt numFmtId="177" formatCode="&quot;€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/>
    </dxf>
    <dxf>
      <alignment horizontal="center"/>
    </dxf>
    <dxf>
      <font>
        <color rgb="FFFFFF00"/>
      </font>
    </dxf>
    <dxf>
      <font>
        <color rgb="FFFFFF00"/>
      </font>
    </dxf>
    <dxf>
      <fill>
        <patternFill patternType="solid">
          <bgColor theme="9" tint="-0.499984740745262"/>
        </patternFill>
      </fill>
    </dxf>
    <dxf>
      <fill>
        <patternFill patternType="solid">
          <bgColor theme="9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35" formatCode="_-* #,##0.00_-;\-* #,##0.00_-;_-* &quot;-&quot;??_-;_-@_-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35" formatCode="_-* #,##0.00_-;\-* #,##0.00_-;_-* &quot;-&quot;??_-;_-@_-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35" formatCode="_-* #,##0.00_-;\-* #,##0.00_-;_-* &quot;-&quot;??_-;_-@_-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7" formatCode="&quot;€&quot;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5" formatCode="_-[$$-240A]\ * #,##0.00_-;\-[$$-240A]\ * #,##0.00_-;_-[$$-240A]\ * &quot;-&quot;??_-;_-@_-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7" formatCode="&quot;€&quot;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5" formatCode="_-[$$-240A]\ * #,##0.00_-;\-[$$-240A]\ * #,##0.00_-;_-[$$-240A]\ * &quot;-&quot;??_-;_-@_-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7" formatCode="&quot;€&quot;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5" formatCode="_-[$$-240A]\ * #,##0.00_-;\-[$$-240A]\ * #,##0.00_-;_-[$$-240A]\ * &quot;-&quot;??_-;_-@_-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3" formatCode="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3" formatCode="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6" formatCode="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6" formatCode="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6" formatCode="d/mm/yyyy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6" formatCode="d/mm/yyyy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6" formatCode="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6" formatCode="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alignment horizontal="center" textRotation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 "/>
        <scheme val="none"/>
      </font>
      <numFmt numFmtId="35" formatCode="_-* #,##0.00_-;\-* #,##0.00_-;_-* &quot;-&quot;??_-;_-@_-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35" formatCode="_-* #,##0.00_-;\-* #,##0.00_-;_-* &quot;-&quot;??_-;_-@_-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0"/>
        <color rgb="FFFFFF00"/>
        <name val="Arial  "/>
        <scheme val="none"/>
      </font>
      <fill>
        <patternFill patternType="solid">
          <fgColor indexed="64"/>
          <bgColor theme="9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1" formatCode="_-* #,##0.0_-;\-* #,##0.0_-;_-* &quot;-&quot;??_-;_-@_-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" formatCode="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5" formatCode="_-[$$-240A]\ * #,##0.00_-;\-[$$-240A]\ * #,##0.00_-;_-[$$-240A]\ * &quot;-&quot;??_-;_-@_-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5" formatCode="_-[$$-240A]\ * #,##0.00_-;\-[$$-240A]\ * #,##0.00_-;_-[$$-240A]\ * &quot;-&quot;??_-;_-@_-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5" formatCode="_-[$$-240A]\ * #,##0.00_-;\-[$$-240A]\ * #,##0.00_-;_-[$$-240A]\ * &quot;-&quot;??_-;_-@_-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6" formatCode="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1" formatCode="_-* #,##0.0_-;\-* #,##0.0_-;_-* &quot;-&quot;??_-;_-@_-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3" formatCode="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 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6" formatCode="d/mm/yyyy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6" formatCode="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alignment horizontal="center" textRotation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 "/>
        <scheme val="none"/>
      </font>
      <numFmt numFmtId="35" formatCode="_-* #,##0.00_-;\-* #,##0.00_-;_-* &quot;-&quot;??_-;_-@_-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35" formatCode="_-* #,##0.00_-;\-* #,##0.00_-;_-* &quot;-&quot;??_-;_-@_-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numFmt numFmtId="176" formatCode="d/mm/yyyy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0"/>
        <color rgb="FFFFFF00"/>
        <name val="Arial  "/>
        <scheme val="none"/>
      </font>
      <fill>
        <patternFill patternType="solid">
          <fgColor indexed="64"/>
          <bgColor theme="5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35" formatCode="_-* #,##0.00_-;\-* #,##0.00_-;_-* &quot;-&quot;??_-;_-@_-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" formatCode="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5" formatCode="_-[$$-240A]\ * #,##0.00_-;\-[$$-240A]\ * #,##0.00_-;_-[$$-240A]\ * &quot;-&quot;??_-;_-@_-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5" formatCode="_-[$$-240A]\ * #,##0.00_-;\-[$$-240A]\ * #,##0.00_-;_-[$$-240A]\ * &quot;-&quot;??_-;_-@_-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5" formatCode="_-[$$-240A]\ * #,##0.00_-;\-[$$-240A]\ * #,##0.00_-;_-[$$-240A]\ * &quot;-&quot;??_-;_-@_-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3" formatCode="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0" formatCode="_-* #,##0_-;\-* #,##0_-;_-* &quot;-&quot;??_-;_-@_-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6" formatCode="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6" formatCode="d/mm/yyyy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176" formatCode="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alignment horizontal="center" textRotation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 "/>
        <scheme val="none"/>
      </font>
      <numFmt numFmtId="35" formatCode="_-* #,##0.00_-;\-* #,##0.00_-;_-* &quot;-&quot;??_-;_-@_-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35" formatCode="_-* #,##0.00_-;\-* #,##0.00_-;_-* &quot;-&quot;??_-;_-@_-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 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z val="10"/>
        <color auto="1"/>
        <name val="Arial  "/>
        <scheme val="none"/>
      </font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colors>
    <mruColors>
      <color rgb="FF99FF99"/>
      <color rgb="FF99FFCC"/>
      <color rgb="FF00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microsoft.com/office/2007/relationships/slicerCache" Target="slicerCaches/slicerCache2.xml"/><Relationship Id="rId26" Type="http://schemas.openxmlformats.org/officeDocument/2006/relationships/sharedStrings" Target="sharedStrings.xml"/><Relationship Id="rId39" Type="http://schemas.openxmlformats.org/officeDocument/2006/relationships/customXml" Target="../customXml/item10.xml"/><Relationship Id="rId21" Type="http://schemas.microsoft.com/office/2007/relationships/slicerCache" Target="slicerCaches/slicerCache5.xml"/><Relationship Id="rId34" Type="http://schemas.openxmlformats.org/officeDocument/2006/relationships/customXml" Target="../customXml/item5.xml"/><Relationship Id="rId42" Type="http://schemas.openxmlformats.org/officeDocument/2006/relationships/customXml" Target="../customXml/item13.xml"/><Relationship Id="rId47" Type="http://schemas.openxmlformats.org/officeDocument/2006/relationships/customXml" Target="../customXml/item18.xml"/><Relationship Id="rId50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9" Type="http://schemas.openxmlformats.org/officeDocument/2006/relationships/calcChain" Target="calcChain.xml"/><Relationship Id="rId11" Type="http://schemas.openxmlformats.org/officeDocument/2006/relationships/pivotCacheDefinition" Target="pivotCache/pivotCacheDefinition2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3.xml"/><Relationship Id="rId37" Type="http://schemas.openxmlformats.org/officeDocument/2006/relationships/customXml" Target="../customXml/item8.xml"/><Relationship Id="rId40" Type="http://schemas.openxmlformats.org/officeDocument/2006/relationships/customXml" Target="../customXml/item11.xml"/><Relationship Id="rId45" Type="http://schemas.openxmlformats.org/officeDocument/2006/relationships/customXml" Target="../customXml/item16.xml"/><Relationship Id="rId53" Type="http://schemas.openxmlformats.org/officeDocument/2006/relationships/customXml" Target="../customXml/item24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19" Type="http://schemas.microsoft.com/office/2007/relationships/slicerCache" Target="slicerCaches/slicerCache3.xml"/><Relationship Id="rId31" Type="http://schemas.openxmlformats.org/officeDocument/2006/relationships/customXml" Target="../customXml/item2.xml"/><Relationship Id="rId44" Type="http://schemas.openxmlformats.org/officeDocument/2006/relationships/customXml" Target="../customXml/item15.xml"/><Relationship Id="rId52" Type="http://schemas.openxmlformats.org/officeDocument/2006/relationships/customXml" Target="../customXml/item2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microsoft.com/office/2007/relationships/slicerCache" Target="slicerCaches/slicerCache6.xml"/><Relationship Id="rId27" Type="http://schemas.openxmlformats.org/officeDocument/2006/relationships/sheetMetadata" Target="metadata.xml"/><Relationship Id="rId30" Type="http://schemas.openxmlformats.org/officeDocument/2006/relationships/customXml" Target="../customXml/item1.xml"/><Relationship Id="rId35" Type="http://schemas.openxmlformats.org/officeDocument/2006/relationships/customXml" Target="../customXml/item6.xml"/><Relationship Id="rId43" Type="http://schemas.openxmlformats.org/officeDocument/2006/relationships/customXml" Target="../customXml/item14.xml"/><Relationship Id="rId48" Type="http://schemas.openxmlformats.org/officeDocument/2006/relationships/customXml" Target="../customXml/item19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microsoft.com/office/2007/relationships/slicerCache" Target="slicerCaches/slicerCache1.xml"/><Relationship Id="rId25" Type="http://schemas.openxmlformats.org/officeDocument/2006/relationships/styles" Target="styles.xml"/><Relationship Id="rId33" Type="http://schemas.openxmlformats.org/officeDocument/2006/relationships/customXml" Target="../customXml/item4.xml"/><Relationship Id="rId38" Type="http://schemas.openxmlformats.org/officeDocument/2006/relationships/customXml" Target="../customXml/item9.xml"/><Relationship Id="rId46" Type="http://schemas.openxmlformats.org/officeDocument/2006/relationships/customXml" Target="../customXml/item17.xml"/><Relationship Id="rId20" Type="http://schemas.microsoft.com/office/2007/relationships/slicerCache" Target="slicerCaches/slicerCache4.xml"/><Relationship Id="rId41" Type="http://schemas.openxmlformats.org/officeDocument/2006/relationships/customXml" Target="../customXml/item12.xml"/><Relationship Id="rId54" Type="http://schemas.openxmlformats.org/officeDocument/2006/relationships/customXml" Target="../customXml/item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6.xml"/><Relationship Id="rId23" Type="http://schemas.openxmlformats.org/officeDocument/2006/relationships/theme" Target="theme/theme1.xml"/><Relationship Id="rId28" Type="http://schemas.openxmlformats.org/officeDocument/2006/relationships/powerPivotData" Target="model/item.data"/><Relationship Id="rId36" Type="http://schemas.openxmlformats.org/officeDocument/2006/relationships/customXml" Target="../customXml/item7.xml"/><Relationship Id="rId49" Type="http://schemas.openxmlformats.org/officeDocument/2006/relationships/customXml" Target="../customXml/item2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accent2">
                    <a:lumMod val="20000"/>
                    <a:lumOff val="8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chemeClr val="accent2">
                    <a:lumMod val="20000"/>
                    <a:lumOff val="80000"/>
                  </a:schemeClr>
                </a:solidFill>
              </a:rPr>
              <a:t> Fecha</a:t>
            </a:r>
            <a:r>
              <a:rPr lang="en-US" baseline="0">
                <a:solidFill>
                  <a:schemeClr val="accent2">
                    <a:lumMod val="20000"/>
                    <a:lumOff val="80000"/>
                  </a:schemeClr>
                </a:solidFill>
              </a:rPr>
              <a:t> Corta Bodegas</a:t>
            </a:r>
            <a:r>
              <a:rPr lang="en-US">
                <a:solidFill>
                  <a:schemeClr val="accent2">
                    <a:lumMod val="20000"/>
                    <a:lumOff val="80000"/>
                  </a:schemeClr>
                </a:solidFill>
              </a:rPr>
              <a:t> </a:t>
            </a:r>
          </a:p>
        </c:rich>
      </c:tx>
      <c:overlay val="0"/>
      <c:spPr>
        <a:solidFill>
          <a:schemeClr val="accent6">
            <a:lumMod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accent2">
                  <a:lumMod val="20000"/>
                  <a:lumOff val="80000"/>
                </a:schemeClr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20782830271216099"/>
          <c:y val="0.23727580927384076"/>
          <c:w val="0.39453302712160981"/>
          <c:h val="0.65755504520268304"/>
        </c:manualLayout>
      </c:layout>
      <c:doughnutChart>
        <c:varyColors val="1"/>
        <c:ser>
          <c:idx val="0"/>
          <c:order val="0"/>
          <c:tx>
            <c:strRef>
              <c:f>Tablas_Visores!$B$3</c:f>
              <c:strCache>
                <c:ptCount val="1"/>
                <c:pt idx="0">
                  <c:v> Kilos 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958-4C86-B80E-CF95FEFA3BFA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958-4C86-B80E-CF95FEFA3BFA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958-4C86-B80E-CF95FEFA3BFA}"/>
              </c:ext>
            </c:extLst>
          </c:dPt>
          <c:dLbls>
            <c:dLbl>
              <c:idx val="0"/>
              <c:layout>
                <c:manualLayout>
                  <c:x val="0.21111111111111111"/>
                  <c:y val="7.8703703703703706E-2"/>
                </c:manualLayout>
              </c:layout>
              <c:showLegendKey val="1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958-4C86-B80E-CF95FEFA3BFA}"/>
                </c:ext>
              </c:extLst>
            </c:dLbl>
            <c:dLbl>
              <c:idx val="1"/>
              <c:layout>
                <c:manualLayout>
                  <c:x val="-0.18333333333333338"/>
                  <c:y val="-5.0925925925925923E-2"/>
                </c:manualLayout>
              </c:layout>
              <c:showLegendKey val="1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958-4C86-B80E-CF95FEFA3BFA}"/>
                </c:ext>
              </c:extLst>
            </c:dLbl>
            <c:dLbl>
              <c:idx val="2"/>
              <c:layout>
                <c:manualLayout>
                  <c:x val="0.16388888888888889"/>
                  <c:y val="-4.6296296296296294E-2"/>
                </c:manualLayout>
              </c:layout>
              <c:showLegendKey val="1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958-4C86-B80E-CF95FEFA3BF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5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Tablas_Visores!$A$4:$A$6</c:f>
              <c:strCache>
                <c:ptCount val="1"/>
                <c:pt idx="0">
                  <c:v>MACHACHI</c:v>
                </c:pt>
              </c:strCache>
            </c:strRef>
          </c:cat>
          <c:val>
            <c:numRef>
              <c:f>Tablas_Visores!$B$4:$B$6</c:f>
              <c:numCache>
                <c:formatCode>General</c:formatCode>
                <c:ptCount val="3"/>
                <c:pt idx="0" formatCode="_-* #,##0_-;\-* #,##0_-;_-* &quot;-&quot;??_-;_-@_-">
                  <c:v>995.02999999999986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58-4C86-B80E-CF95FEFA3BF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9FF99">
        <a:alpha val="14902"/>
      </a:srgb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accent2">
                    <a:lumMod val="20000"/>
                    <a:lumOff val="8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chemeClr val="accent2">
                    <a:lumMod val="20000"/>
                    <a:lumOff val="80000"/>
                  </a:schemeClr>
                </a:solidFill>
              </a:rPr>
              <a:t> Fecha</a:t>
            </a:r>
            <a:r>
              <a:rPr lang="en-US" baseline="0">
                <a:solidFill>
                  <a:schemeClr val="accent2">
                    <a:lumMod val="20000"/>
                    <a:lumOff val="80000"/>
                  </a:schemeClr>
                </a:solidFill>
              </a:rPr>
              <a:t> Corta Responsable Marca</a:t>
            </a:r>
            <a:r>
              <a:rPr lang="en-US">
                <a:solidFill>
                  <a:schemeClr val="accent2">
                    <a:lumMod val="20000"/>
                    <a:lumOff val="80000"/>
                  </a:schemeClr>
                </a:solidFill>
              </a:rPr>
              <a:t> </a:t>
            </a:r>
          </a:p>
        </c:rich>
      </c:tx>
      <c:overlay val="0"/>
      <c:spPr>
        <a:solidFill>
          <a:schemeClr val="accent6">
            <a:lumMod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accent2">
                  <a:lumMod val="20000"/>
                  <a:lumOff val="80000"/>
                </a:schemeClr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20782830271216099"/>
          <c:y val="0.23727580927384076"/>
          <c:w val="0.39453302712160981"/>
          <c:h val="0.65755504520268304"/>
        </c:manualLayout>
      </c:layout>
      <c:doughnutChart>
        <c:varyColors val="1"/>
        <c:ser>
          <c:idx val="0"/>
          <c:order val="0"/>
          <c:tx>
            <c:strRef>
              <c:f>Tablas_Visores!$B$3</c:f>
              <c:strCache>
                <c:ptCount val="1"/>
                <c:pt idx="0">
                  <c:v> Kilos 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FD3-47B2-8409-2002E359EF8F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FD3-47B2-8409-2002E359EF8F}"/>
              </c:ext>
            </c:extLst>
          </c:dPt>
          <c:dLbls>
            <c:dLbl>
              <c:idx val="0"/>
              <c:layout>
                <c:manualLayout>
                  <c:x val="0.11342590111711116"/>
                  <c:y val="7.73152185009557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D3-47B2-8409-2002E359EF8F}"/>
                </c:ext>
              </c:extLst>
            </c:dLbl>
            <c:dLbl>
              <c:idx val="1"/>
              <c:layout>
                <c:manualLayout>
                  <c:x val="-0.15231478150012071"/>
                  <c:y val="-0.1129991655013969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FD3-47B2-8409-2002E359EF8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5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Tablas_Visores!$A$13:$A$14</c:f>
              <c:strCache>
                <c:ptCount val="2"/>
                <c:pt idx="0">
                  <c:v>Esteban Montenegro                      </c:v>
                </c:pt>
                <c:pt idx="1">
                  <c:v>Luis Armendariz                         </c:v>
                </c:pt>
              </c:strCache>
            </c:strRef>
          </c:cat>
          <c:val>
            <c:numRef>
              <c:f>Tablas_Visores!$B$13:$B$14</c:f>
              <c:numCache>
                <c:formatCode>_-* #,##0_-;\-* #,##0_-;_-* "-"??_-;_-@_-</c:formatCode>
                <c:ptCount val="2"/>
                <c:pt idx="0">
                  <c:v>222.54</c:v>
                </c:pt>
                <c:pt idx="1">
                  <c:v>772.4899999999999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D3-47B2-8409-2002E359EF8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9FF99">
        <a:alpha val="14902"/>
      </a:srgb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accent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>
                <a:solidFill>
                  <a:schemeClr val="accent2">
                    <a:lumMod val="20000"/>
                    <a:lumOff val="80000"/>
                  </a:schemeClr>
                </a:solidFill>
              </a:rPr>
              <a:t>FECHA</a:t>
            </a:r>
            <a:r>
              <a:rPr lang="es-ES" baseline="0">
                <a:solidFill>
                  <a:schemeClr val="accent2">
                    <a:lumMod val="20000"/>
                    <a:lumOff val="80000"/>
                  </a:schemeClr>
                </a:solidFill>
              </a:rPr>
              <a:t> CORTA MARCAS</a:t>
            </a:r>
            <a:endParaRPr lang="es-ES">
              <a:solidFill>
                <a:schemeClr val="accent2">
                  <a:lumMod val="20000"/>
                  <a:lumOff val="80000"/>
                </a:schemeClr>
              </a:solidFill>
            </a:endParaRPr>
          </a:p>
        </c:rich>
      </c:tx>
      <c:layout>
        <c:manualLayout>
          <c:xMode val="edge"/>
          <c:yMode val="edge"/>
          <c:x val="0.33267631686125437"/>
          <c:y val="6.6195285096527168E-2"/>
        </c:manualLayout>
      </c:layout>
      <c:overlay val="0"/>
      <c:spPr>
        <a:solidFill>
          <a:schemeClr val="accent6">
            <a:lumMod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accent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34341739071409177"/>
          <c:y val="0.20353898070795509"/>
          <c:w val="0.60402321477056742"/>
          <c:h val="0.661287009331405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Tablas_Visores!$B$24</c:f>
              <c:strCache>
                <c:ptCount val="1"/>
                <c:pt idx="0">
                  <c:v> Kilos 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Tablas_Visores!$A$25:$A$35</c:f>
              <c:strCache>
                <c:ptCount val="6"/>
                <c:pt idx="0">
                  <c:v>KUMIS ALPINA</c:v>
                </c:pt>
                <c:pt idx="1">
                  <c:v>QUESO FRESCO KIOSKO</c:v>
                </c:pt>
                <c:pt idx="2">
                  <c:v>QUESO MOZARELLA KIOSKO</c:v>
                </c:pt>
                <c:pt idx="3">
                  <c:v>REGENERIS</c:v>
                </c:pt>
                <c:pt idx="4">
                  <c:v>YOGURT FINESSE</c:v>
                </c:pt>
                <c:pt idx="5">
                  <c:v>YOGURT KIOSKO</c:v>
                </c:pt>
              </c:strCache>
            </c:strRef>
          </c:cat>
          <c:val>
            <c:numRef>
              <c:f>Tablas_Visores!$C$25:$C$40</c:f>
              <c:numCache>
                <c:formatCode>0.0%</c:formatCode>
                <c:ptCount val="16"/>
                <c:pt idx="0">
                  <c:v>0.12662934785885854</c:v>
                </c:pt>
                <c:pt idx="1">
                  <c:v>1.8089906836979794E-2</c:v>
                </c:pt>
                <c:pt idx="2">
                  <c:v>0.20556164135754704</c:v>
                </c:pt>
                <c:pt idx="3">
                  <c:v>0.3253771243078098</c:v>
                </c:pt>
                <c:pt idx="4">
                  <c:v>0.2638915409585641</c:v>
                </c:pt>
                <c:pt idx="5">
                  <c:v>6.0450438680240803E-2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E-4EC2-87E1-5F0056ED8E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1525177984"/>
        <c:axId val="1525185472"/>
      </c:barChart>
      <c:catAx>
        <c:axId val="1525177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5185472"/>
        <c:crossesAt val="0.1"/>
        <c:auto val="1"/>
        <c:lblAlgn val="ctr"/>
        <c:lblOffset val="100"/>
        <c:noMultiLvlLbl val="0"/>
      </c:catAx>
      <c:valAx>
        <c:axId val="1525185472"/>
        <c:scaling>
          <c:orientation val="minMax"/>
          <c:max val="1"/>
          <c:min val="-0.1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5177984"/>
        <c:crosses val="autoZero"/>
        <c:crossBetween val="between"/>
        <c:majorUnit val="0.1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9FF99">
        <a:alpha val="20000"/>
      </a:srgb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21742886877294"/>
          <c:y val="0.21759259259259259"/>
          <c:w val="0.67824323705172762"/>
          <c:h val="0.569475065616797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'Info General'!$I$8</c:f>
              <c:strCache>
                <c:ptCount val="1"/>
                <c:pt idx="0">
                  <c:v> F Corta Kg  </c:v>
                </c:pt>
              </c:strCache>
            </c:strRef>
          </c:tx>
          <c:spPr>
            <a:solidFill>
              <a:schemeClr val="accent3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21666666666666673"/>
                  <c:y val="-0.40740740740740738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84C-4CCB-9334-F6B096A23B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'Info General'!$H$9</c:f>
              <c:numCache>
                <c:formatCode>d/mm/yyyy</c:formatCode>
                <c:ptCount val="1"/>
                <c:pt idx="0">
                  <c:v>45623</c:v>
                </c:pt>
              </c:numCache>
            </c:numRef>
          </c:cat>
          <c:val>
            <c:numRef>
              <c:f>'Info General'!$I$10</c:f>
              <c:numCache>
                <c:formatCode>0.00%</c:formatCode>
                <c:ptCount val="1"/>
                <c:pt idx="0">
                  <c:v>1.1043464179361888E-2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4C-4CCB-9334-F6B096A23B4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100"/>
        <c:axId val="1434921647"/>
        <c:axId val="1929565119"/>
      </c:barChart>
      <c:barChart>
        <c:barDir val="col"/>
        <c:grouping val="stacked"/>
        <c:varyColors val="0"/>
        <c:ser>
          <c:idx val="1"/>
          <c:order val="1"/>
          <c:tx>
            <c:strRef>
              <c:f>'Info General'!$J$8</c:f>
              <c:strCache>
                <c:ptCount val="1"/>
                <c:pt idx="0">
                  <c:v> Inv Kg </c:v>
                </c:pt>
              </c:strCache>
            </c:strRef>
          </c:tx>
          <c:spPr>
            <a:solidFill>
              <a:schemeClr val="accent3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25277777777777782"/>
                  <c:y val="5.55555555555554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84C-4CCB-9334-F6B096A23B4E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'Info General'!$H$9</c:f>
              <c:numCache>
                <c:formatCode>d/mm/yyyy</c:formatCode>
                <c:ptCount val="1"/>
                <c:pt idx="0">
                  <c:v>45623</c:v>
                </c:pt>
              </c:numCache>
            </c:numRef>
          </c:cat>
          <c:val>
            <c:numRef>
              <c:f>'Info General'!$J$10</c:f>
              <c:numCache>
                <c:formatCode>0.00%</c:formatCode>
                <c:ptCount val="1"/>
                <c:pt idx="0">
                  <c:v>0.98895653582063803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4C-4CCB-9334-F6B096A23B4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100"/>
        <c:axId val="1503236048"/>
        <c:axId val="1503228368"/>
      </c:barChart>
      <c:dateAx>
        <c:axId val="1434921647"/>
        <c:scaling>
          <c:orientation val="minMax"/>
        </c:scaling>
        <c:delete val="0"/>
        <c:axPos val="b"/>
        <c:numFmt formatCode="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29565119"/>
        <c:crosses val="autoZero"/>
        <c:auto val="1"/>
        <c:lblOffset val="100"/>
        <c:baseTimeUnit val="days"/>
      </c:dateAx>
      <c:valAx>
        <c:axId val="192956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34921647"/>
        <c:crosses val="autoZero"/>
        <c:crossBetween val="between"/>
      </c:valAx>
      <c:valAx>
        <c:axId val="150322836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03236048"/>
        <c:crosses val="max"/>
        <c:crossBetween val="between"/>
      </c:valAx>
      <c:dateAx>
        <c:axId val="1503236048"/>
        <c:scaling>
          <c:orientation val="minMax"/>
        </c:scaling>
        <c:delete val="1"/>
        <c:axPos val="b"/>
        <c:numFmt formatCode="d/mm/yyyy" sourceLinked="1"/>
        <c:majorTickMark val="out"/>
        <c:minorTickMark val="none"/>
        <c:tickLblPos val="nextTo"/>
        <c:crossAx val="1503228368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9FF99">
        <a:alpha val="10196"/>
      </a:srgb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2.png"/><Relationship Id="rId4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944358</xdr:colOff>
      <xdr:row>1</xdr:row>
      <xdr:rowOff>325640</xdr:rowOff>
    </xdr:from>
    <xdr:to>
      <xdr:col>18</xdr:col>
      <xdr:colOff>875976</xdr:colOff>
      <xdr:row>5</xdr:row>
      <xdr:rowOff>56986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91A119-D69A-4539-87FE-D9841B7B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5896" y="325640"/>
          <a:ext cx="1685193" cy="928077"/>
        </a:xfrm>
        <a:prstGeom prst="rect">
          <a:avLst/>
        </a:prstGeom>
      </xdr:spPr>
    </xdr:pic>
    <xdr:clientData/>
  </xdr:twoCellAnchor>
  <xdr:twoCellAnchor editAs="oneCell">
    <xdr:from>
      <xdr:col>16</xdr:col>
      <xdr:colOff>276795</xdr:colOff>
      <xdr:row>2</xdr:row>
      <xdr:rowOff>24423</xdr:rowOff>
    </xdr:from>
    <xdr:to>
      <xdr:col>18</xdr:col>
      <xdr:colOff>760373</xdr:colOff>
      <xdr:row>4</xdr:row>
      <xdr:rowOff>211667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48D5CA3-0EE9-4CB4-AAFF-37672327E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90385" y="350064"/>
          <a:ext cx="1595641" cy="8222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488463</xdr:colOff>
      <xdr:row>3</xdr:row>
      <xdr:rowOff>40706</xdr:rowOff>
    </xdr:from>
    <xdr:to>
      <xdr:col>9</xdr:col>
      <xdr:colOff>1579359</xdr:colOff>
      <xdr:row>5</xdr:row>
      <xdr:rowOff>195384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1B22DE3-B80E-4255-82BB-ECAA908D9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245" y="765257"/>
          <a:ext cx="1090896" cy="6268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594295</xdr:colOff>
      <xdr:row>2</xdr:row>
      <xdr:rowOff>0</xdr:rowOff>
    </xdr:from>
    <xdr:to>
      <xdr:col>18</xdr:col>
      <xdr:colOff>773397</xdr:colOff>
      <xdr:row>4</xdr:row>
      <xdr:rowOff>203526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DC0ACF3-8DBF-441A-9DA2-B5A456DB9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5833" y="325641"/>
          <a:ext cx="1603782" cy="838526"/>
        </a:xfrm>
        <a:prstGeom prst="rect">
          <a:avLst/>
        </a:prstGeom>
      </xdr:spPr>
    </xdr:pic>
    <xdr:clientData/>
  </xdr:twoCellAnchor>
  <xdr:twoCellAnchor editAs="oneCell">
    <xdr:from>
      <xdr:col>16</xdr:col>
      <xdr:colOff>610578</xdr:colOff>
      <xdr:row>2</xdr:row>
      <xdr:rowOff>24422</xdr:rowOff>
    </xdr:from>
    <xdr:to>
      <xdr:col>18</xdr:col>
      <xdr:colOff>447757</xdr:colOff>
      <xdr:row>4</xdr:row>
      <xdr:rowOff>170961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545E0DC-7939-4E12-B522-AB214966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4168" y="350063"/>
          <a:ext cx="1286282" cy="7815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147866</xdr:colOff>
      <xdr:row>2</xdr:row>
      <xdr:rowOff>96158</xdr:rowOff>
    </xdr:from>
    <xdr:to>
      <xdr:col>2</xdr:col>
      <xdr:colOff>41730</xdr:colOff>
      <xdr:row>5</xdr:row>
      <xdr:rowOff>108857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F772F1E-7A6C-4F05-9FAF-E0747CF3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866" y="459015"/>
          <a:ext cx="1073150" cy="556985"/>
        </a:xfrm>
        <a:prstGeom prst="rect">
          <a:avLst/>
        </a:prstGeom>
      </xdr:spPr>
    </xdr:pic>
    <xdr:clientData/>
  </xdr:twoCellAnchor>
  <xdr:twoCellAnchor editAs="oneCell">
    <xdr:from>
      <xdr:col>2</xdr:col>
      <xdr:colOff>1354364</xdr:colOff>
      <xdr:row>0</xdr:row>
      <xdr:rowOff>127908</xdr:rowOff>
    </xdr:from>
    <xdr:to>
      <xdr:col>3</xdr:col>
      <xdr:colOff>36286</xdr:colOff>
      <xdr:row>7</xdr:row>
      <xdr:rowOff>72572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Responsable de Marca">
              <a:extLst>
                <a:ext uri="{FF2B5EF4-FFF2-40B4-BE49-F238E27FC236}">
                  <a16:creationId xmlns:a16="http://schemas.microsoft.com/office/drawing/2014/main" id="{3DDD3346-8AC5-0A3D-B764-CADE4EAB4E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sponsable de 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33650" y="127908"/>
              <a:ext cx="1548493" cy="1214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0</xdr:row>
      <xdr:rowOff>90715</xdr:rowOff>
    </xdr:from>
    <xdr:to>
      <xdr:col>2</xdr:col>
      <xdr:colOff>1242785</xdr:colOff>
      <xdr:row>7</xdr:row>
      <xdr:rowOff>45358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Bodega">
              <a:extLst>
                <a:ext uri="{FF2B5EF4-FFF2-40B4-BE49-F238E27FC236}">
                  <a16:creationId xmlns:a16="http://schemas.microsoft.com/office/drawing/2014/main" id="{DBA3CBCA-C88D-9A35-075C-0587C30B03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odeg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6435" y="90715"/>
              <a:ext cx="1185636" cy="12246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8</xdr:col>
      <xdr:colOff>507998</xdr:colOff>
      <xdr:row>0</xdr:row>
      <xdr:rowOff>127000</xdr:rowOff>
    </xdr:from>
    <xdr:to>
      <xdr:col>12</xdr:col>
      <xdr:colOff>417284</xdr:colOff>
      <xdr:row>12</xdr:row>
      <xdr:rowOff>85271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3B18DA46-54E7-43D5-BC86-5ABDBDF0F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508000</xdr:colOff>
      <xdr:row>0</xdr:row>
      <xdr:rowOff>127000</xdr:rowOff>
    </xdr:from>
    <xdr:to>
      <xdr:col>17</xdr:col>
      <xdr:colOff>616858</xdr:colOff>
      <xdr:row>12</xdr:row>
      <xdr:rowOff>85271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46956C1E-3DB9-4A72-8D30-84F433746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392793</xdr:colOff>
      <xdr:row>1</xdr:row>
      <xdr:rowOff>907</xdr:rowOff>
    </xdr:from>
    <xdr:to>
      <xdr:col>7</xdr:col>
      <xdr:colOff>600528</xdr:colOff>
      <xdr:row>10</xdr:row>
      <xdr:rowOff>99785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MARCA">
              <a:extLst>
                <a:ext uri="{FF2B5EF4-FFF2-40B4-BE49-F238E27FC236}">
                  <a16:creationId xmlns:a16="http://schemas.microsoft.com/office/drawing/2014/main" id="{B0D229E2-9F07-3431-3E55-FD38F071A7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07793" y="182336"/>
              <a:ext cx="1828800" cy="17317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166007</xdr:colOff>
      <xdr:row>0</xdr:row>
      <xdr:rowOff>155121</xdr:rowOff>
    </xdr:from>
    <xdr:to>
      <xdr:col>5</xdr:col>
      <xdr:colOff>316593</xdr:colOff>
      <xdr:row>7</xdr:row>
      <xdr:rowOff>136071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CATEGORIA">
              <a:extLst>
                <a:ext uri="{FF2B5EF4-FFF2-40B4-BE49-F238E27FC236}">
                  <a16:creationId xmlns:a16="http://schemas.microsoft.com/office/drawing/2014/main" id="{55DFA9F6-625F-8DD6-0FC6-5BE8A300B4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11864" y="155121"/>
              <a:ext cx="1828800" cy="1250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8</xdr:col>
      <xdr:colOff>526143</xdr:colOff>
      <xdr:row>13</xdr:row>
      <xdr:rowOff>90714</xdr:rowOff>
    </xdr:from>
    <xdr:to>
      <xdr:col>15</xdr:col>
      <xdr:colOff>123371</xdr:colOff>
      <xdr:row>37</xdr:row>
      <xdr:rowOff>167594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AD373001-89F4-4B81-9F87-8AE80D061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6</xdr:row>
      <xdr:rowOff>107950</xdr:rowOff>
    </xdr:from>
    <xdr:to>
      <xdr:col>6</xdr:col>
      <xdr:colOff>0</xdr:colOff>
      <xdr:row>21</xdr:row>
      <xdr:rowOff>88900</xdr:rowOff>
    </xdr:to>
    <xdr:graphicFrame macro="">
      <xdr:nvGraphicFramePr>
        <xdr:cNvPr id="7" name="Gráfico 3">
          <a:extLst>
            <a:ext uri="{FF2B5EF4-FFF2-40B4-BE49-F238E27FC236}">
              <a16:creationId xmlns:a16="http://schemas.microsoft.com/office/drawing/2014/main" id="{86131200-1509-22F2-263D-7E5EA5E6E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361950</xdr:colOff>
      <xdr:row>0</xdr:row>
      <xdr:rowOff>127000</xdr:rowOff>
    </xdr:from>
    <xdr:to>
      <xdr:col>14</xdr:col>
      <xdr:colOff>95250</xdr:colOff>
      <xdr:row>14</xdr:row>
      <xdr:rowOff>142872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Marca 1">
              <a:extLst>
                <a:ext uri="{FF2B5EF4-FFF2-40B4-BE49-F238E27FC236}">
                  <a16:creationId xmlns:a16="http://schemas.microsoft.com/office/drawing/2014/main" id="{30F83D54-3025-3EC5-8079-EF1F85919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5150" y="127000"/>
              <a:ext cx="186055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171450</xdr:colOff>
      <xdr:row>0</xdr:row>
      <xdr:rowOff>165100</xdr:rowOff>
    </xdr:from>
    <xdr:to>
      <xdr:col>16</xdr:col>
      <xdr:colOff>120650</xdr:colOff>
      <xdr:row>7</xdr:row>
      <xdr:rowOff>139700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entro">
              <a:extLst>
                <a:ext uri="{FF2B5EF4-FFF2-40B4-BE49-F238E27FC236}">
                  <a16:creationId xmlns:a16="http://schemas.microsoft.com/office/drawing/2014/main" id="{8360FD28-6489-E72F-2E48-FC62E8EFF6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entr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21900" y="165100"/>
              <a:ext cx="1257300" cy="1289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105833</xdr:colOff>
      <xdr:row>2</xdr:row>
      <xdr:rowOff>84667</xdr:rowOff>
    </xdr:from>
    <xdr:to>
      <xdr:col>6</xdr:col>
      <xdr:colOff>533779</xdr:colOff>
      <xdr:row>4</xdr:row>
      <xdr:rowOff>150958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ADBD7C9-B0BC-43B8-A834-F0C074F3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833" y="670278"/>
          <a:ext cx="1175835" cy="651902"/>
        </a:xfrm>
        <a:prstGeom prst="rect">
          <a:avLst/>
        </a:prstGeom>
      </xdr:spPr>
    </xdr:pic>
    <xdr:clientData/>
  </xdr:twoCellAnchor>
</xdr:wsDr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EN RICARDO QUINATOA QUINATOA" refreshedDate="45623.60573703704" createdVersion="5" refreshedVersion="8" minRefreshableVersion="3" recordCount="0" supportSubquery="1" supportAdvancedDrill="1" xr:uid="{5D15C978-1BED-48C7-BEBF-99B05E6BB0BB}">
  <cacheSource type="external" connectionId="5"/>
  <cacheFields count="5">
    <cacheField name="[Measures].[Suma de Fecha Corta Kg Adj]" caption="Suma de Fecha Corta Kg Adj" numFmtId="0" hierarchy="119" level="32767"/>
    <cacheField name="[Measures].[Suma de Inventario Final Kg]" caption="Suma de Inventario Final Kg" numFmtId="0" hierarchy="120" level="32767"/>
    <cacheField name="[Reporte Stock DiarioPRG].[Fecha].[Fecha]" caption="Fecha" numFmtId="0" hierarchy="57" level="1">
      <sharedItems containsSemiMixedTypes="0" containsNonDate="0" containsDate="1" containsString="0" minDate="2024-11-27T00:00:00" maxDate="2024-11-28T00:00:00" count="1">
        <d v="2024-11-27T00:00:00"/>
      </sharedItems>
    </cacheField>
    <cacheField name="[Reporte Stock DiarioPRG].[Marca].[Marca]" caption="Marca" numFmtId="0" hierarchy="62" level="1">
      <sharedItems containsSemiMixedTypes="0" containsNonDate="0" containsString="0"/>
    </cacheField>
    <cacheField name="[Reporte Stock DiarioPRG].[Centro].[Centro]" caption="Centro" numFmtId="0" hierarchy="60" level="1">
      <sharedItems containsSemiMixedTypes="0" containsNonDate="0" containsString="0"/>
    </cacheField>
  </cacheFields>
  <cacheHierarchies count="124">
    <cacheHierarchy uniqueName="[Listado_PT].[Material]" caption="Material" attribute="1" defaultMemberUniqueName="[Listado_PT].[Material].[All]" allUniqueName="[Listado_PT].[Material].[All]" dimensionUniqueName="[Listado_PT]" displayFolder="" count="0" memberValueDatatype="130" unbalanced="0"/>
    <cacheHierarchy uniqueName="[Listado_PT].[Texto breve de material]" caption="Texto breve de material" attribute="1" defaultMemberUniqueName="[Listado_PT].[Texto breve de material].[All]" allUniqueName="[Listado_PT].[Texto breve de material].[All]" dimensionUniqueName="[Listado_PT]" displayFolder="" count="0" memberValueDatatype="130" unbalanced="0"/>
    <cacheHierarchy uniqueName="[Listado_PT].[GrM2]" caption="GrM2" attribute="1" defaultMemberUniqueName="[Listado_PT].[GrM2].[All]" allUniqueName="[Listado_PT].[GrM2].[All]" dimensionUniqueName="[Listado_PT]" displayFolder="" count="0" memberValueDatatype="5" unbalanced="0"/>
    <cacheHierarchy uniqueName="[Listado_PT].[GrM2_Marca]" caption="GrM2_Marca" attribute="1" defaultMemberUniqueName="[Listado_PT].[GrM2_Marca].[All]" allUniqueName="[Listado_PT].[GrM2_Marca].[All]" dimensionUniqueName="[Listado_PT]" displayFolder="" count="0" memberValueDatatype="130" unbalanced="0"/>
    <cacheHierarchy uniqueName="[Listado_PT].[GrM3]" caption="GrM3" attribute="1" defaultMemberUniqueName="[Listado_PT].[GrM3].[All]" allUniqueName="[Listado_PT].[GrM3].[All]" dimensionUniqueName="[Listado_PT]" displayFolder="" count="0" memberValueDatatype="5" unbalanced="0"/>
    <cacheHierarchy uniqueName="[Listado_PT].[GrM3_Familia]" caption="GrM3_Familia" attribute="1" defaultMemberUniqueName="[Listado_PT].[GrM3_Familia].[All]" allUniqueName="[Listado_PT].[GrM3_Familia].[All]" dimensionUniqueName="[Listado_PT]" displayFolder="" count="0" memberValueDatatype="130" unbalanced="0"/>
    <cacheHierarchy uniqueName="[Listado_PT].[PLM STATUS]" caption="PLM STATUS" attribute="1" defaultMemberUniqueName="[Listado_PT].[PLM STATUS].[All]" allUniqueName="[Listado_PT].[PLM STATUS].[All]" dimensionUniqueName="[Listado_PT]" displayFolder="" count="0" memberValueDatatype="130" unbalanced="0"/>
    <cacheHierarchy uniqueName="[Listado_PT].[Estado]" caption="Estado" attribute="1" defaultMemberUniqueName="[Listado_PT].[Estado].[All]" allUniqueName="[Listado_PT].[Estado].[All]" dimensionUniqueName="[Listado_PT]" displayFolder="" count="0" memberValueDatatype="130" unbalanced="0"/>
    <cacheHierarchy uniqueName="[Listado_PT].[Origen]" caption="Origen" attribute="1" defaultMemberUniqueName="[Listado_PT].[Origen].[All]" allUniqueName="[Listado_PT].[Origen].[All]" dimensionUniqueName="[Listado_PT]" displayFolder="" count="0" memberValueDatatype="130" unbalanced="0"/>
    <cacheHierarchy uniqueName="[Listado_PT].[Planta]" caption="Planta" attribute="1" defaultMemberUniqueName="[Listado_PT].[Planta].[All]" allUniqueName="[Listado_PT].[Planta].[All]" dimensionUniqueName="[Listado_PT]" displayFolder="" count="0" memberValueDatatype="130" unbalanced="0"/>
    <cacheHierarchy uniqueName="[Listado_PT].[Tipo_Producto]" caption="Tipo_Producto" attribute="1" defaultMemberUniqueName="[Listado_PT].[Tipo_Producto].[All]" allUniqueName="[Listado_PT].[Tipo_Producto].[All]" dimensionUniqueName="[Listado_PT]" displayFolder="" count="0" memberValueDatatype="130" unbalanced="0"/>
    <cacheHierarchy uniqueName="[Listado_PT].[Tipo_venta]" caption="Tipo_venta" attribute="1" defaultMemberUniqueName="[Listado_PT].[Tipo_venta].[All]" allUniqueName="[Listado_PT].[Tipo_venta].[All]" dimensionUniqueName="[Listado_PT]" displayFolder="" count="0" memberValueDatatype="130" unbalanced="0"/>
    <cacheHierarchy uniqueName="[Listado_PT].[Unidad_Primaria]" caption="Unidad_Primaria" attribute="1" defaultMemberUniqueName="[Listado_PT].[Unidad_Primaria].[All]" allUniqueName="[Listado_PT].[Unidad_Primaria].[All]" dimensionUniqueName="[Listado_PT]" displayFolder="" count="0" memberValueDatatype="130" unbalanced="0"/>
    <cacheHierarchy uniqueName="[Listado_PT].[Gramaje]" caption="Gramaje" attribute="1" defaultMemberUniqueName="[Listado_PT].[Gramaje].[All]" allUniqueName="[Listado_PT].[Gramaje].[All]" dimensionUniqueName="[Listado_PT]" displayFolder="" count="0" memberValueDatatype="5" unbalanced="0"/>
    <cacheHierarchy uniqueName="[Listado_PT].[Estado_Proyec]" caption="Estado_Proyec" attribute="1" defaultMemberUniqueName="[Listado_PT].[Estado_Proyec].[All]" allUniqueName="[Listado_PT].[Estado_Proyec].[All]" dimensionUniqueName="[Listado_PT]" displayFolder="" count="0" memberValueDatatype="11" unbalanced="0"/>
    <cacheHierarchy uniqueName="[Listado_PT].[Cnsrv]" caption="Cnsrv" attribute="1" defaultMemberUniqueName="[Listado_PT].[Cnsrv].[All]" allUniqueName="[Listado_PT].[Cnsrv].[All]" dimensionUniqueName="[Listado_PT]" displayFolder="" count="0" memberValueDatatype="5" unbalanced="0"/>
    <cacheHierarchy uniqueName="[Listado_PT].[Categoría]" caption="Categoría" attribute="1" defaultMemberUniqueName="[Listado_PT].[Categoría].[All]" allUniqueName="[Listado_PT].[Categoría].[All]" dimensionUniqueName="[Listado_PT]" displayFolder="" count="0" memberValueDatatype="130" unbalanced="0"/>
    <cacheHierarchy uniqueName="[Listado_PT].[Plan de Embarque]" caption="Plan de Embarque" attribute="1" defaultMemberUniqueName="[Listado_PT].[Plan de Embarque].[All]" allUniqueName="[Listado_PT].[Plan de Embarque].[All]" dimensionUniqueName="[Listado_PT]" displayFolder="" count="0" memberValueDatatype="130" unbalanced="0"/>
    <cacheHierarchy uniqueName="[Listado_PT].[Gramaje Base]" caption="Gramaje Base" attribute="1" defaultMemberUniqueName="[Listado_PT].[Gramaje Base].[All]" allUniqueName="[Listado_PT].[Gramaje Base].[All]" dimensionUniqueName="[Listado_PT]" displayFolder="" count="0" memberValueDatatype="5" unbalanced="0"/>
    <cacheHierarchy uniqueName="[Listado_PT].[% Participación Gramaje Base]" caption="% Participación Gramaje Base" attribute="1" defaultMemberUniqueName="[Listado_PT].[% Participación Gramaje Base].[All]" allUniqueName="[Listado_PT].[% Participación Gramaje Base].[All]" dimensionUniqueName="[Listado_PT]" displayFolder="" count="0" memberValueDatatype="5" unbalanced="0"/>
    <cacheHierarchy uniqueName="[Listado_PT].[Costo Unitario]" caption="Costo Unitario" attribute="1" defaultMemberUniqueName="[Listado_PT].[Costo Unitario].[All]" allUniqueName="[Listado_PT].[Costo Unitario].[All]" dimensionUniqueName="[Listado_PT]" displayFolder="" count="0" memberValueDatatype="5" unbalanced="0"/>
    <cacheHierarchy uniqueName="[Listado_PT].[Área]" caption="Área" attribute="1" defaultMemberUniqueName="[Listado_PT].[Área].[All]" allUniqueName="[Listado_PT].[Área].[All]" dimensionUniqueName="[Listado_PT]" displayFolder="" count="0" memberValueDatatype="130" unbalanced="0"/>
    <cacheHierarchy uniqueName="[Listado_PT].[UND/MINUTO]" caption="UND/MINUTO" attribute="1" defaultMemberUniqueName="[Listado_PT].[UND/MINUTO].[All]" allUniqueName="[Listado_PT].[UND/MINUTO].[All]" dimensionUniqueName="[Listado_PT]" displayFolder="" count="0" memberValueDatatype="5" unbalanced="0"/>
    <cacheHierarchy uniqueName="[Listado_PT].[OEE]" caption="OEE" attribute="1" defaultMemberUniqueName="[Listado_PT].[OEE].[All]" allUniqueName="[Listado_PT].[OEE].[All]" dimensionUniqueName="[Listado_PT]" displayFolder="" count="0" memberValueDatatype="5" unbalanced="0"/>
    <cacheHierarchy uniqueName="[Listado_PT].[UND/CUBETA]" caption="UND/CUBETA" attribute="1" defaultMemberUniqueName="[Listado_PT].[UND/CUBETA].[All]" allUniqueName="[Listado_PT].[UND/CUBETA].[All]" dimensionUniqueName="[Listado_PT]" displayFolder="" count="0" memberValueDatatype="5" unbalanced="0"/>
    <cacheHierarchy uniqueName="[Listado_PT].[CAPACIDAD CUBETAS]" caption="CAPACIDAD CUBETAS" attribute="1" defaultMemberUniqueName="[Listado_PT].[CAPACIDAD CUBETAS].[All]" allUniqueName="[Listado_PT].[CAPACIDAD CUBETAS].[All]" dimensionUniqueName="[Listado_PT]" displayFolder="" count="0" memberValueDatatype="5" unbalanced="0"/>
    <cacheHierarchy uniqueName="[Listado_PT].[CUBETA/PALLET]" caption="CUBETA/PALLET" attribute="1" defaultMemberUniqueName="[Listado_PT].[CUBETA/PALLET].[All]" allUniqueName="[Listado_PT].[CUBETA/PALLET].[All]" dimensionUniqueName="[Listado_PT]" displayFolder="" count="0" memberValueDatatype="5" unbalanced="0"/>
    <cacheHierarchy uniqueName="[Listado_PT].[CAPACIDAD PALLET]" caption="CAPACIDAD PALLET" attribute="1" defaultMemberUniqueName="[Listado_PT].[CAPACIDAD PALLET].[All]" allUniqueName="[Listado_PT].[CAPACIDAD PALLET].[All]" dimensionUniqueName="[Listado_PT]" displayFolder="" count="0" memberValueDatatype="5" unbalanced="0"/>
    <cacheHierarchy uniqueName="[Listado_PT].[KG/BATCH]" caption="KG/BATCH" attribute="1" defaultMemberUniqueName="[Listado_PT].[KG/BATCH].[All]" allUniqueName="[Listado_PT].[KG/BATCH].[All]" dimensionUniqueName="[Listado_PT]" displayFolder="" count="0" memberValueDatatype="5" unbalanced="0"/>
    <cacheHierarchy uniqueName="[Listado_PT].[UND/BATCH]" caption="UND/BATCH" attribute="1" defaultMemberUniqueName="[Listado_PT].[UND/BATCH].[All]" allUniqueName="[Listado_PT].[UND/BATCH].[All]" dimensionUniqueName="[Listado_PT]" displayFolder="" count="0" memberValueDatatype="5" unbalanced="0"/>
    <cacheHierarchy uniqueName="[Listado_PT].[MAQUINA]" caption="MAQUINA" attribute="1" defaultMemberUniqueName="[Listado_PT].[MAQUINA].[All]" allUniqueName="[Listado_PT].[MAQUINA].[All]" dimensionUniqueName="[Listado_PT]" displayFolder="" count="0" memberValueDatatype="130" unbalanced="0"/>
    <cacheHierarchy uniqueName="[Listado_PT].[Familia por base]" caption="Familia por base" attribute="1" defaultMemberUniqueName="[Listado_PT].[Familia por base].[All]" allUniqueName="[Listado_PT].[Familia por base].[All]" dimensionUniqueName="[Listado_PT]" displayFolder="" count="0" memberValueDatatype="130" unbalanced="0"/>
    <cacheHierarchy uniqueName="[Listado_PT].[Familia por base_SAP]" caption="Familia por base_SAP" attribute="1" defaultMemberUniqueName="[Listado_PT].[Familia por base_SAP].[All]" allUniqueName="[Listado_PT].[Familia por base_SAP].[All]" dimensionUniqueName="[Listado_PT]" displayFolder="" count="0" memberValueDatatype="130" unbalanced="0"/>
    <cacheHierarchy uniqueName="[Listado_PT].[Días de Maduración]" caption="Días de Maduración" attribute="1" defaultMemberUniqueName="[Listado_PT].[Días de Maduración].[All]" allUniqueName="[Listado_PT].[Días de Maduración].[All]" dimensionUniqueName="[Listado_PT]" displayFolder="" count="0" memberValueDatatype="5" unbalanced="0"/>
    <cacheHierarchy uniqueName="[Listado_PT].[Factor de Uso Leche]" caption="Factor de Uso Leche" attribute="1" defaultMemberUniqueName="[Listado_PT].[Factor de Uso Leche].[All]" allUniqueName="[Listado_PT].[Factor de Uso Leche].[All]" dimensionUniqueName="[Listado_PT]" displayFolder="" count="0" memberValueDatatype="5" unbalanced="0"/>
    <cacheHierarchy uniqueName="[Listado_PT].[Tipo de Leche 1]" caption="Tipo de Leche 1" attribute="1" defaultMemberUniqueName="[Listado_PT].[Tipo de Leche 1].[All]" allUniqueName="[Listado_PT].[Tipo de Leche 1].[All]" dimensionUniqueName="[Listado_PT]" displayFolder="" count="0" memberValueDatatype="130" unbalanced="0"/>
    <cacheHierarchy uniqueName="[Listado_PT].[Tipo de Leche 2]" caption="Tipo de Leche 2" attribute="1" defaultMemberUniqueName="[Listado_PT].[Tipo de Leche 2].[All]" allUniqueName="[Listado_PT].[Tipo de Leche 2].[All]" dimensionUniqueName="[Listado_PT]" displayFolder="" count="0" memberValueDatatype="130" unbalanced="0"/>
    <cacheHierarchy uniqueName="[Listado_PT].[Tipo de Leche 3]" caption="Tipo de Leche 3" attribute="1" defaultMemberUniqueName="[Listado_PT].[Tipo de Leche 3].[All]" allUniqueName="[Listado_PT].[Tipo de Leche 3].[All]" dimensionUniqueName="[Listado_PT]" displayFolder="" count="0" memberValueDatatype="130" unbalanced="0"/>
    <cacheHierarchy uniqueName="[Listado_PT].[Factor de Uso Leche 1]" caption="Factor de Uso Leche 1" attribute="1" defaultMemberUniqueName="[Listado_PT].[Factor de Uso Leche 1].[All]" allUniqueName="[Listado_PT].[Factor de Uso Leche 1].[All]" dimensionUniqueName="[Listado_PT]" displayFolder="" count="0" memberValueDatatype="5" unbalanced="0"/>
    <cacheHierarchy uniqueName="[Listado_PT].[Factor de Uso Leche 2]" caption="Factor de Uso Leche 2" attribute="1" defaultMemberUniqueName="[Listado_PT].[Factor de Uso Leche 2].[All]" allUniqueName="[Listado_PT].[Factor de Uso Leche 2].[All]" dimensionUniqueName="[Listado_PT]" displayFolder="" count="0" memberValueDatatype="5" unbalanced="0"/>
    <cacheHierarchy uniqueName="[Listado_PT].[Factor de Uso Leche 3]" caption="Factor de Uso Leche 3" attribute="1" defaultMemberUniqueName="[Listado_PT].[Factor de Uso Leche 3].[All]" allUniqueName="[Listado_PT].[Factor de Uso Leche 3].[All]" dimensionUniqueName="[Listado_PT]" displayFolder="" count="0" memberValueDatatype="5" unbalanced="0"/>
    <cacheHierarchy uniqueName="[Listado_PT].[Factor Uso LECHE EN POLVO]" caption="Factor Uso LECHE EN POLVO" attribute="1" defaultMemberUniqueName="[Listado_PT].[Factor Uso LECHE EN POLVO].[All]" allUniqueName="[Listado_PT].[Factor Uso LECHE EN POLVO].[All]" dimensionUniqueName="[Listado_PT]" displayFolder="" count="0" memberValueDatatype="5" unbalanced="0"/>
    <cacheHierarchy uniqueName="[Listado_PT].[Generación de Crema 1]" caption="Generación de Crema 1" attribute="1" defaultMemberUniqueName="[Listado_PT].[Generación de Crema 1].[All]" allUniqueName="[Listado_PT].[Generación de Crema 1].[All]" dimensionUniqueName="[Listado_PT]" displayFolder="" count="0" memberValueDatatype="5" unbalanced="0"/>
    <cacheHierarchy uniqueName="[Listado_PT].[Generación de Crema 2]" caption="Generación de Crema 2" attribute="1" defaultMemberUniqueName="[Listado_PT].[Generación de Crema 2].[All]" allUniqueName="[Listado_PT].[Generación de Crema 2].[All]" dimensionUniqueName="[Listado_PT]" displayFolder="" count="0" memberValueDatatype="5" unbalanced="0"/>
    <cacheHierarchy uniqueName="[Listado_PT].[Generación de Crema 3]" caption="Generación de Crema 3" attribute="1" defaultMemberUniqueName="[Listado_PT].[Generación de Crema 3].[All]" allUniqueName="[Listado_PT].[Generación de Crema 3].[All]" dimensionUniqueName="[Listado_PT]" displayFolder="" count="0" memberValueDatatype="5" unbalanced="0"/>
    <cacheHierarchy uniqueName="[Listado_PT].[Pérdida por Descremado 1]" caption="Pérdida por Descremado 1" attribute="1" defaultMemberUniqueName="[Listado_PT].[Pérdida por Descremado 1].[All]" allUniqueName="[Listado_PT].[Pérdida por Descremado 1].[All]" dimensionUniqueName="[Listado_PT]" displayFolder="" count="0" memberValueDatatype="5" unbalanced="0"/>
    <cacheHierarchy uniqueName="[Listado_PT].[Pérdida por Descremado 2]" caption="Pérdida por Descremado 2" attribute="1" defaultMemberUniqueName="[Listado_PT].[Pérdida por Descremado 2].[All]" allUniqueName="[Listado_PT].[Pérdida por Descremado 2].[All]" dimensionUniqueName="[Listado_PT]" displayFolder="" count="0" memberValueDatatype="5" unbalanced="0"/>
    <cacheHierarchy uniqueName="[Listado_PT].[Pérdida por Descremado 3]" caption="Pérdida por Descremado 3" attribute="1" defaultMemberUniqueName="[Listado_PT].[Pérdida por Descremado 3].[All]" allUniqueName="[Listado_PT].[Pérdida por Descremado 3].[All]" dimensionUniqueName="[Listado_PT]" displayFolder="" count="0" memberValueDatatype="5" unbalanced="0"/>
    <cacheHierarchy uniqueName="[Listado_PT].[Factor de Uso Crema 1]" caption="Factor de Uso Crema 1" attribute="1" defaultMemberUniqueName="[Listado_PT].[Factor de Uso Crema 1].[All]" allUniqueName="[Listado_PT].[Factor de Uso Crema 1].[All]" dimensionUniqueName="[Listado_PT]" displayFolder="" count="0" memberValueDatatype="5" unbalanced="0"/>
    <cacheHierarchy uniqueName="[Listado_PT].[Abreviado]" caption="Abreviado" attribute="1" defaultMemberUniqueName="[Listado_PT].[Abreviado].[All]" allUniqueName="[Listado_PT].[Abreviado].[All]" dimensionUniqueName="[Listado_PT]" displayFolder="" count="0" memberValueDatatype="130" unbalanced="0"/>
    <cacheHierarchy uniqueName="[Listado_PT].[Peso Empaque]" caption="Peso Empaque" attribute="1" defaultMemberUniqueName="[Listado_PT].[Peso Empaque].[All]" allUniqueName="[Listado_PT].[Peso Empaque].[All]" dimensionUniqueName="[Listado_PT]" displayFolder="" count="0" memberValueDatatype="5" unbalanced="0"/>
    <cacheHierarchy uniqueName="[Listado_PT].[Estaciones]" caption="Estaciones" attribute="1" defaultMemberUniqueName="[Listado_PT].[Estaciones].[All]" allUniqueName="[Listado_PT].[Estaciones].[All]" dimensionUniqueName="[Listado_PT]" displayFolder="" count="0" memberValueDatatype="20" unbalanced="0"/>
    <cacheHierarchy uniqueName="[Listado_PT].[ResponsableMarca]" caption="ResponsableMarca" attribute="1" defaultMemberUniqueName="[Listado_PT].[ResponsableMarca].[All]" allUniqueName="[Listado_PT].[ResponsableMarca].[All]" dimensionUniqueName="[Listado_PT]" displayFolder="" count="0" memberValueDatatype="130" unbalanced="0"/>
    <cacheHierarchy uniqueName="[Listado_PT].[precio_base]" caption="precio_base" attribute="1" defaultMemberUniqueName="[Listado_PT].[precio_base].[All]" allUniqueName="[Listado_PT].[precio_base].[All]" dimensionUniqueName="[Listado_PT]" displayFolder="" count="0" memberValueDatatype="5" unbalanced="0"/>
    <cacheHierarchy uniqueName="[Listado_PT].[id_TipoMaterial]" caption="id_TipoMaterial" attribute="1" defaultMemberUniqueName="[Listado_PT].[id_TipoMaterial].[All]" allUniqueName="[Listado_PT].[id_TipoMaterial].[All]" dimensionUniqueName="[Listado_PT]" displayFolder="" count="0" memberValueDatatype="130" unbalanced="0"/>
    <cacheHierarchy uniqueName="[Listado_PT].[id_GrupoMateriales]" caption="id_GrupoMateriales" attribute="1" defaultMemberUniqueName="[Listado_PT].[id_GrupoMateriales].[All]" allUniqueName="[Listado_PT].[id_GrupoMateriales].[All]" dimensionUniqueName="[Listado_PT]" displayFolder="" count="0" memberValueDatatype="130" unbalanced="0"/>
    <cacheHierarchy uniqueName="[Listado_PT].[Embarque]" caption="Embarque" attribute="1" defaultMemberUniqueName="[Listado_PT].[Embarque].[All]" allUniqueName="[Listado_PT].[Embarque].[All]" dimensionUniqueName="[Listado_PT]" displayFolder="" count="0" memberValueDatatype="130" unbalanced="0"/>
    <cacheHierarchy uniqueName="[Reporte Stock DiarioPRG].[Fecha]" caption="Fecha" attribute="1" time="1" defaultMemberUniqueName="[Reporte Stock DiarioPRG].[Fecha].[All]" allUniqueName="[Reporte Stock DiarioPRG].[Fecha].[All]" dimensionUniqueName="[Reporte Stock DiarioPRG]" displayFolder="" count="2" memberValueDatatype="7" unbalanced="0">
      <fieldsUsage count="2">
        <fieldUsage x="-1"/>
        <fieldUsage x="2"/>
      </fieldsUsage>
    </cacheHierarchy>
    <cacheHierarchy uniqueName="[Reporte Stock DiarioPRG].[Clave]" caption="Clave" attribute="1" defaultMemberUniqueName="[Reporte Stock DiarioPRG].[Clave].[All]" allUniqueName="[Reporte Stock DiarioPRG].[Clave].[All]" dimensionUniqueName="[Reporte Stock DiarioPRG]" displayFolder="" count="0" memberValueDatatype="130" unbalanced="0"/>
    <cacheHierarchy uniqueName="[Reporte Stock DiarioPRG].[IdCentro]" caption="IdCentro" attribute="1" defaultMemberUniqueName="[Reporte Stock DiarioPRG].[IdCentro].[All]" allUniqueName="[Reporte Stock DiarioPRG].[IdCentro].[All]" dimensionUniqueName="[Reporte Stock DiarioPRG]" displayFolder="" count="0" memberValueDatatype="130" unbalanced="0"/>
    <cacheHierarchy uniqueName="[Reporte Stock DiarioPRG].[Centro]" caption="Centro" attribute="1" defaultMemberUniqueName="[Reporte Stock DiarioPRG].[Centro].[All]" allUniqueName="[Reporte Stock DiarioPRG].[Centro].[All]" dimensionUniqueName="[Reporte Stock DiarioPRG]" displayFolder="" count="2" memberValueDatatype="130" unbalanced="0">
      <fieldsUsage count="2">
        <fieldUsage x="-1"/>
        <fieldUsage x="4"/>
      </fieldsUsage>
    </cacheHierarchy>
    <cacheHierarchy uniqueName="[Reporte Stock DiarioPRG].[Almacen]" caption="Almacen" attribute="1" defaultMemberUniqueName="[Reporte Stock DiarioPRG].[Almacen].[All]" allUniqueName="[Reporte Stock DiarioPRG].[Almacen].[All]" dimensionUniqueName="[Reporte Stock DiarioPRG]" displayFolder="" count="0" memberValueDatatype="130" unbalanced="0"/>
    <cacheHierarchy uniqueName="[Reporte Stock DiarioPRG].[Marca]" caption="Marca" attribute="1" defaultMemberUniqueName="[Reporte Stock DiarioPRG].[Marca].[All]" allUniqueName="[Reporte Stock DiarioPRG].[Marca].[All]" dimensionUniqueName="[Reporte Stock DiarioPRG]" displayFolder="" count="2" memberValueDatatype="130" unbalanced="0">
      <fieldsUsage count="2">
        <fieldUsage x="-1"/>
        <fieldUsage x="3"/>
      </fieldsUsage>
    </cacheHierarchy>
    <cacheHierarchy uniqueName="[Reporte Stock DiarioPRG].[Familia]" caption="Familia" attribute="1" defaultMemberUniqueName="[Reporte Stock DiarioPRG].[Familia].[All]" allUniqueName="[Reporte Stock DiarioPRG].[Familia].[All]" dimensionUniqueName="[Reporte Stock DiarioPRG]" displayFolder="" count="0" memberValueDatatype="130" unbalanced="0"/>
    <cacheHierarchy uniqueName="[Reporte Stock DiarioPRG].[PLM STATUS]" caption="PLM STATUS" attribute="1" defaultMemberUniqueName="[Reporte Stock DiarioPRG].[PLM STATUS].[All]" allUniqueName="[Reporte Stock DiarioPRG].[PLM STATUS].[All]" dimensionUniqueName="[Reporte Stock DiarioPRG]" displayFolder="" count="0" memberValueDatatype="130" unbalanced="0"/>
    <cacheHierarchy uniqueName="[Reporte Stock DiarioPRG].[Tipo_Producto]" caption="Tipo_Producto" attribute="1" defaultMemberUniqueName="[Reporte Stock DiarioPRG].[Tipo_Producto].[All]" allUniqueName="[Reporte Stock DiarioPRG].[Tipo_Producto].[All]" dimensionUniqueName="[Reporte Stock DiarioPRG]" displayFolder="" count="0" memberValueDatatype="130" unbalanced="0"/>
    <cacheHierarchy uniqueName="[Reporte Stock DiarioPRG].[Categoría]" caption="Categoría" attribute="1" defaultMemberUniqueName="[Reporte Stock DiarioPRG].[Categoría].[All]" allUniqueName="[Reporte Stock DiarioPRG].[Categoría].[All]" dimensionUniqueName="[Reporte Stock DiarioPRG]" displayFolder="" count="0" memberValueDatatype="130" unbalanced="0"/>
    <cacheHierarchy uniqueName="[Reporte Stock DiarioPRG].[Familia por base]" caption="Familia por base" attribute="1" defaultMemberUniqueName="[Reporte Stock DiarioPRG].[Familia por base].[All]" allUniqueName="[Reporte Stock DiarioPRG].[Familia por base].[All]" dimensionUniqueName="[Reporte Stock DiarioPRG]" displayFolder="" count="0" memberValueDatatype="130" unbalanced="0"/>
    <cacheHierarchy uniqueName="[Reporte Stock DiarioPRG].[Material]" caption="Material" attribute="1" defaultMemberUniqueName="[Reporte Stock DiarioPRG].[Material].[All]" allUniqueName="[Reporte Stock DiarioPRG].[Material].[All]" dimensionUniqueName="[Reporte Stock DiarioPRG]" displayFolder="" count="0" memberValueDatatype="130" unbalanced="0"/>
    <cacheHierarchy uniqueName="[Reporte Stock DiarioPRG].[Texto breve de material]" caption="Texto breve de material" attribute="1" defaultMemberUniqueName="[Reporte Stock DiarioPRG].[Texto breve de material].[All]" allUniqueName="[Reporte Stock DiarioPRG].[Texto breve de material].[All]" dimensionUniqueName="[Reporte Stock DiarioPRG]" displayFolder="" count="0" memberValueDatatype="130" unbalanced="0"/>
    <cacheHierarchy uniqueName="[Reporte Stock DiarioPRG].[Planta]" caption="Planta" attribute="1" defaultMemberUniqueName="[Reporte Stock DiarioPRG].[Planta].[All]" allUniqueName="[Reporte Stock DiarioPRG].[Planta].[All]" dimensionUniqueName="[Reporte Stock DiarioPRG]" displayFolder="" count="0" memberValueDatatype="130" unbalanced="0"/>
    <cacheHierarchy uniqueName="[Reporte Stock DiarioPRG].[Plan de Embarque]" caption="Plan de Embarque" attribute="1" defaultMemberUniqueName="[Reporte Stock DiarioPRG].[Plan de Embarque].[All]" allUniqueName="[Reporte Stock DiarioPRG].[Plan de Embarque].[All]" dimensionUniqueName="[Reporte Stock DiarioPRG]" displayFolder="" count="0" memberValueDatatype="130" unbalanced="0"/>
    <cacheHierarchy uniqueName="[Reporte Stock DiarioPRG].[Gramaje]" caption="Gramaje" attribute="1" defaultMemberUniqueName="[Reporte Stock DiarioPRG].[Gramaje].[All]" allUniqueName="[Reporte Stock DiarioPRG].[Gramaje].[All]" dimensionUniqueName="[Reporte Stock DiarioPRG]" displayFolder="" count="0" memberValueDatatype="5" unbalanced="0"/>
    <cacheHierarchy uniqueName="[Reporte Stock DiarioPRG].[Metodo]" caption="Metodo" attribute="1" defaultMemberUniqueName="[Reporte Stock DiarioPRG].[Metodo].[All]" allUniqueName="[Reporte Stock DiarioPRG].[Metodo].[All]" dimensionUniqueName="[Reporte Stock DiarioPRG]" displayFolder="" count="0" memberValueDatatype="20" unbalanced="0"/>
    <cacheHierarchy uniqueName="[Reporte Stock DiarioPRG].[Inventario Real]" caption="Inventario Real" attribute="1" defaultMemberUniqueName="[Reporte Stock DiarioPRG].[Inventario Real].[All]" allUniqueName="[Reporte Stock DiarioPRG].[Inventario Real].[All]" dimensionUniqueName="[Reporte Stock DiarioPRG]" displayFolder="" count="0" memberValueDatatype="5" unbalanced="0"/>
    <cacheHierarchy uniqueName="[Reporte Stock DiarioPRG].[Fecha Corta]" caption="Fecha Corta" attribute="1" defaultMemberUniqueName="[Reporte Stock DiarioPRG].[Fecha Corta].[All]" allUniqueName="[Reporte Stock DiarioPRG].[Fecha Corta].[All]" dimensionUniqueName="[Reporte Stock DiarioPRG]" displayFolder="" count="0" memberValueDatatype="5" unbalanced="0"/>
    <cacheHierarchy uniqueName="[Reporte Stock DiarioPRG].[Tránsito]" caption="Tránsito" attribute="1" defaultMemberUniqueName="[Reporte Stock DiarioPRG].[Tránsito].[All]" allUniqueName="[Reporte Stock DiarioPRG].[Tránsito].[All]" dimensionUniqueName="[Reporte Stock DiarioPRG]" displayFolder="" count="0" memberValueDatatype="5" unbalanced="0"/>
    <cacheHierarchy uniqueName="[Reporte Stock DiarioPRG].[Unidades_POC_N]" caption="Unidades_POC_N" attribute="1" defaultMemberUniqueName="[Reporte Stock DiarioPRG].[Unidades_POC_N].[All]" allUniqueName="[Reporte Stock DiarioPRG].[Unidades_POC_N].[All]" dimensionUniqueName="[Reporte Stock DiarioPRG]" displayFolder="" count="0" memberValueDatatype="5" unbalanced="0"/>
    <cacheHierarchy uniqueName="[Reporte Stock DiarioPRG].[Dias_SS_N]" caption="Dias_SS_N" attribute="1" defaultMemberUniqueName="[Reporte Stock DiarioPRG].[Dias_SS_N].[All]" allUniqueName="[Reporte Stock DiarioPRG].[Dias_SS_N].[All]" dimensionUniqueName="[Reporte Stock DiarioPRG]" displayFolder="" count="0" memberValueDatatype="5" unbalanced="0"/>
    <cacheHierarchy uniqueName="[Reporte Stock DiarioPRG].[SS_N]" caption="SS_N" attribute="1" defaultMemberUniqueName="[Reporte Stock DiarioPRG].[SS_N].[All]" allUniqueName="[Reporte Stock DiarioPRG].[SS_N].[All]" dimensionUniqueName="[Reporte Stock DiarioPRG]" displayFolder="" count="0" memberValueDatatype="5" unbalanced="0"/>
    <cacheHierarchy uniqueName="[Reporte Stock DiarioPRG].[Consumo Dia N]" caption="Consumo Dia N" attribute="1" defaultMemberUniqueName="[Reporte Stock DiarioPRG].[Consumo Dia N].[All]" allUniqueName="[Reporte Stock DiarioPRG].[Consumo Dia N].[All]" dimensionUniqueName="[Reporte Stock DiarioPRG]" displayFolder="" count="0" memberValueDatatype="5" unbalanced="0"/>
    <cacheHierarchy uniqueName="[Reporte Stock DiarioPRG].[Uni_desagregadas_N]" caption="Uni_desagregadas_N" attribute="1" defaultMemberUniqueName="[Reporte Stock DiarioPRG].[Uni_desagregadas_N].[All]" allUniqueName="[Reporte Stock DiarioPRG].[Uni_desagregadas_N].[All]" dimensionUniqueName="[Reporte Stock DiarioPRG]" displayFolder="" count="0" memberValueDatatype="5" unbalanced="0"/>
    <cacheHierarchy uniqueName="[Reporte Stock DiarioPRG].[Unidades_POC_N1]" caption="Unidades_POC_N1" attribute="1" defaultMemberUniqueName="[Reporte Stock DiarioPRG].[Unidades_POC_N1].[All]" allUniqueName="[Reporte Stock DiarioPRG].[Unidades_POC_N1].[All]" dimensionUniqueName="[Reporte Stock DiarioPRG]" displayFolder="" count="0" memberValueDatatype="5" unbalanced="0"/>
    <cacheHierarchy uniqueName="[Reporte Stock DiarioPRG].[Dias_SS_N1]" caption="Dias_SS_N1" attribute="1" defaultMemberUniqueName="[Reporte Stock DiarioPRG].[Dias_SS_N1].[All]" allUniqueName="[Reporte Stock DiarioPRG].[Dias_SS_N1].[All]" dimensionUniqueName="[Reporte Stock DiarioPRG]" displayFolder="" count="0" memberValueDatatype="5" unbalanced="0"/>
    <cacheHierarchy uniqueName="[Reporte Stock DiarioPRG].[SS_N1]" caption="SS_N1" attribute="1" defaultMemberUniqueName="[Reporte Stock DiarioPRG].[SS_N1].[All]" allUniqueName="[Reporte Stock DiarioPRG].[SS_N1].[All]" dimensionUniqueName="[Reporte Stock DiarioPRG]" displayFolder="" count="0" memberValueDatatype="5" unbalanced="0"/>
    <cacheHierarchy uniqueName="[Reporte Stock DiarioPRG].[Consumo Dia N1]" caption="Consumo Dia N1" attribute="1" defaultMemberUniqueName="[Reporte Stock DiarioPRG].[Consumo Dia N1].[All]" allUniqueName="[Reporte Stock DiarioPRG].[Consumo Dia N1].[All]" dimensionUniqueName="[Reporte Stock DiarioPRG]" displayFolder="" count="0" memberValueDatatype="5" unbalanced="0"/>
    <cacheHierarchy uniqueName="[Reporte Stock DiarioPRG].[Uni_desagregadas_N1]" caption="Uni_desagregadas_N1" attribute="1" defaultMemberUniqueName="[Reporte Stock DiarioPRG].[Uni_desagregadas_N1].[All]" allUniqueName="[Reporte Stock DiarioPRG].[Uni_desagregadas_N1].[All]" dimensionUniqueName="[Reporte Stock DiarioPRG]" displayFolder="" count="0" memberValueDatatype="5" unbalanced="0"/>
    <cacheHierarchy uniqueName="[Reporte Stock DiarioPRG].[Unidades_POC_N2]" caption="Unidades_POC_N2" attribute="1" defaultMemberUniqueName="[Reporte Stock DiarioPRG].[Unidades_POC_N2].[All]" allUniqueName="[Reporte Stock DiarioPRG].[Unidades_POC_N2].[All]" dimensionUniqueName="[Reporte Stock DiarioPRG]" displayFolder="" count="0" memberValueDatatype="5" unbalanced="0"/>
    <cacheHierarchy uniqueName="[Reporte Stock DiarioPRG].[Dias_SS_N2]" caption="Dias_SS_N2" attribute="1" defaultMemberUniqueName="[Reporte Stock DiarioPRG].[Dias_SS_N2].[All]" allUniqueName="[Reporte Stock DiarioPRG].[Dias_SS_N2].[All]" dimensionUniqueName="[Reporte Stock DiarioPRG]" displayFolder="" count="0" memberValueDatatype="5" unbalanced="0"/>
    <cacheHierarchy uniqueName="[Reporte Stock DiarioPRG].[SS_N2]" caption="SS_N2" attribute="1" defaultMemberUniqueName="[Reporte Stock DiarioPRG].[SS_N2].[All]" allUniqueName="[Reporte Stock DiarioPRG].[SS_N2].[All]" dimensionUniqueName="[Reporte Stock DiarioPRG]" displayFolder="" count="0" memberValueDatatype="5" unbalanced="0"/>
    <cacheHierarchy uniqueName="[Reporte Stock DiarioPRG].[Consumo Dia N2]" caption="Consumo Dia N2" attribute="1" defaultMemberUniqueName="[Reporte Stock DiarioPRG].[Consumo Dia N2].[All]" allUniqueName="[Reporte Stock DiarioPRG].[Consumo Dia N2].[All]" dimensionUniqueName="[Reporte Stock DiarioPRG]" displayFolder="" count="0" memberValueDatatype="5" unbalanced="0"/>
    <cacheHierarchy uniqueName="[Reporte Stock DiarioPRG].[Uni_desagregadas_N2]" caption="Uni_desagregadas_N2" attribute="1" defaultMemberUniqueName="[Reporte Stock DiarioPRG].[Uni_desagregadas_N2].[All]" allUniqueName="[Reporte Stock DiarioPRG].[Uni_desagregadas_N2].[All]" dimensionUniqueName="[Reporte Stock DiarioPRG]" displayFolder="" count="0" memberValueDatatype="5" unbalanced="0"/>
    <cacheHierarchy uniqueName="[Reporte Stock DiarioPRG].[Abreviado]" caption="Abreviado" attribute="1" defaultMemberUniqueName="[Reporte Stock DiarioPRG].[Abreviado].[All]" allUniqueName="[Reporte Stock DiarioPRG].[Abreviado].[All]" dimensionUniqueName="[Reporte Stock DiarioPRG]" displayFolder="" count="0" memberValueDatatype="130" unbalanced="0"/>
    <cacheHierarchy uniqueName="[Reporte Stock DiarioPRG].[Observacción]" caption="Observacción" attribute="1" defaultMemberUniqueName="[Reporte Stock DiarioPRG].[Observacción].[All]" allUniqueName="[Reporte Stock DiarioPRG].[Observacción].[All]" dimensionUniqueName="[Reporte Stock DiarioPRG]" displayFolder="" count="0" memberValueDatatype="130" unbalanced="0"/>
    <cacheHierarchy uniqueName="[Reporte Stock DiarioPRG].[Costo/Kilo]" caption="Costo/Kilo" attribute="1" defaultMemberUniqueName="[Reporte Stock DiarioPRG].[Costo/Kilo].[All]" allUniqueName="[Reporte Stock DiarioPRG].[Costo/Kilo].[All]" dimensionUniqueName="[Reporte Stock DiarioPRG]" displayFolder="" count="0" memberValueDatatype="5" unbalanced="0"/>
    <cacheHierarchy uniqueName="[Reporte Stock DiarioPRG].[Inventario Real Kg]" caption="Inventario Real Kg" attribute="1" defaultMemberUniqueName="[Reporte Stock DiarioPRG].[Inventario Real Kg].[All]" allUniqueName="[Reporte Stock DiarioPRG].[Inventario Real Kg].[All]" dimensionUniqueName="[Reporte Stock DiarioPRG]" displayFolder="" count="0" memberValueDatatype="5" unbalanced="0"/>
    <cacheHierarchy uniqueName="[Reporte Stock DiarioPRG].[Fecha Corta Kg]" caption="Fecha Corta Kg" attribute="1" defaultMemberUniqueName="[Reporte Stock DiarioPRG].[Fecha Corta Kg].[All]" allUniqueName="[Reporte Stock DiarioPRG].[Fecha Corta Kg].[All]" dimensionUniqueName="[Reporte Stock DiarioPRG]" displayFolder="" count="0" memberValueDatatype="5" unbalanced="0"/>
    <cacheHierarchy uniqueName="[Reporte Stock DiarioPRG].[Fecha Corta Kg Adj]" caption="Fecha Corta Kg Adj" attribute="1" defaultMemberUniqueName="[Reporte Stock DiarioPRG].[Fecha Corta Kg Adj].[All]" allUniqueName="[Reporte Stock DiarioPRG].[Fecha Corta Kg Adj].[All]" dimensionUniqueName="[Reporte Stock DiarioPRG]" displayFolder="" count="0" memberValueDatatype="5" unbalanced="0"/>
    <cacheHierarchy uniqueName="[Reporte Stock DiarioPRG].[Tránsito Kg]" caption="Tránsito Kg" attribute="1" defaultMemberUniqueName="[Reporte Stock DiarioPRG].[Tránsito Kg].[All]" allUniqueName="[Reporte Stock DiarioPRG].[Tránsito Kg].[All]" dimensionUniqueName="[Reporte Stock DiarioPRG]" displayFolder="" count="0" memberValueDatatype="5" unbalanced="0"/>
    <cacheHierarchy uniqueName="[Reporte Stock DiarioPRG].[Inventario Disponible Kg]" caption="Inventario Disponible Kg" attribute="1" defaultMemberUniqueName="[Reporte Stock DiarioPRG].[Inventario Disponible Kg].[All]" allUniqueName="[Reporte Stock DiarioPRG].[Inventario Disponible Kg].[All]" dimensionUniqueName="[Reporte Stock DiarioPRG]" displayFolder="" count="0" memberValueDatatype="5" unbalanced="0"/>
    <cacheHierarchy uniqueName="[Reporte Stock DiarioPRG].[Inventario Real $]" caption="Inventario Real $" attribute="1" defaultMemberUniqueName="[Reporte Stock DiarioPRG].[Inventario Real $].[All]" allUniqueName="[Reporte Stock DiarioPRG].[Inventario Real $].[All]" dimensionUniqueName="[Reporte Stock DiarioPRG]" displayFolder="" count="0" memberValueDatatype="5" unbalanced="0"/>
    <cacheHierarchy uniqueName="[Reporte Stock DiarioPRG].[Tránsito $]" caption="Tránsito $" attribute="1" defaultMemberUniqueName="[Reporte Stock DiarioPRG].[Tránsito $].[All]" allUniqueName="[Reporte Stock DiarioPRG].[Tránsito $].[All]" dimensionUniqueName="[Reporte Stock DiarioPRG]" displayFolder="" count="0" memberValueDatatype="5" unbalanced="0"/>
    <cacheHierarchy uniqueName="[Reporte Stock DiarioPRG].[Inventario Disponible $]" caption="Inventario Disponible $" attribute="1" defaultMemberUniqueName="[Reporte Stock DiarioPRG].[Inventario Disponible $].[All]" allUniqueName="[Reporte Stock DiarioPRG].[Inventario Disponible $].[All]" dimensionUniqueName="[Reporte Stock DiarioPRG]" displayFolder="" count="0" memberValueDatatype="5" unbalanced="0"/>
    <cacheHierarchy uniqueName="[Reporte Stock DiarioPRG].[Fecha Corta Adj $]" caption="Fecha Corta Adj $" attribute="1" defaultMemberUniqueName="[Reporte Stock DiarioPRG].[Fecha Corta Adj $].[All]" allUniqueName="[Reporte Stock DiarioPRG].[Fecha Corta Adj $].[All]" dimensionUniqueName="[Reporte Stock DiarioPRG]" displayFolder="" count="0" memberValueDatatype="5" unbalanced="0"/>
    <cacheHierarchy uniqueName="[Reporte Stock DiarioPRG].[Inventario Final Kg]" caption="Inventario Final Kg" attribute="1" defaultMemberUniqueName="[Reporte Stock DiarioPRG].[Inventario Final Kg].[All]" allUniqueName="[Reporte Stock DiarioPRG].[Inventario Final Kg].[All]" dimensionUniqueName="[Reporte Stock DiarioPRG]" displayFolder="" count="0" memberValueDatatype="5" unbalanced="0"/>
    <cacheHierarchy uniqueName="[Reporte Stock DiarioPRG].[Inventario Final $]" caption="Inventario Final $" attribute="1" defaultMemberUniqueName="[Reporte Stock DiarioPRG].[Inventario Final $].[All]" allUniqueName="[Reporte Stock DiarioPRG].[Inventario Final $].[All]" dimensionUniqueName="[Reporte Stock DiarioPRG]" displayFolder="" count="0" memberValueDatatype="5" unbalanced="0"/>
    <cacheHierarchy uniqueName="[Reporte Stock DiarioPRG].[Consumo Kg]" caption="Consumo Kg" attribute="1" defaultMemberUniqueName="[Reporte Stock DiarioPRG].[Consumo Kg].[All]" allUniqueName="[Reporte Stock DiarioPRG].[Consumo Kg].[All]" dimensionUniqueName="[Reporte Stock DiarioPRG]" displayFolder="" count="0" memberValueDatatype="5" unbalanced="0"/>
    <cacheHierarchy uniqueName="[Reporte Stock DiarioPRG].[Consumo Usd]" caption="Consumo Usd" attribute="1" defaultMemberUniqueName="[Reporte Stock DiarioPRG].[Consumo Usd].[All]" allUniqueName="[Reporte Stock DiarioPRG].[Consumo Usd].[All]" dimensionUniqueName="[Reporte Stock DiarioPRG]" displayFolder="" count="0" memberValueDatatype="5" unbalanced="0"/>
    <cacheHierarchy uniqueName="[Reporte Stock DiarioPRG].[Consumo_kg_sg]" caption="Consumo_kg_sg" attribute="1" defaultMemberUniqueName="[Reporte Stock DiarioPRG].[Consumo_kg_sg].[All]" allUniqueName="[Reporte Stock DiarioPRG].[Consumo_kg_sg].[All]" dimensionUniqueName="[Reporte Stock DiarioPRG]" displayFolder="" count="0" memberValueDatatype="5" unbalanced="0"/>
    <cacheHierarchy uniqueName="[Reporte Stock DiarioPRG].[Consumo_Kg_Mach]" caption="Consumo_Kg_Mach" attribute="1" defaultMemberUniqueName="[Reporte Stock DiarioPRG].[Consumo_Kg_Mach].[All]" allUniqueName="[Reporte Stock DiarioPRG].[Consumo_Kg_Mach].[All]" dimensionUniqueName="[Reporte Stock DiarioPRG]" displayFolder="" count="0" memberValueDatatype="5" unbalanced="0"/>
    <cacheHierarchy uniqueName="[Reporte Stock DiarioPRG].[Totales]" caption="Totales" attribute="1" defaultMemberUniqueName="[Reporte Stock DiarioPRG].[Totales].[All]" allUniqueName="[Reporte Stock DiarioPRG].[Totales].[All]" dimensionUniqueName="[Reporte Stock DiarioPRG]" displayFolder="" count="0" memberValueDatatype="5" unbalanced="0"/>
    <cacheHierarchy uniqueName="[Measures].[Con_Kg]" caption="Con_Kg" measure="1" displayFolder="" measureGroup="Reporte Stock DiarioPRG" count="0"/>
    <cacheHierarchy uniqueName="[Measures].[Con_Usd]" caption="Con_Usd" measure="1" displayFolder="" measureGroup="Reporte Stock DiarioPRG" count="0"/>
    <cacheHierarchy uniqueName="[Measures].[Con_SG_Kg]" caption="Con_SG_Kg" measure="1" displayFolder="" measureGroup="Reporte Stock DiarioPRG" count="0"/>
    <cacheHierarchy uniqueName="[Measures].[Con_Mach_kg]" caption="Con_Mach_kg" measure="1" displayFolder="" measureGroup="Reporte Stock DiarioPRG" count="0"/>
    <cacheHierarchy uniqueName="[Measures].[__XL_Count Reporte Stock DiarioPRG]" caption="__XL_Count Reporte Stock DiarioPRG" measure="1" displayFolder="" measureGroup="Reporte Stock DiarioPRG" count="0" hidden="1"/>
    <cacheHierarchy uniqueName="[Measures].[__XL_Count Listado_PT]" caption="__XL_Count Listado_PT" measure="1" displayFolder="" measureGroup="Listado_PT" count="0" hidden="1"/>
    <cacheHierarchy uniqueName="[Measures].[__No hay medidas definidas]" caption="__No hay medidas definidas" measure="1" displayFolder="" count="0" hidden="1"/>
    <cacheHierarchy uniqueName="[Measures].[Suma de Inventario Disponible Kg]" caption="Suma de Inventario Disponible Kg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a de Fecha Corta Kg Adj]" caption="Suma de Fecha Corta Kg Adj" measure="1" displayFolder="" measureGroup="Reporte Stock DiarioPRG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a de Inventario Final Kg]" caption="Suma de Inventario Final Kg" measure="1" displayFolder="" measureGroup="Reporte Stock DiarioPRG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Suma de Fecha Corta Adj $]" caption="Suma de Fecha Corta Adj $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a de Inventario Final $]" caption="Suma de Inventario Final $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a de Totales]" caption="Suma de Totales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</cacheHierarchies>
  <kpis count="0"/>
  <dimensions count="3">
    <dimension name="Listado_PT" uniqueName="[Listado_PT]" caption="Listado_PT"/>
    <dimension measure="1" name="Measures" uniqueName="[Measures]" caption="Measures"/>
    <dimension name="Reporte Stock DiarioPRG" uniqueName="[Reporte Stock DiarioPRG]" caption="Reporte Stock DiarioPRG"/>
  </dimensions>
  <measureGroups count="2">
    <measureGroup name="Listado_PT" caption="Listado_PT"/>
    <measureGroup name="Reporte Stock DiarioPRG" caption="Reporte Stock DiarioPRG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EN RICARDO QUINATOA QUINATOA" refreshedDate="45623.605738541664" createdVersion="5" refreshedVersion="8" minRefreshableVersion="3" recordCount="0" supportSubquery="1" supportAdvancedDrill="1" xr:uid="{9DD7341B-A79B-4407-B4B7-ED51AB88CD0A}">
  <cacheSource type="external" connectionId="5"/>
  <cacheFields count="4">
    <cacheField name="[Measures].[Con_SG_Kg]" caption="Con_SG_Kg" numFmtId="0" hierarchy="113" level="32767"/>
    <cacheField name="[Measures].[Con_Mach_kg]" caption="Con_Mach_kg" numFmtId="0" hierarchy="114" level="32767"/>
    <cacheField name="[Reporte Stock DiarioPRG].[Marca].[Marca]" caption="Marca" numFmtId="0" hierarchy="62" level="1">
      <sharedItems containsSemiMixedTypes="0" containsNonDate="0" containsString="0"/>
    </cacheField>
    <cacheField name="[Reporte Stock DiarioPRG].[Centro].[Centro]" caption="Centro" numFmtId="0" hierarchy="60" level="1">
      <sharedItems containsSemiMixedTypes="0" containsNonDate="0" containsString="0"/>
    </cacheField>
  </cacheFields>
  <cacheHierarchies count="124">
    <cacheHierarchy uniqueName="[Listado_PT].[Material]" caption="Material" attribute="1" defaultMemberUniqueName="[Listado_PT].[Material].[All]" allUniqueName="[Listado_PT].[Material].[All]" dimensionUniqueName="[Listado_PT]" displayFolder="" count="0" memberValueDatatype="130" unbalanced="0"/>
    <cacheHierarchy uniqueName="[Listado_PT].[Texto breve de material]" caption="Texto breve de material" attribute="1" defaultMemberUniqueName="[Listado_PT].[Texto breve de material].[All]" allUniqueName="[Listado_PT].[Texto breve de material].[All]" dimensionUniqueName="[Listado_PT]" displayFolder="" count="0" memberValueDatatype="130" unbalanced="0"/>
    <cacheHierarchy uniqueName="[Listado_PT].[GrM2]" caption="GrM2" attribute="1" defaultMemberUniqueName="[Listado_PT].[GrM2].[All]" allUniqueName="[Listado_PT].[GrM2].[All]" dimensionUniqueName="[Listado_PT]" displayFolder="" count="0" memberValueDatatype="5" unbalanced="0"/>
    <cacheHierarchy uniqueName="[Listado_PT].[GrM2_Marca]" caption="GrM2_Marca" attribute="1" defaultMemberUniqueName="[Listado_PT].[GrM2_Marca].[All]" allUniqueName="[Listado_PT].[GrM2_Marca].[All]" dimensionUniqueName="[Listado_PT]" displayFolder="" count="0" memberValueDatatype="130" unbalanced="0"/>
    <cacheHierarchy uniqueName="[Listado_PT].[GrM3]" caption="GrM3" attribute="1" defaultMemberUniqueName="[Listado_PT].[GrM3].[All]" allUniqueName="[Listado_PT].[GrM3].[All]" dimensionUniqueName="[Listado_PT]" displayFolder="" count="0" memberValueDatatype="5" unbalanced="0"/>
    <cacheHierarchy uniqueName="[Listado_PT].[GrM3_Familia]" caption="GrM3_Familia" attribute="1" defaultMemberUniqueName="[Listado_PT].[GrM3_Familia].[All]" allUniqueName="[Listado_PT].[GrM3_Familia].[All]" dimensionUniqueName="[Listado_PT]" displayFolder="" count="0" memberValueDatatype="130" unbalanced="0"/>
    <cacheHierarchy uniqueName="[Listado_PT].[PLM STATUS]" caption="PLM STATUS" attribute="1" defaultMemberUniqueName="[Listado_PT].[PLM STATUS].[All]" allUniqueName="[Listado_PT].[PLM STATUS].[All]" dimensionUniqueName="[Listado_PT]" displayFolder="" count="0" memberValueDatatype="130" unbalanced="0"/>
    <cacheHierarchy uniqueName="[Listado_PT].[Estado]" caption="Estado" attribute="1" defaultMemberUniqueName="[Listado_PT].[Estado].[All]" allUniqueName="[Listado_PT].[Estado].[All]" dimensionUniqueName="[Listado_PT]" displayFolder="" count="0" memberValueDatatype="130" unbalanced="0"/>
    <cacheHierarchy uniqueName="[Listado_PT].[Origen]" caption="Origen" attribute="1" defaultMemberUniqueName="[Listado_PT].[Origen].[All]" allUniqueName="[Listado_PT].[Origen].[All]" dimensionUniqueName="[Listado_PT]" displayFolder="" count="0" memberValueDatatype="130" unbalanced="0"/>
    <cacheHierarchy uniqueName="[Listado_PT].[Planta]" caption="Planta" attribute="1" defaultMemberUniqueName="[Listado_PT].[Planta].[All]" allUniqueName="[Listado_PT].[Planta].[All]" dimensionUniqueName="[Listado_PT]" displayFolder="" count="0" memberValueDatatype="130" unbalanced="0"/>
    <cacheHierarchy uniqueName="[Listado_PT].[Tipo_Producto]" caption="Tipo_Producto" attribute="1" defaultMemberUniqueName="[Listado_PT].[Tipo_Producto].[All]" allUniqueName="[Listado_PT].[Tipo_Producto].[All]" dimensionUniqueName="[Listado_PT]" displayFolder="" count="0" memberValueDatatype="130" unbalanced="0"/>
    <cacheHierarchy uniqueName="[Listado_PT].[Tipo_venta]" caption="Tipo_venta" attribute="1" defaultMemberUniqueName="[Listado_PT].[Tipo_venta].[All]" allUniqueName="[Listado_PT].[Tipo_venta].[All]" dimensionUniqueName="[Listado_PT]" displayFolder="" count="0" memberValueDatatype="130" unbalanced="0"/>
    <cacheHierarchy uniqueName="[Listado_PT].[Unidad_Primaria]" caption="Unidad_Primaria" attribute="1" defaultMemberUniqueName="[Listado_PT].[Unidad_Primaria].[All]" allUniqueName="[Listado_PT].[Unidad_Primaria].[All]" dimensionUniqueName="[Listado_PT]" displayFolder="" count="0" memberValueDatatype="130" unbalanced="0"/>
    <cacheHierarchy uniqueName="[Listado_PT].[Gramaje]" caption="Gramaje" attribute="1" defaultMemberUniqueName="[Listado_PT].[Gramaje].[All]" allUniqueName="[Listado_PT].[Gramaje].[All]" dimensionUniqueName="[Listado_PT]" displayFolder="" count="0" memberValueDatatype="5" unbalanced="0"/>
    <cacheHierarchy uniqueName="[Listado_PT].[Estado_Proyec]" caption="Estado_Proyec" attribute="1" defaultMemberUniqueName="[Listado_PT].[Estado_Proyec].[All]" allUniqueName="[Listado_PT].[Estado_Proyec].[All]" dimensionUniqueName="[Listado_PT]" displayFolder="" count="0" memberValueDatatype="11" unbalanced="0"/>
    <cacheHierarchy uniqueName="[Listado_PT].[Cnsrv]" caption="Cnsrv" attribute="1" defaultMemberUniqueName="[Listado_PT].[Cnsrv].[All]" allUniqueName="[Listado_PT].[Cnsrv].[All]" dimensionUniqueName="[Listado_PT]" displayFolder="" count="0" memberValueDatatype="5" unbalanced="0"/>
    <cacheHierarchy uniqueName="[Listado_PT].[Categoría]" caption="Categoría" attribute="1" defaultMemberUniqueName="[Listado_PT].[Categoría].[All]" allUniqueName="[Listado_PT].[Categoría].[All]" dimensionUniqueName="[Listado_PT]" displayFolder="" count="0" memberValueDatatype="130" unbalanced="0"/>
    <cacheHierarchy uniqueName="[Listado_PT].[Plan de Embarque]" caption="Plan de Embarque" attribute="1" defaultMemberUniqueName="[Listado_PT].[Plan de Embarque].[All]" allUniqueName="[Listado_PT].[Plan de Embarque].[All]" dimensionUniqueName="[Listado_PT]" displayFolder="" count="0" memberValueDatatype="130" unbalanced="0"/>
    <cacheHierarchy uniqueName="[Listado_PT].[Gramaje Base]" caption="Gramaje Base" attribute="1" defaultMemberUniqueName="[Listado_PT].[Gramaje Base].[All]" allUniqueName="[Listado_PT].[Gramaje Base].[All]" dimensionUniqueName="[Listado_PT]" displayFolder="" count="0" memberValueDatatype="5" unbalanced="0"/>
    <cacheHierarchy uniqueName="[Listado_PT].[% Participación Gramaje Base]" caption="% Participación Gramaje Base" attribute="1" defaultMemberUniqueName="[Listado_PT].[% Participación Gramaje Base].[All]" allUniqueName="[Listado_PT].[% Participación Gramaje Base].[All]" dimensionUniqueName="[Listado_PT]" displayFolder="" count="0" memberValueDatatype="5" unbalanced="0"/>
    <cacheHierarchy uniqueName="[Listado_PT].[Costo Unitario]" caption="Costo Unitario" attribute="1" defaultMemberUniqueName="[Listado_PT].[Costo Unitario].[All]" allUniqueName="[Listado_PT].[Costo Unitario].[All]" dimensionUniqueName="[Listado_PT]" displayFolder="" count="0" memberValueDatatype="5" unbalanced="0"/>
    <cacheHierarchy uniqueName="[Listado_PT].[Área]" caption="Área" attribute="1" defaultMemberUniqueName="[Listado_PT].[Área].[All]" allUniqueName="[Listado_PT].[Área].[All]" dimensionUniqueName="[Listado_PT]" displayFolder="" count="0" memberValueDatatype="130" unbalanced="0"/>
    <cacheHierarchy uniqueName="[Listado_PT].[UND/MINUTO]" caption="UND/MINUTO" attribute="1" defaultMemberUniqueName="[Listado_PT].[UND/MINUTO].[All]" allUniqueName="[Listado_PT].[UND/MINUTO].[All]" dimensionUniqueName="[Listado_PT]" displayFolder="" count="0" memberValueDatatype="5" unbalanced="0"/>
    <cacheHierarchy uniqueName="[Listado_PT].[OEE]" caption="OEE" attribute="1" defaultMemberUniqueName="[Listado_PT].[OEE].[All]" allUniqueName="[Listado_PT].[OEE].[All]" dimensionUniqueName="[Listado_PT]" displayFolder="" count="0" memberValueDatatype="5" unbalanced="0"/>
    <cacheHierarchy uniqueName="[Listado_PT].[UND/CUBETA]" caption="UND/CUBETA" attribute="1" defaultMemberUniqueName="[Listado_PT].[UND/CUBETA].[All]" allUniqueName="[Listado_PT].[UND/CUBETA].[All]" dimensionUniqueName="[Listado_PT]" displayFolder="" count="0" memberValueDatatype="5" unbalanced="0"/>
    <cacheHierarchy uniqueName="[Listado_PT].[CAPACIDAD CUBETAS]" caption="CAPACIDAD CUBETAS" attribute="1" defaultMemberUniqueName="[Listado_PT].[CAPACIDAD CUBETAS].[All]" allUniqueName="[Listado_PT].[CAPACIDAD CUBETAS].[All]" dimensionUniqueName="[Listado_PT]" displayFolder="" count="0" memberValueDatatype="5" unbalanced="0"/>
    <cacheHierarchy uniqueName="[Listado_PT].[CUBETA/PALLET]" caption="CUBETA/PALLET" attribute="1" defaultMemberUniqueName="[Listado_PT].[CUBETA/PALLET].[All]" allUniqueName="[Listado_PT].[CUBETA/PALLET].[All]" dimensionUniqueName="[Listado_PT]" displayFolder="" count="0" memberValueDatatype="5" unbalanced="0"/>
    <cacheHierarchy uniqueName="[Listado_PT].[CAPACIDAD PALLET]" caption="CAPACIDAD PALLET" attribute="1" defaultMemberUniqueName="[Listado_PT].[CAPACIDAD PALLET].[All]" allUniqueName="[Listado_PT].[CAPACIDAD PALLET].[All]" dimensionUniqueName="[Listado_PT]" displayFolder="" count="0" memberValueDatatype="5" unbalanced="0"/>
    <cacheHierarchy uniqueName="[Listado_PT].[KG/BATCH]" caption="KG/BATCH" attribute="1" defaultMemberUniqueName="[Listado_PT].[KG/BATCH].[All]" allUniqueName="[Listado_PT].[KG/BATCH].[All]" dimensionUniqueName="[Listado_PT]" displayFolder="" count="0" memberValueDatatype="5" unbalanced="0"/>
    <cacheHierarchy uniqueName="[Listado_PT].[UND/BATCH]" caption="UND/BATCH" attribute="1" defaultMemberUniqueName="[Listado_PT].[UND/BATCH].[All]" allUniqueName="[Listado_PT].[UND/BATCH].[All]" dimensionUniqueName="[Listado_PT]" displayFolder="" count="0" memberValueDatatype="5" unbalanced="0"/>
    <cacheHierarchy uniqueName="[Listado_PT].[MAQUINA]" caption="MAQUINA" attribute="1" defaultMemberUniqueName="[Listado_PT].[MAQUINA].[All]" allUniqueName="[Listado_PT].[MAQUINA].[All]" dimensionUniqueName="[Listado_PT]" displayFolder="" count="0" memberValueDatatype="130" unbalanced="0"/>
    <cacheHierarchy uniqueName="[Listado_PT].[Familia por base]" caption="Familia por base" attribute="1" defaultMemberUniqueName="[Listado_PT].[Familia por base].[All]" allUniqueName="[Listado_PT].[Familia por base].[All]" dimensionUniqueName="[Listado_PT]" displayFolder="" count="0" memberValueDatatype="130" unbalanced="0"/>
    <cacheHierarchy uniqueName="[Listado_PT].[Familia por base_SAP]" caption="Familia por base_SAP" attribute="1" defaultMemberUniqueName="[Listado_PT].[Familia por base_SAP].[All]" allUniqueName="[Listado_PT].[Familia por base_SAP].[All]" dimensionUniqueName="[Listado_PT]" displayFolder="" count="0" memberValueDatatype="130" unbalanced="0"/>
    <cacheHierarchy uniqueName="[Listado_PT].[Días de Maduración]" caption="Días de Maduración" attribute="1" defaultMemberUniqueName="[Listado_PT].[Días de Maduración].[All]" allUniqueName="[Listado_PT].[Días de Maduración].[All]" dimensionUniqueName="[Listado_PT]" displayFolder="" count="0" memberValueDatatype="5" unbalanced="0"/>
    <cacheHierarchy uniqueName="[Listado_PT].[Factor de Uso Leche]" caption="Factor de Uso Leche" attribute="1" defaultMemberUniqueName="[Listado_PT].[Factor de Uso Leche].[All]" allUniqueName="[Listado_PT].[Factor de Uso Leche].[All]" dimensionUniqueName="[Listado_PT]" displayFolder="" count="0" memberValueDatatype="5" unbalanced="0"/>
    <cacheHierarchy uniqueName="[Listado_PT].[Tipo de Leche 1]" caption="Tipo de Leche 1" attribute="1" defaultMemberUniqueName="[Listado_PT].[Tipo de Leche 1].[All]" allUniqueName="[Listado_PT].[Tipo de Leche 1].[All]" dimensionUniqueName="[Listado_PT]" displayFolder="" count="0" memberValueDatatype="130" unbalanced="0"/>
    <cacheHierarchy uniqueName="[Listado_PT].[Tipo de Leche 2]" caption="Tipo de Leche 2" attribute="1" defaultMemberUniqueName="[Listado_PT].[Tipo de Leche 2].[All]" allUniqueName="[Listado_PT].[Tipo de Leche 2].[All]" dimensionUniqueName="[Listado_PT]" displayFolder="" count="0" memberValueDatatype="130" unbalanced="0"/>
    <cacheHierarchy uniqueName="[Listado_PT].[Tipo de Leche 3]" caption="Tipo de Leche 3" attribute="1" defaultMemberUniqueName="[Listado_PT].[Tipo de Leche 3].[All]" allUniqueName="[Listado_PT].[Tipo de Leche 3].[All]" dimensionUniqueName="[Listado_PT]" displayFolder="" count="0" memberValueDatatype="130" unbalanced="0"/>
    <cacheHierarchy uniqueName="[Listado_PT].[Factor de Uso Leche 1]" caption="Factor de Uso Leche 1" attribute="1" defaultMemberUniqueName="[Listado_PT].[Factor de Uso Leche 1].[All]" allUniqueName="[Listado_PT].[Factor de Uso Leche 1].[All]" dimensionUniqueName="[Listado_PT]" displayFolder="" count="0" memberValueDatatype="5" unbalanced="0"/>
    <cacheHierarchy uniqueName="[Listado_PT].[Factor de Uso Leche 2]" caption="Factor de Uso Leche 2" attribute="1" defaultMemberUniqueName="[Listado_PT].[Factor de Uso Leche 2].[All]" allUniqueName="[Listado_PT].[Factor de Uso Leche 2].[All]" dimensionUniqueName="[Listado_PT]" displayFolder="" count="0" memberValueDatatype="5" unbalanced="0"/>
    <cacheHierarchy uniqueName="[Listado_PT].[Factor de Uso Leche 3]" caption="Factor de Uso Leche 3" attribute="1" defaultMemberUniqueName="[Listado_PT].[Factor de Uso Leche 3].[All]" allUniqueName="[Listado_PT].[Factor de Uso Leche 3].[All]" dimensionUniqueName="[Listado_PT]" displayFolder="" count="0" memberValueDatatype="5" unbalanced="0"/>
    <cacheHierarchy uniqueName="[Listado_PT].[Factor Uso LECHE EN POLVO]" caption="Factor Uso LECHE EN POLVO" attribute="1" defaultMemberUniqueName="[Listado_PT].[Factor Uso LECHE EN POLVO].[All]" allUniqueName="[Listado_PT].[Factor Uso LECHE EN POLVO].[All]" dimensionUniqueName="[Listado_PT]" displayFolder="" count="0" memberValueDatatype="5" unbalanced="0"/>
    <cacheHierarchy uniqueName="[Listado_PT].[Generación de Crema 1]" caption="Generación de Crema 1" attribute="1" defaultMemberUniqueName="[Listado_PT].[Generación de Crema 1].[All]" allUniqueName="[Listado_PT].[Generación de Crema 1].[All]" dimensionUniqueName="[Listado_PT]" displayFolder="" count="0" memberValueDatatype="5" unbalanced="0"/>
    <cacheHierarchy uniqueName="[Listado_PT].[Generación de Crema 2]" caption="Generación de Crema 2" attribute="1" defaultMemberUniqueName="[Listado_PT].[Generación de Crema 2].[All]" allUniqueName="[Listado_PT].[Generación de Crema 2].[All]" dimensionUniqueName="[Listado_PT]" displayFolder="" count="0" memberValueDatatype="5" unbalanced="0"/>
    <cacheHierarchy uniqueName="[Listado_PT].[Generación de Crema 3]" caption="Generación de Crema 3" attribute="1" defaultMemberUniqueName="[Listado_PT].[Generación de Crema 3].[All]" allUniqueName="[Listado_PT].[Generación de Crema 3].[All]" dimensionUniqueName="[Listado_PT]" displayFolder="" count="0" memberValueDatatype="5" unbalanced="0"/>
    <cacheHierarchy uniqueName="[Listado_PT].[Pérdida por Descremado 1]" caption="Pérdida por Descremado 1" attribute="1" defaultMemberUniqueName="[Listado_PT].[Pérdida por Descremado 1].[All]" allUniqueName="[Listado_PT].[Pérdida por Descremado 1].[All]" dimensionUniqueName="[Listado_PT]" displayFolder="" count="0" memberValueDatatype="5" unbalanced="0"/>
    <cacheHierarchy uniqueName="[Listado_PT].[Pérdida por Descremado 2]" caption="Pérdida por Descremado 2" attribute="1" defaultMemberUniqueName="[Listado_PT].[Pérdida por Descremado 2].[All]" allUniqueName="[Listado_PT].[Pérdida por Descremado 2].[All]" dimensionUniqueName="[Listado_PT]" displayFolder="" count="0" memberValueDatatype="5" unbalanced="0"/>
    <cacheHierarchy uniqueName="[Listado_PT].[Pérdida por Descremado 3]" caption="Pérdida por Descremado 3" attribute="1" defaultMemberUniqueName="[Listado_PT].[Pérdida por Descremado 3].[All]" allUniqueName="[Listado_PT].[Pérdida por Descremado 3].[All]" dimensionUniqueName="[Listado_PT]" displayFolder="" count="0" memberValueDatatype="5" unbalanced="0"/>
    <cacheHierarchy uniqueName="[Listado_PT].[Factor de Uso Crema 1]" caption="Factor de Uso Crema 1" attribute="1" defaultMemberUniqueName="[Listado_PT].[Factor de Uso Crema 1].[All]" allUniqueName="[Listado_PT].[Factor de Uso Crema 1].[All]" dimensionUniqueName="[Listado_PT]" displayFolder="" count="0" memberValueDatatype="5" unbalanced="0"/>
    <cacheHierarchy uniqueName="[Listado_PT].[Abreviado]" caption="Abreviado" attribute="1" defaultMemberUniqueName="[Listado_PT].[Abreviado].[All]" allUniqueName="[Listado_PT].[Abreviado].[All]" dimensionUniqueName="[Listado_PT]" displayFolder="" count="0" memberValueDatatype="130" unbalanced="0"/>
    <cacheHierarchy uniqueName="[Listado_PT].[Peso Empaque]" caption="Peso Empaque" attribute="1" defaultMemberUniqueName="[Listado_PT].[Peso Empaque].[All]" allUniqueName="[Listado_PT].[Peso Empaque].[All]" dimensionUniqueName="[Listado_PT]" displayFolder="" count="0" memberValueDatatype="5" unbalanced="0"/>
    <cacheHierarchy uniqueName="[Listado_PT].[Estaciones]" caption="Estaciones" attribute="1" defaultMemberUniqueName="[Listado_PT].[Estaciones].[All]" allUniqueName="[Listado_PT].[Estaciones].[All]" dimensionUniqueName="[Listado_PT]" displayFolder="" count="0" memberValueDatatype="20" unbalanced="0"/>
    <cacheHierarchy uniqueName="[Listado_PT].[ResponsableMarca]" caption="ResponsableMarca" attribute="1" defaultMemberUniqueName="[Listado_PT].[ResponsableMarca].[All]" allUniqueName="[Listado_PT].[ResponsableMarca].[All]" dimensionUniqueName="[Listado_PT]" displayFolder="" count="0" memberValueDatatype="130" unbalanced="0"/>
    <cacheHierarchy uniqueName="[Listado_PT].[precio_base]" caption="precio_base" attribute="1" defaultMemberUniqueName="[Listado_PT].[precio_base].[All]" allUniqueName="[Listado_PT].[precio_base].[All]" dimensionUniqueName="[Listado_PT]" displayFolder="" count="0" memberValueDatatype="5" unbalanced="0"/>
    <cacheHierarchy uniqueName="[Listado_PT].[id_TipoMaterial]" caption="id_TipoMaterial" attribute="1" defaultMemberUniqueName="[Listado_PT].[id_TipoMaterial].[All]" allUniqueName="[Listado_PT].[id_TipoMaterial].[All]" dimensionUniqueName="[Listado_PT]" displayFolder="" count="0" memberValueDatatype="130" unbalanced="0"/>
    <cacheHierarchy uniqueName="[Listado_PT].[id_GrupoMateriales]" caption="id_GrupoMateriales" attribute="1" defaultMemberUniqueName="[Listado_PT].[id_GrupoMateriales].[All]" allUniqueName="[Listado_PT].[id_GrupoMateriales].[All]" dimensionUniqueName="[Listado_PT]" displayFolder="" count="0" memberValueDatatype="130" unbalanced="0"/>
    <cacheHierarchy uniqueName="[Listado_PT].[Embarque]" caption="Embarque" attribute="1" defaultMemberUniqueName="[Listado_PT].[Embarque].[All]" allUniqueName="[Listado_PT].[Embarque].[All]" dimensionUniqueName="[Listado_PT]" displayFolder="" count="0" memberValueDatatype="130" unbalanced="0"/>
    <cacheHierarchy uniqueName="[Reporte Stock DiarioPRG].[Fecha]" caption="Fecha" attribute="1" time="1" defaultMemberUniqueName="[Reporte Stock DiarioPRG].[Fecha].[All]" allUniqueName="[Reporte Stock DiarioPRG].[Fecha].[All]" dimensionUniqueName="[Reporte Stock DiarioPRG]" displayFolder="" count="0" memberValueDatatype="7" unbalanced="0"/>
    <cacheHierarchy uniqueName="[Reporte Stock DiarioPRG].[Clave]" caption="Clave" attribute="1" defaultMemberUniqueName="[Reporte Stock DiarioPRG].[Clave].[All]" allUniqueName="[Reporte Stock DiarioPRG].[Clave].[All]" dimensionUniqueName="[Reporte Stock DiarioPRG]" displayFolder="" count="0" memberValueDatatype="130" unbalanced="0"/>
    <cacheHierarchy uniqueName="[Reporte Stock DiarioPRG].[IdCentro]" caption="IdCentro" attribute="1" defaultMemberUniqueName="[Reporte Stock DiarioPRG].[IdCentro].[All]" allUniqueName="[Reporte Stock DiarioPRG].[IdCentro].[All]" dimensionUniqueName="[Reporte Stock DiarioPRG]" displayFolder="" count="0" memberValueDatatype="130" unbalanced="0"/>
    <cacheHierarchy uniqueName="[Reporte Stock DiarioPRG].[Centro]" caption="Centro" attribute="1" defaultMemberUniqueName="[Reporte Stock DiarioPRG].[Centro].[All]" allUniqueName="[Reporte Stock DiarioPRG].[Centro].[All]" dimensionUniqueName="[Reporte Stock DiarioPRG]" displayFolder="" count="2" memberValueDatatype="130" unbalanced="0">
      <fieldsUsage count="2">
        <fieldUsage x="-1"/>
        <fieldUsage x="3"/>
      </fieldsUsage>
    </cacheHierarchy>
    <cacheHierarchy uniqueName="[Reporte Stock DiarioPRG].[Almacen]" caption="Almacen" attribute="1" defaultMemberUniqueName="[Reporte Stock DiarioPRG].[Almacen].[All]" allUniqueName="[Reporte Stock DiarioPRG].[Almacen].[All]" dimensionUniqueName="[Reporte Stock DiarioPRG]" displayFolder="" count="0" memberValueDatatype="130" unbalanced="0"/>
    <cacheHierarchy uniqueName="[Reporte Stock DiarioPRG].[Marca]" caption="Marca" attribute="1" defaultMemberUniqueName="[Reporte Stock DiarioPRG].[Marca].[All]" allUniqueName="[Reporte Stock DiarioPRG].[Marca].[All]" dimensionUniqueName="[Reporte Stock DiarioPRG]" displayFolder="" count="2" memberValueDatatype="130" unbalanced="0">
      <fieldsUsage count="2">
        <fieldUsage x="-1"/>
        <fieldUsage x="2"/>
      </fieldsUsage>
    </cacheHierarchy>
    <cacheHierarchy uniqueName="[Reporte Stock DiarioPRG].[Familia]" caption="Familia" attribute="1" defaultMemberUniqueName="[Reporte Stock DiarioPRG].[Familia].[All]" allUniqueName="[Reporte Stock DiarioPRG].[Familia].[All]" dimensionUniqueName="[Reporte Stock DiarioPRG]" displayFolder="" count="0" memberValueDatatype="130" unbalanced="0"/>
    <cacheHierarchy uniqueName="[Reporte Stock DiarioPRG].[PLM STATUS]" caption="PLM STATUS" attribute="1" defaultMemberUniqueName="[Reporte Stock DiarioPRG].[PLM STATUS].[All]" allUniqueName="[Reporte Stock DiarioPRG].[PLM STATUS].[All]" dimensionUniqueName="[Reporte Stock DiarioPRG]" displayFolder="" count="0" memberValueDatatype="130" unbalanced="0"/>
    <cacheHierarchy uniqueName="[Reporte Stock DiarioPRG].[Tipo_Producto]" caption="Tipo_Producto" attribute="1" defaultMemberUniqueName="[Reporte Stock DiarioPRG].[Tipo_Producto].[All]" allUniqueName="[Reporte Stock DiarioPRG].[Tipo_Producto].[All]" dimensionUniqueName="[Reporte Stock DiarioPRG]" displayFolder="" count="0" memberValueDatatype="130" unbalanced="0"/>
    <cacheHierarchy uniqueName="[Reporte Stock DiarioPRG].[Categoría]" caption="Categoría" attribute="1" defaultMemberUniqueName="[Reporte Stock DiarioPRG].[Categoría].[All]" allUniqueName="[Reporte Stock DiarioPRG].[Categoría].[All]" dimensionUniqueName="[Reporte Stock DiarioPRG]" displayFolder="" count="0" memberValueDatatype="130" unbalanced="0"/>
    <cacheHierarchy uniqueName="[Reporte Stock DiarioPRG].[Familia por base]" caption="Familia por base" attribute="1" defaultMemberUniqueName="[Reporte Stock DiarioPRG].[Familia por base].[All]" allUniqueName="[Reporte Stock DiarioPRG].[Familia por base].[All]" dimensionUniqueName="[Reporte Stock DiarioPRG]" displayFolder="" count="0" memberValueDatatype="130" unbalanced="0"/>
    <cacheHierarchy uniqueName="[Reporte Stock DiarioPRG].[Material]" caption="Material" attribute="1" defaultMemberUniqueName="[Reporte Stock DiarioPRG].[Material].[All]" allUniqueName="[Reporte Stock DiarioPRG].[Material].[All]" dimensionUniqueName="[Reporte Stock DiarioPRG]" displayFolder="" count="0" memberValueDatatype="130" unbalanced="0"/>
    <cacheHierarchy uniqueName="[Reporte Stock DiarioPRG].[Texto breve de material]" caption="Texto breve de material" attribute="1" defaultMemberUniqueName="[Reporte Stock DiarioPRG].[Texto breve de material].[All]" allUniqueName="[Reporte Stock DiarioPRG].[Texto breve de material].[All]" dimensionUniqueName="[Reporte Stock DiarioPRG]" displayFolder="" count="0" memberValueDatatype="130" unbalanced="0"/>
    <cacheHierarchy uniqueName="[Reporte Stock DiarioPRG].[Planta]" caption="Planta" attribute="1" defaultMemberUniqueName="[Reporte Stock DiarioPRG].[Planta].[All]" allUniqueName="[Reporte Stock DiarioPRG].[Planta].[All]" dimensionUniqueName="[Reporte Stock DiarioPRG]" displayFolder="" count="0" memberValueDatatype="130" unbalanced="0"/>
    <cacheHierarchy uniqueName="[Reporte Stock DiarioPRG].[Plan de Embarque]" caption="Plan de Embarque" attribute="1" defaultMemberUniqueName="[Reporte Stock DiarioPRG].[Plan de Embarque].[All]" allUniqueName="[Reporte Stock DiarioPRG].[Plan de Embarque].[All]" dimensionUniqueName="[Reporte Stock DiarioPRG]" displayFolder="" count="0" memberValueDatatype="130" unbalanced="0"/>
    <cacheHierarchy uniqueName="[Reporte Stock DiarioPRG].[Gramaje]" caption="Gramaje" attribute="1" defaultMemberUniqueName="[Reporte Stock DiarioPRG].[Gramaje].[All]" allUniqueName="[Reporte Stock DiarioPRG].[Gramaje].[All]" dimensionUniqueName="[Reporte Stock DiarioPRG]" displayFolder="" count="0" memberValueDatatype="5" unbalanced="0"/>
    <cacheHierarchy uniqueName="[Reporte Stock DiarioPRG].[Metodo]" caption="Metodo" attribute="1" defaultMemberUniqueName="[Reporte Stock DiarioPRG].[Metodo].[All]" allUniqueName="[Reporte Stock DiarioPRG].[Metodo].[All]" dimensionUniqueName="[Reporte Stock DiarioPRG]" displayFolder="" count="0" memberValueDatatype="20" unbalanced="0"/>
    <cacheHierarchy uniqueName="[Reporte Stock DiarioPRG].[Inventario Real]" caption="Inventario Real" attribute="1" defaultMemberUniqueName="[Reporte Stock DiarioPRG].[Inventario Real].[All]" allUniqueName="[Reporte Stock DiarioPRG].[Inventario Real].[All]" dimensionUniqueName="[Reporte Stock DiarioPRG]" displayFolder="" count="0" memberValueDatatype="5" unbalanced="0"/>
    <cacheHierarchy uniqueName="[Reporte Stock DiarioPRG].[Fecha Corta]" caption="Fecha Corta" attribute="1" defaultMemberUniqueName="[Reporte Stock DiarioPRG].[Fecha Corta].[All]" allUniqueName="[Reporte Stock DiarioPRG].[Fecha Corta].[All]" dimensionUniqueName="[Reporte Stock DiarioPRG]" displayFolder="" count="0" memberValueDatatype="5" unbalanced="0"/>
    <cacheHierarchy uniqueName="[Reporte Stock DiarioPRG].[Tránsito]" caption="Tránsito" attribute="1" defaultMemberUniqueName="[Reporte Stock DiarioPRG].[Tránsito].[All]" allUniqueName="[Reporte Stock DiarioPRG].[Tránsito].[All]" dimensionUniqueName="[Reporte Stock DiarioPRG]" displayFolder="" count="0" memberValueDatatype="5" unbalanced="0"/>
    <cacheHierarchy uniqueName="[Reporte Stock DiarioPRG].[Unidades_POC_N]" caption="Unidades_POC_N" attribute="1" defaultMemberUniqueName="[Reporte Stock DiarioPRG].[Unidades_POC_N].[All]" allUniqueName="[Reporte Stock DiarioPRG].[Unidades_POC_N].[All]" dimensionUniqueName="[Reporte Stock DiarioPRG]" displayFolder="" count="0" memberValueDatatype="5" unbalanced="0"/>
    <cacheHierarchy uniqueName="[Reporte Stock DiarioPRG].[Dias_SS_N]" caption="Dias_SS_N" attribute="1" defaultMemberUniqueName="[Reporte Stock DiarioPRG].[Dias_SS_N].[All]" allUniqueName="[Reporte Stock DiarioPRG].[Dias_SS_N].[All]" dimensionUniqueName="[Reporte Stock DiarioPRG]" displayFolder="" count="0" memberValueDatatype="5" unbalanced="0"/>
    <cacheHierarchy uniqueName="[Reporte Stock DiarioPRG].[SS_N]" caption="SS_N" attribute="1" defaultMemberUniqueName="[Reporte Stock DiarioPRG].[SS_N].[All]" allUniqueName="[Reporte Stock DiarioPRG].[SS_N].[All]" dimensionUniqueName="[Reporte Stock DiarioPRG]" displayFolder="" count="0" memberValueDatatype="5" unbalanced="0"/>
    <cacheHierarchy uniqueName="[Reporte Stock DiarioPRG].[Consumo Dia N]" caption="Consumo Dia N" attribute="1" defaultMemberUniqueName="[Reporte Stock DiarioPRG].[Consumo Dia N].[All]" allUniqueName="[Reporte Stock DiarioPRG].[Consumo Dia N].[All]" dimensionUniqueName="[Reporte Stock DiarioPRG]" displayFolder="" count="0" memberValueDatatype="5" unbalanced="0"/>
    <cacheHierarchy uniqueName="[Reporte Stock DiarioPRG].[Uni_desagregadas_N]" caption="Uni_desagregadas_N" attribute="1" defaultMemberUniqueName="[Reporte Stock DiarioPRG].[Uni_desagregadas_N].[All]" allUniqueName="[Reporte Stock DiarioPRG].[Uni_desagregadas_N].[All]" dimensionUniqueName="[Reporte Stock DiarioPRG]" displayFolder="" count="0" memberValueDatatype="5" unbalanced="0"/>
    <cacheHierarchy uniqueName="[Reporte Stock DiarioPRG].[Unidades_POC_N1]" caption="Unidades_POC_N1" attribute="1" defaultMemberUniqueName="[Reporte Stock DiarioPRG].[Unidades_POC_N1].[All]" allUniqueName="[Reporte Stock DiarioPRG].[Unidades_POC_N1].[All]" dimensionUniqueName="[Reporte Stock DiarioPRG]" displayFolder="" count="0" memberValueDatatype="5" unbalanced="0"/>
    <cacheHierarchy uniqueName="[Reporte Stock DiarioPRG].[Dias_SS_N1]" caption="Dias_SS_N1" attribute="1" defaultMemberUniqueName="[Reporte Stock DiarioPRG].[Dias_SS_N1].[All]" allUniqueName="[Reporte Stock DiarioPRG].[Dias_SS_N1].[All]" dimensionUniqueName="[Reporte Stock DiarioPRG]" displayFolder="" count="0" memberValueDatatype="5" unbalanced="0"/>
    <cacheHierarchy uniqueName="[Reporte Stock DiarioPRG].[SS_N1]" caption="SS_N1" attribute="1" defaultMemberUniqueName="[Reporte Stock DiarioPRG].[SS_N1].[All]" allUniqueName="[Reporte Stock DiarioPRG].[SS_N1].[All]" dimensionUniqueName="[Reporte Stock DiarioPRG]" displayFolder="" count="0" memberValueDatatype="5" unbalanced="0"/>
    <cacheHierarchy uniqueName="[Reporte Stock DiarioPRG].[Consumo Dia N1]" caption="Consumo Dia N1" attribute="1" defaultMemberUniqueName="[Reporte Stock DiarioPRG].[Consumo Dia N1].[All]" allUniqueName="[Reporte Stock DiarioPRG].[Consumo Dia N1].[All]" dimensionUniqueName="[Reporte Stock DiarioPRG]" displayFolder="" count="0" memberValueDatatype="5" unbalanced="0"/>
    <cacheHierarchy uniqueName="[Reporte Stock DiarioPRG].[Uni_desagregadas_N1]" caption="Uni_desagregadas_N1" attribute="1" defaultMemberUniqueName="[Reporte Stock DiarioPRG].[Uni_desagregadas_N1].[All]" allUniqueName="[Reporte Stock DiarioPRG].[Uni_desagregadas_N1].[All]" dimensionUniqueName="[Reporte Stock DiarioPRG]" displayFolder="" count="0" memberValueDatatype="5" unbalanced="0"/>
    <cacheHierarchy uniqueName="[Reporte Stock DiarioPRG].[Unidades_POC_N2]" caption="Unidades_POC_N2" attribute="1" defaultMemberUniqueName="[Reporte Stock DiarioPRG].[Unidades_POC_N2].[All]" allUniqueName="[Reporte Stock DiarioPRG].[Unidades_POC_N2].[All]" dimensionUniqueName="[Reporte Stock DiarioPRG]" displayFolder="" count="0" memberValueDatatype="5" unbalanced="0"/>
    <cacheHierarchy uniqueName="[Reporte Stock DiarioPRG].[Dias_SS_N2]" caption="Dias_SS_N2" attribute="1" defaultMemberUniqueName="[Reporte Stock DiarioPRG].[Dias_SS_N2].[All]" allUniqueName="[Reporte Stock DiarioPRG].[Dias_SS_N2].[All]" dimensionUniqueName="[Reporte Stock DiarioPRG]" displayFolder="" count="0" memberValueDatatype="5" unbalanced="0"/>
    <cacheHierarchy uniqueName="[Reporte Stock DiarioPRG].[SS_N2]" caption="SS_N2" attribute="1" defaultMemberUniqueName="[Reporte Stock DiarioPRG].[SS_N2].[All]" allUniqueName="[Reporte Stock DiarioPRG].[SS_N2].[All]" dimensionUniqueName="[Reporte Stock DiarioPRG]" displayFolder="" count="0" memberValueDatatype="5" unbalanced="0"/>
    <cacheHierarchy uniqueName="[Reporte Stock DiarioPRG].[Consumo Dia N2]" caption="Consumo Dia N2" attribute="1" defaultMemberUniqueName="[Reporte Stock DiarioPRG].[Consumo Dia N2].[All]" allUniqueName="[Reporte Stock DiarioPRG].[Consumo Dia N2].[All]" dimensionUniqueName="[Reporte Stock DiarioPRG]" displayFolder="" count="0" memberValueDatatype="5" unbalanced="0"/>
    <cacheHierarchy uniqueName="[Reporte Stock DiarioPRG].[Uni_desagregadas_N2]" caption="Uni_desagregadas_N2" attribute="1" defaultMemberUniqueName="[Reporte Stock DiarioPRG].[Uni_desagregadas_N2].[All]" allUniqueName="[Reporte Stock DiarioPRG].[Uni_desagregadas_N2].[All]" dimensionUniqueName="[Reporte Stock DiarioPRG]" displayFolder="" count="0" memberValueDatatype="5" unbalanced="0"/>
    <cacheHierarchy uniqueName="[Reporte Stock DiarioPRG].[Abreviado]" caption="Abreviado" attribute="1" defaultMemberUniqueName="[Reporte Stock DiarioPRG].[Abreviado].[All]" allUniqueName="[Reporte Stock DiarioPRG].[Abreviado].[All]" dimensionUniqueName="[Reporte Stock DiarioPRG]" displayFolder="" count="0" memberValueDatatype="130" unbalanced="0"/>
    <cacheHierarchy uniqueName="[Reporte Stock DiarioPRG].[Observacción]" caption="Observacción" attribute="1" defaultMemberUniqueName="[Reporte Stock DiarioPRG].[Observacción].[All]" allUniqueName="[Reporte Stock DiarioPRG].[Observacción].[All]" dimensionUniqueName="[Reporte Stock DiarioPRG]" displayFolder="" count="0" memberValueDatatype="130" unbalanced="0"/>
    <cacheHierarchy uniqueName="[Reporte Stock DiarioPRG].[Costo/Kilo]" caption="Costo/Kilo" attribute="1" defaultMemberUniqueName="[Reporte Stock DiarioPRG].[Costo/Kilo].[All]" allUniqueName="[Reporte Stock DiarioPRG].[Costo/Kilo].[All]" dimensionUniqueName="[Reporte Stock DiarioPRG]" displayFolder="" count="0" memberValueDatatype="5" unbalanced="0"/>
    <cacheHierarchy uniqueName="[Reporte Stock DiarioPRG].[Inventario Real Kg]" caption="Inventario Real Kg" attribute="1" defaultMemberUniqueName="[Reporte Stock DiarioPRG].[Inventario Real Kg].[All]" allUniqueName="[Reporte Stock DiarioPRG].[Inventario Real Kg].[All]" dimensionUniqueName="[Reporte Stock DiarioPRG]" displayFolder="" count="0" memberValueDatatype="5" unbalanced="0"/>
    <cacheHierarchy uniqueName="[Reporte Stock DiarioPRG].[Fecha Corta Kg]" caption="Fecha Corta Kg" attribute="1" defaultMemberUniqueName="[Reporte Stock DiarioPRG].[Fecha Corta Kg].[All]" allUniqueName="[Reporte Stock DiarioPRG].[Fecha Corta Kg].[All]" dimensionUniqueName="[Reporte Stock DiarioPRG]" displayFolder="" count="0" memberValueDatatype="5" unbalanced="0"/>
    <cacheHierarchy uniqueName="[Reporte Stock DiarioPRG].[Fecha Corta Kg Adj]" caption="Fecha Corta Kg Adj" attribute="1" defaultMemberUniqueName="[Reporte Stock DiarioPRG].[Fecha Corta Kg Adj].[All]" allUniqueName="[Reporte Stock DiarioPRG].[Fecha Corta Kg Adj].[All]" dimensionUniqueName="[Reporte Stock DiarioPRG]" displayFolder="" count="0" memberValueDatatype="5" unbalanced="0"/>
    <cacheHierarchy uniqueName="[Reporte Stock DiarioPRG].[Tránsito Kg]" caption="Tránsito Kg" attribute="1" defaultMemberUniqueName="[Reporte Stock DiarioPRG].[Tránsito Kg].[All]" allUniqueName="[Reporte Stock DiarioPRG].[Tránsito Kg].[All]" dimensionUniqueName="[Reporte Stock DiarioPRG]" displayFolder="" count="0" memberValueDatatype="5" unbalanced="0"/>
    <cacheHierarchy uniqueName="[Reporte Stock DiarioPRG].[Inventario Disponible Kg]" caption="Inventario Disponible Kg" attribute="1" defaultMemberUniqueName="[Reporte Stock DiarioPRG].[Inventario Disponible Kg].[All]" allUniqueName="[Reporte Stock DiarioPRG].[Inventario Disponible Kg].[All]" dimensionUniqueName="[Reporte Stock DiarioPRG]" displayFolder="" count="0" memberValueDatatype="5" unbalanced="0"/>
    <cacheHierarchy uniqueName="[Reporte Stock DiarioPRG].[Inventario Real $]" caption="Inventario Real $" attribute="1" defaultMemberUniqueName="[Reporte Stock DiarioPRG].[Inventario Real $].[All]" allUniqueName="[Reporte Stock DiarioPRG].[Inventario Real $].[All]" dimensionUniqueName="[Reporte Stock DiarioPRG]" displayFolder="" count="0" memberValueDatatype="5" unbalanced="0"/>
    <cacheHierarchy uniqueName="[Reporte Stock DiarioPRG].[Tránsito $]" caption="Tránsito $" attribute="1" defaultMemberUniqueName="[Reporte Stock DiarioPRG].[Tránsito $].[All]" allUniqueName="[Reporte Stock DiarioPRG].[Tránsito $].[All]" dimensionUniqueName="[Reporte Stock DiarioPRG]" displayFolder="" count="0" memberValueDatatype="5" unbalanced="0"/>
    <cacheHierarchy uniqueName="[Reporte Stock DiarioPRG].[Inventario Disponible $]" caption="Inventario Disponible $" attribute="1" defaultMemberUniqueName="[Reporte Stock DiarioPRG].[Inventario Disponible $].[All]" allUniqueName="[Reporte Stock DiarioPRG].[Inventario Disponible $].[All]" dimensionUniqueName="[Reporte Stock DiarioPRG]" displayFolder="" count="0" memberValueDatatype="5" unbalanced="0"/>
    <cacheHierarchy uniqueName="[Reporte Stock DiarioPRG].[Fecha Corta Adj $]" caption="Fecha Corta Adj $" attribute="1" defaultMemberUniqueName="[Reporte Stock DiarioPRG].[Fecha Corta Adj $].[All]" allUniqueName="[Reporte Stock DiarioPRG].[Fecha Corta Adj $].[All]" dimensionUniqueName="[Reporte Stock DiarioPRG]" displayFolder="" count="0" memberValueDatatype="5" unbalanced="0"/>
    <cacheHierarchy uniqueName="[Reporte Stock DiarioPRG].[Inventario Final Kg]" caption="Inventario Final Kg" attribute="1" defaultMemberUniqueName="[Reporte Stock DiarioPRG].[Inventario Final Kg].[All]" allUniqueName="[Reporte Stock DiarioPRG].[Inventario Final Kg].[All]" dimensionUniqueName="[Reporte Stock DiarioPRG]" displayFolder="" count="0" memberValueDatatype="5" unbalanced="0"/>
    <cacheHierarchy uniqueName="[Reporte Stock DiarioPRG].[Inventario Final $]" caption="Inventario Final $" attribute="1" defaultMemberUniqueName="[Reporte Stock DiarioPRG].[Inventario Final $].[All]" allUniqueName="[Reporte Stock DiarioPRG].[Inventario Final $].[All]" dimensionUniqueName="[Reporte Stock DiarioPRG]" displayFolder="" count="0" memberValueDatatype="5" unbalanced="0"/>
    <cacheHierarchy uniqueName="[Reporte Stock DiarioPRG].[Consumo Kg]" caption="Consumo Kg" attribute="1" defaultMemberUniqueName="[Reporte Stock DiarioPRG].[Consumo Kg].[All]" allUniqueName="[Reporte Stock DiarioPRG].[Consumo Kg].[All]" dimensionUniqueName="[Reporte Stock DiarioPRG]" displayFolder="" count="0" memberValueDatatype="5" unbalanced="0"/>
    <cacheHierarchy uniqueName="[Reporte Stock DiarioPRG].[Consumo Usd]" caption="Consumo Usd" attribute="1" defaultMemberUniqueName="[Reporte Stock DiarioPRG].[Consumo Usd].[All]" allUniqueName="[Reporte Stock DiarioPRG].[Consumo Usd].[All]" dimensionUniqueName="[Reporte Stock DiarioPRG]" displayFolder="" count="0" memberValueDatatype="5" unbalanced="0"/>
    <cacheHierarchy uniqueName="[Reporte Stock DiarioPRG].[Consumo_kg_sg]" caption="Consumo_kg_sg" attribute="1" defaultMemberUniqueName="[Reporte Stock DiarioPRG].[Consumo_kg_sg].[All]" allUniqueName="[Reporte Stock DiarioPRG].[Consumo_kg_sg].[All]" dimensionUniqueName="[Reporte Stock DiarioPRG]" displayFolder="" count="0" memberValueDatatype="5" unbalanced="0"/>
    <cacheHierarchy uniqueName="[Reporte Stock DiarioPRG].[Consumo_Kg_Mach]" caption="Consumo_Kg_Mach" attribute="1" defaultMemberUniqueName="[Reporte Stock DiarioPRG].[Consumo_Kg_Mach].[All]" allUniqueName="[Reporte Stock DiarioPRG].[Consumo_Kg_Mach].[All]" dimensionUniqueName="[Reporte Stock DiarioPRG]" displayFolder="" count="0" memberValueDatatype="5" unbalanced="0"/>
    <cacheHierarchy uniqueName="[Reporte Stock DiarioPRG].[Totales]" caption="Totales" attribute="1" defaultMemberUniqueName="[Reporte Stock DiarioPRG].[Totales].[All]" allUniqueName="[Reporte Stock DiarioPRG].[Totales].[All]" dimensionUniqueName="[Reporte Stock DiarioPRG]" displayFolder="" count="0" memberValueDatatype="5" unbalanced="0"/>
    <cacheHierarchy uniqueName="[Measures].[Con_Kg]" caption="Con_Kg" measure="1" displayFolder="" measureGroup="Reporte Stock DiarioPRG" count="0"/>
    <cacheHierarchy uniqueName="[Measures].[Con_Usd]" caption="Con_Usd" measure="1" displayFolder="" measureGroup="Reporte Stock DiarioPRG" count="0"/>
    <cacheHierarchy uniqueName="[Measures].[Con_SG_Kg]" caption="Con_SG_Kg" measure="1" displayFolder="" measureGroup="Reporte Stock DiarioPRG" count="0" oneField="1">
      <fieldsUsage count="1">
        <fieldUsage x="0"/>
      </fieldsUsage>
    </cacheHierarchy>
    <cacheHierarchy uniqueName="[Measures].[Con_Mach_kg]" caption="Con_Mach_kg" measure="1" displayFolder="" measureGroup="Reporte Stock DiarioPRG" count="0" oneField="1">
      <fieldsUsage count="1">
        <fieldUsage x="1"/>
      </fieldsUsage>
    </cacheHierarchy>
    <cacheHierarchy uniqueName="[Measures].[__XL_Count Reporte Stock DiarioPRG]" caption="__XL_Count Reporte Stock DiarioPRG" measure="1" displayFolder="" measureGroup="Reporte Stock DiarioPRG" count="0" hidden="1"/>
    <cacheHierarchy uniqueName="[Measures].[__XL_Count Listado_PT]" caption="__XL_Count Listado_PT" measure="1" displayFolder="" measureGroup="Listado_PT" count="0" hidden="1"/>
    <cacheHierarchy uniqueName="[Measures].[__No hay medidas definidas]" caption="__No hay medidas definidas" measure="1" displayFolder="" count="0" hidden="1"/>
    <cacheHierarchy uniqueName="[Measures].[Suma de Inventario Disponible Kg]" caption="Suma de Inventario Disponible Kg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a de Fecha Corta Kg Adj]" caption="Suma de Fecha Corta Kg Adj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a de Inventario Final Kg]" caption="Suma de Inventario Final Kg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Suma de Fecha Corta Adj $]" caption="Suma de Fecha Corta Adj $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a de Inventario Final $]" caption="Suma de Inventario Final $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a de Totales]" caption="Suma de Totales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</cacheHierarchies>
  <kpis count="0"/>
  <dimensions count="3">
    <dimension name="Listado_PT" uniqueName="[Listado_PT]" caption="Listado_PT"/>
    <dimension measure="1" name="Measures" uniqueName="[Measures]" caption="Measures"/>
    <dimension name="Reporte Stock DiarioPRG" uniqueName="[Reporte Stock DiarioPRG]" caption="Reporte Stock DiarioPRG"/>
  </dimensions>
  <measureGroups count="2">
    <measureGroup name="Listado_PT" caption="Listado_PT"/>
    <measureGroup name="Reporte Stock DiarioPRG" caption="Reporte Stock DiarioPRG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EN RICARDO QUINATOA QUINATOA" refreshedDate="45623.605739930557" createdVersion="5" refreshedVersion="8" minRefreshableVersion="3" recordCount="0" supportSubquery="1" supportAdvancedDrill="1" xr:uid="{67184A97-B2A7-4B03-A048-FEFC0E7D99C1}">
  <cacheSource type="external" connectionId="5"/>
  <cacheFields count="2">
    <cacheField name="[Reporte Stock DiarioPRG].[Centro].[Centro]" caption="Centro" numFmtId="0" hierarchy="60" level="1">
      <sharedItems count="3">
        <s v="GUAYAQUIL"/>
        <s v="MACHACHI"/>
        <s v="SAN GABRIEL"/>
      </sharedItems>
    </cacheField>
    <cacheField name="[Reporte Stock DiarioPRG].[Marca].[Marca]" caption="Marca" numFmtId="0" hierarchy="62" level="1">
      <sharedItems containsSemiMixedTypes="0" containsNonDate="0" containsString="0"/>
    </cacheField>
  </cacheFields>
  <cacheHierarchies count="124">
    <cacheHierarchy uniqueName="[Listado_PT].[Material]" caption="Material" attribute="1" defaultMemberUniqueName="[Listado_PT].[Material].[All]" allUniqueName="[Listado_PT].[Material].[All]" dimensionUniqueName="[Listado_PT]" displayFolder="" count="0" memberValueDatatype="130" unbalanced="0"/>
    <cacheHierarchy uniqueName="[Listado_PT].[Texto breve de material]" caption="Texto breve de material" attribute="1" defaultMemberUniqueName="[Listado_PT].[Texto breve de material].[All]" allUniqueName="[Listado_PT].[Texto breve de material].[All]" dimensionUniqueName="[Listado_PT]" displayFolder="" count="0" memberValueDatatype="130" unbalanced="0"/>
    <cacheHierarchy uniqueName="[Listado_PT].[GrM2]" caption="GrM2" attribute="1" defaultMemberUniqueName="[Listado_PT].[GrM2].[All]" allUniqueName="[Listado_PT].[GrM2].[All]" dimensionUniqueName="[Listado_PT]" displayFolder="" count="0" memberValueDatatype="5" unbalanced="0"/>
    <cacheHierarchy uniqueName="[Listado_PT].[GrM2_Marca]" caption="GrM2_Marca" attribute="1" defaultMemberUniqueName="[Listado_PT].[GrM2_Marca].[All]" allUniqueName="[Listado_PT].[GrM2_Marca].[All]" dimensionUniqueName="[Listado_PT]" displayFolder="" count="0" memberValueDatatype="130" unbalanced="0"/>
    <cacheHierarchy uniqueName="[Listado_PT].[GrM3]" caption="GrM3" attribute="1" defaultMemberUniqueName="[Listado_PT].[GrM3].[All]" allUniqueName="[Listado_PT].[GrM3].[All]" dimensionUniqueName="[Listado_PT]" displayFolder="" count="0" memberValueDatatype="5" unbalanced="0"/>
    <cacheHierarchy uniqueName="[Listado_PT].[GrM3_Familia]" caption="GrM3_Familia" attribute="1" defaultMemberUniqueName="[Listado_PT].[GrM3_Familia].[All]" allUniqueName="[Listado_PT].[GrM3_Familia].[All]" dimensionUniqueName="[Listado_PT]" displayFolder="" count="0" memberValueDatatype="130" unbalanced="0"/>
    <cacheHierarchy uniqueName="[Listado_PT].[PLM STATUS]" caption="PLM STATUS" attribute="1" defaultMemberUniqueName="[Listado_PT].[PLM STATUS].[All]" allUniqueName="[Listado_PT].[PLM STATUS].[All]" dimensionUniqueName="[Listado_PT]" displayFolder="" count="0" memberValueDatatype="130" unbalanced="0"/>
    <cacheHierarchy uniqueName="[Listado_PT].[Estado]" caption="Estado" attribute="1" defaultMemberUniqueName="[Listado_PT].[Estado].[All]" allUniqueName="[Listado_PT].[Estado].[All]" dimensionUniqueName="[Listado_PT]" displayFolder="" count="0" memberValueDatatype="130" unbalanced="0"/>
    <cacheHierarchy uniqueName="[Listado_PT].[Origen]" caption="Origen" attribute="1" defaultMemberUniqueName="[Listado_PT].[Origen].[All]" allUniqueName="[Listado_PT].[Origen].[All]" dimensionUniqueName="[Listado_PT]" displayFolder="" count="0" memberValueDatatype="130" unbalanced="0"/>
    <cacheHierarchy uniqueName="[Listado_PT].[Planta]" caption="Planta" attribute="1" defaultMemberUniqueName="[Listado_PT].[Planta].[All]" allUniqueName="[Listado_PT].[Planta].[All]" dimensionUniqueName="[Listado_PT]" displayFolder="" count="0" memberValueDatatype="130" unbalanced="0"/>
    <cacheHierarchy uniqueName="[Listado_PT].[Tipo_Producto]" caption="Tipo_Producto" attribute="1" defaultMemberUniqueName="[Listado_PT].[Tipo_Producto].[All]" allUniqueName="[Listado_PT].[Tipo_Producto].[All]" dimensionUniqueName="[Listado_PT]" displayFolder="" count="0" memberValueDatatype="130" unbalanced="0"/>
    <cacheHierarchy uniqueName="[Listado_PT].[Tipo_venta]" caption="Tipo_venta" attribute="1" defaultMemberUniqueName="[Listado_PT].[Tipo_venta].[All]" allUniqueName="[Listado_PT].[Tipo_venta].[All]" dimensionUniqueName="[Listado_PT]" displayFolder="" count="0" memberValueDatatype="130" unbalanced="0"/>
    <cacheHierarchy uniqueName="[Listado_PT].[Unidad_Primaria]" caption="Unidad_Primaria" attribute="1" defaultMemberUniqueName="[Listado_PT].[Unidad_Primaria].[All]" allUniqueName="[Listado_PT].[Unidad_Primaria].[All]" dimensionUniqueName="[Listado_PT]" displayFolder="" count="0" memberValueDatatype="130" unbalanced="0"/>
    <cacheHierarchy uniqueName="[Listado_PT].[Gramaje]" caption="Gramaje" attribute="1" defaultMemberUniqueName="[Listado_PT].[Gramaje].[All]" allUniqueName="[Listado_PT].[Gramaje].[All]" dimensionUniqueName="[Listado_PT]" displayFolder="" count="0" memberValueDatatype="5" unbalanced="0"/>
    <cacheHierarchy uniqueName="[Listado_PT].[Estado_Proyec]" caption="Estado_Proyec" attribute="1" defaultMemberUniqueName="[Listado_PT].[Estado_Proyec].[All]" allUniqueName="[Listado_PT].[Estado_Proyec].[All]" dimensionUniqueName="[Listado_PT]" displayFolder="" count="0" memberValueDatatype="11" unbalanced="0"/>
    <cacheHierarchy uniqueName="[Listado_PT].[Cnsrv]" caption="Cnsrv" attribute="1" defaultMemberUniqueName="[Listado_PT].[Cnsrv].[All]" allUniqueName="[Listado_PT].[Cnsrv].[All]" dimensionUniqueName="[Listado_PT]" displayFolder="" count="0" memberValueDatatype="5" unbalanced="0"/>
    <cacheHierarchy uniqueName="[Listado_PT].[Categoría]" caption="Categoría" attribute="1" defaultMemberUniqueName="[Listado_PT].[Categoría].[All]" allUniqueName="[Listado_PT].[Categoría].[All]" dimensionUniqueName="[Listado_PT]" displayFolder="" count="0" memberValueDatatype="130" unbalanced="0"/>
    <cacheHierarchy uniqueName="[Listado_PT].[Plan de Embarque]" caption="Plan de Embarque" attribute="1" defaultMemberUniqueName="[Listado_PT].[Plan de Embarque].[All]" allUniqueName="[Listado_PT].[Plan de Embarque].[All]" dimensionUniqueName="[Listado_PT]" displayFolder="" count="0" memberValueDatatype="130" unbalanced="0"/>
    <cacheHierarchy uniqueName="[Listado_PT].[Gramaje Base]" caption="Gramaje Base" attribute="1" defaultMemberUniqueName="[Listado_PT].[Gramaje Base].[All]" allUniqueName="[Listado_PT].[Gramaje Base].[All]" dimensionUniqueName="[Listado_PT]" displayFolder="" count="0" memberValueDatatype="5" unbalanced="0"/>
    <cacheHierarchy uniqueName="[Listado_PT].[% Participación Gramaje Base]" caption="% Participación Gramaje Base" attribute="1" defaultMemberUniqueName="[Listado_PT].[% Participación Gramaje Base].[All]" allUniqueName="[Listado_PT].[% Participación Gramaje Base].[All]" dimensionUniqueName="[Listado_PT]" displayFolder="" count="0" memberValueDatatype="5" unbalanced="0"/>
    <cacheHierarchy uniqueName="[Listado_PT].[Costo Unitario]" caption="Costo Unitario" attribute="1" defaultMemberUniqueName="[Listado_PT].[Costo Unitario].[All]" allUniqueName="[Listado_PT].[Costo Unitario].[All]" dimensionUniqueName="[Listado_PT]" displayFolder="" count="0" memberValueDatatype="5" unbalanced="0"/>
    <cacheHierarchy uniqueName="[Listado_PT].[Área]" caption="Área" attribute="1" defaultMemberUniqueName="[Listado_PT].[Área].[All]" allUniqueName="[Listado_PT].[Área].[All]" dimensionUniqueName="[Listado_PT]" displayFolder="" count="0" memberValueDatatype="130" unbalanced="0"/>
    <cacheHierarchy uniqueName="[Listado_PT].[UND/MINUTO]" caption="UND/MINUTO" attribute="1" defaultMemberUniqueName="[Listado_PT].[UND/MINUTO].[All]" allUniqueName="[Listado_PT].[UND/MINUTO].[All]" dimensionUniqueName="[Listado_PT]" displayFolder="" count="0" memberValueDatatype="5" unbalanced="0"/>
    <cacheHierarchy uniqueName="[Listado_PT].[OEE]" caption="OEE" attribute="1" defaultMemberUniqueName="[Listado_PT].[OEE].[All]" allUniqueName="[Listado_PT].[OEE].[All]" dimensionUniqueName="[Listado_PT]" displayFolder="" count="0" memberValueDatatype="5" unbalanced="0"/>
    <cacheHierarchy uniqueName="[Listado_PT].[UND/CUBETA]" caption="UND/CUBETA" attribute="1" defaultMemberUniqueName="[Listado_PT].[UND/CUBETA].[All]" allUniqueName="[Listado_PT].[UND/CUBETA].[All]" dimensionUniqueName="[Listado_PT]" displayFolder="" count="0" memberValueDatatype="5" unbalanced="0"/>
    <cacheHierarchy uniqueName="[Listado_PT].[CAPACIDAD CUBETAS]" caption="CAPACIDAD CUBETAS" attribute="1" defaultMemberUniqueName="[Listado_PT].[CAPACIDAD CUBETAS].[All]" allUniqueName="[Listado_PT].[CAPACIDAD CUBETAS].[All]" dimensionUniqueName="[Listado_PT]" displayFolder="" count="0" memberValueDatatype="5" unbalanced="0"/>
    <cacheHierarchy uniqueName="[Listado_PT].[CUBETA/PALLET]" caption="CUBETA/PALLET" attribute="1" defaultMemberUniqueName="[Listado_PT].[CUBETA/PALLET].[All]" allUniqueName="[Listado_PT].[CUBETA/PALLET].[All]" dimensionUniqueName="[Listado_PT]" displayFolder="" count="0" memberValueDatatype="5" unbalanced="0"/>
    <cacheHierarchy uniqueName="[Listado_PT].[CAPACIDAD PALLET]" caption="CAPACIDAD PALLET" attribute="1" defaultMemberUniqueName="[Listado_PT].[CAPACIDAD PALLET].[All]" allUniqueName="[Listado_PT].[CAPACIDAD PALLET].[All]" dimensionUniqueName="[Listado_PT]" displayFolder="" count="0" memberValueDatatype="5" unbalanced="0"/>
    <cacheHierarchy uniqueName="[Listado_PT].[KG/BATCH]" caption="KG/BATCH" attribute="1" defaultMemberUniqueName="[Listado_PT].[KG/BATCH].[All]" allUniqueName="[Listado_PT].[KG/BATCH].[All]" dimensionUniqueName="[Listado_PT]" displayFolder="" count="0" memberValueDatatype="5" unbalanced="0"/>
    <cacheHierarchy uniqueName="[Listado_PT].[UND/BATCH]" caption="UND/BATCH" attribute="1" defaultMemberUniqueName="[Listado_PT].[UND/BATCH].[All]" allUniqueName="[Listado_PT].[UND/BATCH].[All]" dimensionUniqueName="[Listado_PT]" displayFolder="" count="0" memberValueDatatype="5" unbalanced="0"/>
    <cacheHierarchy uniqueName="[Listado_PT].[MAQUINA]" caption="MAQUINA" attribute="1" defaultMemberUniqueName="[Listado_PT].[MAQUINA].[All]" allUniqueName="[Listado_PT].[MAQUINA].[All]" dimensionUniqueName="[Listado_PT]" displayFolder="" count="0" memberValueDatatype="130" unbalanced="0"/>
    <cacheHierarchy uniqueName="[Listado_PT].[Familia por base]" caption="Familia por base" attribute="1" defaultMemberUniqueName="[Listado_PT].[Familia por base].[All]" allUniqueName="[Listado_PT].[Familia por base].[All]" dimensionUniqueName="[Listado_PT]" displayFolder="" count="0" memberValueDatatype="130" unbalanced="0"/>
    <cacheHierarchy uniqueName="[Listado_PT].[Familia por base_SAP]" caption="Familia por base_SAP" attribute="1" defaultMemberUniqueName="[Listado_PT].[Familia por base_SAP].[All]" allUniqueName="[Listado_PT].[Familia por base_SAP].[All]" dimensionUniqueName="[Listado_PT]" displayFolder="" count="0" memberValueDatatype="130" unbalanced="0"/>
    <cacheHierarchy uniqueName="[Listado_PT].[Días de Maduración]" caption="Días de Maduración" attribute="1" defaultMemberUniqueName="[Listado_PT].[Días de Maduración].[All]" allUniqueName="[Listado_PT].[Días de Maduración].[All]" dimensionUniqueName="[Listado_PT]" displayFolder="" count="0" memberValueDatatype="5" unbalanced="0"/>
    <cacheHierarchy uniqueName="[Listado_PT].[Factor de Uso Leche]" caption="Factor de Uso Leche" attribute="1" defaultMemberUniqueName="[Listado_PT].[Factor de Uso Leche].[All]" allUniqueName="[Listado_PT].[Factor de Uso Leche].[All]" dimensionUniqueName="[Listado_PT]" displayFolder="" count="0" memberValueDatatype="5" unbalanced="0"/>
    <cacheHierarchy uniqueName="[Listado_PT].[Tipo de Leche 1]" caption="Tipo de Leche 1" attribute="1" defaultMemberUniqueName="[Listado_PT].[Tipo de Leche 1].[All]" allUniqueName="[Listado_PT].[Tipo de Leche 1].[All]" dimensionUniqueName="[Listado_PT]" displayFolder="" count="0" memberValueDatatype="130" unbalanced="0"/>
    <cacheHierarchy uniqueName="[Listado_PT].[Tipo de Leche 2]" caption="Tipo de Leche 2" attribute="1" defaultMemberUniqueName="[Listado_PT].[Tipo de Leche 2].[All]" allUniqueName="[Listado_PT].[Tipo de Leche 2].[All]" dimensionUniqueName="[Listado_PT]" displayFolder="" count="0" memberValueDatatype="130" unbalanced="0"/>
    <cacheHierarchy uniqueName="[Listado_PT].[Tipo de Leche 3]" caption="Tipo de Leche 3" attribute="1" defaultMemberUniqueName="[Listado_PT].[Tipo de Leche 3].[All]" allUniqueName="[Listado_PT].[Tipo de Leche 3].[All]" dimensionUniqueName="[Listado_PT]" displayFolder="" count="0" memberValueDatatype="130" unbalanced="0"/>
    <cacheHierarchy uniqueName="[Listado_PT].[Factor de Uso Leche 1]" caption="Factor de Uso Leche 1" attribute="1" defaultMemberUniqueName="[Listado_PT].[Factor de Uso Leche 1].[All]" allUniqueName="[Listado_PT].[Factor de Uso Leche 1].[All]" dimensionUniqueName="[Listado_PT]" displayFolder="" count="0" memberValueDatatype="5" unbalanced="0"/>
    <cacheHierarchy uniqueName="[Listado_PT].[Factor de Uso Leche 2]" caption="Factor de Uso Leche 2" attribute="1" defaultMemberUniqueName="[Listado_PT].[Factor de Uso Leche 2].[All]" allUniqueName="[Listado_PT].[Factor de Uso Leche 2].[All]" dimensionUniqueName="[Listado_PT]" displayFolder="" count="0" memberValueDatatype="5" unbalanced="0"/>
    <cacheHierarchy uniqueName="[Listado_PT].[Factor de Uso Leche 3]" caption="Factor de Uso Leche 3" attribute="1" defaultMemberUniqueName="[Listado_PT].[Factor de Uso Leche 3].[All]" allUniqueName="[Listado_PT].[Factor de Uso Leche 3].[All]" dimensionUniqueName="[Listado_PT]" displayFolder="" count="0" memberValueDatatype="5" unbalanced="0"/>
    <cacheHierarchy uniqueName="[Listado_PT].[Factor Uso LECHE EN POLVO]" caption="Factor Uso LECHE EN POLVO" attribute="1" defaultMemberUniqueName="[Listado_PT].[Factor Uso LECHE EN POLVO].[All]" allUniqueName="[Listado_PT].[Factor Uso LECHE EN POLVO].[All]" dimensionUniqueName="[Listado_PT]" displayFolder="" count="0" memberValueDatatype="5" unbalanced="0"/>
    <cacheHierarchy uniqueName="[Listado_PT].[Generación de Crema 1]" caption="Generación de Crema 1" attribute="1" defaultMemberUniqueName="[Listado_PT].[Generación de Crema 1].[All]" allUniqueName="[Listado_PT].[Generación de Crema 1].[All]" dimensionUniqueName="[Listado_PT]" displayFolder="" count="0" memberValueDatatype="5" unbalanced="0"/>
    <cacheHierarchy uniqueName="[Listado_PT].[Generación de Crema 2]" caption="Generación de Crema 2" attribute="1" defaultMemberUniqueName="[Listado_PT].[Generación de Crema 2].[All]" allUniqueName="[Listado_PT].[Generación de Crema 2].[All]" dimensionUniqueName="[Listado_PT]" displayFolder="" count="0" memberValueDatatype="5" unbalanced="0"/>
    <cacheHierarchy uniqueName="[Listado_PT].[Generación de Crema 3]" caption="Generación de Crema 3" attribute="1" defaultMemberUniqueName="[Listado_PT].[Generación de Crema 3].[All]" allUniqueName="[Listado_PT].[Generación de Crema 3].[All]" dimensionUniqueName="[Listado_PT]" displayFolder="" count="0" memberValueDatatype="5" unbalanced="0"/>
    <cacheHierarchy uniqueName="[Listado_PT].[Pérdida por Descremado 1]" caption="Pérdida por Descremado 1" attribute="1" defaultMemberUniqueName="[Listado_PT].[Pérdida por Descremado 1].[All]" allUniqueName="[Listado_PT].[Pérdida por Descremado 1].[All]" dimensionUniqueName="[Listado_PT]" displayFolder="" count="0" memberValueDatatype="5" unbalanced="0"/>
    <cacheHierarchy uniqueName="[Listado_PT].[Pérdida por Descremado 2]" caption="Pérdida por Descremado 2" attribute="1" defaultMemberUniqueName="[Listado_PT].[Pérdida por Descremado 2].[All]" allUniqueName="[Listado_PT].[Pérdida por Descremado 2].[All]" dimensionUniqueName="[Listado_PT]" displayFolder="" count="0" memberValueDatatype="5" unbalanced="0"/>
    <cacheHierarchy uniqueName="[Listado_PT].[Pérdida por Descremado 3]" caption="Pérdida por Descremado 3" attribute="1" defaultMemberUniqueName="[Listado_PT].[Pérdida por Descremado 3].[All]" allUniqueName="[Listado_PT].[Pérdida por Descremado 3].[All]" dimensionUniqueName="[Listado_PT]" displayFolder="" count="0" memberValueDatatype="5" unbalanced="0"/>
    <cacheHierarchy uniqueName="[Listado_PT].[Factor de Uso Crema 1]" caption="Factor de Uso Crema 1" attribute="1" defaultMemberUniqueName="[Listado_PT].[Factor de Uso Crema 1].[All]" allUniqueName="[Listado_PT].[Factor de Uso Crema 1].[All]" dimensionUniqueName="[Listado_PT]" displayFolder="" count="0" memberValueDatatype="5" unbalanced="0"/>
    <cacheHierarchy uniqueName="[Listado_PT].[Abreviado]" caption="Abreviado" attribute="1" defaultMemberUniqueName="[Listado_PT].[Abreviado].[All]" allUniqueName="[Listado_PT].[Abreviado].[All]" dimensionUniqueName="[Listado_PT]" displayFolder="" count="0" memberValueDatatype="130" unbalanced="0"/>
    <cacheHierarchy uniqueName="[Listado_PT].[Peso Empaque]" caption="Peso Empaque" attribute="1" defaultMemberUniqueName="[Listado_PT].[Peso Empaque].[All]" allUniqueName="[Listado_PT].[Peso Empaque].[All]" dimensionUniqueName="[Listado_PT]" displayFolder="" count="0" memberValueDatatype="5" unbalanced="0"/>
    <cacheHierarchy uniqueName="[Listado_PT].[Estaciones]" caption="Estaciones" attribute="1" defaultMemberUniqueName="[Listado_PT].[Estaciones].[All]" allUniqueName="[Listado_PT].[Estaciones].[All]" dimensionUniqueName="[Listado_PT]" displayFolder="" count="0" memberValueDatatype="20" unbalanced="0"/>
    <cacheHierarchy uniqueName="[Listado_PT].[ResponsableMarca]" caption="ResponsableMarca" attribute="1" defaultMemberUniqueName="[Listado_PT].[ResponsableMarca].[All]" allUniqueName="[Listado_PT].[ResponsableMarca].[All]" dimensionUniqueName="[Listado_PT]" displayFolder="" count="0" memberValueDatatype="130" unbalanced="0"/>
    <cacheHierarchy uniqueName="[Listado_PT].[precio_base]" caption="precio_base" attribute="1" defaultMemberUniqueName="[Listado_PT].[precio_base].[All]" allUniqueName="[Listado_PT].[precio_base].[All]" dimensionUniqueName="[Listado_PT]" displayFolder="" count="0" memberValueDatatype="5" unbalanced="0"/>
    <cacheHierarchy uniqueName="[Listado_PT].[id_TipoMaterial]" caption="id_TipoMaterial" attribute="1" defaultMemberUniqueName="[Listado_PT].[id_TipoMaterial].[All]" allUniqueName="[Listado_PT].[id_TipoMaterial].[All]" dimensionUniqueName="[Listado_PT]" displayFolder="" count="0" memberValueDatatype="130" unbalanced="0"/>
    <cacheHierarchy uniqueName="[Listado_PT].[id_GrupoMateriales]" caption="id_GrupoMateriales" attribute="1" defaultMemberUniqueName="[Listado_PT].[id_GrupoMateriales].[All]" allUniqueName="[Listado_PT].[id_GrupoMateriales].[All]" dimensionUniqueName="[Listado_PT]" displayFolder="" count="0" memberValueDatatype="130" unbalanced="0"/>
    <cacheHierarchy uniqueName="[Listado_PT].[Embarque]" caption="Embarque" attribute="1" defaultMemberUniqueName="[Listado_PT].[Embarque].[All]" allUniqueName="[Listado_PT].[Embarque].[All]" dimensionUniqueName="[Listado_PT]" displayFolder="" count="0" memberValueDatatype="130" unbalanced="0"/>
    <cacheHierarchy uniqueName="[Reporte Stock DiarioPRG].[Fecha]" caption="Fecha" attribute="1" time="1" defaultMemberUniqueName="[Reporte Stock DiarioPRG].[Fecha].[All]" allUniqueName="[Reporte Stock DiarioPRG].[Fecha].[All]" dimensionUniqueName="[Reporte Stock DiarioPRG]" displayFolder="" count="0" memberValueDatatype="7" unbalanced="0"/>
    <cacheHierarchy uniqueName="[Reporte Stock DiarioPRG].[Clave]" caption="Clave" attribute="1" defaultMemberUniqueName="[Reporte Stock DiarioPRG].[Clave].[All]" allUniqueName="[Reporte Stock DiarioPRG].[Clave].[All]" dimensionUniqueName="[Reporte Stock DiarioPRG]" displayFolder="" count="0" memberValueDatatype="130" unbalanced="0"/>
    <cacheHierarchy uniqueName="[Reporte Stock DiarioPRG].[IdCentro]" caption="IdCentro" attribute="1" defaultMemberUniqueName="[Reporte Stock DiarioPRG].[IdCentro].[All]" allUniqueName="[Reporte Stock DiarioPRG].[IdCentro].[All]" dimensionUniqueName="[Reporte Stock DiarioPRG]" displayFolder="" count="0" memberValueDatatype="130" unbalanced="0"/>
    <cacheHierarchy uniqueName="[Reporte Stock DiarioPRG].[Centro]" caption="Centro" attribute="1" defaultMemberUniqueName="[Reporte Stock DiarioPRG].[Centro].[All]" allUniqueName="[Reporte Stock DiarioPRG].[Centro].[All]" dimensionUniqueName="[Reporte Stock DiarioPRG]" displayFolder="" count="2" memberValueDatatype="130" unbalanced="0">
      <fieldsUsage count="2">
        <fieldUsage x="-1"/>
        <fieldUsage x="0"/>
      </fieldsUsage>
    </cacheHierarchy>
    <cacheHierarchy uniqueName="[Reporte Stock DiarioPRG].[Almacen]" caption="Almacen" attribute="1" defaultMemberUniqueName="[Reporte Stock DiarioPRG].[Almacen].[All]" allUniqueName="[Reporte Stock DiarioPRG].[Almacen].[All]" dimensionUniqueName="[Reporte Stock DiarioPRG]" displayFolder="" count="0" memberValueDatatype="130" unbalanced="0"/>
    <cacheHierarchy uniqueName="[Reporte Stock DiarioPRG].[Marca]" caption="Marca" attribute="1" defaultMemberUniqueName="[Reporte Stock DiarioPRG].[Marca].[All]" allUniqueName="[Reporte Stock DiarioPRG].[Marca].[All]" dimensionUniqueName="[Reporte Stock DiarioPRG]" displayFolder="" count="2" memberValueDatatype="130" unbalanced="0">
      <fieldsUsage count="2">
        <fieldUsage x="-1"/>
        <fieldUsage x="1"/>
      </fieldsUsage>
    </cacheHierarchy>
    <cacheHierarchy uniqueName="[Reporte Stock DiarioPRG].[Familia]" caption="Familia" attribute="1" defaultMemberUniqueName="[Reporte Stock DiarioPRG].[Familia].[All]" allUniqueName="[Reporte Stock DiarioPRG].[Familia].[All]" dimensionUniqueName="[Reporte Stock DiarioPRG]" displayFolder="" count="0" memberValueDatatype="130" unbalanced="0"/>
    <cacheHierarchy uniqueName="[Reporte Stock DiarioPRG].[PLM STATUS]" caption="PLM STATUS" attribute="1" defaultMemberUniqueName="[Reporte Stock DiarioPRG].[PLM STATUS].[All]" allUniqueName="[Reporte Stock DiarioPRG].[PLM STATUS].[All]" dimensionUniqueName="[Reporte Stock DiarioPRG]" displayFolder="" count="0" memberValueDatatype="130" unbalanced="0"/>
    <cacheHierarchy uniqueName="[Reporte Stock DiarioPRG].[Tipo_Producto]" caption="Tipo_Producto" attribute="1" defaultMemberUniqueName="[Reporte Stock DiarioPRG].[Tipo_Producto].[All]" allUniqueName="[Reporte Stock DiarioPRG].[Tipo_Producto].[All]" dimensionUniqueName="[Reporte Stock DiarioPRG]" displayFolder="" count="0" memberValueDatatype="130" unbalanced="0"/>
    <cacheHierarchy uniqueName="[Reporte Stock DiarioPRG].[Categoría]" caption="Categoría" attribute="1" defaultMemberUniqueName="[Reporte Stock DiarioPRG].[Categoría].[All]" allUniqueName="[Reporte Stock DiarioPRG].[Categoría].[All]" dimensionUniqueName="[Reporte Stock DiarioPRG]" displayFolder="" count="0" memberValueDatatype="130" unbalanced="0"/>
    <cacheHierarchy uniqueName="[Reporte Stock DiarioPRG].[Familia por base]" caption="Familia por base" attribute="1" defaultMemberUniqueName="[Reporte Stock DiarioPRG].[Familia por base].[All]" allUniqueName="[Reporte Stock DiarioPRG].[Familia por base].[All]" dimensionUniqueName="[Reporte Stock DiarioPRG]" displayFolder="" count="0" memberValueDatatype="130" unbalanced="0"/>
    <cacheHierarchy uniqueName="[Reporte Stock DiarioPRG].[Material]" caption="Material" attribute="1" defaultMemberUniqueName="[Reporte Stock DiarioPRG].[Material].[All]" allUniqueName="[Reporte Stock DiarioPRG].[Material].[All]" dimensionUniqueName="[Reporte Stock DiarioPRG]" displayFolder="" count="0" memberValueDatatype="130" unbalanced="0"/>
    <cacheHierarchy uniqueName="[Reporte Stock DiarioPRG].[Texto breve de material]" caption="Texto breve de material" attribute="1" defaultMemberUniqueName="[Reporte Stock DiarioPRG].[Texto breve de material].[All]" allUniqueName="[Reporte Stock DiarioPRG].[Texto breve de material].[All]" dimensionUniqueName="[Reporte Stock DiarioPRG]" displayFolder="" count="0" memberValueDatatype="130" unbalanced="0"/>
    <cacheHierarchy uniqueName="[Reporte Stock DiarioPRG].[Planta]" caption="Planta" attribute="1" defaultMemberUniqueName="[Reporte Stock DiarioPRG].[Planta].[All]" allUniqueName="[Reporte Stock DiarioPRG].[Planta].[All]" dimensionUniqueName="[Reporte Stock DiarioPRG]" displayFolder="" count="0" memberValueDatatype="130" unbalanced="0"/>
    <cacheHierarchy uniqueName="[Reporte Stock DiarioPRG].[Plan de Embarque]" caption="Plan de Embarque" attribute="1" defaultMemberUniqueName="[Reporte Stock DiarioPRG].[Plan de Embarque].[All]" allUniqueName="[Reporte Stock DiarioPRG].[Plan de Embarque].[All]" dimensionUniqueName="[Reporte Stock DiarioPRG]" displayFolder="" count="0" memberValueDatatype="130" unbalanced="0"/>
    <cacheHierarchy uniqueName="[Reporte Stock DiarioPRG].[Gramaje]" caption="Gramaje" attribute="1" defaultMemberUniqueName="[Reporte Stock DiarioPRG].[Gramaje].[All]" allUniqueName="[Reporte Stock DiarioPRG].[Gramaje].[All]" dimensionUniqueName="[Reporte Stock DiarioPRG]" displayFolder="" count="0" memberValueDatatype="5" unbalanced="0"/>
    <cacheHierarchy uniqueName="[Reporte Stock DiarioPRG].[Metodo]" caption="Metodo" attribute="1" defaultMemberUniqueName="[Reporte Stock DiarioPRG].[Metodo].[All]" allUniqueName="[Reporte Stock DiarioPRG].[Metodo].[All]" dimensionUniqueName="[Reporte Stock DiarioPRG]" displayFolder="" count="0" memberValueDatatype="20" unbalanced="0"/>
    <cacheHierarchy uniqueName="[Reporte Stock DiarioPRG].[Inventario Real]" caption="Inventario Real" attribute="1" defaultMemberUniqueName="[Reporte Stock DiarioPRG].[Inventario Real].[All]" allUniqueName="[Reporte Stock DiarioPRG].[Inventario Real].[All]" dimensionUniqueName="[Reporte Stock DiarioPRG]" displayFolder="" count="0" memberValueDatatype="5" unbalanced="0"/>
    <cacheHierarchy uniqueName="[Reporte Stock DiarioPRG].[Fecha Corta]" caption="Fecha Corta" attribute="1" defaultMemberUniqueName="[Reporte Stock DiarioPRG].[Fecha Corta].[All]" allUniqueName="[Reporte Stock DiarioPRG].[Fecha Corta].[All]" dimensionUniqueName="[Reporte Stock DiarioPRG]" displayFolder="" count="0" memberValueDatatype="5" unbalanced="0"/>
    <cacheHierarchy uniqueName="[Reporte Stock DiarioPRG].[Tránsito]" caption="Tránsito" attribute="1" defaultMemberUniqueName="[Reporte Stock DiarioPRG].[Tránsito].[All]" allUniqueName="[Reporte Stock DiarioPRG].[Tránsito].[All]" dimensionUniqueName="[Reporte Stock DiarioPRG]" displayFolder="" count="0" memberValueDatatype="5" unbalanced="0"/>
    <cacheHierarchy uniqueName="[Reporte Stock DiarioPRG].[Unidades_POC_N]" caption="Unidades_POC_N" attribute="1" defaultMemberUniqueName="[Reporte Stock DiarioPRG].[Unidades_POC_N].[All]" allUniqueName="[Reporte Stock DiarioPRG].[Unidades_POC_N].[All]" dimensionUniqueName="[Reporte Stock DiarioPRG]" displayFolder="" count="0" memberValueDatatype="5" unbalanced="0"/>
    <cacheHierarchy uniqueName="[Reporte Stock DiarioPRG].[Dias_SS_N]" caption="Dias_SS_N" attribute="1" defaultMemberUniqueName="[Reporte Stock DiarioPRG].[Dias_SS_N].[All]" allUniqueName="[Reporte Stock DiarioPRG].[Dias_SS_N].[All]" dimensionUniqueName="[Reporte Stock DiarioPRG]" displayFolder="" count="0" memberValueDatatype="5" unbalanced="0"/>
    <cacheHierarchy uniqueName="[Reporte Stock DiarioPRG].[SS_N]" caption="SS_N" attribute="1" defaultMemberUniqueName="[Reporte Stock DiarioPRG].[SS_N].[All]" allUniqueName="[Reporte Stock DiarioPRG].[SS_N].[All]" dimensionUniqueName="[Reporte Stock DiarioPRG]" displayFolder="" count="0" memberValueDatatype="5" unbalanced="0"/>
    <cacheHierarchy uniqueName="[Reporte Stock DiarioPRG].[Consumo Dia N]" caption="Consumo Dia N" attribute="1" defaultMemberUniqueName="[Reporte Stock DiarioPRG].[Consumo Dia N].[All]" allUniqueName="[Reporte Stock DiarioPRG].[Consumo Dia N].[All]" dimensionUniqueName="[Reporte Stock DiarioPRG]" displayFolder="" count="0" memberValueDatatype="5" unbalanced="0"/>
    <cacheHierarchy uniqueName="[Reporte Stock DiarioPRG].[Uni_desagregadas_N]" caption="Uni_desagregadas_N" attribute="1" defaultMemberUniqueName="[Reporte Stock DiarioPRG].[Uni_desagregadas_N].[All]" allUniqueName="[Reporte Stock DiarioPRG].[Uni_desagregadas_N].[All]" dimensionUniqueName="[Reporte Stock DiarioPRG]" displayFolder="" count="0" memberValueDatatype="5" unbalanced="0"/>
    <cacheHierarchy uniqueName="[Reporte Stock DiarioPRG].[Unidades_POC_N1]" caption="Unidades_POC_N1" attribute="1" defaultMemberUniqueName="[Reporte Stock DiarioPRG].[Unidades_POC_N1].[All]" allUniqueName="[Reporte Stock DiarioPRG].[Unidades_POC_N1].[All]" dimensionUniqueName="[Reporte Stock DiarioPRG]" displayFolder="" count="0" memberValueDatatype="5" unbalanced="0"/>
    <cacheHierarchy uniqueName="[Reporte Stock DiarioPRG].[Dias_SS_N1]" caption="Dias_SS_N1" attribute="1" defaultMemberUniqueName="[Reporte Stock DiarioPRG].[Dias_SS_N1].[All]" allUniqueName="[Reporte Stock DiarioPRG].[Dias_SS_N1].[All]" dimensionUniqueName="[Reporte Stock DiarioPRG]" displayFolder="" count="0" memberValueDatatype="5" unbalanced="0"/>
    <cacheHierarchy uniqueName="[Reporte Stock DiarioPRG].[SS_N1]" caption="SS_N1" attribute="1" defaultMemberUniqueName="[Reporte Stock DiarioPRG].[SS_N1].[All]" allUniqueName="[Reporte Stock DiarioPRG].[SS_N1].[All]" dimensionUniqueName="[Reporte Stock DiarioPRG]" displayFolder="" count="0" memberValueDatatype="5" unbalanced="0"/>
    <cacheHierarchy uniqueName="[Reporte Stock DiarioPRG].[Consumo Dia N1]" caption="Consumo Dia N1" attribute="1" defaultMemberUniqueName="[Reporte Stock DiarioPRG].[Consumo Dia N1].[All]" allUniqueName="[Reporte Stock DiarioPRG].[Consumo Dia N1].[All]" dimensionUniqueName="[Reporte Stock DiarioPRG]" displayFolder="" count="0" memberValueDatatype="5" unbalanced="0"/>
    <cacheHierarchy uniqueName="[Reporte Stock DiarioPRG].[Uni_desagregadas_N1]" caption="Uni_desagregadas_N1" attribute="1" defaultMemberUniqueName="[Reporte Stock DiarioPRG].[Uni_desagregadas_N1].[All]" allUniqueName="[Reporte Stock DiarioPRG].[Uni_desagregadas_N1].[All]" dimensionUniqueName="[Reporte Stock DiarioPRG]" displayFolder="" count="0" memberValueDatatype="5" unbalanced="0"/>
    <cacheHierarchy uniqueName="[Reporte Stock DiarioPRG].[Unidades_POC_N2]" caption="Unidades_POC_N2" attribute="1" defaultMemberUniqueName="[Reporte Stock DiarioPRG].[Unidades_POC_N2].[All]" allUniqueName="[Reporte Stock DiarioPRG].[Unidades_POC_N2].[All]" dimensionUniqueName="[Reporte Stock DiarioPRG]" displayFolder="" count="0" memberValueDatatype="5" unbalanced="0"/>
    <cacheHierarchy uniqueName="[Reporte Stock DiarioPRG].[Dias_SS_N2]" caption="Dias_SS_N2" attribute="1" defaultMemberUniqueName="[Reporte Stock DiarioPRG].[Dias_SS_N2].[All]" allUniqueName="[Reporte Stock DiarioPRG].[Dias_SS_N2].[All]" dimensionUniqueName="[Reporte Stock DiarioPRG]" displayFolder="" count="0" memberValueDatatype="5" unbalanced="0"/>
    <cacheHierarchy uniqueName="[Reporte Stock DiarioPRG].[SS_N2]" caption="SS_N2" attribute="1" defaultMemberUniqueName="[Reporte Stock DiarioPRG].[SS_N2].[All]" allUniqueName="[Reporte Stock DiarioPRG].[SS_N2].[All]" dimensionUniqueName="[Reporte Stock DiarioPRG]" displayFolder="" count="0" memberValueDatatype="5" unbalanced="0"/>
    <cacheHierarchy uniqueName="[Reporte Stock DiarioPRG].[Consumo Dia N2]" caption="Consumo Dia N2" attribute="1" defaultMemberUniqueName="[Reporte Stock DiarioPRG].[Consumo Dia N2].[All]" allUniqueName="[Reporte Stock DiarioPRG].[Consumo Dia N2].[All]" dimensionUniqueName="[Reporte Stock DiarioPRG]" displayFolder="" count="0" memberValueDatatype="5" unbalanced="0"/>
    <cacheHierarchy uniqueName="[Reporte Stock DiarioPRG].[Uni_desagregadas_N2]" caption="Uni_desagregadas_N2" attribute="1" defaultMemberUniqueName="[Reporte Stock DiarioPRG].[Uni_desagregadas_N2].[All]" allUniqueName="[Reporte Stock DiarioPRG].[Uni_desagregadas_N2].[All]" dimensionUniqueName="[Reporte Stock DiarioPRG]" displayFolder="" count="0" memberValueDatatype="5" unbalanced="0"/>
    <cacheHierarchy uniqueName="[Reporte Stock DiarioPRG].[Abreviado]" caption="Abreviado" attribute="1" defaultMemberUniqueName="[Reporte Stock DiarioPRG].[Abreviado].[All]" allUniqueName="[Reporte Stock DiarioPRG].[Abreviado].[All]" dimensionUniqueName="[Reporte Stock DiarioPRG]" displayFolder="" count="0" memberValueDatatype="130" unbalanced="0"/>
    <cacheHierarchy uniqueName="[Reporte Stock DiarioPRG].[Observacción]" caption="Observacción" attribute="1" defaultMemberUniqueName="[Reporte Stock DiarioPRG].[Observacción].[All]" allUniqueName="[Reporte Stock DiarioPRG].[Observacción].[All]" dimensionUniqueName="[Reporte Stock DiarioPRG]" displayFolder="" count="0" memberValueDatatype="130" unbalanced="0"/>
    <cacheHierarchy uniqueName="[Reporte Stock DiarioPRG].[Costo/Kilo]" caption="Costo/Kilo" attribute="1" defaultMemberUniqueName="[Reporte Stock DiarioPRG].[Costo/Kilo].[All]" allUniqueName="[Reporte Stock DiarioPRG].[Costo/Kilo].[All]" dimensionUniqueName="[Reporte Stock DiarioPRG]" displayFolder="" count="0" memberValueDatatype="5" unbalanced="0"/>
    <cacheHierarchy uniqueName="[Reporte Stock DiarioPRG].[Inventario Real Kg]" caption="Inventario Real Kg" attribute="1" defaultMemberUniqueName="[Reporte Stock DiarioPRG].[Inventario Real Kg].[All]" allUniqueName="[Reporte Stock DiarioPRG].[Inventario Real Kg].[All]" dimensionUniqueName="[Reporte Stock DiarioPRG]" displayFolder="" count="0" memberValueDatatype="5" unbalanced="0"/>
    <cacheHierarchy uniqueName="[Reporte Stock DiarioPRG].[Fecha Corta Kg]" caption="Fecha Corta Kg" attribute="1" defaultMemberUniqueName="[Reporte Stock DiarioPRG].[Fecha Corta Kg].[All]" allUniqueName="[Reporte Stock DiarioPRG].[Fecha Corta Kg].[All]" dimensionUniqueName="[Reporte Stock DiarioPRG]" displayFolder="" count="0" memberValueDatatype="5" unbalanced="0"/>
    <cacheHierarchy uniqueName="[Reporte Stock DiarioPRG].[Fecha Corta Kg Adj]" caption="Fecha Corta Kg Adj" attribute="1" defaultMemberUniqueName="[Reporte Stock DiarioPRG].[Fecha Corta Kg Adj].[All]" allUniqueName="[Reporte Stock DiarioPRG].[Fecha Corta Kg Adj].[All]" dimensionUniqueName="[Reporte Stock DiarioPRG]" displayFolder="" count="0" memberValueDatatype="5" unbalanced="0"/>
    <cacheHierarchy uniqueName="[Reporte Stock DiarioPRG].[Tránsito Kg]" caption="Tránsito Kg" attribute="1" defaultMemberUniqueName="[Reporte Stock DiarioPRG].[Tránsito Kg].[All]" allUniqueName="[Reporte Stock DiarioPRG].[Tránsito Kg].[All]" dimensionUniqueName="[Reporte Stock DiarioPRG]" displayFolder="" count="0" memberValueDatatype="5" unbalanced="0"/>
    <cacheHierarchy uniqueName="[Reporte Stock DiarioPRG].[Inventario Disponible Kg]" caption="Inventario Disponible Kg" attribute="1" defaultMemberUniqueName="[Reporte Stock DiarioPRG].[Inventario Disponible Kg].[All]" allUniqueName="[Reporte Stock DiarioPRG].[Inventario Disponible Kg].[All]" dimensionUniqueName="[Reporte Stock DiarioPRG]" displayFolder="" count="0" memberValueDatatype="5" unbalanced="0"/>
    <cacheHierarchy uniqueName="[Reporte Stock DiarioPRG].[Inventario Real $]" caption="Inventario Real $" attribute="1" defaultMemberUniqueName="[Reporte Stock DiarioPRG].[Inventario Real $].[All]" allUniqueName="[Reporte Stock DiarioPRG].[Inventario Real $].[All]" dimensionUniqueName="[Reporte Stock DiarioPRG]" displayFolder="" count="0" memberValueDatatype="5" unbalanced="0"/>
    <cacheHierarchy uniqueName="[Reporte Stock DiarioPRG].[Tránsito $]" caption="Tránsito $" attribute="1" defaultMemberUniqueName="[Reporte Stock DiarioPRG].[Tránsito $].[All]" allUniqueName="[Reporte Stock DiarioPRG].[Tránsito $].[All]" dimensionUniqueName="[Reporte Stock DiarioPRG]" displayFolder="" count="0" memberValueDatatype="5" unbalanced="0"/>
    <cacheHierarchy uniqueName="[Reporte Stock DiarioPRG].[Inventario Disponible $]" caption="Inventario Disponible $" attribute="1" defaultMemberUniqueName="[Reporte Stock DiarioPRG].[Inventario Disponible $].[All]" allUniqueName="[Reporte Stock DiarioPRG].[Inventario Disponible $].[All]" dimensionUniqueName="[Reporte Stock DiarioPRG]" displayFolder="" count="0" memberValueDatatype="5" unbalanced="0"/>
    <cacheHierarchy uniqueName="[Reporte Stock DiarioPRG].[Fecha Corta Adj $]" caption="Fecha Corta Adj $" attribute="1" defaultMemberUniqueName="[Reporte Stock DiarioPRG].[Fecha Corta Adj $].[All]" allUniqueName="[Reporte Stock DiarioPRG].[Fecha Corta Adj $].[All]" dimensionUniqueName="[Reporte Stock DiarioPRG]" displayFolder="" count="0" memberValueDatatype="5" unbalanced="0"/>
    <cacheHierarchy uniqueName="[Reporte Stock DiarioPRG].[Inventario Final Kg]" caption="Inventario Final Kg" attribute="1" defaultMemberUniqueName="[Reporte Stock DiarioPRG].[Inventario Final Kg].[All]" allUniqueName="[Reporte Stock DiarioPRG].[Inventario Final Kg].[All]" dimensionUniqueName="[Reporte Stock DiarioPRG]" displayFolder="" count="0" memberValueDatatype="5" unbalanced="0"/>
    <cacheHierarchy uniqueName="[Reporte Stock DiarioPRG].[Inventario Final $]" caption="Inventario Final $" attribute="1" defaultMemberUniqueName="[Reporte Stock DiarioPRG].[Inventario Final $].[All]" allUniqueName="[Reporte Stock DiarioPRG].[Inventario Final $].[All]" dimensionUniqueName="[Reporte Stock DiarioPRG]" displayFolder="" count="0" memberValueDatatype="5" unbalanced="0"/>
    <cacheHierarchy uniqueName="[Reporte Stock DiarioPRG].[Consumo Kg]" caption="Consumo Kg" attribute="1" defaultMemberUniqueName="[Reporte Stock DiarioPRG].[Consumo Kg].[All]" allUniqueName="[Reporte Stock DiarioPRG].[Consumo Kg].[All]" dimensionUniqueName="[Reporte Stock DiarioPRG]" displayFolder="" count="0" memberValueDatatype="5" unbalanced="0"/>
    <cacheHierarchy uniqueName="[Reporte Stock DiarioPRG].[Consumo Usd]" caption="Consumo Usd" attribute="1" defaultMemberUniqueName="[Reporte Stock DiarioPRG].[Consumo Usd].[All]" allUniqueName="[Reporte Stock DiarioPRG].[Consumo Usd].[All]" dimensionUniqueName="[Reporte Stock DiarioPRG]" displayFolder="" count="0" memberValueDatatype="5" unbalanced="0"/>
    <cacheHierarchy uniqueName="[Reporte Stock DiarioPRG].[Consumo_kg_sg]" caption="Consumo_kg_sg" attribute="1" defaultMemberUniqueName="[Reporte Stock DiarioPRG].[Consumo_kg_sg].[All]" allUniqueName="[Reporte Stock DiarioPRG].[Consumo_kg_sg].[All]" dimensionUniqueName="[Reporte Stock DiarioPRG]" displayFolder="" count="0" memberValueDatatype="5" unbalanced="0"/>
    <cacheHierarchy uniqueName="[Reporte Stock DiarioPRG].[Consumo_Kg_Mach]" caption="Consumo_Kg_Mach" attribute="1" defaultMemberUniqueName="[Reporte Stock DiarioPRG].[Consumo_Kg_Mach].[All]" allUniqueName="[Reporte Stock DiarioPRG].[Consumo_Kg_Mach].[All]" dimensionUniqueName="[Reporte Stock DiarioPRG]" displayFolder="" count="0" memberValueDatatype="5" unbalanced="0"/>
    <cacheHierarchy uniqueName="[Reporte Stock DiarioPRG].[Totales]" caption="Totales" attribute="1" defaultMemberUniqueName="[Reporte Stock DiarioPRG].[Totales].[All]" allUniqueName="[Reporte Stock DiarioPRG].[Totales].[All]" dimensionUniqueName="[Reporte Stock DiarioPRG]" displayFolder="" count="0" memberValueDatatype="5" unbalanced="0"/>
    <cacheHierarchy uniqueName="[Measures].[Con_Kg]" caption="Con_Kg" measure="1" displayFolder="" measureGroup="Reporte Stock DiarioPRG" count="0"/>
    <cacheHierarchy uniqueName="[Measures].[Con_Usd]" caption="Con_Usd" measure="1" displayFolder="" measureGroup="Reporte Stock DiarioPRG" count="0"/>
    <cacheHierarchy uniqueName="[Measures].[Con_SG_Kg]" caption="Con_SG_Kg" measure="1" displayFolder="" measureGroup="Reporte Stock DiarioPRG" count="0"/>
    <cacheHierarchy uniqueName="[Measures].[Con_Mach_kg]" caption="Con_Mach_kg" measure="1" displayFolder="" measureGroup="Reporte Stock DiarioPRG" count="0"/>
    <cacheHierarchy uniqueName="[Measures].[__XL_Count Reporte Stock DiarioPRG]" caption="__XL_Count Reporte Stock DiarioPRG" measure="1" displayFolder="" measureGroup="Reporte Stock DiarioPRG" count="0" hidden="1"/>
    <cacheHierarchy uniqueName="[Measures].[__XL_Count Listado_PT]" caption="__XL_Count Listado_PT" measure="1" displayFolder="" measureGroup="Listado_PT" count="0" hidden="1"/>
    <cacheHierarchy uniqueName="[Measures].[__No hay medidas definidas]" caption="__No hay medidas definidas" measure="1" displayFolder="" count="0" hidden="1"/>
    <cacheHierarchy uniqueName="[Measures].[Suma de Inventario Disponible Kg]" caption="Suma de Inventario Disponible Kg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a de Fecha Corta Kg Adj]" caption="Suma de Fecha Corta Kg Adj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a de Inventario Final Kg]" caption="Suma de Inventario Final Kg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Suma de Fecha Corta Adj $]" caption="Suma de Fecha Corta Adj $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a de Inventario Final $]" caption="Suma de Inventario Final $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a de Totales]" caption="Suma de Totales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</cacheHierarchies>
  <kpis count="0"/>
  <dimensions count="3">
    <dimension name="Listado_PT" uniqueName="[Listado_PT]" caption="Listado_PT"/>
    <dimension measure="1" name="Measures" uniqueName="[Measures]" caption="Measures"/>
    <dimension name="Reporte Stock DiarioPRG" uniqueName="[Reporte Stock DiarioPRG]" caption="Reporte Stock DiarioPRG"/>
  </dimensions>
  <measureGroups count="2">
    <measureGroup name="Listado_PT" caption="Listado_PT"/>
    <measureGroup name="Reporte Stock DiarioPRG" caption="Reporte Stock DiarioPRG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EN RICARDO QUINATOA QUINATOA" refreshedDate="45623.605741203704" createdVersion="5" refreshedVersion="8" minRefreshableVersion="3" recordCount="0" supportSubquery="1" supportAdvancedDrill="1" xr:uid="{C549C98B-EF27-42C6-83DF-51BCADE693BF}">
  <cacheSource type="external" connectionId="5"/>
  <cacheFields count="5">
    <cacheField name="[Reporte Stock DiarioPRG].[Fecha].[Fecha]" caption="Fecha" numFmtId="0" hierarchy="57" level="1">
      <sharedItems containsSemiMixedTypes="0" containsNonDate="0" containsDate="1" containsString="0" minDate="2024-11-27T00:00:00" maxDate="2024-11-28T00:00:00" count="1">
        <d v="2024-11-27T00:00:00"/>
      </sharedItems>
    </cacheField>
    <cacheField name="[Measures].[Suma de Fecha Corta Adj $]" caption="Suma de Fecha Corta Adj $" numFmtId="0" hierarchy="121" level="32767"/>
    <cacheField name="[Measures].[Suma de Inventario Final $]" caption="Suma de Inventario Final $" numFmtId="0" hierarchy="122" level="32767"/>
    <cacheField name="[Reporte Stock DiarioPRG].[Centro].[Centro]" caption="Centro" numFmtId="0" hierarchy="60" level="1">
      <sharedItems containsSemiMixedTypes="0" containsNonDate="0" containsString="0"/>
    </cacheField>
    <cacheField name="[Reporte Stock DiarioPRG].[Marca].[Marca]" caption="Marca" numFmtId="0" hierarchy="62" level="1">
      <sharedItems containsSemiMixedTypes="0" containsNonDate="0" containsString="0"/>
    </cacheField>
  </cacheFields>
  <cacheHierarchies count="124">
    <cacheHierarchy uniqueName="[Listado_PT].[Material]" caption="Material" attribute="1" defaultMemberUniqueName="[Listado_PT].[Material].[All]" allUniqueName="[Listado_PT].[Material].[All]" dimensionUniqueName="[Listado_PT]" displayFolder="" count="0" memberValueDatatype="130" unbalanced="0"/>
    <cacheHierarchy uniqueName="[Listado_PT].[Texto breve de material]" caption="Texto breve de material" attribute="1" defaultMemberUniqueName="[Listado_PT].[Texto breve de material].[All]" allUniqueName="[Listado_PT].[Texto breve de material].[All]" dimensionUniqueName="[Listado_PT]" displayFolder="" count="0" memberValueDatatype="130" unbalanced="0"/>
    <cacheHierarchy uniqueName="[Listado_PT].[GrM2]" caption="GrM2" attribute="1" defaultMemberUniqueName="[Listado_PT].[GrM2].[All]" allUniqueName="[Listado_PT].[GrM2].[All]" dimensionUniqueName="[Listado_PT]" displayFolder="" count="0" memberValueDatatype="5" unbalanced="0"/>
    <cacheHierarchy uniqueName="[Listado_PT].[GrM2_Marca]" caption="GrM2_Marca" attribute="1" defaultMemberUniqueName="[Listado_PT].[GrM2_Marca].[All]" allUniqueName="[Listado_PT].[GrM2_Marca].[All]" dimensionUniqueName="[Listado_PT]" displayFolder="" count="0" memberValueDatatype="130" unbalanced="0"/>
    <cacheHierarchy uniqueName="[Listado_PT].[GrM3]" caption="GrM3" attribute="1" defaultMemberUniqueName="[Listado_PT].[GrM3].[All]" allUniqueName="[Listado_PT].[GrM3].[All]" dimensionUniqueName="[Listado_PT]" displayFolder="" count="0" memberValueDatatype="5" unbalanced="0"/>
    <cacheHierarchy uniqueName="[Listado_PT].[GrM3_Familia]" caption="GrM3_Familia" attribute="1" defaultMemberUniqueName="[Listado_PT].[GrM3_Familia].[All]" allUniqueName="[Listado_PT].[GrM3_Familia].[All]" dimensionUniqueName="[Listado_PT]" displayFolder="" count="0" memberValueDatatype="130" unbalanced="0"/>
    <cacheHierarchy uniqueName="[Listado_PT].[PLM STATUS]" caption="PLM STATUS" attribute="1" defaultMemberUniqueName="[Listado_PT].[PLM STATUS].[All]" allUniqueName="[Listado_PT].[PLM STATUS].[All]" dimensionUniqueName="[Listado_PT]" displayFolder="" count="0" memberValueDatatype="130" unbalanced="0"/>
    <cacheHierarchy uniqueName="[Listado_PT].[Estado]" caption="Estado" attribute="1" defaultMemberUniqueName="[Listado_PT].[Estado].[All]" allUniqueName="[Listado_PT].[Estado].[All]" dimensionUniqueName="[Listado_PT]" displayFolder="" count="0" memberValueDatatype="130" unbalanced="0"/>
    <cacheHierarchy uniqueName="[Listado_PT].[Origen]" caption="Origen" attribute="1" defaultMemberUniqueName="[Listado_PT].[Origen].[All]" allUniqueName="[Listado_PT].[Origen].[All]" dimensionUniqueName="[Listado_PT]" displayFolder="" count="0" memberValueDatatype="130" unbalanced="0"/>
    <cacheHierarchy uniqueName="[Listado_PT].[Planta]" caption="Planta" attribute="1" defaultMemberUniqueName="[Listado_PT].[Planta].[All]" allUniqueName="[Listado_PT].[Planta].[All]" dimensionUniqueName="[Listado_PT]" displayFolder="" count="0" memberValueDatatype="130" unbalanced="0"/>
    <cacheHierarchy uniqueName="[Listado_PT].[Tipo_Producto]" caption="Tipo_Producto" attribute="1" defaultMemberUniqueName="[Listado_PT].[Tipo_Producto].[All]" allUniqueName="[Listado_PT].[Tipo_Producto].[All]" dimensionUniqueName="[Listado_PT]" displayFolder="" count="0" memberValueDatatype="130" unbalanced="0"/>
    <cacheHierarchy uniqueName="[Listado_PT].[Tipo_venta]" caption="Tipo_venta" attribute="1" defaultMemberUniqueName="[Listado_PT].[Tipo_venta].[All]" allUniqueName="[Listado_PT].[Tipo_venta].[All]" dimensionUniqueName="[Listado_PT]" displayFolder="" count="0" memberValueDatatype="130" unbalanced="0"/>
    <cacheHierarchy uniqueName="[Listado_PT].[Unidad_Primaria]" caption="Unidad_Primaria" attribute="1" defaultMemberUniqueName="[Listado_PT].[Unidad_Primaria].[All]" allUniqueName="[Listado_PT].[Unidad_Primaria].[All]" dimensionUniqueName="[Listado_PT]" displayFolder="" count="0" memberValueDatatype="130" unbalanced="0"/>
    <cacheHierarchy uniqueName="[Listado_PT].[Gramaje]" caption="Gramaje" attribute="1" defaultMemberUniqueName="[Listado_PT].[Gramaje].[All]" allUniqueName="[Listado_PT].[Gramaje].[All]" dimensionUniqueName="[Listado_PT]" displayFolder="" count="0" memberValueDatatype="5" unbalanced="0"/>
    <cacheHierarchy uniqueName="[Listado_PT].[Estado_Proyec]" caption="Estado_Proyec" attribute="1" defaultMemberUniqueName="[Listado_PT].[Estado_Proyec].[All]" allUniqueName="[Listado_PT].[Estado_Proyec].[All]" dimensionUniqueName="[Listado_PT]" displayFolder="" count="0" memberValueDatatype="11" unbalanced="0"/>
    <cacheHierarchy uniqueName="[Listado_PT].[Cnsrv]" caption="Cnsrv" attribute="1" defaultMemberUniqueName="[Listado_PT].[Cnsrv].[All]" allUniqueName="[Listado_PT].[Cnsrv].[All]" dimensionUniqueName="[Listado_PT]" displayFolder="" count="0" memberValueDatatype="5" unbalanced="0"/>
    <cacheHierarchy uniqueName="[Listado_PT].[Categoría]" caption="Categoría" attribute="1" defaultMemberUniqueName="[Listado_PT].[Categoría].[All]" allUniqueName="[Listado_PT].[Categoría].[All]" dimensionUniqueName="[Listado_PT]" displayFolder="" count="0" memberValueDatatype="130" unbalanced="0"/>
    <cacheHierarchy uniqueName="[Listado_PT].[Plan de Embarque]" caption="Plan de Embarque" attribute="1" defaultMemberUniqueName="[Listado_PT].[Plan de Embarque].[All]" allUniqueName="[Listado_PT].[Plan de Embarque].[All]" dimensionUniqueName="[Listado_PT]" displayFolder="" count="0" memberValueDatatype="130" unbalanced="0"/>
    <cacheHierarchy uniqueName="[Listado_PT].[Gramaje Base]" caption="Gramaje Base" attribute="1" defaultMemberUniqueName="[Listado_PT].[Gramaje Base].[All]" allUniqueName="[Listado_PT].[Gramaje Base].[All]" dimensionUniqueName="[Listado_PT]" displayFolder="" count="0" memberValueDatatype="5" unbalanced="0"/>
    <cacheHierarchy uniqueName="[Listado_PT].[% Participación Gramaje Base]" caption="% Participación Gramaje Base" attribute="1" defaultMemberUniqueName="[Listado_PT].[% Participación Gramaje Base].[All]" allUniqueName="[Listado_PT].[% Participación Gramaje Base].[All]" dimensionUniqueName="[Listado_PT]" displayFolder="" count="0" memberValueDatatype="5" unbalanced="0"/>
    <cacheHierarchy uniqueName="[Listado_PT].[Costo Unitario]" caption="Costo Unitario" attribute="1" defaultMemberUniqueName="[Listado_PT].[Costo Unitario].[All]" allUniqueName="[Listado_PT].[Costo Unitario].[All]" dimensionUniqueName="[Listado_PT]" displayFolder="" count="0" memberValueDatatype="5" unbalanced="0"/>
    <cacheHierarchy uniqueName="[Listado_PT].[Área]" caption="Área" attribute="1" defaultMemberUniqueName="[Listado_PT].[Área].[All]" allUniqueName="[Listado_PT].[Área].[All]" dimensionUniqueName="[Listado_PT]" displayFolder="" count="0" memberValueDatatype="130" unbalanced="0"/>
    <cacheHierarchy uniqueName="[Listado_PT].[UND/MINUTO]" caption="UND/MINUTO" attribute="1" defaultMemberUniqueName="[Listado_PT].[UND/MINUTO].[All]" allUniqueName="[Listado_PT].[UND/MINUTO].[All]" dimensionUniqueName="[Listado_PT]" displayFolder="" count="0" memberValueDatatype="5" unbalanced="0"/>
    <cacheHierarchy uniqueName="[Listado_PT].[OEE]" caption="OEE" attribute="1" defaultMemberUniqueName="[Listado_PT].[OEE].[All]" allUniqueName="[Listado_PT].[OEE].[All]" dimensionUniqueName="[Listado_PT]" displayFolder="" count="0" memberValueDatatype="5" unbalanced="0"/>
    <cacheHierarchy uniqueName="[Listado_PT].[UND/CUBETA]" caption="UND/CUBETA" attribute="1" defaultMemberUniqueName="[Listado_PT].[UND/CUBETA].[All]" allUniqueName="[Listado_PT].[UND/CUBETA].[All]" dimensionUniqueName="[Listado_PT]" displayFolder="" count="0" memberValueDatatype="5" unbalanced="0"/>
    <cacheHierarchy uniqueName="[Listado_PT].[CAPACIDAD CUBETAS]" caption="CAPACIDAD CUBETAS" attribute="1" defaultMemberUniqueName="[Listado_PT].[CAPACIDAD CUBETAS].[All]" allUniqueName="[Listado_PT].[CAPACIDAD CUBETAS].[All]" dimensionUniqueName="[Listado_PT]" displayFolder="" count="0" memberValueDatatype="5" unbalanced="0"/>
    <cacheHierarchy uniqueName="[Listado_PT].[CUBETA/PALLET]" caption="CUBETA/PALLET" attribute="1" defaultMemberUniqueName="[Listado_PT].[CUBETA/PALLET].[All]" allUniqueName="[Listado_PT].[CUBETA/PALLET].[All]" dimensionUniqueName="[Listado_PT]" displayFolder="" count="0" memberValueDatatype="5" unbalanced="0"/>
    <cacheHierarchy uniqueName="[Listado_PT].[CAPACIDAD PALLET]" caption="CAPACIDAD PALLET" attribute="1" defaultMemberUniqueName="[Listado_PT].[CAPACIDAD PALLET].[All]" allUniqueName="[Listado_PT].[CAPACIDAD PALLET].[All]" dimensionUniqueName="[Listado_PT]" displayFolder="" count="0" memberValueDatatype="5" unbalanced="0"/>
    <cacheHierarchy uniqueName="[Listado_PT].[KG/BATCH]" caption="KG/BATCH" attribute="1" defaultMemberUniqueName="[Listado_PT].[KG/BATCH].[All]" allUniqueName="[Listado_PT].[KG/BATCH].[All]" dimensionUniqueName="[Listado_PT]" displayFolder="" count="0" memberValueDatatype="5" unbalanced="0"/>
    <cacheHierarchy uniqueName="[Listado_PT].[UND/BATCH]" caption="UND/BATCH" attribute="1" defaultMemberUniqueName="[Listado_PT].[UND/BATCH].[All]" allUniqueName="[Listado_PT].[UND/BATCH].[All]" dimensionUniqueName="[Listado_PT]" displayFolder="" count="0" memberValueDatatype="5" unbalanced="0"/>
    <cacheHierarchy uniqueName="[Listado_PT].[MAQUINA]" caption="MAQUINA" attribute="1" defaultMemberUniqueName="[Listado_PT].[MAQUINA].[All]" allUniqueName="[Listado_PT].[MAQUINA].[All]" dimensionUniqueName="[Listado_PT]" displayFolder="" count="0" memberValueDatatype="130" unbalanced="0"/>
    <cacheHierarchy uniqueName="[Listado_PT].[Familia por base]" caption="Familia por base" attribute="1" defaultMemberUniqueName="[Listado_PT].[Familia por base].[All]" allUniqueName="[Listado_PT].[Familia por base].[All]" dimensionUniqueName="[Listado_PT]" displayFolder="" count="0" memberValueDatatype="130" unbalanced="0"/>
    <cacheHierarchy uniqueName="[Listado_PT].[Familia por base_SAP]" caption="Familia por base_SAP" attribute="1" defaultMemberUniqueName="[Listado_PT].[Familia por base_SAP].[All]" allUniqueName="[Listado_PT].[Familia por base_SAP].[All]" dimensionUniqueName="[Listado_PT]" displayFolder="" count="0" memberValueDatatype="130" unbalanced="0"/>
    <cacheHierarchy uniqueName="[Listado_PT].[Días de Maduración]" caption="Días de Maduración" attribute="1" defaultMemberUniqueName="[Listado_PT].[Días de Maduración].[All]" allUniqueName="[Listado_PT].[Días de Maduración].[All]" dimensionUniqueName="[Listado_PT]" displayFolder="" count="0" memberValueDatatype="5" unbalanced="0"/>
    <cacheHierarchy uniqueName="[Listado_PT].[Factor de Uso Leche]" caption="Factor de Uso Leche" attribute="1" defaultMemberUniqueName="[Listado_PT].[Factor de Uso Leche].[All]" allUniqueName="[Listado_PT].[Factor de Uso Leche].[All]" dimensionUniqueName="[Listado_PT]" displayFolder="" count="0" memberValueDatatype="5" unbalanced="0"/>
    <cacheHierarchy uniqueName="[Listado_PT].[Tipo de Leche 1]" caption="Tipo de Leche 1" attribute="1" defaultMemberUniqueName="[Listado_PT].[Tipo de Leche 1].[All]" allUniqueName="[Listado_PT].[Tipo de Leche 1].[All]" dimensionUniqueName="[Listado_PT]" displayFolder="" count="0" memberValueDatatype="130" unbalanced="0"/>
    <cacheHierarchy uniqueName="[Listado_PT].[Tipo de Leche 2]" caption="Tipo de Leche 2" attribute="1" defaultMemberUniqueName="[Listado_PT].[Tipo de Leche 2].[All]" allUniqueName="[Listado_PT].[Tipo de Leche 2].[All]" dimensionUniqueName="[Listado_PT]" displayFolder="" count="0" memberValueDatatype="130" unbalanced="0"/>
    <cacheHierarchy uniqueName="[Listado_PT].[Tipo de Leche 3]" caption="Tipo de Leche 3" attribute="1" defaultMemberUniqueName="[Listado_PT].[Tipo de Leche 3].[All]" allUniqueName="[Listado_PT].[Tipo de Leche 3].[All]" dimensionUniqueName="[Listado_PT]" displayFolder="" count="0" memberValueDatatype="130" unbalanced="0"/>
    <cacheHierarchy uniqueName="[Listado_PT].[Factor de Uso Leche 1]" caption="Factor de Uso Leche 1" attribute="1" defaultMemberUniqueName="[Listado_PT].[Factor de Uso Leche 1].[All]" allUniqueName="[Listado_PT].[Factor de Uso Leche 1].[All]" dimensionUniqueName="[Listado_PT]" displayFolder="" count="0" memberValueDatatype="5" unbalanced="0"/>
    <cacheHierarchy uniqueName="[Listado_PT].[Factor de Uso Leche 2]" caption="Factor de Uso Leche 2" attribute="1" defaultMemberUniqueName="[Listado_PT].[Factor de Uso Leche 2].[All]" allUniqueName="[Listado_PT].[Factor de Uso Leche 2].[All]" dimensionUniqueName="[Listado_PT]" displayFolder="" count="0" memberValueDatatype="5" unbalanced="0"/>
    <cacheHierarchy uniqueName="[Listado_PT].[Factor de Uso Leche 3]" caption="Factor de Uso Leche 3" attribute="1" defaultMemberUniqueName="[Listado_PT].[Factor de Uso Leche 3].[All]" allUniqueName="[Listado_PT].[Factor de Uso Leche 3].[All]" dimensionUniqueName="[Listado_PT]" displayFolder="" count="0" memberValueDatatype="5" unbalanced="0"/>
    <cacheHierarchy uniqueName="[Listado_PT].[Factor Uso LECHE EN POLVO]" caption="Factor Uso LECHE EN POLVO" attribute="1" defaultMemberUniqueName="[Listado_PT].[Factor Uso LECHE EN POLVO].[All]" allUniqueName="[Listado_PT].[Factor Uso LECHE EN POLVO].[All]" dimensionUniqueName="[Listado_PT]" displayFolder="" count="0" memberValueDatatype="5" unbalanced="0"/>
    <cacheHierarchy uniqueName="[Listado_PT].[Generación de Crema 1]" caption="Generación de Crema 1" attribute="1" defaultMemberUniqueName="[Listado_PT].[Generación de Crema 1].[All]" allUniqueName="[Listado_PT].[Generación de Crema 1].[All]" dimensionUniqueName="[Listado_PT]" displayFolder="" count="0" memberValueDatatype="5" unbalanced="0"/>
    <cacheHierarchy uniqueName="[Listado_PT].[Generación de Crema 2]" caption="Generación de Crema 2" attribute="1" defaultMemberUniqueName="[Listado_PT].[Generación de Crema 2].[All]" allUniqueName="[Listado_PT].[Generación de Crema 2].[All]" dimensionUniqueName="[Listado_PT]" displayFolder="" count="0" memberValueDatatype="5" unbalanced="0"/>
    <cacheHierarchy uniqueName="[Listado_PT].[Generación de Crema 3]" caption="Generación de Crema 3" attribute="1" defaultMemberUniqueName="[Listado_PT].[Generación de Crema 3].[All]" allUniqueName="[Listado_PT].[Generación de Crema 3].[All]" dimensionUniqueName="[Listado_PT]" displayFolder="" count="0" memberValueDatatype="5" unbalanced="0"/>
    <cacheHierarchy uniqueName="[Listado_PT].[Pérdida por Descremado 1]" caption="Pérdida por Descremado 1" attribute="1" defaultMemberUniqueName="[Listado_PT].[Pérdida por Descremado 1].[All]" allUniqueName="[Listado_PT].[Pérdida por Descremado 1].[All]" dimensionUniqueName="[Listado_PT]" displayFolder="" count="0" memberValueDatatype="5" unbalanced="0"/>
    <cacheHierarchy uniqueName="[Listado_PT].[Pérdida por Descremado 2]" caption="Pérdida por Descremado 2" attribute="1" defaultMemberUniqueName="[Listado_PT].[Pérdida por Descremado 2].[All]" allUniqueName="[Listado_PT].[Pérdida por Descremado 2].[All]" dimensionUniqueName="[Listado_PT]" displayFolder="" count="0" memberValueDatatype="5" unbalanced="0"/>
    <cacheHierarchy uniqueName="[Listado_PT].[Pérdida por Descremado 3]" caption="Pérdida por Descremado 3" attribute="1" defaultMemberUniqueName="[Listado_PT].[Pérdida por Descremado 3].[All]" allUniqueName="[Listado_PT].[Pérdida por Descremado 3].[All]" dimensionUniqueName="[Listado_PT]" displayFolder="" count="0" memberValueDatatype="5" unbalanced="0"/>
    <cacheHierarchy uniqueName="[Listado_PT].[Factor de Uso Crema 1]" caption="Factor de Uso Crema 1" attribute="1" defaultMemberUniqueName="[Listado_PT].[Factor de Uso Crema 1].[All]" allUniqueName="[Listado_PT].[Factor de Uso Crema 1].[All]" dimensionUniqueName="[Listado_PT]" displayFolder="" count="0" memberValueDatatype="5" unbalanced="0"/>
    <cacheHierarchy uniqueName="[Listado_PT].[Abreviado]" caption="Abreviado" attribute="1" defaultMemberUniqueName="[Listado_PT].[Abreviado].[All]" allUniqueName="[Listado_PT].[Abreviado].[All]" dimensionUniqueName="[Listado_PT]" displayFolder="" count="0" memberValueDatatype="130" unbalanced="0"/>
    <cacheHierarchy uniqueName="[Listado_PT].[Peso Empaque]" caption="Peso Empaque" attribute="1" defaultMemberUniqueName="[Listado_PT].[Peso Empaque].[All]" allUniqueName="[Listado_PT].[Peso Empaque].[All]" dimensionUniqueName="[Listado_PT]" displayFolder="" count="0" memberValueDatatype="5" unbalanced="0"/>
    <cacheHierarchy uniqueName="[Listado_PT].[Estaciones]" caption="Estaciones" attribute="1" defaultMemberUniqueName="[Listado_PT].[Estaciones].[All]" allUniqueName="[Listado_PT].[Estaciones].[All]" dimensionUniqueName="[Listado_PT]" displayFolder="" count="0" memberValueDatatype="20" unbalanced="0"/>
    <cacheHierarchy uniqueName="[Listado_PT].[ResponsableMarca]" caption="ResponsableMarca" attribute="1" defaultMemberUniqueName="[Listado_PT].[ResponsableMarca].[All]" allUniqueName="[Listado_PT].[ResponsableMarca].[All]" dimensionUniqueName="[Listado_PT]" displayFolder="" count="0" memberValueDatatype="130" unbalanced="0"/>
    <cacheHierarchy uniqueName="[Listado_PT].[precio_base]" caption="precio_base" attribute="1" defaultMemberUniqueName="[Listado_PT].[precio_base].[All]" allUniqueName="[Listado_PT].[precio_base].[All]" dimensionUniqueName="[Listado_PT]" displayFolder="" count="0" memberValueDatatype="5" unbalanced="0"/>
    <cacheHierarchy uniqueName="[Listado_PT].[id_TipoMaterial]" caption="id_TipoMaterial" attribute="1" defaultMemberUniqueName="[Listado_PT].[id_TipoMaterial].[All]" allUniqueName="[Listado_PT].[id_TipoMaterial].[All]" dimensionUniqueName="[Listado_PT]" displayFolder="" count="0" memberValueDatatype="130" unbalanced="0"/>
    <cacheHierarchy uniqueName="[Listado_PT].[id_GrupoMateriales]" caption="id_GrupoMateriales" attribute="1" defaultMemberUniqueName="[Listado_PT].[id_GrupoMateriales].[All]" allUniqueName="[Listado_PT].[id_GrupoMateriales].[All]" dimensionUniqueName="[Listado_PT]" displayFolder="" count="0" memberValueDatatype="130" unbalanced="0"/>
    <cacheHierarchy uniqueName="[Listado_PT].[Embarque]" caption="Embarque" attribute="1" defaultMemberUniqueName="[Listado_PT].[Embarque].[All]" allUniqueName="[Listado_PT].[Embarque].[All]" dimensionUniqueName="[Listado_PT]" displayFolder="" count="0" memberValueDatatype="130" unbalanced="0"/>
    <cacheHierarchy uniqueName="[Reporte Stock DiarioPRG].[Fecha]" caption="Fecha" attribute="1" time="1" defaultMemberUniqueName="[Reporte Stock DiarioPRG].[Fecha].[All]" allUniqueName="[Reporte Stock DiarioPRG].[Fecha].[All]" dimensionUniqueName="[Reporte Stock DiarioPRG]" displayFolder="" count="2" memberValueDatatype="7" unbalanced="0">
      <fieldsUsage count="2">
        <fieldUsage x="-1"/>
        <fieldUsage x="0"/>
      </fieldsUsage>
    </cacheHierarchy>
    <cacheHierarchy uniqueName="[Reporte Stock DiarioPRG].[Clave]" caption="Clave" attribute="1" defaultMemberUniqueName="[Reporte Stock DiarioPRG].[Clave].[All]" allUniqueName="[Reporte Stock DiarioPRG].[Clave].[All]" dimensionUniqueName="[Reporte Stock DiarioPRG]" displayFolder="" count="0" memberValueDatatype="130" unbalanced="0"/>
    <cacheHierarchy uniqueName="[Reporte Stock DiarioPRG].[IdCentro]" caption="IdCentro" attribute="1" defaultMemberUniqueName="[Reporte Stock DiarioPRG].[IdCentro].[All]" allUniqueName="[Reporte Stock DiarioPRG].[IdCentro].[All]" dimensionUniqueName="[Reporte Stock DiarioPRG]" displayFolder="" count="0" memberValueDatatype="130" unbalanced="0"/>
    <cacheHierarchy uniqueName="[Reporte Stock DiarioPRG].[Centro]" caption="Centro" attribute="1" defaultMemberUniqueName="[Reporte Stock DiarioPRG].[Centro].[All]" allUniqueName="[Reporte Stock DiarioPRG].[Centro].[All]" dimensionUniqueName="[Reporte Stock DiarioPRG]" displayFolder="" count="2" memberValueDatatype="130" unbalanced="0">
      <fieldsUsage count="2">
        <fieldUsage x="-1"/>
        <fieldUsage x="3"/>
      </fieldsUsage>
    </cacheHierarchy>
    <cacheHierarchy uniqueName="[Reporte Stock DiarioPRG].[Almacen]" caption="Almacen" attribute="1" defaultMemberUniqueName="[Reporte Stock DiarioPRG].[Almacen].[All]" allUniqueName="[Reporte Stock DiarioPRG].[Almacen].[All]" dimensionUniqueName="[Reporte Stock DiarioPRG]" displayFolder="" count="0" memberValueDatatype="130" unbalanced="0"/>
    <cacheHierarchy uniqueName="[Reporte Stock DiarioPRG].[Marca]" caption="Marca" attribute="1" defaultMemberUniqueName="[Reporte Stock DiarioPRG].[Marca].[All]" allUniqueName="[Reporte Stock DiarioPRG].[Marca].[All]" dimensionUniqueName="[Reporte Stock DiarioPRG]" displayFolder="" count="2" memberValueDatatype="130" unbalanced="0">
      <fieldsUsage count="2">
        <fieldUsage x="-1"/>
        <fieldUsage x="4"/>
      </fieldsUsage>
    </cacheHierarchy>
    <cacheHierarchy uniqueName="[Reporte Stock DiarioPRG].[Familia]" caption="Familia" attribute="1" defaultMemberUniqueName="[Reporte Stock DiarioPRG].[Familia].[All]" allUniqueName="[Reporte Stock DiarioPRG].[Familia].[All]" dimensionUniqueName="[Reporte Stock DiarioPRG]" displayFolder="" count="0" memberValueDatatype="130" unbalanced="0"/>
    <cacheHierarchy uniqueName="[Reporte Stock DiarioPRG].[PLM STATUS]" caption="PLM STATUS" attribute="1" defaultMemberUniqueName="[Reporte Stock DiarioPRG].[PLM STATUS].[All]" allUniqueName="[Reporte Stock DiarioPRG].[PLM STATUS].[All]" dimensionUniqueName="[Reporte Stock DiarioPRG]" displayFolder="" count="0" memberValueDatatype="130" unbalanced="0"/>
    <cacheHierarchy uniqueName="[Reporte Stock DiarioPRG].[Tipo_Producto]" caption="Tipo_Producto" attribute="1" defaultMemberUniqueName="[Reporte Stock DiarioPRG].[Tipo_Producto].[All]" allUniqueName="[Reporte Stock DiarioPRG].[Tipo_Producto].[All]" dimensionUniqueName="[Reporte Stock DiarioPRG]" displayFolder="" count="0" memberValueDatatype="130" unbalanced="0"/>
    <cacheHierarchy uniqueName="[Reporte Stock DiarioPRG].[Categoría]" caption="Categoría" attribute="1" defaultMemberUniqueName="[Reporte Stock DiarioPRG].[Categoría].[All]" allUniqueName="[Reporte Stock DiarioPRG].[Categoría].[All]" dimensionUniqueName="[Reporte Stock DiarioPRG]" displayFolder="" count="0" memberValueDatatype="130" unbalanced="0"/>
    <cacheHierarchy uniqueName="[Reporte Stock DiarioPRG].[Familia por base]" caption="Familia por base" attribute="1" defaultMemberUniqueName="[Reporte Stock DiarioPRG].[Familia por base].[All]" allUniqueName="[Reporte Stock DiarioPRG].[Familia por base].[All]" dimensionUniqueName="[Reporte Stock DiarioPRG]" displayFolder="" count="0" memberValueDatatype="130" unbalanced="0"/>
    <cacheHierarchy uniqueName="[Reporte Stock DiarioPRG].[Material]" caption="Material" attribute="1" defaultMemberUniqueName="[Reporte Stock DiarioPRG].[Material].[All]" allUniqueName="[Reporte Stock DiarioPRG].[Material].[All]" dimensionUniqueName="[Reporte Stock DiarioPRG]" displayFolder="" count="0" memberValueDatatype="130" unbalanced="0"/>
    <cacheHierarchy uniqueName="[Reporte Stock DiarioPRG].[Texto breve de material]" caption="Texto breve de material" attribute="1" defaultMemberUniqueName="[Reporte Stock DiarioPRG].[Texto breve de material].[All]" allUniqueName="[Reporte Stock DiarioPRG].[Texto breve de material].[All]" dimensionUniqueName="[Reporte Stock DiarioPRG]" displayFolder="" count="0" memberValueDatatype="130" unbalanced="0"/>
    <cacheHierarchy uniqueName="[Reporte Stock DiarioPRG].[Planta]" caption="Planta" attribute="1" defaultMemberUniqueName="[Reporte Stock DiarioPRG].[Planta].[All]" allUniqueName="[Reporte Stock DiarioPRG].[Planta].[All]" dimensionUniqueName="[Reporte Stock DiarioPRG]" displayFolder="" count="0" memberValueDatatype="130" unbalanced="0"/>
    <cacheHierarchy uniqueName="[Reporte Stock DiarioPRG].[Plan de Embarque]" caption="Plan de Embarque" attribute="1" defaultMemberUniqueName="[Reporte Stock DiarioPRG].[Plan de Embarque].[All]" allUniqueName="[Reporte Stock DiarioPRG].[Plan de Embarque].[All]" dimensionUniqueName="[Reporte Stock DiarioPRG]" displayFolder="" count="0" memberValueDatatype="130" unbalanced="0"/>
    <cacheHierarchy uniqueName="[Reporte Stock DiarioPRG].[Gramaje]" caption="Gramaje" attribute="1" defaultMemberUniqueName="[Reporte Stock DiarioPRG].[Gramaje].[All]" allUniqueName="[Reporte Stock DiarioPRG].[Gramaje].[All]" dimensionUniqueName="[Reporte Stock DiarioPRG]" displayFolder="" count="0" memberValueDatatype="5" unbalanced="0"/>
    <cacheHierarchy uniqueName="[Reporte Stock DiarioPRG].[Metodo]" caption="Metodo" attribute="1" defaultMemberUniqueName="[Reporte Stock DiarioPRG].[Metodo].[All]" allUniqueName="[Reporte Stock DiarioPRG].[Metodo].[All]" dimensionUniqueName="[Reporte Stock DiarioPRG]" displayFolder="" count="0" memberValueDatatype="20" unbalanced="0"/>
    <cacheHierarchy uniqueName="[Reporte Stock DiarioPRG].[Inventario Real]" caption="Inventario Real" attribute="1" defaultMemberUniqueName="[Reporte Stock DiarioPRG].[Inventario Real].[All]" allUniqueName="[Reporte Stock DiarioPRG].[Inventario Real].[All]" dimensionUniqueName="[Reporte Stock DiarioPRG]" displayFolder="" count="0" memberValueDatatype="5" unbalanced="0"/>
    <cacheHierarchy uniqueName="[Reporte Stock DiarioPRG].[Fecha Corta]" caption="Fecha Corta" attribute="1" defaultMemberUniqueName="[Reporte Stock DiarioPRG].[Fecha Corta].[All]" allUniqueName="[Reporte Stock DiarioPRG].[Fecha Corta].[All]" dimensionUniqueName="[Reporte Stock DiarioPRG]" displayFolder="" count="0" memberValueDatatype="5" unbalanced="0"/>
    <cacheHierarchy uniqueName="[Reporte Stock DiarioPRG].[Tránsito]" caption="Tránsito" attribute="1" defaultMemberUniqueName="[Reporte Stock DiarioPRG].[Tránsito].[All]" allUniqueName="[Reporte Stock DiarioPRG].[Tránsito].[All]" dimensionUniqueName="[Reporte Stock DiarioPRG]" displayFolder="" count="0" memberValueDatatype="5" unbalanced="0"/>
    <cacheHierarchy uniqueName="[Reporte Stock DiarioPRG].[Unidades_POC_N]" caption="Unidades_POC_N" attribute="1" defaultMemberUniqueName="[Reporte Stock DiarioPRG].[Unidades_POC_N].[All]" allUniqueName="[Reporte Stock DiarioPRG].[Unidades_POC_N].[All]" dimensionUniqueName="[Reporte Stock DiarioPRG]" displayFolder="" count="0" memberValueDatatype="5" unbalanced="0"/>
    <cacheHierarchy uniqueName="[Reporte Stock DiarioPRG].[Dias_SS_N]" caption="Dias_SS_N" attribute="1" defaultMemberUniqueName="[Reporte Stock DiarioPRG].[Dias_SS_N].[All]" allUniqueName="[Reporte Stock DiarioPRG].[Dias_SS_N].[All]" dimensionUniqueName="[Reporte Stock DiarioPRG]" displayFolder="" count="0" memberValueDatatype="5" unbalanced="0"/>
    <cacheHierarchy uniqueName="[Reporte Stock DiarioPRG].[SS_N]" caption="SS_N" attribute="1" defaultMemberUniqueName="[Reporte Stock DiarioPRG].[SS_N].[All]" allUniqueName="[Reporte Stock DiarioPRG].[SS_N].[All]" dimensionUniqueName="[Reporte Stock DiarioPRG]" displayFolder="" count="0" memberValueDatatype="5" unbalanced="0"/>
    <cacheHierarchy uniqueName="[Reporte Stock DiarioPRG].[Consumo Dia N]" caption="Consumo Dia N" attribute="1" defaultMemberUniqueName="[Reporte Stock DiarioPRG].[Consumo Dia N].[All]" allUniqueName="[Reporte Stock DiarioPRG].[Consumo Dia N].[All]" dimensionUniqueName="[Reporte Stock DiarioPRG]" displayFolder="" count="0" memberValueDatatype="5" unbalanced="0"/>
    <cacheHierarchy uniqueName="[Reporte Stock DiarioPRG].[Uni_desagregadas_N]" caption="Uni_desagregadas_N" attribute="1" defaultMemberUniqueName="[Reporte Stock DiarioPRG].[Uni_desagregadas_N].[All]" allUniqueName="[Reporte Stock DiarioPRG].[Uni_desagregadas_N].[All]" dimensionUniqueName="[Reporte Stock DiarioPRG]" displayFolder="" count="0" memberValueDatatype="5" unbalanced="0"/>
    <cacheHierarchy uniqueName="[Reporte Stock DiarioPRG].[Unidades_POC_N1]" caption="Unidades_POC_N1" attribute="1" defaultMemberUniqueName="[Reporte Stock DiarioPRG].[Unidades_POC_N1].[All]" allUniqueName="[Reporte Stock DiarioPRG].[Unidades_POC_N1].[All]" dimensionUniqueName="[Reporte Stock DiarioPRG]" displayFolder="" count="0" memberValueDatatype="5" unbalanced="0"/>
    <cacheHierarchy uniqueName="[Reporte Stock DiarioPRG].[Dias_SS_N1]" caption="Dias_SS_N1" attribute="1" defaultMemberUniqueName="[Reporte Stock DiarioPRG].[Dias_SS_N1].[All]" allUniqueName="[Reporte Stock DiarioPRG].[Dias_SS_N1].[All]" dimensionUniqueName="[Reporte Stock DiarioPRG]" displayFolder="" count="0" memberValueDatatype="5" unbalanced="0"/>
    <cacheHierarchy uniqueName="[Reporte Stock DiarioPRG].[SS_N1]" caption="SS_N1" attribute="1" defaultMemberUniqueName="[Reporte Stock DiarioPRG].[SS_N1].[All]" allUniqueName="[Reporte Stock DiarioPRG].[SS_N1].[All]" dimensionUniqueName="[Reporte Stock DiarioPRG]" displayFolder="" count="0" memberValueDatatype="5" unbalanced="0"/>
    <cacheHierarchy uniqueName="[Reporte Stock DiarioPRG].[Consumo Dia N1]" caption="Consumo Dia N1" attribute="1" defaultMemberUniqueName="[Reporte Stock DiarioPRG].[Consumo Dia N1].[All]" allUniqueName="[Reporte Stock DiarioPRG].[Consumo Dia N1].[All]" dimensionUniqueName="[Reporte Stock DiarioPRG]" displayFolder="" count="0" memberValueDatatype="5" unbalanced="0"/>
    <cacheHierarchy uniqueName="[Reporte Stock DiarioPRG].[Uni_desagregadas_N1]" caption="Uni_desagregadas_N1" attribute="1" defaultMemberUniqueName="[Reporte Stock DiarioPRG].[Uni_desagregadas_N1].[All]" allUniqueName="[Reporte Stock DiarioPRG].[Uni_desagregadas_N1].[All]" dimensionUniqueName="[Reporte Stock DiarioPRG]" displayFolder="" count="0" memberValueDatatype="5" unbalanced="0"/>
    <cacheHierarchy uniqueName="[Reporte Stock DiarioPRG].[Unidades_POC_N2]" caption="Unidades_POC_N2" attribute="1" defaultMemberUniqueName="[Reporte Stock DiarioPRG].[Unidades_POC_N2].[All]" allUniqueName="[Reporte Stock DiarioPRG].[Unidades_POC_N2].[All]" dimensionUniqueName="[Reporte Stock DiarioPRG]" displayFolder="" count="0" memberValueDatatype="5" unbalanced="0"/>
    <cacheHierarchy uniqueName="[Reporte Stock DiarioPRG].[Dias_SS_N2]" caption="Dias_SS_N2" attribute="1" defaultMemberUniqueName="[Reporte Stock DiarioPRG].[Dias_SS_N2].[All]" allUniqueName="[Reporte Stock DiarioPRG].[Dias_SS_N2].[All]" dimensionUniqueName="[Reporte Stock DiarioPRG]" displayFolder="" count="0" memberValueDatatype="5" unbalanced="0"/>
    <cacheHierarchy uniqueName="[Reporte Stock DiarioPRG].[SS_N2]" caption="SS_N2" attribute="1" defaultMemberUniqueName="[Reporte Stock DiarioPRG].[SS_N2].[All]" allUniqueName="[Reporte Stock DiarioPRG].[SS_N2].[All]" dimensionUniqueName="[Reporte Stock DiarioPRG]" displayFolder="" count="0" memberValueDatatype="5" unbalanced="0"/>
    <cacheHierarchy uniqueName="[Reporte Stock DiarioPRG].[Consumo Dia N2]" caption="Consumo Dia N2" attribute="1" defaultMemberUniqueName="[Reporte Stock DiarioPRG].[Consumo Dia N2].[All]" allUniqueName="[Reporte Stock DiarioPRG].[Consumo Dia N2].[All]" dimensionUniqueName="[Reporte Stock DiarioPRG]" displayFolder="" count="0" memberValueDatatype="5" unbalanced="0"/>
    <cacheHierarchy uniqueName="[Reporte Stock DiarioPRG].[Uni_desagregadas_N2]" caption="Uni_desagregadas_N2" attribute="1" defaultMemberUniqueName="[Reporte Stock DiarioPRG].[Uni_desagregadas_N2].[All]" allUniqueName="[Reporte Stock DiarioPRG].[Uni_desagregadas_N2].[All]" dimensionUniqueName="[Reporte Stock DiarioPRG]" displayFolder="" count="0" memberValueDatatype="5" unbalanced="0"/>
    <cacheHierarchy uniqueName="[Reporte Stock DiarioPRG].[Abreviado]" caption="Abreviado" attribute="1" defaultMemberUniqueName="[Reporte Stock DiarioPRG].[Abreviado].[All]" allUniqueName="[Reporte Stock DiarioPRG].[Abreviado].[All]" dimensionUniqueName="[Reporte Stock DiarioPRG]" displayFolder="" count="0" memberValueDatatype="130" unbalanced="0"/>
    <cacheHierarchy uniqueName="[Reporte Stock DiarioPRG].[Observacción]" caption="Observacción" attribute="1" defaultMemberUniqueName="[Reporte Stock DiarioPRG].[Observacción].[All]" allUniqueName="[Reporte Stock DiarioPRG].[Observacción].[All]" dimensionUniqueName="[Reporte Stock DiarioPRG]" displayFolder="" count="0" memberValueDatatype="130" unbalanced="0"/>
    <cacheHierarchy uniqueName="[Reporte Stock DiarioPRG].[Costo/Kilo]" caption="Costo/Kilo" attribute="1" defaultMemberUniqueName="[Reporte Stock DiarioPRG].[Costo/Kilo].[All]" allUniqueName="[Reporte Stock DiarioPRG].[Costo/Kilo].[All]" dimensionUniqueName="[Reporte Stock DiarioPRG]" displayFolder="" count="0" memberValueDatatype="5" unbalanced="0"/>
    <cacheHierarchy uniqueName="[Reporte Stock DiarioPRG].[Inventario Real Kg]" caption="Inventario Real Kg" attribute="1" defaultMemberUniqueName="[Reporte Stock DiarioPRG].[Inventario Real Kg].[All]" allUniqueName="[Reporte Stock DiarioPRG].[Inventario Real Kg].[All]" dimensionUniqueName="[Reporte Stock DiarioPRG]" displayFolder="" count="0" memberValueDatatype="5" unbalanced="0"/>
    <cacheHierarchy uniqueName="[Reporte Stock DiarioPRG].[Fecha Corta Kg]" caption="Fecha Corta Kg" attribute="1" defaultMemberUniqueName="[Reporte Stock DiarioPRG].[Fecha Corta Kg].[All]" allUniqueName="[Reporte Stock DiarioPRG].[Fecha Corta Kg].[All]" dimensionUniqueName="[Reporte Stock DiarioPRG]" displayFolder="" count="0" memberValueDatatype="5" unbalanced="0"/>
    <cacheHierarchy uniqueName="[Reporte Stock DiarioPRG].[Fecha Corta Kg Adj]" caption="Fecha Corta Kg Adj" attribute="1" defaultMemberUniqueName="[Reporte Stock DiarioPRG].[Fecha Corta Kg Adj].[All]" allUniqueName="[Reporte Stock DiarioPRG].[Fecha Corta Kg Adj].[All]" dimensionUniqueName="[Reporte Stock DiarioPRG]" displayFolder="" count="0" memberValueDatatype="5" unbalanced="0"/>
    <cacheHierarchy uniqueName="[Reporte Stock DiarioPRG].[Tránsito Kg]" caption="Tránsito Kg" attribute="1" defaultMemberUniqueName="[Reporte Stock DiarioPRG].[Tránsito Kg].[All]" allUniqueName="[Reporte Stock DiarioPRG].[Tránsito Kg].[All]" dimensionUniqueName="[Reporte Stock DiarioPRG]" displayFolder="" count="0" memberValueDatatype="5" unbalanced="0"/>
    <cacheHierarchy uniqueName="[Reporte Stock DiarioPRG].[Inventario Disponible Kg]" caption="Inventario Disponible Kg" attribute="1" defaultMemberUniqueName="[Reporte Stock DiarioPRG].[Inventario Disponible Kg].[All]" allUniqueName="[Reporte Stock DiarioPRG].[Inventario Disponible Kg].[All]" dimensionUniqueName="[Reporte Stock DiarioPRG]" displayFolder="" count="0" memberValueDatatype="5" unbalanced="0"/>
    <cacheHierarchy uniqueName="[Reporte Stock DiarioPRG].[Inventario Real $]" caption="Inventario Real $" attribute="1" defaultMemberUniqueName="[Reporte Stock DiarioPRG].[Inventario Real $].[All]" allUniqueName="[Reporte Stock DiarioPRG].[Inventario Real $].[All]" dimensionUniqueName="[Reporte Stock DiarioPRG]" displayFolder="" count="0" memberValueDatatype="5" unbalanced="0"/>
    <cacheHierarchy uniqueName="[Reporte Stock DiarioPRG].[Tránsito $]" caption="Tránsito $" attribute="1" defaultMemberUniqueName="[Reporte Stock DiarioPRG].[Tránsito $].[All]" allUniqueName="[Reporte Stock DiarioPRG].[Tránsito $].[All]" dimensionUniqueName="[Reporte Stock DiarioPRG]" displayFolder="" count="0" memberValueDatatype="5" unbalanced="0"/>
    <cacheHierarchy uniqueName="[Reporte Stock DiarioPRG].[Inventario Disponible $]" caption="Inventario Disponible $" attribute="1" defaultMemberUniqueName="[Reporte Stock DiarioPRG].[Inventario Disponible $].[All]" allUniqueName="[Reporte Stock DiarioPRG].[Inventario Disponible $].[All]" dimensionUniqueName="[Reporte Stock DiarioPRG]" displayFolder="" count="0" memberValueDatatype="5" unbalanced="0"/>
    <cacheHierarchy uniqueName="[Reporte Stock DiarioPRG].[Fecha Corta Adj $]" caption="Fecha Corta Adj $" attribute="1" defaultMemberUniqueName="[Reporte Stock DiarioPRG].[Fecha Corta Adj $].[All]" allUniqueName="[Reporte Stock DiarioPRG].[Fecha Corta Adj $].[All]" dimensionUniqueName="[Reporte Stock DiarioPRG]" displayFolder="" count="0" memberValueDatatype="5" unbalanced="0"/>
    <cacheHierarchy uniqueName="[Reporte Stock DiarioPRG].[Inventario Final Kg]" caption="Inventario Final Kg" attribute="1" defaultMemberUniqueName="[Reporte Stock DiarioPRG].[Inventario Final Kg].[All]" allUniqueName="[Reporte Stock DiarioPRG].[Inventario Final Kg].[All]" dimensionUniqueName="[Reporte Stock DiarioPRG]" displayFolder="" count="0" memberValueDatatype="5" unbalanced="0"/>
    <cacheHierarchy uniqueName="[Reporte Stock DiarioPRG].[Inventario Final $]" caption="Inventario Final $" attribute="1" defaultMemberUniqueName="[Reporte Stock DiarioPRG].[Inventario Final $].[All]" allUniqueName="[Reporte Stock DiarioPRG].[Inventario Final $].[All]" dimensionUniqueName="[Reporte Stock DiarioPRG]" displayFolder="" count="0" memberValueDatatype="5" unbalanced="0"/>
    <cacheHierarchy uniqueName="[Reporte Stock DiarioPRG].[Consumo Kg]" caption="Consumo Kg" attribute="1" defaultMemberUniqueName="[Reporte Stock DiarioPRG].[Consumo Kg].[All]" allUniqueName="[Reporte Stock DiarioPRG].[Consumo Kg].[All]" dimensionUniqueName="[Reporte Stock DiarioPRG]" displayFolder="" count="0" memberValueDatatype="5" unbalanced="0"/>
    <cacheHierarchy uniqueName="[Reporte Stock DiarioPRG].[Consumo Usd]" caption="Consumo Usd" attribute="1" defaultMemberUniqueName="[Reporte Stock DiarioPRG].[Consumo Usd].[All]" allUniqueName="[Reporte Stock DiarioPRG].[Consumo Usd].[All]" dimensionUniqueName="[Reporte Stock DiarioPRG]" displayFolder="" count="0" memberValueDatatype="5" unbalanced="0"/>
    <cacheHierarchy uniqueName="[Reporte Stock DiarioPRG].[Consumo_kg_sg]" caption="Consumo_kg_sg" attribute="1" defaultMemberUniqueName="[Reporte Stock DiarioPRG].[Consumo_kg_sg].[All]" allUniqueName="[Reporte Stock DiarioPRG].[Consumo_kg_sg].[All]" dimensionUniqueName="[Reporte Stock DiarioPRG]" displayFolder="" count="0" memberValueDatatype="5" unbalanced="0"/>
    <cacheHierarchy uniqueName="[Reporte Stock DiarioPRG].[Consumo_Kg_Mach]" caption="Consumo_Kg_Mach" attribute="1" defaultMemberUniqueName="[Reporte Stock DiarioPRG].[Consumo_Kg_Mach].[All]" allUniqueName="[Reporte Stock DiarioPRG].[Consumo_Kg_Mach].[All]" dimensionUniqueName="[Reporte Stock DiarioPRG]" displayFolder="" count="0" memberValueDatatype="5" unbalanced="0"/>
    <cacheHierarchy uniqueName="[Reporte Stock DiarioPRG].[Totales]" caption="Totales" attribute="1" defaultMemberUniqueName="[Reporte Stock DiarioPRG].[Totales].[All]" allUniqueName="[Reporte Stock DiarioPRG].[Totales].[All]" dimensionUniqueName="[Reporte Stock DiarioPRG]" displayFolder="" count="0" memberValueDatatype="5" unbalanced="0"/>
    <cacheHierarchy uniqueName="[Measures].[Con_Kg]" caption="Con_Kg" measure="1" displayFolder="" measureGroup="Reporte Stock DiarioPRG" count="0"/>
    <cacheHierarchy uniqueName="[Measures].[Con_Usd]" caption="Con_Usd" measure="1" displayFolder="" measureGroup="Reporte Stock DiarioPRG" count="0"/>
    <cacheHierarchy uniqueName="[Measures].[Con_SG_Kg]" caption="Con_SG_Kg" measure="1" displayFolder="" measureGroup="Reporte Stock DiarioPRG" count="0"/>
    <cacheHierarchy uniqueName="[Measures].[Con_Mach_kg]" caption="Con_Mach_kg" measure="1" displayFolder="" measureGroup="Reporte Stock DiarioPRG" count="0"/>
    <cacheHierarchy uniqueName="[Measures].[__XL_Count Reporte Stock DiarioPRG]" caption="__XL_Count Reporte Stock DiarioPRG" measure="1" displayFolder="" measureGroup="Reporte Stock DiarioPRG" count="0" hidden="1"/>
    <cacheHierarchy uniqueName="[Measures].[__XL_Count Listado_PT]" caption="__XL_Count Listado_PT" measure="1" displayFolder="" measureGroup="Listado_PT" count="0" hidden="1"/>
    <cacheHierarchy uniqueName="[Measures].[__No hay medidas definidas]" caption="__No hay medidas definidas" measure="1" displayFolder="" count="0" hidden="1"/>
    <cacheHierarchy uniqueName="[Measures].[Suma de Inventario Disponible Kg]" caption="Suma de Inventario Disponible Kg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a de Fecha Corta Kg Adj]" caption="Suma de Fecha Corta Kg Adj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a de Inventario Final Kg]" caption="Suma de Inventario Final Kg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Suma de Fecha Corta Adj $]" caption="Suma de Fecha Corta Adj $" measure="1" displayFolder="" measureGroup="Reporte Stock DiarioPRG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a de Inventario Final $]" caption="Suma de Inventario Final $" measure="1" displayFolder="" measureGroup="Reporte Stock DiarioPRG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a de Totales]" caption="Suma de Totales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</cacheHierarchies>
  <kpis count="0"/>
  <dimensions count="3">
    <dimension name="Listado_PT" uniqueName="[Listado_PT]" caption="Listado_PT"/>
    <dimension measure="1" name="Measures" uniqueName="[Measures]" caption="Measures"/>
    <dimension name="Reporte Stock DiarioPRG" uniqueName="[Reporte Stock DiarioPRG]" caption="Reporte Stock DiarioPRG"/>
  </dimensions>
  <measureGroups count="2">
    <measureGroup name="Listado_PT" caption="Listado_PT"/>
    <measureGroup name="Reporte Stock DiarioPRG" caption="Reporte Stock DiarioPRG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BEN RICARDO QUINATOA QUINATOA" refreshedDate="45623.605743749999" createdVersion="8" refreshedVersion="8" minRefreshableVersion="3" recordCount="938" xr:uid="{F7B0B83A-AB39-46E2-92C1-4D6088315F92}">
  <cacheSource type="worksheet">
    <worksheetSource ref="A6:AD1048576" sheet="CONSOLIDADO "/>
  </cacheSource>
  <cacheFields count="33">
    <cacheField name="PLANTA" numFmtId="0">
      <sharedItems containsBlank="1" containsMixedTypes="1" containsNumber="1" containsInteger="1" minValue="0" maxValue="0"/>
    </cacheField>
    <cacheField name="CATEGORIA" numFmtId="0">
      <sharedItems containsBlank="1" containsMixedTypes="1" containsNumber="1" containsInteger="1" minValue="0" maxValue="0" count="7">
        <s v="QUESOS Y GRASAS"/>
        <s v="BEBIDAS LACTEAS"/>
        <s v="POSTRES"/>
        <s v="MULTIMARCA"/>
        <s v=""/>
        <n v="0"/>
        <m/>
      </sharedItems>
    </cacheField>
    <cacheField name="Responsable de Marca" numFmtId="0">
      <sharedItems containsBlank="1" containsMixedTypes="1" containsNumber="1" containsInteger="1" minValue="0" maxValue="0" count="5">
        <s v="Esteban Montenegro                      "/>
        <s v="Luis Armendariz                         "/>
        <s v=""/>
        <n v="0"/>
        <m/>
      </sharedItems>
    </cacheField>
    <cacheField name="MARCA" numFmtId="0">
      <sharedItems containsBlank="1" containsMixedTypes="1" containsNumber="1" containsInteger="1" minValue="0" maxValue="0" count="20">
        <s v="QUESO FRESCO KIOSKO"/>
        <s v="QUESO MOZARELLA KIOSKO"/>
        <s v="BON YURT"/>
        <s v="YOGURT KIOSKO"/>
        <s v="YOGURT FINESSE"/>
        <s v="QUESO SEMIMADURO KIOSKO"/>
        <s v="REGENERIS"/>
        <s v="AVENA ALPINA"/>
        <s v="KUMIS ALPINA"/>
        <s v="DULCE LECHE KIOSCO"/>
        <s v="AREQUIPE ALPINA"/>
        <s v="QUESO FUNDIDO"/>
        <s v="ALPINETTE"/>
        <s v="CREMA DE LECHE"/>
        <s v="MANTEQUILLA"/>
        <s v="AVENA FINESSE"/>
        <s v="MULTIMARCA"/>
        <s v=""/>
        <n v="0"/>
        <m/>
      </sharedItems>
    </cacheField>
    <cacheField name="FAMILIA" numFmtId="0">
      <sharedItems containsBlank="1" containsMixedTypes="1" containsNumber="1" containsInteger="1" minValue="0" maxValue="0"/>
    </cacheField>
    <cacheField name="Bodega" numFmtId="0">
      <sharedItems containsBlank="1" count="5">
        <s v="GUAYAQUIL"/>
        <s v=""/>
        <s v="MACHACHI"/>
        <s v="SAN GABRIEL"/>
        <m/>
      </sharedItems>
    </cacheField>
    <cacheField name="CENTRO" numFmtId="0">
      <sharedItems containsBlank="1" containsMixedTypes="1" containsNumber="1" containsInteger="1" minValue="7701" maxValue="7711"/>
    </cacheField>
    <cacheField name="ALMACEN" numFmtId="0">
      <sharedItems containsBlank="1" containsMixedTypes="1" containsNumber="1" containsInteger="1" minValue="1001" maxValue="1080"/>
    </cacheField>
    <cacheField name="Artículo" numFmtId="0">
      <sharedItems containsBlank="1" containsMixedTypes="1" containsNumber="1" containsInteger="1" minValue="0" maxValue="0" count="226">
        <s v="10096"/>
        <s v="10127"/>
        <s v="10663"/>
        <s v="10830"/>
        <s v="10984"/>
        <s v="11109"/>
        <s v="11175"/>
        <s v="11953"/>
        <s v="12036"/>
        <s v="14644"/>
        <s v="16078"/>
        <s v="16156"/>
        <s v="16157"/>
        <s v="16373"/>
        <s v="4010"/>
        <s v="4450239"/>
        <s v="4865"/>
        <s v="5510"/>
        <s v="5513"/>
        <s v="5523"/>
        <s v="5546"/>
        <s v="5709"/>
        <s v="5729"/>
        <s v="5730"/>
        <s v="5731"/>
        <s v="5733"/>
        <s v="5736"/>
        <s v="5753"/>
        <s v="5758"/>
        <s v="5759"/>
        <s v="5760"/>
        <s v="5764"/>
        <s v="5766"/>
        <s v="5767"/>
        <s v="5769"/>
        <s v="5772"/>
        <s v="5777"/>
        <s v="10986"/>
        <s v="5717"/>
        <s v="11107"/>
        <s v="16510"/>
        <s v="16512"/>
        <s v="16366"/>
        <s v="12320"/>
        <s v="5778"/>
        <s v="8206"/>
        <s v="8208"/>
        <s v="8261"/>
        <s v="8654"/>
        <s v="8655"/>
        <s v="8656"/>
        <s v="16233"/>
        <s v="16235"/>
        <s v="12096"/>
        <s v="11105"/>
        <s v="11177"/>
        <s v="8414"/>
        <s v="14607"/>
        <s v="16408"/>
        <s v="5765"/>
        <s v="5755"/>
        <s v="5706"/>
        <s v="8260"/>
        <s v="14164"/>
        <s v="16230"/>
        <s v="11796"/>
        <s v="15997"/>
        <s v="16511"/>
        <s v="16744"/>
        <s v="5771"/>
        <s v="14606"/>
        <s v="11311"/>
        <s v="16530"/>
        <s v="16743"/>
        <s v="15593"/>
        <s v="5735"/>
        <s v="16678"/>
        <s v="5275"/>
        <s v="5726"/>
        <s v="14587"/>
        <s v="16158"/>
        <s v="12037"/>
        <s v="15592"/>
        <s v="14719"/>
        <s v="16513"/>
        <s v="3183"/>
        <s v="12549"/>
        <s v="4134"/>
        <s v="16514"/>
        <s v="17036"/>
        <s v="4013"/>
        <s v="15594"/>
        <s v="10071"/>
        <s v="5732"/>
        <s v="15459"/>
        <s v="16374"/>
        <s v="5761"/>
        <s v="5779"/>
        <s v="16745"/>
        <s v="4454239"/>
        <s v="16232"/>
        <s v="17113"/>
        <s v="15565"/>
        <s v="14713"/>
        <s v="5703"/>
        <s v="14180"/>
        <s v="13645"/>
        <s v="17117"/>
        <s v="8499239"/>
        <s v="16527"/>
        <s v="17116"/>
        <s v="5780"/>
        <s v="16906"/>
        <s v="10990"/>
        <s v="11320"/>
        <s v="11955"/>
        <s v="11956"/>
        <s v="12299"/>
        <s v="16679"/>
        <s v="16680"/>
        <s v="16681"/>
        <s v="2121"/>
        <s v="4011"/>
        <s v="4012"/>
        <s v="4160"/>
        <s v="4161"/>
        <s v="4162"/>
        <s v="4163"/>
        <s v="4247"/>
        <s v="4248"/>
        <s v="4889"/>
        <s v="4894"/>
        <s v="4895"/>
        <s v="4920"/>
        <s v="4921"/>
        <s v="4923"/>
        <s v="11085"/>
        <s v="12530"/>
        <s v="17115"/>
        <s v="5745"/>
        <s v="16371"/>
        <s v="16407"/>
        <s v="12035"/>
        <s v="16018"/>
        <s v="16017"/>
        <s v="16234"/>
        <s v="12319"/>
        <s v="11954"/>
        <s v="2123"/>
        <s v="4133"/>
        <s v="17114"/>
        <s v="16367"/>
        <s v="14715"/>
        <s v="17014"/>
        <s v="5757"/>
        <s v="11322"/>
        <s v="11037"/>
        <s v="12548"/>
        <s v="5737"/>
        <s v="6219239"/>
        <s v="10992"/>
        <s v="16019"/>
        <s v="12528"/>
        <s v="5746"/>
        <s v="9088"/>
        <s v="5747"/>
        <s v="16231"/>
        <s v="16529"/>
        <s v="17051"/>
        <s v="16493"/>
        <s v="16236"/>
        <s v="4249"/>
        <s v="6226239"/>
        <s v="10653"/>
        <s v="10654"/>
        <s v="11106"/>
        <s v="1224"/>
        <s v="12529"/>
        <s v="5512"/>
        <s v="17350"/>
        <s v="16272"/>
        <s v="2122"/>
        <s v="14165"/>
        <s v="16372"/>
        <s v="17370"/>
        <s v="5750"/>
        <s v="11108"/>
        <s v="14716"/>
        <s v="5244"/>
        <s v="5701"/>
        <s v="5818"/>
        <s v="17262"/>
        <s v="12300"/>
        <s v="5511"/>
        <s v="14714"/>
        <s v="10518"/>
        <s v="5770"/>
        <s v="13828"/>
        <s v="5763"/>
        <s v="10829"/>
        <s v="16919"/>
        <s v="17024"/>
        <s v="17025"/>
        <s v="12550"/>
        <s v="16495"/>
        <s v="17053"/>
        <s v="16386"/>
        <s v="16459"/>
        <s v="17155"/>
        <s v="5712"/>
        <s v="12416"/>
        <s v="16515"/>
        <s v="16274"/>
        <s v="17052"/>
        <s v="5748"/>
        <s v="6221239"/>
        <n v="0"/>
        <s v="12624"/>
        <s v="2082"/>
        <s v="10179"/>
        <s v="13829"/>
        <s v="6222239"/>
        <s v="16518"/>
        <s v="17216"/>
        <s v="16368"/>
        <m/>
      </sharedItems>
    </cacheField>
    <cacheField name="Descripción de artículo" numFmtId="0">
      <sharedItems containsBlank="1" count="261">
        <s v="Q CREMO DEL CAMPO KIOSKO BLOQ 450G"/>
        <s v="Q MOZAR KIOSKO SNACK 50G"/>
        <s v="BY NEON VASO 170G"/>
        <s v="YOG BBLE KIOSKO DZNO BOT 3.5KG"/>
        <s v="YOG BBLE KID KK FTLLA BOT 120G"/>
        <s v="YOG BBLE KIOSKO MOR BOT 950G"/>
        <s v="YOG BBLE KID KK FTLLA BOT 180G"/>
        <s v="YOG FNSSE FRTROJ BOT 950G"/>
        <s v="Q CHED KIOSKO 10 LONJ 200G"/>
        <s v="YOG NAT KIOSKO BOTELLA 950G"/>
        <s v="PACK Q SAND KIOSKO BLOQ 146G JAM"/>
        <s v="Q CHED KIOSKO 5 LONJ 75G"/>
        <s v="Q MOZZAR KIOSKO 5 LONJ 75G"/>
        <s v="YOG BBLE KIOSKO DZNO 180"/>
        <s v="RGN LGHT FTLLA BOT 180G"/>
        <s v="AVENA ORIGINAL VASO 250G ECU"/>
        <s v="KUMIS ORIG BOT 1750G"/>
        <s v="Q PARME KIOSKO RALL BOL 40G"/>
        <s v="Q PARME KIOSKO RALL BOL 500G"/>
        <s v="BY BLCK VASO 165G"/>
        <s v="Q PARME KIOSKO CUNA AL PESO"/>
        <s v="DULCE LCH KIOSKO VASO 500G"/>
        <s v="Q MOZAR KIOSKO BLOQ 200G"/>
        <s v="Q MOZAR KIOSKO BLOQ 350G"/>
        <s v="Q MOZAR KIOSKO BLOQ 500G"/>
        <s v="Q MOZAR KIOSKO BLOQ 900G"/>
        <s v="Q MOZAR LGHT KIOSKO BLOQ 500G"/>
        <s v="Q GOUDA KIOSKO BLOQ 350G"/>
        <s v="Q HOLAN KIOSKO AL PESO"/>
        <s v="Q HOLAN KIOSKO 20 LONJ 300G"/>
        <s v="Q HOLAN KIOSKO 10 LONJ 150G"/>
        <s v="Q JAVIER KIOSKO AL PESO"/>
        <s v="Q JAVIER KIOSKO 10 LONJ 150G"/>
        <s v="Q JAVIER KIOSKO LONJ AL PESO"/>
        <s v="Q MIX ESPECIAL KIOSKO CUBO BOL 350G"/>
        <s v="Q PROVO AHUM KIOSKO AL PESO"/>
        <s v="Q SANDU KIOSKO 10 LONJ 150G"/>
        <s v="YOG BBLE KID KK DZNO BOT 120G"/>
        <s v="Q AMERIC KIOSKO 20 LONJ 300G"/>
        <s v="YOG BBLE KIOSKO DZNO BOT 950G"/>
        <s v="GRIEG KIOSKO FRUT ROJ 120"/>
        <s v="GRIEG KIOSKO MOR Y ARAND 400"/>
        <s v="YOG FNSSE VAINILLA 180"/>
        <s v="Q PROVO AHUM KIOSKO LONJ 1KG"/>
        <s v="Q SANDU KIOSKO 20 LONJ 300G"/>
        <s v="MPLX6 AREQUIPE VASO 50G"/>
        <s v="AREQUIPE GAR 4.6KG"/>
        <s v="AREQUIPE VASO 500G ECU"/>
        <s v="BONYURT FRUTILLA ZUCARITAS"/>
        <s v="BY ZUC VASO 170G ECU"/>
        <s v="BY FROOT LOOPS VASO 154 G"/>
        <s v="Q HOLAN KIOSKO BLOQ 400G"/>
        <s v="Q CHEDDAR KIOSKO BLOQ 400G"/>
        <s v="Q PARME KIOSKO CUNA 300G"/>
        <s v="YOG BBLE KIOSKO FTLLA BOT 950G"/>
        <s v="YOG BBLE KID KK DZNO BOT 180G"/>
        <s v="AREQUIPE VASO 50G ECU"/>
        <s v="YOG BBLE KID KK MORA BOT 180G"/>
        <s v="Q ESPAR MOZZ KIOSKO DOYP 200G"/>
        <s v="Q JAVIER KIOSKO 20 LONJ 300G"/>
        <s v="Q HIERBAS KIOSKO AL PESO"/>
        <s v="DULCE LCH KIOSKO VASO 250G"/>
        <s v="AREQUIPE VASO 250G ECU"/>
        <s v="MPLX4 ALPINETTE MOR 140G"/>
        <s v="Q GOUDA KIOSKO LONJ 200G"/>
        <s v="BY AREQ VASO 165G"/>
        <s v="QUESO SANDUCHE KIOSKO 75G"/>
        <s v="GRIEG KIOSKO FRUT ROJ 400"/>
        <s v="CREMA DE LECHE ALPINA 200G"/>
        <s v="Q PROVO AHUM KIOSKO BLOQ 260G"/>
        <s v="YOG BBLE KID KK MORA BOT 120G"/>
        <s v="MPLX18 AREQUIPE VASO 50G"/>
        <s v="BY MINI GOMITAS 127G"/>
        <s v="DULCE DE LECHE KIOSKO DOYPACK 100G"/>
        <s v="Q MOZZARELLA DESLACTOSADO 500 GR"/>
        <s v="Q MOZAR LGHT KIOSKO BLOQ 200G"/>
        <s v="YOG BBLE KIOSKO GNBN 900G"/>
        <s v="RGN BBLE DZNO BOT 1750G"/>
        <s v="Q FRES CRIOL KIOSKO AL PESO"/>
        <s v="KUMIS ORIG BOT 1000G ECU"/>
        <s v="Q AMERIC KIOSKO 5 LONJ 75G"/>
        <s v="Q MIX GOURMET KIOSKO CUBO BOL 350G"/>
        <s v="YOG BBLE KIOSKO NATURAL FUN 900G"/>
        <s v="MANTEQUILLA CON SAL KIOSKO 250G"/>
        <s v="GRIEG KIOSKO MOR Y ARAND 120"/>
        <s v="MPLX6 AVENA ORIG VASO 250G"/>
        <s v="YOG FNSSE FRTROJ BOT 1670G"/>
        <s v="MPLX6 RGN BBLE MULTSAB BOT 180G"/>
        <s v="GRIEG KIOSKO NATURAL 400"/>
        <s v="YOG FINESSE NATURAL 1650G"/>
        <s v="MPLX4 RGN LGHT FTLLA BOT 180G"/>
        <s v="YOG BBLE KIOSKO NRJLA BOT 950G"/>
        <s v="Q RICOTTA KIOSKO BLOQ 450G"/>
        <s v="Q MOZAR KIOSKO BLOQ 700G"/>
        <s v="AREQUIPE Y PRETZEL STICKS 75 GRAMOS"/>
        <s v="YOG BBLE KIOSKO MORA 180"/>
        <s v="Q HOLAN KIOSKO LONJ AL PESO"/>
        <s v="Q SANDU KIOSKO LONJ AL PESO"/>
        <s v="SELECCION ESPECIAL KIOSKO 150G"/>
        <s v="AVENA CANELA VASO 250G ECU"/>
        <s v="Q AMERIC KIOSKO LONJ 150G"/>
        <s v="BON YURT CHOCAPIC 158G"/>
        <s v="FOURPACK AREQUIPE Y PRETZELS 75 GR"/>
        <s v="Q JAVIERINO KIOSKO RALLADO 1.5K"/>
        <s v="CREM LCH NAT KIOSKO GAR 3.5KG"/>
        <s v="Q AMERIC LONJ BKING AL PESO"/>
        <s v="CAJA BARQ DE AREQ 240G"/>
        <s v="BY MINI MASMELOS 88G"/>
        <s v="AVENA FINESSE VASO 250G ECU"/>
        <s v="Q HOLANDES KIOSKO LONJAS 75G"/>
        <s v="BY MINI CANPOP VASO 105G"/>
        <s v="Q MIX MEX KIOSKO RALL BOL 300G"/>
        <s v="MPLX6 AVENA FINESSE VASO 250G"/>
        <s v="YOG BBLE KIOSKO MOR FUN 900G"/>
        <s v="Q ESPAR MOZAR KIOSKO VASO 45G"/>
        <s v="YOG FNSSE SBILA BOT 950G"/>
        <s v="YOG FNSSE SBILA BOT 180G"/>
        <s v="YOG DUO KIOSKO PINA COCO FUN 900G"/>
        <s v="RGN BBLE MORA 1750"/>
        <s v="RGN BBLE MORA 1000"/>
        <s v="RGN BBLE MORA 180"/>
        <s v="RGN CER PITA BOT 180G"/>
        <s v="RGN LGHT FTLLA BOT 1000G"/>
        <s v="RGN LGHT FTLLA BOT 1750G"/>
        <s v="RGN BBLE DZNO BOT 180G"/>
        <s v="RGN BBLE DZNO BOT 1000G"/>
        <s v="RGN BBLE FTLLA BOT 180G"/>
        <s v="RGN BBLE FTLLA BOT 1000G"/>
        <s v="RGN TZOS MOR BOT 1750G"/>
        <s v="RGN TZOS DZNO BOT 1750G"/>
        <s v="RGN TZOS MOR BOT 1000G"/>
        <s v="RGN TZOS FTLLA BOT 1000G"/>
        <s v="RGN TZOS DZNO BOT 1000G"/>
        <s v="RGN TZOS DZNO VASO 150G"/>
        <s v="RGN TZOS FTLLA VASO 150G"/>
        <s v="RGN TZOS MOR VASO 150 G"/>
        <s v="MPLX4 AVENA CAN VASO 250G"/>
        <s v="RGN CER GDLLA BOT 180G"/>
        <s v="BY MINI CRUNFRE VASO 90G"/>
        <s v="Q MOZAR PIZZ KIOSKO AL PESO"/>
        <s v="Q ANDINO KIOSKO RUEDA 450G"/>
        <s v="Q ESPAR CHED KIOSKO DOYP 200G"/>
        <s v="Q MOZAR KIOSKO 10 LONJ 150G"/>
        <s v="YOG FNSSE DURAZNO BOT 950G"/>
        <s v="YOG FNSSE DURAZNO BOT 1670G"/>
        <s v="Q HIERBAS SEMIMAD KIOSKO 400G"/>
        <s v="Q PROVO AHUM KIOSKO 10 LONJ 150G"/>
        <s v="YOG FNSSE FRTROJ BOT 180G"/>
        <s v="RGN CER PITA BOT 1750G ECU"/>
        <s v="MPLX6 RGN TZOS MULTSAB VASO 150G"/>
        <s v="BON YURT MINI HOJUELAS 87G"/>
        <s v="YOG FNSSE VAINILLA 950"/>
        <s v="Q MOZAR PIZZ KIOSKO LONJ AL PESO COR"/>
        <s v="Q HOLANDES KIOSKO RALLADO 1500G"/>
        <s v="Q HIERBAS KIOSKO LONJ AL PESO"/>
        <s v="Q ESPAR CHED KIOSKO VASO 45G"/>
        <s v="MPLX4 BY NEON VASO 170G"/>
        <s v="YOG FNSSE SBILA BOT 1670G"/>
        <s v="Q MOZAR LGHT KIOSKO BLOQ 700G"/>
        <s v="ALPINETTE FRESA 140G ECU"/>
        <s v="MPX6 YOG BBLE KID KK MULTSAB BOT 120G"/>
        <s v="YOG FNSSE DURAZNO BOT 180G"/>
        <s v="RGN CER GDLLA BOT 1750G"/>
        <s v="Q MOZAR PIZZ KIOSKO 20 LONJ 300G"/>
        <s v="MPLX4 BY MULTSAB VASO ECU"/>
        <s v="Q MOZAR PIZZ KIOSKO LONJ AL PESO"/>
        <s v="Q CHEDDAR KIOSKO LONJ 400G"/>
        <s v="Q MOZZARELLA HIERBAS LONJAS 150G"/>
        <s v="KIOSKO CHEDDAR LONJAS LINEA DIARIA 75G"/>
        <s v="QUESO KIOSKO HOLANDES LONJ 1KG AL PESO"/>
        <s v="Q MOZAR HIERBAS KIOSKO BLOQ 500G"/>
        <s v="RGN TZOS FTLLA BOT 1750G"/>
        <s v="ALPINETTE MORA 140G ECU"/>
        <s v="YOG BBLE KIOSKO FTLLA FUN 900G"/>
        <s v="YOG BBLE KIOSKO DZNO FUN 900G"/>
        <s v="YOG BBLE KIOSKO FTLLA BOT 1700G"/>
        <s v="MPLX4 BY BLCK VASO 165G"/>
        <s v="RGN CER GDLLA BOT 1000G"/>
        <s v="Q PARME KIOSKO RALL BOL 250G"/>
        <s v="YOG BBLE KID KK BANANO BOT 180G"/>
        <s v="Q KIOSKO MIX RALLADOS 300G"/>
        <s v="RGN CER PITA BOT 1000G"/>
        <s v="MPLX4 ALPINETTE CZA 140G"/>
        <s v="YOG BBLE KIOSKO FTILLA 180"/>
        <s v="PACK TABLA+PARM 40G+ AMERIC 75G+SAN 75G"/>
        <s v="Q RICOTTA KIOSKO BLOQ 250G"/>
        <s v="YOG BBLE KIOSKO DZNO BOT 1700G"/>
        <s v="Q AMERIC KIOSKO LONJ AL PESO COR"/>
        <s v="RGN BBLE FTLLA BOT 1750G"/>
        <s v="CREM LCH AGRIA KIOSKO GAR 3.5KG"/>
        <s v="Q FRES KIOSKO BLOQ 450G"/>
        <s v="Q MIX GOURMET KIOSKO CUBO BOL 150G"/>
        <s v="YOG BBLE KIOSKO MOR BOT 3.5KG"/>
        <s v="Q PARME KIOSKO RALL BOL 100G"/>
        <s v="Q MOZZARELLA PIZZ KIOSKO RALLADO 1.5K"/>
        <s v="Q HOLAN KIOSKO LONJ 500G BKING"/>
        <s v="Q MIX ESPECIAL KIOSKO CUBO BOL 500G"/>
        <s v="QUESO MOZARELLA LIGHT KIOSKO 35 G"/>
        <s v="Q JAVIER KIOSKO BLOQ 320G"/>
        <s v="YOG BBLE KIOSKO FTLLA BOT 3.5KG"/>
        <s v="PACK QUESOS KIOSKO NAVIDAD + TABLA"/>
        <s v="YOG FNSSE FRTROJ MUSLI 155G"/>
        <s v="YOG FNSSE DURAZNO MUSLI 155G"/>
        <s v="MPLX4 BY MULTSAB VASO"/>
        <s v="QUESO KIOSKO MOZZARELLA LONJ 1KG AL PESO"/>
        <s v="KIOSKO SANDUCHE LONJAS LINEA DIARIA 75G"/>
        <s v="CREM LCH AGRIA KIOSKO DOYP 200G"/>
        <s v="MOZZARELLA STICK AL GRANEL X 40 UN"/>
        <s v="MQUILLA NAT KIOSKO 1KG INST MOD OTROS"/>
        <s v="MQUILLA NAT KIOSKO AL PESO"/>
        <s v="Q AMASADO KIOSKO BLOQ 450G"/>
        <s v="GRIEG KIOSKO NATURAL 120"/>
        <s v="KIOSKO MIX LONJEADOS 400 G"/>
        <s v="KIOSKO MOZZARELL LONJAS LINEA DIARIA 75G"/>
        <s v="Q MOZAR PIZZ KIOSKO RALL BOL 300G"/>
        <s v="ALPINETTE CEREZA 140G ECU"/>
        <s v=""/>
        <s v="MPX4 YOG FNSSE MULTSAB BOT 180G"/>
        <s v="MPLX4 RGN TZOS MULTSAB VASO 150G"/>
        <s v="MPLX6 Q MOZAR KIOSKO SNACK 50G"/>
        <s v="MPLX5 QUESO MOZARELLA LIGHT KIOSKO 35 G"/>
        <s v="ALPINETTE MELOCOTON 140G ECU"/>
        <s v="MPLX4 GRIEG KIOSKO MULTISAB 480"/>
        <s v="YOG BBLE KIOSKO MORA FUN 150G"/>
        <s v="YOG FNSSE VAINILLA 1650"/>
        <m/>
        <s v="Q AMERIC KIOSKO LONJ AL PESO" u="1"/>
        <s v="YOG BBLE KIOSKO DURAZNO FUN 150G" u="1"/>
        <s v="RQSON KIOSKO BLOQ 500G" u="1"/>
        <s v="MPX6 YOG BBLE KIOSKO 180" u="1"/>
        <s v="YOG BBLE KIOSKO FTILLA FUN 150G" u="1"/>
        <s v="YOG FINESSE NATURAL 950G" u="1"/>
        <s v="YOG FINESSE NAT VASO 150g" u="1"/>
        <s v="MQUILLA NAT KIOSKO 1KG" u="1"/>
        <s v="PACK Q SAND KIOSKO BLOQ 146G JAMÓN" u="1"/>
        <s v="Q CHEDDAR KIOSKO LONJ 75 GR" u="1"/>
        <s v="Q MOZZARELLA KIOSKO LONJAS 75" u="1"/>
        <s v="Q PARME KIOSKO CUNA AL PESO 2.4KG" u="1"/>
        <s v="AREQUIPE VASO 500G" u="1"/>
        <s v="BY ZUC VASO 170G" u="1"/>
        <s v="Q HOLANDES KIOSKO BLOQ 400G" u="1"/>
        <s v="AREQUIPE VASO 50G" u="1"/>
        <s v="AREQUIPE VASO 250G" u="1"/>
        <s v="Q GOUDA KIOSKO LONJ 200 GR" u="1"/>
        <s v="KUMIS ORIG BOT 1000G" u="1"/>
        <s v="Q AMERICANO KIOSKO LONJ 75GR" u="1"/>
        <s v="MQUILLA CON SAL 250KG" u="1"/>
        <s v="YOG FNSSE FRTROJ MUSLI 165G" u="1"/>
        <s v="Q KISKO MIX RALLADO 300 GR" u="1"/>
        <s v="QUESO MOZARELLA LIGHT KIOSKO 35 GR" u="1"/>
        <s v="Q HIERBAS SEMMAD KIOSKO 400GR" u="1"/>
        <s v="Q CHEDDAR KIOSKO LONJ 400 GR" u="1"/>
        <s v="YOG FNSSE DURAZNO MUSLI 165G" u="1"/>
        <s v="YOG BBLE KIOSKO DUR FUN 150G" u="1"/>
        <s v="MULTIEMPAQUE QUESO MOZARELLA LIGHT KIOSKO 35 GR X 5 UND" u="1"/>
        <s v="YOG BBLE KIOSKO FTLLA FUN 150G" u="1"/>
        <s v="YOG BBLE KIOSKO MOR FUN 150G" u="1"/>
        <s v="BY MINI CRUNFRE VASO 114G" u="1"/>
        <s v="YOG CER KIOSKO FTLLA VASO 120G" u="1"/>
        <s v="MQUILLA SIN SAL 125KG" u="1"/>
        <s v="MQUILLA SIN SAL 250KG" u="1"/>
      </sharedItems>
    </cacheField>
    <cacheField name="Cantidad Ingreso Bodega" numFmtId="0">
      <sharedItems containsString="0" containsBlank="1" containsNumber="1" minValue="0" maxValue="37632"/>
    </cacheField>
    <cacheField name="Conversión" numFmtId="1">
      <sharedItems containsBlank="1" containsMixedTypes="1" containsNumber="1" minValue="1" maxValue="3"/>
    </cacheField>
    <cacheField name="Gramaje" numFmtId="0">
      <sharedItems containsBlank="1" containsMixedTypes="1" containsNumber="1" minValue="3.5000000000000003E-2" maxValue="4.5999999999999996"/>
    </cacheField>
    <cacheField name="VIDA UTIL (Días)" numFmtId="0">
      <sharedItems containsBlank="1" containsMixedTypes="1" containsNumber="1" containsInteger="1" minValue="30" maxValue="540"/>
    </cacheField>
    <cacheField name="Fecha de Ingreso" numFmtId="14">
      <sharedItems containsNonDate="0" containsDate="1" containsString="0" containsBlank="1" minDate="1899-12-30T00:00:00" maxDate="2025-11-01T00:00:00"/>
    </cacheField>
    <cacheField name="Día Ingreso Bodega" numFmtId="0">
      <sharedItems containsBlank="1"/>
    </cacheField>
    <cacheField name="Fecha Elab." numFmtId="14">
      <sharedItems containsNonDate="0" containsDate="1" containsBlank="1" containsMixedTypes="1" minDate="2023-10-24T00:00:00" maxDate="2025-11-01T00:00:00"/>
    </cacheField>
    <cacheField name="Fecha Cad" numFmtId="14">
      <sharedItems containsNonDate="0" containsDate="1" containsString="0" containsBlank="1" minDate="1899-12-30T00:00:00" maxDate="2026-04-29T00:00:00" count="245">
        <d v="2024-12-29T00:00:00"/>
        <d v="2024-12-21T00:00:00"/>
        <d v="2024-12-27T00:00:00"/>
        <d v="2024-12-30T00:00:00"/>
        <d v="2024-12-15T00:00:00"/>
        <d v="2024-12-26T00:00:00"/>
        <d v="2024-12-23T00:00:00"/>
        <d v="2024-12-28T00:00:00"/>
        <d v="2025-01-02T00:00:00"/>
        <d v="2024-12-22T00:00:00"/>
        <d v="2024-12-14T00:00:00"/>
        <d v="2024-12-20T00:00:00"/>
        <d v="2025-01-14T00:00:00"/>
        <d v="2025-01-04T00:00:00"/>
        <d v="2025-01-26T00:00:00"/>
        <d v="2025-02-02T00:00:00"/>
        <d v="2025-01-27T00:00:00"/>
        <d v="2025-02-05T00:00:00"/>
        <d v="2025-02-09T00:00:00"/>
        <d v="2024-12-19T00:00:00"/>
        <d v="2024-12-09T00:00:00"/>
        <d v="2024-12-16T00:00:00"/>
        <d v="2025-02-03T00:00:00"/>
        <d v="2025-02-11T00:00:00"/>
        <d v="2025-02-12T00:00:00"/>
        <d v="2024-12-12T00:00:00"/>
        <d v="2025-03-08T00:00:00"/>
        <d v="2025-04-15T00:00:00"/>
        <d v="2025-03-25T00:00:00"/>
        <d v="2026-03-08T00:00:00"/>
        <d v="2025-04-27T00:00:00"/>
        <d v="2025-05-03T00:00:00"/>
        <d v="2025-04-28T00:00:00"/>
        <d v="2025-05-10T00:00:00"/>
        <d v="2025-05-25T00:00:00"/>
        <d v="2025-05-12T00:00:00"/>
        <d v="2026-04-28T00:00:00"/>
        <d v="2025-05-04T00:00:00"/>
        <d v="2025-05-11T00:00:00"/>
        <d v="2025-02-10T00:00:00"/>
        <d v="2025-02-16T00:00:00"/>
        <d v="2024-12-13T00:00:00"/>
        <d v="2025-05-13T00:00:00"/>
        <d v="2024-12-25T00:00:00"/>
        <d v="2024-12-24T00:00:00"/>
        <d v="2024-12-18T00:00:00"/>
        <d v="2025-01-11T00:00:00"/>
        <d v="2025-01-12T00:00:00"/>
        <d v="2025-01-28T00:00:00"/>
        <d v="2025-02-17T00:00:00"/>
        <d v="2025-01-05T00:00:00"/>
        <d v="2025-01-10T00:00:00"/>
        <d v="2025-01-13T00:00:00"/>
        <d v="2024-12-08T00:00:00"/>
        <d v="2025-05-05T00:00:00"/>
        <d v="2025-02-13T00:00:00"/>
        <d v="2025-05-17T00:00:00"/>
        <d v="2025-01-22T00:00:00"/>
        <d v="2025-02-04T00:00:00"/>
        <d v="2025-01-21T00:00:00"/>
        <d v="2025-05-06T00:00:00"/>
        <d v="2025-04-21T00:00:00"/>
        <d v="2025-05-18T00:00:00"/>
        <d v="2025-04-12T00:00:00"/>
        <d v="2025-04-20T00:00:00"/>
        <d v="2025-04-09T00:00:00"/>
        <d v="2024-12-06T00:00:00"/>
        <d v="2025-01-06T00:00:00"/>
        <d v="2025-01-01T00:00:00"/>
        <d v="2025-04-29T00:00:00"/>
        <d v="2024-12-02T00:00:00"/>
        <d v="2025-03-30T00:00:00"/>
        <d v="2025-01-09T00:00:00"/>
        <d v="2025-04-16T00:00:00"/>
        <d v="2025-01-29T00:00:00"/>
        <d v="2025-01-15T00:00:00"/>
        <d v="2025-01-18T00:00:00"/>
        <d v="2025-03-24T00:00:00"/>
        <d v="2025-01-19T00:00:00"/>
        <d v="2024-12-05T00:00:00"/>
        <d v="2024-12-11T00:00:00"/>
        <d v="2025-05-02T00:00:00"/>
        <d v="2025-01-03T00:00:00"/>
        <d v="2025-05-08T00:00:00"/>
        <d v="1899-12-30T00:00:00"/>
        <d v="2024-12-31T00:00:00"/>
        <d v="2025-05-19T00:00:00"/>
        <d v="2025-05-21T00:00:00"/>
        <d v="2025-05-20T00:00:00"/>
        <d v="2025-05-14T00:00:00"/>
        <d v="2025-02-14T00:00:00"/>
        <d v="2025-02-20T00:00:00"/>
        <d v="2025-05-01T00:00:00"/>
        <d v="2025-05-16T00:00:00"/>
        <d v="2025-01-17T00:00:00"/>
        <d v="2025-01-07T00:00:00"/>
        <d v="2024-12-01T00:00:00"/>
        <d v="2024-12-07T00:00:00"/>
        <m/>
        <d v="2025-04-26T00:00:00" u="1"/>
        <d v="2025-04-08T00:00:00" u="1"/>
        <d v="2025-04-01T00:00:00" u="1"/>
        <d v="2025-01-20T00:00:00" u="1"/>
        <d v="2024-12-17T00:00:00" u="1"/>
        <d v="2025-03-09T00:00:00" u="1"/>
        <d v="2025-01-16T00:00:00" u="1"/>
        <d v="2025-03-01T00:00:00" u="1"/>
        <d v="2024-11-29T00:00:00" u="1"/>
        <d v="2024-11-30T00:00:00" u="1"/>
        <d v="2024-11-23T00:00:00" u="1"/>
        <d v="2024-11-24T00:00:00" u="1"/>
        <d v="2024-12-04T00:00:00" u="1"/>
        <d v="2025-05-07T00:00:00" u="1"/>
        <d v="2024-12-03T00:00:00" u="1"/>
        <d v="2024-11-28T00:00:00" u="1"/>
        <d v="2024-11-27T00:00:00" u="1"/>
        <d v="2024-11-21T00:00:00" u="1"/>
        <d v="2024-11-25T00:00:00" u="1"/>
        <d v="2025-04-22T00:00:00" u="1"/>
        <d v="2025-04-23T00:00:00" u="1"/>
        <d v="2025-04-13T00:00:00" u="1"/>
        <d v="2024-11-20T00:00:00" u="1"/>
        <d v="2024-11-19T00:00:00" u="1"/>
        <d v="2024-12-10T00:00:00" u="1"/>
        <d v="2025-01-23T00:00:00" u="1"/>
        <d v="2025-04-05T00:00:00" u="1"/>
        <d v="2025-03-27T00:00:00" u="1"/>
        <d v="2025-03-22T00:00:00" u="1"/>
        <d v="2025-04-06T00:00:00" u="1"/>
        <d v="2024-11-22T00:00:00" u="1"/>
        <d v="2025-03-02T00:00:00" u="1"/>
        <d v="2025-03-17T00:00:00" u="1"/>
        <d v="2024-11-26T00:00:00" u="1"/>
        <d v="2024-11-14T00:00:00" u="1"/>
        <d v="2024-11-17T00:00:00" u="1"/>
        <d v="2024-11-18T00:00:00" u="1"/>
        <d v="2024-11-15T00:00:00" u="1"/>
        <d v="2024-11-16T00:00:00" u="1"/>
        <d v="2024-11-11T00:00:00" u="1"/>
        <d v="2025-12-20T00:00:00" u="1"/>
        <d v="2025-02-08T00:00:00" u="1"/>
        <d v="2024-11-07T00:00:00" u="1"/>
        <d v="2025-03-23T00:00:00" u="1"/>
        <d v="2025-04-07T00:00:00" u="1"/>
        <d v="2024-11-08T00:00:00" u="1"/>
        <d v="2024-11-10T00:00:00" u="1"/>
        <d v="2024-11-09T00:00:00" u="1"/>
        <d v="2024-11-03T00:00:00" u="1"/>
        <d v="2024-11-06T00:00:00" u="1"/>
        <d v="2025-01-08T00:00:00" u="1"/>
        <d v="2025-04-19T00:00:00" u="1"/>
        <d v="2024-11-12T00:00:00" u="1"/>
        <d v="2025-03-29T00:00:00" u="1"/>
        <d v="2025-04-02T00:00:00" u="1"/>
        <d v="2025-03-31T00:00:00" u="1"/>
        <d v="2024-11-13T00:00:00" u="1"/>
        <d v="2024-11-02T00:00:00" u="1"/>
        <d v="2025-04-14T00:00:00" u="1"/>
        <d v="2024-10-27T00:00:00" u="1"/>
        <d v="2024-11-01T00:00:00" u="1"/>
        <d v="2025-02-15T00:00:00" u="1"/>
        <d v="2024-10-30T00:00:00" u="1"/>
        <d v="2024-10-31T00:00:00" u="1"/>
        <d v="2024-11-05T00:00:00" u="1"/>
        <d v="2024-10-29T00:00:00" u="1"/>
        <d v="2024-11-04T00:00:00" u="1"/>
        <d v="2024-10-28T00:00:00" u="1"/>
        <d v="2024-10-24T00:00:00" u="1"/>
        <d v="2024-10-26T00:00:00" u="1"/>
        <d v="2024-10-25T00:00:00" u="1"/>
        <d v="2025-03-26T00:00:00" u="1"/>
        <d v="2024-10-21T00:00:00" u="1"/>
        <d v="2024-10-18T00:00:00" u="1"/>
        <d v="2025-02-25T00:00:00" u="1"/>
        <d v="2024-10-17T00:00:00" u="1"/>
        <d v="2025-03-11T00:00:00" u="1"/>
        <d v="2025-03-15T00:00:00" u="1"/>
        <d v="2024-10-20T00:00:00" u="1"/>
        <d v="2024-10-19T00:00:00" u="1"/>
        <d v="2025-03-12T00:00:00" u="1"/>
        <d v="2025-03-16T00:00:00" u="1"/>
        <d v="2025-03-18T00:00:00" u="1"/>
        <d v="2025-09-24T00:00:00" u="1"/>
        <d v="2025-03-19T00:00:00" u="1"/>
        <d v="2024-10-22T00:00:00" u="1"/>
        <d v="2024-10-23T00:00:00" u="1"/>
        <d v="2025-03-10T00:00:00" u="1"/>
        <d v="2024-10-13T00:00:00" u="1"/>
        <d v="2024-10-14T00:00:00" u="1"/>
        <d v="2025-03-03T00:00:00" u="1"/>
        <d v="2025-02-23T00:00:00" u="1"/>
        <d v="2024-10-04T00:00:00" u="1"/>
        <d v="2024-10-07T00:00:00" u="1"/>
        <d v="2024-10-05T00:00:00" u="1"/>
        <d v="2024-10-09T00:00:00" u="1"/>
        <d v="2024-10-12T00:00:00" u="1"/>
        <d v="2024-10-11T00:00:00" u="1"/>
        <d v="2024-10-10T00:00:00" u="1"/>
        <d v="2024-10-16T00:00:00" u="1"/>
        <d v="2024-10-03T00:00:00" u="1"/>
        <d v="2024-10-01T00:00:00" u="1"/>
        <d v="2025-02-07T00:00:00" u="1"/>
        <d v="2025-02-26T00:00:00" u="1"/>
        <d v="2025-02-28T00:00:00" u="1"/>
        <d v="2025-03-04T00:00:00" u="1"/>
        <d v="2025-03-05T00:00:00" u="1"/>
        <d v="2025-02-24T00:00:00" u="1"/>
        <d v="2024-10-15T00:00:00" u="1"/>
        <d v="2025-01-30T00:00:00" u="1"/>
        <d v="2025-01-25T00:00:00" u="1"/>
        <d v="2024-10-08T00:00:00" u="1"/>
        <d v="2024-09-30T00:00:00" u="1"/>
        <d v="2024-09-27T00:00:00" u="1"/>
        <d v="2024-10-06T00:00:00" u="1"/>
        <d v="2024-03-19T00:00:00" u="1"/>
        <d v="2024-09-29T00:00:00" u="1"/>
        <d v="2024-09-28T00:00:00" u="1"/>
        <d v="2025-02-18T00:00:00" u="1"/>
        <d v="2025-02-22T00:00:00" u="1"/>
        <d v="2025-02-19T00:00:00" u="1"/>
        <d v="2024-10-02T00:00:00" u="1"/>
        <d v="2024-09-26T00:00:00" u="1"/>
        <d v="2024-09-23T00:00:00" u="1"/>
        <d v="2024-09-24T00:00:00" u="1"/>
        <d v="2024-09-25T00:00:00" u="1"/>
        <d v="2024-09-20T00:00:00" u="1"/>
        <d v="2024-09-15T00:00:00" u="1"/>
        <d v="2024-09-14T00:00:00" u="1"/>
        <d v="2025-02-01T00:00:00" u="1"/>
        <d v="2024-09-22T00:00:00" u="1"/>
        <d v="2024-09-18T00:00:00" u="1"/>
        <d v="2024-09-21T00:00:00" u="1"/>
        <d v="2024-09-16T00:00:00" u="1"/>
        <d v="2024-09-11T00:00:00" u="1"/>
        <d v="2024-09-19T00:00:00" u="1"/>
        <d v="2024-09-17T00:00:00" u="1"/>
        <d v="2024-09-08T00:00:00" u="1"/>
        <d v="2024-09-09T00:00:00" u="1"/>
        <d v="2024-09-06T00:00:00" u="1"/>
        <d v="2024-09-07T00:00:00" u="1"/>
        <d v="2024-09-12T00:00:00" u="1"/>
        <d v="2024-09-13T00:00:00" u="1"/>
        <d v="2024-09-03T00:00:00" u="1"/>
        <d v="2024-09-10T00:00:00" u="1"/>
        <d v="2024-08-28T00:00:00" u="1"/>
      </sharedItems>
      <fieldGroup par="32"/>
    </cacheField>
    <cacheField name="# Días para Caducar" numFmtId="170">
      <sharedItems containsBlank="1" containsMixedTypes="1" containsNumber="1" containsInteger="1" minValue="4" maxValue="517"/>
    </cacheField>
    <cacheField name="V.U. Actual" numFmtId="9">
      <sharedItems containsString="0" containsBlank="1" containsNumber="1" minValue="0" maxValue="4.5333333333333332"/>
    </cacheField>
    <cacheField name="Stock Actual Unds" numFmtId="170">
      <sharedItems containsString="0" containsBlank="1" containsNumber="1" minValue="0" maxValue="37632"/>
    </cacheField>
    <cacheField name="Stock Actual Kgs" numFmtId="0">
      <sharedItems containsBlank="1" containsMixedTypes="1" containsNumber="1" minValue="0" maxValue="9408"/>
    </cacheField>
    <cacheField name="# DÍAS Recepción Producto" numFmtId="170">
      <sharedItems containsBlank="1" containsMixedTypes="1" containsNumber="1" containsInteger="1" minValue="-150" maxValue="389"/>
    </cacheField>
    <cacheField name="V.U Recepción Producto" numFmtId="9">
      <sharedItems containsBlank="1" containsMixedTypes="1" containsNumber="1" minValue="0.25" maxValue="6"/>
    </cacheField>
    <cacheField name="COSTO UNIT base" numFmtId="169">
      <sharedItems containsString="0" containsBlank="1" containsNumber="1" minValue="0" maxValue="12.450799999999999"/>
    </cacheField>
    <cacheField name="COSTO UNIT Conv" numFmtId="169">
      <sharedItems containsBlank="1" containsMixedTypes="1" containsNumber="1" minValue="0.11866" maxValue="19.626948000000002"/>
    </cacheField>
    <cacheField name="COSTO TOTAL" numFmtId="0">
      <sharedItems containsBlank="1" containsMixedTypes="1" containsNumber="1" minValue="0" maxValue="57565.361069999999"/>
    </cacheField>
    <cacheField name="DIAS DE ALMACENAMIENTO" numFmtId="0">
      <sharedItems containsBlank="1" containsMixedTypes="1" containsNumber="1" containsInteger="1" minValue="-338" maxValue="45623"/>
    </cacheField>
    <cacheField name="STATUS" numFmtId="0">
      <sharedItems containsBlank="1" count="6">
        <s v="VIGENTE"/>
        <s v="PROXIMOS FECHA CORTA"/>
        <s v="FECHA CORTA"/>
        <s v=""/>
        <m/>
        <s v="CADUCADO" u="1"/>
      </sharedItems>
    </cacheField>
    <cacheField name="TONELADAS (KG)" numFmtId="171">
      <sharedItems containsBlank="1" containsMixedTypes="1" containsNumber="1" minValue="0" maxValue="9.4079999999999995"/>
    </cacheField>
    <cacheField name="Meses (Fecha Cad)" numFmtId="0" databaseField="0">
      <fieldGroup base="17">
        <rangePr groupBy="months" startDate="1899-12-30T00:00:00" endDate="2026-04-29T00:00:00"/>
        <groupItems count="14">
          <s v="&lt;00/01/190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9/04/2026"/>
        </groupItems>
      </fieldGroup>
    </cacheField>
    <cacheField name="Trimestres (Fecha Cad)" numFmtId="0" databaseField="0">
      <fieldGroup base="17">
        <rangePr groupBy="quarters" startDate="1899-12-30T00:00:00" endDate="2026-04-29T00:00:00"/>
        <groupItems count="6">
          <s v="&lt;00/01/1900"/>
          <s v="Trim.1"/>
          <s v="Trim.2"/>
          <s v="Trim.3"/>
          <s v="Trim.4"/>
          <s v="&gt;29/04/2026"/>
        </groupItems>
      </fieldGroup>
    </cacheField>
    <cacheField name="Años (Fecha Cad)" numFmtId="0" databaseField="0">
      <fieldGroup base="17">
        <rangePr groupBy="years" startDate="1899-12-30T00:00:00" endDate="2026-04-29T00:00:00"/>
        <groupItems count="129">
          <s v="&lt;00/01/19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&gt;29/04/2026"/>
        </groupItems>
      </fieldGroup>
    </cacheField>
  </cacheFields>
  <extLst>
    <ext xmlns:x14="http://schemas.microsoft.com/office/spreadsheetml/2009/9/main" uri="{725AE2AE-9491-48be-B2B4-4EB974FC3084}">
      <x14:pivotCacheDefinition pivotCacheId="1703609994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BEN RICARDO QUINATOA QUINATOA" refreshedDate="45623.605744791668" createdVersion="8" refreshedVersion="8" minRefreshableVersion="3" recordCount="938" xr:uid="{01E42140-495D-4B82-A22B-8D343FDDFA25}">
  <cacheSource type="worksheet">
    <worksheetSource ref="F6:AD1048576" sheet="CONSOLIDADO "/>
  </cacheSource>
  <cacheFields count="28">
    <cacheField name="Bodega" numFmtId="0">
      <sharedItems containsBlank="1"/>
    </cacheField>
    <cacheField name="CENTRO" numFmtId="0">
      <sharedItems containsBlank="1" containsMixedTypes="1" containsNumber="1" containsInteger="1" minValue="7701" maxValue="7711" count="5">
        <n v="7711"/>
        <s v=""/>
        <n v="7701"/>
        <n v="7702"/>
        <m/>
      </sharedItems>
    </cacheField>
    <cacheField name="ALMACEN" numFmtId="0">
      <sharedItems containsBlank="1" containsMixedTypes="1" containsNumber="1" containsInteger="1" minValue="1001" maxValue="1080" count="4">
        <n v="1001"/>
        <s v=""/>
        <n v="1080"/>
        <m/>
      </sharedItems>
    </cacheField>
    <cacheField name="Artículo" numFmtId="0">
      <sharedItems containsBlank="1" containsMixedTypes="1" containsNumber="1" containsInteger="1" minValue="0" maxValue="0" count="226">
        <s v="10096"/>
        <s v="10127"/>
        <s v="10663"/>
        <s v="10830"/>
        <s v="10984"/>
        <s v="11109"/>
        <s v="11175"/>
        <s v="11953"/>
        <s v="12036"/>
        <s v="14644"/>
        <s v="16078"/>
        <s v="16156"/>
        <s v="16157"/>
        <s v="16373"/>
        <s v="4010"/>
        <s v="4450239"/>
        <s v="4865"/>
        <s v="5510"/>
        <s v="5513"/>
        <s v="5523"/>
        <s v="5546"/>
        <s v="5709"/>
        <s v="5729"/>
        <s v="5730"/>
        <s v="5731"/>
        <s v="5733"/>
        <s v="5736"/>
        <s v="5753"/>
        <s v="5758"/>
        <s v="5759"/>
        <s v="5760"/>
        <s v="5764"/>
        <s v="5766"/>
        <s v="5767"/>
        <s v="5769"/>
        <s v="5772"/>
        <s v="5777"/>
        <s v="10986"/>
        <s v="5717"/>
        <s v="11107"/>
        <s v="16510"/>
        <s v="16512"/>
        <s v="16366"/>
        <s v="12320"/>
        <s v="5778"/>
        <s v="8206"/>
        <s v="8208"/>
        <s v="8261"/>
        <s v="8654"/>
        <s v="8655"/>
        <s v="8656"/>
        <s v="16233"/>
        <s v="16235"/>
        <s v="12096"/>
        <s v="11105"/>
        <s v="11177"/>
        <s v="8414"/>
        <s v="14607"/>
        <s v="16408"/>
        <s v="5765"/>
        <s v="5755"/>
        <s v="5706"/>
        <s v="8260"/>
        <s v="14164"/>
        <s v="16230"/>
        <s v="11796"/>
        <s v="15997"/>
        <s v="16511"/>
        <s v="16744"/>
        <s v="5771"/>
        <s v="14606"/>
        <s v="11311"/>
        <s v="16530"/>
        <s v="16743"/>
        <s v="15593"/>
        <s v="5735"/>
        <s v="16678"/>
        <s v="5275"/>
        <s v="5726"/>
        <s v="14587"/>
        <s v="16158"/>
        <s v="12037"/>
        <s v="15592"/>
        <s v="14719"/>
        <s v="16513"/>
        <s v="3183"/>
        <s v="12549"/>
        <s v="4134"/>
        <s v="16514"/>
        <s v="17036"/>
        <s v="4013"/>
        <s v="15594"/>
        <s v="10071"/>
        <s v="5732"/>
        <s v="15459"/>
        <s v="16374"/>
        <s v="5761"/>
        <s v="5779"/>
        <s v="16745"/>
        <s v="4454239"/>
        <s v="16232"/>
        <s v="17113"/>
        <s v="15565"/>
        <s v="14713"/>
        <s v="5703"/>
        <s v="14180"/>
        <s v="13645"/>
        <s v="17117"/>
        <s v="8499239"/>
        <s v="16527"/>
        <s v="17116"/>
        <s v="5780"/>
        <s v="16906"/>
        <s v="10990"/>
        <s v="11320"/>
        <s v="11955"/>
        <s v="11956"/>
        <s v="12299"/>
        <s v="16679"/>
        <s v="16680"/>
        <s v="16681"/>
        <s v="2121"/>
        <s v="4011"/>
        <s v="4012"/>
        <s v="4160"/>
        <s v="4161"/>
        <s v="4162"/>
        <s v="4163"/>
        <s v="4247"/>
        <s v="4248"/>
        <s v="4889"/>
        <s v="4894"/>
        <s v="4895"/>
        <s v="4920"/>
        <s v="4921"/>
        <s v="4923"/>
        <s v="11085"/>
        <s v="12530"/>
        <s v="17115"/>
        <s v="5745"/>
        <s v="16371"/>
        <s v="16407"/>
        <s v="12035"/>
        <s v="16018"/>
        <s v="16017"/>
        <s v="16234"/>
        <s v="12319"/>
        <s v="11954"/>
        <s v="2123"/>
        <s v="4133"/>
        <s v="17114"/>
        <s v="16367"/>
        <s v="14715"/>
        <s v="17014"/>
        <s v="5757"/>
        <s v="11322"/>
        <s v="11037"/>
        <s v="12548"/>
        <s v="5737"/>
        <s v="6219239"/>
        <s v="10992"/>
        <s v="16019"/>
        <s v="12528"/>
        <s v="5746"/>
        <s v="9088"/>
        <s v="5747"/>
        <s v="16231"/>
        <s v="16529"/>
        <s v="17051"/>
        <s v="16493"/>
        <s v="16236"/>
        <s v="4249"/>
        <s v="6226239"/>
        <s v="10653"/>
        <s v="10654"/>
        <s v="11106"/>
        <s v="1224"/>
        <s v="12529"/>
        <s v="5512"/>
        <s v="17350"/>
        <s v="16272"/>
        <s v="2122"/>
        <s v="14165"/>
        <s v="16372"/>
        <s v="17370"/>
        <s v="5750"/>
        <s v="11108"/>
        <s v="14716"/>
        <s v="5244"/>
        <s v="5701"/>
        <s v="5818"/>
        <s v="17262"/>
        <s v="12300"/>
        <s v="5511"/>
        <s v="14714"/>
        <s v="10518"/>
        <s v="5770"/>
        <s v="13828"/>
        <s v="5763"/>
        <s v="10829"/>
        <s v="16919"/>
        <s v="17024"/>
        <s v="17025"/>
        <s v="12550"/>
        <s v="16495"/>
        <s v="17053"/>
        <s v="16386"/>
        <s v="16459"/>
        <s v="17155"/>
        <s v="5712"/>
        <s v="12416"/>
        <s v="16515"/>
        <s v="16274"/>
        <s v="17052"/>
        <s v="5748"/>
        <s v="6221239"/>
        <n v="0"/>
        <s v="12624"/>
        <s v="2082"/>
        <s v="10179"/>
        <s v="13829"/>
        <s v="6222239"/>
        <s v="16518"/>
        <s v="17216"/>
        <s v="16368"/>
        <m/>
      </sharedItems>
    </cacheField>
    <cacheField name="Descripción de artículo" numFmtId="0">
      <sharedItems containsBlank="1"/>
    </cacheField>
    <cacheField name="Cantidad Ingreso Bodega" numFmtId="0">
      <sharedItems containsString="0" containsBlank="1" containsNumber="1" minValue="0" maxValue="37632"/>
    </cacheField>
    <cacheField name="Conversión" numFmtId="1">
      <sharedItems containsBlank="1" containsMixedTypes="1" containsNumber="1" minValue="1" maxValue="3"/>
    </cacheField>
    <cacheField name="Gramaje" numFmtId="0">
      <sharedItems containsBlank="1" containsMixedTypes="1" containsNumber="1" minValue="3.5000000000000003E-2" maxValue="4.5999999999999996"/>
    </cacheField>
    <cacheField name="VIDA UTIL (Días)" numFmtId="0">
      <sharedItems containsBlank="1" containsMixedTypes="1" containsNumber="1" containsInteger="1" minValue="30" maxValue="540"/>
    </cacheField>
    <cacheField name="Fecha de Ingreso" numFmtId="14">
      <sharedItems containsNonDate="0" containsDate="1" containsString="0" containsBlank="1" minDate="1899-12-30T00:00:00" maxDate="2025-11-01T00:00:00"/>
    </cacheField>
    <cacheField name="Día Ingreso Bodega" numFmtId="0">
      <sharedItems containsBlank="1"/>
    </cacheField>
    <cacheField name="Fecha Elab." numFmtId="14">
      <sharedItems containsNonDate="0" containsDate="1" containsBlank="1" containsMixedTypes="1" minDate="2023-10-24T00:00:00" maxDate="2025-11-01T00:00:00"/>
    </cacheField>
    <cacheField name="Fecha Cad" numFmtId="14">
      <sharedItems containsNonDate="0" containsDate="1" containsString="0" containsBlank="1" minDate="1899-12-30T00:00:00" maxDate="2026-04-29T00:00:00" count="220">
        <d v="2024-12-29T00:00:00"/>
        <d v="2024-12-21T00:00:00"/>
        <d v="2024-12-27T00:00:00"/>
        <d v="2024-12-30T00:00:00"/>
        <d v="2024-12-15T00:00:00"/>
        <d v="2024-12-26T00:00:00"/>
        <d v="2024-12-23T00:00:00"/>
        <d v="2024-12-28T00:00:00"/>
        <d v="2025-01-02T00:00:00"/>
        <d v="2024-12-22T00:00:00"/>
        <d v="2024-12-14T00:00:00"/>
        <d v="2024-12-20T00:00:00"/>
        <d v="2025-01-14T00:00:00"/>
        <d v="2025-01-04T00:00:00"/>
        <d v="2025-01-26T00:00:00"/>
        <d v="2025-02-02T00:00:00"/>
        <d v="2025-01-27T00:00:00"/>
        <d v="2025-02-05T00:00:00"/>
        <d v="2025-02-09T00:00:00"/>
        <d v="2024-12-19T00:00:00"/>
        <d v="2024-12-09T00:00:00"/>
        <d v="2024-12-16T00:00:00"/>
        <d v="2025-02-03T00:00:00"/>
        <d v="2025-02-11T00:00:00"/>
        <d v="2025-02-12T00:00:00"/>
        <d v="2024-12-12T00:00:00"/>
        <d v="2025-03-08T00:00:00"/>
        <d v="2025-04-15T00:00:00"/>
        <d v="2025-03-25T00:00:00"/>
        <d v="2026-03-08T00:00:00"/>
        <d v="2025-04-27T00:00:00"/>
        <d v="2025-05-03T00:00:00"/>
        <d v="2025-04-28T00:00:00"/>
        <d v="2025-05-10T00:00:00"/>
        <d v="2025-05-25T00:00:00"/>
        <d v="2025-05-12T00:00:00"/>
        <d v="2026-04-28T00:00:00"/>
        <d v="2025-05-04T00:00:00"/>
        <d v="2025-05-11T00:00:00"/>
        <d v="2025-02-10T00:00:00"/>
        <d v="2025-02-16T00:00:00"/>
        <d v="2024-12-13T00:00:00"/>
        <d v="2025-05-13T00:00:00"/>
        <d v="2024-12-25T00:00:00"/>
        <d v="2024-12-24T00:00:00"/>
        <d v="2024-12-18T00:00:00"/>
        <d v="2025-01-11T00:00:00"/>
        <d v="2025-01-12T00:00:00"/>
        <d v="2025-01-28T00:00:00"/>
        <d v="2025-02-17T00:00:00"/>
        <d v="2025-01-05T00:00:00"/>
        <d v="2025-01-10T00:00:00"/>
        <d v="2025-01-13T00:00:00"/>
        <d v="2024-12-08T00:00:00"/>
        <d v="2025-05-05T00:00:00"/>
        <d v="2025-02-13T00:00:00"/>
        <d v="2025-05-17T00:00:00"/>
        <d v="2025-01-22T00:00:00"/>
        <d v="2025-02-04T00:00:00"/>
        <d v="2025-01-21T00:00:00"/>
        <d v="2025-05-06T00:00:00"/>
        <d v="2025-04-21T00:00:00"/>
        <d v="2025-05-18T00:00:00"/>
        <d v="2025-04-12T00:00:00"/>
        <d v="2025-04-20T00:00:00"/>
        <d v="2025-04-09T00:00:00"/>
        <d v="2024-12-06T00:00:00"/>
        <d v="2025-01-06T00:00:00"/>
        <d v="2025-01-01T00:00:00"/>
        <d v="2025-04-29T00:00:00"/>
        <d v="2024-12-02T00:00:00"/>
        <d v="2025-03-30T00:00:00"/>
        <d v="2025-01-09T00:00:00"/>
        <d v="2025-04-16T00:00:00"/>
        <d v="2025-01-29T00:00:00"/>
        <d v="2025-01-15T00:00:00"/>
        <d v="2025-01-18T00:00:00"/>
        <d v="2025-03-24T00:00:00"/>
        <d v="2025-01-19T00:00:00"/>
        <d v="2024-12-05T00:00:00"/>
        <d v="2024-12-11T00:00:00"/>
        <d v="2025-05-02T00:00:00"/>
        <d v="2025-01-03T00:00:00"/>
        <d v="2025-05-08T00:00:00"/>
        <d v="1899-12-30T00:00:00"/>
        <d v="2024-12-31T00:00:00"/>
        <d v="2025-05-19T00:00:00"/>
        <d v="2025-05-21T00:00:00"/>
        <d v="2025-05-20T00:00:00"/>
        <d v="2025-05-14T00:00:00"/>
        <d v="2025-02-14T00:00:00"/>
        <d v="2025-02-20T00:00:00"/>
        <d v="2025-05-01T00:00:00"/>
        <d v="2025-05-16T00:00:00"/>
        <d v="2025-01-17T00:00:00"/>
        <d v="2025-01-07T00:00:00"/>
        <d v="2024-12-01T00:00:00"/>
        <d v="2024-12-07T00:00:00"/>
        <m/>
        <d v="2025-01-16T00:00:00" u="1"/>
        <d v="2024-11-29T00:00:00" u="1"/>
        <d v="2024-11-30T00:00:00" u="1"/>
        <d v="2024-11-23T00:00:00" u="1"/>
        <d v="2025-04-26T00:00:00" u="1"/>
        <d v="2025-04-08T00:00:00" u="1"/>
        <d v="2025-04-01T00:00:00" u="1"/>
        <d v="2025-01-20T00:00:00" u="1"/>
        <d v="2024-12-17T00:00:00" u="1"/>
        <d v="2025-03-09T00:00:00" u="1"/>
        <d v="2025-03-01T00:00:00" u="1"/>
        <d v="2024-11-24T00:00:00" u="1"/>
        <d v="2024-12-04T00:00:00" u="1"/>
        <d v="2025-05-07T00:00:00" u="1"/>
        <d v="2024-12-03T00:00:00" u="1"/>
        <d v="2024-11-28T00:00:00" u="1"/>
        <d v="2024-11-27T00:00:00" u="1"/>
        <d v="2024-11-21T00:00:00" u="1"/>
        <d v="2024-11-25T00:00:00" u="1"/>
        <d v="2025-04-22T00:00:00" u="1"/>
        <d v="2025-04-23T00:00:00" u="1"/>
        <d v="2025-04-13T00:00:00" u="1"/>
        <d v="2024-11-20T00:00:00" u="1"/>
        <d v="2024-11-19T00:00:00" u="1"/>
        <d v="2024-12-10T00:00:00" u="1"/>
        <d v="2025-01-23T00:00:00" u="1"/>
        <d v="2025-04-05T00:00:00" u="1"/>
        <d v="2025-03-27T00:00:00" u="1"/>
        <d v="2025-03-22T00:00:00" u="1"/>
        <d v="2025-04-06T00:00:00" u="1"/>
        <d v="2024-11-22T00:00:00" u="1"/>
        <d v="2025-03-02T00:00:00" u="1"/>
        <d v="2025-03-17T00:00:00" u="1"/>
        <d v="2024-11-26T00:00:00" u="1"/>
        <d v="2024-11-14T00:00:00" u="1"/>
        <d v="2024-11-17T00:00:00" u="1"/>
        <d v="2024-11-18T00:00:00" u="1"/>
        <d v="2024-11-15T00:00:00" u="1"/>
        <d v="2024-11-16T00:00:00" u="1"/>
        <d v="2024-11-11T00:00:00" u="1"/>
        <d v="2025-12-20T00:00:00" u="1"/>
        <d v="2025-02-08T00:00:00" u="1"/>
        <d v="2024-11-07T00:00:00" u="1"/>
        <d v="2025-03-23T00:00:00" u="1"/>
        <d v="2025-04-07T00:00:00" u="1"/>
        <d v="2024-11-08T00:00:00" u="1"/>
        <d v="2024-11-10T00:00:00" u="1"/>
        <d v="2024-11-09T00:00:00" u="1"/>
        <d v="2024-11-03T00:00:00" u="1"/>
        <d v="2024-11-06T00:00:00" u="1"/>
        <d v="2025-01-08T00:00:00" u="1"/>
        <d v="2025-04-19T00:00:00" u="1"/>
        <d v="2024-11-12T00:00:00" u="1"/>
        <d v="2025-03-29T00:00:00" u="1"/>
        <d v="2024-11-13T00:00:00" u="1"/>
        <d v="2025-03-31T00:00:00" u="1"/>
        <d v="2025-04-14T00:00:00" u="1"/>
        <d v="2024-10-27T00:00:00" u="1"/>
        <d v="2025-04-02T00:00:00" u="1"/>
        <d v="2024-11-01T00:00:00" u="1"/>
        <d v="2025-02-15T00:00:00" u="1"/>
        <d v="2024-10-30T00:00:00" u="1"/>
        <d v="2024-10-31T00:00:00" u="1"/>
        <d v="2024-11-05T00:00:00" u="1"/>
        <d v="2024-11-02T00:00:00" u="1"/>
        <d v="2024-10-29T00:00:00" u="1"/>
        <d v="2024-11-04T00:00:00" u="1"/>
        <d v="2024-10-28T00:00:00" u="1"/>
        <d v="2024-10-24T00:00:00" u="1"/>
        <d v="2024-10-26T00:00:00" u="1"/>
        <d v="2024-10-25T00:00:00" u="1"/>
        <d v="2025-03-26T00:00:00" u="1"/>
        <d v="2024-10-21T00:00:00" u="1"/>
        <d v="2025-02-25T00:00:00" u="1"/>
        <d v="2024-10-18T00:00:00" u="1"/>
        <d v="2024-10-17T00:00:00" u="1"/>
        <d v="2025-03-11T00:00:00" u="1"/>
        <d v="2024-10-20T00:00:00" u="1"/>
        <d v="2024-10-19T00:00:00" u="1"/>
        <d v="2025-03-15T00:00:00" u="1"/>
        <d v="2025-03-12T00:00:00" u="1"/>
        <d v="2025-03-16T00:00:00" u="1"/>
        <d v="2025-03-18T00:00:00" u="1"/>
        <d v="2025-09-24T00:00:00" u="1"/>
        <d v="2025-03-19T00:00:00" u="1"/>
        <d v="2024-10-22T00:00:00" u="1"/>
        <d v="2024-10-23T00:00:00" u="1"/>
        <d v="2025-03-10T00:00:00" u="1"/>
        <d v="2024-10-13T00:00:00" u="1"/>
        <d v="2024-10-14T00:00:00" u="1"/>
        <d v="2025-03-03T00:00:00" u="1"/>
        <d v="2025-02-23T00:00:00" u="1"/>
        <d v="2024-10-04T00:00:00" u="1"/>
        <d v="2024-10-07T00:00:00" u="1"/>
        <d v="2024-10-05T00:00:00" u="1"/>
        <d v="2024-10-09T00:00:00" u="1"/>
        <d v="2024-10-12T00:00:00" u="1"/>
        <d v="2024-10-11T00:00:00" u="1"/>
        <d v="2024-10-10T00:00:00" u="1"/>
        <d v="2024-10-16T00:00:00" u="1"/>
        <d v="2024-10-03T00:00:00" u="1"/>
        <d v="2024-10-01T00:00:00" u="1"/>
        <d v="2025-02-07T00:00:00" u="1"/>
        <d v="2025-02-26T00:00:00" u="1"/>
        <d v="2025-02-28T00:00:00" u="1"/>
        <d v="2025-03-04T00:00:00" u="1"/>
        <d v="2025-03-05T00:00:00" u="1"/>
        <d v="2025-02-24T00:00:00" u="1"/>
        <d v="2024-10-15T00:00:00" u="1"/>
        <d v="2025-01-30T00:00:00" u="1"/>
        <d v="2025-01-25T00:00:00" u="1"/>
        <d v="2024-10-08T00:00:00" u="1"/>
        <d v="2024-09-30T00:00:00" u="1"/>
        <d v="2024-09-27T00:00:00" u="1"/>
        <d v="2024-09-29T00:00:00" u="1"/>
        <d v="2024-10-06T00:00:00" u="1"/>
        <d v="2024-03-19T00:00:00" u="1"/>
        <d v="2024-09-26T00:00:00" u="1"/>
        <d v="2024-09-25T00:00:00" u="1"/>
        <d v="2024-09-24T00:00:00" u="1"/>
        <d v="2024-09-23T00:00:00" u="1"/>
      </sharedItems>
      <fieldGroup par="27"/>
    </cacheField>
    <cacheField name="# Días para Caducar" numFmtId="170">
      <sharedItems containsBlank="1" containsMixedTypes="1" containsNumber="1" containsInteger="1" minValue="4" maxValue="517"/>
    </cacheField>
    <cacheField name="V.U. Actual" numFmtId="9">
      <sharedItems containsString="0" containsBlank="1" containsNumber="1" minValue="0" maxValue="4.5333333333333332"/>
    </cacheField>
    <cacheField name="Stock Actual Unds" numFmtId="170">
      <sharedItems containsString="0" containsBlank="1" containsNumber="1" minValue="0" maxValue="37632"/>
    </cacheField>
    <cacheField name="Stock Actual Kgs" numFmtId="0">
      <sharedItems containsBlank="1" containsMixedTypes="1" containsNumber="1" minValue="0" maxValue="9408"/>
    </cacheField>
    <cacheField name="# DÍAS Recepción Producto" numFmtId="170">
      <sharedItems containsBlank="1" containsMixedTypes="1" containsNumber="1" containsInteger="1" minValue="-150" maxValue="389"/>
    </cacheField>
    <cacheField name="V.U Recepción Producto" numFmtId="9">
      <sharedItems containsBlank="1" containsMixedTypes="1" containsNumber="1" minValue="0.25" maxValue="6"/>
    </cacheField>
    <cacheField name="COSTO UNIT base" numFmtId="169">
      <sharedItems containsString="0" containsBlank="1" containsNumber="1" minValue="0" maxValue="12.450799999999999"/>
    </cacheField>
    <cacheField name="COSTO UNIT Conv" numFmtId="169">
      <sharedItems containsBlank="1" containsMixedTypes="1" containsNumber="1" minValue="0.11866" maxValue="19.626948000000002"/>
    </cacheField>
    <cacheField name="COSTO TOTAL" numFmtId="0">
      <sharedItems containsBlank="1" containsMixedTypes="1" containsNumber="1" minValue="0" maxValue="57565.361069999999"/>
    </cacheField>
    <cacheField name="DIAS DE ALMACENAMIENTO" numFmtId="0">
      <sharedItems containsBlank="1" containsMixedTypes="1" containsNumber="1" containsInteger="1" minValue="-338" maxValue="45623"/>
    </cacheField>
    <cacheField name="STATUS" numFmtId="0">
      <sharedItems containsBlank="1" count="6">
        <s v="VIGENTE"/>
        <s v="PROXIMOS FECHA CORTA"/>
        <s v="FECHA CORTA"/>
        <s v=""/>
        <m/>
        <s v="CADUCADO" u="1"/>
      </sharedItems>
    </cacheField>
    <cacheField name="TONELADAS (KG)" numFmtId="171">
      <sharedItems containsBlank="1" containsMixedTypes="1" containsNumber="1" minValue="0" maxValue="9.4079999999999995"/>
    </cacheField>
    <cacheField name="Meses (Fecha Cad)" numFmtId="0" databaseField="0">
      <fieldGroup base="12">
        <rangePr groupBy="months" startDate="1899-12-30T00:00:00" endDate="2026-04-29T00:00:00"/>
        <groupItems count="14">
          <s v="&lt;00/01/190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9/04/2026"/>
        </groupItems>
      </fieldGroup>
    </cacheField>
    <cacheField name="Trimestres (Fecha Cad)" numFmtId="0" databaseField="0">
      <fieldGroup base="12">
        <rangePr groupBy="quarters" startDate="1899-12-30T00:00:00" endDate="2026-04-29T00:00:00"/>
        <groupItems count="6">
          <s v="&lt;00/01/1900"/>
          <s v="Trim.1"/>
          <s v="Trim.2"/>
          <s v="Trim.3"/>
          <s v="Trim.4"/>
          <s v="&gt;29/04/2026"/>
        </groupItems>
      </fieldGroup>
    </cacheField>
    <cacheField name="Años (Fecha Cad)" numFmtId="0" databaseField="0">
      <fieldGroup base="12">
        <rangePr groupBy="years" startDate="1899-12-30T00:00:00" endDate="2026-04-29T00:00:00"/>
        <groupItems count="129">
          <s v="&lt;00/01/19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&gt;29/04/202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EN RICARDO QUINATOA QUINATOA" refreshedDate="45623.605736111109" createdVersion="3" refreshedVersion="8" minRefreshableVersion="3" recordCount="0" supportSubquery="1" supportAdvancedDrill="1" xr:uid="{25ECBAC7-06A9-4C7A-AD8C-FB1C47B26F74}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24">
    <cacheHierarchy uniqueName="[Listado_PT].[Material]" caption="Material" attribute="1" defaultMemberUniqueName="[Listado_PT].[Material].[All]" allUniqueName="[Listado_PT].[Material].[All]" dimensionUniqueName="[Listado_PT]" displayFolder="" count="0" memberValueDatatype="130" unbalanced="0"/>
    <cacheHierarchy uniqueName="[Listado_PT].[Texto breve de material]" caption="Texto breve de material" attribute="1" defaultMemberUniqueName="[Listado_PT].[Texto breve de material].[All]" allUniqueName="[Listado_PT].[Texto breve de material].[All]" dimensionUniqueName="[Listado_PT]" displayFolder="" count="0" memberValueDatatype="130" unbalanced="0"/>
    <cacheHierarchy uniqueName="[Listado_PT].[GrM2]" caption="GrM2" attribute="1" defaultMemberUniqueName="[Listado_PT].[GrM2].[All]" allUniqueName="[Listado_PT].[GrM2].[All]" dimensionUniqueName="[Listado_PT]" displayFolder="" count="0" memberValueDatatype="5" unbalanced="0"/>
    <cacheHierarchy uniqueName="[Listado_PT].[GrM2_Marca]" caption="GrM2_Marca" attribute="1" defaultMemberUniqueName="[Listado_PT].[GrM2_Marca].[All]" allUniqueName="[Listado_PT].[GrM2_Marca].[All]" dimensionUniqueName="[Listado_PT]" displayFolder="" count="0" memberValueDatatype="130" unbalanced="0"/>
    <cacheHierarchy uniqueName="[Listado_PT].[GrM3]" caption="GrM3" attribute="1" defaultMemberUniqueName="[Listado_PT].[GrM3].[All]" allUniqueName="[Listado_PT].[GrM3].[All]" dimensionUniqueName="[Listado_PT]" displayFolder="" count="0" memberValueDatatype="5" unbalanced="0"/>
    <cacheHierarchy uniqueName="[Listado_PT].[GrM3_Familia]" caption="GrM3_Familia" attribute="1" defaultMemberUniqueName="[Listado_PT].[GrM3_Familia].[All]" allUniqueName="[Listado_PT].[GrM3_Familia].[All]" dimensionUniqueName="[Listado_PT]" displayFolder="" count="0" memberValueDatatype="130" unbalanced="0"/>
    <cacheHierarchy uniqueName="[Listado_PT].[PLM STATUS]" caption="PLM STATUS" attribute="1" defaultMemberUniqueName="[Listado_PT].[PLM STATUS].[All]" allUniqueName="[Listado_PT].[PLM STATUS].[All]" dimensionUniqueName="[Listado_PT]" displayFolder="" count="0" memberValueDatatype="130" unbalanced="0"/>
    <cacheHierarchy uniqueName="[Listado_PT].[Estado]" caption="Estado" attribute="1" defaultMemberUniqueName="[Listado_PT].[Estado].[All]" allUniqueName="[Listado_PT].[Estado].[All]" dimensionUniqueName="[Listado_PT]" displayFolder="" count="0" memberValueDatatype="130" unbalanced="0"/>
    <cacheHierarchy uniqueName="[Listado_PT].[Origen]" caption="Origen" attribute="1" defaultMemberUniqueName="[Listado_PT].[Origen].[All]" allUniqueName="[Listado_PT].[Origen].[All]" dimensionUniqueName="[Listado_PT]" displayFolder="" count="0" memberValueDatatype="130" unbalanced="0"/>
    <cacheHierarchy uniqueName="[Listado_PT].[Planta]" caption="Planta" attribute="1" defaultMemberUniqueName="[Listado_PT].[Planta].[All]" allUniqueName="[Listado_PT].[Planta].[All]" dimensionUniqueName="[Listado_PT]" displayFolder="" count="0" memberValueDatatype="130" unbalanced="0"/>
    <cacheHierarchy uniqueName="[Listado_PT].[Tipo_Producto]" caption="Tipo_Producto" attribute="1" defaultMemberUniqueName="[Listado_PT].[Tipo_Producto].[All]" allUniqueName="[Listado_PT].[Tipo_Producto].[All]" dimensionUniqueName="[Listado_PT]" displayFolder="" count="0" memberValueDatatype="130" unbalanced="0"/>
    <cacheHierarchy uniqueName="[Listado_PT].[Tipo_venta]" caption="Tipo_venta" attribute="1" defaultMemberUniqueName="[Listado_PT].[Tipo_venta].[All]" allUniqueName="[Listado_PT].[Tipo_venta].[All]" dimensionUniqueName="[Listado_PT]" displayFolder="" count="0" memberValueDatatype="130" unbalanced="0"/>
    <cacheHierarchy uniqueName="[Listado_PT].[Unidad_Primaria]" caption="Unidad_Primaria" attribute="1" defaultMemberUniqueName="[Listado_PT].[Unidad_Primaria].[All]" allUniqueName="[Listado_PT].[Unidad_Primaria].[All]" dimensionUniqueName="[Listado_PT]" displayFolder="" count="0" memberValueDatatype="130" unbalanced="0"/>
    <cacheHierarchy uniqueName="[Listado_PT].[Gramaje]" caption="Gramaje" attribute="1" defaultMemberUniqueName="[Listado_PT].[Gramaje].[All]" allUniqueName="[Listado_PT].[Gramaje].[All]" dimensionUniqueName="[Listado_PT]" displayFolder="" count="0" memberValueDatatype="5" unbalanced="0"/>
    <cacheHierarchy uniqueName="[Listado_PT].[Estado_Proyec]" caption="Estado_Proyec" attribute="1" defaultMemberUniqueName="[Listado_PT].[Estado_Proyec].[All]" allUniqueName="[Listado_PT].[Estado_Proyec].[All]" dimensionUniqueName="[Listado_PT]" displayFolder="" count="0" memberValueDatatype="11" unbalanced="0"/>
    <cacheHierarchy uniqueName="[Listado_PT].[Cnsrv]" caption="Cnsrv" attribute="1" defaultMemberUniqueName="[Listado_PT].[Cnsrv].[All]" allUniqueName="[Listado_PT].[Cnsrv].[All]" dimensionUniqueName="[Listado_PT]" displayFolder="" count="0" memberValueDatatype="5" unbalanced="0"/>
    <cacheHierarchy uniqueName="[Listado_PT].[Categoría]" caption="Categoría" attribute="1" defaultMemberUniqueName="[Listado_PT].[Categoría].[All]" allUniqueName="[Listado_PT].[Categoría].[All]" dimensionUniqueName="[Listado_PT]" displayFolder="" count="0" memberValueDatatype="130" unbalanced="0"/>
    <cacheHierarchy uniqueName="[Listado_PT].[Plan de Embarque]" caption="Plan de Embarque" attribute="1" defaultMemberUniqueName="[Listado_PT].[Plan de Embarque].[All]" allUniqueName="[Listado_PT].[Plan de Embarque].[All]" dimensionUniqueName="[Listado_PT]" displayFolder="" count="0" memberValueDatatype="130" unbalanced="0"/>
    <cacheHierarchy uniqueName="[Listado_PT].[Gramaje Base]" caption="Gramaje Base" attribute="1" defaultMemberUniqueName="[Listado_PT].[Gramaje Base].[All]" allUniqueName="[Listado_PT].[Gramaje Base].[All]" dimensionUniqueName="[Listado_PT]" displayFolder="" count="0" memberValueDatatype="5" unbalanced="0"/>
    <cacheHierarchy uniqueName="[Listado_PT].[% Participación Gramaje Base]" caption="% Participación Gramaje Base" attribute="1" defaultMemberUniqueName="[Listado_PT].[% Participación Gramaje Base].[All]" allUniqueName="[Listado_PT].[% Participación Gramaje Base].[All]" dimensionUniqueName="[Listado_PT]" displayFolder="" count="0" memberValueDatatype="5" unbalanced="0"/>
    <cacheHierarchy uniqueName="[Listado_PT].[Costo Unitario]" caption="Costo Unitario" attribute="1" defaultMemberUniqueName="[Listado_PT].[Costo Unitario].[All]" allUniqueName="[Listado_PT].[Costo Unitario].[All]" dimensionUniqueName="[Listado_PT]" displayFolder="" count="0" memberValueDatatype="5" unbalanced="0"/>
    <cacheHierarchy uniqueName="[Listado_PT].[Área]" caption="Área" attribute="1" defaultMemberUniqueName="[Listado_PT].[Área].[All]" allUniqueName="[Listado_PT].[Área].[All]" dimensionUniqueName="[Listado_PT]" displayFolder="" count="0" memberValueDatatype="130" unbalanced="0"/>
    <cacheHierarchy uniqueName="[Listado_PT].[UND/MINUTO]" caption="UND/MINUTO" attribute="1" defaultMemberUniqueName="[Listado_PT].[UND/MINUTO].[All]" allUniqueName="[Listado_PT].[UND/MINUTO].[All]" dimensionUniqueName="[Listado_PT]" displayFolder="" count="0" memberValueDatatype="5" unbalanced="0"/>
    <cacheHierarchy uniqueName="[Listado_PT].[OEE]" caption="OEE" attribute="1" defaultMemberUniqueName="[Listado_PT].[OEE].[All]" allUniqueName="[Listado_PT].[OEE].[All]" dimensionUniqueName="[Listado_PT]" displayFolder="" count="0" memberValueDatatype="5" unbalanced="0"/>
    <cacheHierarchy uniqueName="[Listado_PT].[UND/CUBETA]" caption="UND/CUBETA" attribute="1" defaultMemberUniqueName="[Listado_PT].[UND/CUBETA].[All]" allUniqueName="[Listado_PT].[UND/CUBETA].[All]" dimensionUniqueName="[Listado_PT]" displayFolder="" count="0" memberValueDatatype="5" unbalanced="0"/>
    <cacheHierarchy uniqueName="[Listado_PT].[CAPACIDAD CUBETAS]" caption="CAPACIDAD CUBETAS" attribute="1" defaultMemberUniqueName="[Listado_PT].[CAPACIDAD CUBETAS].[All]" allUniqueName="[Listado_PT].[CAPACIDAD CUBETAS].[All]" dimensionUniqueName="[Listado_PT]" displayFolder="" count="0" memberValueDatatype="5" unbalanced="0"/>
    <cacheHierarchy uniqueName="[Listado_PT].[CUBETA/PALLET]" caption="CUBETA/PALLET" attribute="1" defaultMemberUniqueName="[Listado_PT].[CUBETA/PALLET].[All]" allUniqueName="[Listado_PT].[CUBETA/PALLET].[All]" dimensionUniqueName="[Listado_PT]" displayFolder="" count="0" memberValueDatatype="5" unbalanced="0"/>
    <cacheHierarchy uniqueName="[Listado_PT].[CAPACIDAD PALLET]" caption="CAPACIDAD PALLET" attribute="1" defaultMemberUniqueName="[Listado_PT].[CAPACIDAD PALLET].[All]" allUniqueName="[Listado_PT].[CAPACIDAD PALLET].[All]" dimensionUniqueName="[Listado_PT]" displayFolder="" count="0" memberValueDatatype="5" unbalanced="0"/>
    <cacheHierarchy uniqueName="[Listado_PT].[KG/BATCH]" caption="KG/BATCH" attribute="1" defaultMemberUniqueName="[Listado_PT].[KG/BATCH].[All]" allUniqueName="[Listado_PT].[KG/BATCH].[All]" dimensionUniqueName="[Listado_PT]" displayFolder="" count="0" memberValueDatatype="5" unbalanced="0"/>
    <cacheHierarchy uniqueName="[Listado_PT].[UND/BATCH]" caption="UND/BATCH" attribute="1" defaultMemberUniqueName="[Listado_PT].[UND/BATCH].[All]" allUniqueName="[Listado_PT].[UND/BATCH].[All]" dimensionUniqueName="[Listado_PT]" displayFolder="" count="0" memberValueDatatype="5" unbalanced="0"/>
    <cacheHierarchy uniqueName="[Listado_PT].[MAQUINA]" caption="MAQUINA" attribute="1" defaultMemberUniqueName="[Listado_PT].[MAQUINA].[All]" allUniqueName="[Listado_PT].[MAQUINA].[All]" dimensionUniqueName="[Listado_PT]" displayFolder="" count="0" memberValueDatatype="130" unbalanced="0"/>
    <cacheHierarchy uniqueName="[Listado_PT].[Familia por base]" caption="Familia por base" attribute="1" defaultMemberUniqueName="[Listado_PT].[Familia por base].[All]" allUniqueName="[Listado_PT].[Familia por base].[All]" dimensionUniqueName="[Listado_PT]" displayFolder="" count="0" memberValueDatatype="130" unbalanced="0"/>
    <cacheHierarchy uniqueName="[Listado_PT].[Familia por base_SAP]" caption="Familia por base_SAP" attribute="1" defaultMemberUniqueName="[Listado_PT].[Familia por base_SAP].[All]" allUniqueName="[Listado_PT].[Familia por base_SAP].[All]" dimensionUniqueName="[Listado_PT]" displayFolder="" count="0" memberValueDatatype="130" unbalanced="0"/>
    <cacheHierarchy uniqueName="[Listado_PT].[Días de Maduración]" caption="Días de Maduración" attribute="1" defaultMemberUniqueName="[Listado_PT].[Días de Maduración].[All]" allUniqueName="[Listado_PT].[Días de Maduración].[All]" dimensionUniqueName="[Listado_PT]" displayFolder="" count="0" memberValueDatatype="5" unbalanced="0"/>
    <cacheHierarchy uniqueName="[Listado_PT].[Factor de Uso Leche]" caption="Factor de Uso Leche" attribute="1" defaultMemberUniqueName="[Listado_PT].[Factor de Uso Leche].[All]" allUniqueName="[Listado_PT].[Factor de Uso Leche].[All]" dimensionUniqueName="[Listado_PT]" displayFolder="" count="0" memberValueDatatype="5" unbalanced="0"/>
    <cacheHierarchy uniqueName="[Listado_PT].[Tipo de Leche 1]" caption="Tipo de Leche 1" attribute="1" defaultMemberUniqueName="[Listado_PT].[Tipo de Leche 1].[All]" allUniqueName="[Listado_PT].[Tipo de Leche 1].[All]" dimensionUniqueName="[Listado_PT]" displayFolder="" count="0" memberValueDatatype="130" unbalanced="0"/>
    <cacheHierarchy uniqueName="[Listado_PT].[Tipo de Leche 2]" caption="Tipo de Leche 2" attribute="1" defaultMemberUniqueName="[Listado_PT].[Tipo de Leche 2].[All]" allUniqueName="[Listado_PT].[Tipo de Leche 2].[All]" dimensionUniqueName="[Listado_PT]" displayFolder="" count="0" memberValueDatatype="130" unbalanced="0"/>
    <cacheHierarchy uniqueName="[Listado_PT].[Tipo de Leche 3]" caption="Tipo de Leche 3" attribute="1" defaultMemberUniqueName="[Listado_PT].[Tipo de Leche 3].[All]" allUniqueName="[Listado_PT].[Tipo de Leche 3].[All]" dimensionUniqueName="[Listado_PT]" displayFolder="" count="0" memberValueDatatype="130" unbalanced="0"/>
    <cacheHierarchy uniqueName="[Listado_PT].[Factor de Uso Leche 1]" caption="Factor de Uso Leche 1" attribute="1" defaultMemberUniqueName="[Listado_PT].[Factor de Uso Leche 1].[All]" allUniqueName="[Listado_PT].[Factor de Uso Leche 1].[All]" dimensionUniqueName="[Listado_PT]" displayFolder="" count="0" memberValueDatatype="5" unbalanced="0"/>
    <cacheHierarchy uniqueName="[Listado_PT].[Factor de Uso Leche 2]" caption="Factor de Uso Leche 2" attribute="1" defaultMemberUniqueName="[Listado_PT].[Factor de Uso Leche 2].[All]" allUniqueName="[Listado_PT].[Factor de Uso Leche 2].[All]" dimensionUniqueName="[Listado_PT]" displayFolder="" count="0" memberValueDatatype="5" unbalanced="0"/>
    <cacheHierarchy uniqueName="[Listado_PT].[Factor de Uso Leche 3]" caption="Factor de Uso Leche 3" attribute="1" defaultMemberUniqueName="[Listado_PT].[Factor de Uso Leche 3].[All]" allUniqueName="[Listado_PT].[Factor de Uso Leche 3].[All]" dimensionUniqueName="[Listado_PT]" displayFolder="" count="0" memberValueDatatype="5" unbalanced="0"/>
    <cacheHierarchy uniqueName="[Listado_PT].[Factor Uso LECHE EN POLVO]" caption="Factor Uso LECHE EN POLVO" attribute="1" defaultMemberUniqueName="[Listado_PT].[Factor Uso LECHE EN POLVO].[All]" allUniqueName="[Listado_PT].[Factor Uso LECHE EN POLVO].[All]" dimensionUniqueName="[Listado_PT]" displayFolder="" count="0" memberValueDatatype="5" unbalanced="0"/>
    <cacheHierarchy uniqueName="[Listado_PT].[Generación de Crema 1]" caption="Generación de Crema 1" attribute="1" defaultMemberUniqueName="[Listado_PT].[Generación de Crema 1].[All]" allUniqueName="[Listado_PT].[Generación de Crema 1].[All]" dimensionUniqueName="[Listado_PT]" displayFolder="" count="0" memberValueDatatype="5" unbalanced="0"/>
    <cacheHierarchy uniqueName="[Listado_PT].[Generación de Crema 2]" caption="Generación de Crema 2" attribute="1" defaultMemberUniqueName="[Listado_PT].[Generación de Crema 2].[All]" allUniqueName="[Listado_PT].[Generación de Crema 2].[All]" dimensionUniqueName="[Listado_PT]" displayFolder="" count="0" memberValueDatatype="5" unbalanced="0"/>
    <cacheHierarchy uniqueName="[Listado_PT].[Generación de Crema 3]" caption="Generación de Crema 3" attribute="1" defaultMemberUniqueName="[Listado_PT].[Generación de Crema 3].[All]" allUniqueName="[Listado_PT].[Generación de Crema 3].[All]" dimensionUniqueName="[Listado_PT]" displayFolder="" count="0" memberValueDatatype="5" unbalanced="0"/>
    <cacheHierarchy uniqueName="[Listado_PT].[Pérdida por Descremado 1]" caption="Pérdida por Descremado 1" attribute="1" defaultMemberUniqueName="[Listado_PT].[Pérdida por Descremado 1].[All]" allUniqueName="[Listado_PT].[Pérdida por Descremado 1].[All]" dimensionUniqueName="[Listado_PT]" displayFolder="" count="0" memberValueDatatype="5" unbalanced="0"/>
    <cacheHierarchy uniqueName="[Listado_PT].[Pérdida por Descremado 2]" caption="Pérdida por Descremado 2" attribute="1" defaultMemberUniqueName="[Listado_PT].[Pérdida por Descremado 2].[All]" allUniqueName="[Listado_PT].[Pérdida por Descremado 2].[All]" dimensionUniqueName="[Listado_PT]" displayFolder="" count="0" memberValueDatatype="5" unbalanced="0"/>
    <cacheHierarchy uniqueName="[Listado_PT].[Pérdida por Descremado 3]" caption="Pérdida por Descremado 3" attribute="1" defaultMemberUniqueName="[Listado_PT].[Pérdida por Descremado 3].[All]" allUniqueName="[Listado_PT].[Pérdida por Descremado 3].[All]" dimensionUniqueName="[Listado_PT]" displayFolder="" count="0" memberValueDatatype="5" unbalanced="0"/>
    <cacheHierarchy uniqueName="[Listado_PT].[Factor de Uso Crema 1]" caption="Factor de Uso Crema 1" attribute="1" defaultMemberUniqueName="[Listado_PT].[Factor de Uso Crema 1].[All]" allUniqueName="[Listado_PT].[Factor de Uso Crema 1].[All]" dimensionUniqueName="[Listado_PT]" displayFolder="" count="0" memberValueDatatype="5" unbalanced="0"/>
    <cacheHierarchy uniqueName="[Listado_PT].[Abreviado]" caption="Abreviado" attribute="1" defaultMemberUniqueName="[Listado_PT].[Abreviado].[All]" allUniqueName="[Listado_PT].[Abreviado].[All]" dimensionUniqueName="[Listado_PT]" displayFolder="" count="0" memberValueDatatype="130" unbalanced="0"/>
    <cacheHierarchy uniqueName="[Listado_PT].[Peso Empaque]" caption="Peso Empaque" attribute="1" defaultMemberUniqueName="[Listado_PT].[Peso Empaque].[All]" allUniqueName="[Listado_PT].[Peso Empaque].[All]" dimensionUniqueName="[Listado_PT]" displayFolder="" count="0" memberValueDatatype="5" unbalanced="0"/>
    <cacheHierarchy uniqueName="[Listado_PT].[Estaciones]" caption="Estaciones" attribute="1" defaultMemberUniqueName="[Listado_PT].[Estaciones].[All]" allUniqueName="[Listado_PT].[Estaciones].[All]" dimensionUniqueName="[Listado_PT]" displayFolder="" count="0" memberValueDatatype="20" unbalanced="0"/>
    <cacheHierarchy uniqueName="[Listado_PT].[ResponsableMarca]" caption="ResponsableMarca" attribute="1" defaultMemberUniqueName="[Listado_PT].[ResponsableMarca].[All]" allUniqueName="[Listado_PT].[ResponsableMarca].[All]" dimensionUniqueName="[Listado_PT]" displayFolder="" count="0" memberValueDatatype="130" unbalanced="0"/>
    <cacheHierarchy uniqueName="[Listado_PT].[precio_base]" caption="precio_base" attribute="1" defaultMemberUniqueName="[Listado_PT].[precio_base].[All]" allUniqueName="[Listado_PT].[precio_base].[All]" dimensionUniqueName="[Listado_PT]" displayFolder="" count="0" memberValueDatatype="5" unbalanced="0"/>
    <cacheHierarchy uniqueName="[Listado_PT].[id_TipoMaterial]" caption="id_TipoMaterial" attribute="1" defaultMemberUniqueName="[Listado_PT].[id_TipoMaterial].[All]" allUniqueName="[Listado_PT].[id_TipoMaterial].[All]" dimensionUniqueName="[Listado_PT]" displayFolder="" count="0" memberValueDatatype="130" unbalanced="0"/>
    <cacheHierarchy uniqueName="[Listado_PT].[id_GrupoMateriales]" caption="id_GrupoMateriales" attribute="1" defaultMemberUniqueName="[Listado_PT].[id_GrupoMateriales].[All]" allUniqueName="[Listado_PT].[id_GrupoMateriales].[All]" dimensionUniqueName="[Listado_PT]" displayFolder="" count="0" memberValueDatatype="130" unbalanced="0"/>
    <cacheHierarchy uniqueName="[Listado_PT].[Embarque]" caption="Embarque" attribute="1" defaultMemberUniqueName="[Listado_PT].[Embarque].[All]" allUniqueName="[Listado_PT].[Embarque].[All]" dimensionUniqueName="[Listado_PT]" displayFolder="" count="0" memberValueDatatype="130" unbalanced="0"/>
    <cacheHierarchy uniqueName="[Reporte Stock DiarioPRG].[Fecha]" caption="Fecha" attribute="1" time="1" defaultMemberUniqueName="[Reporte Stock DiarioPRG].[Fecha].[All]" allUniqueName="[Reporte Stock DiarioPRG].[Fecha].[All]" dimensionUniqueName="[Reporte Stock DiarioPRG]" displayFolder="" count="0" memberValueDatatype="7" unbalanced="0"/>
    <cacheHierarchy uniqueName="[Reporte Stock DiarioPRG].[Clave]" caption="Clave" attribute="1" defaultMemberUniqueName="[Reporte Stock DiarioPRG].[Clave].[All]" allUniqueName="[Reporte Stock DiarioPRG].[Clave].[All]" dimensionUniqueName="[Reporte Stock DiarioPRG]" displayFolder="" count="0" memberValueDatatype="130" unbalanced="0"/>
    <cacheHierarchy uniqueName="[Reporte Stock DiarioPRG].[IdCentro]" caption="IdCentro" attribute="1" defaultMemberUniqueName="[Reporte Stock DiarioPRG].[IdCentro].[All]" allUniqueName="[Reporte Stock DiarioPRG].[IdCentro].[All]" dimensionUniqueName="[Reporte Stock DiarioPRG]" displayFolder="" count="0" memberValueDatatype="130" unbalanced="0"/>
    <cacheHierarchy uniqueName="[Reporte Stock DiarioPRG].[Centro]" caption="Centro" attribute="1" defaultMemberUniqueName="[Reporte Stock DiarioPRG].[Centro].[All]" allUniqueName="[Reporte Stock DiarioPRG].[Centro].[All]" dimensionUniqueName="[Reporte Stock DiarioPRG]" displayFolder="" count="2" memberValueDatatype="130" unbalanced="0"/>
    <cacheHierarchy uniqueName="[Reporte Stock DiarioPRG].[Almacen]" caption="Almacen" attribute="1" defaultMemberUniqueName="[Reporte Stock DiarioPRG].[Almacen].[All]" allUniqueName="[Reporte Stock DiarioPRG].[Almacen].[All]" dimensionUniqueName="[Reporte Stock DiarioPRG]" displayFolder="" count="0" memberValueDatatype="130" unbalanced="0"/>
    <cacheHierarchy uniqueName="[Reporte Stock DiarioPRG].[Marca]" caption="Marca" attribute="1" defaultMemberUniqueName="[Reporte Stock DiarioPRG].[Marca].[All]" allUniqueName="[Reporte Stock DiarioPRG].[Marca].[All]" dimensionUniqueName="[Reporte Stock DiarioPRG]" displayFolder="" count="2" memberValueDatatype="130" unbalanced="0"/>
    <cacheHierarchy uniqueName="[Reporte Stock DiarioPRG].[Familia]" caption="Familia" attribute="1" defaultMemberUniqueName="[Reporte Stock DiarioPRG].[Familia].[All]" allUniqueName="[Reporte Stock DiarioPRG].[Familia].[All]" dimensionUniqueName="[Reporte Stock DiarioPRG]" displayFolder="" count="0" memberValueDatatype="130" unbalanced="0"/>
    <cacheHierarchy uniqueName="[Reporte Stock DiarioPRG].[PLM STATUS]" caption="PLM STATUS" attribute="1" defaultMemberUniqueName="[Reporte Stock DiarioPRG].[PLM STATUS].[All]" allUniqueName="[Reporte Stock DiarioPRG].[PLM STATUS].[All]" dimensionUniqueName="[Reporte Stock DiarioPRG]" displayFolder="" count="0" memberValueDatatype="130" unbalanced="0"/>
    <cacheHierarchy uniqueName="[Reporte Stock DiarioPRG].[Tipo_Producto]" caption="Tipo_Producto" attribute="1" defaultMemberUniqueName="[Reporte Stock DiarioPRG].[Tipo_Producto].[All]" allUniqueName="[Reporte Stock DiarioPRG].[Tipo_Producto].[All]" dimensionUniqueName="[Reporte Stock DiarioPRG]" displayFolder="" count="0" memberValueDatatype="130" unbalanced="0"/>
    <cacheHierarchy uniqueName="[Reporte Stock DiarioPRG].[Categoría]" caption="Categoría" attribute="1" defaultMemberUniqueName="[Reporte Stock DiarioPRG].[Categoría].[All]" allUniqueName="[Reporte Stock DiarioPRG].[Categoría].[All]" dimensionUniqueName="[Reporte Stock DiarioPRG]" displayFolder="" count="0" memberValueDatatype="130" unbalanced="0"/>
    <cacheHierarchy uniqueName="[Reporte Stock DiarioPRG].[Familia por base]" caption="Familia por base" attribute="1" defaultMemberUniqueName="[Reporte Stock DiarioPRG].[Familia por base].[All]" allUniqueName="[Reporte Stock DiarioPRG].[Familia por base].[All]" dimensionUniqueName="[Reporte Stock DiarioPRG]" displayFolder="" count="0" memberValueDatatype="130" unbalanced="0"/>
    <cacheHierarchy uniqueName="[Reporte Stock DiarioPRG].[Material]" caption="Material" attribute="1" defaultMemberUniqueName="[Reporte Stock DiarioPRG].[Material].[All]" allUniqueName="[Reporte Stock DiarioPRG].[Material].[All]" dimensionUniqueName="[Reporte Stock DiarioPRG]" displayFolder="" count="0" memberValueDatatype="130" unbalanced="0"/>
    <cacheHierarchy uniqueName="[Reporte Stock DiarioPRG].[Texto breve de material]" caption="Texto breve de material" attribute="1" defaultMemberUniqueName="[Reporte Stock DiarioPRG].[Texto breve de material].[All]" allUniqueName="[Reporte Stock DiarioPRG].[Texto breve de material].[All]" dimensionUniqueName="[Reporte Stock DiarioPRG]" displayFolder="" count="0" memberValueDatatype="130" unbalanced="0"/>
    <cacheHierarchy uniqueName="[Reporte Stock DiarioPRG].[Planta]" caption="Planta" attribute="1" defaultMemberUniqueName="[Reporte Stock DiarioPRG].[Planta].[All]" allUniqueName="[Reporte Stock DiarioPRG].[Planta].[All]" dimensionUniqueName="[Reporte Stock DiarioPRG]" displayFolder="" count="0" memberValueDatatype="130" unbalanced="0"/>
    <cacheHierarchy uniqueName="[Reporte Stock DiarioPRG].[Plan de Embarque]" caption="Plan de Embarque" attribute="1" defaultMemberUniqueName="[Reporte Stock DiarioPRG].[Plan de Embarque].[All]" allUniqueName="[Reporte Stock DiarioPRG].[Plan de Embarque].[All]" dimensionUniqueName="[Reporte Stock DiarioPRG]" displayFolder="" count="0" memberValueDatatype="130" unbalanced="0"/>
    <cacheHierarchy uniqueName="[Reporte Stock DiarioPRG].[Gramaje]" caption="Gramaje" attribute="1" defaultMemberUniqueName="[Reporte Stock DiarioPRG].[Gramaje].[All]" allUniqueName="[Reporte Stock DiarioPRG].[Gramaje].[All]" dimensionUniqueName="[Reporte Stock DiarioPRG]" displayFolder="" count="0" memberValueDatatype="5" unbalanced="0"/>
    <cacheHierarchy uniqueName="[Reporte Stock DiarioPRG].[Metodo]" caption="Metodo" attribute="1" defaultMemberUniqueName="[Reporte Stock DiarioPRG].[Metodo].[All]" allUniqueName="[Reporte Stock DiarioPRG].[Metodo].[All]" dimensionUniqueName="[Reporte Stock DiarioPRG]" displayFolder="" count="0" memberValueDatatype="20" unbalanced="0"/>
    <cacheHierarchy uniqueName="[Reporte Stock DiarioPRG].[Inventario Real]" caption="Inventario Real" attribute="1" defaultMemberUniqueName="[Reporte Stock DiarioPRG].[Inventario Real].[All]" allUniqueName="[Reporte Stock DiarioPRG].[Inventario Real].[All]" dimensionUniqueName="[Reporte Stock DiarioPRG]" displayFolder="" count="0" memberValueDatatype="5" unbalanced="0"/>
    <cacheHierarchy uniqueName="[Reporte Stock DiarioPRG].[Fecha Corta]" caption="Fecha Corta" attribute="1" defaultMemberUniqueName="[Reporte Stock DiarioPRG].[Fecha Corta].[All]" allUniqueName="[Reporte Stock DiarioPRG].[Fecha Corta].[All]" dimensionUniqueName="[Reporte Stock DiarioPRG]" displayFolder="" count="0" memberValueDatatype="5" unbalanced="0"/>
    <cacheHierarchy uniqueName="[Reporte Stock DiarioPRG].[Tránsito]" caption="Tránsito" attribute="1" defaultMemberUniqueName="[Reporte Stock DiarioPRG].[Tránsito].[All]" allUniqueName="[Reporte Stock DiarioPRG].[Tránsito].[All]" dimensionUniqueName="[Reporte Stock DiarioPRG]" displayFolder="" count="0" memberValueDatatype="5" unbalanced="0"/>
    <cacheHierarchy uniqueName="[Reporte Stock DiarioPRG].[Unidades_POC_N]" caption="Unidades_POC_N" attribute="1" defaultMemberUniqueName="[Reporte Stock DiarioPRG].[Unidades_POC_N].[All]" allUniqueName="[Reporte Stock DiarioPRG].[Unidades_POC_N].[All]" dimensionUniqueName="[Reporte Stock DiarioPRG]" displayFolder="" count="0" memberValueDatatype="5" unbalanced="0"/>
    <cacheHierarchy uniqueName="[Reporte Stock DiarioPRG].[Dias_SS_N]" caption="Dias_SS_N" attribute="1" defaultMemberUniqueName="[Reporte Stock DiarioPRG].[Dias_SS_N].[All]" allUniqueName="[Reporte Stock DiarioPRG].[Dias_SS_N].[All]" dimensionUniqueName="[Reporte Stock DiarioPRG]" displayFolder="" count="0" memberValueDatatype="5" unbalanced="0"/>
    <cacheHierarchy uniqueName="[Reporte Stock DiarioPRG].[SS_N]" caption="SS_N" attribute="1" defaultMemberUniqueName="[Reporte Stock DiarioPRG].[SS_N].[All]" allUniqueName="[Reporte Stock DiarioPRG].[SS_N].[All]" dimensionUniqueName="[Reporte Stock DiarioPRG]" displayFolder="" count="0" memberValueDatatype="5" unbalanced="0"/>
    <cacheHierarchy uniqueName="[Reporte Stock DiarioPRG].[Consumo Dia N]" caption="Consumo Dia N" attribute="1" defaultMemberUniqueName="[Reporte Stock DiarioPRG].[Consumo Dia N].[All]" allUniqueName="[Reporte Stock DiarioPRG].[Consumo Dia N].[All]" dimensionUniqueName="[Reporte Stock DiarioPRG]" displayFolder="" count="0" memberValueDatatype="5" unbalanced="0"/>
    <cacheHierarchy uniqueName="[Reporte Stock DiarioPRG].[Uni_desagregadas_N]" caption="Uni_desagregadas_N" attribute="1" defaultMemberUniqueName="[Reporte Stock DiarioPRG].[Uni_desagregadas_N].[All]" allUniqueName="[Reporte Stock DiarioPRG].[Uni_desagregadas_N].[All]" dimensionUniqueName="[Reporte Stock DiarioPRG]" displayFolder="" count="0" memberValueDatatype="5" unbalanced="0"/>
    <cacheHierarchy uniqueName="[Reporte Stock DiarioPRG].[Unidades_POC_N1]" caption="Unidades_POC_N1" attribute="1" defaultMemberUniqueName="[Reporte Stock DiarioPRG].[Unidades_POC_N1].[All]" allUniqueName="[Reporte Stock DiarioPRG].[Unidades_POC_N1].[All]" dimensionUniqueName="[Reporte Stock DiarioPRG]" displayFolder="" count="0" memberValueDatatype="5" unbalanced="0"/>
    <cacheHierarchy uniqueName="[Reporte Stock DiarioPRG].[Dias_SS_N1]" caption="Dias_SS_N1" attribute="1" defaultMemberUniqueName="[Reporte Stock DiarioPRG].[Dias_SS_N1].[All]" allUniqueName="[Reporte Stock DiarioPRG].[Dias_SS_N1].[All]" dimensionUniqueName="[Reporte Stock DiarioPRG]" displayFolder="" count="0" memberValueDatatype="5" unbalanced="0"/>
    <cacheHierarchy uniqueName="[Reporte Stock DiarioPRG].[SS_N1]" caption="SS_N1" attribute="1" defaultMemberUniqueName="[Reporte Stock DiarioPRG].[SS_N1].[All]" allUniqueName="[Reporte Stock DiarioPRG].[SS_N1].[All]" dimensionUniqueName="[Reporte Stock DiarioPRG]" displayFolder="" count="0" memberValueDatatype="5" unbalanced="0"/>
    <cacheHierarchy uniqueName="[Reporte Stock DiarioPRG].[Consumo Dia N1]" caption="Consumo Dia N1" attribute="1" defaultMemberUniqueName="[Reporte Stock DiarioPRG].[Consumo Dia N1].[All]" allUniqueName="[Reporte Stock DiarioPRG].[Consumo Dia N1].[All]" dimensionUniqueName="[Reporte Stock DiarioPRG]" displayFolder="" count="0" memberValueDatatype="5" unbalanced="0"/>
    <cacheHierarchy uniqueName="[Reporte Stock DiarioPRG].[Uni_desagregadas_N1]" caption="Uni_desagregadas_N1" attribute="1" defaultMemberUniqueName="[Reporte Stock DiarioPRG].[Uni_desagregadas_N1].[All]" allUniqueName="[Reporte Stock DiarioPRG].[Uni_desagregadas_N1].[All]" dimensionUniqueName="[Reporte Stock DiarioPRG]" displayFolder="" count="0" memberValueDatatype="5" unbalanced="0"/>
    <cacheHierarchy uniqueName="[Reporte Stock DiarioPRG].[Unidades_POC_N2]" caption="Unidades_POC_N2" attribute="1" defaultMemberUniqueName="[Reporte Stock DiarioPRG].[Unidades_POC_N2].[All]" allUniqueName="[Reporte Stock DiarioPRG].[Unidades_POC_N2].[All]" dimensionUniqueName="[Reporte Stock DiarioPRG]" displayFolder="" count="0" memberValueDatatype="5" unbalanced="0"/>
    <cacheHierarchy uniqueName="[Reporte Stock DiarioPRG].[Dias_SS_N2]" caption="Dias_SS_N2" attribute="1" defaultMemberUniqueName="[Reporte Stock DiarioPRG].[Dias_SS_N2].[All]" allUniqueName="[Reporte Stock DiarioPRG].[Dias_SS_N2].[All]" dimensionUniqueName="[Reporte Stock DiarioPRG]" displayFolder="" count="0" memberValueDatatype="5" unbalanced="0"/>
    <cacheHierarchy uniqueName="[Reporte Stock DiarioPRG].[SS_N2]" caption="SS_N2" attribute="1" defaultMemberUniqueName="[Reporte Stock DiarioPRG].[SS_N2].[All]" allUniqueName="[Reporte Stock DiarioPRG].[SS_N2].[All]" dimensionUniqueName="[Reporte Stock DiarioPRG]" displayFolder="" count="0" memberValueDatatype="5" unbalanced="0"/>
    <cacheHierarchy uniqueName="[Reporte Stock DiarioPRG].[Consumo Dia N2]" caption="Consumo Dia N2" attribute="1" defaultMemberUniqueName="[Reporte Stock DiarioPRG].[Consumo Dia N2].[All]" allUniqueName="[Reporte Stock DiarioPRG].[Consumo Dia N2].[All]" dimensionUniqueName="[Reporte Stock DiarioPRG]" displayFolder="" count="0" memberValueDatatype="5" unbalanced="0"/>
    <cacheHierarchy uniqueName="[Reporte Stock DiarioPRG].[Uni_desagregadas_N2]" caption="Uni_desagregadas_N2" attribute="1" defaultMemberUniqueName="[Reporte Stock DiarioPRG].[Uni_desagregadas_N2].[All]" allUniqueName="[Reporte Stock DiarioPRG].[Uni_desagregadas_N2].[All]" dimensionUniqueName="[Reporte Stock DiarioPRG]" displayFolder="" count="0" memberValueDatatype="5" unbalanced="0"/>
    <cacheHierarchy uniqueName="[Reporte Stock DiarioPRG].[Abreviado]" caption="Abreviado" attribute="1" defaultMemberUniqueName="[Reporte Stock DiarioPRG].[Abreviado].[All]" allUniqueName="[Reporte Stock DiarioPRG].[Abreviado].[All]" dimensionUniqueName="[Reporte Stock DiarioPRG]" displayFolder="" count="0" memberValueDatatype="130" unbalanced="0"/>
    <cacheHierarchy uniqueName="[Reporte Stock DiarioPRG].[Observacción]" caption="Observacción" attribute="1" defaultMemberUniqueName="[Reporte Stock DiarioPRG].[Observacción].[All]" allUniqueName="[Reporte Stock DiarioPRG].[Observacción].[All]" dimensionUniqueName="[Reporte Stock DiarioPRG]" displayFolder="" count="0" memberValueDatatype="130" unbalanced="0"/>
    <cacheHierarchy uniqueName="[Reporte Stock DiarioPRG].[Costo/Kilo]" caption="Costo/Kilo" attribute="1" defaultMemberUniqueName="[Reporte Stock DiarioPRG].[Costo/Kilo].[All]" allUniqueName="[Reporte Stock DiarioPRG].[Costo/Kilo].[All]" dimensionUniqueName="[Reporte Stock DiarioPRG]" displayFolder="" count="0" memberValueDatatype="5" unbalanced="0"/>
    <cacheHierarchy uniqueName="[Reporte Stock DiarioPRG].[Inventario Real Kg]" caption="Inventario Real Kg" attribute="1" defaultMemberUniqueName="[Reporte Stock DiarioPRG].[Inventario Real Kg].[All]" allUniqueName="[Reporte Stock DiarioPRG].[Inventario Real Kg].[All]" dimensionUniqueName="[Reporte Stock DiarioPRG]" displayFolder="" count="0" memberValueDatatype="5" unbalanced="0"/>
    <cacheHierarchy uniqueName="[Reporte Stock DiarioPRG].[Fecha Corta Kg]" caption="Fecha Corta Kg" attribute="1" defaultMemberUniqueName="[Reporte Stock DiarioPRG].[Fecha Corta Kg].[All]" allUniqueName="[Reporte Stock DiarioPRG].[Fecha Corta Kg].[All]" dimensionUniqueName="[Reporte Stock DiarioPRG]" displayFolder="" count="0" memberValueDatatype="5" unbalanced="0"/>
    <cacheHierarchy uniqueName="[Reporte Stock DiarioPRG].[Fecha Corta Kg Adj]" caption="Fecha Corta Kg Adj" attribute="1" defaultMemberUniqueName="[Reporte Stock DiarioPRG].[Fecha Corta Kg Adj].[All]" allUniqueName="[Reporte Stock DiarioPRG].[Fecha Corta Kg Adj].[All]" dimensionUniqueName="[Reporte Stock DiarioPRG]" displayFolder="" count="0" memberValueDatatype="5" unbalanced="0"/>
    <cacheHierarchy uniqueName="[Reporte Stock DiarioPRG].[Tránsito Kg]" caption="Tránsito Kg" attribute="1" defaultMemberUniqueName="[Reporte Stock DiarioPRG].[Tránsito Kg].[All]" allUniqueName="[Reporte Stock DiarioPRG].[Tránsito Kg].[All]" dimensionUniqueName="[Reporte Stock DiarioPRG]" displayFolder="" count="0" memberValueDatatype="5" unbalanced="0"/>
    <cacheHierarchy uniqueName="[Reporte Stock DiarioPRG].[Inventario Disponible Kg]" caption="Inventario Disponible Kg" attribute="1" defaultMemberUniqueName="[Reporte Stock DiarioPRG].[Inventario Disponible Kg].[All]" allUniqueName="[Reporte Stock DiarioPRG].[Inventario Disponible Kg].[All]" dimensionUniqueName="[Reporte Stock DiarioPRG]" displayFolder="" count="0" memberValueDatatype="5" unbalanced="0"/>
    <cacheHierarchy uniqueName="[Reporte Stock DiarioPRG].[Inventario Real $]" caption="Inventario Real $" attribute="1" defaultMemberUniqueName="[Reporte Stock DiarioPRG].[Inventario Real $].[All]" allUniqueName="[Reporte Stock DiarioPRG].[Inventario Real $].[All]" dimensionUniqueName="[Reporte Stock DiarioPRG]" displayFolder="" count="0" memberValueDatatype="5" unbalanced="0"/>
    <cacheHierarchy uniqueName="[Reporte Stock DiarioPRG].[Tránsito $]" caption="Tránsito $" attribute="1" defaultMemberUniqueName="[Reporte Stock DiarioPRG].[Tránsito $].[All]" allUniqueName="[Reporte Stock DiarioPRG].[Tránsito $].[All]" dimensionUniqueName="[Reporte Stock DiarioPRG]" displayFolder="" count="0" memberValueDatatype="5" unbalanced="0"/>
    <cacheHierarchy uniqueName="[Reporte Stock DiarioPRG].[Inventario Disponible $]" caption="Inventario Disponible $" attribute="1" defaultMemberUniqueName="[Reporte Stock DiarioPRG].[Inventario Disponible $].[All]" allUniqueName="[Reporte Stock DiarioPRG].[Inventario Disponible $].[All]" dimensionUniqueName="[Reporte Stock DiarioPRG]" displayFolder="" count="0" memberValueDatatype="5" unbalanced="0"/>
    <cacheHierarchy uniqueName="[Reporte Stock DiarioPRG].[Fecha Corta Adj $]" caption="Fecha Corta Adj $" attribute="1" defaultMemberUniqueName="[Reporte Stock DiarioPRG].[Fecha Corta Adj $].[All]" allUniqueName="[Reporte Stock DiarioPRG].[Fecha Corta Adj $].[All]" dimensionUniqueName="[Reporte Stock DiarioPRG]" displayFolder="" count="0" memberValueDatatype="5" unbalanced="0"/>
    <cacheHierarchy uniqueName="[Reporte Stock DiarioPRG].[Inventario Final Kg]" caption="Inventario Final Kg" attribute="1" defaultMemberUniqueName="[Reporte Stock DiarioPRG].[Inventario Final Kg].[All]" allUniqueName="[Reporte Stock DiarioPRG].[Inventario Final Kg].[All]" dimensionUniqueName="[Reporte Stock DiarioPRG]" displayFolder="" count="0" memberValueDatatype="5" unbalanced="0"/>
    <cacheHierarchy uniqueName="[Reporte Stock DiarioPRG].[Inventario Final $]" caption="Inventario Final $" attribute="1" defaultMemberUniqueName="[Reporte Stock DiarioPRG].[Inventario Final $].[All]" allUniqueName="[Reporte Stock DiarioPRG].[Inventario Final $].[All]" dimensionUniqueName="[Reporte Stock DiarioPRG]" displayFolder="" count="0" memberValueDatatype="5" unbalanced="0"/>
    <cacheHierarchy uniqueName="[Reporte Stock DiarioPRG].[Consumo Kg]" caption="Consumo Kg" attribute="1" defaultMemberUniqueName="[Reporte Stock DiarioPRG].[Consumo Kg].[All]" allUniqueName="[Reporte Stock DiarioPRG].[Consumo Kg].[All]" dimensionUniqueName="[Reporte Stock DiarioPRG]" displayFolder="" count="0" memberValueDatatype="5" unbalanced="0"/>
    <cacheHierarchy uniqueName="[Reporte Stock DiarioPRG].[Consumo Usd]" caption="Consumo Usd" attribute="1" defaultMemberUniqueName="[Reporte Stock DiarioPRG].[Consumo Usd].[All]" allUniqueName="[Reporte Stock DiarioPRG].[Consumo Usd].[All]" dimensionUniqueName="[Reporte Stock DiarioPRG]" displayFolder="" count="0" memberValueDatatype="5" unbalanced="0"/>
    <cacheHierarchy uniqueName="[Reporte Stock DiarioPRG].[Consumo_kg_sg]" caption="Consumo_kg_sg" attribute="1" defaultMemberUniqueName="[Reporte Stock DiarioPRG].[Consumo_kg_sg].[All]" allUniqueName="[Reporte Stock DiarioPRG].[Consumo_kg_sg].[All]" dimensionUniqueName="[Reporte Stock DiarioPRG]" displayFolder="" count="0" memberValueDatatype="5" unbalanced="0"/>
    <cacheHierarchy uniqueName="[Reporte Stock DiarioPRG].[Consumo_Kg_Mach]" caption="Consumo_Kg_Mach" attribute="1" defaultMemberUniqueName="[Reporte Stock DiarioPRG].[Consumo_Kg_Mach].[All]" allUniqueName="[Reporte Stock DiarioPRG].[Consumo_Kg_Mach].[All]" dimensionUniqueName="[Reporte Stock DiarioPRG]" displayFolder="" count="0" memberValueDatatype="5" unbalanced="0"/>
    <cacheHierarchy uniqueName="[Reporte Stock DiarioPRG].[Totales]" caption="Totales" attribute="1" defaultMemberUniqueName="[Reporte Stock DiarioPRG].[Totales].[All]" allUniqueName="[Reporte Stock DiarioPRG].[Totales].[All]" dimensionUniqueName="[Reporte Stock DiarioPRG]" displayFolder="" count="0" memberValueDatatype="5" unbalanced="0"/>
    <cacheHierarchy uniqueName="[Measures].[Con_Kg]" caption="Con_Kg" measure="1" displayFolder="" measureGroup="Reporte Stock DiarioPRG" count="0"/>
    <cacheHierarchy uniqueName="[Measures].[Con_Usd]" caption="Con_Usd" measure="1" displayFolder="" measureGroup="Reporte Stock DiarioPRG" count="0"/>
    <cacheHierarchy uniqueName="[Measures].[Con_SG_Kg]" caption="Con_SG_Kg" measure="1" displayFolder="" measureGroup="Reporte Stock DiarioPRG" count="0"/>
    <cacheHierarchy uniqueName="[Measures].[Con_Mach_kg]" caption="Con_Mach_kg" measure="1" displayFolder="" measureGroup="Reporte Stock DiarioPRG" count="0"/>
    <cacheHierarchy uniqueName="[Measures].[__XL_Count Reporte Stock DiarioPRG]" caption="__XL_Count Reporte Stock DiarioPRG" measure="1" displayFolder="" measureGroup="Reporte Stock DiarioPRG" count="0" hidden="1"/>
    <cacheHierarchy uniqueName="[Measures].[__XL_Count Listado_PT]" caption="__XL_Count Listado_PT" measure="1" displayFolder="" measureGroup="Listado_PT" count="0" hidden="1"/>
    <cacheHierarchy uniqueName="[Measures].[__No hay medidas definidas]" caption="__No hay medidas definidas" measure="1" displayFolder="" count="0" hidden="1"/>
    <cacheHierarchy uniqueName="[Measures].[Suma de Inventario Disponible Kg]" caption="Suma de Inventario Disponible Kg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a de Fecha Corta Kg Adj]" caption="Suma de Fecha Corta Kg Adj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a de Inventario Final Kg]" caption="Suma de Inventario Final Kg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Suma de Fecha Corta Adj $]" caption="Suma de Fecha Corta Adj $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a de Inventario Final $]" caption="Suma de Inventario Final $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a de Totales]" caption="Suma de Totales" measure="1" displayFolder="" measureGroup="Reporte Stock DiarioPRG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77874514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8">
  <r>
    <s v="SAN GABRIEL"/>
    <x v="0"/>
    <x v="0"/>
    <x v="0"/>
    <s v="QUESO FRESCO CREMOSO KIOSKO BLOQUE"/>
    <x v="0"/>
    <n v="7711"/>
    <n v="1001"/>
    <x v="0"/>
    <x v="0"/>
    <n v="270"/>
    <n v="1"/>
    <n v="0.45"/>
    <n v="45"/>
    <d v="2024-11-19T00:00:00"/>
    <s v="martes"/>
    <d v="2024-11-15T00:00:00"/>
    <x v="0"/>
    <n v="32"/>
    <n v="0.71111111111111114"/>
    <n v="2"/>
    <n v="0.9"/>
    <n v="4"/>
    <n v="0.91111111111111109"/>
    <n v="2.3185549999999999"/>
    <n v="2.3185549999999999"/>
    <n v="2.0866994999999999"/>
    <n v="8"/>
    <x v="0"/>
    <n v="8.9999999999999998E-4"/>
  </r>
  <r>
    <s v="SAN GABRIEL"/>
    <x v="0"/>
    <x v="0"/>
    <x v="0"/>
    <s v="QUESO FRESCO CREMOSO KIOSKO BLOQUE"/>
    <x v="0"/>
    <n v="7711"/>
    <n v="1001"/>
    <x v="0"/>
    <x v="0"/>
    <n v="90"/>
    <n v="1"/>
    <n v="0.45"/>
    <n v="45"/>
    <d v="2024-11-21T00:00:00"/>
    <s v="jueves"/>
    <d v="2024-11-15T00:00:00"/>
    <x v="0"/>
    <n v="32"/>
    <n v="0.71111111111111114"/>
    <n v="90"/>
    <n v="40.5"/>
    <n v="6"/>
    <n v="0.8666666666666667"/>
    <n v="2.3185549999999999"/>
    <n v="2.3185549999999999"/>
    <n v="93.901477499999999"/>
    <n v="6"/>
    <x v="0"/>
    <n v="4.0500000000000001E-2"/>
  </r>
  <r>
    <s v="SAN GABRIEL"/>
    <x v="0"/>
    <x v="0"/>
    <x v="1"/>
    <s v="QUESO MOZARELLA SNACK"/>
    <x v="0"/>
    <n v="7711"/>
    <n v="1001"/>
    <x v="1"/>
    <x v="1"/>
    <n v="1950"/>
    <n v="1"/>
    <n v="0.05"/>
    <n v="40"/>
    <d v="2024-11-15T00:00:00"/>
    <s v="viernes"/>
    <d v="2024-11-12T00:00:00"/>
    <x v="1"/>
    <n v="24"/>
    <n v="0.6"/>
    <n v="1059"/>
    <n v="52.95"/>
    <n v="3"/>
    <n v="0.92500000000000004"/>
    <n v="0.30701500000000004"/>
    <n v="0.30701500000000004"/>
    <n v="16.256444250000001"/>
    <n v="12"/>
    <x v="1"/>
    <n v="5.2950000000000004E-2"/>
  </r>
  <r>
    <s v="SAN GABRIEL"/>
    <x v="0"/>
    <x v="0"/>
    <x v="1"/>
    <s v="QUESO MOZARELLA SNACK"/>
    <x v="0"/>
    <n v="7711"/>
    <n v="1001"/>
    <x v="1"/>
    <x v="1"/>
    <n v="3150"/>
    <n v="1"/>
    <n v="0.05"/>
    <n v="40"/>
    <d v="2024-11-19T00:00:00"/>
    <s v="martes"/>
    <d v="2024-11-18T00:00:00"/>
    <x v="2"/>
    <n v="30"/>
    <n v="0.75"/>
    <n v="2287"/>
    <n v="114.35000000000001"/>
    <n v="1"/>
    <n v="0.97499999999999998"/>
    <n v="0.30701500000000004"/>
    <n v="0.30701500000000004"/>
    <n v="35.107165250000008"/>
    <n v="8"/>
    <x v="0"/>
    <n v="0.11435000000000001"/>
  </r>
  <r>
    <s v="SAN GABRIEL"/>
    <x v="0"/>
    <x v="0"/>
    <x v="1"/>
    <s v="QUESO MOZARELLA SNACK"/>
    <x v="0"/>
    <n v="7711"/>
    <n v="1001"/>
    <x v="1"/>
    <x v="1"/>
    <n v="450"/>
    <n v="1"/>
    <n v="0.05"/>
    <n v="40"/>
    <d v="2024-11-20T00:00:00"/>
    <s v="miércoles"/>
    <d v="2024-11-21T00:00:00"/>
    <x v="3"/>
    <n v="33"/>
    <n v="0.82499999999999996"/>
    <n v="450"/>
    <n v="22.5"/>
    <n v="-1"/>
    <n v="1.0249999999999999"/>
    <n v="0.30701500000000004"/>
    <n v="0.30701500000000004"/>
    <n v="6.9078375000000012"/>
    <n v="7"/>
    <x v="0"/>
    <n v="2.2499999999999999E-2"/>
  </r>
  <r>
    <s v="SAN GABRIEL"/>
    <x v="0"/>
    <x v="0"/>
    <x v="1"/>
    <s v="QUESO MOZARELLA SNACK"/>
    <x v="0"/>
    <n v="7711"/>
    <n v="1001"/>
    <x v="1"/>
    <x v="1"/>
    <n v="750"/>
    <n v="1"/>
    <n v="0.05"/>
    <n v="40"/>
    <d v="2024-11-21T00:00:00"/>
    <s v="jueves"/>
    <d v="2024-11-21T00:00:00"/>
    <x v="3"/>
    <n v="33"/>
    <n v="0.82499999999999996"/>
    <n v="750"/>
    <n v="37.5"/>
    <n v="0"/>
    <n v="1"/>
    <n v="0.30701500000000004"/>
    <n v="0.30701500000000004"/>
    <n v="11.513062500000002"/>
    <n v="6"/>
    <x v="0"/>
    <n v="3.7499999999999999E-2"/>
  </r>
  <r>
    <s v="MACHACHI"/>
    <x v="1"/>
    <x v="1"/>
    <x v="2"/>
    <s v="BON YURT REGULAR"/>
    <x v="0"/>
    <n v="7711"/>
    <n v="1001"/>
    <x v="2"/>
    <x v="2"/>
    <n v="840"/>
    <n v="1"/>
    <n v="0.17"/>
    <n v="45"/>
    <d v="2024-11-09T00:00:00"/>
    <s v="sábado"/>
    <d v="2024-11-01T00:00:00"/>
    <x v="4"/>
    <n v="18"/>
    <n v="0.4"/>
    <n v="6"/>
    <n v="1.02"/>
    <n v="8"/>
    <n v="0.82222222222222219"/>
    <n v="0.38769999999999999"/>
    <n v="0.38769999999999999"/>
    <n v="0.39545399999999997"/>
    <n v="18"/>
    <x v="2"/>
    <n v="1.0200000000000001E-3"/>
  </r>
  <r>
    <s v="MACHACHI"/>
    <x v="1"/>
    <x v="1"/>
    <x v="2"/>
    <s v="BON YURT REGULAR"/>
    <x v="0"/>
    <n v="7711"/>
    <n v="1001"/>
    <x v="2"/>
    <x v="2"/>
    <n v="480"/>
    <n v="1"/>
    <n v="0.17"/>
    <n v="45"/>
    <d v="2024-11-16T00:00:00"/>
    <s v="sábado"/>
    <d v="2024-11-12T00:00:00"/>
    <x v="5"/>
    <n v="29"/>
    <n v="0.64444444444444449"/>
    <n v="480"/>
    <n v="81.600000000000009"/>
    <n v="4"/>
    <n v="0.91111111111111109"/>
    <n v="0.38769999999999999"/>
    <n v="0.38769999999999999"/>
    <n v="31.636320000000001"/>
    <n v="11"/>
    <x v="0"/>
    <n v="8.1600000000000006E-2"/>
  </r>
  <r>
    <s v="MACHACHI"/>
    <x v="1"/>
    <x v="1"/>
    <x v="2"/>
    <s v="BON YURT REGULAR"/>
    <x v="0"/>
    <n v="7711"/>
    <n v="1001"/>
    <x v="2"/>
    <x v="2"/>
    <n v="540"/>
    <n v="1"/>
    <n v="0.17"/>
    <n v="45"/>
    <d v="2024-11-15T00:00:00"/>
    <s v="viernes"/>
    <d v="2024-11-12T00:00:00"/>
    <x v="5"/>
    <n v="29"/>
    <n v="0.64444444444444449"/>
    <n v="540"/>
    <n v="91.800000000000011"/>
    <n v="3"/>
    <n v="0.93333333333333335"/>
    <n v="0.38769999999999999"/>
    <n v="0.38769999999999999"/>
    <n v="35.590860000000006"/>
    <n v="12"/>
    <x v="0"/>
    <n v="9.1800000000000007E-2"/>
  </r>
  <r>
    <s v="MACHACHI"/>
    <x v="1"/>
    <x v="1"/>
    <x v="2"/>
    <s v="BON YURT REGULAR"/>
    <x v="0"/>
    <n v="7711"/>
    <n v="1001"/>
    <x v="2"/>
    <x v="2"/>
    <n v="600"/>
    <n v="1"/>
    <n v="0.17"/>
    <n v="45"/>
    <d v="2024-11-14T00:00:00"/>
    <s v="jueves"/>
    <d v="2024-11-09T00:00:00"/>
    <x v="6"/>
    <n v="26"/>
    <n v="0.57777777777777772"/>
    <n v="102"/>
    <n v="17.34"/>
    <n v="5"/>
    <n v="0.88888888888888884"/>
    <n v="0.38769999999999999"/>
    <n v="0.38769999999999999"/>
    <n v="6.7227179999999995"/>
    <n v="13"/>
    <x v="1"/>
    <n v="1.7340000000000001E-2"/>
  </r>
  <r>
    <s v="MACHACHI"/>
    <x v="1"/>
    <x v="1"/>
    <x v="2"/>
    <s v="BON YURT REGULAR"/>
    <x v="0"/>
    <n v="7711"/>
    <n v="1001"/>
    <x v="2"/>
    <x v="2"/>
    <n v="480"/>
    <n v="1"/>
    <n v="0.17"/>
    <n v="45"/>
    <d v="2024-11-20T00:00:00"/>
    <s v="miércoles"/>
    <d v="2024-11-16T00:00:00"/>
    <x v="3"/>
    <n v="33"/>
    <n v="0.73333333333333328"/>
    <n v="300"/>
    <n v="51.000000000000007"/>
    <n v="4"/>
    <n v="0.91111111111111109"/>
    <n v="0.38769999999999999"/>
    <n v="0.38769999999999999"/>
    <n v="19.772700000000004"/>
    <n v="7"/>
    <x v="0"/>
    <n v="5.1000000000000004E-2"/>
  </r>
  <r>
    <s v="MACHACHI"/>
    <x v="1"/>
    <x v="1"/>
    <x v="2"/>
    <s v="BON YURT REGULAR"/>
    <x v="0"/>
    <n v="7711"/>
    <n v="1001"/>
    <x v="2"/>
    <x v="2"/>
    <n v="780"/>
    <n v="1"/>
    <n v="0.17"/>
    <n v="45"/>
    <d v="2024-11-21T00:00:00"/>
    <s v="jueves"/>
    <d v="2024-11-16T00:00:00"/>
    <x v="3"/>
    <n v="33"/>
    <n v="0.73333333333333328"/>
    <n v="780"/>
    <n v="132.60000000000002"/>
    <n v="5"/>
    <n v="0.88888888888888884"/>
    <n v="0.38769999999999999"/>
    <n v="0.38769999999999999"/>
    <n v="51.409020000000005"/>
    <n v="6"/>
    <x v="0"/>
    <n v="0.13260000000000002"/>
  </r>
  <r>
    <s v="MACHACHI"/>
    <x v="1"/>
    <x v="1"/>
    <x v="3"/>
    <s v="BEBIDA DE YOGURT KIOSKO GALONERA"/>
    <x v="0"/>
    <n v="7711"/>
    <n v="1001"/>
    <x v="3"/>
    <x v="3"/>
    <n v="56"/>
    <n v="1"/>
    <n v="3.5"/>
    <n v="45"/>
    <d v="2024-11-16T00:00:00"/>
    <s v="sábado"/>
    <d v="2024-11-14T00:00:00"/>
    <x v="7"/>
    <n v="31"/>
    <n v="0.68888888888888888"/>
    <n v="56"/>
    <n v="196"/>
    <n v="2"/>
    <n v="0.9555555555555556"/>
    <n v="2.9180649999999999"/>
    <n v="2.9180649999999999"/>
    <n v="571.94074000000001"/>
    <n v="11"/>
    <x v="0"/>
    <n v="0.19600000000000001"/>
  </r>
  <r>
    <s v="MACHACHI"/>
    <x v="1"/>
    <x v="1"/>
    <x v="3"/>
    <s v="BEBIDA DE YOGURT KIOSKO GALONERA"/>
    <x v="0"/>
    <n v="7711"/>
    <n v="1001"/>
    <x v="3"/>
    <x v="3"/>
    <n v="104"/>
    <n v="1"/>
    <n v="3.5"/>
    <n v="45"/>
    <d v="2024-11-15T00:00:00"/>
    <s v="viernes"/>
    <d v="2024-11-14T00:00:00"/>
    <x v="7"/>
    <n v="31"/>
    <n v="0.68888888888888888"/>
    <n v="11"/>
    <n v="38.5"/>
    <n v="1"/>
    <n v="0.97777777777777775"/>
    <n v="2.9180649999999999"/>
    <n v="2.9180649999999999"/>
    <n v="112.34550249999999"/>
    <n v="12"/>
    <x v="0"/>
    <n v="3.85E-2"/>
  </r>
  <r>
    <s v="MACHACHI"/>
    <x v="1"/>
    <x v="1"/>
    <x v="3"/>
    <s v="BEBIDA DE YOGURT KIOSKO GALONERA"/>
    <x v="0"/>
    <n v="7711"/>
    <n v="1001"/>
    <x v="3"/>
    <x v="3"/>
    <n v="104"/>
    <n v="1"/>
    <n v="3.5"/>
    <n v="45"/>
    <d v="2024-11-19T00:00:00"/>
    <s v="martes"/>
    <d v="2024-11-15T00:00:00"/>
    <x v="0"/>
    <n v="32"/>
    <n v="0.71111111111111114"/>
    <n v="104"/>
    <n v="364"/>
    <n v="4"/>
    <n v="0.91111111111111109"/>
    <n v="2.9180649999999999"/>
    <n v="2.9180649999999999"/>
    <n v="1062.1756599999999"/>
    <n v="8"/>
    <x v="0"/>
    <n v="0.36399999999999999"/>
  </r>
  <r>
    <s v="MACHACHI"/>
    <x v="1"/>
    <x v="1"/>
    <x v="3"/>
    <s v="BEBIDA DE YOGURT KIOSKO GALONERA"/>
    <x v="0"/>
    <n v="7711"/>
    <n v="1001"/>
    <x v="3"/>
    <x v="3"/>
    <n v="104"/>
    <n v="1"/>
    <n v="3.5"/>
    <n v="45"/>
    <d v="2024-11-20T00:00:00"/>
    <s v="miércoles"/>
    <d v="2024-11-19T00:00:00"/>
    <x v="8"/>
    <n v="36"/>
    <n v="0.8"/>
    <n v="104"/>
    <n v="364"/>
    <n v="1"/>
    <n v="0.97777777777777775"/>
    <n v="2.9180649999999999"/>
    <n v="2.9180649999999999"/>
    <n v="1062.1756599999999"/>
    <n v="7"/>
    <x v="0"/>
    <n v="0.36399999999999999"/>
  </r>
  <r>
    <s v="MACHACHI"/>
    <x v="1"/>
    <x v="1"/>
    <x v="3"/>
    <s v="BEBIDA DE YOGURT KIOSKO BOTELLA PERSONAL"/>
    <x v="0"/>
    <n v="7711"/>
    <n v="1001"/>
    <x v="4"/>
    <x v="4"/>
    <n v="2730"/>
    <n v="1"/>
    <n v="0.12"/>
    <n v="45"/>
    <d v="2024-11-09T00:00:00"/>
    <s v="sábado"/>
    <d v="2024-11-01T00:00:00"/>
    <x v="4"/>
    <n v="18"/>
    <n v="0.4"/>
    <n v="1"/>
    <n v="0.12"/>
    <n v="8"/>
    <n v="0.82222222222222219"/>
    <n v="0.25833499999999998"/>
    <n v="0.25833499999999998"/>
    <n v="3.1000199999999995E-2"/>
    <n v="18"/>
    <x v="2"/>
    <n v="1.1999999999999999E-4"/>
  </r>
  <r>
    <s v="MACHACHI"/>
    <x v="1"/>
    <x v="1"/>
    <x v="3"/>
    <s v="BEBIDA DE YOGURT KIOSKO BOTELLA PERSONAL"/>
    <x v="0"/>
    <n v="7711"/>
    <n v="1001"/>
    <x v="4"/>
    <x v="4"/>
    <n v="728"/>
    <n v="1"/>
    <n v="0.12"/>
    <n v="45"/>
    <d v="2024-11-16T00:00:00"/>
    <s v="sábado"/>
    <d v="2024-11-13T00:00:00"/>
    <x v="2"/>
    <n v="30"/>
    <n v="0.66666666666666663"/>
    <n v="406"/>
    <n v="48.72"/>
    <n v="3"/>
    <n v="0.93333333333333335"/>
    <n v="0.25833499999999998"/>
    <n v="0.25833499999999998"/>
    <n v="12.586081199999999"/>
    <n v="11"/>
    <x v="0"/>
    <n v="4.8719999999999999E-2"/>
  </r>
  <r>
    <s v="MACHACHI"/>
    <x v="1"/>
    <x v="1"/>
    <x v="3"/>
    <s v="BEBIDA DE YOGURT KIOSKO BOTELLA PERSONAL"/>
    <x v="0"/>
    <n v="7711"/>
    <n v="1001"/>
    <x v="4"/>
    <x v="4"/>
    <n v="364"/>
    <n v="1"/>
    <n v="0.12"/>
    <n v="45"/>
    <d v="2024-11-14T00:00:00"/>
    <s v="jueves"/>
    <d v="2024-11-08T00:00:00"/>
    <x v="9"/>
    <n v="25"/>
    <n v="0.55555555555555558"/>
    <n v="8"/>
    <n v="0.96"/>
    <n v="6"/>
    <n v="0.8666666666666667"/>
    <n v="0.25833499999999998"/>
    <n v="0.25833499999999998"/>
    <n v="0.24800159999999996"/>
    <n v="13"/>
    <x v="1"/>
    <n v="9.5999999999999992E-4"/>
  </r>
  <r>
    <s v="MACHACHI"/>
    <x v="1"/>
    <x v="1"/>
    <x v="3"/>
    <s v="BEBIDA DE YOGURT KIOSKO BOTELLA PERSONAL"/>
    <x v="0"/>
    <n v="7711"/>
    <n v="1001"/>
    <x v="4"/>
    <x v="4"/>
    <n v="728"/>
    <n v="1"/>
    <n v="0.12"/>
    <n v="45"/>
    <d v="2024-11-19T00:00:00"/>
    <s v="martes"/>
    <d v="2024-11-13T00:00:00"/>
    <x v="2"/>
    <n v="30"/>
    <n v="0.66666666666666663"/>
    <n v="728"/>
    <n v="87.36"/>
    <n v="6"/>
    <n v="0.8666666666666667"/>
    <n v="0.25833499999999998"/>
    <n v="0.25833499999999998"/>
    <n v="22.568145599999998"/>
    <n v="8"/>
    <x v="0"/>
    <n v="8.7359999999999993E-2"/>
  </r>
  <r>
    <s v="MACHACHI"/>
    <x v="1"/>
    <x v="1"/>
    <x v="3"/>
    <s v="BEBIDA DE YOGURT KIOSKO BOTELLA PERSONAL"/>
    <x v="0"/>
    <n v="7711"/>
    <n v="1001"/>
    <x v="4"/>
    <x v="4"/>
    <n v="1092"/>
    <n v="1"/>
    <n v="0.12"/>
    <n v="45"/>
    <d v="2024-11-20T00:00:00"/>
    <s v="miércoles"/>
    <d v="2024-11-13T00:00:00"/>
    <x v="2"/>
    <n v="30"/>
    <n v="0.66666666666666663"/>
    <n v="1092"/>
    <n v="131.04"/>
    <n v="7"/>
    <n v="0.84444444444444444"/>
    <n v="0.25833499999999998"/>
    <n v="0.25833499999999998"/>
    <n v="33.852218399999998"/>
    <n v="7"/>
    <x v="0"/>
    <n v="0.13103999999999999"/>
  </r>
  <r>
    <s v="MACHACHI"/>
    <x v="1"/>
    <x v="1"/>
    <x v="3"/>
    <s v="BEBIDA DE YOGURT KIOSKO BOTELLA FAMILIAR"/>
    <x v="0"/>
    <n v="7711"/>
    <n v="1001"/>
    <x v="5"/>
    <x v="5"/>
    <n v="18"/>
    <n v="1"/>
    <n v="0.95"/>
    <n v="45"/>
    <d v="2024-11-16T00:00:00"/>
    <s v="sábado"/>
    <d v="2024-11-08T00:00:00"/>
    <x v="9"/>
    <n v="25"/>
    <n v="0.55555555555555558"/>
    <n v="18"/>
    <n v="17.099999999999998"/>
    <n v="8"/>
    <n v="0.82222222222222219"/>
    <n v="1.02759"/>
    <n v="1.02759"/>
    <n v="17.571788999999999"/>
    <n v="11"/>
    <x v="1"/>
    <n v="1.7099999999999997E-2"/>
  </r>
  <r>
    <s v="MACHACHI"/>
    <x v="1"/>
    <x v="1"/>
    <x v="3"/>
    <s v="BEBIDA DE YOGURT KIOSKO BOTELLA FAMILIAR"/>
    <x v="0"/>
    <n v="7711"/>
    <n v="1001"/>
    <x v="5"/>
    <x v="5"/>
    <n v="18"/>
    <n v="1"/>
    <n v="0.95"/>
    <n v="45"/>
    <d v="2024-11-15T00:00:00"/>
    <s v="viernes"/>
    <d v="2024-11-08T00:00:00"/>
    <x v="9"/>
    <n v="25"/>
    <n v="0.55555555555555558"/>
    <n v="18"/>
    <n v="17.099999999999998"/>
    <n v="7"/>
    <n v="0.84444444444444444"/>
    <n v="1.02759"/>
    <n v="1.02759"/>
    <n v="17.571788999999999"/>
    <n v="12"/>
    <x v="1"/>
    <n v="1.7099999999999997E-2"/>
  </r>
  <r>
    <s v="MACHACHI"/>
    <x v="1"/>
    <x v="1"/>
    <x v="3"/>
    <s v="BEBIDA DE YOGURT KIOSKO BOTELLA FAMILIAR"/>
    <x v="0"/>
    <n v="7711"/>
    <n v="1001"/>
    <x v="5"/>
    <x v="5"/>
    <n v="18"/>
    <n v="1"/>
    <n v="0.95"/>
    <n v="45"/>
    <d v="2024-11-14T00:00:00"/>
    <s v="jueves"/>
    <d v="2024-11-08T00:00:00"/>
    <x v="9"/>
    <n v="25"/>
    <n v="0.55555555555555558"/>
    <n v="3"/>
    <n v="2.8499999999999996"/>
    <n v="6"/>
    <n v="0.8666666666666667"/>
    <n v="1.02759"/>
    <n v="1.02759"/>
    <n v="2.9286314999999998"/>
    <n v="13"/>
    <x v="1"/>
    <n v="2.8499999999999997E-3"/>
  </r>
  <r>
    <s v="MACHACHI"/>
    <x v="1"/>
    <x v="1"/>
    <x v="3"/>
    <s v="BEBIDA DE YOGURT KIOSKO BOTELLA FAMILIAR"/>
    <x v="0"/>
    <n v="7711"/>
    <n v="1001"/>
    <x v="5"/>
    <x v="5"/>
    <n v="18"/>
    <n v="1"/>
    <n v="0.95"/>
    <n v="45"/>
    <d v="2024-11-19T00:00:00"/>
    <s v="martes"/>
    <d v="2024-11-15T00:00:00"/>
    <x v="0"/>
    <n v="32"/>
    <n v="0.71111111111111114"/>
    <n v="0"/>
    <n v="0"/>
    <n v="4"/>
    <n v="0.91111111111111109"/>
    <n v="1.02759"/>
    <n v="1.02759"/>
    <n v="0"/>
    <n v="8"/>
    <x v="0"/>
    <n v="0"/>
  </r>
  <r>
    <s v="MACHACHI"/>
    <x v="1"/>
    <x v="1"/>
    <x v="3"/>
    <s v="BEBIDA DE YOGURT KIOSKO BOTELLA FAMILIAR"/>
    <x v="0"/>
    <n v="7711"/>
    <n v="1001"/>
    <x v="5"/>
    <x v="5"/>
    <n v="18"/>
    <n v="1"/>
    <n v="0.95"/>
    <n v="45"/>
    <d v="2024-11-20T00:00:00"/>
    <s v="miércoles"/>
    <d v="2024-11-15T00:00:00"/>
    <x v="0"/>
    <n v="32"/>
    <n v="0.71111111111111114"/>
    <n v="18"/>
    <n v="17.099999999999998"/>
    <n v="5"/>
    <n v="0.88888888888888884"/>
    <n v="1.02759"/>
    <n v="1.02759"/>
    <n v="17.571788999999999"/>
    <n v="7"/>
    <x v="0"/>
    <n v="1.7099999999999997E-2"/>
  </r>
  <r>
    <s v="MACHACHI"/>
    <x v="1"/>
    <x v="1"/>
    <x v="3"/>
    <s v="BEBIDA DE YOGURT KIOSKO BOTELLA FAMILIAR"/>
    <x v="0"/>
    <n v="7711"/>
    <n v="1001"/>
    <x v="5"/>
    <x v="5"/>
    <n v="18"/>
    <n v="1"/>
    <n v="0.95"/>
    <n v="45"/>
    <d v="2024-11-21T00:00:00"/>
    <s v="jueves"/>
    <d v="2024-11-15T00:00:00"/>
    <x v="0"/>
    <n v="32"/>
    <n v="0.71111111111111114"/>
    <n v="18"/>
    <n v="17.099999999999998"/>
    <n v="6"/>
    <n v="0.8666666666666667"/>
    <n v="1.02759"/>
    <n v="1.02759"/>
    <n v="17.571788999999999"/>
    <n v="6"/>
    <x v="0"/>
    <n v="1.7099999999999997E-2"/>
  </r>
  <r>
    <s v="MACHACHI"/>
    <x v="1"/>
    <x v="1"/>
    <x v="3"/>
    <s v="BEBIDA DE YOGURT KIOSKO BOTELLA PERSONAL"/>
    <x v="0"/>
    <n v="7711"/>
    <n v="1001"/>
    <x v="6"/>
    <x v="6"/>
    <n v="756"/>
    <n v="1"/>
    <n v="0.18"/>
    <n v="45"/>
    <d v="2024-11-09T00:00:00"/>
    <s v="sábado"/>
    <d v="2024-10-31T00:00:00"/>
    <x v="10"/>
    <n v="17"/>
    <n v="0.37777777777777777"/>
    <n v="2"/>
    <n v="0.36"/>
    <n v="9"/>
    <n v="0.8"/>
    <n v="0.323905"/>
    <n v="0.323905"/>
    <n v="0.1166058"/>
    <n v="18"/>
    <x v="2"/>
    <n v="3.5999999999999997E-4"/>
  </r>
  <r>
    <s v="MACHACHI"/>
    <x v="1"/>
    <x v="1"/>
    <x v="3"/>
    <s v="BEBIDA DE YOGURT KIOSKO BOTELLA PERSONAL"/>
    <x v="0"/>
    <n v="7711"/>
    <n v="1001"/>
    <x v="6"/>
    <x v="6"/>
    <n v="1296"/>
    <n v="1"/>
    <n v="0.18"/>
    <n v="45"/>
    <d v="2024-11-12T00:00:00"/>
    <s v="martes"/>
    <d v="2024-11-06T00:00:00"/>
    <x v="11"/>
    <n v="23"/>
    <n v="0.51111111111111107"/>
    <n v="3"/>
    <n v="0.54"/>
    <n v="6"/>
    <n v="0.8666666666666667"/>
    <n v="0.323905"/>
    <n v="0.323905"/>
    <n v="0.1749087"/>
    <n v="15"/>
    <x v="1"/>
    <n v="5.4000000000000001E-4"/>
  </r>
  <r>
    <s v="MACHACHI"/>
    <x v="1"/>
    <x v="1"/>
    <x v="3"/>
    <s v="BEBIDA DE YOGURT KIOSKO BOTELLA PERSONAL"/>
    <x v="0"/>
    <n v="7711"/>
    <n v="1001"/>
    <x v="6"/>
    <x v="6"/>
    <n v="432"/>
    <n v="1"/>
    <n v="0.18"/>
    <n v="45"/>
    <d v="2024-11-16T00:00:00"/>
    <s v="sábado"/>
    <d v="2024-11-13T00:00:00"/>
    <x v="2"/>
    <n v="30"/>
    <n v="0.66666666666666663"/>
    <n v="432"/>
    <n v="77.759999999999991"/>
    <n v="3"/>
    <n v="0.93333333333333335"/>
    <n v="0.323905"/>
    <n v="0.323905"/>
    <n v="25.186852799999997"/>
    <n v="11"/>
    <x v="0"/>
    <n v="7.7759999999999996E-2"/>
  </r>
  <r>
    <s v="MACHACHI"/>
    <x v="1"/>
    <x v="1"/>
    <x v="3"/>
    <s v="BEBIDA DE YOGURT KIOSKO BOTELLA PERSONAL"/>
    <x v="0"/>
    <n v="7711"/>
    <n v="1001"/>
    <x v="6"/>
    <x v="6"/>
    <n v="540"/>
    <n v="1"/>
    <n v="0.18"/>
    <n v="45"/>
    <d v="2024-11-15T00:00:00"/>
    <s v="viernes"/>
    <d v="2024-11-13T00:00:00"/>
    <x v="2"/>
    <n v="30"/>
    <n v="0.66666666666666663"/>
    <n v="280"/>
    <n v="50.4"/>
    <n v="2"/>
    <n v="0.9555555555555556"/>
    <n v="0.323905"/>
    <n v="0.323905"/>
    <n v="16.324811999999998"/>
    <n v="12"/>
    <x v="0"/>
    <n v="5.04E-2"/>
  </r>
  <r>
    <s v="MACHACHI"/>
    <x v="1"/>
    <x v="1"/>
    <x v="3"/>
    <s v="BEBIDA DE YOGURT KIOSKO BOTELLA PERSONAL"/>
    <x v="0"/>
    <n v="7711"/>
    <n v="1001"/>
    <x v="6"/>
    <x v="6"/>
    <n v="0"/>
    <n v="1"/>
    <n v="0.18"/>
    <n v="45"/>
    <d v="2024-12-01T00:00:00"/>
    <s v="domingo"/>
    <d v="2024-12-01T00:00:00"/>
    <x v="12"/>
    <n v="48"/>
    <n v="1.0666666666666667"/>
    <n v="5"/>
    <n v="0.89999999999999991"/>
    <n v="0"/>
    <n v="1"/>
    <n v="0.323905"/>
    <n v="0.323905"/>
    <n v="0.29151449999999995"/>
    <n v="-4"/>
    <x v="0"/>
    <n v="8.9999999999999987E-4"/>
  </r>
  <r>
    <s v="MACHACHI"/>
    <x v="1"/>
    <x v="1"/>
    <x v="3"/>
    <s v="BEBIDA DE YOGURT KIOSKO BOTELLA PERSONAL"/>
    <x v="0"/>
    <n v="7711"/>
    <n v="1001"/>
    <x v="6"/>
    <x v="6"/>
    <n v="756"/>
    <n v="1"/>
    <n v="0.18"/>
    <n v="45"/>
    <d v="2024-11-19T00:00:00"/>
    <s v="martes"/>
    <d v="2024-11-13T00:00:00"/>
    <x v="2"/>
    <n v="30"/>
    <n v="0.66666666666666663"/>
    <n v="756"/>
    <n v="136.07999999999998"/>
    <n v="6"/>
    <n v="0.8666666666666667"/>
    <n v="0.323905"/>
    <n v="0.323905"/>
    <n v="44.076992399999995"/>
    <n v="8"/>
    <x v="0"/>
    <n v="0.13607999999999998"/>
  </r>
  <r>
    <s v="MACHACHI"/>
    <x v="1"/>
    <x v="1"/>
    <x v="3"/>
    <s v="BEBIDA DE YOGURT KIOSKO BOTELLA PERSONAL"/>
    <x v="0"/>
    <n v="7711"/>
    <n v="1001"/>
    <x v="6"/>
    <x v="6"/>
    <n v="864"/>
    <n v="1"/>
    <n v="0.18"/>
    <n v="45"/>
    <d v="2024-11-21T00:00:00"/>
    <s v="jueves"/>
    <d v="2024-11-15T00:00:00"/>
    <x v="0"/>
    <n v="32"/>
    <n v="0.71111111111111114"/>
    <n v="432"/>
    <n v="77.759999999999991"/>
    <n v="6"/>
    <n v="0.8666666666666667"/>
    <n v="0.323905"/>
    <n v="0.323905"/>
    <n v="25.186852799999997"/>
    <n v="6"/>
    <x v="0"/>
    <n v="7.7759999999999996E-2"/>
  </r>
  <r>
    <s v="MACHACHI"/>
    <x v="1"/>
    <x v="1"/>
    <x v="4"/>
    <s v="YOGURT FINESSE DESLACT BOTELLA FAMILIAR"/>
    <x v="0"/>
    <n v="7711"/>
    <n v="1001"/>
    <x v="7"/>
    <x v="7"/>
    <n v="576"/>
    <n v="1"/>
    <n v="0.95"/>
    <n v="45"/>
    <d v="2024-11-21T00:00:00"/>
    <s v="jueves"/>
    <d v="2024-11-21T00:00:00"/>
    <x v="13"/>
    <n v="38"/>
    <n v="0.84444444444444444"/>
    <n v="80"/>
    <n v="76"/>
    <n v="0"/>
    <n v="1"/>
    <n v="1.38215"/>
    <n v="1.38215"/>
    <n v="105.04340000000001"/>
    <n v="6"/>
    <x v="0"/>
    <n v="7.5999999999999998E-2"/>
  </r>
  <r>
    <s v="SAN GABRIEL"/>
    <x v="0"/>
    <x v="0"/>
    <x v="5"/>
    <s v="QUESO SEMIMADURO CHEDDAR KIOSKO TAJADO"/>
    <x v="0"/>
    <n v="7711"/>
    <n v="1001"/>
    <x v="8"/>
    <x v="8"/>
    <n v="112"/>
    <n v="1"/>
    <n v="0.2"/>
    <n v="90"/>
    <d v="2024-11-08T00:00:00"/>
    <s v="viernes"/>
    <d v="2024-10-29T00:00:00"/>
    <x v="14"/>
    <n v="60"/>
    <n v="0.66666666666666663"/>
    <n v="4"/>
    <n v="0.8"/>
    <n v="10"/>
    <n v="0.88888888888888884"/>
    <n v="1.6998099999999998"/>
    <n v="1.6998099999999998"/>
    <n v="1.3598479999999999"/>
    <n v="19"/>
    <x v="0"/>
    <n v="8.0000000000000004E-4"/>
  </r>
  <r>
    <s v="SAN GABRIEL"/>
    <x v="0"/>
    <x v="0"/>
    <x v="5"/>
    <s v="QUESO SEMIMADURO CHEDDAR KIOSKO TAJADO"/>
    <x v="0"/>
    <n v="7711"/>
    <n v="1001"/>
    <x v="8"/>
    <x v="8"/>
    <n v="128"/>
    <n v="1"/>
    <n v="0.2"/>
    <n v="90"/>
    <d v="2024-11-08T00:00:00"/>
    <s v="viernes"/>
    <d v="2024-11-05T00:00:00"/>
    <x v="15"/>
    <n v="67"/>
    <n v="0.74444444444444446"/>
    <n v="128"/>
    <n v="25.6"/>
    <n v="3"/>
    <n v="0.96666666666666667"/>
    <n v="1.6998099999999998"/>
    <n v="1.6998099999999998"/>
    <n v="43.515135999999998"/>
    <n v="19"/>
    <x v="0"/>
    <n v="2.5600000000000001E-2"/>
  </r>
  <r>
    <s v="SAN GABRIEL"/>
    <x v="0"/>
    <x v="0"/>
    <x v="5"/>
    <s v="QUESO SEMIMADURO CHEDDAR KIOSKO TAJADO"/>
    <x v="0"/>
    <n v="7711"/>
    <n v="1001"/>
    <x v="8"/>
    <x v="8"/>
    <n v="120"/>
    <n v="1"/>
    <n v="0.2"/>
    <n v="90"/>
    <d v="2024-11-12T00:00:00"/>
    <s v="martes"/>
    <d v="2024-10-30T00:00:00"/>
    <x v="16"/>
    <n v="61"/>
    <n v="0.67777777777777781"/>
    <n v="73"/>
    <n v="14.600000000000001"/>
    <n v="13"/>
    <n v="0.85555555555555562"/>
    <n v="1.6998099999999998"/>
    <n v="1.6998099999999998"/>
    <n v="24.817226000000002"/>
    <n v="15"/>
    <x v="0"/>
    <n v="1.4600000000000002E-2"/>
  </r>
  <r>
    <s v="SAN GABRIEL"/>
    <x v="0"/>
    <x v="0"/>
    <x v="5"/>
    <s v="QUESO SEMIMADURO CHEDDAR KIOSKO TAJADO"/>
    <x v="0"/>
    <n v="7711"/>
    <n v="1001"/>
    <x v="8"/>
    <x v="8"/>
    <n v="120"/>
    <n v="1"/>
    <n v="0.2"/>
    <n v="90"/>
    <d v="2024-11-13T00:00:00"/>
    <s v="miércoles"/>
    <d v="2024-11-05T00:00:00"/>
    <x v="15"/>
    <n v="67"/>
    <n v="0.74444444444444446"/>
    <n v="120"/>
    <n v="24"/>
    <n v="8"/>
    <n v="0.91111111111111109"/>
    <n v="1.6998099999999998"/>
    <n v="1.6998099999999998"/>
    <n v="40.795439999999999"/>
    <n v="14"/>
    <x v="0"/>
    <n v="2.4E-2"/>
  </r>
  <r>
    <s v="SAN GABRIEL"/>
    <x v="0"/>
    <x v="0"/>
    <x v="5"/>
    <s v="QUESO SEMIMADURO CHEDDAR KIOSKO TAJADO"/>
    <x v="0"/>
    <n v="7711"/>
    <n v="1001"/>
    <x v="8"/>
    <x v="8"/>
    <n v="120"/>
    <n v="1"/>
    <n v="0.2"/>
    <n v="90"/>
    <d v="2024-11-15T00:00:00"/>
    <s v="viernes"/>
    <d v="2024-11-08T00:00:00"/>
    <x v="17"/>
    <n v="70"/>
    <n v="0.77777777777777779"/>
    <n v="120"/>
    <n v="24"/>
    <n v="7"/>
    <n v="0.92222222222222228"/>
    <n v="1.6998099999999998"/>
    <n v="1.6998099999999998"/>
    <n v="40.795439999999999"/>
    <n v="12"/>
    <x v="0"/>
    <n v="2.4E-2"/>
  </r>
  <r>
    <s v="SAN GABRIEL"/>
    <x v="0"/>
    <x v="0"/>
    <x v="5"/>
    <s v="QUESO SEMIMADURO CHEDDAR KIOSKO TAJADO"/>
    <x v="0"/>
    <n v="7711"/>
    <n v="1001"/>
    <x v="8"/>
    <x v="8"/>
    <n v="120"/>
    <n v="1"/>
    <n v="0.2"/>
    <n v="90"/>
    <d v="2024-11-14T00:00:00"/>
    <s v="jueves"/>
    <d v="2024-11-05T00:00:00"/>
    <x v="15"/>
    <n v="67"/>
    <n v="0.74444444444444446"/>
    <n v="120"/>
    <n v="24"/>
    <n v="9"/>
    <n v="0.9"/>
    <n v="1.6998099999999998"/>
    <n v="1.6998099999999998"/>
    <n v="40.795439999999999"/>
    <n v="13"/>
    <x v="0"/>
    <n v="2.4E-2"/>
  </r>
  <r>
    <s v="SAN GABRIEL"/>
    <x v="0"/>
    <x v="0"/>
    <x v="5"/>
    <s v="QUESO SEMIMADURO CHEDDAR KIOSKO TAJADO"/>
    <x v="0"/>
    <n v="7711"/>
    <n v="1001"/>
    <x v="8"/>
    <x v="8"/>
    <n v="96"/>
    <n v="1"/>
    <n v="0.2"/>
    <n v="90"/>
    <d v="2024-11-19T00:00:00"/>
    <s v="martes"/>
    <d v="2024-11-08T00:00:00"/>
    <x v="17"/>
    <n v="70"/>
    <n v="0.77777777777777779"/>
    <n v="96"/>
    <n v="19.200000000000003"/>
    <n v="11"/>
    <n v="0.87777777777777777"/>
    <n v="1.6998099999999998"/>
    <n v="1.6998099999999998"/>
    <n v="32.636352000000002"/>
    <n v="8"/>
    <x v="0"/>
    <n v="1.9200000000000002E-2"/>
  </r>
  <r>
    <s v="SAN GABRIEL"/>
    <x v="0"/>
    <x v="0"/>
    <x v="5"/>
    <s v="QUESO SEMIMADURO CHEDDAR KIOSKO TAJADO"/>
    <x v="0"/>
    <n v="7711"/>
    <n v="1001"/>
    <x v="8"/>
    <x v="8"/>
    <n v="24"/>
    <n v="1"/>
    <n v="0.2"/>
    <n v="90"/>
    <d v="2024-11-19T00:00:00"/>
    <s v="martes"/>
    <d v="2024-11-12T00:00:00"/>
    <x v="18"/>
    <n v="74"/>
    <n v="0.82222222222222219"/>
    <n v="24"/>
    <n v="4.8000000000000007"/>
    <n v="7"/>
    <n v="0.92222222222222228"/>
    <n v="1.6998099999999998"/>
    <n v="1.6998099999999998"/>
    <n v="8.1590880000000006"/>
    <n v="8"/>
    <x v="0"/>
    <n v="4.8000000000000004E-3"/>
  </r>
  <r>
    <s v="SAN GABRIEL"/>
    <x v="0"/>
    <x v="0"/>
    <x v="5"/>
    <s v="QUESO SEMIMADURO CHEDDAR KIOSKO TAJADO"/>
    <x v="0"/>
    <n v="7711"/>
    <n v="1001"/>
    <x v="8"/>
    <x v="8"/>
    <n v="120"/>
    <n v="1"/>
    <n v="0.2"/>
    <n v="90"/>
    <d v="2024-11-21T00:00:00"/>
    <s v="jueves"/>
    <d v="2024-11-12T00:00:00"/>
    <x v="18"/>
    <n v="74"/>
    <n v="0.82222222222222219"/>
    <n v="120"/>
    <n v="24"/>
    <n v="9"/>
    <n v="0.9"/>
    <n v="1.6998099999999998"/>
    <n v="1.6998099999999998"/>
    <n v="40.795439999999999"/>
    <n v="6"/>
    <x v="0"/>
    <n v="2.4E-2"/>
  </r>
  <r>
    <s v="MACHACHI"/>
    <x v="1"/>
    <x v="1"/>
    <x v="3"/>
    <s v="YOGURT KIOSKO NATURAL BOTELLA FAMILIAR"/>
    <x v="0"/>
    <n v="7711"/>
    <n v="1001"/>
    <x v="9"/>
    <x v="9"/>
    <n v="90"/>
    <n v="1"/>
    <n v="0.95"/>
    <n v="45"/>
    <d v="2024-11-15T00:00:00"/>
    <s v="viernes"/>
    <d v="2024-11-05T00:00:00"/>
    <x v="19"/>
    <n v="22"/>
    <n v="0.48888888888888887"/>
    <n v="90"/>
    <n v="85.5"/>
    <n v="10"/>
    <n v="0.77777777777777779"/>
    <n v="1.062665"/>
    <n v="1.062665"/>
    <n v="90.857857499999994"/>
    <n v="12"/>
    <x v="1"/>
    <n v="8.5500000000000007E-2"/>
  </r>
  <r>
    <s v="MACHACHI"/>
    <x v="1"/>
    <x v="1"/>
    <x v="3"/>
    <s v="YOGURT KIOSKO NATURAL BOTELLA FAMILIAR"/>
    <x v="0"/>
    <n v="7711"/>
    <n v="1001"/>
    <x v="9"/>
    <x v="9"/>
    <n v="54"/>
    <n v="1"/>
    <n v="0.95"/>
    <n v="45"/>
    <d v="2024-11-14T00:00:00"/>
    <s v="jueves"/>
    <d v="2024-11-05T00:00:00"/>
    <x v="19"/>
    <n v="22"/>
    <n v="0.48888888888888887"/>
    <n v="12"/>
    <n v="11.399999999999999"/>
    <n v="9"/>
    <n v="0.8"/>
    <n v="1.062665"/>
    <n v="1.062665"/>
    <n v="12.114380999999998"/>
    <n v="13"/>
    <x v="1"/>
    <n v="1.1399999999999999E-2"/>
  </r>
  <r>
    <s v="MACHACHI"/>
    <x v="1"/>
    <x v="1"/>
    <x v="3"/>
    <s v="YOGURT KIOSKO NATURAL BOTELLA FAMILIAR"/>
    <x v="0"/>
    <n v="7711"/>
    <n v="1001"/>
    <x v="9"/>
    <x v="9"/>
    <n v="18"/>
    <n v="1"/>
    <n v="0.95"/>
    <n v="45"/>
    <d v="2024-11-19T00:00:00"/>
    <s v="martes"/>
    <d v="2024-11-13T00:00:00"/>
    <x v="2"/>
    <n v="30"/>
    <n v="0.66666666666666663"/>
    <n v="17"/>
    <n v="16.149999999999999"/>
    <n v="6"/>
    <n v="0.8666666666666667"/>
    <n v="1.062665"/>
    <n v="1.062665"/>
    <n v="17.162039749999998"/>
    <n v="8"/>
    <x v="0"/>
    <n v="1.6149999999999998E-2"/>
  </r>
  <r>
    <s v="MACHACHI"/>
    <x v="1"/>
    <x v="1"/>
    <x v="3"/>
    <s v="YOGURT KIOSKO NATURAL BOTELLA FAMILIAR"/>
    <x v="0"/>
    <n v="7711"/>
    <n v="1001"/>
    <x v="9"/>
    <x v="9"/>
    <n v="108"/>
    <n v="1"/>
    <n v="0.95"/>
    <n v="45"/>
    <d v="2024-11-20T00:00:00"/>
    <s v="miércoles"/>
    <d v="2024-11-13T00:00:00"/>
    <x v="2"/>
    <n v="30"/>
    <n v="0.66666666666666663"/>
    <n v="108"/>
    <n v="102.6"/>
    <n v="7"/>
    <n v="0.84444444444444444"/>
    <n v="1.062665"/>
    <n v="1.062665"/>
    <n v="109.02942899999999"/>
    <n v="7"/>
    <x v="0"/>
    <n v="0.1026"/>
  </r>
  <r>
    <s v="MULTIEMPAQUE_SG"/>
    <x v="0"/>
    <x v="0"/>
    <x v="5"/>
    <s v="QUESO SANDUCHE KIOSKO TAJADO"/>
    <x v="0"/>
    <n v="7711"/>
    <n v="1001"/>
    <x v="10"/>
    <x v="10"/>
    <n v="260"/>
    <n v="1"/>
    <n v="0.14599999999999999"/>
    <n v="45"/>
    <d v="2024-11-07T00:00:00"/>
    <s v="jueves"/>
    <d v="2024-10-26T00:00:00"/>
    <x v="20"/>
    <n v="12"/>
    <n v="0.26666666666666666"/>
    <n v="1"/>
    <n v="0.14599999999999999"/>
    <n v="12"/>
    <n v="0.73333333333333339"/>
    <n v="1.1321750000000002"/>
    <n v="1.1321750000000002"/>
    <n v="0.16529755000000002"/>
    <n v="20"/>
    <x v="2"/>
    <n v="1.46E-4"/>
  </r>
  <r>
    <s v="MULTIEMPAQUE_SG"/>
    <x v="0"/>
    <x v="0"/>
    <x v="5"/>
    <s v="QUESO SANDUCHE KIOSKO TAJADO"/>
    <x v="0"/>
    <n v="7711"/>
    <n v="1001"/>
    <x v="10"/>
    <x v="10"/>
    <n v="260"/>
    <n v="1"/>
    <n v="0.14599999999999999"/>
    <n v="45"/>
    <d v="2024-11-09T00:00:00"/>
    <s v="sábado"/>
    <d v="2024-11-02T00:00:00"/>
    <x v="21"/>
    <n v="19"/>
    <n v="0.42222222222222222"/>
    <n v="148"/>
    <n v="21.607999999999997"/>
    <n v="7"/>
    <n v="0.84444444444444444"/>
    <n v="1.1321750000000002"/>
    <n v="1.1321750000000002"/>
    <n v="24.464037399999999"/>
    <n v="18"/>
    <x v="2"/>
    <n v="2.1607999999999995E-2"/>
  </r>
  <r>
    <s v="MULTIEMPAQUE_SG"/>
    <x v="0"/>
    <x v="0"/>
    <x v="5"/>
    <s v="QUESO SANDUCHE KIOSKO TAJADO"/>
    <x v="0"/>
    <n v="7711"/>
    <n v="1001"/>
    <x v="10"/>
    <x v="10"/>
    <n v="130"/>
    <n v="1"/>
    <n v="0.14599999999999999"/>
    <n v="45"/>
    <d v="2024-11-19T00:00:00"/>
    <s v="martes"/>
    <d v="2024-11-09T00:00:00"/>
    <x v="6"/>
    <n v="26"/>
    <n v="0.57777777777777772"/>
    <n v="120"/>
    <n v="17.52"/>
    <n v="10"/>
    <n v="0.77777777777777779"/>
    <n v="1.1321750000000002"/>
    <n v="1.1321750000000002"/>
    <n v="19.835706000000002"/>
    <n v="8"/>
    <x v="1"/>
    <n v="1.7520000000000001E-2"/>
  </r>
  <r>
    <s v="MULTIEMPAQUE_SG"/>
    <x v="0"/>
    <x v="0"/>
    <x v="5"/>
    <s v="QUESO SANDUCHE KIOSKO TAJADO"/>
    <x v="0"/>
    <n v="7711"/>
    <n v="1001"/>
    <x v="10"/>
    <x v="10"/>
    <n v="130"/>
    <n v="1"/>
    <n v="0.14599999999999999"/>
    <n v="45"/>
    <d v="2024-11-20T00:00:00"/>
    <s v="miércoles"/>
    <d v="2024-11-09T00:00:00"/>
    <x v="6"/>
    <n v="26"/>
    <n v="0.57777777777777772"/>
    <n v="130"/>
    <n v="18.98"/>
    <n v="11"/>
    <n v="0.75555555555555554"/>
    <n v="1.1321750000000002"/>
    <n v="1.1321750000000002"/>
    <n v="21.488681500000002"/>
    <n v="7"/>
    <x v="1"/>
    <n v="1.898E-2"/>
  </r>
  <r>
    <s v="MULTIEMPAQUE_SG"/>
    <x v="0"/>
    <x v="0"/>
    <x v="5"/>
    <s v="QUESO SANDUCHE KIOSKO TAJADO"/>
    <x v="0"/>
    <n v="7711"/>
    <n v="1001"/>
    <x v="10"/>
    <x v="10"/>
    <n v="130"/>
    <n v="1"/>
    <n v="0.14599999999999999"/>
    <n v="45"/>
    <d v="2024-11-21T00:00:00"/>
    <s v="jueves"/>
    <d v="2024-11-09T00:00:00"/>
    <x v="6"/>
    <n v="26"/>
    <n v="0.57777777777777772"/>
    <n v="130"/>
    <n v="18.98"/>
    <n v="12"/>
    <n v="0.73333333333333339"/>
    <n v="1.1321750000000002"/>
    <n v="1.1321750000000002"/>
    <n v="21.488681500000002"/>
    <n v="6"/>
    <x v="1"/>
    <n v="1.898E-2"/>
  </r>
  <r>
    <s v="SAN GABRIEL"/>
    <x v="0"/>
    <x v="0"/>
    <x v="5"/>
    <s v="QUESO SEMIMADURO CHEDDAR KIOSKO TAJADO"/>
    <x v="0"/>
    <n v="7711"/>
    <n v="1001"/>
    <x v="11"/>
    <x v="11"/>
    <n v="240"/>
    <n v="1"/>
    <n v="7.4999999999999997E-2"/>
    <n v="90"/>
    <d v="2024-11-13T00:00:00"/>
    <s v="miércoles"/>
    <d v="2024-11-05T00:00:00"/>
    <x v="15"/>
    <n v="67"/>
    <n v="0.74444444444444446"/>
    <n v="1"/>
    <n v="7.4999999999999997E-2"/>
    <n v="8"/>
    <n v="0.91111111111111109"/>
    <n v="0.65352499999999991"/>
    <n v="0.65352499999999991"/>
    <n v="4.9014374999999992E-2"/>
    <n v="14"/>
    <x v="0"/>
    <n v="7.4999999999999993E-5"/>
  </r>
  <r>
    <s v="SAN GABRIEL"/>
    <x v="0"/>
    <x v="0"/>
    <x v="5"/>
    <s v="QUESO SEMIMADURO CHEDDAR KIOSKO TAJADO"/>
    <x v="0"/>
    <n v="7711"/>
    <n v="1001"/>
    <x v="11"/>
    <x v="11"/>
    <n v="720"/>
    <n v="1"/>
    <n v="7.4999999999999997E-2"/>
    <n v="90"/>
    <d v="2024-11-15T00:00:00"/>
    <s v="viernes"/>
    <d v="2024-11-06T00:00:00"/>
    <x v="22"/>
    <n v="68"/>
    <n v="0.75555555555555554"/>
    <n v="158"/>
    <n v="11.85"/>
    <n v="9"/>
    <n v="0.9"/>
    <n v="0.65352499999999991"/>
    <n v="0.65352499999999991"/>
    <n v="7.7442712499999988"/>
    <n v="12"/>
    <x v="0"/>
    <n v="1.1849999999999999E-2"/>
  </r>
  <r>
    <s v="SAN GABRIEL"/>
    <x v="0"/>
    <x v="0"/>
    <x v="5"/>
    <s v="QUESO SEMIMADURO CHEDDAR KIOSKO TAJADO"/>
    <x v="0"/>
    <n v="7711"/>
    <n v="1001"/>
    <x v="11"/>
    <x v="11"/>
    <n v="960"/>
    <n v="1"/>
    <n v="7.4999999999999997E-2"/>
    <n v="90"/>
    <d v="2024-11-20T00:00:00"/>
    <s v="miércoles"/>
    <d v="2024-11-14T00:00:00"/>
    <x v="23"/>
    <n v="76"/>
    <n v="0.84444444444444444"/>
    <n v="960"/>
    <n v="72"/>
    <n v="6"/>
    <n v="0.93333333333333335"/>
    <n v="0.65352499999999991"/>
    <n v="0.65352499999999991"/>
    <n v="47.053799999999995"/>
    <n v="7"/>
    <x v="0"/>
    <n v="7.1999999999999995E-2"/>
  </r>
  <r>
    <s v="SAN GABRIEL"/>
    <x v="0"/>
    <x v="0"/>
    <x v="5"/>
    <s v="QUESO SEMIMADURO CHEDDAR KIOSKO TAJADO"/>
    <x v="0"/>
    <n v="7711"/>
    <n v="1001"/>
    <x v="11"/>
    <x v="11"/>
    <n v="240"/>
    <n v="1"/>
    <n v="7.4999999999999997E-2"/>
    <n v="90"/>
    <d v="2024-11-21T00:00:00"/>
    <s v="jueves"/>
    <d v="2024-11-15T00:00:00"/>
    <x v="24"/>
    <n v="77"/>
    <n v="0.85555555555555551"/>
    <n v="240"/>
    <n v="18"/>
    <n v="6"/>
    <n v="0.93333333333333335"/>
    <n v="0.65352499999999991"/>
    <n v="0.65352499999999991"/>
    <n v="11.763449999999999"/>
    <n v="6"/>
    <x v="0"/>
    <n v="1.7999999999999999E-2"/>
  </r>
  <r>
    <s v="SAN GABRIEL"/>
    <x v="0"/>
    <x v="0"/>
    <x v="1"/>
    <s v="QUESO MOZARELLA PIZZA KIOSKO TAJADO"/>
    <x v="0"/>
    <n v="7711"/>
    <n v="1001"/>
    <x v="12"/>
    <x v="12"/>
    <n v="240"/>
    <n v="1"/>
    <n v="7.4999999999999997E-2"/>
    <n v="30"/>
    <d v="2024-11-15T00:00:00"/>
    <s v="viernes"/>
    <d v="2024-11-13T00:00:00"/>
    <x v="25"/>
    <n v="15"/>
    <n v="0.5"/>
    <n v="31"/>
    <n v="2.3249999999999997"/>
    <n v="2"/>
    <n v="0.93333333333333335"/>
    <n v="0.60747499999999999"/>
    <n v="0.60747499999999999"/>
    <n v="1.4123793749999998"/>
    <n v="12"/>
    <x v="2"/>
    <n v="2.3249999999999998E-3"/>
  </r>
  <r>
    <s v="SAN GABRIEL"/>
    <x v="0"/>
    <x v="0"/>
    <x v="1"/>
    <s v="QUESO MOZARELLA PIZZA KIOSKO TAJADO"/>
    <x v="0"/>
    <n v="7711"/>
    <n v="1001"/>
    <x v="12"/>
    <x v="12"/>
    <n v="720"/>
    <n v="1"/>
    <n v="7.4999999999999997E-2"/>
    <n v="30"/>
    <d v="2024-11-19T00:00:00"/>
    <s v="martes"/>
    <d v="2024-11-15T00:00:00"/>
    <x v="10"/>
    <n v="17"/>
    <n v="0.56666666666666665"/>
    <n v="15"/>
    <n v="1.125"/>
    <n v="4"/>
    <n v="0.8666666666666667"/>
    <n v="0.60747499999999999"/>
    <n v="0.60747499999999999"/>
    <n v="0.68340937499999999"/>
    <n v="8"/>
    <x v="2"/>
    <n v="1.1249999999999999E-3"/>
  </r>
  <r>
    <s v="SAN GABRIEL"/>
    <x v="0"/>
    <x v="0"/>
    <x v="1"/>
    <s v="QUESO MOZARELLA PIZZA KIOSKO TAJADO"/>
    <x v="0"/>
    <n v="7711"/>
    <n v="1001"/>
    <x v="12"/>
    <x v="12"/>
    <n v="480"/>
    <n v="1"/>
    <n v="7.4999999999999997E-2"/>
    <n v="30"/>
    <d v="2024-11-21T00:00:00"/>
    <s v="jueves"/>
    <d v="2024-11-20T00:00:00"/>
    <x v="19"/>
    <n v="22"/>
    <n v="0.73333333333333328"/>
    <n v="480"/>
    <n v="36"/>
    <n v="1"/>
    <n v="0.96666666666666667"/>
    <n v="0.60747499999999999"/>
    <n v="0.60747499999999999"/>
    <n v="21.8691"/>
    <n v="6"/>
    <x v="1"/>
    <n v="3.5999999999999997E-2"/>
  </r>
  <r>
    <s v="MACHACHI"/>
    <x v="1"/>
    <x v="1"/>
    <x v="3"/>
    <s v="BEBIDA DE YOGURT KIOSKO BOTELLA PERSONAL"/>
    <x v="0"/>
    <n v="7711"/>
    <n v="1001"/>
    <x v="13"/>
    <x v="13"/>
    <n v="108"/>
    <n v="1"/>
    <n v="0.18"/>
    <n v="45"/>
    <d v="2024-11-16T00:00:00"/>
    <s v="sábado"/>
    <d v="2024-11-15T00:00:00"/>
    <x v="0"/>
    <n v="32"/>
    <n v="0.71111111111111114"/>
    <n v="16"/>
    <n v="2.88"/>
    <n v="1"/>
    <n v="0.97777777777777775"/>
    <n v="0.24857499999999999"/>
    <n v="0.24857499999999999"/>
    <n v="0.71589599999999998"/>
    <n v="11"/>
    <x v="0"/>
    <n v="2.8799999999999997E-3"/>
  </r>
  <r>
    <s v="MACHACHI"/>
    <x v="1"/>
    <x v="1"/>
    <x v="3"/>
    <s v="BEBIDA DE YOGURT KIOSKO BOTELLA PERSONAL"/>
    <x v="0"/>
    <n v="7711"/>
    <n v="1001"/>
    <x v="13"/>
    <x v="13"/>
    <n v="108"/>
    <n v="1"/>
    <n v="0.18"/>
    <n v="45"/>
    <d v="2024-11-20T00:00:00"/>
    <s v="miércoles"/>
    <d v="2024-11-15T00:00:00"/>
    <x v="0"/>
    <n v="32"/>
    <n v="0.71111111111111114"/>
    <n v="108"/>
    <n v="19.439999999999998"/>
    <n v="5"/>
    <n v="0.88888888888888884"/>
    <n v="0.24857499999999999"/>
    <n v="0.24857499999999999"/>
    <n v="4.8322979999999989"/>
    <n v="7"/>
    <x v="0"/>
    <n v="1.9439999999999999E-2"/>
  </r>
  <r>
    <s v="MACHACHI"/>
    <x v="1"/>
    <x v="1"/>
    <x v="6"/>
    <s v="REGENERIS BAJO EN GRASA BOTELLA PERSONAL"/>
    <x v="0"/>
    <n v="7711"/>
    <n v="1001"/>
    <x v="14"/>
    <x v="14"/>
    <n v="108"/>
    <n v="1"/>
    <n v="0.18"/>
    <n v="45"/>
    <d v="2024-11-14T00:00:00"/>
    <s v="jueves"/>
    <d v="2024-11-06T00:00:00"/>
    <x v="11"/>
    <n v="23"/>
    <n v="0.51111111111111107"/>
    <n v="16"/>
    <n v="2.88"/>
    <n v="8"/>
    <n v="0.82222222222222219"/>
    <n v="0.28561000000000003"/>
    <n v="0.28561000000000003"/>
    <n v="0.82255680000000009"/>
    <n v="13"/>
    <x v="1"/>
    <n v="2.8799999999999997E-3"/>
  </r>
  <r>
    <s v="MACHACHI"/>
    <x v="1"/>
    <x v="1"/>
    <x v="6"/>
    <s v="REGENERIS BAJO EN GRASA BOTELLA PERSONAL"/>
    <x v="0"/>
    <n v="7711"/>
    <n v="1001"/>
    <x v="14"/>
    <x v="14"/>
    <n v="108"/>
    <n v="1"/>
    <n v="0.18"/>
    <n v="45"/>
    <d v="2024-11-19T00:00:00"/>
    <s v="martes"/>
    <d v="2024-11-14T00:00:00"/>
    <x v="7"/>
    <n v="31"/>
    <n v="0.68888888888888888"/>
    <n v="0"/>
    <n v="0"/>
    <n v="5"/>
    <n v="0.88888888888888884"/>
    <n v="0.28561000000000003"/>
    <n v="0.28561000000000003"/>
    <n v="0"/>
    <n v="8"/>
    <x v="0"/>
    <n v="0"/>
  </r>
  <r>
    <s v="MACHACHI"/>
    <x v="1"/>
    <x v="1"/>
    <x v="6"/>
    <s v="REGENERIS BAJO EN GRASA BOTELLA PERSONAL"/>
    <x v="0"/>
    <n v="7711"/>
    <n v="1001"/>
    <x v="14"/>
    <x v="14"/>
    <n v="108"/>
    <n v="1"/>
    <n v="0.18"/>
    <n v="45"/>
    <d v="2024-11-21T00:00:00"/>
    <s v="jueves"/>
    <d v="2024-11-14T00:00:00"/>
    <x v="7"/>
    <n v="31"/>
    <n v="0.68888888888888888"/>
    <n v="108"/>
    <n v="19.439999999999998"/>
    <n v="7"/>
    <n v="0.84444444444444444"/>
    <n v="0.28561000000000003"/>
    <n v="0.28561000000000003"/>
    <n v="5.5522584000000004"/>
    <n v="6"/>
    <x v="0"/>
    <n v="1.9439999999999999E-2"/>
  </r>
  <r>
    <s v="COLOMBIA"/>
    <x v="1"/>
    <x v="1"/>
    <x v="7"/>
    <s v="AVENA VASO"/>
    <x v="0"/>
    <n v="7711"/>
    <n v="1001"/>
    <x v="15"/>
    <x v="15"/>
    <n v="1344"/>
    <n v="1"/>
    <n v="0.25"/>
    <n v="180"/>
    <d v="2024-11-07T00:00:00"/>
    <s v="jueves"/>
    <d v="2024-09-10T00:00:00"/>
    <x v="26"/>
    <n v="101"/>
    <n v="0.56111111111111112"/>
    <n v="1110"/>
    <n v="277.5"/>
    <n v="58"/>
    <n v="0.67777777777777781"/>
    <n v="0.391795"/>
    <n v="0.391795"/>
    <n v="108.7231125"/>
    <n v="20"/>
    <x v="0"/>
    <n v="0.27750000000000002"/>
  </r>
  <r>
    <s v="COLOMBIA"/>
    <x v="1"/>
    <x v="1"/>
    <x v="7"/>
    <s v="AVENA VASO"/>
    <x v="0"/>
    <n v="7711"/>
    <n v="1001"/>
    <x v="15"/>
    <x v="15"/>
    <n v="2688"/>
    <n v="1"/>
    <n v="0.25"/>
    <n v="180"/>
    <d v="2024-11-12T00:00:00"/>
    <s v="martes"/>
    <d v="2024-10-18T00:00:00"/>
    <x v="27"/>
    <n v="139"/>
    <n v="0.77222222222222225"/>
    <n v="2688"/>
    <n v="672"/>
    <n v="25"/>
    <n v="0.86111111111111116"/>
    <n v="0.391795"/>
    <n v="0.391795"/>
    <n v="263.28624000000002"/>
    <n v="15"/>
    <x v="0"/>
    <n v="0.67200000000000004"/>
  </r>
  <r>
    <s v="COLOMBIA"/>
    <x v="1"/>
    <x v="1"/>
    <x v="7"/>
    <s v="AVENA VASO"/>
    <x v="0"/>
    <n v="7711"/>
    <n v="1001"/>
    <x v="15"/>
    <x v="15"/>
    <n v="1344"/>
    <n v="1"/>
    <n v="0.25"/>
    <n v="180"/>
    <d v="2024-11-13T00:00:00"/>
    <s v="miércoles"/>
    <d v="2024-09-10T00:00:00"/>
    <x v="26"/>
    <n v="101"/>
    <n v="0.56111111111111112"/>
    <n v="1344"/>
    <n v="336"/>
    <n v="64"/>
    <n v="0.64444444444444438"/>
    <n v="0.391795"/>
    <n v="0.391795"/>
    <n v="131.64312000000001"/>
    <n v="14"/>
    <x v="0"/>
    <n v="0.33600000000000002"/>
  </r>
  <r>
    <s v="COLOMBIA"/>
    <x v="1"/>
    <x v="1"/>
    <x v="7"/>
    <s v="AVENA VASO"/>
    <x v="0"/>
    <n v="7711"/>
    <n v="1001"/>
    <x v="15"/>
    <x v="15"/>
    <n v="1344"/>
    <n v="1"/>
    <n v="0.25"/>
    <n v="180"/>
    <d v="2024-11-14T00:00:00"/>
    <s v="jueves"/>
    <d v="2024-10-18T00:00:00"/>
    <x v="27"/>
    <n v="139"/>
    <n v="0.77222222222222225"/>
    <n v="1344"/>
    <n v="336"/>
    <n v="27"/>
    <n v="0.85"/>
    <n v="0.391795"/>
    <n v="0.391795"/>
    <n v="131.64312000000001"/>
    <n v="13"/>
    <x v="0"/>
    <n v="0.33600000000000002"/>
  </r>
  <r>
    <s v="COLOMBIA"/>
    <x v="1"/>
    <x v="1"/>
    <x v="7"/>
    <s v="AVENA VASO"/>
    <x v="0"/>
    <n v="7711"/>
    <n v="1001"/>
    <x v="15"/>
    <x v="15"/>
    <n v="2688"/>
    <n v="1"/>
    <n v="0.25"/>
    <n v="180"/>
    <d v="2024-10-05T00:00:00"/>
    <s v="sábado"/>
    <d v="2024-09-27T00:00:00"/>
    <x v="28"/>
    <n v="118"/>
    <n v="0.65555555555555556"/>
    <n v="3"/>
    <n v="0.75"/>
    <n v="8"/>
    <n v="0.9555555555555556"/>
    <n v="0.391795"/>
    <n v="0.391795"/>
    <n v="0.29384624999999998"/>
    <n v="53"/>
    <x v="0"/>
    <n v="7.5000000000000002E-4"/>
  </r>
  <r>
    <s v="COLOMBIA"/>
    <x v="1"/>
    <x v="1"/>
    <x v="7"/>
    <s v="AVENA VASO"/>
    <x v="0"/>
    <n v="7711"/>
    <n v="1001"/>
    <x v="15"/>
    <x v="15"/>
    <n v="0"/>
    <n v="1"/>
    <n v="0.25"/>
    <n v="180"/>
    <d v="2025-09-10T00:00:00"/>
    <s v="miércoles"/>
    <d v="2025-09-10T00:00:00"/>
    <x v="29"/>
    <n v="466"/>
    <n v="2.588888888888889"/>
    <n v="3"/>
    <n v="0.75"/>
    <n v="0"/>
    <n v="1"/>
    <n v="0.391795"/>
    <n v="0.391795"/>
    <n v="0.29384624999999998"/>
    <n v="-287"/>
    <x v="0"/>
    <n v="7.5000000000000002E-4"/>
  </r>
  <r>
    <s v="MACHACHI"/>
    <x v="1"/>
    <x v="1"/>
    <x v="8"/>
    <s v="KUMIS BOTELLA FAMILIAR"/>
    <x v="0"/>
    <n v="7711"/>
    <n v="1001"/>
    <x v="16"/>
    <x v="16"/>
    <n v="48"/>
    <n v="1"/>
    <n v="1.75"/>
    <n v="45"/>
    <d v="2024-11-13T00:00:00"/>
    <s v="miércoles"/>
    <d v="2024-11-08T00:00:00"/>
    <x v="9"/>
    <n v="25"/>
    <n v="0.55555555555555558"/>
    <n v="44"/>
    <n v="77"/>
    <n v="5"/>
    <n v="0.88888888888888884"/>
    <n v="1.88428"/>
    <n v="1.88428"/>
    <n v="145.08956000000001"/>
    <n v="14"/>
    <x v="1"/>
    <n v="7.6999999999999999E-2"/>
  </r>
  <r>
    <s v="MACHACHI"/>
    <x v="1"/>
    <x v="1"/>
    <x v="8"/>
    <s v="KUMIS BOTELLA FAMILIAR"/>
    <x v="0"/>
    <n v="7711"/>
    <n v="1001"/>
    <x v="16"/>
    <x v="16"/>
    <n v="60"/>
    <n v="1"/>
    <n v="1.75"/>
    <n v="45"/>
    <d v="2024-11-15T00:00:00"/>
    <s v="viernes"/>
    <d v="2024-11-08T00:00:00"/>
    <x v="9"/>
    <n v="25"/>
    <n v="0.55555555555555558"/>
    <n v="60"/>
    <n v="105"/>
    <n v="7"/>
    <n v="0.84444444444444444"/>
    <n v="1.88428"/>
    <n v="1.88428"/>
    <n v="197.8494"/>
    <n v="12"/>
    <x v="1"/>
    <n v="0.105"/>
  </r>
  <r>
    <s v="MACHACHI"/>
    <x v="1"/>
    <x v="1"/>
    <x v="8"/>
    <s v="KUMIS BOTELLA FAMILIAR"/>
    <x v="0"/>
    <n v="7711"/>
    <n v="1001"/>
    <x v="16"/>
    <x v="16"/>
    <n v="12"/>
    <n v="1"/>
    <n v="1.75"/>
    <n v="45"/>
    <d v="2024-11-21T00:00:00"/>
    <s v="jueves"/>
    <d v="2024-11-19T00:00:00"/>
    <x v="8"/>
    <n v="36"/>
    <n v="0.8"/>
    <n v="12"/>
    <n v="21"/>
    <n v="2"/>
    <n v="0.9555555555555556"/>
    <n v="1.88428"/>
    <n v="1.88428"/>
    <n v="39.569879999999998"/>
    <n v="6"/>
    <x v="0"/>
    <n v="2.1000000000000001E-2"/>
  </r>
  <r>
    <s v="SAN GABRIEL"/>
    <x v="0"/>
    <x v="0"/>
    <x v="5"/>
    <s v="QUESO PARMESANO KIOSKO RALLADO"/>
    <x v="0"/>
    <n v="7711"/>
    <n v="1001"/>
    <x v="17"/>
    <x v="17"/>
    <n v="750"/>
    <n v="1"/>
    <n v="0.04"/>
    <n v="180"/>
    <d v="2024-11-08T00:00:00"/>
    <s v="viernes"/>
    <d v="2024-10-30T00:00:00"/>
    <x v="30"/>
    <n v="151"/>
    <n v="0.83888888888888891"/>
    <n v="17"/>
    <n v="0.68"/>
    <n v="9"/>
    <n v="0.95"/>
    <n v="0.47916999999999998"/>
    <n v="0.47916999999999998"/>
    <n v="0.3258356"/>
    <n v="19"/>
    <x v="0"/>
    <n v="6.8000000000000005E-4"/>
  </r>
  <r>
    <s v="SAN GABRIEL"/>
    <x v="0"/>
    <x v="0"/>
    <x v="5"/>
    <s v="QUESO PARMESANO KIOSKO RALLADO"/>
    <x v="0"/>
    <n v="7711"/>
    <n v="1001"/>
    <x v="17"/>
    <x v="17"/>
    <n v="1350"/>
    <n v="1"/>
    <n v="0.04"/>
    <n v="180"/>
    <d v="2024-11-12T00:00:00"/>
    <s v="martes"/>
    <d v="2024-11-05T00:00:00"/>
    <x v="31"/>
    <n v="157"/>
    <n v="0.87222222222222223"/>
    <n v="1012"/>
    <n v="40.480000000000004"/>
    <n v="7"/>
    <n v="0.96111111111111114"/>
    <n v="0.47916999999999998"/>
    <n v="0.47916999999999998"/>
    <n v="19.3968016"/>
    <n v="15"/>
    <x v="0"/>
    <n v="4.0480000000000002E-2"/>
  </r>
  <r>
    <s v="SAN GABRIEL"/>
    <x v="0"/>
    <x v="0"/>
    <x v="5"/>
    <s v="QUESO PARMESANO KIOSKO RALLADO"/>
    <x v="0"/>
    <n v="7711"/>
    <n v="1001"/>
    <x v="17"/>
    <x v="17"/>
    <n v="900"/>
    <n v="1"/>
    <n v="0.04"/>
    <n v="180"/>
    <d v="2024-11-13T00:00:00"/>
    <s v="miércoles"/>
    <d v="2024-10-31T00:00:00"/>
    <x v="32"/>
    <n v="152"/>
    <n v="0.84444444444444444"/>
    <n v="6"/>
    <n v="0.24"/>
    <n v="13"/>
    <n v="0.92777777777777781"/>
    <n v="0.47916999999999998"/>
    <n v="0.47916999999999998"/>
    <n v="0.11500079999999999"/>
    <n v="14"/>
    <x v="0"/>
    <n v="2.3999999999999998E-4"/>
  </r>
  <r>
    <s v="SAN GABRIEL"/>
    <x v="0"/>
    <x v="0"/>
    <x v="5"/>
    <s v="QUESO PARMESANO KIOSKO RALLADO"/>
    <x v="0"/>
    <n v="7711"/>
    <n v="1001"/>
    <x v="17"/>
    <x v="17"/>
    <n v="1650"/>
    <n v="1"/>
    <n v="0.04"/>
    <n v="180"/>
    <d v="2024-11-19T00:00:00"/>
    <s v="martes"/>
    <d v="2024-11-12T00:00:00"/>
    <x v="33"/>
    <n v="164"/>
    <n v="0.91111111111111109"/>
    <n v="1650"/>
    <n v="66"/>
    <n v="7"/>
    <n v="0.96111111111111114"/>
    <n v="0.47916999999999998"/>
    <n v="0.47916999999999998"/>
    <n v="31.625219999999999"/>
    <n v="8"/>
    <x v="0"/>
    <n v="6.6000000000000003E-2"/>
  </r>
  <r>
    <s v="SAN GABRIEL"/>
    <x v="0"/>
    <x v="0"/>
    <x v="5"/>
    <s v="QUESO PARMESANO KIOSKO RALLADO"/>
    <x v="0"/>
    <n v="7711"/>
    <n v="1001"/>
    <x v="17"/>
    <x v="17"/>
    <n v="0"/>
    <n v="1"/>
    <n v="0.04"/>
    <n v="180"/>
    <d v="2024-11-27T00:00:00"/>
    <s v="miércoles"/>
    <d v="2024-11-27T00:00:00"/>
    <x v="34"/>
    <n v="179"/>
    <n v="0.99444444444444446"/>
    <n v="2119"/>
    <n v="84.76"/>
    <n v="0"/>
    <n v="1"/>
    <n v="0.47916999999999998"/>
    <n v="0.47916999999999998"/>
    <n v="40.614449200000003"/>
    <n v="0"/>
    <x v="0"/>
    <n v="8.4760000000000002E-2"/>
  </r>
  <r>
    <s v="SAN GABRIEL"/>
    <x v="0"/>
    <x v="0"/>
    <x v="5"/>
    <s v="QUESO PARMESANO KIOSKO RALLADO"/>
    <x v="0"/>
    <n v="7711"/>
    <n v="1001"/>
    <x v="17"/>
    <x v="17"/>
    <n v="450"/>
    <n v="1"/>
    <n v="0.04"/>
    <n v="180"/>
    <d v="2024-11-20T00:00:00"/>
    <s v="miércoles"/>
    <d v="2024-11-14T00:00:00"/>
    <x v="35"/>
    <n v="166"/>
    <n v="0.92222222222222228"/>
    <n v="450"/>
    <n v="18"/>
    <n v="6"/>
    <n v="0.96666666666666667"/>
    <n v="0.47916999999999998"/>
    <n v="0.47916999999999998"/>
    <n v="8.6250599999999995"/>
    <n v="7"/>
    <x v="0"/>
    <n v="1.7999999999999999E-2"/>
  </r>
  <r>
    <s v="SAN GABRIEL"/>
    <x v="0"/>
    <x v="0"/>
    <x v="5"/>
    <s v="QUESO PARMESANO KIOSKO RALLADO"/>
    <x v="0"/>
    <n v="7711"/>
    <n v="1001"/>
    <x v="17"/>
    <x v="17"/>
    <n v="750"/>
    <n v="1"/>
    <n v="0.04"/>
    <n v="180"/>
    <d v="2024-11-21T00:00:00"/>
    <s v="jueves"/>
    <d v="2024-11-14T00:00:00"/>
    <x v="35"/>
    <n v="166"/>
    <n v="0.92222222222222228"/>
    <n v="750"/>
    <n v="30"/>
    <n v="7"/>
    <n v="0.96111111111111114"/>
    <n v="0.47916999999999998"/>
    <n v="0.47916999999999998"/>
    <n v="14.3751"/>
    <n v="6"/>
    <x v="0"/>
    <n v="0.03"/>
  </r>
  <r>
    <s v="SAN GABRIEL"/>
    <x v="0"/>
    <x v="0"/>
    <x v="5"/>
    <s v="QUESO PARMESANO KIOSKO RALLADO"/>
    <x v="0"/>
    <n v="7711"/>
    <n v="1001"/>
    <x v="17"/>
    <x v="17"/>
    <n v="0"/>
    <n v="1"/>
    <n v="0.04"/>
    <n v="180"/>
    <d v="2025-10-31T00:00:00"/>
    <s v="viernes"/>
    <d v="2025-10-31T00:00:00"/>
    <x v="36"/>
    <n v="517"/>
    <n v="2.8722222222222222"/>
    <n v="6"/>
    <n v="0.24"/>
    <n v="0"/>
    <n v="1"/>
    <n v="0.47916999999999998"/>
    <n v="0.47916999999999998"/>
    <n v="0.11500079999999999"/>
    <n v="-338"/>
    <x v="0"/>
    <n v="2.3999999999999998E-4"/>
  </r>
  <r>
    <s v="SAN GABRIEL"/>
    <x v="0"/>
    <x v="0"/>
    <x v="5"/>
    <s v="QUESO PARMESANO KIOSKO RALLADO"/>
    <x v="0"/>
    <n v="7711"/>
    <n v="1001"/>
    <x v="18"/>
    <x v="18"/>
    <n v="140"/>
    <n v="1"/>
    <n v="0.5"/>
    <n v="180"/>
    <d v="2024-11-12T00:00:00"/>
    <s v="martes"/>
    <d v="2024-11-05T00:00:00"/>
    <x v="31"/>
    <n v="157"/>
    <n v="0.87222222222222223"/>
    <n v="111"/>
    <n v="55.5"/>
    <n v="7"/>
    <n v="0.96111111111111114"/>
    <n v="4.4371550000000006"/>
    <n v="4.4371550000000006"/>
    <n v="246.26210250000003"/>
    <n v="15"/>
    <x v="0"/>
    <n v="5.5500000000000001E-2"/>
  </r>
  <r>
    <s v="SAN GABRIEL"/>
    <x v="0"/>
    <x v="0"/>
    <x v="5"/>
    <s v="QUESO PARMESANO KIOSKO RALLADO"/>
    <x v="0"/>
    <n v="7711"/>
    <n v="1001"/>
    <x v="18"/>
    <x v="18"/>
    <n v="120"/>
    <n v="1"/>
    <n v="0.5"/>
    <n v="180"/>
    <d v="2024-11-13T00:00:00"/>
    <s v="miércoles"/>
    <d v="2024-11-05T00:00:00"/>
    <x v="31"/>
    <n v="157"/>
    <n v="0.87222222222222223"/>
    <n v="120"/>
    <n v="60"/>
    <n v="8"/>
    <n v="0.9555555555555556"/>
    <n v="4.4371550000000006"/>
    <n v="4.4371550000000006"/>
    <n v="266.22930000000002"/>
    <n v="14"/>
    <x v="0"/>
    <n v="0.06"/>
  </r>
  <r>
    <s v="SAN GABRIEL"/>
    <x v="0"/>
    <x v="0"/>
    <x v="5"/>
    <s v="QUESO PARMESANO KIOSKO RALLADO"/>
    <x v="0"/>
    <n v="7711"/>
    <n v="1001"/>
    <x v="18"/>
    <x v="18"/>
    <n v="100"/>
    <n v="1"/>
    <n v="0.5"/>
    <n v="180"/>
    <d v="2024-11-15T00:00:00"/>
    <s v="viernes"/>
    <d v="2024-11-12T00:00:00"/>
    <x v="33"/>
    <n v="164"/>
    <n v="0.91111111111111109"/>
    <n v="100"/>
    <n v="50"/>
    <n v="3"/>
    <n v="0.98333333333333328"/>
    <n v="4.4371550000000006"/>
    <n v="4.4371550000000006"/>
    <n v="221.85775000000004"/>
    <n v="12"/>
    <x v="0"/>
    <n v="0.05"/>
  </r>
  <r>
    <s v="SAN GABRIEL"/>
    <x v="0"/>
    <x v="0"/>
    <x v="5"/>
    <s v="QUESO PARMESANO KIOSKO RALLADO"/>
    <x v="0"/>
    <n v="7711"/>
    <n v="1001"/>
    <x v="18"/>
    <x v="18"/>
    <n v="180"/>
    <n v="1"/>
    <n v="0.5"/>
    <n v="180"/>
    <d v="2024-11-14T00:00:00"/>
    <s v="jueves"/>
    <d v="2024-11-06T00:00:00"/>
    <x v="37"/>
    <n v="158"/>
    <n v="0.87777777777777777"/>
    <n v="180"/>
    <n v="90"/>
    <n v="8"/>
    <n v="0.9555555555555556"/>
    <n v="4.4371550000000006"/>
    <n v="4.4371550000000006"/>
    <n v="399.34395000000006"/>
    <n v="13"/>
    <x v="0"/>
    <n v="0.09"/>
  </r>
  <r>
    <s v="SAN GABRIEL"/>
    <x v="0"/>
    <x v="0"/>
    <x v="5"/>
    <s v="QUESO PARMESANO KIOSKO RALLADO"/>
    <x v="0"/>
    <n v="7711"/>
    <n v="1001"/>
    <x v="18"/>
    <x v="18"/>
    <n v="120"/>
    <n v="1"/>
    <n v="0.5"/>
    <n v="180"/>
    <d v="2024-11-19T00:00:00"/>
    <s v="martes"/>
    <d v="2024-11-12T00:00:00"/>
    <x v="33"/>
    <n v="164"/>
    <n v="0.91111111111111109"/>
    <n v="120"/>
    <n v="60"/>
    <n v="7"/>
    <n v="0.96111111111111114"/>
    <n v="4.4371550000000006"/>
    <n v="4.4371550000000006"/>
    <n v="266.22930000000002"/>
    <n v="8"/>
    <x v="0"/>
    <n v="0.06"/>
  </r>
  <r>
    <s v="SAN GABRIEL"/>
    <x v="0"/>
    <x v="0"/>
    <x v="5"/>
    <s v="QUESO PARMESANO KIOSKO RALLADO"/>
    <x v="0"/>
    <n v="7711"/>
    <n v="1001"/>
    <x v="18"/>
    <x v="18"/>
    <n v="100"/>
    <n v="1"/>
    <n v="0.5"/>
    <n v="180"/>
    <d v="2024-11-20T00:00:00"/>
    <s v="miércoles"/>
    <d v="2024-11-13T00:00:00"/>
    <x v="38"/>
    <n v="165"/>
    <n v="0.91666666666666663"/>
    <n v="100"/>
    <n v="50"/>
    <n v="7"/>
    <n v="0.96111111111111114"/>
    <n v="4.4371550000000006"/>
    <n v="4.4371550000000006"/>
    <n v="221.85775000000004"/>
    <n v="7"/>
    <x v="0"/>
    <n v="0.05"/>
  </r>
  <r>
    <s v="SAN GABRIEL"/>
    <x v="0"/>
    <x v="0"/>
    <x v="5"/>
    <s v="QUESO PARMESANO KIOSKO RALLADO"/>
    <x v="0"/>
    <n v="7711"/>
    <n v="1001"/>
    <x v="18"/>
    <x v="18"/>
    <n v="100"/>
    <n v="1"/>
    <n v="0.5"/>
    <n v="180"/>
    <d v="2024-11-21T00:00:00"/>
    <s v="jueves"/>
    <d v="2024-11-14T00:00:00"/>
    <x v="35"/>
    <n v="166"/>
    <n v="0.92222222222222228"/>
    <n v="100"/>
    <n v="50"/>
    <n v="7"/>
    <n v="0.96111111111111114"/>
    <n v="4.4371550000000006"/>
    <n v="4.4371550000000006"/>
    <n v="221.85775000000004"/>
    <n v="6"/>
    <x v="0"/>
    <n v="0.05"/>
  </r>
  <r>
    <s v="MACHACHI"/>
    <x v="1"/>
    <x v="1"/>
    <x v="2"/>
    <s v="BON YURT REGULAR"/>
    <x v="0"/>
    <n v="7711"/>
    <n v="1001"/>
    <x v="19"/>
    <x v="19"/>
    <n v="780"/>
    <n v="1"/>
    <n v="0.16500000000000001"/>
    <n v="45"/>
    <d v="2024-11-13T00:00:00"/>
    <s v="miércoles"/>
    <d v="2024-11-05T00:00:00"/>
    <x v="19"/>
    <n v="22"/>
    <n v="0.48888888888888887"/>
    <n v="500"/>
    <n v="82.5"/>
    <n v="8"/>
    <n v="0.82222222222222219"/>
    <n v="0.32339499999999999"/>
    <n v="0.32339499999999999"/>
    <n v="26.680087499999999"/>
    <n v="14"/>
    <x v="1"/>
    <n v="8.2500000000000004E-2"/>
  </r>
  <r>
    <s v="MACHACHI"/>
    <x v="1"/>
    <x v="1"/>
    <x v="2"/>
    <s v="BON YURT REGULAR"/>
    <x v="0"/>
    <n v="7711"/>
    <n v="1001"/>
    <x v="19"/>
    <x v="19"/>
    <n v="1800"/>
    <n v="1"/>
    <n v="0.16500000000000001"/>
    <n v="45"/>
    <d v="2024-11-15T00:00:00"/>
    <s v="viernes"/>
    <d v="2024-11-08T00:00:00"/>
    <x v="9"/>
    <n v="25"/>
    <n v="0.55555555555555558"/>
    <n v="684"/>
    <n v="112.86"/>
    <n v="7"/>
    <n v="0.84444444444444444"/>
    <n v="0.32339499999999999"/>
    <n v="0.32339499999999999"/>
    <n v="36.498359700000002"/>
    <n v="12"/>
    <x v="1"/>
    <n v="0.11286"/>
  </r>
  <r>
    <s v="MACHACHI"/>
    <x v="1"/>
    <x v="1"/>
    <x v="2"/>
    <s v="BON YURT REGULAR"/>
    <x v="0"/>
    <n v="7711"/>
    <n v="1001"/>
    <x v="19"/>
    <x v="19"/>
    <n v="1200"/>
    <n v="1"/>
    <n v="0.16500000000000001"/>
    <n v="45"/>
    <d v="2024-11-14T00:00:00"/>
    <s v="jueves"/>
    <d v="2024-11-05T00:00:00"/>
    <x v="19"/>
    <n v="22"/>
    <n v="0.48888888888888887"/>
    <n v="1200"/>
    <n v="198"/>
    <n v="9"/>
    <n v="0.8"/>
    <n v="0.32339499999999999"/>
    <n v="0.32339499999999999"/>
    <n v="64.032209999999992"/>
    <n v="13"/>
    <x v="1"/>
    <n v="0.19800000000000001"/>
  </r>
  <r>
    <s v="MACHACHI"/>
    <x v="1"/>
    <x v="1"/>
    <x v="2"/>
    <s v="BON YURT REGULAR"/>
    <x v="0"/>
    <n v="7711"/>
    <n v="1001"/>
    <x v="19"/>
    <x v="19"/>
    <n v="780"/>
    <n v="1"/>
    <n v="0.16500000000000001"/>
    <n v="45"/>
    <d v="2024-11-19T00:00:00"/>
    <s v="martes"/>
    <d v="2024-11-12T00:00:00"/>
    <x v="5"/>
    <n v="29"/>
    <n v="0.64444444444444449"/>
    <n v="1380"/>
    <n v="227.70000000000002"/>
    <n v="7"/>
    <n v="0.84444444444444444"/>
    <n v="0.32339499999999999"/>
    <n v="0.32339499999999999"/>
    <n v="73.637041500000009"/>
    <n v="8"/>
    <x v="0"/>
    <n v="0.22770000000000001"/>
  </r>
  <r>
    <s v="MACHACHI"/>
    <x v="1"/>
    <x v="1"/>
    <x v="2"/>
    <s v="BON YURT REGULAR"/>
    <x v="0"/>
    <n v="7711"/>
    <n v="1001"/>
    <x v="19"/>
    <x v="19"/>
    <n v="660"/>
    <n v="1"/>
    <n v="0.16500000000000001"/>
    <n v="45"/>
    <d v="2024-11-20T00:00:00"/>
    <s v="miércoles"/>
    <d v="2024-11-16T00:00:00"/>
    <x v="3"/>
    <n v="33"/>
    <n v="0.73333333333333328"/>
    <n v="0"/>
    <n v="0"/>
    <n v="4"/>
    <n v="0.91111111111111109"/>
    <n v="0.32339499999999999"/>
    <n v="0.32339499999999999"/>
    <n v="0"/>
    <n v="7"/>
    <x v="0"/>
    <n v="0"/>
  </r>
  <r>
    <s v="MACHACHI"/>
    <x v="1"/>
    <x v="1"/>
    <x v="2"/>
    <s v="BON YURT REGULAR"/>
    <x v="0"/>
    <n v="7711"/>
    <n v="1001"/>
    <x v="19"/>
    <x v="19"/>
    <n v="1200"/>
    <n v="1"/>
    <n v="0.16500000000000001"/>
    <n v="45"/>
    <d v="2024-11-21T00:00:00"/>
    <s v="jueves"/>
    <d v="2024-11-16T00:00:00"/>
    <x v="3"/>
    <n v="33"/>
    <n v="0.73333333333333328"/>
    <n v="1200"/>
    <n v="198"/>
    <n v="5"/>
    <n v="0.88888888888888884"/>
    <n v="0.32339499999999999"/>
    <n v="0.32339499999999999"/>
    <n v="64.032209999999992"/>
    <n v="6"/>
    <x v="0"/>
    <n v="0.19800000000000001"/>
  </r>
  <r>
    <s v="SAN GABRIEL"/>
    <x v="0"/>
    <x v="0"/>
    <x v="5"/>
    <s v="QUESO PARMESANO KIOSKO BLOQUE"/>
    <x v="0"/>
    <n v="7711"/>
    <n v="1001"/>
    <x v="20"/>
    <x v="20"/>
    <n v="20"/>
    <n v="2.4"/>
    <n v="1"/>
    <n v="90"/>
    <d v="2024-11-13T00:00:00"/>
    <s v="miércoles"/>
    <d v="2024-11-12T00:00:00"/>
    <x v="18"/>
    <n v="74"/>
    <n v="0.82222222222222219"/>
    <n v="14"/>
    <n v="33.6"/>
    <n v="1"/>
    <n v="0.98888888888888893"/>
    <n v="7.9599600000000006"/>
    <n v="19.103904"/>
    <n v="641.89117440000007"/>
    <n v="14"/>
    <x v="0"/>
    <n v="3.3600000000000005E-2"/>
  </r>
  <r>
    <s v="SAN GABRIEL"/>
    <x v="0"/>
    <x v="0"/>
    <x v="5"/>
    <s v="QUESO PARMESANO KIOSKO BLOQUE"/>
    <x v="0"/>
    <n v="7711"/>
    <n v="1001"/>
    <x v="20"/>
    <x v="20"/>
    <n v="4"/>
    <n v="2.4"/>
    <n v="1"/>
    <n v="90"/>
    <d v="2024-11-14T00:00:00"/>
    <s v="jueves"/>
    <d v="2024-11-13T00:00:00"/>
    <x v="39"/>
    <n v="75"/>
    <n v="0.83333333333333337"/>
    <n v="4"/>
    <n v="9.6"/>
    <n v="1"/>
    <n v="0.98888888888888893"/>
    <n v="7.9599600000000006"/>
    <n v="19.103904"/>
    <n v="183.39747839999998"/>
    <n v="13"/>
    <x v="0"/>
    <n v="9.5999999999999992E-3"/>
  </r>
  <r>
    <s v="SAN GABRIEL"/>
    <x v="0"/>
    <x v="0"/>
    <x v="5"/>
    <s v="QUESO PARMESANO KIOSKO BLOQUE"/>
    <x v="0"/>
    <n v="7711"/>
    <n v="1001"/>
    <x v="20"/>
    <x v="20"/>
    <n v="4"/>
    <n v="2.4"/>
    <n v="1"/>
    <n v="90"/>
    <d v="2024-11-20T00:00:00"/>
    <s v="miércoles"/>
    <d v="2024-11-19T00:00:00"/>
    <x v="40"/>
    <n v="81"/>
    <n v="0.9"/>
    <n v="4"/>
    <n v="9.6"/>
    <n v="1"/>
    <n v="0.98888888888888893"/>
    <n v="7.9599600000000006"/>
    <n v="19.103904"/>
    <n v="183.39747839999998"/>
    <n v="7"/>
    <x v="0"/>
    <n v="9.5999999999999992E-3"/>
  </r>
  <r>
    <s v="SAN GABRIEL"/>
    <x v="2"/>
    <x v="1"/>
    <x v="9"/>
    <s v="DULCE DE LECHE KIOSCO FAMILIAR"/>
    <x v="0"/>
    <n v="7711"/>
    <n v="1001"/>
    <x v="21"/>
    <x v="21"/>
    <n v="0"/>
    <n v="1"/>
    <n v="0.5"/>
    <n v="180"/>
    <d v="2024-10-30T00:00:00"/>
    <s v="miércoles"/>
    <d v="2024-06-17T00:00:00"/>
    <x v="41"/>
    <n v="16"/>
    <n v="8.8888888888888892E-2"/>
    <n v="16"/>
    <n v="8"/>
    <n v="135"/>
    <n v="0.25"/>
    <n v="1.3121100000000001"/>
    <n v="1.3121100000000001"/>
    <n v="10.496880000000001"/>
    <n v="28"/>
    <x v="2"/>
    <n v="8.0000000000000002E-3"/>
  </r>
  <r>
    <s v="SAN GABRIEL"/>
    <x v="2"/>
    <x v="1"/>
    <x v="9"/>
    <s v="DULCE DE LECHE KIOSCO FAMILIAR"/>
    <x v="0"/>
    <n v="7711"/>
    <n v="1001"/>
    <x v="21"/>
    <x v="21"/>
    <n v="72"/>
    <n v="1"/>
    <n v="0.5"/>
    <n v="180"/>
    <d v="2024-11-15T00:00:00"/>
    <s v="viernes"/>
    <d v="2024-10-31T00:00:00"/>
    <x v="32"/>
    <n v="152"/>
    <n v="0.84444444444444444"/>
    <n v="72"/>
    <n v="36"/>
    <n v="15"/>
    <n v="0.91666666666666663"/>
    <n v="1.3121100000000001"/>
    <n v="1.3121100000000001"/>
    <n v="47.235960000000006"/>
    <n v="12"/>
    <x v="0"/>
    <n v="3.5999999999999997E-2"/>
  </r>
  <r>
    <s v="SAN GABRIEL"/>
    <x v="2"/>
    <x v="1"/>
    <x v="9"/>
    <s v="DULCE DE LECHE KIOSCO FAMILIAR"/>
    <x v="0"/>
    <n v="7711"/>
    <n v="1001"/>
    <x v="21"/>
    <x v="21"/>
    <n v="180"/>
    <n v="1"/>
    <n v="0.5"/>
    <n v="180"/>
    <d v="2024-11-14T00:00:00"/>
    <s v="jueves"/>
    <d v="2024-10-31T00:00:00"/>
    <x v="32"/>
    <n v="152"/>
    <n v="0.84444444444444444"/>
    <n v="164"/>
    <n v="82"/>
    <n v="14"/>
    <n v="0.92222222222222228"/>
    <n v="1.3121100000000001"/>
    <n v="1.3121100000000001"/>
    <n v="107.59302000000001"/>
    <n v="13"/>
    <x v="0"/>
    <n v="8.2000000000000003E-2"/>
  </r>
  <r>
    <s v="SAN GABRIEL"/>
    <x v="2"/>
    <x v="1"/>
    <x v="9"/>
    <s v="DULCE DE LECHE KIOSCO FAMILIAR"/>
    <x v="0"/>
    <n v="7711"/>
    <n v="1001"/>
    <x v="21"/>
    <x v="21"/>
    <n v="252"/>
    <n v="1"/>
    <n v="0.5"/>
    <n v="180"/>
    <d v="2024-11-19T00:00:00"/>
    <s v="martes"/>
    <d v="2024-10-31T00:00:00"/>
    <x v="32"/>
    <n v="152"/>
    <n v="0.84444444444444444"/>
    <n v="252"/>
    <n v="126"/>
    <n v="19"/>
    <n v="0.89444444444444449"/>
    <n v="1.3121100000000001"/>
    <n v="1.3121100000000001"/>
    <n v="165.32586000000001"/>
    <n v="8"/>
    <x v="0"/>
    <n v="0.126"/>
  </r>
  <r>
    <s v="SAN GABRIEL"/>
    <x v="2"/>
    <x v="1"/>
    <x v="9"/>
    <s v="DULCE DE LECHE KIOSCO FAMILIAR"/>
    <x v="0"/>
    <n v="7711"/>
    <n v="1001"/>
    <x v="21"/>
    <x v="21"/>
    <n v="108"/>
    <n v="1"/>
    <n v="0.5"/>
    <n v="180"/>
    <d v="2024-11-19T00:00:00"/>
    <s v="martes"/>
    <d v="2024-11-15T00:00:00"/>
    <x v="42"/>
    <n v="167"/>
    <n v="0.92777777777777781"/>
    <n v="108"/>
    <n v="54"/>
    <n v="4"/>
    <n v="0.97777777777777775"/>
    <n v="1.3121100000000001"/>
    <n v="1.3121100000000001"/>
    <n v="70.853940000000009"/>
    <n v="8"/>
    <x v="0"/>
    <n v="5.3999999999999999E-2"/>
  </r>
  <r>
    <s v="SAN GABRIEL"/>
    <x v="2"/>
    <x v="1"/>
    <x v="9"/>
    <s v="DULCE DE LECHE KIOSCO FAMILIAR"/>
    <x v="0"/>
    <n v="7711"/>
    <n v="1001"/>
    <x v="21"/>
    <x v="21"/>
    <n v="1008"/>
    <n v="1"/>
    <n v="0.5"/>
    <n v="180"/>
    <d v="2024-11-20T00:00:00"/>
    <s v="miércoles"/>
    <d v="2024-11-15T00:00:00"/>
    <x v="42"/>
    <n v="167"/>
    <n v="0.92777777777777781"/>
    <n v="1008"/>
    <n v="504"/>
    <n v="5"/>
    <n v="0.97222222222222221"/>
    <n v="1.3121100000000001"/>
    <n v="1.3121100000000001"/>
    <n v="661.30344000000002"/>
    <n v="7"/>
    <x v="0"/>
    <n v="0.504"/>
  </r>
  <r>
    <s v="SAN GABRIEL"/>
    <x v="0"/>
    <x v="0"/>
    <x v="1"/>
    <s v="QUESO MOZARELLA KIOSKO BLOQUE"/>
    <x v="0"/>
    <n v="7711"/>
    <n v="1001"/>
    <x v="22"/>
    <x v="22"/>
    <n v="720"/>
    <n v="1"/>
    <n v="0.2"/>
    <n v="40"/>
    <d v="2024-11-15T00:00:00"/>
    <s v="viernes"/>
    <d v="2024-11-13T00:00:00"/>
    <x v="9"/>
    <n v="25"/>
    <n v="0.625"/>
    <n v="13"/>
    <n v="2.6"/>
    <n v="2"/>
    <n v="0.95"/>
    <n v="0.94696000000000002"/>
    <n v="0.94696000000000002"/>
    <n v="2.4620960000000003"/>
    <n v="12"/>
    <x v="1"/>
    <n v="2.5999999999999999E-3"/>
  </r>
  <r>
    <s v="SAN GABRIEL"/>
    <x v="0"/>
    <x v="0"/>
    <x v="1"/>
    <s v="QUESO MOZARELLA KIOSKO BLOQUE"/>
    <x v="0"/>
    <n v="7711"/>
    <n v="1001"/>
    <x v="22"/>
    <x v="22"/>
    <n v="3120"/>
    <n v="1"/>
    <n v="0.2"/>
    <n v="40"/>
    <d v="2024-11-19T00:00:00"/>
    <s v="martes"/>
    <d v="2024-11-14T00:00:00"/>
    <x v="6"/>
    <n v="26"/>
    <n v="0.65"/>
    <n v="2586"/>
    <n v="517.20000000000005"/>
    <n v="5"/>
    <n v="0.875"/>
    <n v="0.94696000000000002"/>
    <n v="0.94696000000000002"/>
    <n v="489.76771200000007"/>
    <n v="8"/>
    <x v="1"/>
    <n v="0.51719999999999999"/>
  </r>
  <r>
    <s v="SAN GABRIEL"/>
    <x v="0"/>
    <x v="0"/>
    <x v="1"/>
    <s v="QUESO MOZARELLA KIOSKO BLOQUE"/>
    <x v="0"/>
    <n v="7711"/>
    <n v="1001"/>
    <x v="22"/>
    <x v="22"/>
    <n v="360"/>
    <n v="1"/>
    <n v="0.2"/>
    <n v="40"/>
    <d v="2024-11-20T00:00:00"/>
    <s v="miércoles"/>
    <d v="2024-11-16T00:00:00"/>
    <x v="43"/>
    <n v="28"/>
    <n v="0.7"/>
    <n v="360"/>
    <n v="72"/>
    <n v="4"/>
    <n v="0.9"/>
    <n v="0.94696000000000002"/>
    <n v="0.94696000000000002"/>
    <n v="68.181120000000007"/>
    <n v="7"/>
    <x v="0"/>
    <n v="7.1999999999999995E-2"/>
  </r>
  <r>
    <s v="SAN GABRIEL"/>
    <x v="0"/>
    <x v="0"/>
    <x v="1"/>
    <s v="QUESO MOZARELLA KIOSKO BLOQUE"/>
    <x v="0"/>
    <n v="7711"/>
    <n v="1001"/>
    <x v="22"/>
    <x v="22"/>
    <n v="840"/>
    <n v="1"/>
    <n v="0.2"/>
    <n v="40"/>
    <d v="2024-11-20T00:00:00"/>
    <s v="miércoles"/>
    <d v="2024-11-15T00:00:00"/>
    <x v="44"/>
    <n v="27"/>
    <n v="0.67500000000000004"/>
    <n v="840"/>
    <n v="168"/>
    <n v="5"/>
    <n v="0.875"/>
    <n v="0.94696000000000002"/>
    <n v="0.94696000000000002"/>
    <n v="159.08928"/>
    <n v="7"/>
    <x v="0"/>
    <n v="0.16800000000000001"/>
  </r>
  <r>
    <s v="SAN GABRIEL"/>
    <x v="0"/>
    <x v="0"/>
    <x v="1"/>
    <s v="QUESO MOZARELLA KIOSKO BLOQUE"/>
    <x v="0"/>
    <n v="7711"/>
    <n v="1001"/>
    <x v="22"/>
    <x v="22"/>
    <n v="1560"/>
    <n v="1"/>
    <n v="0.2"/>
    <n v="40"/>
    <d v="2024-11-21T00:00:00"/>
    <s v="jueves"/>
    <d v="2024-11-16T00:00:00"/>
    <x v="43"/>
    <n v="28"/>
    <n v="0.7"/>
    <n v="1560"/>
    <n v="312"/>
    <n v="5"/>
    <n v="0.875"/>
    <n v="0.94696000000000002"/>
    <n v="0.94696000000000002"/>
    <n v="295.45152000000002"/>
    <n v="6"/>
    <x v="0"/>
    <n v="0.312"/>
  </r>
  <r>
    <s v="SAN GABRIEL"/>
    <x v="0"/>
    <x v="0"/>
    <x v="1"/>
    <s v="QUESO MOZARELLA KIOSKO BLOQUE"/>
    <x v="0"/>
    <n v="7711"/>
    <n v="1001"/>
    <x v="23"/>
    <x v="23"/>
    <n v="630"/>
    <n v="1"/>
    <n v="0.35"/>
    <n v="40"/>
    <d v="2024-11-08T00:00:00"/>
    <s v="viernes"/>
    <d v="2024-11-06T00:00:00"/>
    <x v="4"/>
    <n v="18"/>
    <n v="0.45"/>
    <n v="1"/>
    <n v="0.35"/>
    <n v="2"/>
    <n v="0.95"/>
    <n v="1.6586400000000001"/>
    <n v="1.6586400000000001"/>
    <n v="0.58052400000000004"/>
    <n v="19"/>
    <x v="2"/>
    <n v="3.5E-4"/>
  </r>
  <r>
    <s v="SAN GABRIEL"/>
    <x v="0"/>
    <x v="0"/>
    <x v="1"/>
    <s v="QUESO MOZARELLA KIOSKO BLOQUE"/>
    <x v="0"/>
    <n v="7711"/>
    <n v="1001"/>
    <x v="23"/>
    <x v="23"/>
    <n v="315"/>
    <n v="1"/>
    <n v="0.35"/>
    <n v="40"/>
    <d v="2024-11-15T00:00:00"/>
    <s v="viernes"/>
    <d v="2024-11-12T00:00:00"/>
    <x v="1"/>
    <n v="24"/>
    <n v="0.6"/>
    <n v="315"/>
    <n v="110.25"/>
    <n v="3"/>
    <n v="0.92500000000000004"/>
    <n v="1.6586400000000001"/>
    <n v="1.6586400000000001"/>
    <n v="182.86506"/>
    <n v="12"/>
    <x v="1"/>
    <n v="0.11025"/>
  </r>
  <r>
    <s v="SAN GABRIEL"/>
    <x v="0"/>
    <x v="0"/>
    <x v="1"/>
    <s v="QUESO MOZARELLA KIOSKO BLOQUE"/>
    <x v="0"/>
    <n v="7711"/>
    <n v="1001"/>
    <x v="23"/>
    <x v="23"/>
    <n v="180"/>
    <n v="1"/>
    <n v="0.35"/>
    <n v="40"/>
    <d v="2024-11-14T00:00:00"/>
    <s v="jueves"/>
    <d v="2024-11-12T00:00:00"/>
    <x v="1"/>
    <n v="24"/>
    <n v="0.6"/>
    <n v="122"/>
    <n v="42.699999999999996"/>
    <n v="2"/>
    <n v="0.95"/>
    <n v="1.6586400000000001"/>
    <n v="1.6586400000000001"/>
    <n v="70.823927999999995"/>
    <n v="13"/>
    <x v="1"/>
    <n v="4.2699999999999995E-2"/>
  </r>
  <r>
    <s v="SAN GABRIEL"/>
    <x v="0"/>
    <x v="0"/>
    <x v="1"/>
    <s v="QUESO MOZARELLA KIOSKO BLOQUE"/>
    <x v="0"/>
    <n v="7711"/>
    <n v="1001"/>
    <x v="23"/>
    <x v="23"/>
    <n v="90"/>
    <n v="1"/>
    <n v="0.35"/>
    <n v="40"/>
    <d v="2024-11-14T00:00:00"/>
    <s v="jueves"/>
    <d v="2024-11-09T00:00:00"/>
    <x v="45"/>
    <n v="21"/>
    <n v="0.52500000000000002"/>
    <n v="10"/>
    <n v="3.5"/>
    <n v="5"/>
    <n v="0.875"/>
    <n v="1.6586400000000001"/>
    <n v="1.6586400000000001"/>
    <n v="5.8052400000000004"/>
    <n v="13"/>
    <x v="2"/>
    <n v="3.5000000000000001E-3"/>
  </r>
  <r>
    <s v="SAN GABRIEL"/>
    <x v="0"/>
    <x v="0"/>
    <x v="1"/>
    <s v="QUESO MOZARELLA KIOSKO BLOQUE"/>
    <x v="0"/>
    <n v="7711"/>
    <n v="1001"/>
    <x v="23"/>
    <x v="23"/>
    <n v="495"/>
    <n v="1"/>
    <n v="0.35"/>
    <n v="40"/>
    <d v="2024-11-19T00:00:00"/>
    <s v="martes"/>
    <d v="2024-11-15T00:00:00"/>
    <x v="44"/>
    <n v="27"/>
    <n v="0.67500000000000004"/>
    <n v="495"/>
    <n v="173.25"/>
    <n v="4"/>
    <n v="0.9"/>
    <n v="1.6586400000000001"/>
    <n v="1.6586400000000001"/>
    <n v="287.35938000000004"/>
    <n v="8"/>
    <x v="0"/>
    <n v="0.17324999999999999"/>
  </r>
  <r>
    <s v="SAN GABRIEL"/>
    <x v="0"/>
    <x v="0"/>
    <x v="1"/>
    <s v="QUESO MOZARELLA KIOSKO BLOQUE"/>
    <x v="0"/>
    <n v="7711"/>
    <n v="1001"/>
    <x v="23"/>
    <x v="23"/>
    <n v="180"/>
    <n v="1"/>
    <n v="0.35"/>
    <n v="40"/>
    <d v="2024-11-20T00:00:00"/>
    <s v="miércoles"/>
    <d v="2024-11-15T00:00:00"/>
    <x v="44"/>
    <n v="27"/>
    <n v="0.67500000000000004"/>
    <n v="180"/>
    <n v="62.999999999999993"/>
    <n v="5"/>
    <n v="0.875"/>
    <n v="1.6586400000000001"/>
    <n v="1.6586400000000001"/>
    <n v="104.49432"/>
    <n v="7"/>
    <x v="0"/>
    <n v="6.2999999999999987E-2"/>
  </r>
  <r>
    <s v="SAN GABRIEL"/>
    <x v="0"/>
    <x v="0"/>
    <x v="1"/>
    <s v="QUESO MOZARELLA KIOSKO BLOQUE"/>
    <x v="0"/>
    <n v="7711"/>
    <n v="1001"/>
    <x v="23"/>
    <x v="23"/>
    <n v="225"/>
    <n v="1"/>
    <n v="0.35"/>
    <n v="40"/>
    <d v="2024-11-21T00:00:00"/>
    <s v="jueves"/>
    <d v="2024-11-19T00:00:00"/>
    <x v="7"/>
    <n v="31"/>
    <n v="0.77500000000000002"/>
    <n v="225"/>
    <n v="78.75"/>
    <n v="2"/>
    <n v="0.95"/>
    <n v="1.6586400000000001"/>
    <n v="1.6586400000000001"/>
    <n v="130.61790000000002"/>
    <n v="6"/>
    <x v="0"/>
    <n v="7.8750000000000001E-2"/>
  </r>
  <r>
    <s v="SAN GABRIEL"/>
    <x v="0"/>
    <x v="0"/>
    <x v="1"/>
    <s v="QUESO MOZARELLA KIOSKO BLOQUE"/>
    <x v="0"/>
    <n v="7711"/>
    <n v="1001"/>
    <x v="24"/>
    <x v="24"/>
    <n v="405"/>
    <n v="1"/>
    <n v="0.5"/>
    <n v="40"/>
    <d v="2024-11-15T00:00:00"/>
    <s v="viernes"/>
    <d v="2024-11-13T00:00:00"/>
    <x v="9"/>
    <n v="25"/>
    <n v="0.625"/>
    <n v="1"/>
    <n v="0.5"/>
    <n v="2"/>
    <n v="0.95"/>
    <n v="2.3418549999999998"/>
    <n v="2.3418549999999998"/>
    <n v="1.1709274999999999"/>
    <n v="12"/>
    <x v="1"/>
    <n v="5.0000000000000001E-4"/>
  </r>
  <r>
    <s v="SAN GABRIEL"/>
    <x v="0"/>
    <x v="0"/>
    <x v="1"/>
    <s v="QUESO MOZARELLA KIOSKO BLOQUE"/>
    <x v="0"/>
    <n v="7711"/>
    <n v="1001"/>
    <x v="24"/>
    <x v="24"/>
    <n v="630"/>
    <n v="1"/>
    <n v="0.5"/>
    <n v="40"/>
    <d v="2024-11-15T00:00:00"/>
    <s v="viernes"/>
    <d v="2024-11-14T00:00:00"/>
    <x v="6"/>
    <n v="26"/>
    <n v="0.65"/>
    <n v="572"/>
    <n v="286"/>
    <n v="1"/>
    <n v="0.97499999999999998"/>
    <n v="2.3418549999999998"/>
    <n v="2.3418549999999998"/>
    <n v="669.77052999999989"/>
    <n v="12"/>
    <x v="1"/>
    <n v="0.28599999999999998"/>
  </r>
  <r>
    <s v="SAN GABRIEL"/>
    <x v="0"/>
    <x v="0"/>
    <x v="1"/>
    <s v="QUESO MOZARELLA KIOSKO BLOQUE"/>
    <x v="0"/>
    <n v="7711"/>
    <n v="1001"/>
    <x v="24"/>
    <x v="24"/>
    <n v="1260"/>
    <n v="1"/>
    <n v="0.5"/>
    <n v="40"/>
    <d v="2024-11-19T00:00:00"/>
    <s v="martes"/>
    <d v="2024-11-14T00:00:00"/>
    <x v="6"/>
    <n v="26"/>
    <n v="0.65"/>
    <n v="1260"/>
    <n v="630"/>
    <n v="5"/>
    <n v="0.875"/>
    <n v="2.3418549999999998"/>
    <n v="2.3418549999999998"/>
    <n v="1475.3686499999999"/>
    <n v="8"/>
    <x v="1"/>
    <n v="0.63"/>
  </r>
  <r>
    <s v="SAN GABRIEL"/>
    <x v="0"/>
    <x v="0"/>
    <x v="1"/>
    <s v="QUESO MOZARELLA KIOSKO BLOQUE"/>
    <x v="0"/>
    <n v="7711"/>
    <n v="1001"/>
    <x v="24"/>
    <x v="24"/>
    <n v="630"/>
    <n v="1"/>
    <n v="0.5"/>
    <n v="40"/>
    <d v="2024-11-20T00:00:00"/>
    <s v="miércoles"/>
    <d v="2024-11-15T00:00:00"/>
    <x v="44"/>
    <n v="27"/>
    <n v="0.67500000000000004"/>
    <n v="630"/>
    <n v="315"/>
    <n v="5"/>
    <n v="0.875"/>
    <n v="2.3418549999999998"/>
    <n v="2.3418549999999998"/>
    <n v="737.68432499999994"/>
    <n v="7"/>
    <x v="0"/>
    <n v="0.315"/>
  </r>
  <r>
    <s v="SAN GABRIEL"/>
    <x v="0"/>
    <x v="0"/>
    <x v="1"/>
    <s v="QUESO MOZARELLA KIOSKO BLOQUE"/>
    <x v="0"/>
    <n v="7711"/>
    <n v="1001"/>
    <x v="24"/>
    <x v="24"/>
    <n v="855"/>
    <n v="1"/>
    <n v="0.5"/>
    <n v="40"/>
    <d v="2024-11-21T00:00:00"/>
    <s v="jueves"/>
    <d v="2024-11-16T00:00:00"/>
    <x v="43"/>
    <n v="28"/>
    <n v="0.7"/>
    <n v="855"/>
    <n v="427.5"/>
    <n v="5"/>
    <n v="0.875"/>
    <n v="2.3418549999999998"/>
    <n v="2.3418549999999998"/>
    <n v="1001.1430124999999"/>
    <n v="6"/>
    <x v="0"/>
    <n v="0.42749999999999999"/>
  </r>
  <r>
    <s v="SAN GABRIEL"/>
    <x v="0"/>
    <x v="0"/>
    <x v="1"/>
    <s v="QUESO MOZARELLA KIOSKO BLOQUE"/>
    <x v="0"/>
    <n v="7711"/>
    <n v="1001"/>
    <x v="25"/>
    <x v="25"/>
    <n v="714"/>
    <n v="1"/>
    <n v="0.9"/>
    <n v="40"/>
    <d v="2024-11-15T00:00:00"/>
    <s v="viernes"/>
    <d v="2024-11-14T00:00:00"/>
    <x v="6"/>
    <n v="26"/>
    <n v="0.65"/>
    <n v="110"/>
    <n v="99"/>
    <n v="1"/>
    <n v="0.97499999999999998"/>
    <n v="4.1744400000000006"/>
    <n v="4.1744400000000006"/>
    <n v="413.26956000000007"/>
    <n v="12"/>
    <x v="1"/>
    <n v="9.9000000000000005E-2"/>
  </r>
  <r>
    <s v="SAN GABRIEL"/>
    <x v="0"/>
    <x v="0"/>
    <x v="1"/>
    <s v="QUESO MOZARELLA KIOSKO BLOQUE"/>
    <x v="0"/>
    <n v="7711"/>
    <n v="1001"/>
    <x v="25"/>
    <x v="25"/>
    <n v="84"/>
    <n v="1"/>
    <n v="0.9"/>
    <n v="40"/>
    <d v="2024-11-19T00:00:00"/>
    <s v="martes"/>
    <d v="2024-11-16T00:00:00"/>
    <x v="43"/>
    <n v="28"/>
    <n v="0.7"/>
    <n v="84"/>
    <n v="75.600000000000009"/>
    <n v="3"/>
    <n v="0.92500000000000004"/>
    <n v="4.1744400000000006"/>
    <n v="4.1744400000000006"/>
    <n v="315.58766400000007"/>
    <n v="8"/>
    <x v="0"/>
    <n v="7.5600000000000014E-2"/>
  </r>
  <r>
    <s v="SAN GABRIEL"/>
    <x v="0"/>
    <x v="0"/>
    <x v="1"/>
    <s v="QUESO MOZARELLA KIOSKO BLOQUE"/>
    <x v="0"/>
    <n v="7711"/>
    <n v="1001"/>
    <x v="25"/>
    <x v="25"/>
    <n v="882"/>
    <n v="1"/>
    <n v="0.9"/>
    <n v="40"/>
    <d v="2024-11-19T00:00:00"/>
    <s v="martes"/>
    <d v="2024-11-15T00:00:00"/>
    <x v="44"/>
    <n v="27"/>
    <n v="0.67500000000000004"/>
    <n v="882"/>
    <n v="793.80000000000007"/>
    <n v="4"/>
    <n v="0.9"/>
    <n v="4.1744400000000006"/>
    <n v="4.1744400000000006"/>
    <n v="3313.6704720000007"/>
    <n v="8"/>
    <x v="0"/>
    <n v="0.79380000000000006"/>
  </r>
  <r>
    <s v="SAN GABRIEL"/>
    <x v="0"/>
    <x v="0"/>
    <x v="1"/>
    <s v="QUESO MOZARELLA KIOSKO BLOQUE"/>
    <x v="0"/>
    <n v="7711"/>
    <n v="1001"/>
    <x v="25"/>
    <x v="25"/>
    <n v="546"/>
    <n v="1"/>
    <n v="0.9"/>
    <n v="40"/>
    <d v="2024-11-20T00:00:00"/>
    <s v="miércoles"/>
    <d v="2024-11-16T00:00:00"/>
    <x v="43"/>
    <n v="28"/>
    <n v="0.7"/>
    <n v="546"/>
    <n v="491.40000000000003"/>
    <n v="4"/>
    <n v="0.9"/>
    <n v="4.1744400000000006"/>
    <n v="4.1744400000000006"/>
    <n v="2051.3198160000006"/>
    <n v="7"/>
    <x v="0"/>
    <n v="0.49140000000000006"/>
  </r>
  <r>
    <s v="SAN GABRIEL"/>
    <x v="0"/>
    <x v="0"/>
    <x v="1"/>
    <s v="QUESO MOZARELLA KIOSKO BLOQUE"/>
    <x v="0"/>
    <n v="7711"/>
    <n v="1001"/>
    <x v="25"/>
    <x v="25"/>
    <n v="630"/>
    <n v="1"/>
    <n v="0.9"/>
    <n v="40"/>
    <d v="2024-11-21T00:00:00"/>
    <s v="jueves"/>
    <d v="2024-11-19T00:00:00"/>
    <x v="7"/>
    <n v="31"/>
    <n v="0.77500000000000002"/>
    <n v="630"/>
    <n v="567"/>
    <n v="2"/>
    <n v="0.95"/>
    <n v="4.1744400000000006"/>
    <n v="4.1744400000000006"/>
    <n v="2366.9074800000003"/>
    <n v="6"/>
    <x v="0"/>
    <n v="0.56699999999999995"/>
  </r>
  <r>
    <s v="SAN GABRIEL"/>
    <x v="0"/>
    <x v="0"/>
    <x v="1"/>
    <s v="QUESO MOZARELLA LIGHT KIOSKO BLOQUE"/>
    <x v="0"/>
    <n v="7711"/>
    <n v="1001"/>
    <x v="26"/>
    <x v="26"/>
    <n v="450"/>
    <n v="1"/>
    <n v="0.5"/>
    <n v="40"/>
    <d v="2024-11-19T00:00:00"/>
    <s v="martes"/>
    <d v="2024-11-15T00:00:00"/>
    <x v="44"/>
    <n v="27"/>
    <n v="0.67500000000000004"/>
    <n v="318"/>
    <n v="159"/>
    <n v="4"/>
    <n v="0.9"/>
    <n v="2.755735"/>
    <n v="2.755735"/>
    <n v="438.16186500000003"/>
    <n v="8"/>
    <x v="0"/>
    <n v="0.159"/>
  </r>
  <r>
    <s v="SAN GABRIEL"/>
    <x v="0"/>
    <x v="0"/>
    <x v="1"/>
    <s v="QUESO MOZARELLA LIGHT KIOSKO BLOQUE"/>
    <x v="0"/>
    <n v="7711"/>
    <n v="1001"/>
    <x v="26"/>
    <x v="26"/>
    <n v="135"/>
    <n v="1"/>
    <n v="0.5"/>
    <n v="40"/>
    <d v="2024-11-20T00:00:00"/>
    <s v="miércoles"/>
    <d v="2024-11-16T00:00:00"/>
    <x v="43"/>
    <n v="28"/>
    <n v="0.7"/>
    <n v="135"/>
    <n v="67.5"/>
    <n v="4"/>
    <n v="0.9"/>
    <n v="2.755735"/>
    <n v="2.755735"/>
    <n v="186.0121125"/>
    <n v="7"/>
    <x v="0"/>
    <n v="6.7500000000000004E-2"/>
  </r>
  <r>
    <s v="SAN GABRIEL"/>
    <x v="0"/>
    <x v="0"/>
    <x v="1"/>
    <s v="QUESO MOZARELLA LIGHT KIOSKO BLOQUE"/>
    <x v="0"/>
    <n v="7711"/>
    <n v="1001"/>
    <x v="26"/>
    <x v="26"/>
    <n v="270"/>
    <n v="1"/>
    <n v="0.5"/>
    <n v="40"/>
    <d v="2024-11-21T00:00:00"/>
    <s v="jueves"/>
    <d v="2024-11-16T00:00:00"/>
    <x v="43"/>
    <n v="28"/>
    <n v="0.7"/>
    <n v="270"/>
    <n v="135"/>
    <n v="5"/>
    <n v="0.875"/>
    <n v="2.755735"/>
    <n v="2.755735"/>
    <n v="372.024225"/>
    <n v="6"/>
    <x v="0"/>
    <n v="0.13500000000000001"/>
  </r>
  <r>
    <s v="SAN GABRIEL"/>
    <x v="0"/>
    <x v="0"/>
    <x v="5"/>
    <s v="QUESO GOUDA KIOSKO BLOQUE"/>
    <x v="0"/>
    <n v="7711"/>
    <n v="1001"/>
    <x v="27"/>
    <x v="27"/>
    <n v="108"/>
    <n v="1"/>
    <n v="0.35"/>
    <n v="60"/>
    <d v="2024-11-15T00:00:00"/>
    <s v="viernes"/>
    <d v="2024-11-13T00:00:00"/>
    <x v="46"/>
    <n v="45"/>
    <n v="0.75"/>
    <n v="17"/>
    <n v="5.9499999999999993"/>
    <n v="2"/>
    <n v="0.96666666666666667"/>
    <n v="2.4922949999999999"/>
    <n v="2.4922949999999999"/>
    <n v="14.829155249999998"/>
    <n v="12"/>
    <x v="0"/>
    <n v="5.9499999999999996E-3"/>
  </r>
  <r>
    <s v="SAN GABRIEL"/>
    <x v="0"/>
    <x v="0"/>
    <x v="5"/>
    <s v="QUESO GOUDA KIOSKO BLOQUE"/>
    <x v="0"/>
    <n v="7711"/>
    <n v="1001"/>
    <x v="27"/>
    <x v="27"/>
    <n v="288"/>
    <n v="1"/>
    <n v="0.35"/>
    <n v="60"/>
    <d v="2024-11-19T00:00:00"/>
    <s v="martes"/>
    <d v="2024-11-14T00:00:00"/>
    <x v="47"/>
    <n v="46"/>
    <n v="0.76666666666666672"/>
    <n v="288"/>
    <n v="100.8"/>
    <n v="5"/>
    <n v="0.91666666666666663"/>
    <n v="2.4922949999999999"/>
    <n v="2.4922949999999999"/>
    <n v="251.22333599999999"/>
    <n v="8"/>
    <x v="0"/>
    <n v="0.1008"/>
  </r>
  <r>
    <s v="SAN GABRIEL"/>
    <x v="0"/>
    <x v="0"/>
    <x v="5"/>
    <s v="QUESO GOUDA KIOSKO BLOQUE"/>
    <x v="0"/>
    <n v="7711"/>
    <n v="1001"/>
    <x v="27"/>
    <x v="27"/>
    <n v="36"/>
    <n v="1"/>
    <n v="0.35"/>
    <n v="60"/>
    <d v="2024-11-20T00:00:00"/>
    <s v="miércoles"/>
    <d v="2024-11-14T00:00:00"/>
    <x v="47"/>
    <n v="46"/>
    <n v="0.76666666666666672"/>
    <n v="36"/>
    <n v="12.6"/>
    <n v="6"/>
    <n v="0.9"/>
    <n v="2.4922949999999999"/>
    <n v="2.4922949999999999"/>
    <n v="31.402916999999999"/>
    <n v="7"/>
    <x v="0"/>
    <n v="1.26E-2"/>
  </r>
  <r>
    <s v="SAN GABRIEL"/>
    <x v="0"/>
    <x v="0"/>
    <x v="5"/>
    <s v="QUESO GOUDA KIOSKO BLOQUE"/>
    <x v="0"/>
    <n v="7711"/>
    <n v="1001"/>
    <x v="27"/>
    <x v="27"/>
    <n v="144"/>
    <n v="1"/>
    <n v="0.35"/>
    <n v="60"/>
    <d v="2024-11-21T00:00:00"/>
    <s v="jueves"/>
    <d v="2024-11-14T00:00:00"/>
    <x v="47"/>
    <n v="46"/>
    <n v="0.76666666666666672"/>
    <n v="144"/>
    <n v="50.4"/>
    <n v="7"/>
    <n v="0.8833333333333333"/>
    <n v="2.4922949999999999"/>
    <n v="2.4922949999999999"/>
    <n v="125.61166799999999"/>
    <n v="6"/>
    <x v="0"/>
    <n v="5.04E-2"/>
  </r>
  <r>
    <s v="SAN GABRIEL"/>
    <x v="0"/>
    <x v="0"/>
    <x v="5"/>
    <s v="QUESO HOLANDES KIOSKO BLOQUE"/>
    <x v="0"/>
    <n v="7711"/>
    <n v="1001"/>
    <x v="28"/>
    <x v="28"/>
    <n v="40"/>
    <n v="2.7"/>
    <n v="1"/>
    <n v="90"/>
    <d v="2024-11-15T00:00:00"/>
    <s v="viernes"/>
    <d v="2024-11-08T00:00:00"/>
    <x v="17"/>
    <n v="70"/>
    <n v="0.77777777777777779"/>
    <n v="32"/>
    <n v="86.4"/>
    <n v="7"/>
    <n v="0.92222222222222228"/>
    <n v="6.1996750000000009"/>
    <n v="16.739122500000004"/>
    <n v="1446.2601840000004"/>
    <n v="12"/>
    <x v="0"/>
    <n v="8.6400000000000005E-2"/>
  </r>
  <r>
    <s v="SAN GABRIEL"/>
    <x v="0"/>
    <x v="0"/>
    <x v="5"/>
    <s v="QUESO HOLANDES KIOSKO BLOQUE"/>
    <x v="0"/>
    <n v="7711"/>
    <n v="1001"/>
    <x v="28"/>
    <x v="28"/>
    <n v="55"/>
    <n v="2.7"/>
    <n v="1"/>
    <n v="90"/>
    <d v="2024-11-20T00:00:00"/>
    <s v="miércoles"/>
    <d v="2024-11-08T00:00:00"/>
    <x v="17"/>
    <n v="70"/>
    <n v="0.77777777777777779"/>
    <n v="55"/>
    <n v="148.5"/>
    <n v="12"/>
    <n v="0.8666666666666667"/>
    <n v="6.1996750000000009"/>
    <n v="16.739122500000004"/>
    <n v="2485.7596912500007"/>
    <n v="7"/>
    <x v="0"/>
    <n v="0.14849999999999999"/>
  </r>
  <r>
    <s v="SAN GABRIEL"/>
    <x v="0"/>
    <x v="0"/>
    <x v="5"/>
    <s v="QUESO HOLANDES KIOSKO BLOQUE"/>
    <x v="0"/>
    <n v="7711"/>
    <n v="1001"/>
    <x v="28"/>
    <x v="28"/>
    <n v="31"/>
    <n v="2.7"/>
    <n v="1"/>
    <n v="90"/>
    <d v="2024-11-21T00:00:00"/>
    <s v="jueves"/>
    <d v="2024-11-14T00:00:00"/>
    <x v="23"/>
    <n v="76"/>
    <n v="0.84444444444444444"/>
    <n v="31"/>
    <n v="83.7"/>
    <n v="7"/>
    <n v="0.92222222222222228"/>
    <n v="6.1996750000000009"/>
    <n v="16.739122500000004"/>
    <n v="1401.0645532500005"/>
    <n v="6"/>
    <x v="0"/>
    <n v="8.3699999999999997E-2"/>
  </r>
  <r>
    <s v="SAN GABRIEL"/>
    <x v="0"/>
    <x v="0"/>
    <x v="5"/>
    <s v="QUESO HOLANDES KIOSKO TAJADO"/>
    <x v="0"/>
    <n v="7711"/>
    <n v="1001"/>
    <x v="29"/>
    <x v="29"/>
    <n v="75"/>
    <n v="1"/>
    <n v="0.3"/>
    <n v="90"/>
    <d v="2024-11-12T00:00:00"/>
    <s v="martes"/>
    <d v="2024-10-31T00:00:00"/>
    <x v="48"/>
    <n v="62"/>
    <n v="0.68888888888888888"/>
    <n v="32"/>
    <n v="9.6"/>
    <n v="12"/>
    <n v="0.8666666666666667"/>
    <n v="2.4232300000000002"/>
    <n v="2.4232300000000002"/>
    <n v="23.263008000000003"/>
    <n v="15"/>
    <x v="0"/>
    <n v="9.5999999999999992E-3"/>
  </r>
  <r>
    <s v="SAN GABRIEL"/>
    <x v="0"/>
    <x v="0"/>
    <x v="5"/>
    <s v="QUESO HOLANDES KIOSKO TAJADO"/>
    <x v="0"/>
    <n v="7711"/>
    <n v="1001"/>
    <x v="29"/>
    <x v="29"/>
    <n v="75"/>
    <n v="1"/>
    <n v="0.3"/>
    <n v="90"/>
    <d v="2024-11-13T00:00:00"/>
    <s v="miércoles"/>
    <d v="2024-11-06T00:00:00"/>
    <x v="22"/>
    <n v="68"/>
    <n v="0.75555555555555554"/>
    <n v="75"/>
    <n v="22.5"/>
    <n v="7"/>
    <n v="0.92222222222222228"/>
    <n v="2.4232300000000002"/>
    <n v="2.4232300000000002"/>
    <n v="54.522675000000007"/>
    <n v="14"/>
    <x v="0"/>
    <n v="2.2499999999999999E-2"/>
  </r>
  <r>
    <s v="SAN GABRIEL"/>
    <x v="0"/>
    <x v="0"/>
    <x v="5"/>
    <s v="QUESO HOLANDES KIOSKO TAJADO"/>
    <x v="0"/>
    <n v="7711"/>
    <n v="1001"/>
    <x v="29"/>
    <x v="29"/>
    <n v="75"/>
    <n v="1"/>
    <n v="0.3"/>
    <n v="90"/>
    <d v="2024-11-20T00:00:00"/>
    <s v="miércoles"/>
    <d v="2024-11-14T00:00:00"/>
    <x v="23"/>
    <n v="76"/>
    <n v="0.84444444444444444"/>
    <n v="75"/>
    <n v="22.5"/>
    <n v="6"/>
    <n v="0.93333333333333335"/>
    <n v="2.4232300000000002"/>
    <n v="2.4232300000000002"/>
    <n v="54.522675000000007"/>
    <n v="7"/>
    <x v="0"/>
    <n v="2.2499999999999999E-2"/>
  </r>
  <r>
    <s v="SAN GABRIEL"/>
    <x v="0"/>
    <x v="0"/>
    <x v="5"/>
    <s v="QUESO HOLANDES KIOSKO TAJADO"/>
    <x v="0"/>
    <n v="7711"/>
    <n v="1001"/>
    <x v="29"/>
    <x v="29"/>
    <n v="75"/>
    <n v="1"/>
    <n v="0.3"/>
    <n v="90"/>
    <d v="2024-11-21T00:00:00"/>
    <s v="jueves"/>
    <d v="2024-11-14T00:00:00"/>
    <x v="23"/>
    <n v="76"/>
    <n v="0.84444444444444444"/>
    <n v="75"/>
    <n v="22.5"/>
    <n v="7"/>
    <n v="0.92222222222222228"/>
    <n v="2.4232300000000002"/>
    <n v="2.4232300000000002"/>
    <n v="54.522675000000007"/>
    <n v="6"/>
    <x v="0"/>
    <n v="2.2499999999999999E-2"/>
  </r>
  <r>
    <s v="SAN GABRIEL"/>
    <x v="0"/>
    <x v="0"/>
    <x v="5"/>
    <s v="QUESO HOLANDES KIOSKO TAJADO"/>
    <x v="0"/>
    <n v="7711"/>
    <n v="1001"/>
    <x v="30"/>
    <x v="30"/>
    <n v="150"/>
    <n v="1"/>
    <n v="0.15"/>
    <n v="90"/>
    <d v="2024-11-13T00:00:00"/>
    <s v="miércoles"/>
    <d v="2024-11-12T00:00:00"/>
    <x v="18"/>
    <n v="74"/>
    <n v="0.82222222222222219"/>
    <n v="83"/>
    <n v="12.45"/>
    <n v="1"/>
    <n v="0.98888888888888893"/>
    <n v="1.229355"/>
    <n v="1.229355"/>
    <n v="15.305469749999999"/>
    <n v="14"/>
    <x v="0"/>
    <n v="1.2449999999999999E-2"/>
  </r>
  <r>
    <s v="SAN GABRIEL"/>
    <x v="0"/>
    <x v="0"/>
    <x v="5"/>
    <s v="QUESO HOLANDES KIOSKO TAJADO"/>
    <x v="0"/>
    <n v="7711"/>
    <n v="1001"/>
    <x v="30"/>
    <x v="30"/>
    <n v="150"/>
    <n v="1"/>
    <n v="0.15"/>
    <n v="90"/>
    <d v="2024-11-15T00:00:00"/>
    <s v="viernes"/>
    <d v="2024-11-12T00:00:00"/>
    <x v="18"/>
    <n v="74"/>
    <n v="0.82222222222222219"/>
    <n v="150"/>
    <n v="22.5"/>
    <n v="3"/>
    <n v="0.96666666666666667"/>
    <n v="1.229355"/>
    <n v="1.229355"/>
    <n v="27.660487499999999"/>
    <n v="12"/>
    <x v="0"/>
    <n v="2.2499999999999999E-2"/>
  </r>
  <r>
    <s v="SAN GABRIEL"/>
    <x v="0"/>
    <x v="0"/>
    <x v="5"/>
    <s v="QUESO HOLANDES KIOSKO TAJADO"/>
    <x v="0"/>
    <n v="7711"/>
    <n v="1001"/>
    <x v="30"/>
    <x v="30"/>
    <n v="150"/>
    <n v="1"/>
    <n v="0.15"/>
    <n v="90"/>
    <d v="2024-11-21T00:00:00"/>
    <s v="jueves"/>
    <d v="2024-11-15T00:00:00"/>
    <x v="24"/>
    <n v="77"/>
    <n v="0.85555555555555551"/>
    <n v="150"/>
    <n v="22.5"/>
    <n v="6"/>
    <n v="0.93333333333333335"/>
    <n v="1.229355"/>
    <n v="1.229355"/>
    <n v="27.660487499999999"/>
    <n v="6"/>
    <x v="0"/>
    <n v="2.2499999999999999E-2"/>
  </r>
  <r>
    <s v="SAN GABRIEL"/>
    <x v="0"/>
    <x v="0"/>
    <x v="5"/>
    <s v="QUESO JAVIERINO KIOSKO BLOQUE"/>
    <x v="0"/>
    <n v="7711"/>
    <n v="1001"/>
    <x v="31"/>
    <x v="31"/>
    <n v="40"/>
    <n v="2.7"/>
    <n v="1"/>
    <n v="90"/>
    <d v="2024-11-15T00:00:00"/>
    <s v="viernes"/>
    <d v="2024-11-12T00:00:00"/>
    <x v="18"/>
    <n v="74"/>
    <n v="0.82222222222222219"/>
    <n v="34"/>
    <n v="91.800000000000011"/>
    <n v="3"/>
    <n v="0.96666666666666667"/>
    <n v="6.2949450000000002"/>
    <n v="16.996351500000003"/>
    <n v="1560.2650677000004"/>
    <n v="12"/>
    <x v="0"/>
    <n v="9.1800000000000007E-2"/>
  </r>
  <r>
    <s v="SAN GABRIEL"/>
    <x v="0"/>
    <x v="0"/>
    <x v="5"/>
    <s v="QUESO JAVIERINO KIOSKO BLOQUE"/>
    <x v="0"/>
    <n v="7711"/>
    <n v="1001"/>
    <x v="31"/>
    <x v="31"/>
    <n v="45"/>
    <n v="2.7"/>
    <n v="1"/>
    <n v="90"/>
    <d v="2024-11-19T00:00:00"/>
    <s v="martes"/>
    <d v="2024-11-12T00:00:00"/>
    <x v="18"/>
    <n v="74"/>
    <n v="0.82222222222222219"/>
    <n v="45"/>
    <n v="121.50000000000001"/>
    <n v="7"/>
    <n v="0.92222222222222228"/>
    <n v="6.2949450000000002"/>
    <n v="16.996351500000003"/>
    <n v="2065.0567072500007"/>
    <n v="8"/>
    <x v="0"/>
    <n v="0.12150000000000001"/>
  </r>
  <r>
    <s v="SAN GABRIEL"/>
    <x v="0"/>
    <x v="0"/>
    <x v="5"/>
    <s v="QUESO JAVIERINO KIOSKO BLOQUE"/>
    <x v="0"/>
    <n v="7711"/>
    <n v="1001"/>
    <x v="31"/>
    <x v="31"/>
    <n v="50"/>
    <n v="2.7"/>
    <n v="1"/>
    <n v="90"/>
    <d v="2024-11-21T00:00:00"/>
    <s v="jueves"/>
    <d v="2024-11-12T00:00:00"/>
    <x v="18"/>
    <n v="74"/>
    <n v="0.82222222222222219"/>
    <n v="50"/>
    <n v="135"/>
    <n v="9"/>
    <n v="0.9"/>
    <n v="6.2949450000000002"/>
    <n v="16.996351500000003"/>
    <n v="2294.5074525000005"/>
    <n v="6"/>
    <x v="0"/>
    <n v="0.13500000000000001"/>
  </r>
  <r>
    <s v="SAN GABRIEL"/>
    <x v="0"/>
    <x v="0"/>
    <x v="5"/>
    <s v="QUESO JAVIERINO KIOSKO TAJADO"/>
    <x v="0"/>
    <n v="7711"/>
    <n v="1001"/>
    <x v="32"/>
    <x v="32"/>
    <n v="150"/>
    <n v="1"/>
    <n v="0.15"/>
    <n v="90"/>
    <d v="2024-11-15T00:00:00"/>
    <s v="viernes"/>
    <d v="2024-11-08T00:00:00"/>
    <x v="17"/>
    <n v="70"/>
    <n v="0.77777777777777779"/>
    <n v="150"/>
    <n v="22.5"/>
    <n v="7"/>
    <n v="0.92222222222222228"/>
    <n v="1.2392050000000001"/>
    <n v="1.2392050000000001"/>
    <n v="27.882112500000002"/>
    <n v="12"/>
    <x v="0"/>
    <n v="2.2499999999999999E-2"/>
  </r>
  <r>
    <s v="SAN GABRIEL"/>
    <x v="0"/>
    <x v="0"/>
    <x v="5"/>
    <s v="QUESO JAVIERINO KIOSKO TAJADO"/>
    <x v="0"/>
    <n v="7711"/>
    <n v="1001"/>
    <x v="32"/>
    <x v="32"/>
    <n v="150"/>
    <n v="1"/>
    <n v="0.15"/>
    <n v="90"/>
    <d v="2024-11-14T00:00:00"/>
    <s v="jueves"/>
    <d v="2024-11-08T00:00:00"/>
    <x v="17"/>
    <n v="70"/>
    <n v="0.77777777777777779"/>
    <n v="89"/>
    <n v="13.35"/>
    <n v="6"/>
    <n v="0.93333333333333335"/>
    <n v="1.2392050000000001"/>
    <n v="1.2392050000000001"/>
    <n v="16.54338675"/>
    <n v="13"/>
    <x v="0"/>
    <n v="1.3349999999999999E-2"/>
  </r>
  <r>
    <s v="SAN GABRIEL"/>
    <x v="0"/>
    <x v="0"/>
    <x v="5"/>
    <s v="QUESO JAVIERINO KIOSKO TAJADO"/>
    <x v="0"/>
    <n v="7711"/>
    <n v="1001"/>
    <x v="32"/>
    <x v="32"/>
    <n v="150"/>
    <n v="1"/>
    <n v="0.15"/>
    <n v="90"/>
    <d v="2024-11-21T00:00:00"/>
    <s v="jueves"/>
    <d v="2024-11-08T00:00:00"/>
    <x v="17"/>
    <n v="70"/>
    <n v="0.77777777777777779"/>
    <n v="150"/>
    <n v="22.5"/>
    <n v="13"/>
    <n v="0.85555555555555562"/>
    <n v="1.2392050000000001"/>
    <n v="1.2392050000000001"/>
    <n v="27.882112500000002"/>
    <n v="6"/>
    <x v="0"/>
    <n v="2.2499999999999999E-2"/>
  </r>
  <r>
    <s v="SAN GABRIEL"/>
    <x v="0"/>
    <x v="0"/>
    <x v="5"/>
    <s v="QUESO JAVIERINO KIOSKO TAJADO"/>
    <x v="0"/>
    <n v="7711"/>
    <n v="1001"/>
    <x v="33"/>
    <x v="33"/>
    <n v="50"/>
    <n v="2.5"/>
    <n v="1"/>
    <n v="90"/>
    <d v="2024-11-15T00:00:00"/>
    <s v="viernes"/>
    <d v="2024-11-13T00:00:00"/>
    <x v="39"/>
    <n v="75"/>
    <n v="0.83333333333333337"/>
    <n v="50"/>
    <n v="125"/>
    <n v="2"/>
    <n v="0.97777777777777775"/>
    <n v="7.5779500000000004"/>
    <n v="18.944875"/>
    <n v="2368.109375"/>
    <n v="12"/>
    <x v="0"/>
    <n v="0.125"/>
  </r>
  <r>
    <s v="SAN GABRIEL"/>
    <x v="0"/>
    <x v="0"/>
    <x v="5"/>
    <s v="QUESO JAVIERINO KIOSKO TAJADO"/>
    <x v="0"/>
    <n v="7711"/>
    <n v="1001"/>
    <x v="33"/>
    <x v="33"/>
    <n v="60"/>
    <n v="2.5"/>
    <n v="1"/>
    <n v="90"/>
    <d v="2024-11-14T00:00:00"/>
    <s v="jueves"/>
    <d v="2024-11-12T00:00:00"/>
    <x v="18"/>
    <n v="74"/>
    <n v="0.82222222222222219"/>
    <n v="13"/>
    <n v="32.5"/>
    <n v="2"/>
    <n v="0.97777777777777775"/>
    <n v="7.5779500000000004"/>
    <n v="18.944875"/>
    <n v="615.70843749999995"/>
    <n v="13"/>
    <x v="0"/>
    <n v="3.2500000000000001E-2"/>
  </r>
  <r>
    <s v="SAN GABRIEL"/>
    <x v="0"/>
    <x v="0"/>
    <x v="5"/>
    <s v="QUESO JAVIERINO KIOSKO TAJADO"/>
    <x v="0"/>
    <n v="7711"/>
    <n v="1001"/>
    <x v="33"/>
    <x v="33"/>
    <n v="40"/>
    <n v="2.5"/>
    <n v="1"/>
    <n v="90"/>
    <d v="2024-11-19T00:00:00"/>
    <s v="martes"/>
    <d v="2024-11-15T00:00:00"/>
    <x v="24"/>
    <n v="77"/>
    <n v="0.85555555555555551"/>
    <n v="40"/>
    <n v="100"/>
    <n v="4"/>
    <n v="0.9555555555555556"/>
    <n v="7.5779500000000004"/>
    <n v="18.944875"/>
    <n v="1894.4875"/>
    <n v="8"/>
    <x v="0"/>
    <n v="0.1"/>
  </r>
  <r>
    <s v="SAN GABRIEL"/>
    <x v="0"/>
    <x v="0"/>
    <x v="5"/>
    <s v="QUESO JAVIERINO KIOSKO TAJADO"/>
    <x v="0"/>
    <n v="7711"/>
    <n v="1001"/>
    <x v="33"/>
    <x v="33"/>
    <n v="20"/>
    <n v="2.5"/>
    <n v="1"/>
    <n v="90"/>
    <d v="2024-11-20T00:00:00"/>
    <s v="miércoles"/>
    <d v="2024-11-15T00:00:00"/>
    <x v="24"/>
    <n v="77"/>
    <n v="0.85555555555555551"/>
    <n v="20"/>
    <n v="50"/>
    <n v="5"/>
    <n v="0.94444444444444442"/>
    <n v="7.5779500000000004"/>
    <n v="18.944875"/>
    <n v="947.24374999999998"/>
    <n v="7"/>
    <x v="0"/>
    <n v="0.05"/>
  </r>
  <r>
    <s v="SAN GABRIEL"/>
    <x v="0"/>
    <x v="0"/>
    <x v="5"/>
    <s v="QUESO JAVIERINO KIOSKO TAJADO"/>
    <x v="0"/>
    <n v="7711"/>
    <n v="1001"/>
    <x v="33"/>
    <x v="33"/>
    <n v="40"/>
    <n v="2.5"/>
    <n v="1"/>
    <n v="90"/>
    <d v="2024-11-21T00:00:00"/>
    <s v="jueves"/>
    <d v="2024-11-20T00:00:00"/>
    <x v="49"/>
    <n v="82"/>
    <n v="0.91111111111111109"/>
    <n v="40"/>
    <n v="100"/>
    <n v="1"/>
    <n v="0.98888888888888893"/>
    <n v="7.5779500000000004"/>
    <n v="18.944875"/>
    <n v="1894.4875"/>
    <n v="6"/>
    <x v="0"/>
    <n v="0.1"/>
  </r>
  <r>
    <s v="SAN GABRIEL"/>
    <x v="0"/>
    <x v="0"/>
    <x v="5"/>
    <s v="QUESO JAVIERINO KIOSKO TAJADO"/>
    <x v="0"/>
    <n v="7711"/>
    <n v="1001"/>
    <x v="33"/>
    <x v="33"/>
    <n v="60"/>
    <n v="2.5"/>
    <n v="1"/>
    <n v="90"/>
    <d v="2024-11-21T00:00:00"/>
    <s v="jueves"/>
    <d v="2024-11-15T00:00:00"/>
    <x v="24"/>
    <n v="77"/>
    <n v="0.85555555555555551"/>
    <n v="60"/>
    <n v="150"/>
    <n v="6"/>
    <n v="0.93333333333333335"/>
    <n v="7.5779500000000004"/>
    <n v="18.944875"/>
    <n v="2841.7312499999998"/>
    <n v="6"/>
    <x v="0"/>
    <n v="0.15"/>
  </r>
  <r>
    <s v="SAN GABRIEL"/>
    <x v="0"/>
    <x v="0"/>
    <x v="5"/>
    <s v="QUESO SEMIMADURO KIOSKO MIX CUBOS"/>
    <x v="0"/>
    <n v="7711"/>
    <n v="1001"/>
    <x v="34"/>
    <x v="34"/>
    <n v="30"/>
    <n v="1"/>
    <n v="0.35"/>
    <n v="60"/>
    <d v="2024-11-13T00:00:00"/>
    <s v="miércoles"/>
    <d v="2024-11-07T00:00:00"/>
    <x v="50"/>
    <n v="39"/>
    <n v="0.65"/>
    <n v="1"/>
    <n v="0.35"/>
    <n v="6"/>
    <n v="0.9"/>
    <n v="2.20255"/>
    <n v="2.20255"/>
    <n v="0.77089249999999998"/>
    <n v="14"/>
    <x v="0"/>
    <n v="3.5E-4"/>
  </r>
  <r>
    <s v="SAN GABRIEL"/>
    <x v="0"/>
    <x v="0"/>
    <x v="5"/>
    <s v="QUESO SEMIMADURO KIOSKO MIX CUBOS"/>
    <x v="0"/>
    <n v="7711"/>
    <n v="1001"/>
    <x v="34"/>
    <x v="34"/>
    <n v="210"/>
    <n v="1"/>
    <n v="0.35"/>
    <n v="60"/>
    <d v="2024-11-15T00:00:00"/>
    <s v="viernes"/>
    <d v="2024-11-12T00:00:00"/>
    <x v="51"/>
    <n v="44"/>
    <n v="0.73333333333333328"/>
    <n v="210"/>
    <n v="73.5"/>
    <n v="3"/>
    <n v="0.95"/>
    <n v="2.20255"/>
    <n v="2.20255"/>
    <n v="161.88742500000001"/>
    <n v="12"/>
    <x v="0"/>
    <n v="7.3499999999999996E-2"/>
  </r>
  <r>
    <s v="SAN GABRIEL"/>
    <x v="0"/>
    <x v="0"/>
    <x v="5"/>
    <s v="QUESO SEMIMADURO KIOSKO MIX CUBOS"/>
    <x v="0"/>
    <n v="7711"/>
    <n v="1001"/>
    <x v="34"/>
    <x v="34"/>
    <n v="90"/>
    <n v="1"/>
    <n v="0.35"/>
    <n v="60"/>
    <d v="2024-11-14T00:00:00"/>
    <s v="jueves"/>
    <d v="2024-11-12T00:00:00"/>
    <x v="51"/>
    <n v="44"/>
    <n v="0.73333333333333328"/>
    <n v="53"/>
    <n v="18.549999999999997"/>
    <n v="2"/>
    <n v="0.96666666666666667"/>
    <n v="2.20255"/>
    <n v="2.20255"/>
    <n v="40.857302499999996"/>
    <n v="13"/>
    <x v="0"/>
    <n v="1.8549999999999997E-2"/>
  </r>
  <r>
    <s v="SAN GABRIEL"/>
    <x v="0"/>
    <x v="0"/>
    <x v="5"/>
    <s v="QUESO SEMIMADURO KIOSKO MIX CUBOS"/>
    <x v="0"/>
    <n v="7711"/>
    <n v="1001"/>
    <x v="34"/>
    <x v="34"/>
    <n v="120"/>
    <n v="1"/>
    <n v="0.35"/>
    <n v="60"/>
    <d v="2024-11-19T00:00:00"/>
    <s v="martes"/>
    <d v="2024-11-13T00:00:00"/>
    <x v="46"/>
    <n v="45"/>
    <n v="0.75"/>
    <n v="120"/>
    <n v="42"/>
    <n v="6"/>
    <n v="0.9"/>
    <n v="2.20255"/>
    <n v="2.20255"/>
    <n v="92.507099999999994"/>
    <n v="8"/>
    <x v="0"/>
    <n v="4.2000000000000003E-2"/>
  </r>
  <r>
    <s v="SAN GABRIEL"/>
    <x v="0"/>
    <x v="0"/>
    <x v="5"/>
    <s v="QUESO SEMIMADURO KIOSKO MIX CUBOS"/>
    <x v="0"/>
    <n v="7711"/>
    <n v="1001"/>
    <x v="34"/>
    <x v="34"/>
    <n v="30"/>
    <n v="1"/>
    <n v="0.35"/>
    <n v="60"/>
    <d v="2024-11-20T00:00:00"/>
    <s v="miércoles"/>
    <d v="2024-11-15T00:00:00"/>
    <x v="52"/>
    <n v="47"/>
    <n v="0.78333333333333333"/>
    <n v="30"/>
    <n v="10.5"/>
    <n v="5"/>
    <n v="0.91666666666666663"/>
    <n v="2.20255"/>
    <n v="2.20255"/>
    <n v="23.126774999999999"/>
    <n v="7"/>
    <x v="0"/>
    <n v="1.0500000000000001E-2"/>
  </r>
  <r>
    <s v="SAN GABRIEL"/>
    <x v="0"/>
    <x v="0"/>
    <x v="5"/>
    <s v="QUESO SEMIMADURO KIOSKO MIX CUBOS"/>
    <x v="0"/>
    <n v="7711"/>
    <n v="1001"/>
    <x v="34"/>
    <x v="34"/>
    <n v="60"/>
    <n v="1"/>
    <n v="0.35"/>
    <n v="60"/>
    <d v="2024-11-20T00:00:00"/>
    <s v="miércoles"/>
    <d v="2024-11-13T00:00:00"/>
    <x v="46"/>
    <n v="45"/>
    <n v="0.75"/>
    <n v="60"/>
    <n v="21"/>
    <n v="7"/>
    <n v="0.8833333333333333"/>
    <n v="2.20255"/>
    <n v="2.20255"/>
    <n v="46.253549999999997"/>
    <n v="7"/>
    <x v="0"/>
    <n v="2.1000000000000001E-2"/>
  </r>
  <r>
    <s v="SAN GABRIEL"/>
    <x v="0"/>
    <x v="0"/>
    <x v="5"/>
    <s v="QUESO SEMIMADURO KIOSKO MIX CUBOS"/>
    <x v="0"/>
    <n v="7711"/>
    <n v="1001"/>
    <x v="34"/>
    <x v="34"/>
    <n v="90"/>
    <n v="1"/>
    <n v="0.35"/>
    <n v="60"/>
    <d v="2024-11-21T00:00:00"/>
    <s v="jueves"/>
    <d v="2024-11-15T00:00:00"/>
    <x v="52"/>
    <n v="47"/>
    <n v="0.78333333333333333"/>
    <n v="90"/>
    <n v="31.499999999999996"/>
    <n v="6"/>
    <n v="0.9"/>
    <n v="2.20255"/>
    <n v="2.20255"/>
    <n v="69.380324999999999"/>
    <n v="6"/>
    <x v="0"/>
    <n v="3.1499999999999993E-2"/>
  </r>
  <r>
    <s v="SAN GABRIEL"/>
    <x v="0"/>
    <x v="0"/>
    <x v="5"/>
    <s v="QUESO PROVOLONE KIOSKO BLOQUE"/>
    <x v="0"/>
    <n v="7711"/>
    <n v="1001"/>
    <x v="35"/>
    <x v="35"/>
    <n v="80"/>
    <n v="1.4"/>
    <n v="1"/>
    <n v="60"/>
    <d v="2024-10-31T00:00:00"/>
    <s v="jueves"/>
    <d v="2024-10-30T00:00:00"/>
    <x v="7"/>
    <n v="31"/>
    <n v="0.51666666666666672"/>
    <n v="21"/>
    <n v="29.4"/>
    <n v="1"/>
    <n v="0.98333333333333328"/>
    <n v="6.2104049999999997"/>
    <n v="8.6945669999999993"/>
    <n v="255.62026979999996"/>
    <n v="27"/>
    <x v="0"/>
    <n v="2.9399999999999999E-2"/>
  </r>
  <r>
    <s v="SAN GABRIEL"/>
    <x v="0"/>
    <x v="0"/>
    <x v="5"/>
    <s v="QUESO PROVOLONE KIOSKO BLOQUE"/>
    <x v="0"/>
    <n v="7711"/>
    <n v="1001"/>
    <x v="35"/>
    <x v="35"/>
    <n v="26"/>
    <n v="1.4"/>
    <n v="1"/>
    <n v="60"/>
    <d v="2024-11-13T00:00:00"/>
    <s v="miércoles"/>
    <d v="2024-11-12T00:00:00"/>
    <x v="51"/>
    <n v="44"/>
    <n v="0.73333333333333328"/>
    <n v="26"/>
    <n v="36.4"/>
    <n v="1"/>
    <n v="0.98333333333333328"/>
    <n v="6.2104049999999997"/>
    <n v="8.6945669999999993"/>
    <n v="316.48223879999995"/>
    <n v="14"/>
    <x v="0"/>
    <n v="3.6400000000000002E-2"/>
  </r>
  <r>
    <s v="SAN GABRIEL"/>
    <x v="0"/>
    <x v="0"/>
    <x v="5"/>
    <s v="QUESO PROVOLONE KIOSKO BLOQUE"/>
    <x v="0"/>
    <n v="7711"/>
    <n v="1001"/>
    <x v="35"/>
    <x v="35"/>
    <n v="26"/>
    <n v="1.4"/>
    <n v="1"/>
    <n v="60"/>
    <d v="2024-11-15T00:00:00"/>
    <s v="viernes"/>
    <d v="2024-11-14T00:00:00"/>
    <x v="47"/>
    <n v="46"/>
    <n v="0.76666666666666672"/>
    <n v="26"/>
    <n v="36.4"/>
    <n v="1"/>
    <n v="0.98333333333333328"/>
    <n v="6.2104049999999997"/>
    <n v="8.6945669999999993"/>
    <n v="316.48223879999995"/>
    <n v="12"/>
    <x v="0"/>
    <n v="3.6400000000000002E-2"/>
  </r>
  <r>
    <s v="SAN GABRIEL"/>
    <x v="0"/>
    <x v="0"/>
    <x v="5"/>
    <s v="QUESO SANDUCHE KIOSKO TAJADO"/>
    <x v="0"/>
    <n v="7711"/>
    <n v="1001"/>
    <x v="36"/>
    <x v="36"/>
    <n v="300"/>
    <n v="1"/>
    <n v="0.15"/>
    <n v="90"/>
    <d v="2024-11-12T00:00:00"/>
    <s v="martes"/>
    <d v="2024-11-05T00:00:00"/>
    <x v="15"/>
    <n v="67"/>
    <n v="0.74444444444444446"/>
    <n v="167"/>
    <n v="25.05"/>
    <n v="7"/>
    <n v="0.92222222222222228"/>
    <n v="1.186285"/>
    <n v="1.186285"/>
    <n v="29.716439250000001"/>
    <n v="15"/>
    <x v="0"/>
    <n v="2.5049999999999999E-2"/>
  </r>
  <r>
    <s v="SAN GABRIEL"/>
    <x v="0"/>
    <x v="0"/>
    <x v="5"/>
    <s v="QUESO SANDUCHE KIOSKO TAJADO"/>
    <x v="0"/>
    <n v="7711"/>
    <n v="1001"/>
    <x v="36"/>
    <x v="36"/>
    <n v="150"/>
    <n v="1"/>
    <n v="0.15"/>
    <n v="90"/>
    <d v="2024-11-14T00:00:00"/>
    <s v="jueves"/>
    <d v="2024-11-13T00:00:00"/>
    <x v="39"/>
    <n v="75"/>
    <n v="0.83333333333333337"/>
    <n v="150"/>
    <n v="22.5"/>
    <n v="1"/>
    <n v="0.98888888888888893"/>
    <n v="1.186285"/>
    <n v="1.186285"/>
    <n v="26.691412500000002"/>
    <n v="13"/>
    <x v="0"/>
    <n v="2.2499999999999999E-2"/>
  </r>
  <r>
    <s v="SAN GABRIEL"/>
    <x v="0"/>
    <x v="0"/>
    <x v="5"/>
    <s v="QUESO SANDUCHE KIOSKO TAJADO"/>
    <x v="0"/>
    <n v="7711"/>
    <n v="1001"/>
    <x v="36"/>
    <x v="36"/>
    <n v="150"/>
    <n v="1"/>
    <n v="0.15"/>
    <n v="90"/>
    <d v="2024-11-19T00:00:00"/>
    <s v="martes"/>
    <d v="2024-11-13T00:00:00"/>
    <x v="39"/>
    <n v="75"/>
    <n v="0.83333333333333337"/>
    <n v="150"/>
    <n v="22.5"/>
    <n v="6"/>
    <n v="0.93333333333333335"/>
    <n v="1.186285"/>
    <n v="1.186285"/>
    <n v="26.691412500000002"/>
    <n v="8"/>
    <x v="0"/>
    <n v="2.2499999999999999E-2"/>
  </r>
  <r>
    <s v="SAN GABRIEL"/>
    <x v="0"/>
    <x v="0"/>
    <x v="5"/>
    <s v="QUESO SANDUCHE KIOSKO TAJADO"/>
    <x v="0"/>
    <n v="7711"/>
    <n v="1001"/>
    <x v="36"/>
    <x v="36"/>
    <n v="150"/>
    <n v="1"/>
    <n v="0.15"/>
    <n v="90"/>
    <d v="2024-11-21T00:00:00"/>
    <s v="jueves"/>
    <d v="2024-11-20T00:00:00"/>
    <x v="49"/>
    <n v="82"/>
    <n v="0.91111111111111109"/>
    <n v="150"/>
    <n v="22.5"/>
    <n v="1"/>
    <n v="0.98888888888888893"/>
    <n v="1.186285"/>
    <n v="1.186285"/>
    <n v="26.691412500000002"/>
    <n v="6"/>
    <x v="0"/>
    <n v="2.2499999999999999E-2"/>
  </r>
  <r>
    <s v="MACHACHI"/>
    <x v="1"/>
    <x v="1"/>
    <x v="3"/>
    <s v="BEBIDA DE YOGURT KIOSKO BOTELLA PERSONAL"/>
    <x v="0"/>
    <n v="7711"/>
    <n v="1001"/>
    <x v="37"/>
    <x v="37"/>
    <n v="1274"/>
    <n v="1"/>
    <n v="0.12"/>
    <n v="45"/>
    <d v="2024-11-09T00:00:00"/>
    <s v="sábado"/>
    <d v="2024-11-01T00:00:00"/>
    <x v="4"/>
    <n v="18"/>
    <n v="0.4"/>
    <n v="105"/>
    <n v="12.6"/>
    <n v="8"/>
    <n v="0.82222222222222219"/>
    <n v="0.26012000000000002"/>
    <n v="0.26012000000000002"/>
    <n v="3.2775120000000002"/>
    <n v="18"/>
    <x v="2"/>
    <n v="1.26E-2"/>
  </r>
  <r>
    <s v="MACHACHI"/>
    <x v="1"/>
    <x v="1"/>
    <x v="3"/>
    <s v="BEBIDA DE YOGURT KIOSKO BOTELLA PERSONAL"/>
    <x v="0"/>
    <n v="7711"/>
    <n v="1001"/>
    <x v="37"/>
    <x v="37"/>
    <n v="728"/>
    <n v="1"/>
    <n v="0.12"/>
    <n v="45"/>
    <d v="2024-11-20T00:00:00"/>
    <s v="miércoles"/>
    <d v="2024-11-14T00:00:00"/>
    <x v="7"/>
    <n v="31"/>
    <n v="0.68888888888888888"/>
    <n v="685"/>
    <n v="82.2"/>
    <n v="6"/>
    <n v="0.8666666666666667"/>
    <n v="0.26012000000000002"/>
    <n v="0.26012000000000002"/>
    <n v="21.381864000000004"/>
    <n v="7"/>
    <x v="0"/>
    <n v="8.2200000000000009E-2"/>
  </r>
  <r>
    <s v="SAN GABRIEL"/>
    <x v="0"/>
    <x v="0"/>
    <x v="5"/>
    <s v="QUESO AMERICANO KIOSKO TAJADO"/>
    <x v="0"/>
    <n v="7711"/>
    <n v="1001"/>
    <x v="38"/>
    <x v="38"/>
    <n v="30"/>
    <n v="1"/>
    <n v="0.3"/>
    <n v="60"/>
    <d v="2024-11-15T00:00:00"/>
    <s v="viernes"/>
    <d v="2024-11-06T00:00:00"/>
    <x v="13"/>
    <n v="38"/>
    <n v="0.6333333333333333"/>
    <n v="29"/>
    <n v="8.6999999999999993"/>
    <n v="9"/>
    <n v="0.85"/>
    <n v="1.9980950000000002"/>
    <n v="1.9980950000000002"/>
    <n v="17.383426499999999"/>
    <n v="12"/>
    <x v="0"/>
    <n v="8.6999999999999994E-3"/>
  </r>
  <r>
    <s v="MACHACHI"/>
    <x v="1"/>
    <x v="1"/>
    <x v="3"/>
    <s v="BEBIDA DE YOGURT KIOSKO BOTELLA FAMILIAR"/>
    <x v="0"/>
    <n v="7711"/>
    <n v="1001"/>
    <x v="39"/>
    <x v="39"/>
    <n v="18"/>
    <n v="1"/>
    <n v="0.95"/>
    <n v="45"/>
    <d v="2024-11-09T00:00:00"/>
    <s v="sábado"/>
    <d v="2024-10-31T00:00:00"/>
    <x v="10"/>
    <n v="17"/>
    <n v="0.37777777777777777"/>
    <n v="7"/>
    <n v="6.6499999999999995"/>
    <n v="9"/>
    <n v="0.8"/>
    <n v="1.055175"/>
    <n v="1.055175"/>
    <n v="7.0169137499999996"/>
    <n v="18"/>
    <x v="2"/>
    <n v="6.6499999999999997E-3"/>
  </r>
  <r>
    <s v="MACHACHI"/>
    <x v="1"/>
    <x v="1"/>
    <x v="3"/>
    <s v="BEBIDA DE YOGURT KIOSKO BOTELLA FAMILIAR"/>
    <x v="0"/>
    <n v="7711"/>
    <n v="1001"/>
    <x v="39"/>
    <x v="39"/>
    <n v="18"/>
    <n v="1"/>
    <n v="0.95"/>
    <n v="45"/>
    <d v="2024-11-16T00:00:00"/>
    <s v="sábado"/>
    <d v="2024-11-08T00:00:00"/>
    <x v="9"/>
    <n v="25"/>
    <n v="0.55555555555555558"/>
    <n v="18"/>
    <n v="17.099999999999998"/>
    <n v="8"/>
    <n v="0.82222222222222219"/>
    <n v="1.055175"/>
    <n v="1.055175"/>
    <n v="18.043492499999996"/>
    <n v="11"/>
    <x v="1"/>
    <n v="1.7099999999999997E-2"/>
  </r>
  <r>
    <s v="MACHACHI"/>
    <x v="1"/>
    <x v="1"/>
    <x v="3"/>
    <s v="BEBIDA DE YOGURT KIOSKO BOTELLA FAMILIAR"/>
    <x v="0"/>
    <n v="7711"/>
    <n v="1001"/>
    <x v="39"/>
    <x v="39"/>
    <n v="18"/>
    <n v="1"/>
    <n v="0.95"/>
    <n v="45"/>
    <d v="2024-11-14T00:00:00"/>
    <s v="jueves"/>
    <d v="2024-11-08T00:00:00"/>
    <x v="9"/>
    <n v="25"/>
    <n v="0.55555555555555558"/>
    <n v="8"/>
    <n v="7.6"/>
    <n v="6"/>
    <n v="0.8666666666666667"/>
    <n v="1.055175"/>
    <n v="1.055175"/>
    <n v="8.0193300000000001"/>
    <n v="13"/>
    <x v="1"/>
    <n v="7.6E-3"/>
  </r>
  <r>
    <s v="MACHACHI"/>
    <x v="1"/>
    <x v="1"/>
    <x v="3"/>
    <s v="BEBIDA DE YOGURT KIOSKO BOTELLA FAMILIAR"/>
    <x v="0"/>
    <n v="7711"/>
    <n v="1001"/>
    <x v="39"/>
    <x v="39"/>
    <n v="36"/>
    <n v="1"/>
    <n v="0.95"/>
    <n v="45"/>
    <d v="2024-11-19T00:00:00"/>
    <s v="martes"/>
    <d v="2024-11-15T00:00:00"/>
    <x v="0"/>
    <n v="32"/>
    <n v="0.71111111111111114"/>
    <n v="18"/>
    <n v="17.099999999999998"/>
    <n v="4"/>
    <n v="0.91111111111111109"/>
    <n v="1.055175"/>
    <n v="1.055175"/>
    <n v="18.043492499999996"/>
    <n v="8"/>
    <x v="0"/>
    <n v="1.7099999999999997E-2"/>
  </r>
  <r>
    <s v="MACHACHI"/>
    <x v="1"/>
    <x v="1"/>
    <x v="3"/>
    <s v="BEBIDA DE YOGURT KIOSKO BOTELLA FAMILIAR"/>
    <x v="0"/>
    <n v="7711"/>
    <n v="1001"/>
    <x v="39"/>
    <x v="39"/>
    <n v="36"/>
    <n v="1"/>
    <n v="0.95"/>
    <n v="45"/>
    <d v="2024-11-20T00:00:00"/>
    <s v="miércoles"/>
    <d v="2024-11-15T00:00:00"/>
    <x v="0"/>
    <n v="32"/>
    <n v="0.71111111111111114"/>
    <n v="36"/>
    <n v="34.199999999999996"/>
    <n v="5"/>
    <n v="0.88888888888888884"/>
    <n v="1.055175"/>
    <n v="1.055175"/>
    <n v="36.086984999999991"/>
    <n v="7"/>
    <x v="0"/>
    <n v="3.4199999999999994E-2"/>
  </r>
  <r>
    <s v="MACHACHI"/>
    <x v="1"/>
    <x v="1"/>
    <x v="3"/>
    <s v="BEBIDA DE YOGURT KIOSKO BOTELLA FAMILIAR"/>
    <x v="0"/>
    <n v="7711"/>
    <n v="1001"/>
    <x v="39"/>
    <x v="39"/>
    <n v="18"/>
    <n v="1"/>
    <n v="0.95"/>
    <n v="45"/>
    <d v="2024-11-21T00:00:00"/>
    <s v="jueves"/>
    <d v="2024-11-15T00:00:00"/>
    <x v="0"/>
    <n v="32"/>
    <n v="0.71111111111111114"/>
    <n v="18"/>
    <n v="17.099999999999998"/>
    <n v="6"/>
    <n v="0.8666666666666667"/>
    <n v="1.055175"/>
    <n v="1.055175"/>
    <n v="18.043492499999996"/>
    <n v="6"/>
    <x v="0"/>
    <n v="1.7099999999999997E-2"/>
  </r>
  <r>
    <s v="MACHACHI"/>
    <x v="1"/>
    <x v="1"/>
    <x v="3"/>
    <s v="GRIEGO SABORIZADO"/>
    <x v="0"/>
    <n v="7711"/>
    <n v="1001"/>
    <x v="40"/>
    <x v="40"/>
    <n v="360"/>
    <n v="1"/>
    <n v="0.12"/>
    <n v="45"/>
    <d v="2024-11-16T00:00:00"/>
    <s v="sábado"/>
    <d v="2024-11-15T00:00:00"/>
    <x v="0"/>
    <n v="32"/>
    <n v="0.71111111111111114"/>
    <n v="116"/>
    <n v="13.92"/>
    <n v="1"/>
    <n v="0.97777777777777775"/>
    <n v="0.37374000000000002"/>
    <n v="0.37374000000000002"/>
    <n v="5.2024607999999999"/>
    <n v="11"/>
    <x v="0"/>
    <n v="1.392E-2"/>
  </r>
  <r>
    <s v="MACHACHI"/>
    <x v="1"/>
    <x v="1"/>
    <x v="3"/>
    <s v="GRIEGO SABORIZADO"/>
    <x v="0"/>
    <n v="7711"/>
    <n v="1001"/>
    <x v="41"/>
    <x v="41"/>
    <n v="80"/>
    <n v="1"/>
    <n v="0.4"/>
    <n v="45"/>
    <d v="2024-11-16T00:00:00"/>
    <s v="sábado"/>
    <d v="2024-11-15T00:00:00"/>
    <x v="0"/>
    <n v="32"/>
    <n v="0.71111111111111114"/>
    <n v="80"/>
    <n v="32"/>
    <n v="1"/>
    <n v="0.97777777777777775"/>
    <n v="1.0693199999999998"/>
    <n v="1.0693199999999998"/>
    <n v="34.218239999999994"/>
    <n v="11"/>
    <x v="0"/>
    <n v="3.2000000000000001E-2"/>
  </r>
  <r>
    <s v="MACHACHI"/>
    <x v="1"/>
    <x v="1"/>
    <x v="3"/>
    <s v="GRIEGO SABORIZADO"/>
    <x v="0"/>
    <n v="7711"/>
    <n v="1001"/>
    <x v="41"/>
    <x v="41"/>
    <n v="40"/>
    <n v="1"/>
    <n v="0.4"/>
    <n v="45"/>
    <d v="2024-11-15T00:00:00"/>
    <s v="viernes"/>
    <d v="2024-11-15T00:00:00"/>
    <x v="0"/>
    <n v="32"/>
    <n v="0.71111111111111114"/>
    <n v="35"/>
    <n v="14"/>
    <n v="0"/>
    <n v="1"/>
    <n v="1.0693199999999998"/>
    <n v="1.0693199999999998"/>
    <n v="14.970479999999998"/>
    <n v="12"/>
    <x v="0"/>
    <n v="1.4E-2"/>
  </r>
  <r>
    <s v="MACHACHI"/>
    <x v="1"/>
    <x v="1"/>
    <x v="4"/>
    <s v="YOGURT FINESSE DESLACT BOTELLA PERSONAL"/>
    <x v="0"/>
    <n v="7711"/>
    <n v="1001"/>
    <x v="42"/>
    <x v="42"/>
    <n v="216"/>
    <n v="1"/>
    <n v="0.18"/>
    <n v="45"/>
    <d v="2024-11-05T00:00:00"/>
    <s v="martes"/>
    <d v="2024-10-25T00:00:00"/>
    <x v="53"/>
    <n v="11"/>
    <n v="0.24444444444444444"/>
    <n v="70"/>
    <n v="12.6"/>
    <n v="11"/>
    <n v="0.75555555555555554"/>
    <n v="0.286325"/>
    <n v="0.286325"/>
    <n v="3.6076949999999997"/>
    <n v="22"/>
    <x v="2"/>
    <n v="1.26E-2"/>
  </r>
  <r>
    <s v="MACHACHI"/>
    <x v="1"/>
    <x v="1"/>
    <x v="4"/>
    <s v="YOGURT FINESSE DESLACT BOTELLA PERSONAL"/>
    <x v="0"/>
    <n v="7711"/>
    <n v="1001"/>
    <x v="42"/>
    <x v="42"/>
    <n v="108"/>
    <n v="1"/>
    <n v="0.18"/>
    <n v="45"/>
    <d v="2024-11-16T00:00:00"/>
    <s v="sábado"/>
    <d v="2024-11-08T00:00:00"/>
    <x v="9"/>
    <n v="25"/>
    <n v="0.55555555555555558"/>
    <n v="98"/>
    <n v="17.64"/>
    <n v="8"/>
    <n v="0.82222222222222219"/>
    <n v="0.286325"/>
    <n v="0.286325"/>
    <n v="5.0507730000000004"/>
    <n v="11"/>
    <x v="1"/>
    <n v="1.7639999999999999E-2"/>
  </r>
  <r>
    <s v="MACHACHI"/>
    <x v="1"/>
    <x v="1"/>
    <x v="4"/>
    <s v="YOGURT FINESSE DESLACT BOTELLA PERSONAL"/>
    <x v="0"/>
    <n v="7711"/>
    <n v="1001"/>
    <x v="42"/>
    <x v="42"/>
    <n v="216"/>
    <n v="1"/>
    <n v="0.18"/>
    <n v="45"/>
    <d v="2024-11-20T00:00:00"/>
    <s v="miércoles"/>
    <d v="2024-11-15T00:00:00"/>
    <x v="0"/>
    <n v="32"/>
    <n v="0.71111111111111114"/>
    <n v="108"/>
    <n v="19.439999999999998"/>
    <n v="5"/>
    <n v="0.88888888888888884"/>
    <n v="0.286325"/>
    <n v="0.286325"/>
    <n v="5.5661579999999997"/>
    <n v="7"/>
    <x v="0"/>
    <n v="1.9439999999999999E-2"/>
  </r>
  <r>
    <s v="MACHACHI"/>
    <x v="1"/>
    <x v="1"/>
    <x v="4"/>
    <s v="YOGURT FINESSE DESLACT BOTELLA PERSONAL"/>
    <x v="0"/>
    <n v="7711"/>
    <n v="1001"/>
    <x v="42"/>
    <x v="42"/>
    <n v="108"/>
    <n v="1"/>
    <n v="0.18"/>
    <n v="45"/>
    <d v="2024-11-21T00:00:00"/>
    <s v="jueves"/>
    <d v="2024-11-15T00:00:00"/>
    <x v="0"/>
    <n v="32"/>
    <n v="0.71111111111111114"/>
    <n v="108"/>
    <n v="19.439999999999998"/>
    <n v="6"/>
    <n v="0.8666666666666667"/>
    <n v="0.286325"/>
    <n v="0.286325"/>
    <n v="5.5661579999999997"/>
    <n v="6"/>
    <x v="0"/>
    <n v="1.9439999999999999E-2"/>
  </r>
  <r>
    <s v="SAN GABRIEL"/>
    <x v="0"/>
    <x v="0"/>
    <x v="5"/>
    <s v="QUESO PROVOLONE KIOSKO TAJADO"/>
    <x v="0"/>
    <n v="7711"/>
    <n v="1001"/>
    <x v="43"/>
    <x v="43"/>
    <n v="13"/>
    <n v="1"/>
    <n v="1"/>
    <n v="60"/>
    <d v="2024-11-15T00:00:00"/>
    <s v="viernes"/>
    <d v="2024-10-26T00:00:00"/>
    <x v="44"/>
    <n v="27"/>
    <n v="0.45"/>
    <n v="11"/>
    <n v="11"/>
    <n v="20"/>
    <n v="0.66666666666666674"/>
    <n v="7.6642950000000001"/>
    <n v="7.6642950000000001"/>
    <n v="84.307244999999995"/>
    <n v="12"/>
    <x v="0"/>
    <n v="1.0999999999999999E-2"/>
  </r>
  <r>
    <s v="SAN GABRIEL"/>
    <x v="0"/>
    <x v="0"/>
    <x v="5"/>
    <s v="QUESO PROVOLONE KIOSKO TAJADO"/>
    <x v="0"/>
    <n v="7711"/>
    <n v="1001"/>
    <x v="43"/>
    <x v="43"/>
    <n v="17"/>
    <n v="1"/>
    <n v="1"/>
    <n v="60"/>
    <d v="2024-11-15T00:00:00"/>
    <s v="viernes"/>
    <d v="2024-11-13T00:00:00"/>
    <x v="46"/>
    <n v="45"/>
    <n v="0.75"/>
    <n v="7"/>
    <n v="7"/>
    <n v="2"/>
    <n v="0.96666666666666667"/>
    <n v="7.6642950000000001"/>
    <n v="7.6642950000000001"/>
    <n v="53.650064999999998"/>
    <n v="12"/>
    <x v="0"/>
    <n v="7.0000000000000001E-3"/>
  </r>
  <r>
    <s v="SAN GABRIEL"/>
    <x v="0"/>
    <x v="0"/>
    <x v="5"/>
    <s v="QUESO PROVOLONE KIOSKO TAJADO"/>
    <x v="0"/>
    <n v="7711"/>
    <n v="1001"/>
    <x v="43"/>
    <x v="43"/>
    <n v="23"/>
    <n v="1"/>
    <n v="1"/>
    <n v="60"/>
    <d v="2024-11-20T00:00:00"/>
    <s v="miércoles"/>
    <d v="2024-11-13T00:00:00"/>
    <x v="46"/>
    <n v="45"/>
    <n v="0.75"/>
    <n v="23"/>
    <n v="23"/>
    <n v="7"/>
    <n v="0.8833333333333333"/>
    <n v="7.6642950000000001"/>
    <n v="7.6642950000000001"/>
    <n v="176.278785"/>
    <n v="7"/>
    <x v="0"/>
    <n v="2.3E-2"/>
  </r>
  <r>
    <s v="SAN GABRIEL"/>
    <x v="0"/>
    <x v="0"/>
    <x v="5"/>
    <s v="QUESO SANDUCHE KIOSKO TAJADO"/>
    <x v="0"/>
    <n v="7711"/>
    <n v="1001"/>
    <x v="44"/>
    <x v="44"/>
    <n v="75"/>
    <n v="1"/>
    <n v="0.3"/>
    <n v="90"/>
    <d v="2024-11-15T00:00:00"/>
    <s v="viernes"/>
    <d v="2024-11-06T00:00:00"/>
    <x v="22"/>
    <n v="68"/>
    <n v="0.75555555555555554"/>
    <n v="37"/>
    <n v="11.1"/>
    <n v="9"/>
    <n v="0.9"/>
    <n v="2.3314949999999999"/>
    <n v="2.3314949999999999"/>
    <n v="25.879594499999996"/>
    <n v="12"/>
    <x v="0"/>
    <n v="1.11E-2"/>
  </r>
  <r>
    <s v="SAN GABRIEL"/>
    <x v="0"/>
    <x v="0"/>
    <x v="5"/>
    <s v="QUESO SANDUCHE KIOSKO TAJADO"/>
    <x v="0"/>
    <n v="7711"/>
    <n v="1001"/>
    <x v="44"/>
    <x v="44"/>
    <n v="75"/>
    <n v="1"/>
    <n v="0.3"/>
    <n v="90"/>
    <d v="2024-11-19T00:00:00"/>
    <s v="martes"/>
    <d v="2024-11-06T00:00:00"/>
    <x v="22"/>
    <n v="68"/>
    <n v="0.75555555555555554"/>
    <n v="75"/>
    <n v="22.5"/>
    <n v="13"/>
    <n v="0.85555555555555562"/>
    <n v="2.3314949999999999"/>
    <n v="2.3314949999999999"/>
    <n v="52.458637499999995"/>
    <n v="8"/>
    <x v="0"/>
    <n v="2.2499999999999999E-2"/>
  </r>
  <r>
    <s v="MULTIEMPAQUE_SG"/>
    <x v="2"/>
    <x v="1"/>
    <x v="10"/>
    <s v="AREQUIPE ALPINA"/>
    <x v="0"/>
    <n v="7711"/>
    <n v="1001"/>
    <x v="45"/>
    <x v="45"/>
    <n v="360"/>
    <n v="1"/>
    <n v="0.3"/>
    <n v="180"/>
    <d v="2024-11-12T00:00:00"/>
    <s v="martes"/>
    <d v="2024-11-06T00:00:00"/>
    <x v="37"/>
    <n v="158"/>
    <n v="0.87777777777777777"/>
    <n v="267"/>
    <n v="80.099999999999994"/>
    <n v="6"/>
    <n v="0.96666666666666667"/>
    <n v="1.2875100000000002"/>
    <n v="1.2875100000000002"/>
    <n v="103.12955100000001"/>
    <n v="15"/>
    <x v="0"/>
    <n v="8.0099999999999991E-2"/>
  </r>
  <r>
    <s v="MULTIEMPAQUE_SG"/>
    <x v="2"/>
    <x v="1"/>
    <x v="10"/>
    <s v="AREQUIPE ALPINA"/>
    <x v="0"/>
    <n v="7711"/>
    <n v="1001"/>
    <x v="45"/>
    <x v="45"/>
    <n v="90"/>
    <n v="1"/>
    <n v="0.3"/>
    <n v="180"/>
    <d v="2024-11-15T00:00:00"/>
    <s v="viernes"/>
    <d v="2024-11-07T00:00:00"/>
    <x v="54"/>
    <n v="159"/>
    <n v="0.8833333333333333"/>
    <n v="90"/>
    <n v="27"/>
    <n v="8"/>
    <n v="0.9555555555555556"/>
    <n v="1.2875100000000002"/>
    <n v="1.2875100000000002"/>
    <n v="34.762770000000003"/>
    <n v="12"/>
    <x v="0"/>
    <n v="2.7E-2"/>
  </r>
  <r>
    <s v="MULTIEMPAQUE_SG"/>
    <x v="2"/>
    <x v="1"/>
    <x v="10"/>
    <s v="AREQUIPE ALPINA"/>
    <x v="0"/>
    <n v="7711"/>
    <n v="1001"/>
    <x v="45"/>
    <x v="45"/>
    <n v="180"/>
    <n v="1"/>
    <n v="0.3"/>
    <n v="180"/>
    <d v="2024-11-14T00:00:00"/>
    <s v="jueves"/>
    <d v="2024-11-07T00:00:00"/>
    <x v="54"/>
    <n v="159"/>
    <n v="0.8833333333333333"/>
    <n v="184"/>
    <n v="55.199999999999996"/>
    <n v="7"/>
    <n v="0.96111111111111114"/>
    <n v="1.2875100000000002"/>
    <n v="1.2875100000000002"/>
    <n v="71.070552000000006"/>
    <n v="13"/>
    <x v="0"/>
    <n v="5.5199999999999999E-2"/>
  </r>
  <r>
    <s v="MULTIEMPAQUE_SG"/>
    <x v="2"/>
    <x v="1"/>
    <x v="10"/>
    <s v="AREQUIPE ALPINA"/>
    <x v="0"/>
    <n v="7711"/>
    <n v="1001"/>
    <x v="45"/>
    <x v="45"/>
    <n v="225"/>
    <n v="1"/>
    <n v="0.3"/>
    <n v="180"/>
    <d v="2024-11-19T00:00:00"/>
    <s v="martes"/>
    <d v="2024-11-07T00:00:00"/>
    <x v="54"/>
    <n v="159"/>
    <n v="0.8833333333333333"/>
    <n v="225"/>
    <n v="67.5"/>
    <n v="12"/>
    <n v="0.93333333333333335"/>
    <n v="1.2875100000000002"/>
    <n v="1.2875100000000002"/>
    <n v="86.906925000000015"/>
    <n v="8"/>
    <x v="0"/>
    <n v="6.7500000000000004E-2"/>
  </r>
  <r>
    <s v="MULTIEMPAQUE_SG"/>
    <x v="2"/>
    <x v="1"/>
    <x v="10"/>
    <s v="AREQUIPE ALPINA"/>
    <x v="0"/>
    <n v="7711"/>
    <n v="1001"/>
    <x v="45"/>
    <x v="45"/>
    <n v="90"/>
    <n v="1"/>
    <n v="0.3"/>
    <n v="180"/>
    <d v="2024-11-20T00:00:00"/>
    <s v="miércoles"/>
    <d v="2024-11-12T00:00:00"/>
    <x v="33"/>
    <n v="164"/>
    <n v="0.91111111111111109"/>
    <n v="91"/>
    <n v="27.3"/>
    <n v="8"/>
    <n v="0.9555555555555556"/>
    <n v="1.2875100000000002"/>
    <n v="1.2875100000000002"/>
    <n v="35.149023000000007"/>
    <n v="7"/>
    <x v="0"/>
    <n v="2.7300000000000001E-2"/>
  </r>
  <r>
    <s v="SAN GABRIEL"/>
    <x v="2"/>
    <x v="1"/>
    <x v="10"/>
    <s v="AREQUIPE ALPINA FAMILIAR"/>
    <x v="0"/>
    <n v="7711"/>
    <n v="1001"/>
    <x v="46"/>
    <x v="46"/>
    <n v="72"/>
    <n v="1"/>
    <n v="4.5999999999999996"/>
    <n v="90"/>
    <d v="2024-11-15T00:00:00"/>
    <s v="viernes"/>
    <d v="2024-11-13T00:00:00"/>
    <x v="39"/>
    <n v="75"/>
    <n v="0.83333333333333337"/>
    <n v="72"/>
    <n v="331.2"/>
    <n v="2"/>
    <n v="0.97777777777777775"/>
    <n v="12.450799999999999"/>
    <n v="12.450799999999999"/>
    <n v="4123.70496"/>
    <n v="12"/>
    <x v="0"/>
    <n v="0.33119999999999999"/>
  </r>
  <r>
    <s v="SAN GABRIEL"/>
    <x v="2"/>
    <x v="1"/>
    <x v="10"/>
    <s v="AREQUIPE ALPINA FAMILIAR"/>
    <x v="0"/>
    <n v="7711"/>
    <n v="1001"/>
    <x v="46"/>
    <x v="46"/>
    <n v="90"/>
    <n v="1"/>
    <n v="4.5999999999999996"/>
    <n v="90"/>
    <d v="2024-11-14T00:00:00"/>
    <s v="jueves"/>
    <d v="2024-11-13T00:00:00"/>
    <x v="39"/>
    <n v="75"/>
    <n v="0.83333333333333337"/>
    <n v="20"/>
    <n v="92"/>
    <n v="1"/>
    <n v="0.98888888888888893"/>
    <n v="12.450799999999999"/>
    <n v="12.450799999999999"/>
    <n v="1145.4736"/>
    <n v="13"/>
    <x v="0"/>
    <n v="9.1999999999999998E-2"/>
  </r>
  <r>
    <s v="SAN GABRIEL"/>
    <x v="2"/>
    <x v="1"/>
    <x v="10"/>
    <s v="AREQUIPE ALPINA FAMILIAR"/>
    <x v="0"/>
    <n v="7711"/>
    <n v="1001"/>
    <x v="46"/>
    <x v="46"/>
    <n v="0"/>
    <n v="1"/>
    <n v="4.5999999999999996"/>
    <n v="90"/>
    <d v="2024-11-14T00:00:00"/>
    <s v="jueves"/>
    <d v="2024-11-14T00:00:00"/>
    <x v="23"/>
    <n v="76"/>
    <n v="0.84444444444444444"/>
    <n v="1"/>
    <n v="4.5999999999999996"/>
    <n v="0"/>
    <n v="1"/>
    <n v="12.450799999999999"/>
    <n v="12.450799999999999"/>
    <n v="57.273679999999992"/>
    <n v="13"/>
    <x v="0"/>
    <n v="4.5999999999999999E-3"/>
  </r>
  <r>
    <s v="SAN GABRIEL"/>
    <x v="2"/>
    <x v="1"/>
    <x v="10"/>
    <s v="AREQUIPE ALPINA FAMILIAR"/>
    <x v="0"/>
    <n v="7711"/>
    <n v="1001"/>
    <x v="46"/>
    <x v="46"/>
    <n v="24"/>
    <n v="1"/>
    <n v="4.5999999999999996"/>
    <n v="90"/>
    <d v="2024-11-19T00:00:00"/>
    <s v="martes"/>
    <d v="2024-11-13T00:00:00"/>
    <x v="39"/>
    <n v="75"/>
    <n v="0.83333333333333337"/>
    <n v="24"/>
    <n v="110.39999999999999"/>
    <n v="6"/>
    <n v="0.93333333333333335"/>
    <n v="12.450799999999999"/>
    <n v="12.450799999999999"/>
    <n v="1374.5683199999999"/>
    <n v="8"/>
    <x v="0"/>
    <n v="0.1104"/>
  </r>
  <r>
    <s v="SAN GABRIEL"/>
    <x v="2"/>
    <x v="1"/>
    <x v="10"/>
    <s v="AREQUIPE ALPINA FAMILIAR"/>
    <x v="0"/>
    <n v="7711"/>
    <n v="1001"/>
    <x v="46"/>
    <x v="46"/>
    <n v="12"/>
    <n v="1"/>
    <n v="4.5999999999999996"/>
    <n v="90"/>
    <d v="2024-11-20T00:00:00"/>
    <s v="miércoles"/>
    <d v="2024-11-16T00:00:00"/>
    <x v="55"/>
    <n v="78"/>
    <n v="0.8666666666666667"/>
    <n v="12"/>
    <n v="55.199999999999996"/>
    <n v="4"/>
    <n v="0.9555555555555556"/>
    <n v="12.450799999999999"/>
    <n v="12.450799999999999"/>
    <n v="687.28415999999993"/>
    <n v="7"/>
    <x v="0"/>
    <n v="5.5199999999999999E-2"/>
  </r>
  <r>
    <s v="SAN GABRIEL"/>
    <x v="2"/>
    <x v="1"/>
    <x v="10"/>
    <s v="AREQUIPE ALPINA FAMILIAR"/>
    <x v="0"/>
    <n v="7711"/>
    <n v="1001"/>
    <x v="46"/>
    <x v="46"/>
    <n v="24"/>
    <n v="1"/>
    <n v="4.5999999999999996"/>
    <n v="90"/>
    <d v="2024-11-21T00:00:00"/>
    <s v="jueves"/>
    <d v="2024-11-16T00:00:00"/>
    <x v="55"/>
    <n v="78"/>
    <n v="0.8666666666666667"/>
    <n v="24"/>
    <n v="110.39999999999999"/>
    <n v="5"/>
    <n v="0.94444444444444442"/>
    <n v="12.450799999999999"/>
    <n v="12.450799999999999"/>
    <n v="1374.5683199999999"/>
    <n v="6"/>
    <x v="0"/>
    <n v="0.1104"/>
  </r>
  <r>
    <s v="SAN GABRIEL"/>
    <x v="2"/>
    <x v="1"/>
    <x v="10"/>
    <s v="AREQUIPE ALPINA"/>
    <x v="0"/>
    <n v="7711"/>
    <n v="1001"/>
    <x v="47"/>
    <x v="47"/>
    <n v="972"/>
    <n v="1"/>
    <n v="0.5"/>
    <n v="180"/>
    <d v="2024-10-31T00:00:00"/>
    <s v="jueves"/>
    <d v="2024-10-30T00:00:00"/>
    <x v="30"/>
    <n v="151"/>
    <n v="0.83888888888888891"/>
    <n v="36"/>
    <n v="18"/>
    <n v="1"/>
    <n v="0.99444444444444446"/>
    <n v="1.477565"/>
    <n v="1.477565"/>
    <n v="26.596170000000001"/>
    <n v="27"/>
    <x v="0"/>
    <n v="1.7999999999999999E-2"/>
  </r>
  <r>
    <s v="SAN GABRIEL"/>
    <x v="2"/>
    <x v="1"/>
    <x v="10"/>
    <s v="AREQUIPE ALPINA"/>
    <x v="0"/>
    <n v="7711"/>
    <n v="1001"/>
    <x v="47"/>
    <x v="47"/>
    <n v="504"/>
    <n v="1"/>
    <n v="0.5"/>
    <n v="180"/>
    <d v="2024-11-13T00:00:00"/>
    <s v="miércoles"/>
    <d v="2024-11-12T00:00:00"/>
    <x v="33"/>
    <n v="164"/>
    <n v="0.91111111111111109"/>
    <n v="165"/>
    <n v="82.5"/>
    <n v="1"/>
    <n v="0.99444444444444446"/>
    <n v="1.477565"/>
    <n v="1.477565"/>
    <n v="121.8991125"/>
    <n v="14"/>
    <x v="0"/>
    <n v="8.2500000000000004E-2"/>
  </r>
  <r>
    <s v="SAN GABRIEL"/>
    <x v="2"/>
    <x v="1"/>
    <x v="10"/>
    <s v="AREQUIPE ALPINA"/>
    <x v="0"/>
    <n v="7711"/>
    <n v="1001"/>
    <x v="47"/>
    <x v="47"/>
    <n v="396"/>
    <n v="1"/>
    <n v="0.5"/>
    <n v="180"/>
    <d v="2024-11-15T00:00:00"/>
    <s v="viernes"/>
    <d v="2024-11-14T00:00:00"/>
    <x v="35"/>
    <n v="166"/>
    <n v="0.92222222222222228"/>
    <n v="396"/>
    <n v="198"/>
    <n v="1"/>
    <n v="0.99444444444444446"/>
    <n v="1.477565"/>
    <n v="1.477565"/>
    <n v="292.55786999999998"/>
    <n v="12"/>
    <x v="0"/>
    <n v="0.19800000000000001"/>
  </r>
  <r>
    <s v="SAN GABRIEL"/>
    <x v="2"/>
    <x v="1"/>
    <x v="10"/>
    <s v="AREQUIPE ALPINA"/>
    <x v="0"/>
    <n v="7711"/>
    <n v="1001"/>
    <x v="47"/>
    <x v="47"/>
    <n v="828"/>
    <n v="1"/>
    <n v="0.5"/>
    <n v="180"/>
    <d v="2024-11-20T00:00:00"/>
    <s v="miércoles"/>
    <d v="2024-11-12T00:00:00"/>
    <x v="33"/>
    <n v="164"/>
    <n v="0.91111111111111109"/>
    <n v="828"/>
    <n v="414"/>
    <n v="8"/>
    <n v="0.9555555555555556"/>
    <n v="1.477565"/>
    <n v="1.477565"/>
    <n v="611.71190999999999"/>
    <n v="7"/>
    <x v="0"/>
    <n v="0.41399999999999998"/>
  </r>
  <r>
    <s v="SAN GABRIEL"/>
    <x v="2"/>
    <x v="1"/>
    <x v="10"/>
    <s v="AREQUIPE ALPINA"/>
    <x v="0"/>
    <n v="7711"/>
    <n v="1001"/>
    <x v="47"/>
    <x v="47"/>
    <n v="180"/>
    <n v="1"/>
    <n v="0.5"/>
    <n v="180"/>
    <d v="2024-11-21T00:00:00"/>
    <s v="jueves"/>
    <d v="2024-11-19T00:00:00"/>
    <x v="56"/>
    <n v="171"/>
    <n v="0.95"/>
    <n v="180"/>
    <n v="90"/>
    <n v="2"/>
    <n v="0.98888888888888893"/>
    <n v="1.477565"/>
    <n v="1.477565"/>
    <n v="132.98085"/>
    <n v="6"/>
    <x v="0"/>
    <n v="0.09"/>
  </r>
  <r>
    <s v="MACHACHI"/>
    <x v="1"/>
    <x v="1"/>
    <x v="2"/>
    <s v="BON YURT REGULAR"/>
    <x v="0"/>
    <n v="7711"/>
    <n v="1001"/>
    <x v="48"/>
    <x v="48"/>
    <n v="120"/>
    <n v="1"/>
    <n v="0.16300000000000001"/>
    <n v="45"/>
    <d v="2024-11-15T00:00:00"/>
    <s v="viernes"/>
    <d v="2024-11-09T00:00:00"/>
    <x v="6"/>
    <n v="26"/>
    <n v="0.57777777777777772"/>
    <n v="120"/>
    <n v="19.560000000000002"/>
    <n v="6"/>
    <n v="0.8666666666666667"/>
    <n v="0.298205"/>
    <n v="0.298205"/>
    <n v="5.8328898000000002"/>
    <n v="12"/>
    <x v="1"/>
    <n v="1.9560000000000001E-2"/>
  </r>
  <r>
    <s v="MACHACHI"/>
    <x v="1"/>
    <x v="1"/>
    <x v="2"/>
    <s v="BON YURT REGULAR"/>
    <x v="0"/>
    <n v="7711"/>
    <n v="1001"/>
    <x v="48"/>
    <x v="48"/>
    <n v="120"/>
    <n v="1"/>
    <n v="0.16300000000000001"/>
    <n v="45"/>
    <d v="2024-11-14T00:00:00"/>
    <s v="jueves"/>
    <d v="2024-11-09T00:00:00"/>
    <x v="6"/>
    <n v="26"/>
    <n v="0.57777777777777772"/>
    <n v="47"/>
    <n v="7.6610000000000005"/>
    <n v="5"/>
    <n v="0.88888888888888884"/>
    <n v="0.298205"/>
    <n v="0.298205"/>
    <n v="2.2845485050000001"/>
    <n v="13"/>
    <x v="1"/>
    <n v="7.6610000000000003E-3"/>
  </r>
  <r>
    <s v="MACHACHI"/>
    <x v="1"/>
    <x v="1"/>
    <x v="2"/>
    <s v="BON YURT REGULAR"/>
    <x v="0"/>
    <n v="7711"/>
    <n v="1001"/>
    <x v="48"/>
    <x v="48"/>
    <n v="120"/>
    <n v="1"/>
    <n v="0.16300000000000001"/>
    <n v="45"/>
    <d v="2024-11-19T00:00:00"/>
    <s v="martes"/>
    <d v="2024-11-09T00:00:00"/>
    <x v="6"/>
    <n v="26"/>
    <n v="0.57777777777777772"/>
    <n v="120"/>
    <n v="19.560000000000002"/>
    <n v="10"/>
    <n v="0.77777777777777779"/>
    <n v="0.298205"/>
    <n v="0.298205"/>
    <n v="5.8328898000000002"/>
    <n v="8"/>
    <x v="1"/>
    <n v="1.9560000000000001E-2"/>
  </r>
  <r>
    <s v="MACHACHI"/>
    <x v="1"/>
    <x v="1"/>
    <x v="2"/>
    <s v="BON YURT REGULAR"/>
    <x v="0"/>
    <n v="7711"/>
    <n v="1001"/>
    <x v="48"/>
    <x v="48"/>
    <n v="120"/>
    <n v="1"/>
    <n v="0.16300000000000001"/>
    <n v="45"/>
    <d v="2024-11-20T00:00:00"/>
    <s v="miércoles"/>
    <d v="2024-11-16T00:00:00"/>
    <x v="3"/>
    <n v="33"/>
    <n v="0.73333333333333328"/>
    <n v="0"/>
    <n v="0"/>
    <n v="4"/>
    <n v="0.91111111111111109"/>
    <n v="0.298205"/>
    <n v="0.298205"/>
    <n v="0"/>
    <n v="7"/>
    <x v="0"/>
    <n v="0"/>
  </r>
  <r>
    <s v="MACHACHI"/>
    <x v="1"/>
    <x v="1"/>
    <x v="2"/>
    <s v="BON YURT REGULAR"/>
    <x v="0"/>
    <n v="7711"/>
    <n v="1001"/>
    <x v="48"/>
    <x v="48"/>
    <n v="120"/>
    <n v="1"/>
    <n v="0.16300000000000001"/>
    <n v="45"/>
    <d v="2024-11-21T00:00:00"/>
    <s v="jueves"/>
    <d v="2024-11-16T00:00:00"/>
    <x v="3"/>
    <n v="33"/>
    <n v="0.73333333333333328"/>
    <n v="120"/>
    <n v="19.560000000000002"/>
    <n v="5"/>
    <n v="0.88888888888888884"/>
    <n v="0.298205"/>
    <n v="0.298205"/>
    <n v="5.8328898000000002"/>
    <n v="6"/>
    <x v="0"/>
    <n v="1.9560000000000001E-2"/>
  </r>
  <r>
    <s v="MACHACHI"/>
    <x v="1"/>
    <x v="1"/>
    <x v="2"/>
    <s v="BON YURT REGULAR"/>
    <x v="0"/>
    <n v="7711"/>
    <n v="1001"/>
    <x v="49"/>
    <x v="49"/>
    <n v="60"/>
    <n v="1"/>
    <n v="0.16200000000000001"/>
    <n v="45"/>
    <d v="2024-11-12T00:00:00"/>
    <s v="martes"/>
    <d v="2024-11-09T00:00:00"/>
    <x v="6"/>
    <n v="26"/>
    <n v="0.57777777777777772"/>
    <n v="20"/>
    <n v="3.24"/>
    <n v="3"/>
    <n v="0.93333333333333335"/>
    <n v="0.27881999999999996"/>
    <n v="0.27881999999999996"/>
    <n v="0.90337679999999987"/>
    <n v="15"/>
    <x v="1"/>
    <n v="3.2400000000000003E-3"/>
  </r>
  <r>
    <s v="MACHACHI"/>
    <x v="1"/>
    <x v="1"/>
    <x v="2"/>
    <s v="BON YURT REGULAR"/>
    <x v="0"/>
    <n v="7711"/>
    <n v="1001"/>
    <x v="49"/>
    <x v="49"/>
    <n v="60"/>
    <n v="1"/>
    <n v="0.16200000000000001"/>
    <n v="45"/>
    <d v="2024-11-14T00:00:00"/>
    <s v="jueves"/>
    <d v="2024-11-09T00:00:00"/>
    <x v="6"/>
    <n v="26"/>
    <n v="0.57777777777777772"/>
    <n v="60"/>
    <n v="9.7200000000000006"/>
    <n v="5"/>
    <n v="0.88888888888888884"/>
    <n v="0.27881999999999996"/>
    <n v="0.27881999999999996"/>
    <n v="2.7101303999999997"/>
    <n v="13"/>
    <x v="1"/>
    <n v="9.7200000000000012E-3"/>
  </r>
  <r>
    <s v="MACHACHI"/>
    <x v="1"/>
    <x v="1"/>
    <x v="2"/>
    <s v="BON YURT REGULAR"/>
    <x v="0"/>
    <n v="7711"/>
    <n v="1001"/>
    <x v="49"/>
    <x v="49"/>
    <n v="60"/>
    <n v="1"/>
    <n v="0.16200000000000001"/>
    <n v="45"/>
    <d v="2024-11-19T00:00:00"/>
    <s v="martes"/>
    <d v="2024-11-15T00:00:00"/>
    <x v="0"/>
    <n v="32"/>
    <n v="0.71111111111111114"/>
    <n v="0"/>
    <n v="0"/>
    <n v="4"/>
    <n v="0.91111111111111109"/>
    <n v="0.27881999999999996"/>
    <n v="0.27881999999999996"/>
    <n v="0"/>
    <n v="8"/>
    <x v="0"/>
    <n v="0"/>
  </r>
  <r>
    <s v="MACHACHI"/>
    <x v="1"/>
    <x v="1"/>
    <x v="2"/>
    <s v="BON YURT REGULAR"/>
    <x v="0"/>
    <n v="7711"/>
    <n v="1001"/>
    <x v="49"/>
    <x v="49"/>
    <n v="60"/>
    <n v="1"/>
    <n v="0.16200000000000001"/>
    <n v="45"/>
    <d v="2024-11-21T00:00:00"/>
    <s v="jueves"/>
    <d v="2024-11-15T00:00:00"/>
    <x v="0"/>
    <n v="32"/>
    <n v="0.71111111111111114"/>
    <n v="60"/>
    <n v="9.7200000000000006"/>
    <n v="6"/>
    <n v="0.8666666666666667"/>
    <n v="0.27881999999999996"/>
    <n v="0.27881999999999996"/>
    <n v="2.7101303999999997"/>
    <n v="6"/>
    <x v="0"/>
    <n v="9.7200000000000012E-3"/>
  </r>
  <r>
    <s v="MACHACHI"/>
    <x v="1"/>
    <x v="1"/>
    <x v="2"/>
    <s v="BON YURT REGULAR"/>
    <x v="0"/>
    <n v="7711"/>
    <n v="1001"/>
    <x v="50"/>
    <x v="50"/>
    <n v="240"/>
    <n v="1"/>
    <n v="0.154"/>
    <n v="45"/>
    <d v="2024-11-08T00:00:00"/>
    <s v="viernes"/>
    <d v="2024-10-29T00:00:00"/>
    <x v="25"/>
    <n v="15"/>
    <n v="0.33333333333333331"/>
    <n v="3"/>
    <n v="0.46199999999999997"/>
    <n v="10"/>
    <n v="0.77777777777777779"/>
    <n v="0.295705"/>
    <n v="0.295705"/>
    <n v="0.13661571"/>
    <n v="19"/>
    <x v="2"/>
    <n v="4.6199999999999995E-4"/>
  </r>
  <r>
    <s v="MACHACHI"/>
    <x v="1"/>
    <x v="1"/>
    <x v="2"/>
    <s v="BON YURT REGULAR"/>
    <x v="0"/>
    <n v="7711"/>
    <n v="1001"/>
    <x v="50"/>
    <x v="50"/>
    <n v="300"/>
    <n v="1"/>
    <n v="0.154"/>
    <n v="45"/>
    <d v="2024-11-13T00:00:00"/>
    <s v="miércoles"/>
    <d v="2024-11-05T00:00:00"/>
    <x v="19"/>
    <n v="22"/>
    <n v="0.48888888888888887"/>
    <n v="26"/>
    <n v="4.0039999999999996"/>
    <n v="8"/>
    <n v="0.82222222222222219"/>
    <n v="0.295705"/>
    <n v="0.295705"/>
    <n v="1.1840028199999999"/>
    <n v="14"/>
    <x v="1"/>
    <n v="4.0039999999999997E-3"/>
  </r>
  <r>
    <s v="MACHACHI"/>
    <x v="1"/>
    <x v="1"/>
    <x v="2"/>
    <s v="BON YURT REGULAR"/>
    <x v="0"/>
    <n v="7711"/>
    <n v="1001"/>
    <x v="50"/>
    <x v="50"/>
    <n v="480"/>
    <n v="1"/>
    <n v="0.154"/>
    <n v="45"/>
    <d v="2024-11-16T00:00:00"/>
    <s v="sábado"/>
    <d v="2024-11-12T00:00:00"/>
    <x v="5"/>
    <n v="29"/>
    <n v="0.64444444444444449"/>
    <n v="480"/>
    <n v="73.92"/>
    <n v="4"/>
    <n v="0.91111111111111109"/>
    <n v="0.295705"/>
    <n v="0.295705"/>
    <n v="21.858513599999998"/>
    <n v="11"/>
    <x v="0"/>
    <n v="7.392E-2"/>
  </r>
  <r>
    <s v="MACHACHI"/>
    <x v="1"/>
    <x v="1"/>
    <x v="2"/>
    <s v="BON YURT REGULAR"/>
    <x v="0"/>
    <n v="7711"/>
    <n v="1001"/>
    <x v="50"/>
    <x v="50"/>
    <n v="360"/>
    <n v="1"/>
    <n v="0.154"/>
    <n v="45"/>
    <d v="2024-11-15T00:00:00"/>
    <s v="viernes"/>
    <d v="2024-11-09T00:00:00"/>
    <x v="6"/>
    <n v="26"/>
    <n v="0.57777777777777772"/>
    <n v="110"/>
    <n v="16.940000000000001"/>
    <n v="6"/>
    <n v="0.8666666666666667"/>
    <n v="0.295705"/>
    <n v="0.295705"/>
    <n v="5.0092427000000006"/>
    <n v="12"/>
    <x v="1"/>
    <n v="1.694E-2"/>
  </r>
  <r>
    <s v="MACHACHI"/>
    <x v="1"/>
    <x v="1"/>
    <x v="2"/>
    <s v="BON YURT REGULAR"/>
    <x v="0"/>
    <n v="7711"/>
    <n v="1001"/>
    <x v="50"/>
    <x v="50"/>
    <n v="240"/>
    <n v="1"/>
    <n v="0.154"/>
    <n v="45"/>
    <d v="2024-11-14T00:00:00"/>
    <s v="jueves"/>
    <d v="2024-11-05T00:00:00"/>
    <x v="19"/>
    <n v="22"/>
    <n v="0.48888888888888887"/>
    <n v="240"/>
    <n v="36.96"/>
    <n v="9"/>
    <n v="0.8"/>
    <n v="0.295705"/>
    <n v="0.295705"/>
    <n v="10.929256799999999"/>
    <n v="13"/>
    <x v="1"/>
    <n v="3.696E-2"/>
  </r>
  <r>
    <s v="MACHACHI"/>
    <x v="1"/>
    <x v="1"/>
    <x v="2"/>
    <s v="BON YURT REGULAR"/>
    <x v="0"/>
    <n v="7711"/>
    <n v="1001"/>
    <x v="50"/>
    <x v="50"/>
    <n v="300"/>
    <n v="1"/>
    <n v="0.154"/>
    <n v="45"/>
    <d v="2024-11-19T00:00:00"/>
    <s v="martes"/>
    <d v="2024-11-12T00:00:00"/>
    <x v="5"/>
    <n v="29"/>
    <n v="0.64444444444444449"/>
    <n v="300"/>
    <n v="46.2"/>
    <n v="7"/>
    <n v="0.84444444444444444"/>
    <n v="0.295705"/>
    <n v="0.295705"/>
    <n v="13.661571"/>
    <n v="8"/>
    <x v="0"/>
    <n v="4.6200000000000005E-2"/>
  </r>
  <r>
    <s v="MACHACHI"/>
    <x v="1"/>
    <x v="1"/>
    <x v="2"/>
    <s v="BON YURT REGULAR"/>
    <x v="0"/>
    <n v="7711"/>
    <n v="1001"/>
    <x v="50"/>
    <x v="50"/>
    <n v="420"/>
    <n v="1"/>
    <n v="0.154"/>
    <n v="45"/>
    <d v="2024-11-20T00:00:00"/>
    <s v="miércoles"/>
    <d v="2024-11-15T00:00:00"/>
    <x v="0"/>
    <n v="32"/>
    <n v="0.71111111111111114"/>
    <n v="120"/>
    <n v="18.48"/>
    <n v="5"/>
    <n v="0.88888888888888884"/>
    <n v="0.295705"/>
    <n v="0.295705"/>
    <n v="5.4646283999999996"/>
    <n v="7"/>
    <x v="0"/>
    <n v="1.848E-2"/>
  </r>
  <r>
    <s v="MACHACHI"/>
    <x v="1"/>
    <x v="1"/>
    <x v="2"/>
    <s v="BON YURT REGULAR"/>
    <x v="0"/>
    <n v="7711"/>
    <n v="1001"/>
    <x v="50"/>
    <x v="50"/>
    <n v="300"/>
    <n v="1"/>
    <n v="0.154"/>
    <n v="45"/>
    <d v="2024-11-21T00:00:00"/>
    <s v="jueves"/>
    <d v="2024-11-15T00:00:00"/>
    <x v="0"/>
    <n v="32"/>
    <n v="0.71111111111111114"/>
    <n v="300"/>
    <n v="46.2"/>
    <n v="6"/>
    <n v="0.8666666666666667"/>
    <n v="0.295705"/>
    <n v="0.295705"/>
    <n v="13.661571"/>
    <n v="6"/>
    <x v="0"/>
    <n v="4.6200000000000005E-2"/>
  </r>
  <r>
    <s v="SAN GABRIEL"/>
    <x v="0"/>
    <x v="0"/>
    <x v="5"/>
    <s v="QUESO HOLANDES KIOSKO BLOQUE"/>
    <x v="0"/>
    <n v="7711"/>
    <n v="1001"/>
    <x v="51"/>
    <x v="51"/>
    <n v="36"/>
    <n v="1"/>
    <n v="0.4"/>
    <n v="60"/>
    <d v="2024-10-17T00:00:00"/>
    <s v="jueves"/>
    <d v="2024-10-10T00:00:00"/>
    <x v="53"/>
    <n v="11"/>
    <n v="0.18333333333333332"/>
    <n v="35"/>
    <n v="14"/>
    <n v="7"/>
    <n v="0.8833333333333333"/>
    <n v="2.599545"/>
    <n v="2.599545"/>
    <n v="36.393630000000002"/>
    <n v="41"/>
    <x v="2"/>
    <n v="1.4E-2"/>
  </r>
  <r>
    <s v="SAN GABRIEL"/>
    <x v="0"/>
    <x v="0"/>
    <x v="5"/>
    <s v="QUESO HOLANDES KIOSKO BLOQUE"/>
    <x v="0"/>
    <n v="7711"/>
    <n v="1001"/>
    <x v="51"/>
    <x v="51"/>
    <n v="36"/>
    <n v="1"/>
    <n v="0.4"/>
    <n v="60"/>
    <d v="2024-11-08T00:00:00"/>
    <s v="viernes"/>
    <d v="2024-10-31T00:00:00"/>
    <x v="0"/>
    <n v="32"/>
    <n v="0.53333333333333333"/>
    <n v="36"/>
    <n v="14.4"/>
    <n v="8"/>
    <n v="0.8666666666666667"/>
    <n v="2.599545"/>
    <n v="2.599545"/>
    <n v="37.433447999999999"/>
    <n v="19"/>
    <x v="0"/>
    <n v="1.44E-2"/>
  </r>
  <r>
    <s v="SAN GABRIEL"/>
    <x v="0"/>
    <x v="0"/>
    <x v="5"/>
    <s v="QUESO HOLANDES KIOSKO BLOQUE"/>
    <x v="0"/>
    <n v="7711"/>
    <n v="1001"/>
    <x v="51"/>
    <x v="51"/>
    <n v="10"/>
    <n v="1"/>
    <n v="0.4"/>
    <n v="60"/>
    <d v="2024-11-21T00:00:00"/>
    <s v="jueves"/>
    <d v="2024-11-15T00:00:00"/>
    <x v="52"/>
    <n v="47"/>
    <n v="0.78333333333333333"/>
    <n v="10"/>
    <n v="4"/>
    <n v="6"/>
    <n v="0.9"/>
    <n v="2.599545"/>
    <n v="2.599545"/>
    <n v="10.39818"/>
    <n v="6"/>
    <x v="0"/>
    <n v="4.0000000000000001E-3"/>
  </r>
  <r>
    <s v="SAN GABRIEL"/>
    <x v="0"/>
    <x v="0"/>
    <x v="5"/>
    <s v="QUESO SEMIMADURO CHEDDAR KIOSKO BLOQUE"/>
    <x v="0"/>
    <n v="7711"/>
    <n v="1001"/>
    <x v="52"/>
    <x v="52"/>
    <n v="36"/>
    <n v="1"/>
    <n v="0.4"/>
    <n v="60"/>
    <d v="2024-11-15T00:00:00"/>
    <s v="viernes"/>
    <d v="2024-12-08T00:00:00"/>
    <x v="17"/>
    <n v="70"/>
    <n v="1.1666666666666667"/>
    <n v="34"/>
    <n v="13.600000000000001"/>
    <n v="-23"/>
    <n v="1.3833333333333333"/>
    <n v="3.5996300000000003"/>
    <n v="3.5996300000000003"/>
    <n v="48.954968000000008"/>
    <n v="12"/>
    <x v="0"/>
    <n v="1.3600000000000001E-2"/>
  </r>
  <r>
    <s v="SAN GABRIEL"/>
    <x v="0"/>
    <x v="0"/>
    <x v="5"/>
    <s v="QUESO SEMIMADURO CHEDDAR KIOSKO BLOQUE"/>
    <x v="0"/>
    <n v="7711"/>
    <n v="1001"/>
    <x v="52"/>
    <x v="52"/>
    <n v="20"/>
    <n v="1"/>
    <n v="0.4"/>
    <n v="60"/>
    <d v="2024-11-21T00:00:00"/>
    <s v="jueves"/>
    <d v="2024-12-14T00:00:00"/>
    <x v="23"/>
    <n v="76"/>
    <n v="1.2666666666666666"/>
    <n v="20"/>
    <n v="8"/>
    <n v="-23"/>
    <n v="1.3833333333333333"/>
    <n v="3.5996300000000003"/>
    <n v="3.5996300000000003"/>
    <n v="28.797040000000003"/>
    <n v="6"/>
    <x v="0"/>
    <n v="8.0000000000000002E-3"/>
  </r>
  <r>
    <s v="SAN GABRIEL"/>
    <x v="0"/>
    <x v="0"/>
    <x v="5"/>
    <s v="QUESO PARMESANO KIOSKO BLOQUE"/>
    <x v="0"/>
    <n v="7711"/>
    <n v="1001"/>
    <x v="53"/>
    <x v="53"/>
    <n v="30"/>
    <n v="1"/>
    <n v="0.3"/>
    <n v="90"/>
    <d v="2024-10-26T00:00:00"/>
    <s v="sábado"/>
    <d v="2024-09-21T00:00:00"/>
    <x v="19"/>
    <n v="22"/>
    <n v="0.24444444444444444"/>
    <n v="5"/>
    <n v="1.5"/>
    <n v="35"/>
    <n v="0.61111111111111116"/>
    <n v="2.93831"/>
    <n v="2.93831"/>
    <n v="4.4074650000000002"/>
    <n v="32"/>
    <x v="1"/>
    <n v="1.5E-3"/>
  </r>
  <r>
    <s v="SAN GABRIEL"/>
    <x v="0"/>
    <x v="0"/>
    <x v="5"/>
    <s v="QUESO PARMESANO KIOSKO BLOQUE"/>
    <x v="0"/>
    <n v="7711"/>
    <n v="1001"/>
    <x v="53"/>
    <x v="53"/>
    <n v="10"/>
    <n v="1"/>
    <n v="0.3"/>
    <n v="90"/>
    <d v="2024-11-07T00:00:00"/>
    <s v="jueves"/>
    <d v="2024-10-25T00:00:00"/>
    <x v="57"/>
    <n v="56"/>
    <n v="0.62222222222222223"/>
    <n v="7"/>
    <n v="2.1"/>
    <n v="13"/>
    <n v="0.85555555555555562"/>
    <n v="2.93831"/>
    <n v="2.93831"/>
    <n v="6.1704509999999999"/>
    <n v="20"/>
    <x v="0"/>
    <n v="2.1000000000000003E-3"/>
  </r>
  <r>
    <s v="SAN GABRIEL"/>
    <x v="0"/>
    <x v="0"/>
    <x v="5"/>
    <s v="QUESO PARMESANO KIOSKO BLOQUE"/>
    <x v="0"/>
    <n v="7711"/>
    <n v="1001"/>
    <x v="53"/>
    <x v="53"/>
    <n v="10"/>
    <n v="1"/>
    <n v="0.3"/>
    <n v="90"/>
    <d v="2024-11-08T00:00:00"/>
    <s v="viernes"/>
    <d v="2024-10-25T00:00:00"/>
    <x v="57"/>
    <n v="56"/>
    <n v="0.62222222222222223"/>
    <n v="10"/>
    <n v="3"/>
    <n v="14"/>
    <n v="0.84444444444444444"/>
    <n v="2.93831"/>
    <n v="2.93831"/>
    <n v="8.8149300000000004"/>
    <n v="19"/>
    <x v="0"/>
    <n v="3.0000000000000001E-3"/>
  </r>
  <r>
    <s v="SAN GABRIEL"/>
    <x v="0"/>
    <x v="0"/>
    <x v="5"/>
    <s v="QUESO PARMESANO KIOSKO BLOQUE"/>
    <x v="0"/>
    <n v="7711"/>
    <n v="1001"/>
    <x v="53"/>
    <x v="53"/>
    <n v="20"/>
    <n v="1"/>
    <n v="0.3"/>
    <n v="90"/>
    <d v="2024-11-14T00:00:00"/>
    <s v="jueves"/>
    <d v="2024-10-25T00:00:00"/>
    <x v="57"/>
    <n v="56"/>
    <n v="0.62222222222222223"/>
    <n v="20"/>
    <n v="6"/>
    <n v="20"/>
    <n v="0.77777777777777779"/>
    <n v="2.93831"/>
    <n v="2.93831"/>
    <n v="17.629860000000001"/>
    <n v="13"/>
    <x v="0"/>
    <n v="6.0000000000000001E-3"/>
  </r>
  <r>
    <s v="MACHACHI"/>
    <x v="1"/>
    <x v="1"/>
    <x v="3"/>
    <s v="BEBIDA DE YOGURT KIOSKO BOTELLA FAMILIAR"/>
    <x v="0"/>
    <n v="7711"/>
    <n v="1001"/>
    <x v="54"/>
    <x v="54"/>
    <n v="36"/>
    <n v="1"/>
    <n v="0.95"/>
    <n v="45"/>
    <d v="2024-11-16T00:00:00"/>
    <s v="sábado"/>
    <d v="2024-11-08T00:00:00"/>
    <x v="9"/>
    <n v="25"/>
    <n v="0.55555555555555558"/>
    <n v="36"/>
    <n v="34.199999999999996"/>
    <n v="8"/>
    <n v="0.82222222222222219"/>
    <n v="1.0303550000000001"/>
    <n v="1.0303550000000001"/>
    <n v="35.238140999999999"/>
    <n v="11"/>
    <x v="1"/>
    <n v="3.4199999999999994E-2"/>
  </r>
  <r>
    <s v="MACHACHI"/>
    <x v="1"/>
    <x v="1"/>
    <x v="3"/>
    <s v="BEBIDA DE YOGURT KIOSKO BOTELLA FAMILIAR"/>
    <x v="0"/>
    <n v="7711"/>
    <n v="1001"/>
    <x v="54"/>
    <x v="54"/>
    <n v="18"/>
    <n v="1"/>
    <n v="0.95"/>
    <n v="45"/>
    <d v="2024-11-15T00:00:00"/>
    <s v="viernes"/>
    <d v="2024-11-08T00:00:00"/>
    <x v="9"/>
    <n v="25"/>
    <n v="0.55555555555555558"/>
    <n v="8"/>
    <n v="7.6"/>
    <n v="7"/>
    <n v="0.84444444444444444"/>
    <n v="1.0303550000000001"/>
    <n v="1.0303550000000001"/>
    <n v="7.8306980000000008"/>
    <n v="12"/>
    <x v="1"/>
    <n v="7.6E-3"/>
  </r>
  <r>
    <s v="MACHACHI"/>
    <x v="1"/>
    <x v="1"/>
    <x v="3"/>
    <s v="BEBIDA DE YOGURT KIOSKO BOTELLA FAMILIAR"/>
    <x v="0"/>
    <n v="7711"/>
    <n v="1001"/>
    <x v="54"/>
    <x v="54"/>
    <n v="36"/>
    <n v="1"/>
    <n v="0.95"/>
    <n v="45"/>
    <d v="2024-11-19T00:00:00"/>
    <s v="martes"/>
    <d v="2024-11-15T00:00:00"/>
    <x v="0"/>
    <n v="32"/>
    <n v="0.71111111111111114"/>
    <n v="18"/>
    <n v="17.099999999999998"/>
    <n v="4"/>
    <n v="0.91111111111111109"/>
    <n v="1.0303550000000001"/>
    <n v="1.0303550000000001"/>
    <n v="17.619070499999999"/>
    <n v="8"/>
    <x v="0"/>
    <n v="1.7099999999999997E-2"/>
  </r>
  <r>
    <s v="MACHACHI"/>
    <x v="1"/>
    <x v="1"/>
    <x v="3"/>
    <s v="BEBIDA DE YOGURT KIOSKO BOTELLA FAMILIAR"/>
    <x v="0"/>
    <n v="7711"/>
    <n v="1001"/>
    <x v="54"/>
    <x v="54"/>
    <n v="72"/>
    <n v="1"/>
    <n v="0.95"/>
    <n v="45"/>
    <d v="2024-11-20T00:00:00"/>
    <s v="miércoles"/>
    <d v="2024-11-15T00:00:00"/>
    <x v="0"/>
    <n v="32"/>
    <n v="0.71111111111111114"/>
    <n v="72"/>
    <n v="68.399999999999991"/>
    <n v="5"/>
    <n v="0.88888888888888884"/>
    <n v="1.0303550000000001"/>
    <n v="1.0303550000000001"/>
    <n v="70.476281999999998"/>
    <n v="7"/>
    <x v="0"/>
    <n v="6.8399999999999989E-2"/>
  </r>
  <r>
    <s v="MACHACHI"/>
    <x v="1"/>
    <x v="1"/>
    <x v="3"/>
    <s v="BEBIDA DE YOGURT KIOSKO BOTELLA FAMILIAR"/>
    <x v="0"/>
    <n v="7711"/>
    <n v="1001"/>
    <x v="54"/>
    <x v="54"/>
    <n v="18"/>
    <n v="1"/>
    <n v="0.95"/>
    <n v="45"/>
    <d v="2024-11-21T00:00:00"/>
    <s v="jueves"/>
    <d v="2024-11-15T00:00:00"/>
    <x v="0"/>
    <n v="32"/>
    <n v="0.71111111111111114"/>
    <n v="18"/>
    <n v="17.099999999999998"/>
    <n v="6"/>
    <n v="0.8666666666666667"/>
    <n v="1.0303550000000001"/>
    <n v="1.0303550000000001"/>
    <n v="17.619070499999999"/>
    <n v="6"/>
    <x v="0"/>
    <n v="1.7099999999999997E-2"/>
  </r>
  <r>
    <s v="MACHACHI"/>
    <x v="1"/>
    <x v="1"/>
    <x v="3"/>
    <s v="BEBIDA DE YOGURT KIOSKO BOTELLA PERSONAL"/>
    <x v="0"/>
    <n v="7711"/>
    <n v="1001"/>
    <x v="55"/>
    <x v="55"/>
    <n v="756"/>
    <n v="1"/>
    <n v="0.18"/>
    <n v="45"/>
    <d v="2024-11-12T00:00:00"/>
    <s v="martes"/>
    <d v="2024-11-06T00:00:00"/>
    <x v="11"/>
    <n v="23"/>
    <n v="0.51111111111111107"/>
    <n v="4"/>
    <n v="0.72"/>
    <n v="6"/>
    <n v="0.8666666666666667"/>
    <n v="0.32987"/>
    <n v="0.32987"/>
    <n v="0.23750639999999998"/>
    <n v="15"/>
    <x v="1"/>
    <n v="7.1999999999999994E-4"/>
  </r>
  <r>
    <s v="MACHACHI"/>
    <x v="1"/>
    <x v="1"/>
    <x v="3"/>
    <s v="BEBIDA DE YOGURT KIOSKO BOTELLA PERSONAL"/>
    <x v="0"/>
    <n v="7711"/>
    <n v="1001"/>
    <x v="55"/>
    <x v="55"/>
    <n v="216"/>
    <n v="1"/>
    <n v="0.18"/>
    <n v="45"/>
    <d v="2024-11-16T00:00:00"/>
    <s v="sábado"/>
    <d v="2024-11-13T00:00:00"/>
    <x v="2"/>
    <n v="30"/>
    <n v="0.66666666666666663"/>
    <n v="216"/>
    <n v="38.879999999999995"/>
    <n v="3"/>
    <n v="0.93333333333333335"/>
    <n v="0.32987"/>
    <n v="0.32987"/>
    <n v="12.825345599999999"/>
    <n v="11"/>
    <x v="0"/>
    <n v="3.8879999999999998E-2"/>
  </r>
  <r>
    <s v="MACHACHI"/>
    <x v="1"/>
    <x v="1"/>
    <x v="3"/>
    <s v="BEBIDA DE YOGURT KIOSKO BOTELLA PERSONAL"/>
    <x v="0"/>
    <n v="7711"/>
    <n v="1001"/>
    <x v="55"/>
    <x v="55"/>
    <n v="108"/>
    <n v="1"/>
    <n v="0.18"/>
    <n v="45"/>
    <d v="2024-11-15T00:00:00"/>
    <s v="viernes"/>
    <d v="2024-11-13T00:00:00"/>
    <x v="2"/>
    <n v="30"/>
    <n v="0.66666666666666663"/>
    <n v="107"/>
    <n v="19.259999999999998"/>
    <n v="2"/>
    <n v="0.9555555555555556"/>
    <n v="0.32987"/>
    <n v="0.32987"/>
    <n v="6.3532961999999991"/>
    <n v="12"/>
    <x v="0"/>
    <n v="1.9259999999999999E-2"/>
  </r>
  <r>
    <s v="MACHACHI"/>
    <x v="1"/>
    <x v="1"/>
    <x v="3"/>
    <s v="BEBIDA DE YOGURT KIOSKO BOTELLA PERSONAL"/>
    <x v="0"/>
    <n v="7711"/>
    <n v="1001"/>
    <x v="55"/>
    <x v="55"/>
    <n v="216"/>
    <n v="1"/>
    <n v="0.18"/>
    <n v="45"/>
    <d v="2024-11-19T00:00:00"/>
    <s v="martes"/>
    <d v="2024-11-13T00:00:00"/>
    <x v="2"/>
    <n v="30"/>
    <n v="0.66666666666666663"/>
    <n v="216"/>
    <n v="38.879999999999995"/>
    <n v="6"/>
    <n v="0.8666666666666667"/>
    <n v="0.32987"/>
    <n v="0.32987"/>
    <n v="12.825345599999999"/>
    <n v="8"/>
    <x v="0"/>
    <n v="3.8879999999999998E-2"/>
  </r>
  <r>
    <s v="MACHACHI"/>
    <x v="1"/>
    <x v="1"/>
    <x v="3"/>
    <s v="BEBIDA DE YOGURT KIOSKO BOTELLA PERSONAL"/>
    <x v="0"/>
    <n v="7711"/>
    <n v="1001"/>
    <x v="55"/>
    <x v="55"/>
    <n v="108"/>
    <n v="1"/>
    <n v="0.18"/>
    <n v="45"/>
    <d v="2024-11-20T00:00:00"/>
    <s v="miércoles"/>
    <d v="2024-11-13T00:00:00"/>
    <x v="2"/>
    <n v="30"/>
    <n v="0.66666666666666663"/>
    <n v="108"/>
    <n v="19.439999999999998"/>
    <n v="7"/>
    <n v="0.84444444444444444"/>
    <n v="0.32987"/>
    <n v="0.32987"/>
    <n v="6.4126727999999993"/>
    <n v="7"/>
    <x v="0"/>
    <n v="1.9439999999999999E-2"/>
  </r>
  <r>
    <s v="SAN GABRIEL"/>
    <x v="2"/>
    <x v="1"/>
    <x v="10"/>
    <s v="AREQUIPE ALPINA"/>
    <x v="0"/>
    <n v="7711"/>
    <n v="1001"/>
    <x v="56"/>
    <x v="56"/>
    <n v="300"/>
    <n v="1"/>
    <n v="0.05"/>
    <n v="180"/>
    <d v="2024-11-01T00:00:00"/>
    <s v="viernes"/>
    <d v="2024-10-30T00:00:00"/>
    <x v="30"/>
    <n v="151"/>
    <n v="0.83888888888888891"/>
    <n v="92"/>
    <n v="4.6000000000000005"/>
    <n v="2"/>
    <n v="0.98888888888888893"/>
    <n v="0.18558999999999998"/>
    <n v="0.18558999999999998"/>
    <n v="0.85371399999999997"/>
    <n v="26"/>
    <x v="0"/>
    <n v="4.6000000000000008E-3"/>
  </r>
  <r>
    <s v="MACHACHI"/>
    <x v="1"/>
    <x v="1"/>
    <x v="3"/>
    <s v="BEBIDA DE YOGURT KIOSKO BOTELLA PERSONAL"/>
    <x v="0"/>
    <n v="7711"/>
    <n v="1001"/>
    <x v="57"/>
    <x v="57"/>
    <n v="432"/>
    <n v="1"/>
    <n v="0.18"/>
    <n v="45"/>
    <d v="2024-11-05T00:00:00"/>
    <s v="martes"/>
    <d v="2024-10-25T00:00:00"/>
    <x v="53"/>
    <n v="11"/>
    <n v="0.24444444444444444"/>
    <n v="153"/>
    <n v="27.54"/>
    <n v="11"/>
    <n v="0.75555555555555554"/>
    <n v="0.32335000000000003"/>
    <n v="0.32335000000000003"/>
    <n v="8.9050589999999996"/>
    <n v="22"/>
    <x v="2"/>
    <n v="2.7539999999999999E-2"/>
  </r>
  <r>
    <s v="MACHACHI"/>
    <x v="1"/>
    <x v="1"/>
    <x v="3"/>
    <s v="BEBIDA DE YOGURT KIOSKO BOTELLA PERSONAL"/>
    <x v="0"/>
    <n v="7711"/>
    <n v="1001"/>
    <x v="57"/>
    <x v="57"/>
    <n v="432"/>
    <n v="1"/>
    <n v="0.18"/>
    <n v="45"/>
    <d v="2024-11-15T00:00:00"/>
    <s v="viernes"/>
    <d v="2024-11-08T00:00:00"/>
    <x v="9"/>
    <n v="25"/>
    <n v="0.55555555555555558"/>
    <n v="1"/>
    <n v="0.18"/>
    <n v="7"/>
    <n v="0.84444444444444444"/>
    <n v="0.32335000000000003"/>
    <n v="0.32335000000000003"/>
    <n v="5.8203000000000005E-2"/>
    <n v="12"/>
    <x v="1"/>
    <n v="1.7999999999999998E-4"/>
  </r>
  <r>
    <s v="MACHACHI"/>
    <x v="1"/>
    <x v="1"/>
    <x v="3"/>
    <s v="BEBIDA DE YOGURT KIOSKO BOTELLA PERSONAL"/>
    <x v="0"/>
    <n v="7711"/>
    <n v="1001"/>
    <x v="57"/>
    <x v="57"/>
    <n v="648"/>
    <n v="1"/>
    <n v="0.18"/>
    <n v="45"/>
    <d v="2024-11-21T00:00:00"/>
    <s v="jueves"/>
    <d v="2024-11-13T00:00:00"/>
    <x v="2"/>
    <n v="30"/>
    <n v="0.66666666666666663"/>
    <n v="542"/>
    <n v="97.56"/>
    <n v="8"/>
    <n v="0.82222222222222219"/>
    <n v="0.32335000000000003"/>
    <n v="0.32335000000000003"/>
    <n v="31.546026000000005"/>
    <n v="6"/>
    <x v="0"/>
    <n v="9.7560000000000008E-2"/>
  </r>
  <r>
    <s v="SAN GABRIEL"/>
    <x v="0"/>
    <x v="0"/>
    <x v="11"/>
    <s v="QUESO FUNDIDO"/>
    <x v="0"/>
    <n v="7711"/>
    <n v="1001"/>
    <x v="58"/>
    <x v="58"/>
    <n v="210"/>
    <n v="1"/>
    <n v="0.2"/>
    <n v="90"/>
    <d v="2024-11-15T00:00:00"/>
    <s v="viernes"/>
    <d v="2024-11-07T00:00:00"/>
    <x v="58"/>
    <n v="69"/>
    <n v="0.76666666666666672"/>
    <n v="198"/>
    <n v="39.6"/>
    <n v="8"/>
    <n v="0.91111111111111109"/>
    <n v="0.37625999999999998"/>
    <n v="0.37625999999999998"/>
    <n v="14.899896"/>
    <n v="12"/>
    <x v="0"/>
    <n v="3.9600000000000003E-2"/>
  </r>
  <r>
    <s v="SAN GABRIEL"/>
    <x v="0"/>
    <x v="0"/>
    <x v="11"/>
    <s v="QUESO FUNDIDO"/>
    <x v="0"/>
    <n v="7711"/>
    <n v="1001"/>
    <x v="58"/>
    <x v="58"/>
    <n v="70"/>
    <n v="1"/>
    <n v="0.2"/>
    <n v="90"/>
    <d v="2024-11-14T00:00:00"/>
    <s v="jueves"/>
    <d v="2024-10-24T00:00:00"/>
    <x v="59"/>
    <n v="55"/>
    <n v="0.61111111111111116"/>
    <n v="58"/>
    <n v="11.600000000000001"/>
    <n v="21"/>
    <n v="0.76666666666666661"/>
    <n v="0.37625999999999998"/>
    <n v="0.37625999999999998"/>
    <n v="4.3646160000000007"/>
    <n v="13"/>
    <x v="0"/>
    <n v="1.1600000000000001E-2"/>
  </r>
  <r>
    <s v="SAN GABRIEL"/>
    <x v="0"/>
    <x v="0"/>
    <x v="11"/>
    <s v="QUESO FUNDIDO"/>
    <x v="0"/>
    <n v="7711"/>
    <n v="1001"/>
    <x v="58"/>
    <x v="58"/>
    <n v="70"/>
    <n v="1"/>
    <n v="0.2"/>
    <n v="90"/>
    <d v="2024-11-19T00:00:00"/>
    <s v="martes"/>
    <d v="2024-11-07T00:00:00"/>
    <x v="58"/>
    <n v="69"/>
    <n v="0.76666666666666672"/>
    <n v="70"/>
    <n v="14"/>
    <n v="12"/>
    <n v="0.8666666666666667"/>
    <n v="0.37625999999999998"/>
    <n v="0.37625999999999998"/>
    <n v="5.2676400000000001"/>
    <n v="8"/>
    <x v="0"/>
    <n v="1.4E-2"/>
  </r>
  <r>
    <s v="SAN GABRIEL"/>
    <x v="0"/>
    <x v="0"/>
    <x v="11"/>
    <s v="QUESO FUNDIDO"/>
    <x v="0"/>
    <n v="7711"/>
    <n v="1001"/>
    <x v="58"/>
    <x v="58"/>
    <n v="70"/>
    <n v="1"/>
    <n v="0.2"/>
    <n v="90"/>
    <d v="2024-11-20T00:00:00"/>
    <s v="miércoles"/>
    <d v="2024-11-07T00:00:00"/>
    <x v="58"/>
    <n v="69"/>
    <n v="0.76666666666666672"/>
    <n v="70"/>
    <n v="14"/>
    <n v="13"/>
    <n v="0.85555555555555562"/>
    <n v="0.37625999999999998"/>
    <n v="0.37625999999999998"/>
    <n v="5.2676400000000001"/>
    <n v="7"/>
    <x v="0"/>
    <n v="1.4E-2"/>
  </r>
  <r>
    <s v="SAN GABRIEL"/>
    <x v="0"/>
    <x v="0"/>
    <x v="5"/>
    <s v="QUESO JAVIERINO KIOSKO TAJADO"/>
    <x v="0"/>
    <n v="7711"/>
    <n v="1001"/>
    <x v="59"/>
    <x v="59"/>
    <n v="2080"/>
    <n v="1"/>
    <n v="0.3"/>
    <n v="90"/>
    <d v="2024-11-20T00:00:00"/>
    <s v="miércoles"/>
    <d v="2024-11-19T00:00:00"/>
    <x v="40"/>
    <n v="81"/>
    <n v="0.9"/>
    <n v="1122"/>
    <n v="336.59999999999997"/>
    <n v="1"/>
    <n v="0.98888888888888893"/>
    <n v="2.4084500000000002"/>
    <n v="2.4084500000000002"/>
    <n v="810.68426999999997"/>
    <n v="7"/>
    <x v="0"/>
    <n v="0.33659999999999995"/>
  </r>
  <r>
    <s v="SAN GABRIEL"/>
    <x v="0"/>
    <x v="0"/>
    <x v="5"/>
    <s v="QUESO JAVIERINO KIOSKO TAJADO"/>
    <x v="0"/>
    <n v="7711"/>
    <n v="1001"/>
    <x v="59"/>
    <x v="59"/>
    <n v="75"/>
    <n v="1"/>
    <n v="0.3"/>
    <n v="90"/>
    <d v="2024-11-21T00:00:00"/>
    <s v="jueves"/>
    <d v="2024-11-19T00:00:00"/>
    <x v="40"/>
    <n v="81"/>
    <n v="0.9"/>
    <n v="75"/>
    <n v="22.5"/>
    <n v="2"/>
    <n v="0.97777777777777775"/>
    <n v="2.4084500000000002"/>
    <n v="2.4084500000000002"/>
    <n v="54.190125000000002"/>
    <n v="6"/>
    <x v="0"/>
    <n v="2.2499999999999999E-2"/>
  </r>
  <r>
    <s v="SAN GABRIEL"/>
    <x v="0"/>
    <x v="0"/>
    <x v="5"/>
    <s v="QUESO SEMIMADURO HIERBAS KIOSKO BLOQUE"/>
    <x v="0"/>
    <n v="7711"/>
    <n v="1001"/>
    <x v="60"/>
    <x v="60"/>
    <n v="10"/>
    <n v="2.7"/>
    <n v="1"/>
    <n v="90"/>
    <d v="2024-11-14T00:00:00"/>
    <s v="jueves"/>
    <d v="2024-11-13T00:00:00"/>
    <x v="39"/>
    <n v="75"/>
    <n v="0.83333333333333337"/>
    <n v="8"/>
    <n v="21.6"/>
    <n v="1"/>
    <n v="0.98888888888888893"/>
    <n v="7.1118300000000003"/>
    <n v="19.201941000000001"/>
    <n v="414.76192560000004"/>
    <n v="13"/>
    <x v="0"/>
    <n v="2.1600000000000001E-2"/>
  </r>
  <r>
    <s v="SAN GABRIEL"/>
    <x v="0"/>
    <x v="0"/>
    <x v="5"/>
    <s v="QUESO SEMIMADURO HIERBAS KIOSKO BLOQUE"/>
    <x v="0"/>
    <n v="7711"/>
    <n v="1001"/>
    <x v="60"/>
    <x v="60"/>
    <n v="10"/>
    <n v="2.7"/>
    <n v="1"/>
    <n v="90"/>
    <d v="2024-11-20T00:00:00"/>
    <s v="miércoles"/>
    <d v="2024-11-13T00:00:00"/>
    <x v="39"/>
    <n v="75"/>
    <n v="0.83333333333333337"/>
    <n v="10"/>
    <n v="27"/>
    <n v="7"/>
    <n v="0.92222222222222228"/>
    <n v="7.1118300000000003"/>
    <n v="19.201941000000001"/>
    <n v="518.45240699999999"/>
    <n v="7"/>
    <x v="0"/>
    <n v="2.7E-2"/>
  </r>
  <r>
    <s v="SAN GABRIEL"/>
    <x v="0"/>
    <x v="0"/>
    <x v="5"/>
    <s v="QUESO SEMIMADURO HIERBAS KIOSKO BLOQUE"/>
    <x v="0"/>
    <n v="7711"/>
    <n v="1001"/>
    <x v="60"/>
    <x v="60"/>
    <n v="10"/>
    <n v="2.7"/>
    <n v="1"/>
    <n v="90"/>
    <d v="2024-11-21T00:00:00"/>
    <s v="jueves"/>
    <d v="2024-11-13T00:00:00"/>
    <x v="39"/>
    <n v="75"/>
    <n v="0.83333333333333337"/>
    <n v="10"/>
    <n v="27"/>
    <n v="8"/>
    <n v="0.91111111111111109"/>
    <n v="7.1118300000000003"/>
    <n v="19.201941000000001"/>
    <n v="518.45240699999999"/>
    <n v="6"/>
    <x v="0"/>
    <n v="2.7E-2"/>
  </r>
  <r>
    <s v="SAN GABRIEL"/>
    <x v="2"/>
    <x v="1"/>
    <x v="9"/>
    <s v="DULCE DE LECHE KIOSCO FAMILIAR"/>
    <x v="0"/>
    <n v="7711"/>
    <n v="1001"/>
    <x v="61"/>
    <x v="61"/>
    <n v="324"/>
    <n v="1"/>
    <n v="0.25"/>
    <n v="180"/>
    <d v="2024-11-13T00:00:00"/>
    <s v="miércoles"/>
    <d v="2024-11-08T00:00:00"/>
    <x v="60"/>
    <n v="160"/>
    <n v="0.88888888888888884"/>
    <n v="1"/>
    <n v="0.25"/>
    <n v="5"/>
    <n v="0.97222222222222221"/>
    <n v="0.69541500000000001"/>
    <n v="0.69541500000000001"/>
    <n v="0.17385375"/>
    <n v="14"/>
    <x v="0"/>
    <n v="2.5000000000000001E-4"/>
  </r>
  <r>
    <s v="SAN GABRIEL"/>
    <x v="2"/>
    <x v="1"/>
    <x v="9"/>
    <s v="DULCE DE LECHE KIOSCO FAMILIAR"/>
    <x v="0"/>
    <n v="7711"/>
    <n v="1001"/>
    <x v="61"/>
    <x v="61"/>
    <n v="324"/>
    <n v="1"/>
    <n v="0.25"/>
    <n v="180"/>
    <d v="2024-11-19T00:00:00"/>
    <s v="martes"/>
    <d v="2024-11-08T00:00:00"/>
    <x v="60"/>
    <n v="160"/>
    <n v="0.88888888888888884"/>
    <n v="324"/>
    <n v="81"/>
    <n v="11"/>
    <n v="0.93888888888888888"/>
    <n v="0.69541500000000001"/>
    <n v="0.69541500000000001"/>
    <n v="56.328614999999999"/>
    <n v="8"/>
    <x v="0"/>
    <n v="8.1000000000000003E-2"/>
  </r>
  <r>
    <s v="SAN GABRIEL"/>
    <x v="2"/>
    <x v="1"/>
    <x v="9"/>
    <s v="DULCE DE LECHE KIOSCO FAMILIAR"/>
    <x v="0"/>
    <n v="7711"/>
    <n v="1001"/>
    <x v="61"/>
    <x v="61"/>
    <n v="2052"/>
    <n v="1"/>
    <n v="0.25"/>
    <n v="180"/>
    <d v="2024-11-19T00:00:00"/>
    <s v="martes"/>
    <d v="2024-10-24T00:00:00"/>
    <x v="61"/>
    <n v="145"/>
    <n v="0.80555555555555558"/>
    <n v="1369"/>
    <n v="342.25"/>
    <n v="26"/>
    <n v="0.85555555555555562"/>
    <n v="0.69541500000000001"/>
    <n v="0.69541500000000001"/>
    <n v="238.00578375000001"/>
    <n v="8"/>
    <x v="0"/>
    <n v="0.34225"/>
  </r>
  <r>
    <s v="SAN GABRIEL"/>
    <x v="2"/>
    <x v="1"/>
    <x v="9"/>
    <s v="DULCE DE LECHE KIOSCO FAMILIAR"/>
    <x v="0"/>
    <n v="7711"/>
    <n v="1001"/>
    <x v="61"/>
    <x v="61"/>
    <n v="4212"/>
    <n v="1"/>
    <n v="0.25"/>
    <n v="180"/>
    <d v="2024-11-21T00:00:00"/>
    <s v="jueves"/>
    <d v="2024-11-20T00:00:00"/>
    <x v="62"/>
    <n v="172"/>
    <n v="0.9555555555555556"/>
    <n v="4212"/>
    <n v="1053"/>
    <n v="1"/>
    <n v="0.99444444444444446"/>
    <n v="0.69541500000000001"/>
    <n v="0.69541500000000001"/>
    <n v="732.27199500000006"/>
    <n v="6"/>
    <x v="0"/>
    <n v="1.0529999999999999"/>
  </r>
  <r>
    <s v="SAN GABRIEL"/>
    <x v="2"/>
    <x v="1"/>
    <x v="10"/>
    <s v="AREQUIPE ALPINA"/>
    <x v="0"/>
    <n v="7711"/>
    <n v="1001"/>
    <x v="62"/>
    <x v="62"/>
    <n v="0"/>
    <n v="1"/>
    <n v="0.25"/>
    <n v="180"/>
    <d v="2024-10-15T00:00:00"/>
    <s v="martes"/>
    <d v="2024-10-15T00:00:00"/>
    <x v="63"/>
    <n v="136"/>
    <n v="0.75555555555555554"/>
    <n v="7"/>
    <n v="1.75"/>
    <n v="0"/>
    <n v="1"/>
    <n v="0.78529499999999997"/>
    <n v="0.78529499999999997"/>
    <n v="1.37426625"/>
    <n v="43"/>
    <x v="0"/>
    <n v="1.75E-3"/>
  </r>
  <r>
    <s v="SAN GABRIEL"/>
    <x v="2"/>
    <x v="1"/>
    <x v="10"/>
    <s v="AREQUIPE ALPINA"/>
    <x v="0"/>
    <n v="7711"/>
    <n v="1001"/>
    <x v="62"/>
    <x v="62"/>
    <n v="324"/>
    <n v="1"/>
    <n v="0.25"/>
    <n v="180"/>
    <d v="2024-10-24T00:00:00"/>
    <s v="jueves"/>
    <d v="2024-10-18T00:00:00"/>
    <x v="27"/>
    <n v="139"/>
    <n v="0.77222222222222225"/>
    <n v="146"/>
    <n v="36.5"/>
    <n v="6"/>
    <n v="0.96666666666666667"/>
    <n v="0.78529499999999997"/>
    <n v="0.78529499999999997"/>
    <n v="28.6632675"/>
    <n v="34"/>
    <x v="0"/>
    <n v="3.6499999999999998E-2"/>
  </r>
  <r>
    <s v="SAN GABRIEL"/>
    <x v="2"/>
    <x v="1"/>
    <x v="10"/>
    <s v="AREQUIPE ALPINA"/>
    <x v="0"/>
    <n v="7711"/>
    <n v="1001"/>
    <x v="62"/>
    <x v="62"/>
    <n v="972"/>
    <n v="1"/>
    <n v="0.25"/>
    <n v="180"/>
    <d v="2024-10-26T00:00:00"/>
    <s v="sábado"/>
    <d v="2024-10-23T00:00:00"/>
    <x v="64"/>
    <n v="144"/>
    <n v="0.8"/>
    <n v="3"/>
    <n v="0.75"/>
    <n v="3"/>
    <n v="0.98333333333333328"/>
    <n v="0.78529499999999997"/>
    <n v="0.78529499999999997"/>
    <n v="0.58897124999999995"/>
    <n v="32"/>
    <x v="0"/>
    <n v="7.5000000000000002E-4"/>
  </r>
  <r>
    <s v="SAN GABRIEL"/>
    <x v="2"/>
    <x v="1"/>
    <x v="10"/>
    <s v="AREQUIPE ALPINA"/>
    <x v="0"/>
    <n v="7711"/>
    <n v="1001"/>
    <x v="62"/>
    <x v="62"/>
    <n v="1512"/>
    <n v="1"/>
    <n v="0.25"/>
    <n v="180"/>
    <d v="2024-11-06T00:00:00"/>
    <s v="miércoles"/>
    <d v="2024-10-12T00:00:00"/>
    <x v="65"/>
    <n v="133"/>
    <n v="0.73888888888888893"/>
    <n v="4"/>
    <n v="1"/>
    <n v="25"/>
    <n v="0.86111111111111116"/>
    <n v="0.78529499999999997"/>
    <n v="0.78529499999999997"/>
    <n v="0.78529499999999997"/>
    <n v="21"/>
    <x v="0"/>
    <n v="1E-3"/>
  </r>
  <r>
    <s v="SAN GABRIEL"/>
    <x v="2"/>
    <x v="1"/>
    <x v="10"/>
    <s v="AREQUIPE ALPINA"/>
    <x v="0"/>
    <n v="7711"/>
    <n v="1001"/>
    <x v="62"/>
    <x v="62"/>
    <n v="1026"/>
    <n v="1"/>
    <n v="0.25"/>
    <n v="180"/>
    <d v="2024-11-15T00:00:00"/>
    <s v="viernes"/>
    <d v="2024-11-13T00:00:00"/>
    <x v="38"/>
    <n v="165"/>
    <n v="0.91666666666666663"/>
    <n v="1026"/>
    <n v="256.5"/>
    <n v="2"/>
    <n v="0.98888888888888893"/>
    <n v="0.78529499999999997"/>
    <n v="0.78529499999999997"/>
    <n v="201.4281675"/>
    <n v="12"/>
    <x v="0"/>
    <n v="0.25650000000000001"/>
  </r>
  <r>
    <s v="SAN GABRIEL"/>
    <x v="2"/>
    <x v="1"/>
    <x v="10"/>
    <s v="AREQUIPE ALPINA"/>
    <x v="0"/>
    <n v="7711"/>
    <n v="1001"/>
    <x v="62"/>
    <x v="62"/>
    <n v="702"/>
    <n v="1"/>
    <n v="0.25"/>
    <n v="180"/>
    <d v="2024-11-14T00:00:00"/>
    <s v="jueves"/>
    <d v="2024-11-13T00:00:00"/>
    <x v="38"/>
    <n v="165"/>
    <n v="0.91666666666666663"/>
    <n v="702"/>
    <n v="175.5"/>
    <n v="1"/>
    <n v="0.99444444444444446"/>
    <n v="0.78529499999999997"/>
    <n v="0.78529499999999997"/>
    <n v="137.81927249999998"/>
    <n v="13"/>
    <x v="0"/>
    <n v="0.17549999999999999"/>
  </r>
  <r>
    <s v="SAN GABRIEL"/>
    <x v="2"/>
    <x v="1"/>
    <x v="10"/>
    <s v="AREQUIPE ALPINA"/>
    <x v="0"/>
    <n v="7711"/>
    <n v="1001"/>
    <x v="62"/>
    <x v="62"/>
    <n v="324"/>
    <n v="1"/>
    <n v="0.25"/>
    <n v="180"/>
    <d v="2024-11-20T00:00:00"/>
    <s v="miércoles"/>
    <d v="2024-11-13T00:00:00"/>
    <x v="38"/>
    <n v="165"/>
    <n v="0.91666666666666663"/>
    <n v="324"/>
    <n v="81"/>
    <n v="7"/>
    <n v="0.96111111111111114"/>
    <n v="0.78529499999999997"/>
    <n v="0.78529499999999997"/>
    <n v="63.608894999999997"/>
    <n v="7"/>
    <x v="0"/>
    <n v="8.1000000000000003E-2"/>
  </r>
  <r>
    <s v="SAN GABRIEL"/>
    <x v="2"/>
    <x v="1"/>
    <x v="10"/>
    <s v="AREQUIPE ALPINA"/>
    <x v="0"/>
    <n v="7711"/>
    <n v="1001"/>
    <x v="62"/>
    <x v="62"/>
    <n v="1350"/>
    <n v="1"/>
    <n v="0.25"/>
    <n v="180"/>
    <d v="2024-11-21T00:00:00"/>
    <s v="jueves"/>
    <d v="2024-11-19T00:00:00"/>
    <x v="56"/>
    <n v="171"/>
    <n v="0.95"/>
    <n v="1350"/>
    <n v="337.5"/>
    <n v="2"/>
    <n v="0.98888888888888893"/>
    <n v="0.78529499999999997"/>
    <n v="0.78529499999999997"/>
    <n v="265.03706249999999"/>
    <n v="6"/>
    <x v="0"/>
    <n v="0.33750000000000002"/>
  </r>
  <r>
    <s v="MULTIEMPAQUE"/>
    <x v="2"/>
    <x v="1"/>
    <x v="12"/>
    <s v="ALPINETTE"/>
    <x v="0"/>
    <n v="7711"/>
    <n v="1001"/>
    <x v="63"/>
    <x v="63"/>
    <n v="6"/>
    <n v="1"/>
    <n v="0.56000000000000005"/>
    <n v="60"/>
    <d v="2024-10-30T00:00:00"/>
    <s v="miércoles"/>
    <d v="2024-10-08T00:00:00"/>
    <x v="66"/>
    <n v="9"/>
    <n v="0.15"/>
    <n v="5"/>
    <n v="2.8000000000000003"/>
    <n v="22"/>
    <n v="0.6333333333333333"/>
    <n v="1.9986900000000001"/>
    <n v="1.9986900000000001"/>
    <n v="5.5963320000000003"/>
    <n v="28"/>
    <x v="2"/>
    <n v="2.8000000000000004E-3"/>
  </r>
  <r>
    <s v="MULTIEMPAQUE"/>
    <x v="2"/>
    <x v="1"/>
    <x v="12"/>
    <s v="ALPINETTE"/>
    <x v="0"/>
    <n v="7711"/>
    <n v="1001"/>
    <x v="63"/>
    <x v="63"/>
    <n v="36"/>
    <n v="1"/>
    <n v="0.56000000000000005"/>
    <n v="60"/>
    <d v="2024-11-01T00:00:00"/>
    <s v="viernes"/>
    <d v="2024-10-08T00:00:00"/>
    <x v="66"/>
    <n v="9"/>
    <n v="0.15"/>
    <n v="36"/>
    <n v="20.160000000000004"/>
    <n v="24"/>
    <n v="0.6"/>
    <n v="1.9986900000000001"/>
    <n v="1.9986900000000001"/>
    <n v="40.293590400000006"/>
    <n v="26"/>
    <x v="2"/>
    <n v="2.0160000000000004E-2"/>
  </r>
  <r>
    <s v="SAN GABRIEL"/>
    <x v="0"/>
    <x v="0"/>
    <x v="5"/>
    <s v="QUESO GOUDA KIOSKO TAJADO"/>
    <x v="0"/>
    <n v="7711"/>
    <n v="1001"/>
    <x v="64"/>
    <x v="64"/>
    <n v="120"/>
    <n v="1"/>
    <n v="0.2"/>
    <n v="60"/>
    <d v="2024-11-01T00:00:00"/>
    <s v="viernes"/>
    <d v="2024-10-24T00:00:00"/>
    <x v="9"/>
    <n v="25"/>
    <n v="0.41666666666666669"/>
    <n v="60"/>
    <n v="12"/>
    <n v="8"/>
    <n v="0.8666666666666667"/>
    <n v="1.5206200000000001"/>
    <n v="1.5206200000000001"/>
    <n v="18.247440000000001"/>
    <n v="26"/>
    <x v="1"/>
    <n v="1.2E-2"/>
  </r>
  <r>
    <s v="SAN GABRIEL"/>
    <x v="0"/>
    <x v="0"/>
    <x v="5"/>
    <s v="QUESO GOUDA KIOSKO TAJADO"/>
    <x v="0"/>
    <n v="7711"/>
    <n v="1001"/>
    <x v="64"/>
    <x v="64"/>
    <n v="104"/>
    <n v="1"/>
    <n v="0.2"/>
    <n v="60"/>
    <d v="2024-11-15T00:00:00"/>
    <s v="viernes"/>
    <d v="2024-11-08T00:00:00"/>
    <x v="67"/>
    <n v="40"/>
    <n v="0.66666666666666663"/>
    <n v="41"/>
    <n v="8.2000000000000011"/>
    <n v="7"/>
    <n v="0.8833333333333333"/>
    <n v="1.5206200000000001"/>
    <n v="1.5206200000000001"/>
    <n v="12.469084000000002"/>
    <n v="12"/>
    <x v="0"/>
    <n v="8.2000000000000007E-3"/>
  </r>
  <r>
    <s v="SAN GABRIEL"/>
    <x v="0"/>
    <x v="0"/>
    <x v="5"/>
    <s v="QUESO GOUDA KIOSKO TAJADO"/>
    <x v="0"/>
    <n v="7711"/>
    <n v="1001"/>
    <x v="64"/>
    <x v="64"/>
    <n v="16"/>
    <n v="1"/>
    <n v="0.2"/>
    <n v="60"/>
    <d v="2024-11-15T00:00:00"/>
    <s v="viernes"/>
    <d v="2024-11-12T00:00:00"/>
    <x v="51"/>
    <n v="44"/>
    <n v="0.73333333333333328"/>
    <n v="16"/>
    <n v="3.2"/>
    <n v="3"/>
    <n v="0.95"/>
    <n v="1.5206200000000001"/>
    <n v="1.5206200000000001"/>
    <n v="4.865984000000001"/>
    <n v="12"/>
    <x v="0"/>
    <n v="3.2000000000000002E-3"/>
  </r>
  <r>
    <s v="SAN GABRIEL"/>
    <x v="0"/>
    <x v="0"/>
    <x v="5"/>
    <s v="QUESO GOUDA KIOSKO TAJADO"/>
    <x v="0"/>
    <n v="7711"/>
    <n v="1001"/>
    <x v="64"/>
    <x v="64"/>
    <n v="120"/>
    <n v="1"/>
    <n v="0.2"/>
    <n v="60"/>
    <d v="2024-11-21T00:00:00"/>
    <s v="jueves"/>
    <d v="2024-11-12T00:00:00"/>
    <x v="51"/>
    <n v="44"/>
    <n v="0.73333333333333328"/>
    <n v="120"/>
    <n v="24"/>
    <n v="9"/>
    <n v="0.85"/>
    <n v="1.5206200000000001"/>
    <n v="1.5206200000000001"/>
    <n v="36.494880000000002"/>
    <n v="6"/>
    <x v="0"/>
    <n v="2.4E-2"/>
  </r>
  <r>
    <s v="MACHACHI"/>
    <x v="1"/>
    <x v="1"/>
    <x v="2"/>
    <s v="BON YURT REGULAR"/>
    <x v="0"/>
    <n v="7711"/>
    <n v="1001"/>
    <x v="65"/>
    <x v="65"/>
    <n v="780"/>
    <n v="1"/>
    <n v="0.16500000000000001"/>
    <n v="45"/>
    <d v="2024-11-05T00:00:00"/>
    <s v="martes"/>
    <d v="2024-10-26T00:00:00"/>
    <x v="20"/>
    <n v="12"/>
    <n v="0.26666666666666666"/>
    <n v="142"/>
    <n v="23.43"/>
    <n v="10"/>
    <n v="0.77777777777777779"/>
    <n v="0.35961500000000002"/>
    <n v="0.35961500000000002"/>
    <n v="8.4257794500000003"/>
    <n v="22"/>
    <x v="2"/>
    <n v="2.3429999999999999E-2"/>
  </r>
  <r>
    <s v="MACHACHI"/>
    <x v="1"/>
    <x v="1"/>
    <x v="2"/>
    <s v="BON YURT REGULAR"/>
    <x v="0"/>
    <n v="7711"/>
    <n v="1001"/>
    <x v="65"/>
    <x v="65"/>
    <n v="420"/>
    <n v="1"/>
    <n v="0.16500000000000001"/>
    <n v="45"/>
    <d v="2024-11-07T00:00:00"/>
    <s v="jueves"/>
    <d v="2024-10-29T00:00:00"/>
    <x v="25"/>
    <n v="15"/>
    <n v="0.33333333333333331"/>
    <n v="84"/>
    <n v="13.860000000000001"/>
    <n v="9"/>
    <n v="0.8"/>
    <n v="0.35961500000000002"/>
    <n v="0.35961500000000002"/>
    <n v="4.9842639000000011"/>
    <n v="20"/>
    <x v="2"/>
    <n v="1.3860000000000001E-2"/>
  </r>
  <r>
    <s v="MACHACHI"/>
    <x v="1"/>
    <x v="1"/>
    <x v="2"/>
    <s v="BON YURT REGULAR"/>
    <x v="0"/>
    <n v="7711"/>
    <n v="1001"/>
    <x v="65"/>
    <x v="65"/>
    <n v="120"/>
    <n v="1"/>
    <n v="0.16500000000000001"/>
    <n v="45"/>
    <d v="2024-11-08T00:00:00"/>
    <s v="viernes"/>
    <d v="2024-10-29T00:00:00"/>
    <x v="25"/>
    <n v="15"/>
    <n v="0.33333333333333331"/>
    <n v="120"/>
    <n v="19.8"/>
    <n v="10"/>
    <n v="0.77777777777777779"/>
    <n v="0.35961500000000002"/>
    <n v="0.35961500000000002"/>
    <n v="7.1203770000000004"/>
    <n v="19"/>
    <x v="2"/>
    <n v="1.9800000000000002E-2"/>
  </r>
  <r>
    <s v="MACHACHI"/>
    <x v="1"/>
    <x v="1"/>
    <x v="2"/>
    <s v="BON YURT REGULAR"/>
    <x v="0"/>
    <n v="7711"/>
    <n v="1001"/>
    <x v="65"/>
    <x v="65"/>
    <n v="600"/>
    <n v="1"/>
    <n v="0.16500000000000001"/>
    <n v="45"/>
    <d v="2024-11-09T00:00:00"/>
    <s v="sábado"/>
    <d v="2024-10-29T00:00:00"/>
    <x v="25"/>
    <n v="15"/>
    <n v="0.33333333333333331"/>
    <n v="600"/>
    <n v="99"/>
    <n v="11"/>
    <n v="0.75555555555555554"/>
    <n v="0.35961500000000002"/>
    <n v="0.35961500000000002"/>
    <n v="35.601885000000003"/>
    <n v="18"/>
    <x v="2"/>
    <n v="9.9000000000000005E-2"/>
  </r>
  <r>
    <s v="MACHACHI"/>
    <x v="1"/>
    <x v="1"/>
    <x v="2"/>
    <s v="BON YURT REGULAR"/>
    <x v="0"/>
    <n v="7711"/>
    <n v="1001"/>
    <x v="65"/>
    <x v="65"/>
    <n v="300"/>
    <n v="1"/>
    <n v="0.16500000000000001"/>
    <n v="45"/>
    <d v="2024-11-13T00:00:00"/>
    <s v="miércoles"/>
    <d v="2024-11-01T00:00:00"/>
    <x v="4"/>
    <n v="18"/>
    <n v="0.4"/>
    <n v="102"/>
    <n v="16.830000000000002"/>
    <n v="12"/>
    <n v="0.73333333333333339"/>
    <n v="0.35961500000000002"/>
    <n v="0.35961500000000002"/>
    <n v="6.0523204500000007"/>
    <n v="14"/>
    <x v="2"/>
    <n v="1.6830000000000001E-2"/>
  </r>
  <r>
    <s v="MACHACHI"/>
    <x v="1"/>
    <x v="1"/>
    <x v="2"/>
    <s v="BON YURT REGULAR"/>
    <x v="0"/>
    <n v="7711"/>
    <n v="1001"/>
    <x v="65"/>
    <x v="65"/>
    <n v="180"/>
    <n v="1"/>
    <n v="0.16500000000000001"/>
    <n v="45"/>
    <d v="2024-11-20T00:00:00"/>
    <s v="miércoles"/>
    <d v="2024-11-12T00:00:00"/>
    <x v="5"/>
    <n v="29"/>
    <n v="0.64444444444444449"/>
    <n v="168"/>
    <n v="27.720000000000002"/>
    <n v="8"/>
    <n v="0.82222222222222219"/>
    <n v="0.35961500000000002"/>
    <n v="0.35961500000000002"/>
    <n v="9.9685278000000022"/>
    <n v="7"/>
    <x v="0"/>
    <n v="2.7720000000000002E-2"/>
  </r>
  <r>
    <s v="SAN GABRIEL"/>
    <x v="0"/>
    <x v="0"/>
    <x v="5"/>
    <s v="QUESO SANDUCHE KIOSKO TAJADO"/>
    <x v="0"/>
    <n v="7711"/>
    <n v="1001"/>
    <x v="66"/>
    <x v="66"/>
    <n v="240"/>
    <n v="1"/>
    <n v="7.4999999999999997E-2"/>
    <n v="90"/>
    <d v="2024-11-12T00:00:00"/>
    <s v="martes"/>
    <d v="2024-11-06T00:00:00"/>
    <x v="22"/>
    <n v="68"/>
    <n v="0.75555555555555554"/>
    <n v="5"/>
    <n v="0.375"/>
    <n v="6"/>
    <n v="0.93333333333333335"/>
    <n v="0.62080000000000002"/>
    <n v="0.62080000000000002"/>
    <n v="0.23280000000000001"/>
    <n v="15"/>
    <x v="0"/>
    <n v="3.7500000000000001E-4"/>
  </r>
  <r>
    <s v="SAN GABRIEL"/>
    <x v="0"/>
    <x v="0"/>
    <x v="5"/>
    <s v="QUESO SANDUCHE KIOSKO TAJADO"/>
    <x v="0"/>
    <n v="7711"/>
    <n v="1001"/>
    <x v="66"/>
    <x v="66"/>
    <n v="240"/>
    <n v="1"/>
    <n v="7.4999999999999997E-2"/>
    <n v="90"/>
    <d v="2024-11-14T00:00:00"/>
    <s v="jueves"/>
    <d v="2024-11-08T00:00:00"/>
    <x v="17"/>
    <n v="70"/>
    <n v="0.77777777777777779"/>
    <n v="139"/>
    <n v="10.424999999999999"/>
    <n v="6"/>
    <n v="0.93333333333333335"/>
    <n v="0.62080000000000002"/>
    <n v="0.62080000000000002"/>
    <n v="6.4718399999999994"/>
    <n v="13"/>
    <x v="0"/>
    <n v="1.0424999999999999E-2"/>
  </r>
  <r>
    <s v="SAN GABRIEL"/>
    <x v="0"/>
    <x v="0"/>
    <x v="5"/>
    <s v="QUESO SANDUCHE KIOSKO TAJADO"/>
    <x v="0"/>
    <n v="7711"/>
    <n v="1001"/>
    <x v="66"/>
    <x v="66"/>
    <n v="240"/>
    <n v="1"/>
    <n v="7.4999999999999997E-2"/>
    <n v="90"/>
    <d v="2024-11-19T00:00:00"/>
    <s v="martes"/>
    <d v="2024-11-14T00:00:00"/>
    <x v="23"/>
    <n v="76"/>
    <n v="0.84444444444444444"/>
    <n v="240"/>
    <n v="18"/>
    <n v="5"/>
    <n v="0.94444444444444442"/>
    <n v="0.62080000000000002"/>
    <n v="0.62080000000000002"/>
    <n v="11.1744"/>
    <n v="8"/>
    <x v="0"/>
    <n v="1.7999999999999999E-2"/>
  </r>
  <r>
    <s v="SAN GABRIEL"/>
    <x v="0"/>
    <x v="0"/>
    <x v="5"/>
    <s v="QUESO SANDUCHE KIOSKO TAJADO"/>
    <x v="0"/>
    <n v="7711"/>
    <n v="1001"/>
    <x v="66"/>
    <x v="66"/>
    <n v="240"/>
    <n v="1"/>
    <n v="7.4999999999999997E-2"/>
    <n v="90"/>
    <d v="2024-11-21T00:00:00"/>
    <s v="jueves"/>
    <d v="2024-11-14T00:00:00"/>
    <x v="23"/>
    <n v="76"/>
    <n v="0.84444444444444444"/>
    <n v="240"/>
    <n v="18"/>
    <n v="7"/>
    <n v="0.92222222222222228"/>
    <n v="0.62080000000000002"/>
    <n v="0.62080000000000002"/>
    <n v="11.1744"/>
    <n v="6"/>
    <x v="0"/>
    <n v="1.7999999999999999E-2"/>
  </r>
  <r>
    <s v="MACHACHI"/>
    <x v="1"/>
    <x v="1"/>
    <x v="3"/>
    <s v="GRIEGO SABORIZADO"/>
    <x v="0"/>
    <n v="7711"/>
    <n v="1001"/>
    <x v="67"/>
    <x v="67"/>
    <n v="40"/>
    <n v="1"/>
    <n v="0.4"/>
    <n v="45"/>
    <d v="2024-11-16T00:00:00"/>
    <s v="sábado"/>
    <d v="2024-11-15T00:00:00"/>
    <x v="0"/>
    <n v="32"/>
    <n v="0.71111111111111114"/>
    <n v="40"/>
    <n v="16"/>
    <n v="1"/>
    <n v="0.97777777777777775"/>
    <n v="0.96938500000000005"/>
    <n v="0.96938500000000005"/>
    <n v="15.510160000000001"/>
    <n v="11"/>
    <x v="0"/>
    <n v="1.6E-2"/>
  </r>
  <r>
    <s v="MACHACHI"/>
    <x v="1"/>
    <x v="1"/>
    <x v="3"/>
    <s v="GRIEGO SABORIZADO"/>
    <x v="0"/>
    <n v="7711"/>
    <n v="1001"/>
    <x v="67"/>
    <x v="67"/>
    <n v="40"/>
    <n v="1"/>
    <n v="0.4"/>
    <n v="45"/>
    <d v="2024-11-15T00:00:00"/>
    <s v="viernes"/>
    <d v="2024-11-06T00:00:00"/>
    <x v="11"/>
    <n v="23"/>
    <n v="0.51111111111111107"/>
    <n v="15"/>
    <n v="6"/>
    <n v="9"/>
    <n v="0.8"/>
    <n v="0.96938500000000005"/>
    <n v="0.96938500000000005"/>
    <n v="5.8163100000000005"/>
    <n v="12"/>
    <x v="1"/>
    <n v="6.0000000000000001E-3"/>
  </r>
  <r>
    <s v="MAQUILA"/>
    <x v="0"/>
    <x v="0"/>
    <x v="13"/>
    <s v="CREMA DE LECHE BOLSA"/>
    <x v="0"/>
    <n v="7711"/>
    <n v="1001"/>
    <x v="68"/>
    <x v="68"/>
    <n v="2800"/>
    <n v="1"/>
    <n v="0.2"/>
    <n v="70"/>
    <d v="2024-11-09T00:00:00"/>
    <s v="sábado"/>
    <d v="2024-10-24T00:00:00"/>
    <x v="68"/>
    <n v="35"/>
    <n v="0.5"/>
    <n v="2"/>
    <n v="0.4"/>
    <n v="16"/>
    <n v="0.77142857142857146"/>
    <n v="0.59135000000000004"/>
    <n v="0.59135000000000004"/>
    <n v="0.23654000000000003"/>
    <n v="18"/>
    <x v="0"/>
    <n v="4.0000000000000002E-4"/>
  </r>
  <r>
    <s v="MAQUILA"/>
    <x v="0"/>
    <x v="0"/>
    <x v="13"/>
    <s v="CREMA DE LECHE BOLSA"/>
    <x v="0"/>
    <n v="7711"/>
    <n v="1001"/>
    <x v="68"/>
    <x v="68"/>
    <n v="2800"/>
    <n v="1"/>
    <n v="0.2"/>
    <n v="70"/>
    <d v="2024-11-12T00:00:00"/>
    <s v="martes"/>
    <d v="2024-10-25T00:00:00"/>
    <x v="8"/>
    <n v="36"/>
    <n v="0.51428571428571423"/>
    <n v="63"/>
    <n v="12.600000000000001"/>
    <n v="18"/>
    <n v="0.74285714285714288"/>
    <n v="0.59135000000000004"/>
    <n v="0.59135000000000004"/>
    <n v="7.451010000000001"/>
    <n v="15"/>
    <x v="0"/>
    <n v="1.2600000000000002E-2"/>
  </r>
  <r>
    <s v="MAQUILA"/>
    <x v="0"/>
    <x v="0"/>
    <x v="13"/>
    <s v="CREMA DE LECHE BOLSA"/>
    <x v="0"/>
    <n v="7711"/>
    <n v="1001"/>
    <x v="68"/>
    <x v="68"/>
    <n v="1540"/>
    <n v="1"/>
    <n v="0.2"/>
    <n v="70"/>
    <d v="2024-11-16T00:00:00"/>
    <s v="sábado"/>
    <d v="2024-11-02T00:00:00"/>
    <x v="51"/>
    <n v="44"/>
    <n v="0.62857142857142856"/>
    <n v="1522"/>
    <n v="304.40000000000003"/>
    <n v="14"/>
    <n v="0.8"/>
    <n v="0.59135000000000004"/>
    <n v="0.59135000000000004"/>
    <n v="180.00694000000004"/>
    <n v="11"/>
    <x v="0"/>
    <n v="0.30440000000000006"/>
  </r>
  <r>
    <s v="MAQUILA"/>
    <x v="0"/>
    <x v="0"/>
    <x v="13"/>
    <s v="CREMA DE LECHE BOLSA"/>
    <x v="0"/>
    <n v="7711"/>
    <n v="1001"/>
    <x v="68"/>
    <x v="68"/>
    <n v="1540"/>
    <n v="1"/>
    <n v="0.2"/>
    <n v="70"/>
    <d v="2024-11-19T00:00:00"/>
    <s v="martes"/>
    <d v="2024-11-02T00:00:00"/>
    <x v="51"/>
    <n v="44"/>
    <n v="0.62857142857142856"/>
    <n v="1540"/>
    <n v="308"/>
    <n v="17"/>
    <n v="0.75714285714285712"/>
    <n v="0.59135000000000004"/>
    <n v="0.59135000000000004"/>
    <n v="182.13580000000002"/>
    <n v="8"/>
    <x v="0"/>
    <n v="0.308"/>
  </r>
  <r>
    <s v="MAQUILA"/>
    <x v="0"/>
    <x v="0"/>
    <x v="13"/>
    <s v="CREMA DE LECHE BOLSA"/>
    <x v="0"/>
    <n v="7711"/>
    <n v="1001"/>
    <x v="68"/>
    <x v="68"/>
    <n v="1540"/>
    <n v="1"/>
    <n v="0.2"/>
    <n v="70"/>
    <d v="2024-11-20T00:00:00"/>
    <s v="miércoles"/>
    <d v="2024-11-02T00:00:00"/>
    <x v="51"/>
    <n v="44"/>
    <n v="0.62857142857142856"/>
    <n v="1540"/>
    <n v="308"/>
    <n v="18"/>
    <n v="0.74285714285714288"/>
    <n v="0.59135000000000004"/>
    <n v="0.59135000000000004"/>
    <n v="182.13580000000002"/>
    <n v="7"/>
    <x v="0"/>
    <n v="0.308"/>
  </r>
  <r>
    <s v="MAQUILA"/>
    <x v="0"/>
    <x v="0"/>
    <x v="13"/>
    <s v="CREMA DE LECHE BOLSA"/>
    <x v="0"/>
    <n v="7711"/>
    <n v="1001"/>
    <x v="68"/>
    <x v="68"/>
    <n v="0"/>
    <n v="1"/>
    <n v="0.2"/>
    <n v="70"/>
    <d v="2024-11-25T00:00:00"/>
    <s v="lunes"/>
    <d v="2024-11-25T00:00:00"/>
    <x v="15"/>
    <n v="67"/>
    <n v="0.95714285714285718"/>
    <n v="2"/>
    <n v="0.4"/>
    <n v="0"/>
    <n v="1"/>
    <n v="0.59135000000000004"/>
    <n v="0.59135000000000004"/>
    <n v="0.23654000000000003"/>
    <n v="2"/>
    <x v="0"/>
    <n v="4.0000000000000002E-4"/>
  </r>
  <r>
    <s v="SAN GABRIEL"/>
    <x v="0"/>
    <x v="0"/>
    <x v="5"/>
    <s v="QUESO PROVOLONE KIOSKO BLOQUE"/>
    <x v="0"/>
    <n v="7711"/>
    <n v="1001"/>
    <x v="69"/>
    <x v="69"/>
    <n v="75"/>
    <n v="1"/>
    <n v="0.26"/>
    <n v="60"/>
    <d v="2024-11-15T00:00:00"/>
    <s v="viernes"/>
    <d v="2024-11-07T00:00:00"/>
    <x v="50"/>
    <n v="39"/>
    <n v="0.65"/>
    <n v="6"/>
    <n v="1.56"/>
    <n v="8"/>
    <n v="0.8666666666666667"/>
    <n v="2.0346349999999997"/>
    <n v="2.0346349999999997"/>
    <n v="3.1740305999999996"/>
    <n v="12"/>
    <x v="0"/>
    <n v="1.56E-3"/>
  </r>
  <r>
    <s v="SAN GABRIEL"/>
    <x v="0"/>
    <x v="0"/>
    <x v="5"/>
    <s v="QUESO PROVOLONE KIOSKO BLOQUE"/>
    <x v="0"/>
    <n v="7711"/>
    <n v="1001"/>
    <x v="69"/>
    <x v="69"/>
    <n v="75"/>
    <n v="1"/>
    <n v="0.26"/>
    <n v="60"/>
    <d v="2024-11-19T00:00:00"/>
    <s v="martes"/>
    <d v="2024-11-07T00:00:00"/>
    <x v="50"/>
    <n v="39"/>
    <n v="0.65"/>
    <n v="75"/>
    <n v="19.5"/>
    <n v="12"/>
    <n v="0.8"/>
    <n v="2.0346349999999997"/>
    <n v="2.0346349999999997"/>
    <n v="39.675382499999998"/>
    <n v="8"/>
    <x v="0"/>
    <n v="1.95E-2"/>
  </r>
  <r>
    <s v="SAN GABRIEL"/>
    <x v="0"/>
    <x v="0"/>
    <x v="5"/>
    <s v="QUESO PROVOLONE KIOSKO BLOQUE"/>
    <x v="0"/>
    <n v="7711"/>
    <n v="1001"/>
    <x v="69"/>
    <x v="69"/>
    <n v="30"/>
    <n v="1"/>
    <n v="0.26"/>
    <n v="60"/>
    <d v="2024-11-20T00:00:00"/>
    <s v="miércoles"/>
    <d v="2024-11-15T00:00:00"/>
    <x v="52"/>
    <n v="47"/>
    <n v="0.78333333333333333"/>
    <n v="30"/>
    <n v="7.8000000000000007"/>
    <n v="5"/>
    <n v="0.91666666666666663"/>
    <n v="2.0346349999999997"/>
    <n v="2.0346349999999997"/>
    <n v="15.870153"/>
    <n v="7"/>
    <x v="0"/>
    <n v="7.8000000000000005E-3"/>
  </r>
  <r>
    <s v="SAN GABRIEL"/>
    <x v="0"/>
    <x v="0"/>
    <x v="5"/>
    <s v="QUESO PROVOLONE KIOSKO BLOQUE"/>
    <x v="0"/>
    <n v="7711"/>
    <n v="1001"/>
    <x v="69"/>
    <x v="69"/>
    <n v="35"/>
    <n v="1"/>
    <n v="0.26"/>
    <n v="60"/>
    <d v="2024-11-21T00:00:00"/>
    <s v="jueves"/>
    <d v="2024-11-15T00:00:00"/>
    <x v="52"/>
    <n v="47"/>
    <n v="0.78333333333333333"/>
    <n v="35"/>
    <n v="9.1"/>
    <n v="6"/>
    <n v="0.9"/>
    <n v="2.0346349999999997"/>
    <n v="2.0346349999999997"/>
    <n v="18.515178499999998"/>
    <n v="6"/>
    <x v="0"/>
    <n v="9.1000000000000004E-3"/>
  </r>
  <r>
    <s v="MACHACHI"/>
    <x v="1"/>
    <x v="1"/>
    <x v="3"/>
    <s v="BEBIDA DE YOGURT KIOSKO BOTELLA PERSONAL"/>
    <x v="0"/>
    <n v="7711"/>
    <n v="1001"/>
    <x v="70"/>
    <x v="70"/>
    <n v="182"/>
    <n v="1"/>
    <n v="0.12"/>
    <n v="45"/>
    <d v="2024-11-09T00:00:00"/>
    <s v="sábado"/>
    <d v="2024-10-31T00:00:00"/>
    <x v="10"/>
    <n v="17"/>
    <n v="0.37777777777777777"/>
    <n v="2"/>
    <n v="0.24"/>
    <n v="9"/>
    <n v="0.8"/>
    <n v="0.25665499999999997"/>
    <n v="0.25665499999999997"/>
    <n v="6.1597199999999991E-2"/>
    <n v="18"/>
    <x v="2"/>
    <n v="2.3999999999999998E-4"/>
  </r>
  <r>
    <s v="MACHACHI"/>
    <x v="1"/>
    <x v="1"/>
    <x v="3"/>
    <s v="BEBIDA DE YOGURT KIOSKO BOTELLA PERSONAL"/>
    <x v="0"/>
    <n v="7711"/>
    <n v="1001"/>
    <x v="70"/>
    <x v="70"/>
    <n v="182"/>
    <n v="1"/>
    <n v="0.12"/>
    <n v="45"/>
    <d v="2024-11-15T00:00:00"/>
    <s v="viernes"/>
    <d v="2024-11-13T00:00:00"/>
    <x v="2"/>
    <n v="30"/>
    <n v="0.66666666666666663"/>
    <n v="182"/>
    <n v="21.84"/>
    <n v="2"/>
    <n v="0.9555555555555556"/>
    <n v="0.25665499999999997"/>
    <n v="0.25665499999999997"/>
    <n v="5.6053451999999995"/>
    <n v="12"/>
    <x v="0"/>
    <n v="2.1839999999999998E-2"/>
  </r>
  <r>
    <s v="MACHACHI"/>
    <x v="1"/>
    <x v="1"/>
    <x v="3"/>
    <s v="BEBIDA DE YOGURT KIOSKO BOTELLA PERSONAL"/>
    <x v="0"/>
    <n v="7711"/>
    <n v="1001"/>
    <x v="70"/>
    <x v="70"/>
    <n v="182"/>
    <n v="1"/>
    <n v="0.12"/>
    <n v="45"/>
    <d v="2024-11-14T00:00:00"/>
    <s v="jueves"/>
    <d v="2024-11-06T00:00:00"/>
    <x v="11"/>
    <n v="23"/>
    <n v="0.51111111111111107"/>
    <n v="76"/>
    <n v="9.1199999999999992"/>
    <n v="8"/>
    <n v="0.82222222222222219"/>
    <n v="0.25665499999999997"/>
    <n v="0.25665499999999997"/>
    <n v="2.3406935999999994"/>
    <n v="13"/>
    <x v="1"/>
    <n v="9.1199999999999996E-3"/>
  </r>
  <r>
    <s v="MACHACHI"/>
    <x v="1"/>
    <x v="1"/>
    <x v="3"/>
    <s v="BEBIDA DE YOGURT KIOSKO BOTELLA PERSONAL"/>
    <x v="0"/>
    <n v="7711"/>
    <n v="1001"/>
    <x v="70"/>
    <x v="70"/>
    <n v="182"/>
    <n v="1"/>
    <n v="0.12"/>
    <n v="45"/>
    <d v="2024-11-20T00:00:00"/>
    <s v="miércoles"/>
    <d v="2024-11-14T00:00:00"/>
    <x v="7"/>
    <n v="31"/>
    <n v="0.68888888888888888"/>
    <n v="0"/>
    <n v="0"/>
    <n v="6"/>
    <n v="0.8666666666666667"/>
    <n v="0.25665499999999997"/>
    <n v="0.25665499999999997"/>
    <n v="0"/>
    <n v="7"/>
    <x v="0"/>
    <n v="0"/>
  </r>
  <r>
    <s v="MACHACHI"/>
    <x v="1"/>
    <x v="1"/>
    <x v="3"/>
    <s v="BEBIDA DE YOGURT KIOSKO BOTELLA PERSONAL"/>
    <x v="0"/>
    <n v="7711"/>
    <n v="1001"/>
    <x v="70"/>
    <x v="70"/>
    <n v="182"/>
    <n v="1"/>
    <n v="0.12"/>
    <n v="45"/>
    <d v="2024-11-21T00:00:00"/>
    <s v="jueves"/>
    <d v="2024-11-14T00:00:00"/>
    <x v="7"/>
    <n v="31"/>
    <n v="0.68888888888888888"/>
    <n v="182"/>
    <n v="21.84"/>
    <n v="7"/>
    <n v="0.84444444444444444"/>
    <n v="0.25665499999999997"/>
    <n v="0.25665499999999997"/>
    <n v="5.6053451999999995"/>
    <n v="6"/>
    <x v="0"/>
    <n v="2.1839999999999998E-2"/>
  </r>
  <r>
    <s v="MULTIEMPAQUE_SG"/>
    <x v="2"/>
    <x v="1"/>
    <x v="10"/>
    <s v="AREQUIPE ALPINA"/>
    <x v="0"/>
    <n v="7711"/>
    <n v="1001"/>
    <x v="71"/>
    <x v="71"/>
    <n v="15"/>
    <n v="1"/>
    <n v="0.9"/>
    <n v="180"/>
    <d v="2024-11-09T00:00:00"/>
    <s v="sábado"/>
    <d v="2024-11-01T00:00:00"/>
    <x v="69"/>
    <n v="153"/>
    <n v="0.85"/>
    <n v="7"/>
    <n v="6.3"/>
    <n v="8"/>
    <n v="0.9555555555555556"/>
    <n v="3.7820849999999999"/>
    <n v="3.7820849999999999"/>
    <n v="23.827135499999997"/>
    <n v="18"/>
    <x v="0"/>
    <n v="6.3E-3"/>
  </r>
  <r>
    <s v="MULTIEMPAQUE_SG"/>
    <x v="2"/>
    <x v="1"/>
    <x v="10"/>
    <s v="AREQUIPE ALPINA"/>
    <x v="0"/>
    <n v="7711"/>
    <n v="1001"/>
    <x v="71"/>
    <x v="71"/>
    <n v="15"/>
    <n v="1"/>
    <n v="0.9"/>
    <n v="180"/>
    <d v="2024-11-16T00:00:00"/>
    <s v="sábado"/>
    <d v="2024-11-01T00:00:00"/>
    <x v="69"/>
    <n v="153"/>
    <n v="0.85"/>
    <n v="15"/>
    <n v="13.5"/>
    <n v="15"/>
    <n v="0.91666666666666663"/>
    <n v="3.7820849999999999"/>
    <n v="3.7820849999999999"/>
    <n v="51.058147499999997"/>
    <n v="11"/>
    <x v="0"/>
    <n v="1.35E-2"/>
  </r>
  <r>
    <s v="MACHACHI"/>
    <x v="1"/>
    <x v="1"/>
    <x v="2"/>
    <s v="BON YURT MINI"/>
    <x v="0"/>
    <n v="7711"/>
    <n v="1001"/>
    <x v="72"/>
    <x v="72"/>
    <n v="1380"/>
    <n v="1"/>
    <n v="0.127"/>
    <n v="45"/>
    <d v="2024-10-31T00:00:00"/>
    <s v="jueves"/>
    <d v="2024-10-19T00:00:00"/>
    <x v="70"/>
    <n v="5"/>
    <n v="0.1111111111111111"/>
    <n v="16"/>
    <n v="2.032"/>
    <n v="12"/>
    <n v="0.73333333333333339"/>
    <n v="0.34782999999999997"/>
    <n v="0.34782999999999997"/>
    <n v="0.70679055999999996"/>
    <n v="27"/>
    <x v="2"/>
    <n v="2.032E-3"/>
  </r>
  <r>
    <s v="MACHACHI"/>
    <x v="1"/>
    <x v="1"/>
    <x v="2"/>
    <s v="BON YURT MINI"/>
    <x v="0"/>
    <n v="7711"/>
    <n v="1001"/>
    <x v="72"/>
    <x v="72"/>
    <n v="1800"/>
    <n v="1"/>
    <n v="0.127"/>
    <n v="45"/>
    <d v="2024-11-08T00:00:00"/>
    <s v="viernes"/>
    <d v="2024-11-01T00:00:00"/>
    <x v="4"/>
    <n v="18"/>
    <n v="0.4"/>
    <n v="34"/>
    <n v="4.3179999999999996"/>
    <n v="7"/>
    <n v="0.84444444444444444"/>
    <n v="0.34782999999999997"/>
    <n v="0.34782999999999997"/>
    <n v="1.5019299399999997"/>
    <n v="19"/>
    <x v="2"/>
    <n v="4.3179999999999998E-3"/>
  </r>
  <r>
    <s v="MACHACHI"/>
    <x v="1"/>
    <x v="1"/>
    <x v="2"/>
    <s v="BON YURT MINI"/>
    <x v="0"/>
    <n v="7711"/>
    <n v="1001"/>
    <x v="72"/>
    <x v="72"/>
    <n v="600"/>
    <n v="1"/>
    <n v="0.127"/>
    <n v="45"/>
    <d v="2024-11-09T00:00:00"/>
    <s v="sábado"/>
    <d v="2024-11-01T00:00:00"/>
    <x v="4"/>
    <n v="18"/>
    <n v="0.4"/>
    <n v="600"/>
    <n v="76.2"/>
    <n v="8"/>
    <n v="0.82222222222222219"/>
    <n v="0.34782999999999997"/>
    <n v="0.34782999999999997"/>
    <n v="26.504645999999997"/>
    <n v="18"/>
    <x v="2"/>
    <n v="7.6200000000000004E-2"/>
  </r>
  <r>
    <s v="MACHACHI"/>
    <x v="1"/>
    <x v="1"/>
    <x v="2"/>
    <s v="BON YURT MINI"/>
    <x v="0"/>
    <n v="7711"/>
    <n v="1001"/>
    <x v="72"/>
    <x v="72"/>
    <n v="720"/>
    <n v="1"/>
    <n v="0.127"/>
    <n v="45"/>
    <d v="2024-11-13T00:00:00"/>
    <s v="miércoles"/>
    <d v="2024-11-01T00:00:00"/>
    <x v="4"/>
    <n v="18"/>
    <n v="0.4"/>
    <n v="720"/>
    <n v="91.44"/>
    <n v="12"/>
    <n v="0.73333333333333339"/>
    <n v="0.34782999999999997"/>
    <n v="0.34782999999999997"/>
    <n v="31.805575199999996"/>
    <n v="14"/>
    <x v="2"/>
    <n v="9.1439999999999994E-2"/>
  </r>
  <r>
    <s v="MACHACHI"/>
    <x v="1"/>
    <x v="1"/>
    <x v="2"/>
    <s v="BON YURT MINI"/>
    <x v="0"/>
    <n v="7711"/>
    <n v="1001"/>
    <x v="72"/>
    <x v="72"/>
    <n v="1200"/>
    <n v="1"/>
    <n v="0.127"/>
    <n v="45"/>
    <d v="2024-11-14T00:00:00"/>
    <s v="jueves"/>
    <d v="2024-11-14T00:00:00"/>
    <x v="7"/>
    <n v="31"/>
    <n v="0.68888888888888888"/>
    <n v="536"/>
    <n v="68.072000000000003"/>
    <n v="0"/>
    <n v="1"/>
    <n v="0.34782999999999997"/>
    <n v="0.34782999999999997"/>
    <n v="23.677483759999998"/>
    <n v="13"/>
    <x v="0"/>
    <n v="6.8072000000000008E-2"/>
  </r>
  <r>
    <s v="MACHACHI"/>
    <x v="1"/>
    <x v="1"/>
    <x v="2"/>
    <s v="BON YURT MINI"/>
    <x v="0"/>
    <n v="7711"/>
    <n v="1001"/>
    <x v="72"/>
    <x v="72"/>
    <n v="1020"/>
    <n v="1"/>
    <n v="0.127"/>
    <n v="45"/>
    <d v="2024-11-21T00:00:00"/>
    <s v="jueves"/>
    <d v="2024-11-12T00:00:00"/>
    <x v="5"/>
    <n v="29"/>
    <n v="0.64444444444444449"/>
    <n v="656"/>
    <n v="83.311999999999998"/>
    <n v="9"/>
    <n v="0.8"/>
    <n v="0.34782999999999997"/>
    <n v="0.34782999999999997"/>
    <n v="28.978412959999996"/>
    <n v="6"/>
    <x v="0"/>
    <n v="8.3311999999999997E-2"/>
  </r>
  <r>
    <s v="SAN GABRIEL"/>
    <x v="2"/>
    <x v="1"/>
    <x v="9"/>
    <s v="DULCE DE LECHE KIOSCO FAMILIAR"/>
    <x v="0"/>
    <n v="7711"/>
    <n v="1001"/>
    <x v="73"/>
    <x v="73"/>
    <n v="224"/>
    <n v="1"/>
    <n v="0.1"/>
    <n v="180"/>
    <d v="2024-11-15T00:00:00"/>
    <s v="viernes"/>
    <d v="2024-11-08T00:00:00"/>
    <x v="60"/>
    <n v="160"/>
    <n v="0.88888888888888884"/>
    <n v="137"/>
    <n v="13.700000000000001"/>
    <n v="7"/>
    <n v="0.96111111111111114"/>
    <n v="0.28448000000000001"/>
    <n v="0.28448000000000001"/>
    <n v="3.8973760000000004"/>
    <n v="12"/>
    <x v="0"/>
    <n v="1.37E-2"/>
  </r>
  <r>
    <s v="SAN GABRIEL"/>
    <x v="2"/>
    <x v="1"/>
    <x v="9"/>
    <s v="DULCE DE LECHE KIOSCO FAMILIAR"/>
    <x v="0"/>
    <n v="7711"/>
    <n v="1001"/>
    <x v="73"/>
    <x v="73"/>
    <n v="224"/>
    <n v="1"/>
    <n v="0.1"/>
    <n v="180"/>
    <d v="2024-11-19T00:00:00"/>
    <s v="martes"/>
    <d v="2024-11-08T00:00:00"/>
    <x v="60"/>
    <n v="160"/>
    <n v="0.88888888888888884"/>
    <n v="224"/>
    <n v="22.400000000000002"/>
    <n v="11"/>
    <n v="0.93888888888888888"/>
    <n v="0.28448000000000001"/>
    <n v="0.28448000000000001"/>
    <n v="6.3723520000000011"/>
    <n v="8"/>
    <x v="0"/>
    <n v="2.2400000000000003E-2"/>
  </r>
  <r>
    <s v="SAN GABRIEL"/>
    <x v="2"/>
    <x v="1"/>
    <x v="9"/>
    <s v="DULCE DE LECHE KIOSCO FAMILIAR"/>
    <x v="0"/>
    <n v="7711"/>
    <n v="1001"/>
    <x v="73"/>
    <x v="73"/>
    <n v="112"/>
    <n v="1"/>
    <n v="0.1"/>
    <n v="180"/>
    <d v="2024-11-20T00:00:00"/>
    <s v="miércoles"/>
    <d v="2024-11-15T00:00:00"/>
    <x v="42"/>
    <n v="167"/>
    <n v="0.92777777777777781"/>
    <n v="112"/>
    <n v="11.200000000000001"/>
    <n v="5"/>
    <n v="0.97222222222222221"/>
    <n v="0.28448000000000001"/>
    <n v="0.28448000000000001"/>
    <n v="3.1861760000000006"/>
    <n v="7"/>
    <x v="0"/>
    <n v="1.1200000000000002E-2"/>
  </r>
  <r>
    <s v="SAN GABRIEL"/>
    <x v="0"/>
    <x v="0"/>
    <x v="1"/>
    <s v="QUESO MOZARELLA KIOSKO BLOQUE"/>
    <x v="0"/>
    <n v="7711"/>
    <n v="1001"/>
    <x v="74"/>
    <x v="74"/>
    <n v="270"/>
    <n v="1"/>
    <n v="0.5"/>
    <n v="40"/>
    <d v="2024-11-19T00:00:00"/>
    <s v="martes"/>
    <d v="2024-11-15T00:00:00"/>
    <x v="44"/>
    <n v="27"/>
    <n v="0.67500000000000004"/>
    <n v="125"/>
    <n v="62.5"/>
    <n v="4"/>
    <n v="0.9"/>
    <n v="2.3460700000000001"/>
    <n v="2.3460700000000001"/>
    <n v="146.62937500000001"/>
    <n v="8"/>
    <x v="0"/>
    <n v="6.25E-2"/>
  </r>
  <r>
    <s v="SAN GABRIEL"/>
    <x v="0"/>
    <x v="0"/>
    <x v="1"/>
    <s v="QUESO MOZARELLA LIGHT KIOSKO BLOQUE"/>
    <x v="0"/>
    <n v="7711"/>
    <n v="1001"/>
    <x v="75"/>
    <x v="75"/>
    <n v="1080"/>
    <n v="1"/>
    <n v="0.2"/>
    <n v="40"/>
    <d v="2024-11-12T00:00:00"/>
    <s v="martes"/>
    <d v="2024-11-05T00:00:00"/>
    <x v="10"/>
    <n v="17"/>
    <n v="0.42499999999999999"/>
    <n v="1"/>
    <n v="0.2"/>
    <n v="7"/>
    <n v="0.82499999999999996"/>
    <n v="1.11269"/>
    <n v="1.11269"/>
    <n v="0.22253800000000001"/>
    <n v="15"/>
    <x v="2"/>
    <n v="2.0000000000000001E-4"/>
  </r>
  <r>
    <s v="SAN GABRIEL"/>
    <x v="0"/>
    <x v="0"/>
    <x v="1"/>
    <s v="QUESO MOZARELLA LIGHT KIOSKO BLOQUE"/>
    <x v="0"/>
    <n v="7711"/>
    <n v="1001"/>
    <x v="75"/>
    <x v="75"/>
    <n v="720"/>
    <n v="1"/>
    <n v="0.2"/>
    <n v="40"/>
    <d v="2024-11-15T00:00:00"/>
    <s v="viernes"/>
    <d v="2024-11-12T00:00:00"/>
    <x v="1"/>
    <n v="24"/>
    <n v="0.6"/>
    <n v="40"/>
    <n v="8"/>
    <n v="3"/>
    <n v="0.92500000000000004"/>
    <n v="1.11269"/>
    <n v="1.11269"/>
    <n v="8.9015199999999997"/>
    <n v="12"/>
    <x v="1"/>
    <n v="8.0000000000000002E-3"/>
  </r>
  <r>
    <s v="SAN GABRIEL"/>
    <x v="0"/>
    <x v="0"/>
    <x v="1"/>
    <s v="QUESO MOZARELLA LIGHT KIOSKO BLOQUE"/>
    <x v="0"/>
    <n v="7711"/>
    <n v="1001"/>
    <x v="75"/>
    <x v="75"/>
    <n v="720"/>
    <n v="1"/>
    <n v="0.2"/>
    <n v="40"/>
    <d v="2024-11-19T00:00:00"/>
    <s v="martes"/>
    <d v="2024-11-13T00:00:00"/>
    <x v="9"/>
    <n v="25"/>
    <n v="0.625"/>
    <n v="720"/>
    <n v="144"/>
    <n v="6"/>
    <n v="0.85"/>
    <n v="1.11269"/>
    <n v="1.11269"/>
    <n v="160.22736"/>
    <n v="8"/>
    <x v="1"/>
    <n v="0.14399999999999999"/>
  </r>
  <r>
    <s v="SAN GABRIEL"/>
    <x v="0"/>
    <x v="0"/>
    <x v="1"/>
    <s v="QUESO MOZARELLA LIGHT KIOSKO BLOQUE"/>
    <x v="0"/>
    <n v="7711"/>
    <n v="1001"/>
    <x v="75"/>
    <x v="75"/>
    <n v="360"/>
    <n v="1"/>
    <n v="0.2"/>
    <n v="40"/>
    <d v="2024-11-20T00:00:00"/>
    <s v="miércoles"/>
    <d v="2024-11-15T00:00:00"/>
    <x v="44"/>
    <n v="27"/>
    <n v="0.67500000000000004"/>
    <n v="360"/>
    <n v="72"/>
    <n v="5"/>
    <n v="0.875"/>
    <n v="1.11269"/>
    <n v="1.11269"/>
    <n v="80.113680000000002"/>
    <n v="7"/>
    <x v="0"/>
    <n v="7.1999999999999995E-2"/>
  </r>
  <r>
    <s v="SAN GABRIEL"/>
    <x v="0"/>
    <x v="0"/>
    <x v="1"/>
    <s v="QUESO MOZARELLA LIGHT KIOSKO BLOQUE"/>
    <x v="0"/>
    <n v="7711"/>
    <n v="1001"/>
    <x v="75"/>
    <x v="75"/>
    <n v="360"/>
    <n v="1"/>
    <n v="0.2"/>
    <n v="40"/>
    <d v="2024-11-21T00:00:00"/>
    <s v="jueves"/>
    <d v="2024-11-15T00:00:00"/>
    <x v="44"/>
    <n v="27"/>
    <n v="0.67500000000000004"/>
    <n v="360"/>
    <n v="72"/>
    <n v="6"/>
    <n v="0.85"/>
    <n v="1.11269"/>
    <n v="1.11269"/>
    <n v="80.113680000000002"/>
    <n v="6"/>
    <x v="0"/>
    <n v="7.1999999999999995E-2"/>
  </r>
  <r>
    <s v="MACHACHI"/>
    <x v="1"/>
    <x v="1"/>
    <x v="3"/>
    <s v="BEBIDA DE YOGURT KIOSKO FUNDA FAMILI"/>
    <x v="0"/>
    <n v="7711"/>
    <n v="1001"/>
    <x v="76"/>
    <x v="76"/>
    <n v="195"/>
    <n v="1"/>
    <n v="0.9"/>
    <n v="45"/>
    <d v="2024-11-19T00:00:00"/>
    <s v="martes"/>
    <d v="2024-11-15T00:00:00"/>
    <x v="0"/>
    <n v="32"/>
    <n v="0.71111111111111114"/>
    <n v="85"/>
    <n v="76.5"/>
    <n v="4"/>
    <n v="0.91111111111111109"/>
    <n v="0.64812500000000006"/>
    <n v="0.64812500000000006"/>
    <n v="49.581562500000004"/>
    <n v="8"/>
    <x v="0"/>
    <n v="7.6499999999999999E-2"/>
  </r>
  <r>
    <s v="MACHACHI"/>
    <x v="1"/>
    <x v="1"/>
    <x v="3"/>
    <s v="BEBIDA DE YOGURT KIOSKO FUNDA FAMILI"/>
    <x v="0"/>
    <n v="7711"/>
    <n v="1001"/>
    <x v="76"/>
    <x v="76"/>
    <n v="300"/>
    <n v="1"/>
    <n v="0.9"/>
    <n v="45"/>
    <d v="2024-11-20T00:00:00"/>
    <s v="miércoles"/>
    <d v="2024-11-15T00:00:00"/>
    <x v="0"/>
    <n v="32"/>
    <n v="0.71111111111111114"/>
    <n v="300"/>
    <n v="270"/>
    <n v="5"/>
    <n v="0.88888888888888884"/>
    <n v="0.64812500000000006"/>
    <n v="0.64812500000000006"/>
    <n v="174.99375000000001"/>
    <n v="7"/>
    <x v="0"/>
    <n v="0.27"/>
  </r>
  <r>
    <s v="MACHACHI"/>
    <x v="1"/>
    <x v="1"/>
    <x v="6"/>
    <s v="REGENERIS BEBIBLE BOTELLA FAMILIAR"/>
    <x v="0"/>
    <n v="7711"/>
    <n v="1001"/>
    <x v="77"/>
    <x v="77"/>
    <n v="36"/>
    <n v="1"/>
    <n v="1.75"/>
    <n v="45"/>
    <d v="2024-10-30T00:00:00"/>
    <s v="miércoles"/>
    <d v="2024-10-23T00:00:00"/>
    <x v="66"/>
    <n v="9"/>
    <n v="0.2"/>
    <n v="29"/>
    <n v="50.75"/>
    <n v="7"/>
    <n v="0.84444444444444444"/>
    <n v="2.3115999999999999"/>
    <n v="2.3115999999999999"/>
    <n v="117.3137"/>
    <n v="28"/>
    <x v="2"/>
    <n v="5.0750000000000003E-2"/>
  </r>
  <r>
    <s v="MACHACHI"/>
    <x v="1"/>
    <x v="1"/>
    <x v="6"/>
    <s v="REGENERIS BEBIBLE BOTELLA FAMILIAR"/>
    <x v="0"/>
    <n v="7711"/>
    <n v="1001"/>
    <x v="77"/>
    <x v="77"/>
    <n v="12"/>
    <n v="1"/>
    <n v="1.75"/>
    <n v="45"/>
    <d v="2024-10-31T00:00:00"/>
    <s v="jueves"/>
    <d v="2024-10-23T00:00:00"/>
    <x v="66"/>
    <n v="9"/>
    <n v="0.2"/>
    <n v="12"/>
    <n v="21"/>
    <n v="8"/>
    <n v="0.82222222222222219"/>
    <n v="2.3115999999999999"/>
    <n v="2.3115999999999999"/>
    <n v="48.543599999999998"/>
    <n v="27"/>
    <x v="2"/>
    <n v="2.1000000000000001E-2"/>
  </r>
  <r>
    <s v="MACHACHI"/>
    <x v="1"/>
    <x v="1"/>
    <x v="6"/>
    <s v="REGENERIS BEBIBLE BOTELLA FAMILIAR"/>
    <x v="0"/>
    <n v="7711"/>
    <n v="1001"/>
    <x v="77"/>
    <x v="77"/>
    <n v="12"/>
    <n v="1"/>
    <n v="1.75"/>
    <n v="45"/>
    <d v="2024-11-01T00:00:00"/>
    <s v="viernes"/>
    <d v="2024-10-23T00:00:00"/>
    <x v="66"/>
    <n v="9"/>
    <n v="0.2"/>
    <n v="12"/>
    <n v="21"/>
    <n v="9"/>
    <n v="0.8"/>
    <n v="2.3115999999999999"/>
    <n v="2.3115999999999999"/>
    <n v="48.543599999999998"/>
    <n v="26"/>
    <x v="2"/>
    <n v="2.1000000000000001E-2"/>
  </r>
  <r>
    <s v="MACHACHI"/>
    <x v="1"/>
    <x v="1"/>
    <x v="6"/>
    <s v="REGENERIS BEBIBLE BOTELLA FAMILIAR"/>
    <x v="0"/>
    <n v="7711"/>
    <n v="1001"/>
    <x v="77"/>
    <x v="77"/>
    <n v="24"/>
    <n v="1"/>
    <n v="1.75"/>
    <n v="45"/>
    <d v="2024-11-16T00:00:00"/>
    <s v="sábado"/>
    <d v="2024-11-15T00:00:00"/>
    <x v="0"/>
    <n v="32"/>
    <n v="0.71111111111111114"/>
    <n v="14"/>
    <n v="24.5"/>
    <n v="1"/>
    <n v="0.97777777777777775"/>
    <n v="2.3115999999999999"/>
    <n v="2.3115999999999999"/>
    <n v="56.6342"/>
    <n v="11"/>
    <x v="0"/>
    <n v="2.4500000000000001E-2"/>
  </r>
  <r>
    <s v="MACHACHI"/>
    <x v="1"/>
    <x v="1"/>
    <x v="6"/>
    <s v="REGENERIS BEBIBLE BOTELLA FAMILIAR"/>
    <x v="0"/>
    <n v="7711"/>
    <n v="1001"/>
    <x v="77"/>
    <x v="77"/>
    <n v="36"/>
    <n v="1"/>
    <n v="1.75"/>
    <n v="45"/>
    <d v="2024-11-20T00:00:00"/>
    <s v="miércoles"/>
    <d v="2024-11-15T00:00:00"/>
    <x v="0"/>
    <n v="32"/>
    <n v="0.71111111111111114"/>
    <n v="36"/>
    <n v="63"/>
    <n v="5"/>
    <n v="0.88888888888888884"/>
    <n v="2.3115999999999999"/>
    <n v="2.3115999999999999"/>
    <n v="145.63079999999999"/>
    <n v="7"/>
    <x v="0"/>
    <n v="6.3E-2"/>
  </r>
  <r>
    <s v="SAN GABRIEL"/>
    <x v="0"/>
    <x v="0"/>
    <x v="0"/>
    <s v="QUESO FRESCO KIOSKO BLOQUE"/>
    <x v="0"/>
    <n v="7711"/>
    <n v="1001"/>
    <x v="78"/>
    <x v="78"/>
    <n v="144"/>
    <n v="3"/>
    <n v="3"/>
    <n v="40"/>
    <d v="2024-11-14T00:00:00"/>
    <s v="jueves"/>
    <d v="2024-11-09T00:00:00"/>
    <x v="45"/>
    <n v="21"/>
    <n v="0.52500000000000002"/>
    <n v="63"/>
    <n v="567"/>
    <n v="5"/>
    <n v="0.875"/>
    <n v="4.8676950000000003"/>
    <n v="14.603085"/>
    <n v="8279.9491949999992"/>
    <n v="13"/>
    <x v="2"/>
    <n v="0.56699999999999995"/>
  </r>
  <r>
    <s v="SAN GABRIEL"/>
    <x v="0"/>
    <x v="0"/>
    <x v="0"/>
    <s v="QUESO FRESCO KIOSKO BLOQUE"/>
    <x v="0"/>
    <n v="7711"/>
    <n v="1001"/>
    <x v="78"/>
    <x v="78"/>
    <n v="156"/>
    <n v="3"/>
    <n v="3"/>
    <n v="40"/>
    <d v="2024-11-19T00:00:00"/>
    <s v="martes"/>
    <d v="2024-11-14T00:00:00"/>
    <x v="6"/>
    <n v="26"/>
    <n v="0.65"/>
    <n v="156"/>
    <n v="1404"/>
    <n v="5"/>
    <n v="0.875"/>
    <n v="4.8676950000000003"/>
    <n v="14.603085"/>
    <n v="20502.731339999998"/>
    <n v="8"/>
    <x v="1"/>
    <n v="1.4039999999999999"/>
  </r>
  <r>
    <s v="SAN GABRIEL"/>
    <x v="0"/>
    <x v="0"/>
    <x v="0"/>
    <s v="QUESO FRESCO KIOSKO BLOQUE"/>
    <x v="0"/>
    <n v="7711"/>
    <n v="1001"/>
    <x v="78"/>
    <x v="78"/>
    <n v="54"/>
    <n v="3"/>
    <n v="3"/>
    <n v="40"/>
    <d v="2024-11-19T00:00:00"/>
    <s v="martes"/>
    <d v="2024-11-19T00:00:00"/>
    <x v="7"/>
    <n v="31"/>
    <n v="0.77500000000000002"/>
    <n v="54"/>
    <n v="486"/>
    <n v="0"/>
    <n v="1"/>
    <n v="4.8676950000000003"/>
    <n v="14.603085"/>
    <n v="7097.0993099999996"/>
    <n v="8"/>
    <x v="0"/>
    <n v="0.48599999999999999"/>
  </r>
  <r>
    <s v="SAN GABRIEL"/>
    <x v="0"/>
    <x v="0"/>
    <x v="0"/>
    <s v="QUESO FRESCO KIOSKO BLOQUE"/>
    <x v="0"/>
    <n v="7711"/>
    <n v="1001"/>
    <x v="78"/>
    <x v="78"/>
    <n v="438"/>
    <n v="3"/>
    <n v="3"/>
    <n v="40"/>
    <d v="2024-11-21T00:00:00"/>
    <s v="jueves"/>
    <d v="2024-11-19T00:00:00"/>
    <x v="7"/>
    <n v="31"/>
    <n v="0.77500000000000002"/>
    <n v="438"/>
    <n v="3942"/>
    <n v="2"/>
    <n v="0.95"/>
    <n v="4.8676950000000003"/>
    <n v="14.603085"/>
    <n v="57565.361069999999"/>
    <n v="6"/>
    <x v="0"/>
    <n v="3.9420000000000002"/>
  </r>
  <r>
    <s v="MACHACHI"/>
    <x v="1"/>
    <x v="1"/>
    <x v="8"/>
    <s v="KUMIS BOTELLA FAMILIAR"/>
    <x v="0"/>
    <n v="7711"/>
    <n v="1001"/>
    <x v="79"/>
    <x v="79"/>
    <n v="54"/>
    <n v="1"/>
    <n v="1"/>
    <n v="45"/>
    <d v="2024-10-29T00:00:00"/>
    <s v="martes"/>
    <d v="2024-10-25T00:00:00"/>
    <x v="53"/>
    <n v="11"/>
    <n v="0.24444444444444444"/>
    <n v="35"/>
    <n v="35"/>
    <n v="4"/>
    <n v="0.91111111111111109"/>
    <n v="1.14123"/>
    <n v="1.14123"/>
    <n v="39.943049999999999"/>
    <n v="29"/>
    <x v="2"/>
    <n v="3.5000000000000003E-2"/>
  </r>
  <r>
    <s v="MACHACHI"/>
    <x v="1"/>
    <x v="1"/>
    <x v="8"/>
    <s v="KUMIS BOTELLA FAMILIAR"/>
    <x v="0"/>
    <n v="7711"/>
    <n v="1001"/>
    <x v="79"/>
    <x v="79"/>
    <n v="18"/>
    <n v="1"/>
    <n v="1"/>
    <n v="45"/>
    <d v="2024-10-30T00:00:00"/>
    <s v="miércoles"/>
    <d v="2024-10-25T00:00:00"/>
    <x v="53"/>
    <n v="11"/>
    <n v="0.24444444444444444"/>
    <n v="18"/>
    <n v="18"/>
    <n v="5"/>
    <n v="0.88888888888888884"/>
    <n v="1.14123"/>
    <n v="1.14123"/>
    <n v="20.54214"/>
    <n v="28"/>
    <x v="2"/>
    <n v="1.7999999999999999E-2"/>
  </r>
  <r>
    <s v="MACHACHI"/>
    <x v="1"/>
    <x v="1"/>
    <x v="8"/>
    <s v="KUMIS BOTELLA FAMILIAR"/>
    <x v="0"/>
    <n v="7711"/>
    <n v="1001"/>
    <x v="79"/>
    <x v="79"/>
    <n v="18"/>
    <n v="1"/>
    <n v="1"/>
    <n v="45"/>
    <d v="2024-10-31T00:00:00"/>
    <s v="jueves"/>
    <d v="2024-10-25T00:00:00"/>
    <x v="53"/>
    <n v="11"/>
    <n v="0.24444444444444444"/>
    <n v="18"/>
    <n v="18"/>
    <n v="6"/>
    <n v="0.8666666666666667"/>
    <n v="1.14123"/>
    <n v="1.14123"/>
    <n v="20.54214"/>
    <n v="27"/>
    <x v="2"/>
    <n v="1.7999999999999999E-2"/>
  </r>
  <r>
    <s v="MACHACHI"/>
    <x v="1"/>
    <x v="1"/>
    <x v="8"/>
    <s v="KUMIS BOTELLA FAMILIAR"/>
    <x v="0"/>
    <n v="7711"/>
    <n v="1001"/>
    <x v="79"/>
    <x v="79"/>
    <n v="18"/>
    <n v="1"/>
    <n v="1"/>
    <n v="45"/>
    <d v="2024-11-20T00:00:00"/>
    <s v="miércoles"/>
    <d v="2024-11-19T00:00:00"/>
    <x v="8"/>
    <n v="36"/>
    <n v="0.8"/>
    <n v="18"/>
    <n v="18"/>
    <n v="1"/>
    <n v="0.97777777777777775"/>
    <n v="1.14123"/>
    <n v="1.14123"/>
    <n v="20.54214"/>
    <n v="7"/>
    <x v="0"/>
    <n v="1.7999999999999999E-2"/>
  </r>
  <r>
    <s v="SAN GABRIEL"/>
    <x v="0"/>
    <x v="0"/>
    <x v="5"/>
    <s v="QUESO AMERICANO KIOSKO TAJADO"/>
    <x v="0"/>
    <n v="7711"/>
    <n v="1001"/>
    <x v="80"/>
    <x v="80"/>
    <n v="240"/>
    <n v="1"/>
    <n v="7.4999999999999997E-2"/>
    <n v="60"/>
    <d v="2024-11-15T00:00:00"/>
    <s v="viernes"/>
    <d v="2024-11-12T00:00:00"/>
    <x v="51"/>
    <n v="44"/>
    <n v="0.73333333333333328"/>
    <n v="192"/>
    <n v="14.399999999999999"/>
    <n v="3"/>
    <n v="0.95"/>
    <n v="0.62094000000000005"/>
    <n v="0.62094000000000005"/>
    <n v="8.9415359999999993"/>
    <n v="12"/>
    <x v="0"/>
    <n v="1.4399999999999998E-2"/>
  </r>
  <r>
    <s v="SAN GABRIEL"/>
    <x v="0"/>
    <x v="0"/>
    <x v="5"/>
    <s v="QUESO AMERICANO KIOSKO TAJADO"/>
    <x v="0"/>
    <n v="7711"/>
    <n v="1001"/>
    <x v="80"/>
    <x v="80"/>
    <n v="240"/>
    <n v="1"/>
    <n v="7.4999999999999997E-2"/>
    <n v="60"/>
    <d v="2024-11-21T00:00:00"/>
    <s v="jueves"/>
    <d v="2024-11-13T00:00:00"/>
    <x v="46"/>
    <n v="45"/>
    <n v="0.75"/>
    <n v="240"/>
    <n v="18"/>
    <n v="8"/>
    <n v="0.8666666666666667"/>
    <n v="0.62094000000000005"/>
    <n v="0.62094000000000005"/>
    <n v="11.176920000000001"/>
    <n v="6"/>
    <x v="0"/>
    <n v="1.7999999999999999E-2"/>
  </r>
  <r>
    <s v="SAN GABRIEL"/>
    <x v="0"/>
    <x v="0"/>
    <x v="5"/>
    <s v="QUESO SEMIMADURO KIOSKO MIX CUBOS"/>
    <x v="0"/>
    <n v="7711"/>
    <n v="1001"/>
    <x v="81"/>
    <x v="81"/>
    <n v="120"/>
    <n v="1"/>
    <n v="0.35"/>
    <n v="60"/>
    <d v="2024-11-15T00:00:00"/>
    <s v="viernes"/>
    <d v="2024-11-08T00:00:00"/>
    <x v="67"/>
    <n v="40"/>
    <n v="0.66666666666666663"/>
    <n v="120"/>
    <n v="42"/>
    <n v="7"/>
    <n v="0.8833333333333333"/>
    <n v="2.30749"/>
    <n v="2.30749"/>
    <n v="96.914580000000001"/>
    <n v="12"/>
    <x v="0"/>
    <n v="4.2000000000000003E-2"/>
  </r>
  <r>
    <s v="SAN GABRIEL"/>
    <x v="0"/>
    <x v="0"/>
    <x v="5"/>
    <s v="QUESO SEMIMADURO KIOSKO MIX CUBOS"/>
    <x v="0"/>
    <n v="7711"/>
    <n v="1001"/>
    <x v="81"/>
    <x v="81"/>
    <n v="60"/>
    <n v="1"/>
    <n v="0.35"/>
    <n v="60"/>
    <d v="2024-11-14T00:00:00"/>
    <s v="jueves"/>
    <d v="2024-11-08T00:00:00"/>
    <x v="67"/>
    <n v="40"/>
    <n v="0.66666666666666663"/>
    <n v="18"/>
    <n v="6.3"/>
    <n v="6"/>
    <n v="0.9"/>
    <n v="2.30749"/>
    <n v="2.30749"/>
    <n v="14.537186999999999"/>
    <n v="13"/>
    <x v="0"/>
    <n v="6.3E-3"/>
  </r>
  <r>
    <s v="SAN GABRIEL"/>
    <x v="0"/>
    <x v="0"/>
    <x v="5"/>
    <s v="QUESO SEMIMADURO KIOSKO MIX CUBOS"/>
    <x v="0"/>
    <n v="7711"/>
    <n v="1001"/>
    <x v="81"/>
    <x v="81"/>
    <n v="60"/>
    <n v="1"/>
    <n v="0.35"/>
    <n v="60"/>
    <d v="2024-11-19T00:00:00"/>
    <s v="martes"/>
    <d v="2024-11-14T00:00:00"/>
    <x v="47"/>
    <n v="46"/>
    <n v="0.76666666666666672"/>
    <n v="60"/>
    <n v="21"/>
    <n v="5"/>
    <n v="0.91666666666666663"/>
    <n v="2.30749"/>
    <n v="2.30749"/>
    <n v="48.45729"/>
    <n v="8"/>
    <x v="0"/>
    <n v="2.1000000000000001E-2"/>
  </r>
  <r>
    <s v="SAN GABRIEL"/>
    <x v="0"/>
    <x v="0"/>
    <x v="5"/>
    <s v="QUESO SEMIMADURO KIOSKO MIX CUBOS"/>
    <x v="0"/>
    <n v="7711"/>
    <n v="1001"/>
    <x v="81"/>
    <x v="81"/>
    <n v="60"/>
    <n v="1"/>
    <n v="0.35"/>
    <n v="60"/>
    <d v="2024-11-20T00:00:00"/>
    <s v="miércoles"/>
    <d v="2024-11-14T00:00:00"/>
    <x v="47"/>
    <n v="46"/>
    <n v="0.76666666666666672"/>
    <n v="60"/>
    <n v="21"/>
    <n v="6"/>
    <n v="0.9"/>
    <n v="2.30749"/>
    <n v="2.30749"/>
    <n v="48.45729"/>
    <n v="7"/>
    <x v="0"/>
    <n v="2.1000000000000001E-2"/>
  </r>
  <r>
    <s v="SAN GABRIEL"/>
    <x v="0"/>
    <x v="0"/>
    <x v="5"/>
    <s v="QUESO SEMIMADURO KIOSKO MIX CUBOS"/>
    <x v="0"/>
    <n v="7711"/>
    <n v="1001"/>
    <x v="81"/>
    <x v="81"/>
    <n v="60"/>
    <n v="1"/>
    <n v="0.35"/>
    <n v="60"/>
    <d v="2024-11-21T00:00:00"/>
    <s v="jueves"/>
    <d v="2024-11-15T00:00:00"/>
    <x v="52"/>
    <n v="47"/>
    <n v="0.78333333333333333"/>
    <n v="60"/>
    <n v="21"/>
    <n v="6"/>
    <n v="0.9"/>
    <n v="2.30749"/>
    <n v="2.30749"/>
    <n v="48.45729"/>
    <n v="6"/>
    <x v="0"/>
    <n v="2.1000000000000001E-2"/>
  </r>
  <r>
    <s v="SAN GABRIEL"/>
    <x v="0"/>
    <x v="0"/>
    <x v="5"/>
    <s v="QUESO SEMIMADURO KIOSKO MIX CUBOS"/>
    <x v="0"/>
    <n v="7711"/>
    <n v="1001"/>
    <x v="81"/>
    <x v="81"/>
    <n v="60"/>
    <n v="1"/>
    <n v="0.35"/>
    <n v="60"/>
    <d v="2024-11-21T00:00:00"/>
    <s v="jueves"/>
    <d v="2024-11-14T00:00:00"/>
    <x v="47"/>
    <n v="46"/>
    <n v="0.76666666666666672"/>
    <n v="60"/>
    <n v="21"/>
    <n v="7"/>
    <n v="0.8833333333333333"/>
    <n v="2.30749"/>
    <n v="2.30749"/>
    <n v="48.45729"/>
    <n v="6"/>
    <x v="0"/>
    <n v="2.1000000000000001E-2"/>
  </r>
  <r>
    <s v="MACHACHI"/>
    <x v="1"/>
    <x v="1"/>
    <x v="3"/>
    <s v="BEBIDA DE YOGURT KIOSKO FUNDA FAMILI"/>
    <x v="0"/>
    <n v="7711"/>
    <n v="1001"/>
    <x v="82"/>
    <x v="82"/>
    <n v="675"/>
    <n v="1"/>
    <n v="0.9"/>
    <n v="45"/>
    <d v="2024-11-08T00:00:00"/>
    <s v="viernes"/>
    <d v="2024-11-01T00:00:00"/>
    <x v="4"/>
    <n v="18"/>
    <n v="0.4"/>
    <n v="2"/>
    <n v="1.8"/>
    <n v="7"/>
    <n v="0.84444444444444444"/>
    <n v="0.73647499999999999"/>
    <n v="0.73647499999999999"/>
    <n v="1.325655"/>
    <n v="19"/>
    <x v="2"/>
    <n v="1.8E-3"/>
  </r>
  <r>
    <s v="MACHACHI"/>
    <x v="1"/>
    <x v="1"/>
    <x v="3"/>
    <s v="BEBIDA DE YOGURT KIOSKO FUNDA FAMILI"/>
    <x v="0"/>
    <n v="7711"/>
    <n v="1001"/>
    <x v="82"/>
    <x v="82"/>
    <n v="900"/>
    <n v="1"/>
    <n v="0.9"/>
    <n v="45"/>
    <d v="2024-11-16T00:00:00"/>
    <s v="sábado"/>
    <d v="2024-11-12T00:00:00"/>
    <x v="5"/>
    <n v="29"/>
    <n v="0.64444444444444449"/>
    <n v="900"/>
    <n v="810"/>
    <n v="4"/>
    <n v="0.91111111111111109"/>
    <n v="0.73647499999999999"/>
    <n v="0.73647499999999999"/>
    <n v="596.54475000000002"/>
    <n v="11"/>
    <x v="0"/>
    <n v="0.81"/>
  </r>
  <r>
    <s v="MACHACHI"/>
    <x v="1"/>
    <x v="1"/>
    <x v="3"/>
    <s v="BEBIDA DE YOGURT KIOSKO FUNDA FAMILI"/>
    <x v="0"/>
    <n v="7711"/>
    <n v="1001"/>
    <x v="82"/>
    <x v="82"/>
    <n v="675"/>
    <n v="1"/>
    <n v="0.9"/>
    <n v="45"/>
    <d v="2024-11-15T00:00:00"/>
    <s v="viernes"/>
    <d v="2024-11-12T00:00:00"/>
    <x v="5"/>
    <n v="29"/>
    <n v="0.64444444444444449"/>
    <n v="115"/>
    <n v="103.5"/>
    <n v="3"/>
    <n v="0.93333333333333335"/>
    <n v="0.73647499999999999"/>
    <n v="0.73647499999999999"/>
    <n v="76.225162499999996"/>
    <n v="12"/>
    <x v="0"/>
    <n v="0.10349999999999999"/>
  </r>
  <r>
    <s v="MACHACHI"/>
    <x v="1"/>
    <x v="1"/>
    <x v="3"/>
    <s v="BEBIDA DE YOGURT KIOSKO FUNDA FAMILI"/>
    <x v="0"/>
    <n v="7711"/>
    <n v="1001"/>
    <x v="82"/>
    <x v="82"/>
    <n v="900"/>
    <n v="1"/>
    <n v="0.9"/>
    <n v="45"/>
    <d v="2024-11-19T00:00:00"/>
    <s v="martes"/>
    <d v="2024-11-14T00:00:00"/>
    <x v="7"/>
    <n v="31"/>
    <n v="0.68888888888888888"/>
    <n v="900"/>
    <n v="810"/>
    <n v="5"/>
    <n v="0.88888888888888884"/>
    <n v="0.73647499999999999"/>
    <n v="0.73647499999999999"/>
    <n v="596.54475000000002"/>
    <n v="8"/>
    <x v="0"/>
    <n v="0.81"/>
  </r>
  <r>
    <s v="SAN GABRIEL"/>
    <x v="0"/>
    <x v="0"/>
    <x v="14"/>
    <s v="MANTEQUILLA CON SAL"/>
    <x v="0"/>
    <n v="7711"/>
    <n v="1001"/>
    <x v="83"/>
    <x v="83"/>
    <n v="192"/>
    <n v="1"/>
    <n v="0.25"/>
    <n v="40"/>
    <d v="2024-11-15T00:00:00"/>
    <s v="viernes"/>
    <d v="2024-11-13T00:00:00"/>
    <x v="9"/>
    <n v="25"/>
    <n v="0.625"/>
    <n v="83"/>
    <n v="20.75"/>
    <n v="2"/>
    <n v="0.95"/>
    <n v="1.0747450000000001"/>
    <n v="1.0747450000000001"/>
    <n v="22.300958749999999"/>
    <n v="12"/>
    <x v="1"/>
    <n v="2.0750000000000001E-2"/>
  </r>
  <r>
    <s v="SAN GABRIEL"/>
    <x v="0"/>
    <x v="0"/>
    <x v="14"/>
    <s v="MANTEQUILLA CON SAL"/>
    <x v="0"/>
    <n v="7711"/>
    <n v="1001"/>
    <x v="83"/>
    <x v="83"/>
    <n v="96"/>
    <n v="1"/>
    <n v="0.25"/>
    <n v="40"/>
    <d v="2024-11-20T00:00:00"/>
    <s v="miércoles"/>
    <d v="2024-11-14T00:00:00"/>
    <x v="6"/>
    <n v="26"/>
    <n v="0.65"/>
    <n v="96"/>
    <n v="24"/>
    <n v="6"/>
    <n v="0.85"/>
    <n v="1.0747450000000001"/>
    <n v="1.0747450000000001"/>
    <n v="25.793880000000001"/>
    <n v="7"/>
    <x v="1"/>
    <n v="2.4E-2"/>
  </r>
  <r>
    <s v="SAN GABRIEL"/>
    <x v="0"/>
    <x v="0"/>
    <x v="14"/>
    <s v="MANTEQUILLA CON SAL"/>
    <x v="0"/>
    <n v="7711"/>
    <n v="1001"/>
    <x v="83"/>
    <x v="83"/>
    <n v="96"/>
    <n v="1"/>
    <n v="0.25"/>
    <n v="40"/>
    <d v="2024-11-21T00:00:00"/>
    <s v="jueves"/>
    <d v="2024-11-19T00:00:00"/>
    <x v="7"/>
    <n v="31"/>
    <n v="0.77500000000000002"/>
    <n v="96"/>
    <n v="24"/>
    <n v="2"/>
    <n v="0.95"/>
    <n v="1.0747450000000001"/>
    <n v="1.0747450000000001"/>
    <n v="25.793880000000001"/>
    <n v="6"/>
    <x v="0"/>
    <n v="2.4E-2"/>
  </r>
  <r>
    <s v="MACHACHI"/>
    <x v="1"/>
    <x v="1"/>
    <x v="3"/>
    <s v="GRIEGO SABORIZADO"/>
    <x v="0"/>
    <n v="7711"/>
    <n v="1001"/>
    <x v="84"/>
    <x v="84"/>
    <n v="480"/>
    <n v="1"/>
    <n v="0.12"/>
    <n v="45"/>
    <d v="2024-11-16T00:00:00"/>
    <s v="sábado"/>
    <d v="2024-11-15T00:00:00"/>
    <x v="0"/>
    <n v="32"/>
    <n v="0.71111111111111114"/>
    <n v="38"/>
    <n v="4.5599999999999996"/>
    <n v="1"/>
    <n v="0.97777777777777775"/>
    <n v="0.40076499999999998"/>
    <n v="0.40076499999999998"/>
    <n v="1.8274883999999998"/>
    <n v="11"/>
    <x v="0"/>
    <n v="4.5599999999999998E-3"/>
  </r>
  <r>
    <s v="MULTIEMPAQUE"/>
    <x v="1"/>
    <x v="1"/>
    <x v="7"/>
    <s v="AVENA VASO"/>
    <x v="0"/>
    <n v="7711"/>
    <n v="1001"/>
    <x v="85"/>
    <x v="85"/>
    <n v="128"/>
    <n v="1"/>
    <n v="1.5"/>
    <n v="180"/>
    <d v="2024-09-14T00:00:00"/>
    <s v="sábado"/>
    <d v="2024-08-02T00:00:00"/>
    <x v="48"/>
    <n v="62"/>
    <n v="0.34444444444444444"/>
    <n v="1"/>
    <n v="1.5"/>
    <n v="43"/>
    <n v="0.76111111111111107"/>
    <n v="2.4714"/>
    <n v="2.4714"/>
    <n v="3.7071000000000001"/>
    <n v="74"/>
    <x v="0"/>
    <n v="1.5E-3"/>
  </r>
  <r>
    <s v="MULTIEMPAQUE"/>
    <x v="1"/>
    <x v="1"/>
    <x v="7"/>
    <s v="AVENA VASO"/>
    <x v="0"/>
    <n v="7711"/>
    <n v="1001"/>
    <x v="85"/>
    <x v="85"/>
    <n v="120"/>
    <n v="1"/>
    <n v="1.5"/>
    <n v="180"/>
    <d v="2024-11-12T00:00:00"/>
    <s v="martes"/>
    <d v="2024-10-18T00:00:00"/>
    <x v="27"/>
    <n v="139"/>
    <n v="0.77222222222222225"/>
    <n v="120"/>
    <n v="180"/>
    <n v="25"/>
    <n v="0.86111111111111116"/>
    <n v="2.4714"/>
    <n v="2.4714"/>
    <n v="444.85200000000003"/>
    <n v="15"/>
    <x v="0"/>
    <n v="0.18"/>
  </r>
  <r>
    <s v="MULTIEMPAQUE"/>
    <x v="1"/>
    <x v="1"/>
    <x v="7"/>
    <s v="AVENA VASO"/>
    <x v="0"/>
    <n v="7711"/>
    <n v="1001"/>
    <x v="85"/>
    <x v="85"/>
    <n v="40"/>
    <n v="1"/>
    <n v="1.5"/>
    <n v="180"/>
    <d v="2024-11-13T00:00:00"/>
    <s v="miércoles"/>
    <d v="2024-10-18T00:00:00"/>
    <x v="27"/>
    <n v="139"/>
    <n v="0.77222222222222225"/>
    <n v="40"/>
    <n v="60"/>
    <n v="26"/>
    <n v="0.85555555555555562"/>
    <n v="2.4714"/>
    <n v="2.4714"/>
    <n v="148.28399999999999"/>
    <n v="14"/>
    <x v="0"/>
    <n v="0.06"/>
  </r>
  <r>
    <s v="MULTIEMPAQUE"/>
    <x v="1"/>
    <x v="1"/>
    <x v="7"/>
    <s v="AVENA VASO"/>
    <x v="0"/>
    <n v="7711"/>
    <n v="1001"/>
    <x v="85"/>
    <x v="85"/>
    <n v="96"/>
    <n v="1"/>
    <n v="1.5"/>
    <n v="180"/>
    <d v="2024-11-14T00:00:00"/>
    <s v="jueves"/>
    <d v="2024-10-18T00:00:00"/>
    <x v="27"/>
    <n v="139"/>
    <n v="0.77222222222222225"/>
    <n v="96"/>
    <n v="144"/>
    <n v="27"/>
    <n v="0.85"/>
    <n v="2.4714"/>
    <n v="2.4714"/>
    <n v="355.88159999999999"/>
    <n v="13"/>
    <x v="0"/>
    <n v="0.14399999999999999"/>
  </r>
  <r>
    <s v="MULTIEMPAQUE"/>
    <x v="1"/>
    <x v="1"/>
    <x v="7"/>
    <s v="AVENA VASO"/>
    <x v="0"/>
    <n v="7711"/>
    <n v="1001"/>
    <x v="85"/>
    <x v="85"/>
    <n v="120"/>
    <n v="1"/>
    <n v="1.5"/>
    <n v="180"/>
    <d v="2024-11-20T00:00:00"/>
    <s v="miércoles"/>
    <d v="2024-10-31T00:00:00"/>
    <x v="32"/>
    <n v="152"/>
    <n v="0.84444444444444444"/>
    <n v="32"/>
    <n v="48"/>
    <n v="20"/>
    <n v="0.88888888888888884"/>
    <n v="2.4714"/>
    <n v="2.4714"/>
    <n v="118.6272"/>
    <n v="7"/>
    <x v="0"/>
    <n v="4.8000000000000001E-2"/>
  </r>
  <r>
    <s v="MULTIEMPAQUE"/>
    <x v="1"/>
    <x v="1"/>
    <x v="7"/>
    <s v="AVENA VASO"/>
    <x v="0"/>
    <n v="7711"/>
    <n v="1001"/>
    <x v="85"/>
    <x v="85"/>
    <n v="88"/>
    <n v="1"/>
    <n v="1.5"/>
    <n v="180"/>
    <d v="2024-11-21T00:00:00"/>
    <s v="jueves"/>
    <d v="2024-10-31T00:00:00"/>
    <x v="32"/>
    <n v="152"/>
    <n v="0.84444444444444444"/>
    <n v="88"/>
    <n v="132"/>
    <n v="21"/>
    <n v="0.8833333333333333"/>
    <n v="2.4714"/>
    <n v="2.4714"/>
    <n v="326.22480000000002"/>
    <n v="6"/>
    <x v="0"/>
    <n v="0.13200000000000001"/>
  </r>
  <r>
    <s v="MACHACHI"/>
    <x v="1"/>
    <x v="1"/>
    <x v="4"/>
    <s v="YOGURT FINESSE DESLACT BOTELLA FAMILIAR"/>
    <x v="0"/>
    <n v="7711"/>
    <n v="1001"/>
    <x v="86"/>
    <x v="86"/>
    <n v="36"/>
    <n v="1"/>
    <n v="1.67"/>
    <n v="45"/>
    <d v="2024-11-16T00:00:00"/>
    <s v="sábado"/>
    <d v="2024-11-13T00:00:00"/>
    <x v="2"/>
    <n v="30"/>
    <n v="0.66666666666666663"/>
    <n v="0"/>
    <n v="0"/>
    <n v="3"/>
    <n v="0.93333333333333335"/>
    <n v="2.3031100000000002"/>
    <n v="2.3031100000000002"/>
    <n v="0"/>
    <n v="11"/>
    <x v="0"/>
    <n v="0"/>
  </r>
  <r>
    <s v="MACHACHI"/>
    <x v="1"/>
    <x v="1"/>
    <x v="4"/>
    <s v="YOGURT FINESSE DESLACT BOTELLA FAMILIAR"/>
    <x v="0"/>
    <n v="7711"/>
    <n v="1001"/>
    <x v="86"/>
    <x v="86"/>
    <n v="48"/>
    <n v="1"/>
    <n v="1.67"/>
    <n v="45"/>
    <d v="2024-11-20T00:00:00"/>
    <s v="miércoles"/>
    <d v="2024-11-13T00:00:00"/>
    <x v="2"/>
    <n v="30"/>
    <n v="0.66666666666666663"/>
    <n v="48"/>
    <n v="80.16"/>
    <n v="7"/>
    <n v="0.84444444444444444"/>
    <n v="2.3031100000000002"/>
    <n v="2.3031100000000002"/>
    <n v="184.6172976"/>
    <n v="7"/>
    <x v="0"/>
    <n v="8.0159999999999995E-2"/>
  </r>
  <r>
    <s v="MACHACHI"/>
    <x v="1"/>
    <x v="1"/>
    <x v="4"/>
    <s v="YOGURT FINESSE DESLACT BOTELLA FAMILIAR"/>
    <x v="0"/>
    <n v="7711"/>
    <n v="1001"/>
    <x v="86"/>
    <x v="86"/>
    <n v="12"/>
    <n v="1"/>
    <n v="1.67"/>
    <n v="45"/>
    <d v="2024-11-21T00:00:00"/>
    <s v="jueves"/>
    <d v="2024-11-13T00:00:00"/>
    <x v="2"/>
    <n v="30"/>
    <n v="0.66666666666666663"/>
    <n v="12"/>
    <n v="20.04"/>
    <n v="8"/>
    <n v="0.82222222222222219"/>
    <n v="2.3031100000000002"/>
    <n v="2.3031100000000002"/>
    <n v="46.1543244"/>
    <n v="6"/>
    <x v="0"/>
    <n v="2.0039999999999999E-2"/>
  </r>
  <r>
    <s v="MULTIEMPAQUE_MACH"/>
    <x v="1"/>
    <x v="1"/>
    <x v="6"/>
    <s v="REGENERIS BEBIBLE BOTELLA PERSONAL"/>
    <x v="0"/>
    <n v="7711"/>
    <n v="1001"/>
    <x v="87"/>
    <x v="87"/>
    <n v="48"/>
    <n v="1"/>
    <n v="1.08"/>
    <n v="45"/>
    <d v="2024-11-16T00:00:00"/>
    <s v="sábado"/>
    <d v="2024-11-13T00:00:00"/>
    <x v="2"/>
    <n v="30"/>
    <n v="0.66666666666666663"/>
    <n v="48"/>
    <n v="51.84"/>
    <n v="3"/>
    <n v="0.93333333333333335"/>
    <n v="1.89862"/>
    <n v="1.89862"/>
    <n v="98.424460800000006"/>
    <n v="11"/>
    <x v="0"/>
    <n v="5.1840000000000004E-2"/>
  </r>
  <r>
    <s v="MULTIEMPAQUE_MACH"/>
    <x v="1"/>
    <x v="1"/>
    <x v="6"/>
    <s v="REGENERIS BEBIBLE BOTELLA PERSONAL"/>
    <x v="0"/>
    <n v="7711"/>
    <n v="1001"/>
    <x v="87"/>
    <x v="87"/>
    <n v="24"/>
    <n v="1"/>
    <n v="1.08"/>
    <n v="45"/>
    <d v="2024-11-15T00:00:00"/>
    <s v="viernes"/>
    <d v="2024-11-13T00:00:00"/>
    <x v="2"/>
    <n v="30"/>
    <n v="0.66666666666666663"/>
    <n v="24"/>
    <n v="25.92"/>
    <n v="2"/>
    <n v="0.9555555555555556"/>
    <n v="1.89862"/>
    <n v="1.89862"/>
    <n v="49.212230400000003"/>
    <n v="12"/>
    <x v="0"/>
    <n v="2.5920000000000002E-2"/>
  </r>
  <r>
    <s v="MULTIEMPAQUE_MACH"/>
    <x v="1"/>
    <x v="1"/>
    <x v="6"/>
    <s v="REGENERIS BEBIBLE BOTELLA PERSONAL"/>
    <x v="0"/>
    <n v="7711"/>
    <n v="1001"/>
    <x v="87"/>
    <x v="87"/>
    <n v="72"/>
    <n v="1"/>
    <n v="1.08"/>
    <n v="45"/>
    <d v="2024-11-14T00:00:00"/>
    <s v="jueves"/>
    <d v="2024-11-13T00:00:00"/>
    <x v="2"/>
    <n v="30"/>
    <n v="0.66666666666666663"/>
    <n v="38"/>
    <n v="41.040000000000006"/>
    <n v="1"/>
    <n v="0.97777777777777775"/>
    <n v="1.89862"/>
    <n v="1.89862"/>
    <n v="77.919364800000011"/>
    <n v="13"/>
    <x v="0"/>
    <n v="4.1040000000000007E-2"/>
  </r>
  <r>
    <s v="MULTIEMPAQUE_MACH"/>
    <x v="1"/>
    <x v="1"/>
    <x v="6"/>
    <s v="REGENERIS BEBIBLE BOTELLA PERSONAL"/>
    <x v="0"/>
    <n v="7711"/>
    <n v="1001"/>
    <x v="87"/>
    <x v="87"/>
    <n v="84"/>
    <n v="1"/>
    <n v="1.08"/>
    <n v="45"/>
    <d v="2024-11-20T00:00:00"/>
    <s v="miércoles"/>
    <d v="2024-11-14T00:00:00"/>
    <x v="7"/>
    <n v="31"/>
    <n v="0.68888888888888888"/>
    <n v="84"/>
    <n v="90.72"/>
    <n v="6"/>
    <n v="0.8666666666666667"/>
    <n v="1.89862"/>
    <n v="1.89862"/>
    <n v="172.24280640000001"/>
    <n v="7"/>
    <x v="0"/>
    <n v="9.0719999999999995E-2"/>
  </r>
  <r>
    <s v="MACHACHI"/>
    <x v="1"/>
    <x v="1"/>
    <x v="3"/>
    <s v="GRIEGO SABORIZADO"/>
    <x v="0"/>
    <n v="7711"/>
    <n v="1001"/>
    <x v="88"/>
    <x v="88"/>
    <n v="48"/>
    <n v="1"/>
    <n v="0.4"/>
    <n v="45"/>
    <d v="2024-11-16T00:00:00"/>
    <s v="sábado"/>
    <d v="2024-11-15T00:00:00"/>
    <x v="0"/>
    <n v="32"/>
    <n v="0.71111111111111114"/>
    <n v="37"/>
    <n v="14.8"/>
    <n v="1"/>
    <n v="0.97777777777777775"/>
    <n v="0.79842499999999994"/>
    <n v="0.79842499999999994"/>
    <n v="11.816689999999999"/>
    <n v="11"/>
    <x v="0"/>
    <n v="1.4800000000000001E-2"/>
  </r>
  <r>
    <s v="MACHACHI"/>
    <x v="1"/>
    <x v="1"/>
    <x v="4"/>
    <s v="YOGURT FINESSE DESLACT BOTELLA FAMILIAR"/>
    <x v="0"/>
    <n v="7711"/>
    <n v="1001"/>
    <x v="89"/>
    <x v="89"/>
    <n v="36"/>
    <n v="1"/>
    <n v="1.65"/>
    <n v="45"/>
    <d v="2024-11-06T00:00:00"/>
    <s v="miércoles"/>
    <d v="2024-10-30T00:00:00"/>
    <x v="41"/>
    <n v="16"/>
    <n v="0.35555555555555557"/>
    <n v="39"/>
    <n v="64.349999999999994"/>
    <n v="7"/>
    <n v="0.84444444444444444"/>
    <n v="1.9335450000000001"/>
    <n v="1.9335450000000001"/>
    <n v="124.42362075"/>
    <n v="21"/>
    <x v="2"/>
    <n v="6.4349999999999991E-2"/>
  </r>
  <r>
    <s v="MACHACHI"/>
    <x v="1"/>
    <x v="1"/>
    <x v="4"/>
    <s v="YOGURT FINESSE DESLACT BOTELLA FAMILIAR"/>
    <x v="0"/>
    <n v="7711"/>
    <n v="1001"/>
    <x v="89"/>
    <x v="89"/>
    <n v="12"/>
    <n v="1"/>
    <n v="1.65"/>
    <n v="45"/>
    <d v="2024-11-08T00:00:00"/>
    <s v="viernes"/>
    <d v="2024-10-30T00:00:00"/>
    <x v="41"/>
    <n v="16"/>
    <n v="0.35555555555555557"/>
    <n v="12"/>
    <n v="19.799999999999997"/>
    <n v="9"/>
    <n v="0.8"/>
    <n v="1.9335450000000001"/>
    <n v="1.9335450000000001"/>
    <n v="38.284190999999993"/>
    <n v="19"/>
    <x v="2"/>
    <n v="1.9799999999999998E-2"/>
  </r>
  <r>
    <s v="MULTIEMPAQUE_MACH"/>
    <x v="1"/>
    <x v="1"/>
    <x v="6"/>
    <s v="REGENERIS BAJO EN GRASA BOTELLA PERSONAL"/>
    <x v="0"/>
    <n v="7711"/>
    <n v="1001"/>
    <x v="90"/>
    <x v="90"/>
    <n v="24"/>
    <n v="1"/>
    <n v="0.72"/>
    <n v="45"/>
    <d v="2024-11-01T00:00:00"/>
    <s v="viernes"/>
    <d v="2024-10-25T00:00:00"/>
    <x v="53"/>
    <n v="11"/>
    <n v="0.24444444444444444"/>
    <n v="12"/>
    <n v="8.64"/>
    <n v="7"/>
    <n v="0.84444444444444444"/>
    <n v="1.235225"/>
    <n v="1.235225"/>
    <n v="10.672344000000001"/>
    <n v="26"/>
    <x v="2"/>
    <n v="8.6400000000000001E-3"/>
  </r>
  <r>
    <s v="MACHACHI"/>
    <x v="1"/>
    <x v="1"/>
    <x v="3"/>
    <s v="BEBIDA DE YOGURT KIOSKO BOTELLA FAMILIAR"/>
    <x v="0"/>
    <n v="7711"/>
    <n v="1001"/>
    <x v="91"/>
    <x v="91"/>
    <n v="18"/>
    <n v="1"/>
    <n v="0.95"/>
    <n v="45"/>
    <d v="2024-11-01T00:00:00"/>
    <s v="viernes"/>
    <d v="2024-10-25T00:00:00"/>
    <x v="53"/>
    <n v="11"/>
    <n v="0.24444444444444444"/>
    <n v="10"/>
    <n v="9.5"/>
    <n v="7"/>
    <n v="0.84444444444444444"/>
    <n v="1.09108"/>
    <n v="1.09108"/>
    <n v="10.365260000000001"/>
    <n v="26"/>
    <x v="2"/>
    <n v="9.4999999999999998E-3"/>
  </r>
  <r>
    <s v="MACHACHI"/>
    <x v="1"/>
    <x v="1"/>
    <x v="3"/>
    <s v="BEBIDA DE YOGURT KIOSKO BOTELLA FAMILIAR"/>
    <x v="0"/>
    <n v="7711"/>
    <n v="1001"/>
    <x v="91"/>
    <x v="91"/>
    <n v="18"/>
    <n v="1"/>
    <n v="0.95"/>
    <n v="45"/>
    <d v="2024-11-20T00:00:00"/>
    <s v="miércoles"/>
    <d v="2024-11-15T00:00:00"/>
    <x v="0"/>
    <n v="32"/>
    <n v="0.71111111111111114"/>
    <n v="16"/>
    <n v="15.2"/>
    <n v="5"/>
    <n v="0.88888888888888884"/>
    <n v="1.09108"/>
    <n v="1.09108"/>
    <n v="16.584416000000001"/>
    <n v="7"/>
    <x v="0"/>
    <n v="1.52E-2"/>
  </r>
  <r>
    <s v="SAN GABRIEL"/>
    <x v="0"/>
    <x v="0"/>
    <x v="0"/>
    <s v="QUESO RICOTTA KIOSKO BLOQUE"/>
    <x v="0"/>
    <n v="7711"/>
    <n v="1001"/>
    <x v="92"/>
    <x v="92"/>
    <n v="180"/>
    <n v="1"/>
    <n v="0.45"/>
    <n v="35"/>
    <d v="2024-11-19T00:00:00"/>
    <s v="martes"/>
    <d v="2024-11-16T00:00:00"/>
    <x v="11"/>
    <n v="23"/>
    <n v="0.65714285714285714"/>
    <n v="3"/>
    <n v="1.35"/>
    <n v="3"/>
    <n v="0.91428571428571426"/>
    <n v="1.1964000000000001"/>
    <n v="1.1964000000000001"/>
    <n v="1.6151400000000002"/>
    <n v="8"/>
    <x v="1"/>
    <n v="1.3500000000000001E-3"/>
  </r>
  <r>
    <s v="SAN GABRIEL"/>
    <x v="0"/>
    <x v="0"/>
    <x v="0"/>
    <s v="QUESO RICOTTA KIOSKO BLOQUE"/>
    <x v="0"/>
    <n v="7711"/>
    <n v="1001"/>
    <x v="92"/>
    <x v="92"/>
    <n v="135"/>
    <n v="1"/>
    <n v="0.45"/>
    <n v="35"/>
    <d v="2024-11-20T00:00:00"/>
    <s v="miércoles"/>
    <d v="2024-11-16T00:00:00"/>
    <x v="11"/>
    <n v="23"/>
    <n v="0.65714285714285714"/>
    <n v="135"/>
    <n v="60.75"/>
    <n v="4"/>
    <n v="0.88571428571428568"/>
    <n v="1.1964000000000001"/>
    <n v="1.1964000000000001"/>
    <n v="72.681300000000007"/>
    <n v="7"/>
    <x v="1"/>
    <n v="6.0749999999999998E-2"/>
  </r>
  <r>
    <s v="SAN GABRIEL"/>
    <x v="0"/>
    <x v="0"/>
    <x v="0"/>
    <s v="QUESO RICOTTA KIOSKO BLOQUE"/>
    <x v="0"/>
    <n v="7711"/>
    <n v="1001"/>
    <x v="92"/>
    <x v="92"/>
    <n v="180"/>
    <n v="1"/>
    <n v="0.45"/>
    <n v="35"/>
    <d v="2024-11-21T00:00:00"/>
    <s v="jueves"/>
    <d v="2024-11-16T00:00:00"/>
    <x v="11"/>
    <n v="23"/>
    <n v="0.65714285714285714"/>
    <n v="180"/>
    <n v="81"/>
    <n v="5"/>
    <n v="0.85714285714285721"/>
    <n v="1.1964000000000001"/>
    <n v="1.1964000000000001"/>
    <n v="96.908400000000015"/>
    <n v="6"/>
    <x v="1"/>
    <n v="8.1000000000000003E-2"/>
  </r>
  <r>
    <s v="SAN GABRIEL"/>
    <x v="0"/>
    <x v="0"/>
    <x v="1"/>
    <s v="QUESO MOZARELLA KIOSKO BLOQUE"/>
    <x v="0"/>
    <n v="7711"/>
    <n v="1001"/>
    <x v="93"/>
    <x v="93"/>
    <n v="756"/>
    <n v="1"/>
    <n v="0.7"/>
    <n v="40"/>
    <d v="2024-11-15T00:00:00"/>
    <s v="viernes"/>
    <d v="2024-11-13T00:00:00"/>
    <x v="9"/>
    <n v="25"/>
    <n v="0.625"/>
    <n v="109"/>
    <n v="76.3"/>
    <n v="2"/>
    <n v="0.95"/>
    <n v="3.26932"/>
    <n v="3.26932"/>
    <n v="249.449116"/>
    <n v="12"/>
    <x v="1"/>
    <n v="7.6299999999999993E-2"/>
  </r>
  <r>
    <s v="SAN GABRIEL"/>
    <x v="0"/>
    <x v="0"/>
    <x v="1"/>
    <s v="QUESO MOZARELLA KIOSKO BLOQUE"/>
    <x v="0"/>
    <n v="7711"/>
    <n v="1001"/>
    <x v="93"/>
    <x v="93"/>
    <n v="540"/>
    <n v="1"/>
    <n v="0.7"/>
    <n v="40"/>
    <d v="2024-11-19T00:00:00"/>
    <s v="martes"/>
    <d v="2024-11-14T00:00:00"/>
    <x v="6"/>
    <n v="26"/>
    <n v="0.65"/>
    <n v="540"/>
    <n v="378"/>
    <n v="5"/>
    <n v="0.875"/>
    <n v="3.26932"/>
    <n v="3.26932"/>
    <n v="1235.80296"/>
    <n v="8"/>
    <x v="1"/>
    <n v="0.378"/>
  </r>
  <r>
    <s v="SAN GABRIEL"/>
    <x v="0"/>
    <x v="0"/>
    <x v="1"/>
    <s v="QUESO MOZARELLA KIOSKO BLOQUE"/>
    <x v="0"/>
    <n v="7711"/>
    <n v="1001"/>
    <x v="93"/>
    <x v="93"/>
    <n v="162"/>
    <n v="1"/>
    <n v="0.7"/>
    <n v="40"/>
    <d v="2024-11-20T00:00:00"/>
    <s v="miércoles"/>
    <d v="2024-11-16T00:00:00"/>
    <x v="43"/>
    <n v="28"/>
    <n v="0.7"/>
    <n v="162"/>
    <n v="113.39999999999999"/>
    <n v="4"/>
    <n v="0.9"/>
    <n v="3.26932"/>
    <n v="3.26932"/>
    <n v="370.74088799999998"/>
    <n v="7"/>
    <x v="0"/>
    <n v="0.11339999999999999"/>
  </r>
  <r>
    <s v="SAN GABRIEL"/>
    <x v="0"/>
    <x v="0"/>
    <x v="1"/>
    <s v="QUESO MOZARELLA KIOSKO BLOQUE"/>
    <x v="0"/>
    <n v="7711"/>
    <n v="1001"/>
    <x v="93"/>
    <x v="93"/>
    <n v="108"/>
    <n v="1"/>
    <n v="0.7"/>
    <n v="40"/>
    <d v="2024-11-20T00:00:00"/>
    <s v="miércoles"/>
    <d v="2024-11-14T00:00:00"/>
    <x v="6"/>
    <n v="26"/>
    <n v="0.65"/>
    <n v="108"/>
    <n v="75.599999999999994"/>
    <n v="6"/>
    <n v="0.85"/>
    <n v="3.26932"/>
    <n v="3.26932"/>
    <n v="247.16059199999998"/>
    <n v="7"/>
    <x v="1"/>
    <n v="7.5600000000000001E-2"/>
  </r>
  <r>
    <s v="SAN GABRIEL"/>
    <x v="0"/>
    <x v="0"/>
    <x v="1"/>
    <s v="QUESO MOZARELLA KIOSKO BLOQUE"/>
    <x v="0"/>
    <n v="7711"/>
    <n v="1001"/>
    <x v="93"/>
    <x v="93"/>
    <n v="378"/>
    <n v="1"/>
    <n v="0.7"/>
    <n v="40"/>
    <d v="2024-11-21T00:00:00"/>
    <s v="jueves"/>
    <d v="2024-11-16T00:00:00"/>
    <x v="43"/>
    <n v="28"/>
    <n v="0.7"/>
    <n v="378"/>
    <n v="264.59999999999997"/>
    <n v="5"/>
    <n v="0.875"/>
    <n v="3.26932"/>
    <n v="3.26932"/>
    <n v="865.06207199999994"/>
    <n v="6"/>
    <x v="0"/>
    <n v="0.26459999999999995"/>
  </r>
  <r>
    <s v="MAQUILA_SG"/>
    <x v="2"/>
    <x v="1"/>
    <x v="10"/>
    <s v="AREQUIPE ALPINA"/>
    <x v="0"/>
    <n v="7711"/>
    <n v="1001"/>
    <x v="94"/>
    <x v="94"/>
    <n v="132"/>
    <n v="1"/>
    <n v="7.4999999999999997E-2"/>
    <n v="180"/>
    <d v="2024-11-13T00:00:00"/>
    <s v="miércoles"/>
    <d v="2024-10-02T00:00:00"/>
    <x v="71"/>
    <n v="123"/>
    <n v="0.68333333333333335"/>
    <n v="113"/>
    <n v="8.4749999999999996"/>
    <n v="42"/>
    <n v="0.76666666666666661"/>
    <n v="0.61960000000000004"/>
    <n v="0.61960000000000004"/>
    <n v="5.2511099999999997"/>
    <n v="14"/>
    <x v="0"/>
    <n v="8.4749999999999999E-3"/>
  </r>
  <r>
    <s v="MAQUILA_SG"/>
    <x v="2"/>
    <x v="1"/>
    <x v="10"/>
    <s v="AREQUIPE ALPINA"/>
    <x v="0"/>
    <n v="7711"/>
    <n v="1001"/>
    <x v="94"/>
    <x v="94"/>
    <n v="108"/>
    <n v="1"/>
    <n v="7.4999999999999997E-2"/>
    <n v="180"/>
    <d v="2024-11-16T00:00:00"/>
    <s v="sábado"/>
    <d v="2024-10-23T00:00:00"/>
    <x v="64"/>
    <n v="144"/>
    <n v="0.8"/>
    <n v="108"/>
    <n v="8.1"/>
    <n v="24"/>
    <n v="0.8666666666666667"/>
    <n v="0.61960000000000004"/>
    <n v="0.61960000000000004"/>
    <n v="5.0187600000000003"/>
    <n v="11"/>
    <x v="0"/>
    <n v="8.0999999999999996E-3"/>
  </r>
  <r>
    <s v="MAQUILA_SG"/>
    <x v="2"/>
    <x v="1"/>
    <x v="10"/>
    <s v="AREQUIPE ALPINA"/>
    <x v="0"/>
    <n v="7711"/>
    <n v="1001"/>
    <x v="94"/>
    <x v="94"/>
    <n v="132"/>
    <n v="1"/>
    <n v="7.4999999999999997E-2"/>
    <n v="180"/>
    <d v="2024-11-15T00:00:00"/>
    <s v="viernes"/>
    <d v="2024-10-23T00:00:00"/>
    <x v="64"/>
    <n v="144"/>
    <n v="0.8"/>
    <n v="132"/>
    <n v="9.9"/>
    <n v="23"/>
    <n v="0.87222222222222223"/>
    <n v="0.61960000000000004"/>
    <n v="0.61960000000000004"/>
    <n v="6.1340400000000006"/>
    <n v="12"/>
    <x v="0"/>
    <n v="9.9000000000000008E-3"/>
  </r>
  <r>
    <s v="MAQUILA_SG"/>
    <x v="2"/>
    <x v="1"/>
    <x v="10"/>
    <s v="AREQUIPE ALPINA"/>
    <x v="0"/>
    <n v="7711"/>
    <n v="1001"/>
    <x v="94"/>
    <x v="94"/>
    <n v="132"/>
    <n v="1"/>
    <n v="7.4999999999999997E-2"/>
    <n v="180"/>
    <d v="2024-11-19T00:00:00"/>
    <s v="martes"/>
    <d v="2024-10-23T00:00:00"/>
    <x v="64"/>
    <n v="144"/>
    <n v="0.8"/>
    <n v="132"/>
    <n v="9.9"/>
    <n v="27"/>
    <n v="0.85"/>
    <n v="0.61960000000000004"/>
    <n v="0.61960000000000004"/>
    <n v="6.1340400000000006"/>
    <n v="8"/>
    <x v="0"/>
    <n v="9.9000000000000008E-3"/>
  </r>
  <r>
    <s v="MAQUILA_SG"/>
    <x v="2"/>
    <x v="1"/>
    <x v="10"/>
    <s v="AREQUIPE ALPINA"/>
    <x v="0"/>
    <n v="7711"/>
    <n v="1001"/>
    <x v="94"/>
    <x v="94"/>
    <n v="264"/>
    <n v="1"/>
    <n v="7.4999999999999997E-2"/>
    <n v="180"/>
    <d v="2024-11-21T00:00:00"/>
    <s v="jueves"/>
    <d v="2024-11-01T00:00:00"/>
    <x v="69"/>
    <n v="153"/>
    <n v="0.85"/>
    <n v="132"/>
    <n v="9.9"/>
    <n v="20"/>
    <n v="0.88888888888888884"/>
    <n v="0.61960000000000004"/>
    <n v="0.61960000000000004"/>
    <n v="6.1340400000000006"/>
    <n v="6"/>
    <x v="0"/>
    <n v="9.9000000000000008E-3"/>
  </r>
  <r>
    <s v="MACHACHI"/>
    <x v="1"/>
    <x v="1"/>
    <x v="3"/>
    <s v="BEBIDA DE YOGURT KIOSKO BOTELLA PERSONAL"/>
    <x v="0"/>
    <n v="7711"/>
    <n v="1001"/>
    <x v="95"/>
    <x v="95"/>
    <n v="0"/>
    <n v="1"/>
    <n v="0.18"/>
    <n v="45"/>
    <d v="2024-10-31T00:00:00"/>
    <s v="jueves"/>
    <d v="2024-10-31T00:00:00"/>
    <x v="10"/>
    <n v="17"/>
    <n v="0.37777777777777777"/>
    <n v="53"/>
    <n v="9.5399999999999991"/>
    <n v="0"/>
    <n v="1"/>
    <n v="0.243175"/>
    <n v="0.243175"/>
    <n v="2.3198894999999999"/>
    <n v="27"/>
    <x v="2"/>
    <n v="9.5399999999999999E-3"/>
  </r>
  <r>
    <s v="MACHACHI"/>
    <x v="1"/>
    <x v="1"/>
    <x v="3"/>
    <s v="BEBIDA DE YOGURT KIOSKO BOTELLA PERSONAL"/>
    <x v="0"/>
    <n v="7711"/>
    <n v="1001"/>
    <x v="95"/>
    <x v="95"/>
    <n v="216"/>
    <n v="1"/>
    <n v="0.18"/>
    <n v="45"/>
    <d v="2024-11-01T00:00:00"/>
    <s v="viernes"/>
    <d v="2024-10-23T00:00:00"/>
    <x v="66"/>
    <n v="9"/>
    <n v="0.2"/>
    <n v="137"/>
    <n v="24.66"/>
    <n v="9"/>
    <n v="0.8"/>
    <n v="0.243175"/>
    <n v="0.243175"/>
    <n v="5.9966955000000004"/>
    <n v="26"/>
    <x v="2"/>
    <n v="2.4660000000000001E-2"/>
  </r>
  <r>
    <s v="MACHACHI"/>
    <x v="1"/>
    <x v="1"/>
    <x v="3"/>
    <s v="BEBIDA DE YOGURT KIOSKO BOTELLA PERSONAL"/>
    <x v="0"/>
    <n v="7711"/>
    <n v="1001"/>
    <x v="95"/>
    <x v="95"/>
    <n v="108"/>
    <n v="1"/>
    <n v="0.18"/>
    <n v="45"/>
    <d v="2024-11-21T00:00:00"/>
    <s v="jueves"/>
    <d v="2024-11-15T00:00:00"/>
    <x v="0"/>
    <n v="32"/>
    <n v="0.71111111111111114"/>
    <n v="24"/>
    <n v="4.32"/>
    <n v="6"/>
    <n v="0.8666666666666667"/>
    <n v="0.243175"/>
    <n v="0.243175"/>
    <n v="1.050516"/>
    <n v="6"/>
    <x v="0"/>
    <n v="4.3200000000000001E-3"/>
  </r>
  <r>
    <s v="SAN GABRIEL"/>
    <x v="0"/>
    <x v="0"/>
    <x v="5"/>
    <s v="QUESO HOLANDES KIOSKO TAJADO"/>
    <x v="0"/>
    <n v="7711"/>
    <n v="1001"/>
    <x v="96"/>
    <x v="96"/>
    <n v="30"/>
    <n v="2.5"/>
    <n v="1"/>
    <n v="90"/>
    <d v="2024-11-19T00:00:00"/>
    <s v="martes"/>
    <d v="2024-11-12T00:00:00"/>
    <x v="18"/>
    <n v="74"/>
    <n v="0.82222222222222219"/>
    <n v="30"/>
    <n v="75"/>
    <n v="7"/>
    <n v="0.92222222222222228"/>
    <n v="7.5711700000000004"/>
    <n v="18.927925000000002"/>
    <n v="1419.5943750000001"/>
    <n v="8"/>
    <x v="0"/>
    <n v="7.4999999999999997E-2"/>
  </r>
  <r>
    <s v="SAN GABRIEL"/>
    <x v="0"/>
    <x v="0"/>
    <x v="5"/>
    <s v="QUESO HOLANDES KIOSKO TAJADO"/>
    <x v="0"/>
    <n v="7711"/>
    <n v="1001"/>
    <x v="96"/>
    <x v="96"/>
    <n v="30"/>
    <n v="2.5"/>
    <n v="1"/>
    <n v="90"/>
    <d v="2024-11-20T00:00:00"/>
    <s v="miércoles"/>
    <d v="2024-11-13T00:00:00"/>
    <x v="39"/>
    <n v="75"/>
    <n v="0.83333333333333337"/>
    <n v="30"/>
    <n v="75"/>
    <n v="7"/>
    <n v="0.92222222222222228"/>
    <n v="7.5711700000000004"/>
    <n v="18.927925000000002"/>
    <n v="1419.5943750000001"/>
    <n v="7"/>
    <x v="0"/>
    <n v="7.4999999999999997E-2"/>
  </r>
  <r>
    <s v="SAN GABRIEL"/>
    <x v="0"/>
    <x v="0"/>
    <x v="5"/>
    <s v="QUESO HOLANDES KIOSKO TAJADO"/>
    <x v="0"/>
    <n v="7711"/>
    <n v="1001"/>
    <x v="96"/>
    <x v="96"/>
    <n v="30"/>
    <n v="2.5"/>
    <n v="1"/>
    <n v="90"/>
    <d v="2024-11-21T00:00:00"/>
    <s v="jueves"/>
    <d v="2024-11-13T00:00:00"/>
    <x v="39"/>
    <n v="75"/>
    <n v="0.83333333333333337"/>
    <n v="30"/>
    <n v="75"/>
    <n v="8"/>
    <n v="0.91111111111111109"/>
    <n v="7.5711700000000004"/>
    <n v="18.927925000000002"/>
    <n v="1419.5943750000001"/>
    <n v="6"/>
    <x v="0"/>
    <n v="7.4999999999999997E-2"/>
  </r>
  <r>
    <s v="SAN GABRIEL"/>
    <x v="0"/>
    <x v="0"/>
    <x v="5"/>
    <s v="QUESO SANDUCHE KIOSKO TAJADO"/>
    <x v="0"/>
    <n v="7711"/>
    <n v="1001"/>
    <x v="97"/>
    <x v="97"/>
    <n v="10"/>
    <n v="2.5"/>
    <n v="1"/>
    <n v="90"/>
    <d v="2024-10-17T00:00:00"/>
    <s v="jueves"/>
    <d v="2024-10-12T00:00:00"/>
    <x v="72"/>
    <n v="43"/>
    <n v="0.4777777777777778"/>
    <n v="3"/>
    <n v="7.5"/>
    <n v="5"/>
    <n v="0.94444444444444442"/>
    <n v="7.2458349999999996"/>
    <n v="18.114587499999999"/>
    <n v="135.85940625000001"/>
    <n v="41"/>
    <x v="0"/>
    <n v="7.4999999999999997E-3"/>
  </r>
  <r>
    <s v="SAN GABRIEL"/>
    <x v="0"/>
    <x v="0"/>
    <x v="5"/>
    <s v="QUESO SANDUCHE KIOSKO TAJADO"/>
    <x v="0"/>
    <n v="7711"/>
    <n v="1001"/>
    <x v="97"/>
    <x v="97"/>
    <n v="10"/>
    <n v="2.5"/>
    <n v="1"/>
    <n v="90"/>
    <d v="2024-10-22T00:00:00"/>
    <s v="martes"/>
    <d v="2024-10-16T00:00:00"/>
    <x v="52"/>
    <n v="47"/>
    <n v="0.52222222222222225"/>
    <n v="10"/>
    <n v="25"/>
    <n v="6"/>
    <n v="0.93333333333333335"/>
    <n v="7.2458349999999996"/>
    <n v="18.114587499999999"/>
    <n v="452.86468749999995"/>
    <n v="36"/>
    <x v="0"/>
    <n v="2.5000000000000001E-2"/>
  </r>
  <r>
    <s v="SAN GABRIEL"/>
    <x v="0"/>
    <x v="0"/>
    <x v="5"/>
    <s v="QUESO SANDUCHE KIOSKO TAJADO"/>
    <x v="0"/>
    <n v="7711"/>
    <n v="1001"/>
    <x v="97"/>
    <x v="97"/>
    <n v="10"/>
    <n v="2.5"/>
    <n v="1"/>
    <n v="90"/>
    <d v="2024-10-22T00:00:00"/>
    <s v="martes"/>
    <d v="2024-10-15T00:00:00"/>
    <x v="47"/>
    <n v="46"/>
    <n v="0.51111111111111107"/>
    <n v="9"/>
    <n v="22.5"/>
    <n v="7"/>
    <n v="0.92222222222222228"/>
    <n v="7.2458349999999996"/>
    <n v="18.114587499999999"/>
    <n v="407.57821874999996"/>
    <n v="36"/>
    <x v="0"/>
    <n v="2.2499999999999999E-2"/>
  </r>
  <r>
    <s v="SAN GABRIEL"/>
    <x v="0"/>
    <x v="0"/>
    <x v="5"/>
    <s v="QUESO SANDUCHE KIOSKO TAJADO"/>
    <x v="0"/>
    <n v="7711"/>
    <n v="1001"/>
    <x v="97"/>
    <x v="97"/>
    <n v="10"/>
    <n v="2.5"/>
    <n v="1"/>
    <n v="90"/>
    <d v="2024-10-23T00:00:00"/>
    <s v="miércoles"/>
    <d v="2024-10-16T00:00:00"/>
    <x v="52"/>
    <n v="47"/>
    <n v="0.52222222222222225"/>
    <n v="10"/>
    <n v="25"/>
    <n v="7"/>
    <n v="0.92222222222222228"/>
    <n v="7.2458349999999996"/>
    <n v="18.114587499999999"/>
    <n v="452.86468749999995"/>
    <n v="35"/>
    <x v="0"/>
    <n v="2.5000000000000001E-2"/>
  </r>
  <r>
    <s v="SAN GABRIEL"/>
    <x v="0"/>
    <x v="0"/>
    <x v="5"/>
    <s v="QUESO SANDUCHE KIOSKO TAJADO"/>
    <x v="0"/>
    <n v="7711"/>
    <n v="1001"/>
    <x v="97"/>
    <x v="97"/>
    <n v="10"/>
    <n v="2.5"/>
    <n v="1"/>
    <n v="90"/>
    <d v="2024-10-24T00:00:00"/>
    <s v="jueves"/>
    <d v="2024-10-17T00:00:00"/>
    <x v="12"/>
    <n v="48"/>
    <n v="0.53333333333333333"/>
    <n v="11"/>
    <n v="27.5"/>
    <n v="7"/>
    <n v="0.92222222222222228"/>
    <n v="7.2458349999999996"/>
    <n v="18.114587499999999"/>
    <n v="498.15115624999999"/>
    <n v="34"/>
    <x v="0"/>
    <n v="2.75E-2"/>
  </r>
  <r>
    <s v="SAN GABRIEL"/>
    <x v="0"/>
    <x v="0"/>
    <x v="5"/>
    <s v="QUESO SEMIMADURO KIOSKO MIX CUBOS"/>
    <x v="0"/>
    <n v="7711"/>
    <n v="1001"/>
    <x v="98"/>
    <x v="98"/>
    <n v="150"/>
    <n v="1"/>
    <n v="0.15"/>
    <n v="60"/>
    <d v="2024-11-19T00:00:00"/>
    <s v="martes"/>
    <d v="2024-11-13T00:00:00"/>
    <x v="46"/>
    <n v="45"/>
    <n v="0.75"/>
    <n v="112"/>
    <n v="16.8"/>
    <n v="6"/>
    <n v="0.9"/>
    <n v="1.1024050000000001"/>
    <n v="1.1024050000000001"/>
    <n v="18.520404000000003"/>
    <n v="8"/>
    <x v="0"/>
    <n v="1.6800000000000002E-2"/>
  </r>
  <r>
    <s v="SAN GABRIEL"/>
    <x v="0"/>
    <x v="0"/>
    <x v="5"/>
    <s v="QUESO SEMIMADURO KIOSKO MIX CUBOS"/>
    <x v="0"/>
    <n v="7711"/>
    <n v="1001"/>
    <x v="98"/>
    <x v="98"/>
    <n v="150"/>
    <n v="1"/>
    <n v="0.15"/>
    <n v="60"/>
    <d v="2024-11-20T00:00:00"/>
    <s v="miércoles"/>
    <d v="2024-11-13T00:00:00"/>
    <x v="46"/>
    <n v="45"/>
    <n v="0.75"/>
    <n v="150"/>
    <n v="22.5"/>
    <n v="7"/>
    <n v="0.8833333333333333"/>
    <n v="1.1024050000000001"/>
    <n v="1.1024050000000001"/>
    <n v="24.804112500000002"/>
    <n v="7"/>
    <x v="0"/>
    <n v="2.2499999999999999E-2"/>
  </r>
  <r>
    <s v="SAN GABRIEL"/>
    <x v="0"/>
    <x v="0"/>
    <x v="5"/>
    <s v="QUESO SEMIMADURO KIOSKO MIX CUBOS"/>
    <x v="0"/>
    <n v="7711"/>
    <n v="1001"/>
    <x v="98"/>
    <x v="98"/>
    <n v="200"/>
    <n v="1"/>
    <n v="0.15"/>
    <n v="60"/>
    <d v="2024-11-21T00:00:00"/>
    <s v="jueves"/>
    <d v="2024-11-16T00:00:00"/>
    <x v="12"/>
    <n v="48"/>
    <n v="0.8"/>
    <n v="200"/>
    <n v="30"/>
    <n v="5"/>
    <n v="0.91666666666666663"/>
    <n v="1.1024050000000001"/>
    <n v="1.1024050000000001"/>
    <n v="33.072150000000001"/>
    <n v="6"/>
    <x v="0"/>
    <n v="0.03"/>
  </r>
  <r>
    <s v="COLOMBIA"/>
    <x v="1"/>
    <x v="1"/>
    <x v="7"/>
    <s v="AVENA VASO"/>
    <x v="0"/>
    <n v="7711"/>
    <n v="1001"/>
    <x v="99"/>
    <x v="99"/>
    <n v="624"/>
    <n v="1"/>
    <n v="0.25"/>
    <n v="180"/>
    <d v="2024-11-07T00:00:00"/>
    <s v="jueves"/>
    <d v="2024-10-19T00:00:00"/>
    <x v="73"/>
    <n v="140"/>
    <n v="0.77777777777777779"/>
    <n v="531"/>
    <n v="132.75"/>
    <n v="19"/>
    <n v="0.89444444444444449"/>
    <n v="0.40961000000000003"/>
    <n v="0.40961000000000003"/>
    <n v="54.375727500000004"/>
    <n v="20"/>
    <x v="0"/>
    <n v="0.13275000000000001"/>
  </r>
  <r>
    <s v="COLOMBIA"/>
    <x v="1"/>
    <x v="1"/>
    <x v="7"/>
    <s v="AVENA VASO"/>
    <x v="0"/>
    <n v="7711"/>
    <n v="1001"/>
    <x v="99"/>
    <x v="99"/>
    <n v="1344"/>
    <n v="1"/>
    <n v="0.25"/>
    <n v="180"/>
    <d v="2024-11-12T00:00:00"/>
    <s v="martes"/>
    <d v="2024-10-19T00:00:00"/>
    <x v="73"/>
    <n v="140"/>
    <n v="0.77777777777777779"/>
    <n v="1344"/>
    <n v="336"/>
    <n v="24"/>
    <n v="0.8666666666666667"/>
    <n v="0.40961000000000003"/>
    <n v="0.40961000000000003"/>
    <n v="137.62896000000001"/>
    <n v="15"/>
    <x v="0"/>
    <n v="0.33600000000000002"/>
  </r>
  <r>
    <s v="COLOMBIA"/>
    <x v="1"/>
    <x v="1"/>
    <x v="7"/>
    <s v="AVENA VASO"/>
    <x v="0"/>
    <n v="7711"/>
    <n v="1001"/>
    <x v="99"/>
    <x v="99"/>
    <n v="624"/>
    <n v="1"/>
    <n v="0.25"/>
    <n v="180"/>
    <d v="2024-11-14T00:00:00"/>
    <s v="jueves"/>
    <d v="2024-10-19T00:00:00"/>
    <x v="73"/>
    <n v="140"/>
    <n v="0.77777777777777779"/>
    <n v="624"/>
    <n v="156"/>
    <n v="26"/>
    <n v="0.85555555555555562"/>
    <n v="0.40961000000000003"/>
    <n v="0.40961000000000003"/>
    <n v="63.899160000000002"/>
    <n v="13"/>
    <x v="0"/>
    <n v="0.156"/>
  </r>
  <r>
    <s v="SAN GABRIEL"/>
    <x v="0"/>
    <x v="0"/>
    <x v="5"/>
    <s v="QUESO AMERICANO KIOSKO TAJADO"/>
    <x v="0"/>
    <n v="7711"/>
    <n v="1001"/>
    <x v="100"/>
    <x v="100"/>
    <n v="90"/>
    <n v="1"/>
    <n v="0.15"/>
    <n v="60"/>
    <d v="2024-11-15T00:00:00"/>
    <s v="viernes"/>
    <d v="2024-11-08T00:00:00"/>
    <x v="67"/>
    <n v="40"/>
    <n v="0.66666666666666663"/>
    <n v="82"/>
    <n v="12.299999999999999"/>
    <n v="7"/>
    <n v="0.8833333333333333"/>
    <n v="1.1246900000000002"/>
    <n v="1.1246900000000002"/>
    <n v="13.833687000000001"/>
    <n v="12"/>
    <x v="0"/>
    <n v="1.2299999999999998E-2"/>
  </r>
  <r>
    <s v="SAN GABRIEL"/>
    <x v="0"/>
    <x v="0"/>
    <x v="5"/>
    <s v="QUESO AMERICANO KIOSKO TAJADO"/>
    <x v="0"/>
    <n v="7711"/>
    <n v="1001"/>
    <x v="100"/>
    <x v="100"/>
    <n v="40"/>
    <n v="1"/>
    <n v="0.15"/>
    <n v="60"/>
    <d v="2024-11-19T00:00:00"/>
    <s v="martes"/>
    <d v="2024-11-15T00:00:00"/>
    <x v="52"/>
    <n v="47"/>
    <n v="0.78333333333333333"/>
    <n v="40"/>
    <n v="6"/>
    <n v="4"/>
    <n v="0.93333333333333335"/>
    <n v="1.1246900000000002"/>
    <n v="1.1246900000000002"/>
    <n v="6.7481400000000011"/>
    <n v="8"/>
    <x v="0"/>
    <n v="6.0000000000000001E-3"/>
  </r>
  <r>
    <s v="SAN GABRIEL"/>
    <x v="0"/>
    <x v="0"/>
    <x v="5"/>
    <s v="QUESO AMERICANO KIOSKO TAJADO"/>
    <x v="0"/>
    <n v="7711"/>
    <n v="1001"/>
    <x v="100"/>
    <x v="100"/>
    <n v="50"/>
    <n v="1"/>
    <n v="0.15"/>
    <n v="60"/>
    <d v="2024-11-20T00:00:00"/>
    <s v="miércoles"/>
    <d v="2024-11-15T00:00:00"/>
    <x v="52"/>
    <n v="47"/>
    <n v="0.78333333333333333"/>
    <n v="50"/>
    <n v="7.5"/>
    <n v="5"/>
    <n v="0.91666666666666663"/>
    <n v="1.1246900000000002"/>
    <n v="1.1246900000000002"/>
    <n v="8.435175000000001"/>
    <n v="7"/>
    <x v="0"/>
    <n v="7.4999999999999997E-3"/>
  </r>
  <r>
    <s v="SAN GABRIEL"/>
    <x v="0"/>
    <x v="0"/>
    <x v="5"/>
    <s v="QUESO AMERICANO KIOSKO TAJADO"/>
    <x v="0"/>
    <n v="7711"/>
    <n v="1001"/>
    <x v="100"/>
    <x v="100"/>
    <n v="40"/>
    <n v="1"/>
    <n v="0.15"/>
    <n v="60"/>
    <d v="2024-11-21T00:00:00"/>
    <s v="jueves"/>
    <d v="2024-11-15T00:00:00"/>
    <x v="52"/>
    <n v="47"/>
    <n v="0.78333333333333333"/>
    <n v="40"/>
    <n v="6"/>
    <n v="6"/>
    <n v="0.9"/>
    <n v="1.1246900000000002"/>
    <n v="1.1246900000000002"/>
    <n v="6.7481400000000011"/>
    <n v="6"/>
    <x v="0"/>
    <n v="6.0000000000000001E-3"/>
  </r>
  <r>
    <s v="MACHACHI"/>
    <x v="1"/>
    <x v="1"/>
    <x v="2"/>
    <s v="BON YURT REGULAR"/>
    <x v="0"/>
    <n v="7711"/>
    <n v="1001"/>
    <x v="101"/>
    <x v="101"/>
    <n v="60"/>
    <n v="1"/>
    <n v="0.158"/>
    <n v="45"/>
    <d v="2024-11-09T00:00:00"/>
    <s v="sábado"/>
    <d v="2024-10-29T00:00:00"/>
    <x v="25"/>
    <n v="15"/>
    <n v="0.33333333333333331"/>
    <n v="16"/>
    <n v="2.528"/>
    <n v="11"/>
    <n v="0.75555555555555554"/>
    <n v="0.32181499999999996"/>
    <n v="0.32181499999999996"/>
    <n v="0.81354831999999988"/>
    <n v="18"/>
    <x v="2"/>
    <n v="2.5279999999999999E-3"/>
  </r>
  <r>
    <s v="MACHACHI"/>
    <x v="1"/>
    <x v="1"/>
    <x v="2"/>
    <s v="BON YURT REGULAR"/>
    <x v="0"/>
    <n v="7711"/>
    <n v="1001"/>
    <x v="101"/>
    <x v="101"/>
    <n v="480"/>
    <n v="1"/>
    <n v="0.158"/>
    <n v="45"/>
    <d v="2024-11-16T00:00:00"/>
    <s v="sábado"/>
    <d v="2024-11-09T00:00:00"/>
    <x v="6"/>
    <n v="26"/>
    <n v="0.57777777777777772"/>
    <n v="480"/>
    <n v="75.84"/>
    <n v="7"/>
    <n v="0.84444444444444444"/>
    <n v="0.32181499999999996"/>
    <n v="0.32181499999999996"/>
    <n v="24.406449599999998"/>
    <n v="11"/>
    <x v="1"/>
    <n v="7.5840000000000005E-2"/>
  </r>
  <r>
    <s v="MACHACHI"/>
    <x v="1"/>
    <x v="1"/>
    <x v="2"/>
    <s v="BON YURT REGULAR"/>
    <x v="0"/>
    <n v="7711"/>
    <n v="1001"/>
    <x v="101"/>
    <x v="101"/>
    <n v="420"/>
    <n v="1"/>
    <n v="0.158"/>
    <n v="45"/>
    <d v="2024-11-15T00:00:00"/>
    <s v="viernes"/>
    <d v="2024-11-09T00:00:00"/>
    <x v="6"/>
    <n v="26"/>
    <n v="0.57777777777777772"/>
    <n v="132"/>
    <n v="20.856000000000002"/>
    <n v="6"/>
    <n v="0.8666666666666667"/>
    <n v="0.32181499999999996"/>
    <n v="0.32181499999999996"/>
    <n v="6.7117736399999997"/>
    <n v="12"/>
    <x v="1"/>
    <n v="2.0856000000000003E-2"/>
  </r>
  <r>
    <s v="MACHACHI"/>
    <x v="1"/>
    <x v="1"/>
    <x v="2"/>
    <s v="BON YURT REGULAR"/>
    <x v="0"/>
    <n v="7711"/>
    <n v="1001"/>
    <x v="101"/>
    <x v="101"/>
    <n v="420"/>
    <n v="1"/>
    <n v="0.158"/>
    <n v="45"/>
    <d v="2024-11-14T00:00:00"/>
    <s v="jueves"/>
    <d v="2024-11-05T00:00:00"/>
    <x v="19"/>
    <n v="22"/>
    <n v="0.48888888888888887"/>
    <n v="389"/>
    <n v="61.462000000000003"/>
    <n v="9"/>
    <n v="0.8"/>
    <n v="0.32181499999999996"/>
    <n v="0.32181499999999996"/>
    <n v="19.77939353"/>
    <n v="13"/>
    <x v="1"/>
    <n v="6.1462000000000003E-2"/>
  </r>
  <r>
    <s v="MACHACHI"/>
    <x v="1"/>
    <x v="1"/>
    <x v="2"/>
    <s v="BON YURT REGULAR"/>
    <x v="0"/>
    <n v="7711"/>
    <n v="1001"/>
    <x v="101"/>
    <x v="101"/>
    <n v="420"/>
    <n v="1"/>
    <n v="0.158"/>
    <n v="45"/>
    <d v="2024-11-19T00:00:00"/>
    <s v="martes"/>
    <d v="2024-11-12T00:00:00"/>
    <x v="5"/>
    <n v="29"/>
    <n v="0.64444444444444449"/>
    <n v="420"/>
    <n v="66.36"/>
    <n v="7"/>
    <n v="0.84444444444444444"/>
    <n v="0.32181499999999996"/>
    <n v="0.32181499999999996"/>
    <n v="21.355643399999998"/>
    <n v="8"/>
    <x v="0"/>
    <n v="6.6360000000000002E-2"/>
  </r>
  <r>
    <s v="MACHACHI"/>
    <x v="1"/>
    <x v="1"/>
    <x v="2"/>
    <s v="BON YURT REGULAR"/>
    <x v="0"/>
    <n v="7711"/>
    <n v="1001"/>
    <x v="101"/>
    <x v="101"/>
    <n v="600"/>
    <n v="1"/>
    <n v="0.158"/>
    <n v="45"/>
    <d v="2024-11-21T00:00:00"/>
    <s v="jueves"/>
    <d v="2024-11-16T00:00:00"/>
    <x v="3"/>
    <n v="33"/>
    <n v="0.73333333333333328"/>
    <n v="300"/>
    <n v="47.4"/>
    <n v="5"/>
    <n v="0.88888888888888884"/>
    <n v="0.32181499999999996"/>
    <n v="0.32181499999999996"/>
    <n v="15.254030999999998"/>
    <n v="6"/>
    <x v="0"/>
    <n v="4.7399999999999998E-2"/>
  </r>
  <r>
    <s v="MULTIEMPAQUE_SG"/>
    <x v="2"/>
    <x v="1"/>
    <x v="10"/>
    <s v="AREQUIPE ALPINA"/>
    <x v="0"/>
    <n v="7711"/>
    <n v="1001"/>
    <x v="102"/>
    <x v="102"/>
    <n v="60"/>
    <n v="1"/>
    <n v="0.3"/>
    <n v="180"/>
    <d v="2024-11-09T00:00:00"/>
    <s v="sábado"/>
    <d v="2024-10-02T00:00:00"/>
    <x v="71"/>
    <n v="123"/>
    <n v="0.68333333333333335"/>
    <n v="58"/>
    <n v="17.399999999999999"/>
    <n v="38"/>
    <n v="0.78888888888888886"/>
    <n v="2.5274799999999997"/>
    <n v="2.5274799999999997"/>
    <n v="43.978151999999994"/>
    <n v="18"/>
    <x v="0"/>
    <n v="1.7399999999999999E-2"/>
  </r>
  <r>
    <s v="MULTIEMPAQUE_SG"/>
    <x v="2"/>
    <x v="1"/>
    <x v="10"/>
    <s v="AREQUIPE ALPINA"/>
    <x v="0"/>
    <n v="7711"/>
    <n v="1001"/>
    <x v="102"/>
    <x v="102"/>
    <n v="30"/>
    <n v="1"/>
    <n v="0.3"/>
    <n v="180"/>
    <d v="2024-11-13T00:00:00"/>
    <s v="miércoles"/>
    <d v="2024-10-02T00:00:00"/>
    <x v="71"/>
    <n v="123"/>
    <n v="0.68333333333333335"/>
    <n v="30"/>
    <n v="9"/>
    <n v="42"/>
    <n v="0.76666666666666661"/>
    <n v="2.5274799999999997"/>
    <n v="2.5274799999999997"/>
    <n v="22.747319999999998"/>
    <n v="14"/>
    <x v="0"/>
    <n v="8.9999999999999993E-3"/>
  </r>
  <r>
    <s v="SAN GABRIEL"/>
    <x v="0"/>
    <x v="0"/>
    <x v="5"/>
    <s v="QUESO JAVIERINO KIOSKO TAJADO"/>
    <x v="0"/>
    <n v="7711"/>
    <n v="1001"/>
    <x v="103"/>
    <x v="103"/>
    <n v="0"/>
    <n v="1"/>
    <n v="1.5"/>
    <n v="60"/>
    <d v="2024-11-01T00:00:00"/>
    <s v="viernes"/>
    <d v="2024-12-01T00:00:00"/>
    <x v="74"/>
    <n v="63"/>
    <n v="1.05"/>
    <n v="3"/>
    <n v="4.5"/>
    <n v="-30"/>
    <n v="1.5"/>
    <n v="10.255265"/>
    <n v="10.255265"/>
    <n v="46.148692499999996"/>
    <n v="26"/>
    <x v="0"/>
    <n v="4.4999999999999997E-3"/>
  </r>
  <r>
    <s v="SAN GABRIEL"/>
    <x v="0"/>
    <x v="0"/>
    <x v="5"/>
    <s v="QUESO JAVIERINO KIOSKO TAJADO"/>
    <x v="0"/>
    <n v="7711"/>
    <n v="1001"/>
    <x v="103"/>
    <x v="103"/>
    <n v="100"/>
    <n v="1"/>
    <n v="1.5"/>
    <n v="60"/>
    <d v="2024-11-15T00:00:00"/>
    <s v="viernes"/>
    <d v="2024-11-14T00:00:00"/>
    <x v="47"/>
    <n v="46"/>
    <n v="0.76666666666666672"/>
    <n v="100"/>
    <n v="150"/>
    <n v="1"/>
    <n v="0.98333333333333328"/>
    <n v="10.255265"/>
    <n v="10.255265"/>
    <n v="1538.2897499999999"/>
    <n v="12"/>
    <x v="0"/>
    <n v="0.15"/>
  </r>
  <r>
    <s v="SAN GABRIEL"/>
    <x v="0"/>
    <x v="0"/>
    <x v="5"/>
    <s v="QUESO JAVIERINO KIOSKO TAJADO"/>
    <x v="0"/>
    <n v="7711"/>
    <n v="1001"/>
    <x v="103"/>
    <x v="103"/>
    <n v="230"/>
    <n v="1"/>
    <n v="1.5"/>
    <n v="60"/>
    <d v="2024-11-14T00:00:00"/>
    <s v="jueves"/>
    <d v="2024-11-13T00:00:00"/>
    <x v="46"/>
    <n v="45"/>
    <n v="0.75"/>
    <n v="113"/>
    <n v="169.5"/>
    <n v="1"/>
    <n v="0.98333333333333328"/>
    <n v="10.255265"/>
    <n v="10.255265"/>
    <n v="1738.2674175"/>
    <n v="13"/>
    <x v="0"/>
    <n v="0.16950000000000001"/>
  </r>
  <r>
    <s v="SAN GABRIEL"/>
    <x v="0"/>
    <x v="0"/>
    <x v="5"/>
    <s v="QUESO JAVIERINO KIOSKO TAJADO"/>
    <x v="0"/>
    <n v="7711"/>
    <n v="1001"/>
    <x v="103"/>
    <x v="103"/>
    <n v="10"/>
    <n v="1"/>
    <n v="1.5"/>
    <n v="60"/>
    <d v="2024-11-19T00:00:00"/>
    <s v="martes"/>
    <d v="2024-11-17T00:00:00"/>
    <x v="75"/>
    <n v="49"/>
    <n v="0.81666666666666665"/>
    <n v="10"/>
    <n v="15"/>
    <n v="2"/>
    <n v="0.96666666666666667"/>
    <n v="10.255265"/>
    <n v="10.255265"/>
    <n v="153.82897499999999"/>
    <n v="8"/>
    <x v="0"/>
    <n v="1.4999999999999999E-2"/>
  </r>
  <r>
    <s v="SAN GABRIEL"/>
    <x v="0"/>
    <x v="0"/>
    <x v="5"/>
    <s v="QUESO JAVIERINO KIOSKO TAJADO"/>
    <x v="0"/>
    <n v="7711"/>
    <n v="1001"/>
    <x v="103"/>
    <x v="103"/>
    <n v="10"/>
    <n v="1"/>
    <n v="1.5"/>
    <n v="60"/>
    <d v="2024-11-21T00:00:00"/>
    <s v="jueves"/>
    <d v="2024-11-20T00:00:00"/>
    <x v="76"/>
    <n v="52"/>
    <n v="0.8666666666666667"/>
    <n v="10"/>
    <n v="15"/>
    <n v="1"/>
    <n v="0.98333333333333328"/>
    <n v="10.255265"/>
    <n v="10.255265"/>
    <n v="153.82897499999999"/>
    <n v="6"/>
    <x v="0"/>
    <n v="1.4999999999999999E-2"/>
  </r>
  <r>
    <s v="SAN GABRIEL"/>
    <x v="0"/>
    <x v="0"/>
    <x v="13"/>
    <s v="CREMA DE LECHE KIOSKO GALON"/>
    <x v="0"/>
    <n v="7711"/>
    <n v="1001"/>
    <x v="104"/>
    <x v="104"/>
    <n v="102"/>
    <n v="1"/>
    <n v="3.5"/>
    <n v="30"/>
    <d v="2024-11-20T00:00:00"/>
    <s v="miércoles"/>
    <d v="2024-11-19T00:00:00"/>
    <x v="45"/>
    <n v="21"/>
    <n v="0.7"/>
    <n v="27"/>
    <n v="94.5"/>
    <n v="1"/>
    <n v="0.96666666666666667"/>
    <n v="6.7329100000000004"/>
    <n v="6.7329100000000004"/>
    <n v="636.259995"/>
    <n v="7"/>
    <x v="2"/>
    <n v="9.4500000000000001E-2"/>
  </r>
  <r>
    <s v="SAN GABRIEL"/>
    <x v="0"/>
    <x v="0"/>
    <x v="13"/>
    <s v="CREMA DE LECHE KIOSKO GALON"/>
    <x v="0"/>
    <n v="7711"/>
    <n v="1001"/>
    <x v="104"/>
    <x v="104"/>
    <n v="150"/>
    <n v="1"/>
    <n v="3.5"/>
    <n v="30"/>
    <d v="2024-11-21T00:00:00"/>
    <s v="jueves"/>
    <d v="2024-11-20T00:00:00"/>
    <x v="19"/>
    <n v="22"/>
    <n v="0.73333333333333328"/>
    <n v="150"/>
    <n v="525"/>
    <n v="1"/>
    <n v="0.96666666666666667"/>
    <n v="6.7329100000000004"/>
    <n v="6.7329100000000004"/>
    <n v="3534.7777500000002"/>
    <n v="6"/>
    <x v="1"/>
    <n v="0.52500000000000002"/>
  </r>
  <r>
    <s v="SAN GABRIEL"/>
    <x v="0"/>
    <x v="0"/>
    <x v="13"/>
    <s v="CREMA DE LECHE KIOSKO GALON"/>
    <x v="0"/>
    <n v="7711"/>
    <n v="1001"/>
    <x v="104"/>
    <x v="104"/>
    <n v="54"/>
    <n v="1"/>
    <n v="3.5"/>
    <n v="30"/>
    <d v="2024-11-21T00:00:00"/>
    <s v="jueves"/>
    <d v="2024-11-19T00:00:00"/>
    <x v="45"/>
    <n v="21"/>
    <n v="0.7"/>
    <n v="54"/>
    <n v="189"/>
    <n v="2"/>
    <n v="0.93333333333333335"/>
    <n v="6.7329100000000004"/>
    <n v="6.7329100000000004"/>
    <n v="1272.51999"/>
    <n v="6"/>
    <x v="2"/>
    <n v="0.189"/>
  </r>
  <r>
    <s v="SAN GABRIEL"/>
    <x v="0"/>
    <x v="0"/>
    <x v="5"/>
    <s v="QUESO AMERICANO KIOSKO TAJADO"/>
    <x v="0"/>
    <n v="7711"/>
    <n v="1001"/>
    <x v="105"/>
    <x v="105"/>
    <n v="141"/>
    <n v="1.6"/>
    <n v="1"/>
    <n v="60"/>
    <d v="2024-11-15T00:00:00"/>
    <s v="viernes"/>
    <d v="2024-11-14T00:00:00"/>
    <x v="47"/>
    <n v="46"/>
    <n v="0.76666666666666672"/>
    <n v="12"/>
    <n v="19.200000000000003"/>
    <n v="1"/>
    <n v="0.98333333333333328"/>
    <n v="6.6801849999999998"/>
    <n v="10.688296000000001"/>
    <n v="205.21528320000004"/>
    <n v="12"/>
    <x v="0"/>
    <n v="1.9200000000000002E-2"/>
  </r>
  <r>
    <s v="DULCENAC"/>
    <x v="2"/>
    <x v="1"/>
    <x v="10"/>
    <s v="AREQUIPE ALPINA"/>
    <x v="0"/>
    <n v="7711"/>
    <n v="1001"/>
    <x v="106"/>
    <x v="106"/>
    <n v="24"/>
    <n v="1"/>
    <n v="0.24"/>
    <n v="540"/>
    <d v="2024-11-16T00:00:00"/>
    <s v="sábado"/>
    <d v="2023-10-24T00:00:00"/>
    <x v="27"/>
    <n v="139"/>
    <n v="0.25740740740740742"/>
    <n v="23"/>
    <n v="5.52"/>
    <n v="389"/>
    <n v="0.27962962962962967"/>
    <n v="1.5207199999999998"/>
    <n v="1.5207199999999998"/>
    <n v="8.3943743999999985"/>
    <n v="11"/>
    <x v="0"/>
    <n v="5.5199999999999997E-3"/>
  </r>
  <r>
    <s v="MACHACHI"/>
    <x v="1"/>
    <x v="1"/>
    <x v="2"/>
    <s v="BON YURT MINI"/>
    <x v="0"/>
    <n v="7711"/>
    <n v="1001"/>
    <x v="107"/>
    <x v="107"/>
    <n v="490"/>
    <n v="1"/>
    <n v="8.7999999999999995E-2"/>
    <n v="45"/>
    <d v="2024-11-09T00:00:00"/>
    <s v="sábado"/>
    <d v="2024-10-30T00:00:00"/>
    <x v="41"/>
    <n v="16"/>
    <n v="0.35555555555555557"/>
    <n v="96"/>
    <n v="8.4480000000000004"/>
    <n v="10"/>
    <n v="0.77777777777777779"/>
    <n v="0.22021000000000002"/>
    <n v="0.22021000000000002"/>
    <n v="1.8603340800000003"/>
    <n v="18"/>
    <x v="2"/>
    <n v="8.4480000000000006E-3"/>
  </r>
  <r>
    <s v="MACHACHI"/>
    <x v="1"/>
    <x v="1"/>
    <x v="2"/>
    <s v="BON YURT MINI"/>
    <x v="0"/>
    <n v="7711"/>
    <n v="1001"/>
    <x v="107"/>
    <x v="107"/>
    <n v="2100"/>
    <n v="1"/>
    <n v="8.7999999999999995E-2"/>
    <n v="45"/>
    <d v="2024-11-16T00:00:00"/>
    <s v="sábado"/>
    <d v="2024-11-07T00:00:00"/>
    <x v="1"/>
    <n v="24"/>
    <n v="0.53333333333333333"/>
    <n v="2100"/>
    <n v="184.79999999999998"/>
    <n v="9"/>
    <n v="0.8"/>
    <n v="0.22021000000000002"/>
    <n v="0.22021000000000002"/>
    <n v="40.694808000000002"/>
    <n v="11"/>
    <x v="1"/>
    <n v="0.18479999999999999"/>
  </r>
  <r>
    <s v="MACHACHI"/>
    <x v="1"/>
    <x v="1"/>
    <x v="2"/>
    <s v="BON YURT MINI"/>
    <x v="0"/>
    <n v="7711"/>
    <n v="1001"/>
    <x v="107"/>
    <x v="107"/>
    <n v="2100"/>
    <n v="1"/>
    <n v="8.7999999999999995E-2"/>
    <n v="45"/>
    <d v="2024-11-15T00:00:00"/>
    <s v="viernes"/>
    <d v="2024-11-07T00:00:00"/>
    <x v="1"/>
    <n v="24"/>
    <n v="0.53333333333333333"/>
    <n v="1190"/>
    <n v="104.72"/>
    <n v="8"/>
    <n v="0.82222222222222219"/>
    <n v="0.22021000000000002"/>
    <n v="0.22021000000000002"/>
    <n v="23.060391200000002"/>
    <n v="12"/>
    <x v="1"/>
    <n v="0.10471999999999999"/>
  </r>
  <r>
    <s v="MACHACHI"/>
    <x v="1"/>
    <x v="1"/>
    <x v="2"/>
    <s v="BON YURT MINI"/>
    <x v="0"/>
    <n v="7711"/>
    <n v="1001"/>
    <x v="107"/>
    <x v="107"/>
    <n v="1820"/>
    <n v="1"/>
    <n v="8.7999999999999995E-2"/>
    <n v="45"/>
    <d v="2024-11-19T00:00:00"/>
    <s v="martes"/>
    <d v="2024-11-07T00:00:00"/>
    <x v="1"/>
    <n v="24"/>
    <n v="0.53333333333333333"/>
    <n v="1820"/>
    <n v="160.16"/>
    <n v="12"/>
    <n v="0.73333333333333339"/>
    <n v="0.22021000000000002"/>
    <n v="0.22021000000000002"/>
    <n v="35.268833600000001"/>
    <n v="8"/>
    <x v="1"/>
    <n v="0.16016"/>
  </r>
  <r>
    <s v="MACHACHI"/>
    <x v="1"/>
    <x v="1"/>
    <x v="2"/>
    <s v="BON YURT MINI"/>
    <x v="0"/>
    <n v="7711"/>
    <n v="1001"/>
    <x v="107"/>
    <x v="107"/>
    <n v="1400"/>
    <n v="1"/>
    <n v="8.7999999999999995E-2"/>
    <n v="45"/>
    <d v="2024-11-20T00:00:00"/>
    <s v="miércoles"/>
    <d v="2024-11-13T00:00:00"/>
    <x v="2"/>
    <n v="30"/>
    <n v="0.66666666666666663"/>
    <n v="140"/>
    <n v="12.319999999999999"/>
    <n v="7"/>
    <n v="0.84444444444444444"/>
    <n v="0.22021000000000002"/>
    <n v="0.22021000000000002"/>
    <n v="2.7129871999999997"/>
    <n v="7"/>
    <x v="0"/>
    <n v="1.2319999999999999E-2"/>
  </r>
  <r>
    <s v="MACHACHI"/>
    <x v="1"/>
    <x v="1"/>
    <x v="2"/>
    <s v="BON YURT MINI"/>
    <x v="0"/>
    <n v="7711"/>
    <n v="1001"/>
    <x v="107"/>
    <x v="107"/>
    <n v="1260"/>
    <n v="1"/>
    <n v="8.7999999999999995E-2"/>
    <n v="45"/>
    <d v="2024-11-21T00:00:00"/>
    <s v="jueves"/>
    <d v="2024-11-13T00:00:00"/>
    <x v="2"/>
    <n v="30"/>
    <n v="0.66666666666666663"/>
    <n v="1260"/>
    <n v="110.88"/>
    <n v="8"/>
    <n v="0.82222222222222219"/>
    <n v="0.22021000000000002"/>
    <n v="0.22021000000000002"/>
    <n v="24.416884800000002"/>
    <n v="6"/>
    <x v="0"/>
    <n v="0.11087999999999999"/>
  </r>
  <r>
    <s v="COLOMBIA"/>
    <x v="1"/>
    <x v="1"/>
    <x v="15"/>
    <s v="AVENA FINESSE VASO"/>
    <x v="0"/>
    <n v="7711"/>
    <n v="1001"/>
    <x v="108"/>
    <x v="108"/>
    <n v="1344"/>
    <n v="1"/>
    <n v="0.25"/>
    <n v="180"/>
    <d v="2024-11-01T00:00:00"/>
    <s v="viernes"/>
    <d v="2024-09-26T00:00:00"/>
    <x v="77"/>
    <n v="117"/>
    <n v="0.65"/>
    <n v="281"/>
    <n v="70.25"/>
    <n v="36"/>
    <n v="0.8"/>
    <n v="0.35793999999999998"/>
    <n v="0.35793999999999998"/>
    <n v="25.145284999999998"/>
    <n v="26"/>
    <x v="0"/>
    <n v="7.0250000000000007E-2"/>
  </r>
  <r>
    <s v="COLOMBIA"/>
    <x v="1"/>
    <x v="1"/>
    <x v="15"/>
    <s v="AVENA FINESSE VASO"/>
    <x v="0"/>
    <n v="7711"/>
    <n v="1001"/>
    <x v="108"/>
    <x v="108"/>
    <n v="624"/>
    <n v="1"/>
    <n v="0.25"/>
    <n v="180"/>
    <d v="2024-11-05T00:00:00"/>
    <s v="martes"/>
    <d v="2024-09-26T00:00:00"/>
    <x v="77"/>
    <n v="117"/>
    <n v="0.65"/>
    <n v="624"/>
    <n v="156"/>
    <n v="40"/>
    <n v="0.77777777777777779"/>
    <n v="0.35793999999999998"/>
    <n v="0.35793999999999998"/>
    <n v="55.838639999999998"/>
    <n v="22"/>
    <x v="0"/>
    <n v="0.156"/>
  </r>
  <r>
    <s v="COLOMBIA"/>
    <x v="1"/>
    <x v="1"/>
    <x v="15"/>
    <s v="AVENA FINESSE VASO"/>
    <x v="0"/>
    <n v="7711"/>
    <n v="1001"/>
    <x v="108"/>
    <x v="108"/>
    <n v="624"/>
    <n v="1"/>
    <n v="0.25"/>
    <n v="180"/>
    <d v="2024-11-14T00:00:00"/>
    <s v="jueves"/>
    <d v="2024-09-27T00:00:00"/>
    <x v="28"/>
    <n v="118"/>
    <n v="0.65555555555555556"/>
    <n v="624"/>
    <n v="156"/>
    <n v="48"/>
    <n v="0.73333333333333339"/>
    <n v="0.35793999999999998"/>
    <n v="0.35793999999999998"/>
    <n v="55.838639999999998"/>
    <n v="13"/>
    <x v="0"/>
    <n v="0.156"/>
  </r>
  <r>
    <s v="SAN GABRIEL"/>
    <x v="0"/>
    <x v="0"/>
    <x v="5"/>
    <s v="QUESO HOLANDES KIOSKO TAJADO"/>
    <x v="0"/>
    <n v="7711"/>
    <n v="1001"/>
    <x v="109"/>
    <x v="109"/>
    <n v="180"/>
    <n v="1"/>
    <n v="7.4999999999999997E-2"/>
    <n v="90"/>
    <d v="2024-11-12T00:00:00"/>
    <s v="martes"/>
    <d v="2024-11-05T00:00:00"/>
    <x v="15"/>
    <n v="67"/>
    <n v="0.74444444444444446"/>
    <n v="44"/>
    <n v="3.3"/>
    <n v="7"/>
    <n v="0.92222222222222228"/>
    <n v="0.59355000000000002"/>
    <n v="0.59355000000000002"/>
    <n v="1.958715"/>
    <n v="15"/>
    <x v="0"/>
    <n v="3.3E-3"/>
  </r>
  <r>
    <s v="SAN GABRIEL"/>
    <x v="0"/>
    <x v="0"/>
    <x v="5"/>
    <s v="QUESO HOLANDES KIOSKO TAJADO"/>
    <x v="0"/>
    <n v="7711"/>
    <n v="1001"/>
    <x v="109"/>
    <x v="109"/>
    <n v="240"/>
    <n v="1"/>
    <n v="7.4999999999999997E-2"/>
    <n v="90"/>
    <d v="2024-11-19T00:00:00"/>
    <s v="martes"/>
    <d v="2024-11-13T00:00:00"/>
    <x v="39"/>
    <n v="75"/>
    <n v="0.83333333333333337"/>
    <n v="240"/>
    <n v="18"/>
    <n v="6"/>
    <n v="0.93333333333333335"/>
    <n v="0.59355000000000002"/>
    <n v="0.59355000000000002"/>
    <n v="10.683900000000001"/>
    <n v="8"/>
    <x v="0"/>
    <n v="1.7999999999999999E-2"/>
  </r>
  <r>
    <s v="MACHACHI"/>
    <x v="1"/>
    <x v="1"/>
    <x v="2"/>
    <s v="BON YURT MINI"/>
    <x v="0"/>
    <n v="7711"/>
    <n v="1001"/>
    <x v="110"/>
    <x v="110"/>
    <n v="1050"/>
    <n v="1"/>
    <n v="0.105"/>
    <n v="45"/>
    <d v="2024-11-12T00:00:00"/>
    <s v="martes"/>
    <d v="2024-10-31T00:00:00"/>
    <x v="10"/>
    <n v="17"/>
    <n v="0.37777777777777777"/>
    <n v="85"/>
    <n v="8.9249999999999989"/>
    <n v="12"/>
    <n v="0.73333333333333339"/>
    <n v="0.25944499999999998"/>
    <n v="0.25944499999999998"/>
    <n v="2.3155466249999996"/>
    <n v="15"/>
    <x v="2"/>
    <n v="8.9249999999999989E-3"/>
  </r>
  <r>
    <s v="MACHACHI"/>
    <x v="1"/>
    <x v="1"/>
    <x v="2"/>
    <s v="BON YURT MINI"/>
    <x v="0"/>
    <n v="7711"/>
    <n v="1001"/>
    <x v="110"/>
    <x v="110"/>
    <n v="1260"/>
    <n v="1"/>
    <n v="0.105"/>
    <n v="45"/>
    <d v="2024-11-16T00:00:00"/>
    <s v="sábado"/>
    <d v="2024-11-07T00:00:00"/>
    <x v="1"/>
    <n v="24"/>
    <n v="0.53333333333333333"/>
    <n v="1260"/>
    <n v="132.29999999999998"/>
    <n v="9"/>
    <n v="0.8"/>
    <n v="0.25944499999999998"/>
    <n v="0.25944499999999998"/>
    <n v="34.324573499999993"/>
    <n v="11"/>
    <x v="1"/>
    <n v="0.13229999999999997"/>
  </r>
  <r>
    <s v="MACHACHI"/>
    <x v="1"/>
    <x v="1"/>
    <x v="2"/>
    <s v="BON YURT MINI"/>
    <x v="0"/>
    <n v="7711"/>
    <n v="1001"/>
    <x v="110"/>
    <x v="110"/>
    <n v="1540"/>
    <n v="1"/>
    <n v="0.105"/>
    <n v="45"/>
    <d v="2024-11-15T00:00:00"/>
    <s v="viernes"/>
    <d v="2024-11-07T00:00:00"/>
    <x v="1"/>
    <n v="24"/>
    <n v="0.53333333333333333"/>
    <n v="1162"/>
    <n v="122.00999999999999"/>
    <n v="8"/>
    <n v="0.82222222222222219"/>
    <n v="0.25944499999999998"/>
    <n v="0.25944499999999998"/>
    <n v="31.654884449999994"/>
    <n v="12"/>
    <x v="1"/>
    <n v="0.12200999999999999"/>
  </r>
  <r>
    <s v="MACHACHI"/>
    <x v="1"/>
    <x v="1"/>
    <x v="2"/>
    <s v="BON YURT MINI"/>
    <x v="0"/>
    <n v="7711"/>
    <n v="1001"/>
    <x v="110"/>
    <x v="110"/>
    <n v="1610"/>
    <n v="1"/>
    <n v="0.105"/>
    <n v="45"/>
    <d v="2024-11-19T00:00:00"/>
    <s v="martes"/>
    <d v="2024-11-07T00:00:00"/>
    <x v="1"/>
    <n v="24"/>
    <n v="0.53333333333333333"/>
    <n v="1610"/>
    <n v="169.04999999999998"/>
    <n v="12"/>
    <n v="0.73333333333333339"/>
    <n v="0.25944499999999998"/>
    <n v="0.25944499999999998"/>
    <n v="43.859177249999995"/>
    <n v="8"/>
    <x v="1"/>
    <n v="0.16904999999999998"/>
  </r>
  <r>
    <s v="MACHACHI"/>
    <x v="1"/>
    <x v="1"/>
    <x v="2"/>
    <s v="BON YURT MINI"/>
    <x v="0"/>
    <n v="7711"/>
    <n v="1001"/>
    <x v="110"/>
    <x v="110"/>
    <n v="1400"/>
    <n v="1"/>
    <n v="0.105"/>
    <n v="45"/>
    <d v="2024-11-20T00:00:00"/>
    <s v="miércoles"/>
    <d v="2024-11-14T00:00:00"/>
    <x v="7"/>
    <n v="31"/>
    <n v="0.68888888888888888"/>
    <n v="350"/>
    <n v="36.75"/>
    <n v="6"/>
    <n v="0.8666666666666667"/>
    <n v="0.25944499999999998"/>
    <n v="0.25944499999999998"/>
    <n v="9.5346037499999987"/>
    <n v="7"/>
    <x v="0"/>
    <n v="3.6749999999999998E-2"/>
  </r>
  <r>
    <s v="MACHACHI"/>
    <x v="1"/>
    <x v="1"/>
    <x v="2"/>
    <s v="BON YURT MINI"/>
    <x v="0"/>
    <n v="7711"/>
    <n v="1001"/>
    <x v="110"/>
    <x v="110"/>
    <n v="1050"/>
    <n v="1"/>
    <n v="0.105"/>
    <n v="45"/>
    <d v="2024-11-21T00:00:00"/>
    <s v="jueves"/>
    <d v="2024-11-14T00:00:00"/>
    <x v="7"/>
    <n v="31"/>
    <n v="0.68888888888888888"/>
    <n v="1050"/>
    <n v="110.25"/>
    <n v="7"/>
    <n v="0.84444444444444444"/>
    <n v="0.25944499999999998"/>
    <n v="0.25944499999999998"/>
    <n v="28.60381125"/>
    <n v="6"/>
    <x v="0"/>
    <n v="0.11025"/>
  </r>
  <r>
    <s v="SAN GABRIEL"/>
    <x v="0"/>
    <x v="0"/>
    <x v="5"/>
    <s v="QUESO TACO CHESSE KIOSKO RALLADO"/>
    <x v="0"/>
    <n v="7711"/>
    <n v="1001"/>
    <x v="111"/>
    <x v="111"/>
    <n v="120"/>
    <n v="1"/>
    <n v="0.3"/>
    <n v="60"/>
    <d v="2024-11-19T00:00:00"/>
    <s v="martes"/>
    <d v="2024-11-12T00:00:00"/>
    <x v="51"/>
    <n v="44"/>
    <n v="0.73333333333333328"/>
    <n v="40"/>
    <n v="12"/>
    <n v="7"/>
    <n v="0.8833333333333333"/>
    <n v="2.3023199999999999"/>
    <n v="2.3023199999999999"/>
    <n v="27.627839999999999"/>
    <n v="8"/>
    <x v="0"/>
    <n v="1.2E-2"/>
  </r>
  <r>
    <s v="SAN GABRIEL"/>
    <x v="0"/>
    <x v="0"/>
    <x v="5"/>
    <s v="QUESO TACO CHESSE KIOSKO RALLADO"/>
    <x v="0"/>
    <n v="7711"/>
    <n v="1001"/>
    <x v="111"/>
    <x v="111"/>
    <n v="30"/>
    <n v="1"/>
    <n v="0.3"/>
    <n v="60"/>
    <d v="2024-11-20T00:00:00"/>
    <s v="miércoles"/>
    <d v="2024-11-12T00:00:00"/>
    <x v="51"/>
    <n v="44"/>
    <n v="0.73333333333333328"/>
    <n v="30"/>
    <n v="9"/>
    <n v="8"/>
    <n v="0.8666666666666667"/>
    <n v="2.3023199999999999"/>
    <n v="2.3023199999999999"/>
    <n v="20.720880000000001"/>
    <n v="7"/>
    <x v="0"/>
    <n v="8.9999999999999993E-3"/>
  </r>
  <r>
    <s v="SAN GABRIEL"/>
    <x v="0"/>
    <x v="0"/>
    <x v="5"/>
    <s v="QUESO TACO CHESSE KIOSKO RALLADO"/>
    <x v="0"/>
    <n v="7711"/>
    <n v="1001"/>
    <x v="111"/>
    <x v="111"/>
    <n v="60"/>
    <n v="1"/>
    <n v="0.3"/>
    <n v="60"/>
    <d v="2024-11-21T00:00:00"/>
    <s v="jueves"/>
    <d v="2024-11-12T00:00:00"/>
    <x v="51"/>
    <n v="44"/>
    <n v="0.73333333333333328"/>
    <n v="60"/>
    <n v="18"/>
    <n v="9"/>
    <n v="0.85"/>
    <n v="2.3023199999999999"/>
    <n v="2.3023199999999999"/>
    <n v="41.441760000000002"/>
    <n v="6"/>
    <x v="0"/>
    <n v="1.7999999999999999E-2"/>
  </r>
  <r>
    <s v="MULTIEMPAQUE"/>
    <x v="1"/>
    <x v="1"/>
    <x v="15"/>
    <s v="AVENA FINESSE VASO"/>
    <x v="0"/>
    <n v="7711"/>
    <n v="1001"/>
    <x v="112"/>
    <x v="112"/>
    <n v="56"/>
    <n v="1"/>
    <n v="1.5"/>
    <n v="180"/>
    <d v="2024-09-14T00:00:00"/>
    <s v="sábado"/>
    <d v="2024-07-24T00:00:00"/>
    <x v="78"/>
    <n v="53"/>
    <n v="0.29444444444444445"/>
    <n v="6"/>
    <n v="9"/>
    <n v="52"/>
    <n v="0.71111111111111114"/>
    <n v="2.2748600000000003"/>
    <n v="2.2748600000000003"/>
    <n v="20.473740000000003"/>
    <n v="74"/>
    <x v="0"/>
    <n v="8.9999999999999993E-3"/>
  </r>
  <r>
    <s v="MULTIEMPAQUE"/>
    <x v="1"/>
    <x v="1"/>
    <x v="15"/>
    <s v="AVENA FINESSE VASO"/>
    <x v="0"/>
    <n v="7711"/>
    <n v="1001"/>
    <x v="112"/>
    <x v="112"/>
    <n v="56"/>
    <n v="1"/>
    <n v="1.5"/>
    <n v="180"/>
    <d v="2024-11-05T00:00:00"/>
    <s v="martes"/>
    <d v="2024-09-26T00:00:00"/>
    <x v="77"/>
    <n v="117"/>
    <n v="0.65"/>
    <n v="31"/>
    <n v="46.5"/>
    <n v="40"/>
    <n v="0.77777777777777779"/>
    <n v="2.2748600000000003"/>
    <n v="2.2748600000000003"/>
    <n v="105.78099000000002"/>
    <n v="22"/>
    <x v="0"/>
    <n v="4.65E-2"/>
  </r>
  <r>
    <s v="MULTIEMPAQUE"/>
    <x v="1"/>
    <x v="1"/>
    <x v="15"/>
    <s v="AVENA FINESSE VASO"/>
    <x v="0"/>
    <n v="7711"/>
    <n v="1001"/>
    <x v="112"/>
    <x v="112"/>
    <n v="56"/>
    <n v="1"/>
    <n v="1.5"/>
    <n v="180"/>
    <d v="2024-11-12T00:00:00"/>
    <s v="martes"/>
    <d v="2024-09-26T00:00:00"/>
    <x v="77"/>
    <n v="117"/>
    <n v="0.65"/>
    <n v="56"/>
    <n v="84"/>
    <n v="47"/>
    <n v="0.73888888888888893"/>
    <n v="2.2748600000000003"/>
    <n v="2.2748600000000003"/>
    <n v="191.08824000000004"/>
    <n v="15"/>
    <x v="0"/>
    <n v="8.4000000000000005E-2"/>
  </r>
  <r>
    <s v="MULTIEMPAQUE"/>
    <x v="1"/>
    <x v="1"/>
    <x v="15"/>
    <s v="AVENA FINESSE VASO"/>
    <x v="0"/>
    <n v="7711"/>
    <n v="1001"/>
    <x v="112"/>
    <x v="112"/>
    <n v="56"/>
    <n v="1"/>
    <n v="1.5"/>
    <n v="180"/>
    <d v="2024-11-16T00:00:00"/>
    <s v="sábado"/>
    <d v="2024-10-23T00:00:00"/>
    <x v="64"/>
    <n v="144"/>
    <n v="0.8"/>
    <n v="56"/>
    <n v="84"/>
    <n v="24"/>
    <n v="0.8666666666666667"/>
    <n v="2.2748600000000003"/>
    <n v="2.2748600000000003"/>
    <n v="191.08824000000004"/>
    <n v="11"/>
    <x v="0"/>
    <n v="8.4000000000000005E-2"/>
  </r>
  <r>
    <s v="MACHACHI"/>
    <x v="1"/>
    <x v="1"/>
    <x v="3"/>
    <s v="BEBIDA DE YOGURT KIOSKO FUNDA FAMILI"/>
    <x v="0"/>
    <n v="7711"/>
    <n v="1001"/>
    <x v="113"/>
    <x v="113"/>
    <n v="1350"/>
    <n v="1"/>
    <n v="0.9"/>
    <n v="45"/>
    <d v="2024-11-16T00:00:00"/>
    <s v="sábado"/>
    <d v="2024-11-13T00:00:00"/>
    <x v="2"/>
    <n v="30"/>
    <n v="0.66666666666666663"/>
    <n v="1350"/>
    <n v="1215"/>
    <n v="3"/>
    <n v="0.93333333333333335"/>
    <n v="0.63145499999999999"/>
    <n v="0.63145499999999999"/>
    <n v="767.21782499999995"/>
    <n v="11"/>
    <x v="0"/>
    <n v="1.2150000000000001"/>
  </r>
  <r>
    <s v="MACHACHI"/>
    <x v="1"/>
    <x v="1"/>
    <x v="3"/>
    <s v="BEBIDA DE YOGURT KIOSKO FUNDA FAMILI"/>
    <x v="0"/>
    <n v="7711"/>
    <n v="1001"/>
    <x v="113"/>
    <x v="113"/>
    <n v="900"/>
    <n v="1"/>
    <n v="0.9"/>
    <n v="45"/>
    <d v="2024-11-15T00:00:00"/>
    <s v="viernes"/>
    <d v="2024-11-08T00:00:00"/>
    <x v="9"/>
    <n v="25"/>
    <n v="0.55555555555555558"/>
    <n v="503"/>
    <n v="452.7"/>
    <n v="7"/>
    <n v="0.84444444444444444"/>
    <n v="0.63145499999999999"/>
    <n v="0.63145499999999999"/>
    <n v="285.85967849999997"/>
    <n v="12"/>
    <x v="1"/>
    <n v="0.45269999999999999"/>
  </r>
  <r>
    <s v="MACHACHI"/>
    <x v="1"/>
    <x v="1"/>
    <x v="3"/>
    <s v="BEBIDA DE YOGURT KIOSKO FUNDA FAMILI"/>
    <x v="0"/>
    <n v="7711"/>
    <n v="1001"/>
    <x v="113"/>
    <x v="113"/>
    <n v="900"/>
    <n v="1"/>
    <n v="0.9"/>
    <n v="45"/>
    <d v="2024-11-19T00:00:00"/>
    <s v="martes"/>
    <d v="2024-11-12T00:00:00"/>
    <x v="5"/>
    <n v="29"/>
    <n v="0.64444444444444449"/>
    <n v="900"/>
    <n v="810"/>
    <n v="7"/>
    <n v="0.84444444444444444"/>
    <n v="0.63145499999999999"/>
    <n v="0.63145499999999999"/>
    <n v="511.47854999999998"/>
    <n v="8"/>
    <x v="0"/>
    <n v="0.81"/>
  </r>
  <r>
    <s v="MACHACHI"/>
    <x v="1"/>
    <x v="1"/>
    <x v="3"/>
    <s v="BEBIDA DE YOGURT KIOSKO FUNDA FAMILI"/>
    <x v="0"/>
    <n v="7711"/>
    <n v="1001"/>
    <x v="113"/>
    <x v="113"/>
    <n v="675"/>
    <n v="1"/>
    <n v="0.9"/>
    <n v="45"/>
    <d v="2024-11-20T00:00:00"/>
    <s v="miércoles"/>
    <d v="2024-11-14T00:00:00"/>
    <x v="7"/>
    <n v="31"/>
    <n v="0.68888888888888888"/>
    <n v="675"/>
    <n v="607.5"/>
    <n v="6"/>
    <n v="0.8666666666666667"/>
    <n v="0.63145499999999999"/>
    <n v="0.63145499999999999"/>
    <n v="383.60891249999997"/>
    <n v="7"/>
    <x v="0"/>
    <n v="0.60750000000000004"/>
  </r>
  <r>
    <s v="SAN GABRIEL"/>
    <x v="0"/>
    <x v="0"/>
    <x v="11"/>
    <s v="QUESO FUNDIDO"/>
    <x v="0"/>
    <n v="7711"/>
    <n v="1001"/>
    <x v="114"/>
    <x v="114"/>
    <n v="150"/>
    <n v="1"/>
    <n v="4.4999999999999998E-2"/>
    <n v="90"/>
    <d v="2024-11-19T00:00:00"/>
    <s v="martes"/>
    <d v="2024-11-07T00:00:00"/>
    <x v="58"/>
    <n v="69"/>
    <n v="0.76666666666666672"/>
    <n v="80"/>
    <n v="3.5999999999999996"/>
    <n v="12"/>
    <n v="0.8666666666666667"/>
    <n v="0.12909999999999999"/>
    <n v="0.12909999999999999"/>
    <n v="0.46475999999999995"/>
    <n v="8"/>
    <x v="0"/>
    <n v="3.5999999999999995E-3"/>
  </r>
  <r>
    <s v="MACHACHI"/>
    <x v="1"/>
    <x v="1"/>
    <x v="4"/>
    <s v="YOGURT FINESSE DESLACT BOTELLA FAMILIAR"/>
    <x v="0"/>
    <n v="7711"/>
    <n v="1001"/>
    <x v="115"/>
    <x v="115"/>
    <n v="36"/>
    <n v="1"/>
    <n v="0.95"/>
    <n v="45"/>
    <d v="2024-10-30T00:00:00"/>
    <s v="miércoles"/>
    <d v="2024-10-25T00:00:00"/>
    <x v="53"/>
    <n v="11"/>
    <n v="0.24444444444444444"/>
    <n v="14"/>
    <n v="13.299999999999999"/>
    <n v="5"/>
    <n v="0.88888888888888884"/>
    <n v="1.46231"/>
    <n v="1.46231"/>
    <n v="19.448722999999998"/>
    <n v="28"/>
    <x v="2"/>
    <n v="1.3299999999999999E-2"/>
  </r>
  <r>
    <s v="MACHACHI"/>
    <x v="1"/>
    <x v="1"/>
    <x v="4"/>
    <s v="YOGURT FINESSE DESLACT BOTELLA FAMILIAR"/>
    <x v="0"/>
    <n v="7711"/>
    <n v="1001"/>
    <x v="115"/>
    <x v="115"/>
    <n v="72"/>
    <n v="1"/>
    <n v="0.95"/>
    <n v="45"/>
    <d v="2024-11-01T00:00:00"/>
    <s v="viernes"/>
    <d v="2024-10-30T00:00:00"/>
    <x v="41"/>
    <n v="16"/>
    <n v="0.35555555555555557"/>
    <n v="49"/>
    <n v="46.55"/>
    <n v="2"/>
    <n v="0.9555555555555556"/>
    <n v="1.46231"/>
    <n v="1.46231"/>
    <n v="68.07053049999999"/>
    <n v="26"/>
    <x v="2"/>
    <n v="4.6549999999999994E-2"/>
  </r>
  <r>
    <s v="MACHACHI"/>
    <x v="1"/>
    <x v="1"/>
    <x v="4"/>
    <s v="YOGURT FINESSE DESLACT BOTELLA FAMILIAR"/>
    <x v="0"/>
    <n v="7711"/>
    <n v="1001"/>
    <x v="115"/>
    <x v="115"/>
    <n v="18"/>
    <n v="1"/>
    <n v="0.95"/>
    <n v="45"/>
    <d v="2024-11-05T00:00:00"/>
    <s v="martes"/>
    <d v="2024-10-30T00:00:00"/>
    <x v="41"/>
    <n v="16"/>
    <n v="0.35555555555555557"/>
    <n v="18"/>
    <n v="17.099999999999998"/>
    <n v="6"/>
    <n v="0.8666666666666667"/>
    <n v="1.46231"/>
    <n v="1.46231"/>
    <n v="25.005500999999995"/>
    <n v="22"/>
    <x v="2"/>
    <n v="1.7099999999999997E-2"/>
  </r>
  <r>
    <s v="MACHACHI"/>
    <x v="1"/>
    <x v="1"/>
    <x v="4"/>
    <s v="YOGURT FINESSE DESLACT BOTELLA FAMILIAR"/>
    <x v="0"/>
    <n v="7711"/>
    <n v="1001"/>
    <x v="115"/>
    <x v="115"/>
    <n v="18"/>
    <n v="1"/>
    <n v="0.95"/>
    <n v="45"/>
    <d v="2024-11-06T00:00:00"/>
    <s v="miércoles"/>
    <d v="2024-10-31T00:00:00"/>
    <x v="10"/>
    <n v="17"/>
    <n v="0.37777777777777777"/>
    <n v="18"/>
    <n v="17.099999999999998"/>
    <n v="6"/>
    <n v="0.8666666666666667"/>
    <n v="1.46231"/>
    <n v="1.46231"/>
    <n v="25.005500999999995"/>
    <n v="21"/>
    <x v="2"/>
    <n v="1.7099999999999997E-2"/>
  </r>
  <r>
    <s v="MACHACHI"/>
    <x v="1"/>
    <x v="1"/>
    <x v="4"/>
    <s v="YOGURT FINESSE DESLACT BOTELLA FAMILIAR"/>
    <x v="0"/>
    <n v="7711"/>
    <n v="1001"/>
    <x v="115"/>
    <x v="115"/>
    <n v="18"/>
    <n v="1"/>
    <n v="0.95"/>
    <n v="45"/>
    <d v="2024-11-09T00:00:00"/>
    <s v="sábado"/>
    <d v="2024-10-31T00:00:00"/>
    <x v="10"/>
    <n v="17"/>
    <n v="0.37777777777777777"/>
    <n v="18"/>
    <n v="17.099999999999998"/>
    <n v="9"/>
    <n v="0.8"/>
    <n v="1.46231"/>
    <n v="1.46231"/>
    <n v="25.005500999999995"/>
    <n v="18"/>
    <x v="2"/>
    <n v="1.7099999999999997E-2"/>
  </r>
  <r>
    <s v="MACHACHI"/>
    <x v="1"/>
    <x v="1"/>
    <x v="4"/>
    <s v="YOGURT FINESSE DESLACT BOTELLA PERSONAL"/>
    <x v="0"/>
    <n v="7711"/>
    <n v="1001"/>
    <x v="116"/>
    <x v="116"/>
    <n v="216"/>
    <n v="1"/>
    <n v="0.18"/>
    <n v="45"/>
    <d v="2024-11-16T00:00:00"/>
    <s v="sábado"/>
    <d v="2024-11-08T00:00:00"/>
    <x v="9"/>
    <n v="25"/>
    <n v="0.55555555555555558"/>
    <n v="152"/>
    <n v="27.36"/>
    <n v="8"/>
    <n v="0.82222222222222219"/>
    <n v="0.32388"/>
    <n v="0.32388"/>
    <n v="8.8613567999999994"/>
    <n v="11"/>
    <x v="1"/>
    <n v="2.7359999999999999E-2"/>
  </r>
  <r>
    <s v="MACHACHI"/>
    <x v="1"/>
    <x v="1"/>
    <x v="4"/>
    <s v="YOGURT FINESSE DESLACT BOTELLA PERSONAL"/>
    <x v="0"/>
    <n v="7711"/>
    <n v="1001"/>
    <x v="116"/>
    <x v="116"/>
    <n v="108"/>
    <n v="1"/>
    <n v="0.18"/>
    <n v="45"/>
    <d v="2024-11-20T00:00:00"/>
    <s v="miércoles"/>
    <d v="2024-11-15T00:00:00"/>
    <x v="0"/>
    <n v="32"/>
    <n v="0.71111111111111114"/>
    <n v="108"/>
    <n v="19.439999999999998"/>
    <n v="5"/>
    <n v="0.88888888888888884"/>
    <n v="0.32388"/>
    <n v="0.32388"/>
    <n v="6.2962271999999997"/>
    <n v="7"/>
    <x v="0"/>
    <n v="1.9439999999999999E-2"/>
  </r>
  <r>
    <s v="MACHACHI"/>
    <x v="1"/>
    <x v="1"/>
    <x v="3"/>
    <s v="BEBIDA DE YOGURT KIOSKO FUNDA FAMILI"/>
    <x v="0"/>
    <n v="7711"/>
    <n v="1001"/>
    <x v="117"/>
    <x v="117"/>
    <n v="900"/>
    <n v="1"/>
    <n v="0.9"/>
    <n v="45"/>
    <d v="2024-11-13T00:00:00"/>
    <s v="miércoles"/>
    <d v="2024-11-07T00:00:00"/>
    <x v="1"/>
    <n v="24"/>
    <n v="0.53333333333333333"/>
    <n v="156"/>
    <n v="140.4"/>
    <n v="6"/>
    <n v="0.8666666666666667"/>
    <n v="0.63853000000000004"/>
    <n v="0.63853000000000004"/>
    <n v="89.649612000000005"/>
    <n v="14"/>
    <x v="1"/>
    <n v="0.1404"/>
  </r>
  <r>
    <s v="MACHACHI"/>
    <x v="1"/>
    <x v="1"/>
    <x v="3"/>
    <s v="BEBIDA DE YOGURT KIOSKO FUNDA FAMILI"/>
    <x v="0"/>
    <n v="7711"/>
    <n v="1001"/>
    <x v="117"/>
    <x v="117"/>
    <n v="900"/>
    <n v="1"/>
    <n v="0.9"/>
    <n v="45"/>
    <d v="2024-11-16T00:00:00"/>
    <s v="sábado"/>
    <d v="2024-11-12T00:00:00"/>
    <x v="5"/>
    <n v="29"/>
    <n v="0.64444444444444449"/>
    <n v="900"/>
    <n v="810"/>
    <n v="4"/>
    <n v="0.91111111111111109"/>
    <n v="0.63853000000000004"/>
    <n v="0.63853000000000004"/>
    <n v="517.20929999999998"/>
    <n v="11"/>
    <x v="0"/>
    <n v="0.81"/>
  </r>
  <r>
    <s v="MACHACHI"/>
    <x v="1"/>
    <x v="1"/>
    <x v="3"/>
    <s v="BEBIDA DE YOGURT KIOSKO FUNDA FAMILI"/>
    <x v="0"/>
    <n v="7711"/>
    <n v="1001"/>
    <x v="117"/>
    <x v="117"/>
    <n v="900"/>
    <n v="1"/>
    <n v="0.9"/>
    <n v="45"/>
    <d v="2024-11-15T00:00:00"/>
    <s v="viernes"/>
    <d v="2024-11-07T00:00:00"/>
    <x v="1"/>
    <n v="24"/>
    <n v="0.53333333333333333"/>
    <n v="900"/>
    <n v="810"/>
    <n v="8"/>
    <n v="0.82222222222222219"/>
    <n v="0.63853000000000004"/>
    <n v="0.63853000000000004"/>
    <n v="517.20929999999998"/>
    <n v="12"/>
    <x v="1"/>
    <n v="0.81"/>
  </r>
  <r>
    <s v="MACHACHI"/>
    <x v="1"/>
    <x v="1"/>
    <x v="3"/>
    <s v="BEBIDA DE YOGURT KIOSKO FUNDA FAMILI"/>
    <x v="0"/>
    <n v="7711"/>
    <n v="1001"/>
    <x v="117"/>
    <x v="117"/>
    <n v="900"/>
    <n v="1"/>
    <n v="0.9"/>
    <n v="45"/>
    <d v="2024-11-14T00:00:00"/>
    <s v="jueves"/>
    <d v="2024-11-06T00:00:00"/>
    <x v="11"/>
    <n v="23"/>
    <n v="0.51111111111111107"/>
    <n v="3"/>
    <n v="2.7"/>
    <n v="8"/>
    <n v="0.82222222222222219"/>
    <n v="0.63853000000000004"/>
    <n v="0.63853000000000004"/>
    <n v="1.7240310000000003"/>
    <n v="13"/>
    <x v="1"/>
    <n v="2.7000000000000001E-3"/>
  </r>
  <r>
    <s v="MACHACHI"/>
    <x v="1"/>
    <x v="1"/>
    <x v="3"/>
    <s v="BEBIDA DE YOGURT KIOSKO FUNDA FAMILI"/>
    <x v="0"/>
    <n v="7711"/>
    <n v="1001"/>
    <x v="117"/>
    <x v="117"/>
    <n v="675"/>
    <n v="1"/>
    <n v="0.9"/>
    <n v="45"/>
    <d v="2024-11-19T00:00:00"/>
    <s v="martes"/>
    <d v="2024-11-14T00:00:00"/>
    <x v="7"/>
    <n v="31"/>
    <n v="0.68888888888888888"/>
    <n v="270"/>
    <n v="243"/>
    <n v="5"/>
    <n v="0.88888888888888884"/>
    <n v="0.63853000000000004"/>
    <n v="0.63853000000000004"/>
    <n v="155.16279"/>
    <n v="8"/>
    <x v="0"/>
    <n v="0.24299999999999999"/>
  </r>
  <r>
    <s v="MACHACHI"/>
    <x v="1"/>
    <x v="1"/>
    <x v="3"/>
    <s v="BEBIDA DE YOGURT KIOSKO FUNDA FAMILI"/>
    <x v="0"/>
    <n v="7711"/>
    <n v="1001"/>
    <x v="117"/>
    <x v="117"/>
    <n v="675"/>
    <n v="1"/>
    <n v="0.9"/>
    <n v="45"/>
    <d v="2024-11-20T00:00:00"/>
    <s v="miércoles"/>
    <d v="2024-11-14T00:00:00"/>
    <x v="7"/>
    <n v="31"/>
    <n v="0.68888888888888888"/>
    <n v="675"/>
    <n v="607.5"/>
    <n v="6"/>
    <n v="0.8666666666666667"/>
    <n v="0.63853000000000004"/>
    <n v="0.63853000000000004"/>
    <n v="387.90697500000005"/>
    <n v="7"/>
    <x v="0"/>
    <n v="0.60750000000000004"/>
  </r>
  <r>
    <s v="MACHACHI"/>
    <x v="1"/>
    <x v="1"/>
    <x v="3"/>
    <s v="BEBIDA DE YOGURT KIOSKO FUNDA FAMILI"/>
    <x v="0"/>
    <n v="7711"/>
    <n v="1001"/>
    <x v="117"/>
    <x v="117"/>
    <n v="405"/>
    <n v="1"/>
    <n v="0.9"/>
    <n v="45"/>
    <d v="2024-11-21T00:00:00"/>
    <s v="jueves"/>
    <d v="2024-11-14T00:00:00"/>
    <x v="7"/>
    <n v="31"/>
    <n v="0.68888888888888888"/>
    <n v="405"/>
    <n v="364.5"/>
    <n v="7"/>
    <n v="0.84444444444444444"/>
    <n v="0.63853000000000004"/>
    <n v="0.63853000000000004"/>
    <n v="232.74418500000002"/>
    <n v="6"/>
    <x v="0"/>
    <n v="0.36449999999999999"/>
  </r>
  <r>
    <s v="MACHACHI"/>
    <x v="1"/>
    <x v="1"/>
    <x v="6"/>
    <s v="REGENERIS BEBIBLE BOTELLA FAMILIAR"/>
    <x v="0"/>
    <n v="7711"/>
    <n v="1001"/>
    <x v="118"/>
    <x v="118"/>
    <n v="24"/>
    <n v="1"/>
    <n v="1.75"/>
    <n v="45"/>
    <d v="2024-10-26T00:00:00"/>
    <s v="sábado"/>
    <d v="2024-10-22T00:00:00"/>
    <x v="79"/>
    <n v="8"/>
    <n v="0.17777777777777778"/>
    <n v="16"/>
    <n v="28"/>
    <n v="4"/>
    <n v="0.91111111111111109"/>
    <n v="2.20458"/>
    <n v="2.20458"/>
    <n v="61.72824"/>
    <n v="32"/>
    <x v="2"/>
    <n v="2.8000000000000001E-2"/>
  </r>
  <r>
    <s v="MACHACHI"/>
    <x v="1"/>
    <x v="1"/>
    <x v="6"/>
    <s v="REGENERIS BEBIBLE BOTELLA FAMILIAR"/>
    <x v="0"/>
    <n v="7711"/>
    <n v="1001"/>
    <x v="118"/>
    <x v="118"/>
    <n v="12"/>
    <n v="1"/>
    <n v="1.75"/>
    <n v="45"/>
    <d v="2024-11-19T00:00:00"/>
    <s v="martes"/>
    <d v="2024-11-12T00:00:00"/>
    <x v="5"/>
    <n v="29"/>
    <n v="0.64444444444444449"/>
    <n v="8"/>
    <n v="14"/>
    <n v="7"/>
    <n v="0.84444444444444444"/>
    <n v="2.20458"/>
    <n v="2.20458"/>
    <n v="30.86412"/>
    <n v="8"/>
    <x v="0"/>
    <n v="1.4E-2"/>
  </r>
  <r>
    <s v="MACHACHI"/>
    <x v="1"/>
    <x v="1"/>
    <x v="6"/>
    <s v="REGENERIS BEBIBLE BOTELLA FAMILIAR"/>
    <x v="0"/>
    <n v="7711"/>
    <n v="1001"/>
    <x v="118"/>
    <x v="118"/>
    <n v="36"/>
    <n v="1"/>
    <n v="1.75"/>
    <n v="45"/>
    <d v="2024-11-20T00:00:00"/>
    <s v="miércoles"/>
    <d v="2024-11-15T00:00:00"/>
    <x v="0"/>
    <n v="32"/>
    <n v="0.71111111111111114"/>
    <n v="36"/>
    <n v="63"/>
    <n v="5"/>
    <n v="0.88888888888888884"/>
    <n v="2.20458"/>
    <n v="2.20458"/>
    <n v="138.88854000000001"/>
    <n v="7"/>
    <x v="0"/>
    <n v="6.3E-2"/>
  </r>
  <r>
    <s v="MACHACHI"/>
    <x v="1"/>
    <x v="1"/>
    <x v="6"/>
    <s v="REGENERIS BEBIBLE BOTELLA FAMILIAR"/>
    <x v="0"/>
    <n v="7711"/>
    <n v="1001"/>
    <x v="119"/>
    <x v="119"/>
    <n v="54"/>
    <n v="1"/>
    <n v="1"/>
    <n v="45"/>
    <d v="2024-11-16T00:00:00"/>
    <s v="sábado"/>
    <d v="2024-11-15T00:00:00"/>
    <x v="0"/>
    <n v="32"/>
    <n v="0.71111111111111114"/>
    <n v="40"/>
    <n v="40"/>
    <n v="1"/>
    <n v="0.97777777777777775"/>
    <n v="1.3255649999999999"/>
    <n v="1.3255649999999999"/>
    <n v="53.022599999999997"/>
    <n v="11"/>
    <x v="0"/>
    <n v="0.04"/>
  </r>
  <r>
    <s v="MACHACHI"/>
    <x v="1"/>
    <x v="1"/>
    <x v="6"/>
    <s v="REGENERIS BEBIBLE BOTELLA FAMILIAR"/>
    <x v="0"/>
    <n v="7711"/>
    <n v="1001"/>
    <x v="119"/>
    <x v="119"/>
    <n v="18"/>
    <n v="1"/>
    <n v="1"/>
    <n v="45"/>
    <d v="2024-11-20T00:00:00"/>
    <s v="miércoles"/>
    <d v="2024-11-15T00:00:00"/>
    <x v="0"/>
    <n v="32"/>
    <n v="0.71111111111111114"/>
    <n v="18"/>
    <n v="18"/>
    <n v="5"/>
    <n v="0.88888888888888884"/>
    <n v="1.3255649999999999"/>
    <n v="1.3255649999999999"/>
    <n v="23.860169999999997"/>
    <n v="7"/>
    <x v="0"/>
    <n v="1.7999999999999999E-2"/>
  </r>
  <r>
    <s v="MACHACHI"/>
    <x v="1"/>
    <x v="1"/>
    <x v="6"/>
    <s v="REGENERIS BEBIBLE BOTELLA PERSONAL"/>
    <x v="0"/>
    <n v="7711"/>
    <n v="1001"/>
    <x v="120"/>
    <x v="120"/>
    <n v="108"/>
    <n v="1"/>
    <n v="0.18"/>
    <n v="45"/>
    <d v="2024-11-16T00:00:00"/>
    <s v="sábado"/>
    <d v="2024-11-13T00:00:00"/>
    <x v="2"/>
    <n v="30"/>
    <n v="0.66666666666666663"/>
    <n v="64"/>
    <n v="11.52"/>
    <n v="3"/>
    <n v="0.93333333333333335"/>
    <n v="0.29577500000000001"/>
    <n v="0.29577500000000001"/>
    <n v="3.4073280000000001"/>
    <n v="11"/>
    <x v="0"/>
    <n v="1.1519999999999999E-2"/>
  </r>
  <r>
    <s v="MACHACHI"/>
    <x v="1"/>
    <x v="1"/>
    <x v="6"/>
    <s v="REGENERIS BEBIBLE BOTELLA PERSONAL"/>
    <x v="0"/>
    <n v="7711"/>
    <n v="1001"/>
    <x v="120"/>
    <x v="120"/>
    <n v="216"/>
    <n v="1"/>
    <n v="0.18"/>
    <n v="45"/>
    <d v="2024-11-19T00:00:00"/>
    <s v="martes"/>
    <d v="2024-11-13T00:00:00"/>
    <x v="2"/>
    <n v="30"/>
    <n v="0.66666666666666663"/>
    <n v="216"/>
    <n v="38.879999999999995"/>
    <n v="6"/>
    <n v="0.8666666666666667"/>
    <n v="0.29577500000000001"/>
    <n v="0.29577500000000001"/>
    <n v="11.499732"/>
    <n v="8"/>
    <x v="0"/>
    <n v="3.8879999999999998E-2"/>
  </r>
  <r>
    <s v="MACHACHI"/>
    <x v="1"/>
    <x v="1"/>
    <x v="6"/>
    <s v="REGENERIS BEBIBLE BOTELLA PERSONAL"/>
    <x v="0"/>
    <n v="7711"/>
    <n v="1001"/>
    <x v="120"/>
    <x v="120"/>
    <n v="216"/>
    <n v="1"/>
    <n v="0.18"/>
    <n v="45"/>
    <d v="2024-11-20T00:00:00"/>
    <s v="miércoles"/>
    <d v="2024-11-15T00:00:00"/>
    <x v="0"/>
    <n v="32"/>
    <n v="0.71111111111111114"/>
    <n v="0"/>
    <n v="0"/>
    <n v="5"/>
    <n v="0.88888888888888884"/>
    <n v="0.29577500000000001"/>
    <n v="0.29577500000000001"/>
    <n v="0"/>
    <n v="7"/>
    <x v="0"/>
    <n v="0"/>
  </r>
  <r>
    <s v="MACHACHI"/>
    <x v="1"/>
    <x v="1"/>
    <x v="6"/>
    <s v="REGENERIS BEBIBLE BOTELLA PERSONAL"/>
    <x v="0"/>
    <n v="7711"/>
    <n v="1001"/>
    <x v="120"/>
    <x v="120"/>
    <n v="216"/>
    <n v="1"/>
    <n v="0.18"/>
    <n v="45"/>
    <d v="2024-11-21T00:00:00"/>
    <s v="jueves"/>
    <d v="2024-11-15T00:00:00"/>
    <x v="0"/>
    <n v="32"/>
    <n v="0.71111111111111114"/>
    <n v="216"/>
    <n v="38.879999999999995"/>
    <n v="6"/>
    <n v="0.8666666666666667"/>
    <n v="0.29577500000000001"/>
    <n v="0.29577500000000001"/>
    <n v="11.499732"/>
    <n v="6"/>
    <x v="0"/>
    <n v="3.8879999999999998E-2"/>
  </r>
  <r>
    <s v="MACHACHI"/>
    <x v="1"/>
    <x v="1"/>
    <x v="6"/>
    <s v="REGENERIS CEREAL BOTELLA PERSONAL"/>
    <x v="0"/>
    <n v="7711"/>
    <n v="1001"/>
    <x v="121"/>
    <x v="121"/>
    <n v="216"/>
    <n v="1"/>
    <n v="0.18"/>
    <n v="45"/>
    <d v="2024-11-13T00:00:00"/>
    <s v="miércoles"/>
    <d v="2024-11-07T00:00:00"/>
    <x v="1"/>
    <n v="24"/>
    <n v="0.53333333333333333"/>
    <n v="11"/>
    <n v="1.98"/>
    <n v="6"/>
    <n v="0.8666666666666667"/>
    <n v="0.32785500000000001"/>
    <n v="0.32785500000000001"/>
    <n v="0.64915290000000003"/>
    <n v="14"/>
    <x v="1"/>
    <n v="1.98E-3"/>
  </r>
  <r>
    <s v="MACHACHI"/>
    <x v="1"/>
    <x v="1"/>
    <x v="6"/>
    <s v="REGENERIS CEREAL BOTELLA PERSONAL"/>
    <x v="0"/>
    <n v="7711"/>
    <n v="1001"/>
    <x v="121"/>
    <x v="121"/>
    <n v="540"/>
    <n v="1"/>
    <n v="0.18"/>
    <n v="45"/>
    <d v="2024-11-16T00:00:00"/>
    <s v="sábado"/>
    <d v="2024-11-13T00:00:00"/>
    <x v="2"/>
    <n v="30"/>
    <n v="0.66666666666666663"/>
    <n v="540"/>
    <n v="97.2"/>
    <n v="3"/>
    <n v="0.93333333333333335"/>
    <n v="0.32785500000000001"/>
    <n v="0.32785500000000001"/>
    <n v="31.867506000000002"/>
    <n v="11"/>
    <x v="0"/>
    <n v="9.7200000000000009E-2"/>
  </r>
  <r>
    <s v="MACHACHI"/>
    <x v="1"/>
    <x v="1"/>
    <x v="6"/>
    <s v="REGENERIS CEREAL BOTELLA PERSONAL"/>
    <x v="0"/>
    <n v="7711"/>
    <n v="1001"/>
    <x v="121"/>
    <x v="121"/>
    <n v="216"/>
    <n v="1"/>
    <n v="0.18"/>
    <n v="45"/>
    <d v="2024-11-15T00:00:00"/>
    <s v="viernes"/>
    <d v="2024-11-13T00:00:00"/>
    <x v="2"/>
    <n v="30"/>
    <n v="0.66666666666666663"/>
    <n v="2"/>
    <n v="0.36"/>
    <n v="2"/>
    <n v="0.9555555555555556"/>
    <n v="0.32785500000000001"/>
    <n v="0.32785500000000001"/>
    <n v="0.1180278"/>
    <n v="12"/>
    <x v="0"/>
    <n v="3.5999999999999997E-4"/>
  </r>
  <r>
    <s v="MACHACHI"/>
    <x v="1"/>
    <x v="1"/>
    <x v="6"/>
    <s v="REGENERIS CEREAL BOTELLA PERSONAL"/>
    <x v="0"/>
    <n v="7711"/>
    <n v="1001"/>
    <x v="121"/>
    <x v="121"/>
    <n v="432"/>
    <n v="1"/>
    <n v="0.18"/>
    <n v="45"/>
    <d v="2024-11-19T00:00:00"/>
    <s v="martes"/>
    <d v="2024-11-13T00:00:00"/>
    <x v="2"/>
    <n v="30"/>
    <n v="0.66666666666666663"/>
    <n v="432"/>
    <n v="77.759999999999991"/>
    <n v="6"/>
    <n v="0.8666666666666667"/>
    <n v="0.32785500000000001"/>
    <n v="0.32785500000000001"/>
    <n v="25.494004799999999"/>
    <n v="8"/>
    <x v="0"/>
    <n v="7.7759999999999996E-2"/>
  </r>
  <r>
    <s v="MACHACHI"/>
    <x v="1"/>
    <x v="1"/>
    <x v="6"/>
    <s v="REGENERIS CEREAL BOTELLA PERSONAL"/>
    <x v="0"/>
    <n v="7711"/>
    <n v="1001"/>
    <x v="121"/>
    <x v="121"/>
    <n v="432"/>
    <n v="1"/>
    <n v="0.18"/>
    <n v="45"/>
    <d v="2024-11-21T00:00:00"/>
    <s v="jueves"/>
    <d v="2024-11-15T00:00:00"/>
    <x v="0"/>
    <n v="32"/>
    <n v="0.71111111111111114"/>
    <n v="324"/>
    <n v="58.32"/>
    <n v="6"/>
    <n v="0.8666666666666667"/>
    <n v="0.32785500000000001"/>
    <n v="0.32785500000000001"/>
    <n v="19.120503599999999"/>
    <n v="6"/>
    <x v="0"/>
    <n v="5.8319999999999997E-2"/>
  </r>
  <r>
    <s v="MACHACHI"/>
    <x v="1"/>
    <x v="1"/>
    <x v="6"/>
    <s v="REGENERIS BAJO EN GRASA BOTELLA FAMILIAR"/>
    <x v="0"/>
    <n v="7711"/>
    <n v="1001"/>
    <x v="122"/>
    <x v="122"/>
    <n v="18"/>
    <n v="1"/>
    <n v="1"/>
    <n v="45"/>
    <d v="2024-11-16T00:00:00"/>
    <s v="sábado"/>
    <d v="2024-11-06T00:00:00"/>
    <x v="11"/>
    <n v="23"/>
    <n v="0.51111111111111107"/>
    <n v="4"/>
    <n v="4"/>
    <n v="10"/>
    <n v="0.77777777777777779"/>
    <n v="1.3149000000000002"/>
    <n v="1.3149000000000002"/>
    <n v="5.2596000000000007"/>
    <n v="11"/>
    <x v="1"/>
    <n v="4.0000000000000001E-3"/>
  </r>
  <r>
    <s v="MACHACHI"/>
    <x v="1"/>
    <x v="1"/>
    <x v="6"/>
    <s v="REGENERIS BAJO EN GRASA BOTELLA FAMILIAR"/>
    <x v="0"/>
    <n v="7711"/>
    <n v="1001"/>
    <x v="122"/>
    <x v="122"/>
    <n v="18"/>
    <n v="1"/>
    <n v="1"/>
    <n v="45"/>
    <d v="2024-11-19T00:00:00"/>
    <s v="martes"/>
    <d v="2024-11-06T00:00:00"/>
    <x v="11"/>
    <n v="23"/>
    <n v="0.51111111111111107"/>
    <n v="18"/>
    <n v="18"/>
    <n v="13"/>
    <n v="0.71111111111111114"/>
    <n v="1.3149000000000002"/>
    <n v="1.3149000000000002"/>
    <n v="23.668200000000002"/>
    <n v="8"/>
    <x v="1"/>
    <n v="1.7999999999999999E-2"/>
  </r>
  <r>
    <s v="MACHACHI"/>
    <x v="1"/>
    <x v="1"/>
    <x v="6"/>
    <s v="REGENERIS BAJO EN GRASA BOTELLA FAMILIAR"/>
    <x v="0"/>
    <n v="7711"/>
    <n v="1001"/>
    <x v="122"/>
    <x v="122"/>
    <n v="18"/>
    <n v="1"/>
    <n v="1"/>
    <n v="45"/>
    <d v="2024-11-20T00:00:00"/>
    <s v="miércoles"/>
    <d v="2024-11-14T00:00:00"/>
    <x v="7"/>
    <n v="31"/>
    <n v="0.68888888888888888"/>
    <n v="18"/>
    <n v="18"/>
    <n v="6"/>
    <n v="0.8666666666666667"/>
    <n v="1.3149000000000002"/>
    <n v="1.3149000000000002"/>
    <n v="23.668200000000002"/>
    <n v="7"/>
    <x v="0"/>
    <n v="1.7999999999999999E-2"/>
  </r>
  <r>
    <s v="MACHACHI"/>
    <x v="1"/>
    <x v="1"/>
    <x v="6"/>
    <s v="REGENERIS BAJO EN GRASA BOTELLA FAMILIAR"/>
    <x v="0"/>
    <n v="7711"/>
    <n v="1001"/>
    <x v="123"/>
    <x v="123"/>
    <n v="24"/>
    <n v="1"/>
    <n v="1.75"/>
    <n v="45"/>
    <d v="2024-11-16T00:00:00"/>
    <s v="sábado"/>
    <d v="2024-11-14T00:00:00"/>
    <x v="7"/>
    <n v="31"/>
    <n v="0.68888888888888888"/>
    <n v="23"/>
    <n v="40.25"/>
    <n v="2"/>
    <n v="0.9555555555555556"/>
    <n v="2.1685949999999998"/>
    <n v="2.1685949999999998"/>
    <n v="87.285948749999989"/>
    <n v="11"/>
    <x v="0"/>
    <n v="4.0250000000000001E-2"/>
  </r>
  <r>
    <s v="MACHACHI"/>
    <x v="1"/>
    <x v="1"/>
    <x v="6"/>
    <s v="REGENERIS BAJO EN GRASA BOTELLA FAMILIAR"/>
    <x v="0"/>
    <n v="7711"/>
    <n v="1001"/>
    <x v="123"/>
    <x v="123"/>
    <n v="12"/>
    <n v="1"/>
    <n v="1.75"/>
    <n v="45"/>
    <d v="2024-11-20T00:00:00"/>
    <s v="miércoles"/>
    <d v="2024-11-14T00:00:00"/>
    <x v="7"/>
    <n v="31"/>
    <n v="0.68888888888888888"/>
    <n v="12"/>
    <n v="21"/>
    <n v="6"/>
    <n v="0.8666666666666667"/>
    <n v="2.1685949999999998"/>
    <n v="2.1685949999999998"/>
    <n v="45.540494999999993"/>
    <n v="7"/>
    <x v="0"/>
    <n v="2.1000000000000001E-2"/>
  </r>
  <r>
    <s v="MACHACHI"/>
    <x v="1"/>
    <x v="1"/>
    <x v="6"/>
    <s v="REGENERIS BEBIBLE BOTELLA PERSONAL"/>
    <x v="0"/>
    <n v="7711"/>
    <n v="1001"/>
    <x v="124"/>
    <x v="124"/>
    <n v="108"/>
    <n v="1"/>
    <n v="0.18"/>
    <n v="45"/>
    <d v="2024-11-16T00:00:00"/>
    <s v="sábado"/>
    <d v="2024-11-08T00:00:00"/>
    <x v="9"/>
    <n v="25"/>
    <n v="0.55555555555555558"/>
    <n v="108"/>
    <n v="19.439999999999998"/>
    <n v="8"/>
    <n v="0.82222222222222219"/>
    <n v="0.29342499999999999"/>
    <n v="0.29342499999999999"/>
    <n v="5.7041819999999994"/>
    <n v="11"/>
    <x v="1"/>
    <n v="1.9439999999999999E-2"/>
  </r>
  <r>
    <s v="MACHACHI"/>
    <x v="1"/>
    <x v="1"/>
    <x v="6"/>
    <s v="REGENERIS BEBIBLE BOTELLA PERSONAL"/>
    <x v="0"/>
    <n v="7711"/>
    <n v="1001"/>
    <x v="124"/>
    <x v="124"/>
    <n v="108"/>
    <n v="1"/>
    <n v="0.18"/>
    <n v="45"/>
    <d v="2024-11-15T00:00:00"/>
    <s v="viernes"/>
    <d v="2024-11-08T00:00:00"/>
    <x v="9"/>
    <n v="25"/>
    <n v="0.55555555555555558"/>
    <n v="108"/>
    <n v="19.439999999999998"/>
    <n v="7"/>
    <n v="0.84444444444444444"/>
    <n v="0.29342499999999999"/>
    <n v="0.29342499999999999"/>
    <n v="5.7041819999999994"/>
    <n v="12"/>
    <x v="1"/>
    <n v="1.9439999999999999E-2"/>
  </r>
  <r>
    <s v="MACHACHI"/>
    <x v="1"/>
    <x v="1"/>
    <x v="6"/>
    <s v="REGENERIS BEBIBLE BOTELLA PERSONAL"/>
    <x v="0"/>
    <n v="7711"/>
    <n v="1001"/>
    <x v="124"/>
    <x v="124"/>
    <n v="216"/>
    <n v="1"/>
    <n v="0.18"/>
    <n v="45"/>
    <d v="2024-11-14T00:00:00"/>
    <s v="jueves"/>
    <d v="2024-11-08T00:00:00"/>
    <x v="9"/>
    <n v="25"/>
    <n v="0.55555555555555558"/>
    <n v="97"/>
    <n v="17.46"/>
    <n v="6"/>
    <n v="0.8666666666666667"/>
    <n v="0.29342499999999999"/>
    <n v="0.29342499999999999"/>
    <n v="5.1232005000000003"/>
    <n v="13"/>
    <x v="1"/>
    <n v="1.746E-2"/>
  </r>
  <r>
    <s v="MACHACHI"/>
    <x v="1"/>
    <x v="1"/>
    <x v="6"/>
    <s v="REGENERIS BEBIBLE BOTELLA PERSONAL"/>
    <x v="0"/>
    <n v="7711"/>
    <n v="1001"/>
    <x v="124"/>
    <x v="124"/>
    <n v="216"/>
    <n v="1"/>
    <n v="0.18"/>
    <n v="45"/>
    <d v="2024-11-19T00:00:00"/>
    <s v="martes"/>
    <d v="2024-11-13T00:00:00"/>
    <x v="2"/>
    <n v="30"/>
    <n v="0.66666666666666663"/>
    <n v="216"/>
    <n v="38.879999999999995"/>
    <n v="6"/>
    <n v="0.8666666666666667"/>
    <n v="0.29342499999999999"/>
    <n v="0.29342499999999999"/>
    <n v="11.408363999999999"/>
    <n v="8"/>
    <x v="0"/>
    <n v="3.8879999999999998E-2"/>
  </r>
  <r>
    <s v="MACHACHI"/>
    <x v="1"/>
    <x v="1"/>
    <x v="6"/>
    <s v="REGENERIS BEBIBLE BOTELLA PERSONAL"/>
    <x v="0"/>
    <n v="7711"/>
    <n v="1001"/>
    <x v="124"/>
    <x v="124"/>
    <n v="216"/>
    <n v="1"/>
    <n v="0.18"/>
    <n v="45"/>
    <d v="2024-11-20T00:00:00"/>
    <s v="miércoles"/>
    <d v="2024-11-14T00:00:00"/>
    <x v="7"/>
    <n v="31"/>
    <n v="0.68888888888888888"/>
    <n v="216"/>
    <n v="38.879999999999995"/>
    <n v="6"/>
    <n v="0.8666666666666667"/>
    <n v="0.29342499999999999"/>
    <n v="0.29342499999999999"/>
    <n v="11.408363999999999"/>
    <n v="7"/>
    <x v="0"/>
    <n v="3.8879999999999998E-2"/>
  </r>
  <r>
    <s v="MACHACHI"/>
    <x v="1"/>
    <x v="1"/>
    <x v="6"/>
    <s v="REGENERIS BEBIBLE BOTELLA FAMILIAR"/>
    <x v="0"/>
    <n v="7711"/>
    <n v="1001"/>
    <x v="125"/>
    <x v="125"/>
    <n v="54"/>
    <n v="1"/>
    <n v="1"/>
    <n v="45"/>
    <d v="2024-11-16T00:00:00"/>
    <s v="sábado"/>
    <d v="2024-11-13T00:00:00"/>
    <x v="2"/>
    <n v="30"/>
    <n v="0.66666666666666663"/>
    <n v="16"/>
    <n v="16"/>
    <n v="3"/>
    <n v="0.93333333333333335"/>
    <n v="1.3744550000000002"/>
    <n v="1.3744550000000002"/>
    <n v="21.991280000000003"/>
    <n v="11"/>
    <x v="0"/>
    <n v="1.6E-2"/>
  </r>
  <r>
    <s v="MACHACHI"/>
    <x v="1"/>
    <x v="1"/>
    <x v="6"/>
    <s v="REGENERIS BEBIBLE BOTELLA FAMILIAR"/>
    <x v="0"/>
    <n v="7711"/>
    <n v="1001"/>
    <x v="125"/>
    <x v="125"/>
    <n v="36"/>
    <n v="1"/>
    <n v="1"/>
    <n v="45"/>
    <d v="2024-11-19T00:00:00"/>
    <s v="martes"/>
    <d v="2024-11-13T00:00:00"/>
    <x v="2"/>
    <n v="30"/>
    <n v="0.66666666666666663"/>
    <n v="36"/>
    <n v="36"/>
    <n v="6"/>
    <n v="0.8666666666666667"/>
    <n v="1.3744550000000002"/>
    <n v="1.3744550000000002"/>
    <n v="49.480380000000011"/>
    <n v="8"/>
    <x v="0"/>
    <n v="3.5999999999999997E-2"/>
  </r>
  <r>
    <s v="MACHACHI"/>
    <x v="1"/>
    <x v="1"/>
    <x v="6"/>
    <s v="REGENERIS BEBIBLE BOTELLA FAMILIAR"/>
    <x v="0"/>
    <n v="7711"/>
    <n v="1001"/>
    <x v="125"/>
    <x v="125"/>
    <n v="36"/>
    <n v="1"/>
    <n v="1"/>
    <n v="45"/>
    <d v="2024-11-21T00:00:00"/>
    <s v="jueves"/>
    <d v="2024-11-15T00:00:00"/>
    <x v="0"/>
    <n v="32"/>
    <n v="0.71111111111111114"/>
    <n v="18"/>
    <n v="18"/>
    <n v="6"/>
    <n v="0.8666666666666667"/>
    <n v="1.3744550000000002"/>
    <n v="1.3744550000000002"/>
    <n v="24.740190000000005"/>
    <n v="6"/>
    <x v="0"/>
    <n v="1.7999999999999999E-2"/>
  </r>
  <r>
    <s v="MACHACHI"/>
    <x v="1"/>
    <x v="1"/>
    <x v="6"/>
    <s v="REGENERIS BEBIBLE BOTELLA PERSONAL"/>
    <x v="0"/>
    <n v="7711"/>
    <n v="1001"/>
    <x v="126"/>
    <x v="126"/>
    <n v="756"/>
    <n v="1"/>
    <n v="0.18"/>
    <n v="45"/>
    <d v="2024-11-09T00:00:00"/>
    <s v="sábado"/>
    <d v="2024-10-30T00:00:00"/>
    <x v="41"/>
    <n v="16"/>
    <n v="0.35555555555555557"/>
    <n v="151"/>
    <n v="27.18"/>
    <n v="10"/>
    <n v="0.77777777777777779"/>
    <n v="0.30145500000000003"/>
    <n v="0.30145500000000003"/>
    <n v="8.1935469000000012"/>
    <n v="18"/>
    <x v="2"/>
    <n v="2.7179999999999999E-2"/>
  </r>
  <r>
    <s v="MACHACHI"/>
    <x v="1"/>
    <x v="1"/>
    <x v="6"/>
    <s v="REGENERIS BEBIBLE BOTELLA PERSONAL"/>
    <x v="0"/>
    <n v="7711"/>
    <n v="1001"/>
    <x v="126"/>
    <x v="126"/>
    <n v="324"/>
    <n v="1"/>
    <n v="0.18"/>
    <n v="45"/>
    <d v="2024-11-12T00:00:00"/>
    <s v="martes"/>
    <d v="2024-10-31T00:00:00"/>
    <x v="10"/>
    <n v="17"/>
    <n v="0.37777777777777777"/>
    <n v="132"/>
    <n v="23.759999999999998"/>
    <n v="12"/>
    <n v="0.73333333333333339"/>
    <n v="0.30145500000000003"/>
    <n v="0.30145500000000003"/>
    <n v="7.1625708000000001"/>
    <n v="15"/>
    <x v="2"/>
    <n v="2.3759999999999996E-2"/>
  </r>
  <r>
    <s v="MACHACHI"/>
    <x v="1"/>
    <x v="1"/>
    <x v="6"/>
    <s v="REGENERIS BEBIBLE BOTELLA PERSONAL"/>
    <x v="0"/>
    <n v="7711"/>
    <n v="1001"/>
    <x v="126"/>
    <x v="126"/>
    <n v="540"/>
    <n v="1"/>
    <n v="0.18"/>
    <n v="45"/>
    <d v="2024-11-16T00:00:00"/>
    <s v="sábado"/>
    <d v="2024-11-08T00:00:00"/>
    <x v="9"/>
    <n v="25"/>
    <n v="0.55555555555555558"/>
    <n v="393"/>
    <n v="70.739999999999995"/>
    <n v="8"/>
    <n v="0.82222222222222219"/>
    <n v="0.30145500000000003"/>
    <n v="0.30145500000000003"/>
    <n v="21.324926699999999"/>
    <n v="11"/>
    <x v="1"/>
    <n v="7.0739999999999997E-2"/>
  </r>
  <r>
    <s v="MACHACHI"/>
    <x v="1"/>
    <x v="1"/>
    <x v="6"/>
    <s v="REGENERIS BEBIBLE BOTELLA PERSONAL"/>
    <x v="0"/>
    <n v="7711"/>
    <n v="1001"/>
    <x v="126"/>
    <x v="126"/>
    <n v="0"/>
    <n v="1"/>
    <n v="0.18"/>
    <n v="45"/>
    <d v="2024-11-15T00:00:00"/>
    <s v="viernes"/>
    <d v="2024-11-15T00:00:00"/>
    <x v="0"/>
    <n v="32"/>
    <n v="0.71111111111111114"/>
    <n v="1"/>
    <n v="0.18"/>
    <n v="0"/>
    <n v="1"/>
    <n v="0.30145500000000003"/>
    <n v="0.30145500000000003"/>
    <n v="5.4261900000000002E-2"/>
    <n v="12"/>
    <x v="0"/>
    <n v="1.7999999999999998E-4"/>
  </r>
  <r>
    <s v="MACHACHI"/>
    <x v="1"/>
    <x v="1"/>
    <x v="6"/>
    <s v="REGENERIS BEBIBLE BOTELLA PERSONAL"/>
    <x v="0"/>
    <n v="7711"/>
    <n v="1001"/>
    <x v="126"/>
    <x v="126"/>
    <n v="540"/>
    <n v="1"/>
    <n v="0.18"/>
    <n v="45"/>
    <d v="2024-11-19T00:00:00"/>
    <s v="martes"/>
    <d v="2024-11-13T00:00:00"/>
    <x v="2"/>
    <n v="30"/>
    <n v="0.66666666666666663"/>
    <n v="540"/>
    <n v="97.2"/>
    <n v="6"/>
    <n v="0.8666666666666667"/>
    <n v="0.30145500000000003"/>
    <n v="0.30145500000000003"/>
    <n v="29.301426000000003"/>
    <n v="8"/>
    <x v="0"/>
    <n v="9.7200000000000009E-2"/>
  </r>
  <r>
    <s v="MACHACHI"/>
    <x v="1"/>
    <x v="1"/>
    <x v="6"/>
    <s v="REGENERIS BEBIBLE BOTELLA PERSONAL"/>
    <x v="0"/>
    <n v="7711"/>
    <n v="1001"/>
    <x v="126"/>
    <x v="126"/>
    <n v="216"/>
    <n v="1"/>
    <n v="0.18"/>
    <n v="45"/>
    <d v="2024-11-20T00:00:00"/>
    <s v="miércoles"/>
    <d v="2024-11-13T00:00:00"/>
    <x v="2"/>
    <n v="30"/>
    <n v="0.66666666666666663"/>
    <n v="216"/>
    <n v="38.879999999999995"/>
    <n v="7"/>
    <n v="0.84444444444444444"/>
    <n v="0.30145500000000003"/>
    <n v="0.30145500000000003"/>
    <n v="11.7205704"/>
    <n v="7"/>
    <x v="0"/>
    <n v="3.8879999999999998E-2"/>
  </r>
  <r>
    <s v="MACHACHI"/>
    <x v="1"/>
    <x v="1"/>
    <x v="6"/>
    <s v="REGENERIS BEBIBLE BOTELLA FAMILIAR"/>
    <x v="0"/>
    <n v="7711"/>
    <n v="1001"/>
    <x v="127"/>
    <x v="127"/>
    <n v="54"/>
    <n v="1"/>
    <n v="1"/>
    <n v="45"/>
    <d v="2024-11-12T00:00:00"/>
    <s v="martes"/>
    <d v="2024-11-08T00:00:00"/>
    <x v="9"/>
    <n v="25"/>
    <n v="0.55555555555555558"/>
    <n v="1"/>
    <n v="1"/>
    <n v="4"/>
    <n v="0.91111111111111109"/>
    <n v="1.3619949999999998"/>
    <n v="1.3619949999999998"/>
    <n v="1.3619949999999998"/>
    <n v="15"/>
    <x v="1"/>
    <n v="1E-3"/>
  </r>
  <r>
    <s v="MACHACHI"/>
    <x v="1"/>
    <x v="1"/>
    <x v="6"/>
    <s v="REGENERIS BEBIBLE BOTELLA FAMILIAR"/>
    <x v="0"/>
    <n v="7711"/>
    <n v="1001"/>
    <x v="127"/>
    <x v="127"/>
    <n v="72"/>
    <n v="1"/>
    <n v="1"/>
    <n v="45"/>
    <d v="2024-11-16T00:00:00"/>
    <s v="sábado"/>
    <d v="2024-11-14T00:00:00"/>
    <x v="7"/>
    <n v="31"/>
    <n v="0.68888888888888888"/>
    <n v="42"/>
    <n v="42"/>
    <n v="2"/>
    <n v="0.9555555555555556"/>
    <n v="1.3619949999999998"/>
    <n v="1.3619949999999998"/>
    <n v="57.203789999999991"/>
    <n v="11"/>
    <x v="0"/>
    <n v="4.2000000000000003E-2"/>
  </r>
  <r>
    <s v="MACHACHI"/>
    <x v="1"/>
    <x v="1"/>
    <x v="6"/>
    <s v="REGENERIS BEBIBLE BOTELLA FAMILIAR"/>
    <x v="0"/>
    <n v="7711"/>
    <n v="1001"/>
    <x v="127"/>
    <x v="127"/>
    <n v="72"/>
    <n v="1"/>
    <n v="1"/>
    <n v="45"/>
    <d v="2024-11-19T00:00:00"/>
    <s v="martes"/>
    <d v="2024-11-14T00:00:00"/>
    <x v="7"/>
    <n v="31"/>
    <n v="0.68888888888888888"/>
    <n v="72"/>
    <n v="72"/>
    <n v="5"/>
    <n v="0.88888888888888884"/>
    <n v="1.3619949999999998"/>
    <n v="1.3619949999999998"/>
    <n v="98.063639999999992"/>
    <n v="8"/>
    <x v="0"/>
    <n v="7.1999999999999995E-2"/>
  </r>
  <r>
    <s v="MACHACHI"/>
    <x v="1"/>
    <x v="1"/>
    <x v="6"/>
    <s v="REGENERIS BEBIBLE BOTELLA FAMILIAR"/>
    <x v="0"/>
    <n v="7711"/>
    <n v="1001"/>
    <x v="127"/>
    <x v="127"/>
    <n v="54"/>
    <n v="1"/>
    <n v="1"/>
    <n v="45"/>
    <d v="2024-11-20T00:00:00"/>
    <s v="miércoles"/>
    <d v="2024-11-19T00:00:00"/>
    <x v="8"/>
    <n v="36"/>
    <n v="0.8"/>
    <n v="54"/>
    <n v="54"/>
    <n v="1"/>
    <n v="0.97777777777777775"/>
    <n v="1.3619949999999998"/>
    <n v="1.3619949999999998"/>
    <n v="73.547729999999987"/>
    <n v="7"/>
    <x v="0"/>
    <n v="5.3999999999999999E-2"/>
  </r>
  <r>
    <s v="MACHACHI"/>
    <x v="1"/>
    <x v="1"/>
    <x v="6"/>
    <s v="REGENERIS REGULAR BOTELLA FAMILIAR"/>
    <x v="0"/>
    <n v="7711"/>
    <n v="1001"/>
    <x v="128"/>
    <x v="128"/>
    <n v="84"/>
    <n v="1"/>
    <n v="1.75"/>
    <n v="45"/>
    <d v="2024-10-31T00:00:00"/>
    <s v="jueves"/>
    <d v="2024-10-22T00:00:00"/>
    <x v="79"/>
    <n v="8"/>
    <n v="0.17777777777777778"/>
    <n v="9"/>
    <n v="15.75"/>
    <n v="9"/>
    <n v="0.8"/>
    <n v="2.3769900000000002"/>
    <n v="2.3769900000000002"/>
    <n v="37.437592500000001"/>
    <n v="27"/>
    <x v="2"/>
    <n v="1.575E-2"/>
  </r>
  <r>
    <s v="MACHACHI"/>
    <x v="1"/>
    <x v="1"/>
    <x v="6"/>
    <s v="REGENERIS REGULAR BOTELLA FAMILIAR"/>
    <x v="0"/>
    <n v="7711"/>
    <n v="1001"/>
    <x v="128"/>
    <x v="128"/>
    <n v="144"/>
    <n v="1"/>
    <n v="1.75"/>
    <n v="45"/>
    <d v="2024-11-09T00:00:00"/>
    <s v="sábado"/>
    <d v="2024-10-31T00:00:00"/>
    <x v="10"/>
    <n v="17"/>
    <n v="0.37777777777777777"/>
    <n v="101"/>
    <n v="176.75"/>
    <n v="9"/>
    <n v="0.8"/>
    <n v="2.3769900000000002"/>
    <n v="2.3769900000000002"/>
    <n v="420.13298250000003"/>
    <n v="18"/>
    <x v="2"/>
    <n v="0.17674999999999999"/>
  </r>
  <r>
    <s v="MACHACHI"/>
    <x v="1"/>
    <x v="1"/>
    <x v="6"/>
    <s v="REGENERIS REGULAR BOTELLA FAMILIAR"/>
    <x v="0"/>
    <n v="7711"/>
    <n v="1001"/>
    <x v="128"/>
    <x v="128"/>
    <n v="72"/>
    <n v="1"/>
    <n v="1.75"/>
    <n v="45"/>
    <d v="2024-11-20T00:00:00"/>
    <s v="miércoles"/>
    <d v="2024-11-12T00:00:00"/>
    <x v="5"/>
    <n v="29"/>
    <n v="0.64444444444444449"/>
    <n v="65"/>
    <n v="113.75"/>
    <n v="8"/>
    <n v="0.82222222222222219"/>
    <n v="2.3769900000000002"/>
    <n v="2.3769900000000002"/>
    <n v="270.38261249999999"/>
    <n v="7"/>
    <x v="0"/>
    <n v="0.11375"/>
  </r>
  <r>
    <s v="MACHACHI"/>
    <x v="1"/>
    <x v="1"/>
    <x v="6"/>
    <s v="REGENERIS REGULAR BOTELLA FAMILIAR"/>
    <x v="0"/>
    <n v="7711"/>
    <n v="1001"/>
    <x v="129"/>
    <x v="129"/>
    <n v="180"/>
    <n v="1"/>
    <n v="1.75"/>
    <n v="45"/>
    <d v="2024-11-20T00:00:00"/>
    <s v="miércoles"/>
    <d v="2024-11-19T00:00:00"/>
    <x v="8"/>
    <n v="36"/>
    <n v="0.8"/>
    <n v="174"/>
    <n v="304.5"/>
    <n v="1"/>
    <n v="0.97777777777777775"/>
    <n v="2.36903"/>
    <n v="2.36903"/>
    <n v="721.36963500000002"/>
    <n v="7"/>
    <x v="0"/>
    <n v="0.30449999999999999"/>
  </r>
  <r>
    <s v="MACHACHI"/>
    <x v="1"/>
    <x v="1"/>
    <x v="6"/>
    <s v="REGENERIS REGULAR BOTELLA FAMILIAR"/>
    <x v="0"/>
    <n v="7711"/>
    <n v="1001"/>
    <x v="130"/>
    <x v="130"/>
    <n v="18"/>
    <n v="1"/>
    <n v="1"/>
    <n v="45"/>
    <d v="2024-11-08T00:00:00"/>
    <s v="viernes"/>
    <d v="2024-10-31T00:00:00"/>
    <x v="10"/>
    <n v="17"/>
    <n v="0.37777777777777777"/>
    <n v="0"/>
    <n v="0"/>
    <n v="8"/>
    <n v="0.82222222222222219"/>
    <n v="1.4067150000000002"/>
    <n v="1.4067150000000002"/>
    <n v="0"/>
    <n v="19"/>
    <x v="2"/>
    <n v="0"/>
  </r>
  <r>
    <s v="MACHACHI"/>
    <x v="1"/>
    <x v="1"/>
    <x v="6"/>
    <s v="REGENERIS REGULAR BOTELLA FAMILIAR"/>
    <x v="0"/>
    <n v="7711"/>
    <n v="1001"/>
    <x v="130"/>
    <x v="130"/>
    <n v="18"/>
    <n v="1"/>
    <n v="1"/>
    <n v="45"/>
    <d v="2024-11-09T00:00:00"/>
    <s v="sábado"/>
    <d v="2024-10-31T00:00:00"/>
    <x v="10"/>
    <n v="17"/>
    <n v="0.37777777777777777"/>
    <n v="18"/>
    <n v="18"/>
    <n v="9"/>
    <n v="0.8"/>
    <n v="1.4067150000000002"/>
    <n v="1.4067150000000002"/>
    <n v="25.320870000000003"/>
    <n v="18"/>
    <x v="2"/>
    <n v="1.7999999999999999E-2"/>
  </r>
  <r>
    <s v="MACHACHI"/>
    <x v="1"/>
    <x v="1"/>
    <x v="6"/>
    <s v="REGENERIS REGULAR BOTELLA FAMILIAR"/>
    <x v="0"/>
    <n v="7711"/>
    <n v="1001"/>
    <x v="130"/>
    <x v="130"/>
    <n v="90"/>
    <n v="1"/>
    <n v="1"/>
    <n v="45"/>
    <d v="2024-11-20T00:00:00"/>
    <s v="miércoles"/>
    <d v="2024-11-14T00:00:00"/>
    <x v="7"/>
    <n v="31"/>
    <n v="0.68888888888888888"/>
    <n v="89"/>
    <n v="89"/>
    <n v="6"/>
    <n v="0.8666666666666667"/>
    <n v="1.4067150000000002"/>
    <n v="1.4067150000000002"/>
    <n v="125.19763500000002"/>
    <n v="7"/>
    <x v="0"/>
    <n v="8.8999999999999996E-2"/>
  </r>
  <r>
    <s v="MACHACHI"/>
    <x v="1"/>
    <x v="1"/>
    <x v="6"/>
    <s v="REGENERIS REGULAR BOTELLA FAMILIAR"/>
    <x v="0"/>
    <n v="7711"/>
    <n v="1001"/>
    <x v="131"/>
    <x v="131"/>
    <n v="90"/>
    <n v="1"/>
    <n v="1"/>
    <n v="45"/>
    <d v="2024-11-16T00:00:00"/>
    <s v="sábado"/>
    <d v="2024-11-12T00:00:00"/>
    <x v="5"/>
    <n v="29"/>
    <n v="0.64444444444444449"/>
    <n v="25"/>
    <n v="25"/>
    <n v="4"/>
    <n v="0.91111111111111109"/>
    <n v="1.3933150000000001"/>
    <n v="1.3933150000000001"/>
    <n v="34.832875000000001"/>
    <n v="11"/>
    <x v="0"/>
    <n v="2.5000000000000001E-2"/>
  </r>
  <r>
    <s v="MACHACHI"/>
    <x v="1"/>
    <x v="1"/>
    <x v="6"/>
    <s v="REGENERIS REGULAR BOTELLA FAMILIAR"/>
    <x v="0"/>
    <n v="7711"/>
    <n v="1001"/>
    <x v="131"/>
    <x v="131"/>
    <n v="108"/>
    <n v="1"/>
    <n v="1"/>
    <n v="45"/>
    <d v="2024-11-19T00:00:00"/>
    <s v="martes"/>
    <d v="2024-11-14T00:00:00"/>
    <x v="7"/>
    <n v="31"/>
    <n v="0.68888888888888888"/>
    <n v="108"/>
    <n v="108"/>
    <n v="5"/>
    <n v="0.88888888888888884"/>
    <n v="1.3933150000000001"/>
    <n v="1.3933150000000001"/>
    <n v="150.47802000000001"/>
    <n v="8"/>
    <x v="0"/>
    <n v="0.108"/>
  </r>
  <r>
    <s v="MACHACHI"/>
    <x v="1"/>
    <x v="1"/>
    <x v="6"/>
    <s v="REGENERIS REGULAR BOTELLA FAMILIAR"/>
    <x v="0"/>
    <n v="7711"/>
    <n v="1001"/>
    <x v="131"/>
    <x v="131"/>
    <n v="72"/>
    <n v="1"/>
    <n v="1"/>
    <n v="45"/>
    <d v="2024-11-20T00:00:00"/>
    <s v="miércoles"/>
    <d v="2024-11-14T00:00:00"/>
    <x v="7"/>
    <n v="31"/>
    <n v="0.68888888888888888"/>
    <n v="72"/>
    <n v="72"/>
    <n v="6"/>
    <n v="0.8666666666666667"/>
    <n v="1.3933150000000001"/>
    <n v="1.3933150000000001"/>
    <n v="100.31868"/>
    <n v="7"/>
    <x v="0"/>
    <n v="7.1999999999999995E-2"/>
  </r>
  <r>
    <s v="MACHACHI"/>
    <x v="1"/>
    <x v="1"/>
    <x v="6"/>
    <s v="REGENERIS REGULAR BOTELLA FAMILIAR"/>
    <x v="0"/>
    <n v="7711"/>
    <n v="1001"/>
    <x v="131"/>
    <x v="131"/>
    <n v="72"/>
    <n v="1"/>
    <n v="1"/>
    <n v="45"/>
    <d v="2024-11-21T00:00:00"/>
    <s v="jueves"/>
    <d v="2024-11-19T00:00:00"/>
    <x v="8"/>
    <n v="36"/>
    <n v="0.8"/>
    <n v="36"/>
    <n v="36"/>
    <n v="2"/>
    <n v="0.9555555555555556"/>
    <n v="1.3933150000000001"/>
    <n v="1.3933150000000001"/>
    <n v="50.15934"/>
    <n v="6"/>
    <x v="0"/>
    <n v="3.5999999999999997E-2"/>
  </r>
  <r>
    <s v="MACHACHI"/>
    <x v="1"/>
    <x v="1"/>
    <x v="6"/>
    <s v="REGENERIS REGULAR BOTELLA FAMILIAR"/>
    <x v="0"/>
    <n v="7711"/>
    <n v="1001"/>
    <x v="132"/>
    <x v="132"/>
    <n v="126"/>
    <n v="1"/>
    <n v="1"/>
    <n v="45"/>
    <d v="2024-11-01T00:00:00"/>
    <s v="viernes"/>
    <d v="2024-10-23T00:00:00"/>
    <x v="66"/>
    <n v="9"/>
    <n v="0.2"/>
    <n v="51"/>
    <n v="51"/>
    <n v="9"/>
    <n v="0.8"/>
    <n v="1.4128499999999997"/>
    <n v="1.4128499999999997"/>
    <n v="72.05534999999999"/>
    <n v="26"/>
    <x v="2"/>
    <n v="5.0999999999999997E-2"/>
  </r>
  <r>
    <s v="MACHACHI"/>
    <x v="1"/>
    <x v="1"/>
    <x v="6"/>
    <s v="REGENERIS REGULAR BOTELLA FAMILIAR"/>
    <x v="0"/>
    <n v="7711"/>
    <n v="1001"/>
    <x v="132"/>
    <x v="132"/>
    <n v="90"/>
    <n v="1"/>
    <n v="1"/>
    <n v="45"/>
    <d v="2024-11-19T00:00:00"/>
    <s v="martes"/>
    <d v="2024-11-12T00:00:00"/>
    <x v="5"/>
    <n v="29"/>
    <n v="0.64444444444444449"/>
    <n v="51"/>
    <n v="51"/>
    <n v="7"/>
    <n v="0.84444444444444444"/>
    <n v="1.4128499999999997"/>
    <n v="1.4128499999999997"/>
    <n v="72.05534999999999"/>
    <n v="8"/>
    <x v="0"/>
    <n v="5.0999999999999997E-2"/>
  </r>
  <r>
    <s v="MACHACHI"/>
    <x v="1"/>
    <x v="1"/>
    <x v="6"/>
    <s v="REGENERIS REGULAR BOTELLA FAMILIAR"/>
    <x v="0"/>
    <n v="7711"/>
    <n v="1001"/>
    <x v="132"/>
    <x v="132"/>
    <n v="162"/>
    <n v="1"/>
    <n v="1"/>
    <n v="45"/>
    <d v="2024-11-20T00:00:00"/>
    <s v="miércoles"/>
    <d v="2024-11-14T00:00:00"/>
    <x v="7"/>
    <n v="31"/>
    <n v="0.68888888888888888"/>
    <n v="108"/>
    <n v="108"/>
    <n v="6"/>
    <n v="0.8666666666666667"/>
    <n v="1.4128499999999997"/>
    <n v="1.4128499999999997"/>
    <n v="152.58779999999996"/>
    <n v="7"/>
    <x v="0"/>
    <n v="0.108"/>
  </r>
  <r>
    <s v="MACHACHI"/>
    <x v="1"/>
    <x v="1"/>
    <x v="6"/>
    <s v="REGENERIS REGULAR BOTELLA FAMILIAR"/>
    <x v="0"/>
    <n v="7711"/>
    <n v="1001"/>
    <x v="132"/>
    <x v="132"/>
    <n v="54"/>
    <n v="1"/>
    <n v="1"/>
    <n v="45"/>
    <d v="2024-11-21T00:00:00"/>
    <s v="jueves"/>
    <d v="2024-11-14T00:00:00"/>
    <x v="7"/>
    <n v="31"/>
    <n v="0.68888888888888888"/>
    <n v="54"/>
    <n v="54"/>
    <n v="7"/>
    <n v="0.84444444444444444"/>
    <n v="1.4128499999999997"/>
    <n v="1.4128499999999997"/>
    <n v="76.293899999999979"/>
    <n v="6"/>
    <x v="0"/>
    <n v="5.3999999999999999E-2"/>
  </r>
  <r>
    <s v="MACHACHI"/>
    <x v="1"/>
    <x v="1"/>
    <x v="6"/>
    <s v="REGENERIS REGULAR VASO"/>
    <x v="0"/>
    <n v="7711"/>
    <n v="1001"/>
    <x v="133"/>
    <x v="133"/>
    <n v="108"/>
    <n v="1"/>
    <n v="0.15"/>
    <n v="45"/>
    <d v="2024-11-13T00:00:00"/>
    <s v="miércoles"/>
    <d v="2024-11-05T00:00:00"/>
    <x v="19"/>
    <n v="22"/>
    <n v="0.48888888888888887"/>
    <n v="31"/>
    <n v="4.6499999999999995"/>
    <n v="8"/>
    <n v="0.82222222222222219"/>
    <n v="0.231765"/>
    <n v="0.231765"/>
    <n v="1.0777072499999998"/>
    <n v="14"/>
    <x v="1"/>
    <n v="4.6499999999999996E-3"/>
  </r>
  <r>
    <s v="MACHACHI"/>
    <x v="1"/>
    <x v="1"/>
    <x v="6"/>
    <s v="REGENERIS REGULAR VASO"/>
    <x v="0"/>
    <n v="7711"/>
    <n v="1001"/>
    <x v="133"/>
    <x v="133"/>
    <n v="108"/>
    <n v="1"/>
    <n v="0.15"/>
    <n v="45"/>
    <d v="2024-11-16T00:00:00"/>
    <s v="sábado"/>
    <d v="2024-11-08T00:00:00"/>
    <x v="9"/>
    <n v="25"/>
    <n v="0.55555555555555558"/>
    <n v="108"/>
    <n v="16.2"/>
    <n v="8"/>
    <n v="0.82222222222222219"/>
    <n v="0.231765"/>
    <n v="0.231765"/>
    <n v="3.7545929999999998"/>
    <n v="11"/>
    <x v="1"/>
    <n v="1.6199999999999999E-2"/>
  </r>
  <r>
    <s v="MACHACHI"/>
    <x v="1"/>
    <x v="1"/>
    <x v="6"/>
    <s v="REGENERIS REGULAR VASO"/>
    <x v="0"/>
    <n v="7711"/>
    <n v="1001"/>
    <x v="133"/>
    <x v="133"/>
    <n v="108"/>
    <n v="1"/>
    <n v="0.15"/>
    <n v="45"/>
    <d v="2024-11-15T00:00:00"/>
    <s v="viernes"/>
    <d v="2024-11-08T00:00:00"/>
    <x v="9"/>
    <n v="25"/>
    <n v="0.55555555555555558"/>
    <n v="96"/>
    <n v="14.399999999999999"/>
    <n v="7"/>
    <n v="0.84444444444444444"/>
    <n v="0.231765"/>
    <n v="0.231765"/>
    <n v="3.3374159999999997"/>
    <n v="12"/>
    <x v="1"/>
    <n v="1.4399999999999998E-2"/>
  </r>
  <r>
    <s v="MACHACHI"/>
    <x v="1"/>
    <x v="1"/>
    <x v="6"/>
    <s v="REGENERIS REGULAR VASO"/>
    <x v="0"/>
    <n v="7711"/>
    <n v="1001"/>
    <x v="133"/>
    <x v="133"/>
    <n v="108"/>
    <n v="1"/>
    <n v="0.15"/>
    <n v="45"/>
    <d v="2024-11-14T00:00:00"/>
    <s v="jueves"/>
    <d v="2024-11-05T00:00:00"/>
    <x v="19"/>
    <n v="22"/>
    <n v="0.48888888888888887"/>
    <n v="108"/>
    <n v="16.2"/>
    <n v="9"/>
    <n v="0.8"/>
    <n v="0.231765"/>
    <n v="0.231765"/>
    <n v="3.7545929999999998"/>
    <n v="13"/>
    <x v="1"/>
    <n v="1.6199999999999999E-2"/>
  </r>
  <r>
    <s v="MACHACHI"/>
    <x v="1"/>
    <x v="1"/>
    <x v="6"/>
    <s v="REGENERIS REGULAR VASO"/>
    <x v="0"/>
    <n v="7711"/>
    <n v="1001"/>
    <x v="133"/>
    <x v="133"/>
    <n v="216"/>
    <n v="1"/>
    <n v="0.15"/>
    <n v="45"/>
    <d v="2024-11-19T00:00:00"/>
    <s v="martes"/>
    <d v="2024-11-08T00:00:00"/>
    <x v="9"/>
    <n v="25"/>
    <n v="0.55555555555555558"/>
    <n v="216"/>
    <n v="32.4"/>
    <n v="11"/>
    <n v="0.75555555555555554"/>
    <n v="0.231765"/>
    <n v="0.231765"/>
    <n v="7.5091859999999997"/>
    <n v="8"/>
    <x v="1"/>
    <n v="3.2399999999999998E-2"/>
  </r>
  <r>
    <s v="MACHACHI"/>
    <x v="1"/>
    <x v="1"/>
    <x v="6"/>
    <s v="REGENERIS REGULAR VASO"/>
    <x v="0"/>
    <n v="7711"/>
    <n v="1001"/>
    <x v="134"/>
    <x v="134"/>
    <n v="216"/>
    <n v="1"/>
    <n v="0.15"/>
    <n v="45"/>
    <d v="2024-11-07T00:00:00"/>
    <s v="jueves"/>
    <d v="2024-10-30T00:00:00"/>
    <x v="41"/>
    <n v="16"/>
    <n v="0.35555555555555557"/>
    <n v="155"/>
    <n v="23.25"/>
    <n v="8"/>
    <n v="0.82222222222222219"/>
    <n v="0.234985"/>
    <n v="0.234985"/>
    <n v="5.4634012500000004"/>
    <n v="20"/>
    <x v="2"/>
    <n v="2.325E-2"/>
  </r>
  <r>
    <s v="MACHACHI"/>
    <x v="1"/>
    <x v="1"/>
    <x v="6"/>
    <s v="REGENERIS REGULAR VASO"/>
    <x v="0"/>
    <n v="7711"/>
    <n v="1001"/>
    <x v="134"/>
    <x v="134"/>
    <n v="108"/>
    <n v="1"/>
    <n v="0.15"/>
    <n v="45"/>
    <d v="2024-11-09T00:00:00"/>
    <s v="sábado"/>
    <d v="2024-11-04T00:00:00"/>
    <x v="45"/>
    <n v="21"/>
    <n v="0.46666666666666667"/>
    <n v="110"/>
    <n v="16.5"/>
    <n v="5"/>
    <n v="0.88888888888888884"/>
    <n v="0.234985"/>
    <n v="0.234985"/>
    <n v="3.8772525"/>
    <n v="18"/>
    <x v="2"/>
    <n v="1.6500000000000001E-2"/>
  </r>
  <r>
    <s v="MACHACHI"/>
    <x v="1"/>
    <x v="1"/>
    <x v="6"/>
    <s v="REGENERIS REGULAR VASO"/>
    <x v="0"/>
    <n v="7711"/>
    <n v="1001"/>
    <x v="134"/>
    <x v="134"/>
    <n v="108"/>
    <n v="1"/>
    <n v="0.15"/>
    <n v="45"/>
    <d v="2024-11-12T00:00:00"/>
    <s v="martes"/>
    <d v="2024-10-31T00:00:00"/>
    <x v="10"/>
    <n v="17"/>
    <n v="0.37777777777777777"/>
    <n v="73"/>
    <n v="10.95"/>
    <n v="12"/>
    <n v="0.73333333333333339"/>
    <n v="0.234985"/>
    <n v="0.234985"/>
    <n v="2.5730857499999997"/>
    <n v="15"/>
    <x v="2"/>
    <n v="1.095E-2"/>
  </r>
  <r>
    <s v="MACHACHI"/>
    <x v="1"/>
    <x v="1"/>
    <x v="6"/>
    <s v="REGENERIS REGULAR VASO"/>
    <x v="0"/>
    <n v="7711"/>
    <n v="1001"/>
    <x v="134"/>
    <x v="134"/>
    <n v="108"/>
    <n v="1"/>
    <n v="0.15"/>
    <n v="45"/>
    <d v="2024-11-16T00:00:00"/>
    <s v="sábado"/>
    <d v="2024-11-05T00:00:00"/>
    <x v="19"/>
    <n v="22"/>
    <n v="0.48888888888888887"/>
    <n v="108"/>
    <n v="16.2"/>
    <n v="11"/>
    <n v="0.75555555555555554"/>
    <n v="0.234985"/>
    <n v="0.234985"/>
    <n v="3.8067569999999997"/>
    <n v="11"/>
    <x v="1"/>
    <n v="1.6199999999999999E-2"/>
  </r>
  <r>
    <s v="MACHACHI"/>
    <x v="1"/>
    <x v="1"/>
    <x v="6"/>
    <s v="REGENERIS REGULAR VASO"/>
    <x v="0"/>
    <n v="7711"/>
    <n v="1001"/>
    <x v="134"/>
    <x v="134"/>
    <n v="216"/>
    <n v="1"/>
    <n v="0.15"/>
    <n v="45"/>
    <d v="2024-11-15T00:00:00"/>
    <s v="viernes"/>
    <d v="2024-11-05T00:00:00"/>
    <x v="19"/>
    <n v="22"/>
    <n v="0.48888888888888887"/>
    <n v="192"/>
    <n v="28.799999999999997"/>
    <n v="10"/>
    <n v="0.77777777777777779"/>
    <n v="0.234985"/>
    <n v="0.234985"/>
    <n v="6.7675679999999989"/>
    <n v="12"/>
    <x v="1"/>
    <n v="2.8799999999999996E-2"/>
  </r>
  <r>
    <s v="MACHACHI"/>
    <x v="1"/>
    <x v="1"/>
    <x v="6"/>
    <s v="REGENERIS REGULAR VASO"/>
    <x v="0"/>
    <n v="7711"/>
    <n v="1001"/>
    <x v="134"/>
    <x v="134"/>
    <n v="216"/>
    <n v="1"/>
    <n v="0.15"/>
    <n v="45"/>
    <d v="2024-11-19T00:00:00"/>
    <s v="martes"/>
    <d v="2024-11-07T00:00:00"/>
    <x v="1"/>
    <n v="24"/>
    <n v="0.53333333333333333"/>
    <n v="204"/>
    <n v="30.599999999999998"/>
    <n v="12"/>
    <n v="0.73333333333333339"/>
    <n v="0.234985"/>
    <n v="0.234985"/>
    <n v="7.1905409999999996"/>
    <n v="8"/>
    <x v="1"/>
    <n v="3.0599999999999999E-2"/>
  </r>
  <r>
    <s v="MACHACHI"/>
    <x v="1"/>
    <x v="1"/>
    <x v="6"/>
    <s v="REGENERIS REGULAR VASO"/>
    <x v="0"/>
    <n v="7711"/>
    <n v="1001"/>
    <x v="135"/>
    <x v="135"/>
    <n v="108"/>
    <n v="1"/>
    <n v="0.15"/>
    <n v="45"/>
    <d v="2024-11-01T00:00:00"/>
    <s v="viernes"/>
    <d v="2024-10-23T00:00:00"/>
    <x v="66"/>
    <n v="9"/>
    <n v="0.2"/>
    <n v="78"/>
    <n v="11.7"/>
    <n v="9"/>
    <n v="0.8"/>
    <n v="0.231685"/>
    <n v="0.231685"/>
    <n v="2.7107144999999999"/>
    <n v="26"/>
    <x v="2"/>
    <n v="1.1699999999999999E-2"/>
  </r>
  <r>
    <s v="MACHACHI"/>
    <x v="1"/>
    <x v="1"/>
    <x v="6"/>
    <s v="REGENERIS REGULAR VASO"/>
    <x v="0"/>
    <n v="7711"/>
    <n v="1001"/>
    <x v="135"/>
    <x v="135"/>
    <n v="108"/>
    <n v="1"/>
    <n v="0.15"/>
    <n v="45"/>
    <d v="2024-11-05T00:00:00"/>
    <s v="martes"/>
    <d v="2024-10-26T00:00:00"/>
    <x v="20"/>
    <n v="12"/>
    <n v="0.26666666666666666"/>
    <n v="56"/>
    <n v="8.4"/>
    <n v="10"/>
    <n v="0.77777777777777779"/>
    <n v="0.231685"/>
    <n v="0.231685"/>
    <n v="1.9461540000000002"/>
    <n v="22"/>
    <x v="2"/>
    <n v="8.4000000000000012E-3"/>
  </r>
  <r>
    <s v="MACHACHI"/>
    <x v="1"/>
    <x v="1"/>
    <x v="6"/>
    <s v="REGENERIS REGULAR VASO"/>
    <x v="0"/>
    <n v="7711"/>
    <n v="1001"/>
    <x v="135"/>
    <x v="135"/>
    <n v="108"/>
    <n v="1"/>
    <n v="0.15"/>
    <n v="45"/>
    <d v="2024-11-13T00:00:00"/>
    <s v="miércoles"/>
    <d v="2024-11-05T00:00:00"/>
    <x v="19"/>
    <n v="22"/>
    <n v="0.48888888888888887"/>
    <n v="84"/>
    <n v="12.6"/>
    <n v="8"/>
    <n v="0.82222222222222219"/>
    <n v="0.231685"/>
    <n v="0.231685"/>
    <n v="2.9192309999999999"/>
    <n v="14"/>
    <x v="1"/>
    <n v="1.26E-2"/>
  </r>
  <r>
    <s v="MACHACHI"/>
    <x v="1"/>
    <x v="1"/>
    <x v="6"/>
    <s v="REGENERIS REGULAR VASO"/>
    <x v="0"/>
    <n v="7711"/>
    <n v="1001"/>
    <x v="135"/>
    <x v="135"/>
    <n v="108"/>
    <n v="1"/>
    <n v="0.15"/>
    <n v="45"/>
    <d v="2024-11-16T00:00:00"/>
    <s v="sábado"/>
    <d v="2024-11-05T00:00:00"/>
    <x v="19"/>
    <n v="22"/>
    <n v="0.48888888888888887"/>
    <n v="108"/>
    <n v="16.2"/>
    <n v="11"/>
    <n v="0.75555555555555554"/>
    <n v="0.231685"/>
    <n v="0.231685"/>
    <n v="3.7532969999999999"/>
    <n v="11"/>
    <x v="1"/>
    <n v="1.6199999999999999E-2"/>
  </r>
  <r>
    <s v="MACHACHI"/>
    <x v="1"/>
    <x v="1"/>
    <x v="6"/>
    <s v="REGENERIS REGULAR VASO"/>
    <x v="0"/>
    <n v="7711"/>
    <n v="1001"/>
    <x v="135"/>
    <x v="135"/>
    <n v="108"/>
    <n v="1"/>
    <n v="0.15"/>
    <n v="45"/>
    <d v="2024-11-15T00:00:00"/>
    <s v="viernes"/>
    <d v="2024-11-05T00:00:00"/>
    <x v="19"/>
    <n v="22"/>
    <n v="0.48888888888888887"/>
    <n v="108"/>
    <n v="16.2"/>
    <n v="10"/>
    <n v="0.77777777777777779"/>
    <n v="0.231685"/>
    <n v="0.231685"/>
    <n v="3.7532969999999999"/>
    <n v="12"/>
    <x v="1"/>
    <n v="1.6199999999999999E-2"/>
  </r>
  <r>
    <s v="MACHACHI"/>
    <x v="1"/>
    <x v="1"/>
    <x v="6"/>
    <s v="REGENERIS REGULAR VASO"/>
    <x v="0"/>
    <n v="7711"/>
    <n v="1001"/>
    <x v="135"/>
    <x v="135"/>
    <n v="108"/>
    <n v="1"/>
    <n v="0.15"/>
    <n v="45"/>
    <d v="2024-11-14T00:00:00"/>
    <s v="jueves"/>
    <d v="2024-11-05T00:00:00"/>
    <x v="19"/>
    <n v="22"/>
    <n v="0.48888888888888887"/>
    <n v="108"/>
    <n v="16.2"/>
    <n v="9"/>
    <n v="0.8"/>
    <n v="0.231685"/>
    <n v="0.231685"/>
    <n v="3.7532969999999999"/>
    <n v="13"/>
    <x v="1"/>
    <n v="1.6199999999999999E-2"/>
  </r>
  <r>
    <s v="MACHACHI"/>
    <x v="1"/>
    <x v="1"/>
    <x v="6"/>
    <s v="REGENERIS REGULAR VASO"/>
    <x v="0"/>
    <n v="7711"/>
    <n v="1001"/>
    <x v="135"/>
    <x v="135"/>
    <n v="108"/>
    <n v="1"/>
    <n v="0.15"/>
    <n v="45"/>
    <d v="2024-11-19T00:00:00"/>
    <s v="martes"/>
    <d v="2024-11-08T00:00:00"/>
    <x v="9"/>
    <n v="25"/>
    <n v="0.55555555555555558"/>
    <n v="102"/>
    <n v="15.299999999999999"/>
    <n v="11"/>
    <n v="0.75555555555555554"/>
    <n v="0.231685"/>
    <n v="0.231685"/>
    <n v="3.5447804999999999"/>
    <n v="8"/>
    <x v="1"/>
    <n v="1.5299999999999999E-2"/>
  </r>
  <r>
    <s v="MULTIEMPAQUE"/>
    <x v="1"/>
    <x v="1"/>
    <x v="7"/>
    <s v="AVENA VASO"/>
    <x v="0"/>
    <n v="7711"/>
    <n v="1001"/>
    <x v="136"/>
    <x v="136"/>
    <n v="24"/>
    <n v="1"/>
    <n v="1"/>
    <n v="180"/>
    <d v="2024-08-14T00:00:00"/>
    <s v="miércoles"/>
    <d v="2024-07-11T00:00:00"/>
    <x v="67"/>
    <n v="40"/>
    <n v="0.22222222222222221"/>
    <n v="7"/>
    <n v="7"/>
    <n v="34"/>
    <n v="0.81111111111111112"/>
    <n v="1.795145"/>
    <n v="1.795145"/>
    <n v="12.566015"/>
    <n v="105"/>
    <x v="0"/>
    <n v="7.0000000000000001E-3"/>
  </r>
  <r>
    <s v="MULTIEMPAQUE"/>
    <x v="1"/>
    <x v="1"/>
    <x v="7"/>
    <s v="AVENA VASO"/>
    <x v="0"/>
    <n v="7711"/>
    <n v="1001"/>
    <x v="136"/>
    <x v="136"/>
    <n v="36"/>
    <n v="1"/>
    <n v="1"/>
    <n v="180"/>
    <d v="2024-10-23T00:00:00"/>
    <s v="miércoles"/>
    <d v="2024-08-22T00:00:00"/>
    <x v="49"/>
    <n v="82"/>
    <n v="0.45555555555555555"/>
    <n v="9"/>
    <n v="9"/>
    <n v="62"/>
    <n v="0.65555555555555556"/>
    <n v="1.795145"/>
    <n v="1.795145"/>
    <n v="16.156305"/>
    <n v="35"/>
    <x v="0"/>
    <n v="8.9999999999999993E-3"/>
  </r>
  <r>
    <s v="MULTIEMPAQUE"/>
    <x v="1"/>
    <x v="1"/>
    <x v="7"/>
    <s v="AVENA VASO"/>
    <x v="0"/>
    <n v="7711"/>
    <n v="1001"/>
    <x v="136"/>
    <x v="136"/>
    <n v="24"/>
    <n v="1"/>
    <n v="1"/>
    <n v="180"/>
    <d v="2024-11-12T00:00:00"/>
    <s v="martes"/>
    <d v="2024-10-19T00:00:00"/>
    <x v="73"/>
    <n v="140"/>
    <n v="0.77777777777777779"/>
    <n v="21"/>
    <n v="21"/>
    <n v="24"/>
    <n v="0.8666666666666667"/>
    <n v="1.795145"/>
    <n v="1.795145"/>
    <n v="37.698045"/>
    <n v="15"/>
    <x v="0"/>
    <n v="2.1000000000000001E-2"/>
  </r>
  <r>
    <s v="MACHACHI"/>
    <x v="1"/>
    <x v="1"/>
    <x v="6"/>
    <s v="REGENERIS CEREAL BOTELLA PERSONAL"/>
    <x v="0"/>
    <n v="7711"/>
    <n v="1001"/>
    <x v="137"/>
    <x v="137"/>
    <n v="108"/>
    <n v="1"/>
    <n v="0.18"/>
    <n v="45"/>
    <d v="2024-10-26T00:00:00"/>
    <s v="sábado"/>
    <d v="2024-10-25T00:00:00"/>
    <x v="53"/>
    <n v="11"/>
    <n v="0.24444444444444444"/>
    <n v="22"/>
    <n v="3.96"/>
    <n v="1"/>
    <n v="0.97777777777777775"/>
    <n v="0.28275"/>
    <n v="0.28275"/>
    <n v="1.1196900000000001"/>
    <n v="32"/>
    <x v="2"/>
    <n v="3.96E-3"/>
  </r>
  <r>
    <s v="MACHACHI"/>
    <x v="1"/>
    <x v="1"/>
    <x v="6"/>
    <s v="REGENERIS CEREAL BOTELLA PERSONAL"/>
    <x v="0"/>
    <n v="7711"/>
    <n v="1001"/>
    <x v="137"/>
    <x v="137"/>
    <n v="108"/>
    <n v="1"/>
    <n v="0.18"/>
    <n v="45"/>
    <d v="2024-11-12T00:00:00"/>
    <s v="martes"/>
    <d v="2024-11-07T00:00:00"/>
    <x v="1"/>
    <n v="24"/>
    <n v="0.53333333333333333"/>
    <n v="77"/>
    <n v="13.86"/>
    <n v="5"/>
    <n v="0.88888888888888884"/>
    <n v="0.28275"/>
    <n v="0.28275"/>
    <n v="3.9189149999999997"/>
    <n v="15"/>
    <x v="1"/>
    <n v="1.3859999999999999E-2"/>
  </r>
  <r>
    <s v="MACHACHI"/>
    <x v="1"/>
    <x v="1"/>
    <x v="2"/>
    <s v="BON YURT MINI"/>
    <x v="0"/>
    <n v="7711"/>
    <n v="1001"/>
    <x v="138"/>
    <x v="138"/>
    <n v="980"/>
    <n v="1"/>
    <n v="0.09"/>
    <n v="45"/>
    <d v="2024-11-12T00:00:00"/>
    <s v="martes"/>
    <d v="2024-10-31T00:00:00"/>
    <x v="10"/>
    <n v="17"/>
    <n v="0.37777777777777777"/>
    <n v="22"/>
    <n v="1.98"/>
    <n v="12"/>
    <n v="0.73333333333333339"/>
    <n v="0.20507500000000001"/>
    <n v="0.20507500000000001"/>
    <n v="0.40604850000000003"/>
    <n v="15"/>
    <x v="2"/>
    <n v="1.98E-3"/>
  </r>
  <r>
    <s v="MACHACHI"/>
    <x v="1"/>
    <x v="1"/>
    <x v="2"/>
    <s v="BON YURT MINI"/>
    <x v="0"/>
    <n v="7711"/>
    <n v="1001"/>
    <x v="138"/>
    <x v="138"/>
    <n v="700"/>
    <n v="1"/>
    <n v="0.09"/>
    <n v="45"/>
    <d v="2024-11-16T00:00:00"/>
    <s v="sábado"/>
    <d v="2024-11-07T00:00:00"/>
    <x v="1"/>
    <n v="24"/>
    <n v="0.53333333333333333"/>
    <n v="700"/>
    <n v="63"/>
    <n v="9"/>
    <n v="0.8"/>
    <n v="0.20507500000000001"/>
    <n v="0.20507500000000001"/>
    <n v="12.919725"/>
    <n v="11"/>
    <x v="1"/>
    <n v="6.3E-2"/>
  </r>
  <r>
    <s v="MACHACHI"/>
    <x v="1"/>
    <x v="1"/>
    <x v="2"/>
    <s v="BON YURT MINI"/>
    <x v="0"/>
    <n v="7711"/>
    <n v="1001"/>
    <x v="138"/>
    <x v="138"/>
    <n v="840"/>
    <n v="1"/>
    <n v="0.09"/>
    <n v="45"/>
    <d v="2024-11-15T00:00:00"/>
    <s v="viernes"/>
    <d v="2024-11-07T00:00:00"/>
    <x v="1"/>
    <n v="24"/>
    <n v="0.53333333333333333"/>
    <n v="733"/>
    <n v="65.97"/>
    <n v="8"/>
    <n v="0.82222222222222219"/>
    <n v="0.20507500000000001"/>
    <n v="0.20507500000000001"/>
    <n v="13.528797750000001"/>
    <n v="12"/>
    <x v="1"/>
    <n v="6.5970000000000001E-2"/>
  </r>
  <r>
    <s v="MACHACHI"/>
    <x v="1"/>
    <x v="1"/>
    <x v="2"/>
    <s v="BON YURT MINI"/>
    <x v="0"/>
    <n v="7711"/>
    <n v="1001"/>
    <x v="138"/>
    <x v="138"/>
    <n v="1050"/>
    <n v="1"/>
    <n v="0.09"/>
    <n v="45"/>
    <d v="2024-11-19T00:00:00"/>
    <s v="martes"/>
    <d v="2024-11-07T00:00:00"/>
    <x v="1"/>
    <n v="24"/>
    <n v="0.53333333333333333"/>
    <n v="1050"/>
    <n v="94.5"/>
    <n v="12"/>
    <n v="0.73333333333333339"/>
    <n v="0.20507500000000001"/>
    <n v="0.20507500000000001"/>
    <n v="19.3795875"/>
    <n v="8"/>
    <x v="1"/>
    <n v="9.4500000000000001E-2"/>
  </r>
  <r>
    <s v="MACHACHI"/>
    <x v="1"/>
    <x v="1"/>
    <x v="2"/>
    <s v="BON YURT MINI"/>
    <x v="0"/>
    <n v="7711"/>
    <n v="1001"/>
    <x v="138"/>
    <x v="138"/>
    <n v="630"/>
    <n v="1"/>
    <n v="0.09"/>
    <n v="45"/>
    <d v="2024-11-20T00:00:00"/>
    <s v="miércoles"/>
    <d v="2024-11-14T00:00:00"/>
    <x v="7"/>
    <n v="31"/>
    <n v="0.68888888888888888"/>
    <n v="70"/>
    <n v="6.3"/>
    <n v="6"/>
    <n v="0.8666666666666667"/>
    <n v="0.20507500000000001"/>
    <n v="0.20507500000000001"/>
    <n v="1.2919725"/>
    <n v="7"/>
    <x v="0"/>
    <n v="6.3E-3"/>
  </r>
  <r>
    <s v="MACHACHI"/>
    <x v="1"/>
    <x v="1"/>
    <x v="2"/>
    <s v="BON YURT MINI"/>
    <x v="0"/>
    <n v="7711"/>
    <n v="1001"/>
    <x v="138"/>
    <x v="138"/>
    <n v="560"/>
    <n v="1"/>
    <n v="0.09"/>
    <n v="45"/>
    <d v="2024-11-21T00:00:00"/>
    <s v="jueves"/>
    <d v="2024-11-14T00:00:00"/>
    <x v="7"/>
    <n v="31"/>
    <n v="0.68888888888888888"/>
    <n v="560"/>
    <n v="50.4"/>
    <n v="7"/>
    <n v="0.84444444444444444"/>
    <n v="0.20507500000000001"/>
    <n v="0.20507500000000001"/>
    <n v="10.33578"/>
    <n v="6"/>
    <x v="0"/>
    <n v="5.04E-2"/>
  </r>
  <r>
    <s v="SAN GABRIEL"/>
    <x v="0"/>
    <x v="0"/>
    <x v="1"/>
    <s v="QUESO MOZARELLA PIZZA KIOSKO BLOQUE"/>
    <x v="0"/>
    <n v="7711"/>
    <n v="1001"/>
    <x v="139"/>
    <x v="139"/>
    <n v="64"/>
    <n v="3"/>
    <n v="1"/>
    <n v="40"/>
    <d v="2024-11-19T00:00:00"/>
    <s v="martes"/>
    <d v="2024-11-14T00:00:00"/>
    <x v="6"/>
    <n v="26"/>
    <n v="0.65"/>
    <n v="20"/>
    <n v="60"/>
    <n v="5"/>
    <n v="0.875"/>
    <n v="5.7276199999999999"/>
    <n v="17.182859999999998"/>
    <n v="1030.9715999999999"/>
    <n v="8"/>
    <x v="1"/>
    <n v="0.06"/>
  </r>
  <r>
    <s v="SAN GABRIEL"/>
    <x v="0"/>
    <x v="0"/>
    <x v="1"/>
    <s v="QUESO MOZARELLA PIZZA KIOSKO BLOQUE"/>
    <x v="0"/>
    <n v="7711"/>
    <n v="1001"/>
    <x v="139"/>
    <x v="139"/>
    <n v="100"/>
    <n v="3"/>
    <n v="1"/>
    <n v="40"/>
    <d v="2024-11-20T00:00:00"/>
    <s v="miércoles"/>
    <d v="2024-11-14T00:00:00"/>
    <x v="6"/>
    <n v="26"/>
    <n v="0.65"/>
    <n v="100"/>
    <n v="300"/>
    <n v="6"/>
    <n v="0.85"/>
    <n v="5.7276199999999999"/>
    <n v="17.182859999999998"/>
    <n v="5154.8579999999993"/>
    <n v="7"/>
    <x v="1"/>
    <n v="0.3"/>
  </r>
  <r>
    <s v="SAN GABRIEL"/>
    <x v="0"/>
    <x v="0"/>
    <x v="1"/>
    <s v="QUESO MOZARELLA PIZZA KIOSKO BLOQUE"/>
    <x v="0"/>
    <n v="7711"/>
    <n v="1001"/>
    <x v="139"/>
    <x v="139"/>
    <n v="190"/>
    <n v="3"/>
    <n v="1"/>
    <n v="40"/>
    <d v="2024-11-21T00:00:00"/>
    <s v="jueves"/>
    <d v="2024-11-15T00:00:00"/>
    <x v="44"/>
    <n v="27"/>
    <n v="0.67500000000000004"/>
    <n v="190"/>
    <n v="570"/>
    <n v="6"/>
    <n v="0.85"/>
    <n v="5.7276199999999999"/>
    <n v="17.182859999999998"/>
    <n v="9794.2301999999981"/>
    <n v="6"/>
    <x v="0"/>
    <n v="0.56999999999999995"/>
  </r>
  <r>
    <s v="SAN GABRIEL"/>
    <x v="0"/>
    <x v="0"/>
    <x v="5"/>
    <s v="QUESO ANDINO KIOSKO BLOQUE"/>
    <x v="0"/>
    <n v="7711"/>
    <n v="1001"/>
    <x v="140"/>
    <x v="140"/>
    <n v="36"/>
    <n v="1"/>
    <n v="0.45"/>
    <n v="90"/>
    <d v="2024-11-19T00:00:00"/>
    <s v="martes"/>
    <d v="2024-11-14T00:00:00"/>
    <x v="23"/>
    <n v="76"/>
    <n v="0.84444444444444444"/>
    <n v="19"/>
    <n v="8.5500000000000007"/>
    <n v="5"/>
    <n v="0.94444444444444442"/>
    <n v="3.27454"/>
    <n v="3.27454"/>
    <n v="27.997317000000002"/>
    <n v="8"/>
    <x v="0"/>
    <n v="8.5500000000000003E-3"/>
  </r>
  <r>
    <s v="SAN GABRIEL"/>
    <x v="0"/>
    <x v="0"/>
    <x v="5"/>
    <s v="QUESO ANDINO KIOSKO BLOQUE"/>
    <x v="0"/>
    <n v="7711"/>
    <n v="1001"/>
    <x v="140"/>
    <x v="140"/>
    <n v="36"/>
    <n v="1"/>
    <n v="0.45"/>
    <n v="90"/>
    <d v="2024-11-21T00:00:00"/>
    <s v="jueves"/>
    <d v="2024-11-14T00:00:00"/>
    <x v="23"/>
    <n v="76"/>
    <n v="0.84444444444444444"/>
    <n v="36"/>
    <n v="16.2"/>
    <n v="7"/>
    <n v="0.92222222222222228"/>
    <n v="3.27454"/>
    <n v="3.27454"/>
    <n v="53.047547999999999"/>
    <n v="6"/>
    <x v="0"/>
    <n v="1.6199999999999999E-2"/>
  </r>
  <r>
    <s v="SAN GABRIEL"/>
    <x v="0"/>
    <x v="0"/>
    <x v="11"/>
    <s v="QUESO FUNDIDO"/>
    <x v="0"/>
    <n v="7711"/>
    <n v="1001"/>
    <x v="141"/>
    <x v="141"/>
    <n v="140"/>
    <n v="1"/>
    <n v="0.2"/>
    <n v="90"/>
    <d v="2024-11-08T00:00:00"/>
    <s v="viernes"/>
    <d v="2024-11-01T00:00:00"/>
    <x v="74"/>
    <n v="63"/>
    <n v="0.7"/>
    <n v="83"/>
    <n v="16.600000000000001"/>
    <n v="7"/>
    <n v="0.92222222222222228"/>
    <n v="0.47434500000000002"/>
    <n v="0.47434500000000002"/>
    <n v="7.8741270000000005"/>
    <n v="19"/>
    <x v="0"/>
    <n v="1.66E-2"/>
  </r>
  <r>
    <s v="SAN GABRIEL"/>
    <x v="0"/>
    <x v="0"/>
    <x v="11"/>
    <s v="QUESO FUNDIDO"/>
    <x v="0"/>
    <n v="7711"/>
    <n v="1001"/>
    <x v="141"/>
    <x v="141"/>
    <n v="70"/>
    <n v="1"/>
    <n v="0.2"/>
    <n v="90"/>
    <d v="2024-11-14T00:00:00"/>
    <s v="jueves"/>
    <d v="2024-11-01T00:00:00"/>
    <x v="74"/>
    <n v="63"/>
    <n v="0.7"/>
    <n v="70"/>
    <n v="14"/>
    <n v="13"/>
    <n v="0.85555555555555562"/>
    <n v="0.47434500000000002"/>
    <n v="0.47434500000000002"/>
    <n v="6.6408300000000002"/>
    <n v="13"/>
    <x v="0"/>
    <n v="1.4E-2"/>
  </r>
  <r>
    <s v="SAN GABRIEL"/>
    <x v="0"/>
    <x v="0"/>
    <x v="11"/>
    <s v="QUESO FUNDIDO"/>
    <x v="0"/>
    <n v="7711"/>
    <n v="1001"/>
    <x v="141"/>
    <x v="141"/>
    <n v="140"/>
    <n v="1"/>
    <n v="0.2"/>
    <n v="90"/>
    <d v="2024-11-19T00:00:00"/>
    <s v="martes"/>
    <d v="2024-11-15T00:00:00"/>
    <x v="24"/>
    <n v="77"/>
    <n v="0.85555555555555551"/>
    <n v="140"/>
    <n v="28"/>
    <n v="4"/>
    <n v="0.9555555555555556"/>
    <n v="0.47434500000000002"/>
    <n v="0.47434500000000002"/>
    <n v="13.28166"/>
    <n v="8"/>
    <x v="0"/>
    <n v="2.8000000000000001E-2"/>
  </r>
  <r>
    <s v="SAN GABRIEL"/>
    <x v="0"/>
    <x v="0"/>
    <x v="11"/>
    <s v="QUESO FUNDIDO"/>
    <x v="0"/>
    <n v="7711"/>
    <n v="1001"/>
    <x v="141"/>
    <x v="141"/>
    <n v="70"/>
    <n v="1"/>
    <n v="0.2"/>
    <n v="90"/>
    <d v="2024-11-20T00:00:00"/>
    <s v="miércoles"/>
    <d v="2024-11-15T00:00:00"/>
    <x v="24"/>
    <n v="77"/>
    <n v="0.85555555555555551"/>
    <n v="70"/>
    <n v="14"/>
    <n v="5"/>
    <n v="0.94444444444444442"/>
    <n v="0.47434500000000002"/>
    <n v="0.47434500000000002"/>
    <n v="6.6408300000000002"/>
    <n v="7"/>
    <x v="0"/>
    <n v="1.4E-2"/>
  </r>
  <r>
    <s v="SAN GABRIEL"/>
    <x v="0"/>
    <x v="0"/>
    <x v="11"/>
    <s v="QUESO FUNDIDO"/>
    <x v="0"/>
    <n v="7711"/>
    <n v="1001"/>
    <x v="141"/>
    <x v="141"/>
    <n v="70"/>
    <n v="1"/>
    <n v="0.2"/>
    <n v="90"/>
    <d v="2024-11-21T00:00:00"/>
    <s v="jueves"/>
    <d v="2024-11-15T00:00:00"/>
    <x v="24"/>
    <n v="77"/>
    <n v="0.85555555555555551"/>
    <n v="70"/>
    <n v="14"/>
    <n v="6"/>
    <n v="0.93333333333333335"/>
    <n v="0.47434500000000002"/>
    <n v="0.47434500000000002"/>
    <n v="6.6408300000000002"/>
    <n v="6"/>
    <x v="0"/>
    <n v="1.4E-2"/>
  </r>
  <r>
    <s v="SAN GABRIEL"/>
    <x v="0"/>
    <x v="0"/>
    <x v="1"/>
    <s v="QUESO MOZARELLA PIZZA KIOSKO TAJADO"/>
    <x v="0"/>
    <n v="7711"/>
    <n v="1001"/>
    <x v="142"/>
    <x v="142"/>
    <n v="0"/>
    <n v="1"/>
    <n v="0.15"/>
    <n v="30"/>
    <d v="2024-11-07T00:00:00"/>
    <s v="jueves"/>
    <d v="2024-11-07T00:00:00"/>
    <x v="66"/>
    <n v="9"/>
    <n v="0.3"/>
    <n v="38"/>
    <n v="5.7"/>
    <n v="0"/>
    <n v="1"/>
    <n v="1.178895"/>
    <n v="1.178895"/>
    <n v="6.7197015000000002"/>
    <n v="20"/>
    <x v="2"/>
    <n v="5.7000000000000002E-3"/>
  </r>
  <r>
    <s v="SAN GABRIEL"/>
    <x v="0"/>
    <x v="0"/>
    <x v="1"/>
    <s v="QUESO MOZARELLA PIZZA KIOSKO TAJADO"/>
    <x v="0"/>
    <n v="7711"/>
    <n v="1001"/>
    <x v="142"/>
    <x v="142"/>
    <n v="830"/>
    <n v="1"/>
    <n v="0.15"/>
    <n v="30"/>
    <d v="2024-11-15T00:00:00"/>
    <s v="viernes"/>
    <d v="2024-11-12T00:00:00"/>
    <x v="80"/>
    <n v="14"/>
    <n v="0.46666666666666667"/>
    <n v="28"/>
    <n v="4.2"/>
    <n v="3"/>
    <n v="0.9"/>
    <n v="1.178895"/>
    <n v="1.178895"/>
    <n v="4.9513590000000001"/>
    <n v="12"/>
    <x v="2"/>
    <n v="4.2000000000000006E-3"/>
  </r>
  <r>
    <s v="SAN GABRIEL"/>
    <x v="0"/>
    <x v="0"/>
    <x v="1"/>
    <s v="QUESO MOZARELLA PIZZA KIOSKO TAJADO"/>
    <x v="0"/>
    <n v="7711"/>
    <n v="1001"/>
    <x v="142"/>
    <x v="142"/>
    <n v="220"/>
    <n v="1"/>
    <n v="0.15"/>
    <n v="30"/>
    <d v="2024-11-15T00:00:00"/>
    <s v="viernes"/>
    <d v="2024-11-13T00:00:00"/>
    <x v="25"/>
    <n v="15"/>
    <n v="0.5"/>
    <n v="220"/>
    <n v="33"/>
    <n v="2"/>
    <n v="0.93333333333333335"/>
    <n v="1.178895"/>
    <n v="1.178895"/>
    <n v="38.903534999999998"/>
    <n v="12"/>
    <x v="2"/>
    <n v="3.3000000000000002E-2"/>
  </r>
  <r>
    <s v="SAN GABRIEL"/>
    <x v="0"/>
    <x v="0"/>
    <x v="1"/>
    <s v="QUESO MOZARELLA PIZZA KIOSKO TAJADO"/>
    <x v="0"/>
    <n v="7711"/>
    <n v="1001"/>
    <x v="142"/>
    <x v="142"/>
    <n v="139"/>
    <n v="1"/>
    <n v="0.15"/>
    <n v="30"/>
    <d v="2024-11-19T00:00:00"/>
    <s v="martes"/>
    <d v="2024-11-15T00:00:00"/>
    <x v="10"/>
    <n v="17"/>
    <n v="0.56666666666666665"/>
    <n v="139"/>
    <n v="20.849999999999998"/>
    <n v="4"/>
    <n v="0.8666666666666667"/>
    <n v="1.178895"/>
    <n v="1.178895"/>
    <n v="24.579960749999998"/>
    <n v="8"/>
    <x v="2"/>
    <n v="2.0849999999999997E-2"/>
  </r>
  <r>
    <s v="SAN GABRIEL"/>
    <x v="0"/>
    <x v="0"/>
    <x v="1"/>
    <s v="QUESO MOZARELLA PIZZA KIOSKO TAJADO"/>
    <x v="0"/>
    <n v="7711"/>
    <n v="1001"/>
    <x v="142"/>
    <x v="142"/>
    <n v="161"/>
    <n v="1"/>
    <n v="0.15"/>
    <n v="30"/>
    <d v="2024-11-19T00:00:00"/>
    <s v="martes"/>
    <d v="2024-11-13T00:00:00"/>
    <x v="25"/>
    <n v="15"/>
    <n v="0.5"/>
    <n v="161"/>
    <n v="24.15"/>
    <n v="6"/>
    <n v="0.8"/>
    <n v="1.178895"/>
    <n v="1.178895"/>
    <n v="28.470314249999998"/>
    <n v="8"/>
    <x v="2"/>
    <n v="2.4149999999999998E-2"/>
  </r>
  <r>
    <s v="SAN GABRIEL"/>
    <x v="0"/>
    <x v="0"/>
    <x v="1"/>
    <s v="QUESO MOZARELLA PIZZA KIOSKO TAJADO"/>
    <x v="0"/>
    <n v="7711"/>
    <n v="1001"/>
    <x v="142"/>
    <x v="142"/>
    <n v="300"/>
    <n v="1"/>
    <n v="0.15"/>
    <n v="30"/>
    <d v="2024-11-20T00:00:00"/>
    <s v="miércoles"/>
    <d v="2024-11-15T00:00:00"/>
    <x v="10"/>
    <n v="17"/>
    <n v="0.56666666666666665"/>
    <n v="300"/>
    <n v="45"/>
    <n v="5"/>
    <n v="0.83333333333333337"/>
    <n v="1.178895"/>
    <n v="1.178895"/>
    <n v="53.050274999999999"/>
    <n v="7"/>
    <x v="2"/>
    <n v="4.4999999999999998E-2"/>
  </r>
  <r>
    <s v="SAN GABRIEL"/>
    <x v="0"/>
    <x v="0"/>
    <x v="1"/>
    <s v="QUESO MOZARELLA PIZZA KIOSKO TAJADO"/>
    <x v="0"/>
    <n v="7711"/>
    <n v="1001"/>
    <x v="142"/>
    <x v="142"/>
    <n v="300"/>
    <n v="1"/>
    <n v="0.15"/>
    <n v="30"/>
    <d v="2024-11-21T00:00:00"/>
    <s v="jueves"/>
    <d v="2024-11-19T00:00:00"/>
    <x v="45"/>
    <n v="21"/>
    <n v="0.7"/>
    <n v="300"/>
    <n v="45"/>
    <n v="2"/>
    <n v="0.93333333333333335"/>
    <n v="1.178895"/>
    <n v="1.178895"/>
    <n v="53.050274999999999"/>
    <n v="6"/>
    <x v="2"/>
    <n v="4.4999999999999998E-2"/>
  </r>
  <r>
    <s v="MACHACHI"/>
    <x v="1"/>
    <x v="1"/>
    <x v="4"/>
    <s v="YOGURT FINESSE DESLACT BOTELLA FAMILIAR"/>
    <x v="0"/>
    <n v="7711"/>
    <n v="1001"/>
    <x v="143"/>
    <x v="143"/>
    <n v="36"/>
    <n v="1"/>
    <n v="0.95"/>
    <n v="45"/>
    <d v="2024-11-16T00:00:00"/>
    <s v="sábado"/>
    <d v="2024-11-15T00:00:00"/>
    <x v="0"/>
    <n v="32"/>
    <n v="0.71111111111111114"/>
    <n v="36"/>
    <n v="34.199999999999996"/>
    <n v="1"/>
    <n v="0.97777777777777775"/>
    <n v="1.4163950000000001"/>
    <n v="1.4163950000000001"/>
    <n v="48.440708999999998"/>
    <n v="11"/>
    <x v="0"/>
    <n v="3.4199999999999994E-2"/>
  </r>
  <r>
    <s v="MACHACHI"/>
    <x v="1"/>
    <x v="1"/>
    <x v="4"/>
    <s v="YOGURT FINESSE DESLACT BOTELLA FAMILIAR"/>
    <x v="0"/>
    <n v="7711"/>
    <n v="1001"/>
    <x v="143"/>
    <x v="143"/>
    <n v="54"/>
    <n v="1"/>
    <n v="0.95"/>
    <n v="45"/>
    <d v="2024-11-19T00:00:00"/>
    <s v="martes"/>
    <d v="2024-11-15T00:00:00"/>
    <x v="0"/>
    <n v="32"/>
    <n v="0.71111111111111114"/>
    <n v="54"/>
    <n v="51.3"/>
    <n v="4"/>
    <n v="0.91111111111111109"/>
    <n v="1.4163950000000001"/>
    <n v="1.4163950000000001"/>
    <n v="72.661063499999997"/>
    <n v="8"/>
    <x v="0"/>
    <n v="5.1299999999999998E-2"/>
  </r>
  <r>
    <s v="MACHACHI"/>
    <x v="1"/>
    <x v="1"/>
    <x v="4"/>
    <s v="YOGURT FINESSE DESLACT BOTELLA FAMILIAR"/>
    <x v="0"/>
    <n v="7711"/>
    <n v="1001"/>
    <x v="144"/>
    <x v="144"/>
    <n v="24"/>
    <n v="1"/>
    <n v="1.67"/>
    <n v="45"/>
    <d v="2024-11-19T00:00:00"/>
    <s v="martes"/>
    <d v="2024-11-13T00:00:00"/>
    <x v="2"/>
    <n v="30"/>
    <n v="0.66666666666666663"/>
    <n v="21"/>
    <n v="35.07"/>
    <n v="6"/>
    <n v="0.8666666666666667"/>
    <n v="2.4125399999999999"/>
    <n v="2.4125399999999999"/>
    <n v="84.607777799999994"/>
    <n v="8"/>
    <x v="0"/>
    <n v="3.5069999999999997E-2"/>
  </r>
  <r>
    <s v="MACHACHI"/>
    <x v="1"/>
    <x v="1"/>
    <x v="4"/>
    <s v="YOGURT FINESSE DESLACT BOTELLA FAMILIAR"/>
    <x v="0"/>
    <n v="7711"/>
    <n v="1001"/>
    <x v="144"/>
    <x v="144"/>
    <n v="72"/>
    <n v="1"/>
    <n v="1.67"/>
    <n v="45"/>
    <d v="2024-11-20T00:00:00"/>
    <s v="miércoles"/>
    <d v="2024-11-13T00:00:00"/>
    <x v="2"/>
    <n v="30"/>
    <n v="0.66666666666666663"/>
    <n v="72"/>
    <n v="120.24"/>
    <n v="7"/>
    <n v="0.84444444444444444"/>
    <n v="2.4125399999999999"/>
    <n v="2.4125399999999999"/>
    <n v="290.0838096"/>
    <n v="7"/>
    <x v="0"/>
    <n v="0.12024"/>
  </r>
  <r>
    <s v="SAN GABRIEL"/>
    <x v="0"/>
    <x v="0"/>
    <x v="5"/>
    <s v="QUESO SEMIMADURO HIERBAS KIOSKO BLOQUE"/>
    <x v="0"/>
    <n v="7711"/>
    <n v="1001"/>
    <x v="145"/>
    <x v="145"/>
    <n v="36"/>
    <n v="1"/>
    <n v="0.4"/>
    <n v="90"/>
    <d v="2024-11-15T00:00:00"/>
    <s v="viernes"/>
    <d v="2024-10-31T00:00:00"/>
    <x v="48"/>
    <n v="62"/>
    <n v="0.68888888888888888"/>
    <n v="13"/>
    <n v="5.2"/>
    <n v="15"/>
    <n v="0.83333333333333337"/>
    <n v="3.6822549999999996"/>
    <n v="3.6822549999999996"/>
    <n v="19.147725999999999"/>
    <n v="12"/>
    <x v="0"/>
    <n v="5.1999999999999998E-3"/>
  </r>
  <r>
    <s v="SAN GABRIEL"/>
    <x v="0"/>
    <x v="0"/>
    <x v="5"/>
    <s v="QUESO PROVOLONE KIOSKO TAJADO"/>
    <x v="0"/>
    <n v="7711"/>
    <n v="1001"/>
    <x v="146"/>
    <x v="146"/>
    <n v="110"/>
    <n v="1"/>
    <n v="0.15"/>
    <n v="60"/>
    <d v="2024-11-19T00:00:00"/>
    <s v="martes"/>
    <d v="2024-11-06T00:00:00"/>
    <x v="13"/>
    <n v="38"/>
    <n v="0.6333333333333333"/>
    <n v="96"/>
    <n v="14.399999999999999"/>
    <n v="13"/>
    <n v="0.78333333333333333"/>
    <n v="1.219535"/>
    <n v="1.219535"/>
    <n v="17.561304"/>
    <n v="8"/>
    <x v="0"/>
    <n v="1.4399999999999998E-2"/>
  </r>
  <r>
    <s v="SAN GABRIEL"/>
    <x v="0"/>
    <x v="0"/>
    <x v="5"/>
    <s v="QUESO PROVOLONE KIOSKO TAJADO"/>
    <x v="0"/>
    <n v="7711"/>
    <n v="1001"/>
    <x v="146"/>
    <x v="146"/>
    <n v="40"/>
    <n v="1"/>
    <n v="0.15"/>
    <n v="60"/>
    <d v="2024-11-19T00:00:00"/>
    <s v="martes"/>
    <d v="2024-11-12T00:00:00"/>
    <x v="51"/>
    <n v="44"/>
    <n v="0.73333333333333328"/>
    <n v="40"/>
    <n v="6"/>
    <n v="7"/>
    <n v="0.8833333333333333"/>
    <n v="1.219535"/>
    <n v="1.219535"/>
    <n v="7.3172100000000002"/>
    <n v="8"/>
    <x v="0"/>
    <n v="6.0000000000000001E-3"/>
  </r>
  <r>
    <s v="MACHACHI"/>
    <x v="1"/>
    <x v="1"/>
    <x v="4"/>
    <s v="YOGURT FINESSE DESLACT BOTELLA PERSONAL"/>
    <x v="0"/>
    <n v="7711"/>
    <n v="1001"/>
    <x v="147"/>
    <x v="147"/>
    <n v="216"/>
    <n v="1"/>
    <n v="0.18"/>
    <n v="45"/>
    <d v="2024-11-12T00:00:00"/>
    <s v="martes"/>
    <d v="2024-10-31T00:00:00"/>
    <x v="10"/>
    <n v="17"/>
    <n v="0.37777777777777777"/>
    <n v="36"/>
    <n v="6.4799999999999995"/>
    <n v="12"/>
    <n v="0.73333333333333339"/>
    <n v="0.30833500000000003"/>
    <n v="0.30833500000000003"/>
    <n v="1.9980108000000001"/>
    <n v="15"/>
    <x v="2"/>
    <n v="6.4799999999999996E-3"/>
  </r>
  <r>
    <s v="MACHACHI"/>
    <x v="1"/>
    <x v="1"/>
    <x v="4"/>
    <s v="YOGURT FINESSE DESLACT BOTELLA PERSONAL"/>
    <x v="0"/>
    <n v="7711"/>
    <n v="1001"/>
    <x v="147"/>
    <x v="147"/>
    <n v="216"/>
    <n v="1"/>
    <n v="0.18"/>
    <n v="45"/>
    <d v="2024-11-16T00:00:00"/>
    <s v="sábado"/>
    <d v="2024-11-13T00:00:00"/>
    <x v="2"/>
    <n v="30"/>
    <n v="0.66666666666666663"/>
    <n v="84"/>
    <n v="15.12"/>
    <n v="3"/>
    <n v="0.93333333333333335"/>
    <n v="0.30833500000000003"/>
    <n v="0.30833500000000003"/>
    <n v="4.6620252000000004"/>
    <n v="11"/>
    <x v="0"/>
    <n v="1.512E-2"/>
  </r>
  <r>
    <s v="MACHACHI"/>
    <x v="1"/>
    <x v="1"/>
    <x v="4"/>
    <s v="YOGURT FINESSE DESLACT BOTELLA PERSONAL"/>
    <x v="0"/>
    <n v="7711"/>
    <n v="1001"/>
    <x v="147"/>
    <x v="147"/>
    <n v="108"/>
    <n v="1"/>
    <n v="0.18"/>
    <n v="45"/>
    <d v="2024-11-20T00:00:00"/>
    <s v="miércoles"/>
    <d v="2024-11-13T00:00:00"/>
    <x v="2"/>
    <n v="30"/>
    <n v="0.66666666666666663"/>
    <n v="108"/>
    <n v="19.439999999999998"/>
    <n v="7"/>
    <n v="0.84444444444444444"/>
    <n v="0.30833500000000003"/>
    <n v="0.30833500000000003"/>
    <n v="5.9940324"/>
    <n v="7"/>
    <x v="0"/>
    <n v="1.9439999999999999E-2"/>
  </r>
  <r>
    <s v="MACHACHI"/>
    <x v="1"/>
    <x v="1"/>
    <x v="4"/>
    <s v="YOGURT FINESSE DESLACT BOTELLA PERSONAL"/>
    <x v="0"/>
    <n v="7711"/>
    <n v="1001"/>
    <x v="147"/>
    <x v="147"/>
    <n v="108"/>
    <n v="1"/>
    <n v="0.18"/>
    <n v="45"/>
    <d v="2024-11-21T00:00:00"/>
    <s v="jueves"/>
    <d v="2024-11-13T00:00:00"/>
    <x v="2"/>
    <n v="30"/>
    <n v="0.66666666666666663"/>
    <n v="108"/>
    <n v="19.439999999999998"/>
    <n v="8"/>
    <n v="0.82222222222222219"/>
    <n v="0.30833500000000003"/>
    <n v="0.30833500000000003"/>
    <n v="5.9940324"/>
    <n v="6"/>
    <x v="0"/>
    <n v="1.9439999999999999E-2"/>
  </r>
  <r>
    <s v="MACHACHI"/>
    <x v="1"/>
    <x v="1"/>
    <x v="6"/>
    <s v="REGENERIS CEREAL BOTELLA FAMILIAR"/>
    <x v="0"/>
    <n v="7711"/>
    <n v="1001"/>
    <x v="148"/>
    <x v="148"/>
    <n v="120"/>
    <n v="1"/>
    <n v="1.75"/>
    <n v="45"/>
    <d v="2024-10-30T00:00:00"/>
    <s v="miércoles"/>
    <d v="2024-10-25T00:00:00"/>
    <x v="53"/>
    <n v="11"/>
    <n v="0.24444444444444444"/>
    <n v="102"/>
    <n v="178.5"/>
    <n v="5"/>
    <n v="0.88888888888888884"/>
    <n v="2.48414"/>
    <n v="2.48414"/>
    <n v="443.41899000000001"/>
    <n v="28"/>
    <x v="2"/>
    <n v="0.17849999999999999"/>
  </r>
  <r>
    <s v="MACHACHI"/>
    <x v="1"/>
    <x v="1"/>
    <x v="6"/>
    <s v="REGENERIS CEREAL BOTELLA FAMILIAR"/>
    <x v="0"/>
    <n v="7711"/>
    <n v="1001"/>
    <x v="148"/>
    <x v="148"/>
    <n v="24"/>
    <n v="1"/>
    <n v="1.75"/>
    <n v="45"/>
    <d v="2024-11-01T00:00:00"/>
    <s v="viernes"/>
    <d v="2024-11-01T00:00:00"/>
    <x v="4"/>
    <n v="18"/>
    <n v="0.4"/>
    <n v="3"/>
    <n v="5.25"/>
    <n v="0"/>
    <n v="1"/>
    <n v="2.48414"/>
    <n v="2.48414"/>
    <n v="13.041734999999999"/>
    <n v="26"/>
    <x v="2"/>
    <n v="5.2500000000000003E-3"/>
  </r>
  <r>
    <s v="MACHACHI"/>
    <x v="1"/>
    <x v="1"/>
    <x v="6"/>
    <s v="REGENERIS CEREAL BOTELLA FAMILIAR"/>
    <x v="0"/>
    <n v="7711"/>
    <n v="1001"/>
    <x v="148"/>
    <x v="148"/>
    <n v="156"/>
    <n v="1"/>
    <n v="1.75"/>
    <n v="45"/>
    <d v="2024-11-01T00:00:00"/>
    <s v="viernes"/>
    <d v="2024-10-31T00:00:00"/>
    <x v="10"/>
    <n v="17"/>
    <n v="0.37777777777777777"/>
    <n v="69"/>
    <n v="120.75"/>
    <n v="1"/>
    <n v="0.97777777777777775"/>
    <n v="2.48414"/>
    <n v="2.48414"/>
    <n v="299.95990499999999"/>
    <n v="26"/>
    <x v="2"/>
    <n v="0.12075"/>
  </r>
  <r>
    <s v="MACHACHI"/>
    <x v="1"/>
    <x v="1"/>
    <x v="6"/>
    <s v="REGENERIS CEREAL BOTELLA FAMILIAR"/>
    <x v="0"/>
    <n v="7711"/>
    <n v="1001"/>
    <x v="148"/>
    <x v="148"/>
    <n v="84"/>
    <n v="1"/>
    <n v="1.75"/>
    <n v="45"/>
    <d v="2024-11-05T00:00:00"/>
    <s v="martes"/>
    <d v="2024-11-01T00:00:00"/>
    <x v="4"/>
    <n v="18"/>
    <n v="0.4"/>
    <n v="84"/>
    <n v="147"/>
    <n v="4"/>
    <n v="0.91111111111111109"/>
    <n v="2.48414"/>
    <n v="2.48414"/>
    <n v="365.16858000000002"/>
    <n v="22"/>
    <x v="2"/>
    <n v="0.14699999999999999"/>
  </r>
  <r>
    <s v="MACHACHI"/>
    <x v="1"/>
    <x v="1"/>
    <x v="6"/>
    <s v="REGENERIS CEREAL BOTELLA FAMILIAR"/>
    <x v="0"/>
    <n v="7711"/>
    <n v="1001"/>
    <x v="148"/>
    <x v="148"/>
    <n v="180"/>
    <n v="1"/>
    <n v="1.75"/>
    <n v="45"/>
    <d v="2024-11-20T00:00:00"/>
    <s v="miércoles"/>
    <d v="2024-11-19T00:00:00"/>
    <x v="8"/>
    <n v="36"/>
    <n v="0.8"/>
    <n v="127"/>
    <n v="222.25"/>
    <n v="1"/>
    <n v="0.97777777777777775"/>
    <n v="2.48414"/>
    <n v="2.48414"/>
    <n v="552.10011499999996"/>
    <n v="7"/>
    <x v="0"/>
    <n v="0.22225"/>
  </r>
  <r>
    <s v="MACHACHI"/>
    <x v="1"/>
    <x v="1"/>
    <x v="6"/>
    <s v="REGENERIS CEREAL BOTELLA FAMILIAR"/>
    <x v="0"/>
    <n v="7711"/>
    <n v="1001"/>
    <x v="148"/>
    <x v="148"/>
    <n v="48"/>
    <n v="1"/>
    <n v="1.75"/>
    <n v="45"/>
    <d v="2024-11-21T00:00:00"/>
    <s v="jueves"/>
    <d v="2024-11-19T00:00:00"/>
    <x v="8"/>
    <n v="36"/>
    <n v="0.8"/>
    <n v="48"/>
    <n v="84"/>
    <n v="2"/>
    <n v="0.9555555555555556"/>
    <n v="2.48414"/>
    <n v="2.48414"/>
    <n v="208.66775999999999"/>
    <n v="6"/>
    <x v="0"/>
    <n v="8.4000000000000005E-2"/>
  </r>
  <r>
    <s v="MULTIEMPAQUE_MACH"/>
    <x v="1"/>
    <x v="1"/>
    <x v="6"/>
    <s v="REGENERIS REGULAR VASO"/>
    <x v="0"/>
    <n v="7711"/>
    <n v="1001"/>
    <x v="149"/>
    <x v="149"/>
    <n v="36"/>
    <n v="1"/>
    <n v="0.9"/>
    <n v="45"/>
    <d v="2024-11-12T00:00:00"/>
    <s v="martes"/>
    <d v="2024-10-30T00:00:00"/>
    <x v="41"/>
    <n v="16"/>
    <n v="0.35555555555555557"/>
    <n v="10"/>
    <n v="9"/>
    <n v="13"/>
    <n v="0.71111111111111114"/>
    <n v="1.50911"/>
    <n v="1.50911"/>
    <n v="13.581989999999999"/>
    <n v="15"/>
    <x v="2"/>
    <n v="8.9999999999999993E-3"/>
  </r>
  <r>
    <s v="MULTIEMPAQUE_MACH"/>
    <x v="1"/>
    <x v="1"/>
    <x v="6"/>
    <s v="REGENERIS REGULAR VASO"/>
    <x v="0"/>
    <n v="7711"/>
    <n v="1001"/>
    <x v="149"/>
    <x v="149"/>
    <n v="360"/>
    <n v="1"/>
    <n v="0.9"/>
    <n v="45"/>
    <d v="2024-11-21T00:00:00"/>
    <s v="jueves"/>
    <d v="2024-11-16T00:00:00"/>
    <x v="3"/>
    <n v="33"/>
    <n v="0.73333333333333328"/>
    <n v="50"/>
    <n v="45"/>
    <n v="5"/>
    <n v="0.88888888888888884"/>
    <n v="1.50911"/>
    <n v="1.50911"/>
    <n v="67.909949999999995"/>
    <n v="6"/>
    <x v="0"/>
    <n v="4.4999999999999998E-2"/>
  </r>
  <r>
    <s v="MACHACHI"/>
    <x v="1"/>
    <x v="1"/>
    <x v="2"/>
    <s v="BON YURT MINI"/>
    <x v="0"/>
    <n v="7711"/>
    <n v="1001"/>
    <x v="150"/>
    <x v="150"/>
    <n v="630"/>
    <n v="1"/>
    <n v="8.6999999999999994E-2"/>
    <n v="45"/>
    <d v="2024-11-12T00:00:00"/>
    <s v="martes"/>
    <d v="2024-10-31T00:00:00"/>
    <x v="10"/>
    <n v="17"/>
    <n v="0.37777777777777777"/>
    <n v="7"/>
    <n v="0.60899999999999999"/>
    <n v="12"/>
    <n v="0.73333333333333339"/>
    <n v="0.20752000000000001"/>
    <n v="0.20752000000000001"/>
    <n v="0.12637967999999999"/>
    <n v="15"/>
    <x v="2"/>
    <n v="6.0899999999999995E-4"/>
  </r>
  <r>
    <s v="MACHACHI"/>
    <x v="1"/>
    <x v="1"/>
    <x v="2"/>
    <s v="BON YURT MINI"/>
    <x v="0"/>
    <n v="7711"/>
    <n v="1001"/>
    <x v="150"/>
    <x v="150"/>
    <n v="420"/>
    <n v="1"/>
    <n v="8.6999999999999994E-2"/>
    <n v="45"/>
    <d v="2024-11-16T00:00:00"/>
    <s v="sábado"/>
    <d v="2024-11-07T00:00:00"/>
    <x v="1"/>
    <n v="24"/>
    <n v="0.53333333333333333"/>
    <n v="318"/>
    <n v="27.665999999999997"/>
    <n v="9"/>
    <n v="0.8"/>
    <n v="0.20752000000000001"/>
    <n v="0.20752000000000001"/>
    <n v="5.7412483199999995"/>
    <n v="11"/>
    <x v="1"/>
    <n v="2.7665999999999996E-2"/>
  </r>
  <r>
    <s v="MACHACHI"/>
    <x v="1"/>
    <x v="1"/>
    <x v="2"/>
    <s v="BON YURT MINI"/>
    <x v="0"/>
    <n v="7711"/>
    <n v="1001"/>
    <x v="150"/>
    <x v="150"/>
    <n v="1050"/>
    <n v="1"/>
    <n v="8.6999999999999994E-2"/>
    <n v="45"/>
    <d v="2024-11-19T00:00:00"/>
    <s v="martes"/>
    <d v="2024-11-07T00:00:00"/>
    <x v="1"/>
    <n v="24"/>
    <n v="0.53333333333333333"/>
    <n v="1050"/>
    <n v="91.35"/>
    <n v="12"/>
    <n v="0.73333333333333339"/>
    <n v="0.20752000000000001"/>
    <n v="0.20752000000000001"/>
    <n v="18.956952000000001"/>
    <n v="8"/>
    <x v="1"/>
    <n v="9.1350000000000001E-2"/>
  </r>
  <r>
    <s v="MACHACHI"/>
    <x v="1"/>
    <x v="1"/>
    <x v="2"/>
    <s v="BON YURT MINI"/>
    <x v="0"/>
    <n v="7711"/>
    <n v="1001"/>
    <x v="150"/>
    <x v="150"/>
    <n v="560"/>
    <n v="1"/>
    <n v="8.6999999999999994E-2"/>
    <n v="45"/>
    <d v="2024-11-20T00:00:00"/>
    <s v="miércoles"/>
    <d v="2024-11-14T00:00:00"/>
    <x v="7"/>
    <n v="31"/>
    <n v="0.68888888888888888"/>
    <n v="560"/>
    <n v="48.72"/>
    <n v="6"/>
    <n v="0.8666666666666667"/>
    <n v="0.20752000000000001"/>
    <n v="0.20752000000000001"/>
    <n v="10.1103744"/>
    <n v="7"/>
    <x v="0"/>
    <n v="4.8719999999999999E-2"/>
  </r>
  <r>
    <s v="MACHACHI"/>
    <x v="1"/>
    <x v="1"/>
    <x v="2"/>
    <s v="BON YURT MINI"/>
    <x v="0"/>
    <n v="7711"/>
    <n v="1001"/>
    <x v="150"/>
    <x v="150"/>
    <n v="420"/>
    <n v="1"/>
    <n v="8.6999999999999994E-2"/>
    <n v="45"/>
    <d v="2024-11-21T00:00:00"/>
    <s v="jueves"/>
    <d v="2024-11-14T00:00:00"/>
    <x v="7"/>
    <n v="31"/>
    <n v="0.68888888888888888"/>
    <n v="420"/>
    <n v="36.54"/>
    <n v="7"/>
    <n v="0.84444444444444444"/>
    <n v="0.20752000000000001"/>
    <n v="0.20752000000000001"/>
    <n v="7.5827808000000001"/>
    <n v="6"/>
    <x v="0"/>
    <n v="3.6539999999999996E-2"/>
  </r>
  <r>
    <s v="MACHACHI"/>
    <x v="1"/>
    <x v="1"/>
    <x v="4"/>
    <s v="YOGURT FINESSE DESLACT BOTELLA FAMILIAR"/>
    <x v="0"/>
    <n v="7711"/>
    <n v="1001"/>
    <x v="151"/>
    <x v="151"/>
    <n v="54"/>
    <n v="1"/>
    <n v="0.95"/>
    <n v="45"/>
    <d v="2024-11-16T00:00:00"/>
    <s v="sábado"/>
    <d v="2024-11-13T00:00:00"/>
    <x v="2"/>
    <n v="30"/>
    <n v="0.66666666666666663"/>
    <n v="13"/>
    <n v="12.35"/>
    <n v="3"/>
    <n v="0.93333333333333335"/>
    <n v="1.24322"/>
    <n v="1.24322"/>
    <n v="15.353766999999999"/>
    <n v="11"/>
    <x v="0"/>
    <n v="1.235E-2"/>
  </r>
  <r>
    <s v="MACHACHI"/>
    <x v="1"/>
    <x v="1"/>
    <x v="4"/>
    <s v="YOGURT FINESSE DESLACT BOTELLA FAMILIAR"/>
    <x v="0"/>
    <n v="7711"/>
    <n v="1001"/>
    <x v="151"/>
    <x v="151"/>
    <n v="54"/>
    <n v="1"/>
    <n v="0.95"/>
    <n v="45"/>
    <d v="2024-11-19T00:00:00"/>
    <s v="martes"/>
    <d v="2024-11-13T00:00:00"/>
    <x v="2"/>
    <n v="30"/>
    <n v="0.66666666666666663"/>
    <n v="54"/>
    <n v="51.3"/>
    <n v="6"/>
    <n v="0.8666666666666667"/>
    <n v="1.24322"/>
    <n v="1.24322"/>
    <n v="63.777185999999993"/>
    <n v="8"/>
    <x v="0"/>
    <n v="5.1299999999999998E-2"/>
  </r>
  <r>
    <s v="MACHACHI"/>
    <x v="1"/>
    <x v="1"/>
    <x v="4"/>
    <s v="YOGURT FINESSE DESLACT BOTELLA FAMILIAR"/>
    <x v="0"/>
    <n v="7711"/>
    <n v="1001"/>
    <x v="151"/>
    <x v="151"/>
    <n v="36"/>
    <n v="1"/>
    <n v="0.95"/>
    <n v="45"/>
    <d v="2024-11-20T00:00:00"/>
    <s v="miércoles"/>
    <d v="2024-11-15T00:00:00"/>
    <x v="0"/>
    <n v="32"/>
    <n v="0.71111111111111114"/>
    <n v="0"/>
    <n v="0"/>
    <n v="5"/>
    <n v="0.88888888888888884"/>
    <n v="1.24322"/>
    <n v="1.24322"/>
    <n v="0"/>
    <n v="7"/>
    <x v="0"/>
    <n v="0"/>
  </r>
  <r>
    <s v="MACHACHI"/>
    <x v="1"/>
    <x v="1"/>
    <x v="4"/>
    <s v="YOGURT FINESSE DESLACT BOTELLA FAMILIAR"/>
    <x v="0"/>
    <n v="7711"/>
    <n v="1001"/>
    <x v="151"/>
    <x v="151"/>
    <n v="36"/>
    <n v="1"/>
    <n v="0.95"/>
    <n v="45"/>
    <d v="2024-11-21T00:00:00"/>
    <s v="jueves"/>
    <d v="2024-11-15T00:00:00"/>
    <x v="0"/>
    <n v="32"/>
    <n v="0.71111111111111114"/>
    <n v="36"/>
    <n v="34.199999999999996"/>
    <n v="6"/>
    <n v="0.8666666666666667"/>
    <n v="1.24322"/>
    <n v="1.24322"/>
    <n v="42.518123999999993"/>
    <n v="6"/>
    <x v="0"/>
    <n v="3.4199999999999994E-2"/>
  </r>
  <r>
    <s v="SAN GABRIEL"/>
    <x v="0"/>
    <x v="0"/>
    <x v="1"/>
    <s v="QUESO MOZARELLA PIZZA KIOSKO TAJADO"/>
    <x v="0"/>
    <n v="7711"/>
    <n v="1001"/>
    <x v="152"/>
    <x v="152"/>
    <n v="12"/>
    <n v="2.7"/>
    <n v="1"/>
    <n v="30"/>
    <d v="2024-11-19T00:00:00"/>
    <s v="martes"/>
    <d v="2024-11-17T00:00:00"/>
    <x v="21"/>
    <n v="19"/>
    <n v="0.6333333333333333"/>
    <n v="12"/>
    <n v="32.400000000000006"/>
    <n v="2"/>
    <n v="0.93333333333333335"/>
    <n v="7.2692399999999999"/>
    <n v="19.626948000000002"/>
    <n v="635.91311520000022"/>
    <n v="8"/>
    <x v="2"/>
    <n v="3.2400000000000005E-2"/>
  </r>
  <r>
    <s v="SAN GABRIEL"/>
    <x v="0"/>
    <x v="0"/>
    <x v="1"/>
    <s v="QUESO MOZARELLA PIZZA KIOSKO TAJADO"/>
    <x v="0"/>
    <n v="7711"/>
    <n v="1001"/>
    <x v="152"/>
    <x v="152"/>
    <n v="10"/>
    <n v="2.7"/>
    <n v="1"/>
    <n v="30"/>
    <d v="2024-11-21T00:00:00"/>
    <s v="jueves"/>
    <d v="2024-11-20T00:00:00"/>
    <x v="19"/>
    <n v="22"/>
    <n v="0.73333333333333328"/>
    <n v="10"/>
    <n v="27"/>
    <n v="1"/>
    <n v="0.96666666666666667"/>
    <n v="7.2692399999999999"/>
    <n v="19.626948000000002"/>
    <n v="529.92759600000011"/>
    <n v="6"/>
    <x v="1"/>
    <n v="2.7E-2"/>
  </r>
  <r>
    <s v="SAN GABRIEL"/>
    <x v="0"/>
    <x v="0"/>
    <x v="5"/>
    <s v="QUESO HOLANDES BLOQUE"/>
    <x v="0"/>
    <n v="7711"/>
    <n v="1001"/>
    <x v="153"/>
    <x v="153"/>
    <n v="10"/>
    <n v="1"/>
    <n v="1.5"/>
    <n v="60"/>
    <d v="2024-11-12T00:00:00"/>
    <s v="martes"/>
    <d v="2024-11-08T00:00:00"/>
    <x v="67"/>
    <n v="40"/>
    <n v="0.66666666666666663"/>
    <n v="4"/>
    <n v="6"/>
    <n v="4"/>
    <n v="0.93333333333333335"/>
    <n v="10.058565"/>
    <n v="10.058565"/>
    <n v="60.351389999999995"/>
    <n v="15"/>
    <x v="0"/>
    <n v="6.0000000000000001E-3"/>
  </r>
  <r>
    <s v="SAN GABRIEL"/>
    <x v="0"/>
    <x v="0"/>
    <x v="5"/>
    <s v="QUESO HOLANDES BLOQUE"/>
    <x v="0"/>
    <n v="7711"/>
    <n v="1001"/>
    <x v="153"/>
    <x v="153"/>
    <n v="150"/>
    <n v="1"/>
    <n v="1.5"/>
    <n v="60"/>
    <d v="2024-11-14T00:00:00"/>
    <s v="jueves"/>
    <d v="2024-11-13T00:00:00"/>
    <x v="46"/>
    <n v="45"/>
    <n v="0.75"/>
    <n v="150"/>
    <n v="225"/>
    <n v="1"/>
    <n v="0.98333333333333328"/>
    <n v="10.058565"/>
    <n v="10.058565"/>
    <n v="2263.1771250000002"/>
    <n v="13"/>
    <x v="0"/>
    <n v="0.22500000000000001"/>
  </r>
  <r>
    <s v="SAN GABRIEL"/>
    <x v="0"/>
    <x v="0"/>
    <x v="5"/>
    <s v="QUESO HOLANDES BLOQUE"/>
    <x v="0"/>
    <n v="7711"/>
    <n v="1001"/>
    <x v="153"/>
    <x v="153"/>
    <n v="5"/>
    <n v="1"/>
    <n v="1.5"/>
    <n v="60"/>
    <d v="2024-11-19T00:00:00"/>
    <s v="martes"/>
    <d v="2024-11-17T00:00:00"/>
    <x v="75"/>
    <n v="49"/>
    <n v="0.81666666666666665"/>
    <n v="5"/>
    <n v="7.5"/>
    <n v="2"/>
    <n v="0.96666666666666667"/>
    <n v="10.058565"/>
    <n v="10.058565"/>
    <n v="75.439237500000004"/>
    <n v="8"/>
    <x v="0"/>
    <n v="7.4999999999999997E-3"/>
  </r>
  <r>
    <s v="SAN GABRIEL"/>
    <x v="0"/>
    <x v="0"/>
    <x v="5"/>
    <s v="QUESO HOLANDES BLOQUE"/>
    <x v="0"/>
    <n v="7711"/>
    <n v="1001"/>
    <x v="153"/>
    <x v="153"/>
    <n v="200"/>
    <n v="1"/>
    <n v="1.5"/>
    <n v="60"/>
    <d v="2024-11-21T00:00:00"/>
    <s v="jueves"/>
    <d v="2024-11-20T00:00:00"/>
    <x v="76"/>
    <n v="52"/>
    <n v="0.8666666666666667"/>
    <n v="200"/>
    <n v="300"/>
    <n v="1"/>
    <n v="0.98333333333333328"/>
    <n v="10.058565"/>
    <n v="10.058565"/>
    <n v="3017.5695000000001"/>
    <n v="6"/>
    <x v="0"/>
    <n v="0.3"/>
  </r>
  <r>
    <s v="SAN GABRIEL"/>
    <x v="0"/>
    <x v="0"/>
    <x v="5"/>
    <s v="QUESO SEMIMADURO HIERBAS KIOSKO TAJADO"/>
    <x v="0"/>
    <n v="7711"/>
    <n v="1001"/>
    <x v="154"/>
    <x v="154"/>
    <n v="20"/>
    <n v="2.5"/>
    <n v="1"/>
    <n v="90"/>
    <d v="2024-11-12T00:00:00"/>
    <s v="martes"/>
    <d v="2024-11-07T00:00:00"/>
    <x v="58"/>
    <n v="69"/>
    <n v="0.76666666666666672"/>
    <n v="9"/>
    <n v="22.5"/>
    <n v="5"/>
    <n v="0.94444444444444442"/>
    <n v="7.4059249999999999"/>
    <n v="18.514812499999998"/>
    <n v="416.58328124999997"/>
    <n v="15"/>
    <x v="0"/>
    <n v="2.2499999999999999E-2"/>
  </r>
  <r>
    <s v="SAN GABRIEL"/>
    <x v="0"/>
    <x v="0"/>
    <x v="5"/>
    <s v="QUESO SEMIMADURO HIERBAS KIOSKO TAJADO"/>
    <x v="0"/>
    <n v="7711"/>
    <n v="1001"/>
    <x v="154"/>
    <x v="154"/>
    <n v="10"/>
    <n v="2.5"/>
    <n v="1"/>
    <n v="90"/>
    <d v="2024-11-15T00:00:00"/>
    <s v="viernes"/>
    <d v="2024-11-13T00:00:00"/>
    <x v="39"/>
    <n v="75"/>
    <n v="0.83333333333333337"/>
    <n v="10"/>
    <n v="25"/>
    <n v="2"/>
    <n v="0.97777777777777775"/>
    <n v="7.4059249999999999"/>
    <n v="18.514812499999998"/>
    <n v="462.87031249999995"/>
    <n v="12"/>
    <x v="0"/>
    <n v="2.5000000000000001E-2"/>
  </r>
  <r>
    <s v="SAN GABRIEL"/>
    <x v="0"/>
    <x v="0"/>
    <x v="11"/>
    <s v="QUESO FUNDIDO"/>
    <x v="0"/>
    <n v="7711"/>
    <n v="1001"/>
    <x v="155"/>
    <x v="155"/>
    <n v="300"/>
    <n v="1"/>
    <n v="4.4999999999999998E-2"/>
    <n v="90"/>
    <d v="2024-11-07T00:00:00"/>
    <s v="jueves"/>
    <d v="2024-09-27T00:00:00"/>
    <x v="43"/>
    <n v="28"/>
    <n v="0.31111111111111112"/>
    <n v="180"/>
    <n v="8.1"/>
    <n v="41"/>
    <n v="0.54444444444444451"/>
    <n v="0.14824500000000002"/>
    <n v="0.14824500000000002"/>
    <n v="1.2007845000000001"/>
    <n v="20"/>
    <x v="0"/>
    <n v="8.0999999999999996E-3"/>
  </r>
  <r>
    <s v="MULTIEMPAQUE_MACH"/>
    <x v="1"/>
    <x v="1"/>
    <x v="2"/>
    <s v="BON YURT REGULAR"/>
    <x v="0"/>
    <n v="7711"/>
    <n v="1001"/>
    <x v="156"/>
    <x v="156"/>
    <n v="16"/>
    <n v="1"/>
    <n v="0.68"/>
    <n v="45"/>
    <d v="2024-11-15T00:00:00"/>
    <s v="viernes"/>
    <d v="2024-11-09T00:00:00"/>
    <x v="6"/>
    <n v="26"/>
    <n v="0.57777777777777772"/>
    <n v="6"/>
    <n v="4.08"/>
    <n v="6"/>
    <n v="0.8666666666666667"/>
    <n v="1.6522000000000001"/>
    <n v="1.6522000000000001"/>
    <n v="6.7409760000000007"/>
    <n v="12"/>
    <x v="1"/>
    <n v="4.0800000000000003E-3"/>
  </r>
  <r>
    <s v="MACHACHI"/>
    <x v="1"/>
    <x v="1"/>
    <x v="4"/>
    <s v="YOGURT FINESSE DESLACT BOTELLA FAMILIAR"/>
    <x v="0"/>
    <n v="7711"/>
    <n v="1001"/>
    <x v="157"/>
    <x v="157"/>
    <n v="24"/>
    <n v="1"/>
    <n v="1.67"/>
    <n v="45"/>
    <d v="2024-10-29T00:00:00"/>
    <s v="martes"/>
    <d v="2024-10-23T00:00:00"/>
    <x v="66"/>
    <n v="9"/>
    <n v="0.2"/>
    <n v="14"/>
    <n v="23.38"/>
    <n v="6"/>
    <n v="0.8666666666666667"/>
    <n v="2.4703599999999999"/>
    <n v="2.4703599999999999"/>
    <n v="57.757016799999995"/>
    <n v="29"/>
    <x v="2"/>
    <n v="2.3379999999999998E-2"/>
  </r>
  <r>
    <s v="MACHACHI"/>
    <x v="1"/>
    <x v="1"/>
    <x v="4"/>
    <s v="YOGURT FINESSE DESLACT BOTELLA FAMILIAR"/>
    <x v="0"/>
    <n v="7711"/>
    <n v="1001"/>
    <x v="157"/>
    <x v="157"/>
    <n v="12"/>
    <n v="1"/>
    <n v="1.67"/>
    <n v="45"/>
    <d v="2024-10-31T00:00:00"/>
    <s v="jueves"/>
    <d v="2024-10-25T00:00:00"/>
    <x v="53"/>
    <n v="11"/>
    <n v="0.24444444444444444"/>
    <n v="5"/>
    <n v="8.35"/>
    <n v="6"/>
    <n v="0.8666666666666667"/>
    <n v="2.4703599999999999"/>
    <n v="2.4703599999999999"/>
    <n v="20.627505999999997"/>
    <n v="27"/>
    <x v="2"/>
    <n v="8.3499999999999998E-3"/>
  </r>
  <r>
    <s v="MACHACHI"/>
    <x v="1"/>
    <x v="1"/>
    <x v="4"/>
    <s v="YOGURT FINESSE DESLACT BOTELLA FAMILIAR"/>
    <x v="0"/>
    <n v="7711"/>
    <n v="1001"/>
    <x v="157"/>
    <x v="157"/>
    <n v="12"/>
    <n v="1"/>
    <n v="1.67"/>
    <n v="45"/>
    <d v="2024-11-01T00:00:00"/>
    <s v="viernes"/>
    <d v="2024-10-25T00:00:00"/>
    <x v="53"/>
    <n v="11"/>
    <n v="0.24444444444444444"/>
    <n v="12"/>
    <n v="20.04"/>
    <n v="7"/>
    <n v="0.84444444444444444"/>
    <n v="2.4703599999999999"/>
    <n v="2.4703599999999999"/>
    <n v="49.506014399999998"/>
    <n v="26"/>
    <x v="2"/>
    <n v="2.0039999999999999E-2"/>
  </r>
  <r>
    <s v="MACHACHI"/>
    <x v="1"/>
    <x v="1"/>
    <x v="4"/>
    <s v="YOGURT FINESSE DESLACT BOTELLA FAMILIAR"/>
    <x v="0"/>
    <n v="7711"/>
    <n v="1001"/>
    <x v="157"/>
    <x v="157"/>
    <n v="12"/>
    <n v="1"/>
    <n v="1.67"/>
    <n v="45"/>
    <d v="2024-11-16T00:00:00"/>
    <s v="sábado"/>
    <d v="2024-11-08T00:00:00"/>
    <x v="9"/>
    <n v="25"/>
    <n v="0.55555555555555558"/>
    <n v="6"/>
    <n v="10.02"/>
    <n v="8"/>
    <n v="0.82222222222222219"/>
    <n v="2.4703599999999999"/>
    <n v="2.4703599999999999"/>
    <n v="24.753007199999999"/>
    <n v="11"/>
    <x v="1"/>
    <n v="1.0019999999999999E-2"/>
  </r>
  <r>
    <s v="MACHACHI"/>
    <x v="1"/>
    <x v="1"/>
    <x v="4"/>
    <s v="YOGURT FINESSE DESLACT BOTELLA FAMILIAR"/>
    <x v="0"/>
    <n v="7711"/>
    <n v="1001"/>
    <x v="157"/>
    <x v="157"/>
    <n v="36"/>
    <n v="1"/>
    <n v="1.67"/>
    <n v="45"/>
    <d v="2024-11-20T00:00:00"/>
    <s v="miércoles"/>
    <d v="2024-11-13T00:00:00"/>
    <x v="2"/>
    <n v="30"/>
    <n v="0.66666666666666663"/>
    <n v="36"/>
    <n v="60.12"/>
    <n v="7"/>
    <n v="0.84444444444444444"/>
    <n v="2.4703599999999999"/>
    <n v="2.4703599999999999"/>
    <n v="148.51804319999999"/>
    <n v="7"/>
    <x v="0"/>
    <n v="6.012E-2"/>
  </r>
  <r>
    <s v="SAN GABRIEL"/>
    <x v="0"/>
    <x v="0"/>
    <x v="1"/>
    <s v="QUESO MOZARELLA LIGHT KIOSKO BLOQUE"/>
    <x v="0"/>
    <n v="7711"/>
    <n v="1001"/>
    <x v="158"/>
    <x v="158"/>
    <n v="0"/>
    <n v="1"/>
    <n v="0.7"/>
    <n v="40"/>
    <d v="2024-11-04T00:00:00"/>
    <s v="lunes"/>
    <d v="2025-03-24T00:00:00"/>
    <x v="81"/>
    <n v="156"/>
    <n v="3.9"/>
    <n v="21"/>
    <n v="14.7"/>
    <n v="-140"/>
    <n v="4.5"/>
    <n v="3.8565149999999999"/>
    <n v="3.8565149999999999"/>
    <n v="56.690770499999999"/>
    <n v="23"/>
    <x v="0"/>
    <n v="1.47E-2"/>
  </r>
  <r>
    <s v="SAN GABRIEL"/>
    <x v="0"/>
    <x v="0"/>
    <x v="1"/>
    <s v="QUESO MOZARELLA LIGHT KIOSKO BLOQUE"/>
    <x v="0"/>
    <n v="7711"/>
    <n v="1001"/>
    <x v="158"/>
    <x v="158"/>
    <n v="216"/>
    <n v="1"/>
    <n v="0.7"/>
    <n v="40"/>
    <d v="2024-11-19T00:00:00"/>
    <s v="martes"/>
    <d v="2024-11-16T00:00:00"/>
    <x v="43"/>
    <n v="28"/>
    <n v="0.7"/>
    <n v="184"/>
    <n v="128.79999999999998"/>
    <n v="3"/>
    <n v="0.92500000000000004"/>
    <n v="3.8565149999999999"/>
    <n v="3.8565149999999999"/>
    <n v="496.71913199999995"/>
    <n v="8"/>
    <x v="0"/>
    <n v="0.12879999999999997"/>
  </r>
  <r>
    <s v="SAN GABRIEL"/>
    <x v="0"/>
    <x v="0"/>
    <x v="1"/>
    <s v="QUESO MOZARELLA LIGHT KIOSKO BLOQUE"/>
    <x v="0"/>
    <n v="7711"/>
    <n v="1001"/>
    <x v="158"/>
    <x v="158"/>
    <n v="54"/>
    <n v="1"/>
    <n v="0.7"/>
    <n v="40"/>
    <d v="2024-11-20T00:00:00"/>
    <s v="miércoles"/>
    <d v="2024-11-16T00:00:00"/>
    <x v="43"/>
    <n v="28"/>
    <n v="0.7"/>
    <n v="54"/>
    <n v="37.799999999999997"/>
    <n v="4"/>
    <n v="0.9"/>
    <n v="3.8565149999999999"/>
    <n v="3.8565149999999999"/>
    <n v="145.77626699999999"/>
    <n v="7"/>
    <x v="0"/>
    <n v="3.78E-2"/>
  </r>
  <r>
    <s v="SAN GABRIEL"/>
    <x v="0"/>
    <x v="0"/>
    <x v="1"/>
    <s v="QUESO MOZARELLA LIGHT KIOSKO BLOQUE"/>
    <x v="0"/>
    <n v="7711"/>
    <n v="1001"/>
    <x v="158"/>
    <x v="158"/>
    <n v="108"/>
    <n v="1"/>
    <n v="0.7"/>
    <n v="40"/>
    <d v="2024-11-21T00:00:00"/>
    <s v="jueves"/>
    <d v="2024-11-16T00:00:00"/>
    <x v="43"/>
    <n v="28"/>
    <n v="0.7"/>
    <n v="108"/>
    <n v="75.599999999999994"/>
    <n v="5"/>
    <n v="0.875"/>
    <n v="3.8565149999999999"/>
    <n v="3.8565149999999999"/>
    <n v="291.55253399999998"/>
    <n v="6"/>
    <x v="0"/>
    <n v="7.5600000000000001E-2"/>
  </r>
  <r>
    <s v="COLOMBIA"/>
    <x v="2"/>
    <x v="1"/>
    <x v="12"/>
    <s v="ALPINETTE"/>
    <x v="0"/>
    <n v="7711"/>
    <n v="1001"/>
    <x v="159"/>
    <x v="159"/>
    <n v="120"/>
    <n v="1"/>
    <n v="0.14000000000000001"/>
    <n v="60"/>
    <d v="2024-11-08T00:00:00"/>
    <s v="viernes"/>
    <d v="2024-10-08T00:00:00"/>
    <x v="66"/>
    <n v="9"/>
    <n v="0.15"/>
    <n v="91"/>
    <n v="12.740000000000002"/>
    <n v="31"/>
    <n v="0.48333333333333328"/>
    <n v="0.46937499999999999"/>
    <n v="0.46937499999999999"/>
    <n v="5.9798375000000004"/>
    <n v="19"/>
    <x v="2"/>
    <n v="1.2740000000000001E-2"/>
  </r>
  <r>
    <s v="MULTIEMPAQUE_MACH"/>
    <x v="1"/>
    <x v="1"/>
    <x v="3"/>
    <s v="BEBIDA DE YOGURT KIOSKO BOTELLA PERSONAL"/>
    <x v="0"/>
    <n v="7711"/>
    <n v="1001"/>
    <x v="160"/>
    <x v="160"/>
    <n v="308"/>
    <n v="1"/>
    <n v="0.72"/>
    <n v="45"/>
    <d v="2024-11-19T00:00:00"/>
    <s v="martes"/>
    <d v="2024-11-14T00:00:00"/>
    <x v="7"/>
    <n v="31"/>
    <n v="0.68888888888888888"/>
    <n v="282"/>
    <n v="203.04"/>
    <n v="5"/>
    <n v="0.88888888888888884"/>
    <n v="1.6533599999999999"/>
    <n v="1.6533599999999999"/>
    <n v="335.69821439999998"/>
    <n v="8"/>
    <x v="0"/>
    <n v="0.20304"/>
  </r>
  <r>
    <s v="MACHACHI"/>
    <x v="1"/>
    <x v="1"/>
    <x v="4"/>
    <s v="YOGURT FINESSE DESLACT BOTELLA PERSONAL"/>
    <x v="0"/>
    <n v="7711"/>
    <n v="1001"/>
    <x v="161"/>
    <x v="161"/>
    <n v="324"/>
    <n v="1"/>
    <n v="0.18"/>
    <n v="45"/>
    <d v="2024-11-16T00:00:00"/>
    <s v="sábado"/>
    <d v="2024-11-15T00:00:00"/>
    <x v="0"/>
    <n v="32"/>
    <n v="0.71111111111111114"/>
    <n v="101"/>
    <n v="18.18"/>
    <n v="1"/>
    <n v="0.97777777777777775"/>
    <n v="0.31489500000000004"/>
    <n v="0.31489500000000004"/>
    <n v="5.7247911000000009"/>
    <n v="11"/>
    <x v="0"/>
    <n v="1.8179999999999998E-2"/>
  </r>
  <r>
    <s v="MACHACHI"/>
    <x v="1"/>
    <x v="1"/>
    <x v="6"/>
    <s v="REGENERIS CEREAL BOTELLA FAMILIAR"/>
    <x v="0"/>
    <n v="7711"/>
    <n v="1001"/>
    <x v="162"/>
    <x v="162"/>
    <n v="12"/>
    <n v="1"/>
    <n v="1.75"/>
    <n v="45"/>
    <d v="2024-11-06T00:00:00"/>
    <s v="miércoles"/>
    <d v="2024-11-01T00:00:00"/>
    <x v="4"/>
    <n v="18"/>
    <n v="0.4"/>
    <n v="13"/>
    <n v="22.75"/>
    <n v="5"/>
    <n v="0.88888888888888884"/>
    <n v="2.164625"/>
    <n v="2.164625"/>
    <n v="49.245218749999999"/>
    <n v="21"/>
    <x v="2"/>
    <n v="2.2749999999999999E-2"/>
  </r>
  <r>
    <s v="SAN GABRIEL"/>
    <x v="0"/>
    <x v="0"/>
    <x v="1"/>
    <s v="QUESO MOZARELLA PIZZA KIOSKO TAJADO"/>
    <x v="0"/>
    <n v="7711"/>
    <n v="1001"/>
    <x v="163"/>
    <x v="163"/>
    <n v="10"/>
    <n v="1"/>
    <n v="0.3"/>
    <n v="30"/>
    <d v="2024-11-20T00:00:00"/>
    <s v="miércoles"/>
    <d v="2024-11-14T00:00:00"/>
    <x v="41"/>
    <n v="16"/>
    <n v="0.53333333333333333"/>
    <n v="0"/>
    <n v="0"/>
    <n v="6"/>
    <n v="0.8"/>
    <n v="2.2262750000000002"/>
    <n v="2.2262750000000002"/>
    <n v="0"/>
    <n v="7"/>
    <x v="2"/>
    <n v="0"/>
  </r>
  <r>
    <s v="SAN GABRIEL"/>
    <x v="0"/>
    <x v="0"/>
    <x v="1"/>
    <s v="QUESO MOZARELLA PIZZA KIOSKO TAJADO"/>
    <x v="0"/>
    <n v="7711"/>
    <n v="1001"/>
    <x v="163"/>
    <x v="163"/>
    <n v="20"/>
    <n v="1"/>
    <n v="0.3"/>
    <n v="30"/>
    <d v="2024-11-21T00:00:00"/>
    <s v="jueves"/>
    <d v="2024-11-14T00:00:00"/>
    <x v="41"/>
    <n v="16"/>
    <n v="0.53333333333333333"/>
    <n v="20"/>
    <n v="6"/>
    <n v="7"/>
    <n v="0.76666666666666661"/>
    <n v="2.2262750000000002"/>
    <n v="2.2262750000000002"/>
    <n v="13.357650000000001"/>
    <n v="6"/>
    <x v="2"/>
    <n v="6.0000000000000001E-3"/>
  </r>
  <r>
    <s v="MULTIEMPAQUE_MACH"/>
    <x v="1"/>
    <x v="1"/>
    <x v="2"/>
    <s v="BON YURT REGULAR"/>
    <x v="0"/>
    <n v="7711"/>
    <n v="1001"/>
    <x v="164"/>
    <x v="164"/>
    <n v="16"/>
    <n v="1"/>
    <n v="0.68"/>
    <n v="45"/>
    <d v="2024-11-01T00:00:00"/>
    <s v="viernes"/>
    <d v="2024-10-22T00:00:00"/>
    <x v="79"/>
    <n v="8"/>
    <n v="0.17777777777777778"/>
    <n v="5"/>
    <n v="3.4000000000000004"/>
    <n v="10"/>
    <n v="0.77777777777777779"/>
    <n v="1.3252700000000002"/>
    <n v="1.3252700000000002"/>
    <n v="4.5059180000000012"/>
    <n v="26"/>
    <x v="2"/>
    <n v="3.4000000000000002E-3"/>
  </r>
  <r>
    <s v="MULTIEMPAQUE_MACH"/>
    <x v="1"/>
    <x v="1"/>
    <x v="2"/>
    <s v="BON YURT REGULAR"/>
    <x v="0"/>
    <n v="7711"/>
    <n v="1001"/>
    <x v="164"/>
    <x v="164"/>
    <n v="16"/>
    <n v="1"/>
    <n v="0.68"/>
    <n v="45"/>
    <d v="2024-11-08T00:00:00"/>
    <s v="viernes"/>
    <d v="2024-11-01T00:00:00"/>
    <x v="4"/>
    <n v="18"/>
    <n v="0.4"/>
    <n v="8"/>
    <n v="5.44"/>
    <n v="7"/>
    <n v="0.84444444444444444"/>
    <n v="1.3252700000000002"/>
    <n v="1.3252700000000002"/>
    <n v="7.2094688000000016"/>
    <n v="19"/>
    <x v="2"/>
    <n v="5.4400000000000004E-3"/>
  </r>
  <r>
    <s v="MULTIEMPAQUE_MACH"/>
    <x v="1"/>
    <x v="1"/>
    <x v="2"/>
    <s v="BON YURT REGULAR"/>
    <x v="0"/>
    <n v="7711"/>
    <n v="1001"/>
    <x v="164"/>
    <x v="164"/>
    <n v="16"/>
    <n v="1"/>
    <n v="0.68"/>
    <n v="45"/>
    <d v="2024-11-19T00:00:00"/>
    <s v="martes"/>
    <d v="2024-11-15T00:00:00"/>
    <x v="0"/>
    <n v="32"/>
    <n v="0.71111111111111114"/>
    <n v="0"/>
    <n v="0"/>
    <n v="4"/>
    <n v="0.91111111111111109"/>
    <n v="1.3252700000000002"/>
    <n v="1.3252700000000002"/>
    <n v="0"/>
    <n v="8"/>
    <x v="0"/>
    <n v="0"/>
  </r>
  <r>
    <s v="MULTIEMPAQUE_MACH"/>
    <x v="1"/>
    <x v="1"/>
    <x v="2"/>
    <s v="BON YURT REGULAR"/>
    <x v="0"/>
    <n v="7711"/>
    <n v="1001"/>
    <x v="164"/>
    <x v="164"/>
    <n v="16"/>
    <n v="1"/>
    <n v="0.68"/>
    <n v="45"/>
    <d v="2024-11-20T00:00:00"/>
    <s v="miércoles"/>
    <d v="2024-11-15T00:00:00"/>
    <x v="0"/>
    <n v="32"/>
    <n v="0.71111111111111114"/>
    <n v="16"/>
    <n v="10.88"/>
    <n v="5"/>
    <n v="0.88888888888888884"/>
    <n v="1.3252700000000002"/>
    <n v="1.3252700000000002"/>
    <n v="14.418937600000003"/>
    <n v="7"/>
    <x v="0"/>
    <n v="1.0880000000000001E-2"/>
  </r>
  <r>
    <s v="MULTIEMPAQUE_MACH"/>
    <x v="1"/>
    <x v="1"/>
    <x v="2"/>
    <s v="BON YURT REGULAR"/>
    <x v="0"/>
    <n v="7711"/>
    <n v="1001"/>
    <x v="164"/>
    <x v="164"/>
    <n v="8"/>
    <n v="1"/>
    <n v="0.68"/>
    <n v="45"/>
    <d v="2024-11-21T00:00:00"/>
    <s v="jueves"/>
    <d v="2024-11-15T00:00:00"/>
    <x v="0"/>
    <n v="32"/>
    <n v="0.71111111111111114"/>
    <n v="8"/>
    <n v="5.44"/>
    <n v="6"/>
    <n v="0.8666666666666667"/>
    <n v="1.3252700000000002"/>
    <n v="1.3252700000000002"/>
    <n v="7.2094688000000016"/>
    <n v="6"/>
    <x v="0"/>
    <n v="5.4400000000000004E-3"/>
  </r>
  <r>
    <s v="SAN GABRIEL"/>
    <x v="0"/>
    <x v="0"/>
    <x v="1"/>
    <s v="QUESO MOZARELLA PIZZA KIOSKO TAJADO"/>
    <x v="0"/>
    <n v="7711"/>
    <n v="1001"/>
    <x v="165"/>
    <x v="165"/>
    <n v="30"/>
    <n v="2.7"/>
    <n v="1"/>
    <n v="30"/>
    <d v="2024-11-20T00:00:00"/>
    <s v="miércoles"/>
    <d v="2024-11-20T00:00:00"/>
    <x v="19"/>
    <n v="22"/>
    <n v="0.73333333333333328"/>
    <n v="8"/>
    <n v="21.6"/>
    <n v="0"/>
    <n v="1"/>
    <n v="6.98916"/>
    <n v="18.870732"/>
    <n v="407.60781120000001"/>
    <n v="7"/>
    <x v="1"/>
    <n v="2.1600000000000001E-2"/>
  </r>
  <r>
    <s v="SAN GABRIEL"/>
    <x v="0"/>
    <x v="0"/>
    <x v="1"/>
    <s v="QUESO MOZARELLA PIZZA KIOSKO TAJADO"/>
    <x v="0"/>
    <n v="7711"/>
    <n v="1001"/>
    <x v="165"/>
    <x v="165"/>
    <n v="50"/>
    <n v="2.7"/>
    <n v="1"/>
    <n v="30"/>
    <d v="2024-11-21T00:00:00"/>
    <s v="jueves"/>
    <d v="2024-11-21T00:00:00"/>
    <x v="11"/>
    <n v="23"/>
    <n v="0.76666666666666672"/>
    <n v="50"/>
    <n v="135"/>
    <n v="0"/>
    <n v="1"/>
    <n v="6.98916"/>
    <n v="18.870732"/>
    <n v="2547.54882"/>
    <n v="6"/>
    <x v="1"/>
    <n v="0.13500000000000001"/>
  </r>
  <r>
    <s v="SAN GABRIEL"/>
    <x v="0"/>
    <x v="0"/>
    <x v="5"/>
    <s v="QUESO SEMIMADURO CHEDDAR KIOSKO TAJADO"/>
    <x v="0"/>
    <n v="7711"/>
    <n v="1001"/>
    <x v="166"/>
    <x v="166"/>
    <n v="2628"/>
    <n v="1"/>
    <n v="0.4"/>
    <n v="90"/>
    <d v="2024-11-20T00:00:00"/>
    <s v="miércoles"/>
    <d v="2024-11-19T00:00:00"/>
    <x v="40"/>
    <n v="81"/>
    <n v="0.9"/>
    <n v="1060"/>
    <n v="424"/>
    <n v="1"/>
    <n v="0.98888888888888893"/>
    <n v="3.05572"/>
    <n v="3.05572"/>
    <n v="1295.62528"/>
    <n v="7"/>
    <x v="0"/>
    <n v="0.42399999999999999"/>
  </r>
  <r>
    <s v="SAN GABRIEL"/>
    <x v="0"/>
    <x v="0"/>
    <x v="5"/>
    <s v="QUESO SEMIMADURO CHEDDAR KIOSKO TAJADO"/>
    <x v="0"/>
    <n v="7711"/>
    <n v="1001"/>
    <x v="166"/>
    <x v="166"/>
    <n v="36"/>
    <n v="1"/>
    <n v="0.4"/>
    <n v="90"/>
    <d v="2024-11-21T00:00:00"/>
    <s v="jueves"/>
    <d v="2024-11-19T00:00:00"/>
    <x v="40"/>
    <n v="81"/>
    <n v="0.9"/>
    <n v="36"/>
    <n v="14.4"/>
    <n v="2"/>
    <n v="0.97777777777777775"/>
    <n v="3.05572"/>
    <n v="3.05572"/>
    <n v="44.002368000000004"/>
    <n v="6"/>
    <x v="0"/>
    <n v="1.44E-2"/>
  </r>
  <r>
    <s v="SAN GABRIEL"/>
    <x v="0"/>
    <x v="0"/>
    <x v="1"/>
    <s v="QUESO MOZARELLA PIZZA KIOSKO TAJADO"/>
    <x v="0"/>
    <n v="7711"/>
    <n v="1001"/>
    <x v="167"/>
    <x v="167"/>
    <n v="20"/>
    <n v="1"/>
    <n v="0.15"/>
    <n v="40"/>
    <d v="2024-11-19T00:00:00"/>
    <s v="martes"/>
    <d v="2024-11-13T00:00:00"/>
    <x v="9"/>
    <n v="25"/>
    <n v="0.625"/>
    <n v="5"/>
    <n v="0.75"/>
    <n v="6"/>
    <n v="0.85"/>
    <n v="1.279185"/>
    <n v="1.279185"/>
    <n v="0.95938875000000001"/>
    <n v="8"/>
    <x v="1"/>
    <n v="7.5000000000000002E-4"/>
  </r>
  <r>
    <s v="SAN GABRIEL"/>
    <x v="0"/>
    <x v="0"/>
    <x v="1"/>
    <s v="QUESO MOZARELLA PIZZA KIOSKO TAJADO"/>
    <x v="0"/>
    <n v="7711"/>
    <n v="1001"/>
    <x v="167"/>
    <x v="167"/>
    <n v="10"/>
    <n v="1"/>
    <n v="0.15"/>
    <n v="40"/>
    <d v="2024-11-21T00:00:00"/>
    <s v="jueves"/>
    <d v="2024-11-13T00:00:00"/>
    <x v="9"/>
    <n v="25"/>
    <n v="0.625"/>
    <n v="10"/>
    <n v="1.5"/>
    <n v="8"/>
    <n v="0.8"/>
    <n v="1.279185"/>
    <n v="1.279185"/>
    <n v="1.9187775"/>
    <n v="6"/>
    <x v="1"/>
    <n v="1.5E-3"/>
  </r>
  <r>
    <s v="SAN GABRIEL"/>
    <x v="0"/>
    <x v="0"/>
    <x v="5"/>
    <s v="QUESO SEMIMADURO CHEDDAR KIOSKO TAJADO"/>
    <x v="0"/>
    <n v="7711"/>
    <n v="1001"/>
    <x v="168"/>
    <x v="168"/>
    <n v="120"/>
    <n v="1"/>
    <n v="7.4999999999999997E-2"/>
    <n v="90"/>
    <d v="2024-11-13T00:00:00"/>
    <s v="miércoles"/>
    <d v="2024-11-07T00:00:00"/>
    <x v="58"/>
    <n v="69"/>
    <n v="0.76666666666666672"/>
    <n v="46"/>
    <n v="3.4499999999999997"/>
    <n v="6"/>
    <n v="0.93333333333333335"/>
    <n v="0.64679999999999993"/>
    <n v="0.64679999999999993"/>
    <n v="2.2314599999999998"/>
    <n v="14"/>
    <x v="0"/>
    <n v="3.4499999999999999E-3"/>
  </r>
  <r>
    <s v="SAN GABRIEL"/>
    <x v="0"/>
    <x v="0"/>
    <x v="5"/>
    <s v="QUESO SEMIMADURO CHEDDAR KIOSKO TAJADO"/>
    <x v="0"/>
    <n v="7711"/>
    <n v="1001"/>
    <x v="168"/>
    <x v="168"/>
    <n v="100"/>
    <n v="1"/>
    <n v="7.4999999999999997E-2"/>
    <n v="90"/>
    <d v="2024-11-19T00:00:00"/>
    <s v="martes"/>
    <d v="2024-11-15T00:00:00"/>
    <x v="24"/>
    <n v="77"/>
    <n v="0.85555555555555551"/>
    <n v="100"/>
    <n v="7.5"/>
    <n v="4"/>
    <n v="0.9555555555555556"/>
    <n v="0.64679999999999993"/>
    <n v="0.64679999999999993"/>
    <n v="4.8509999999999991"/>
    <n v="8"/>
    <x v="0"/>
    <n v="7.4999999999999997E-3"/>
  </r>
  <r>
    <s v="SAN GABRIEL"/>
    <x v="0"/>
    <x v="0"/>
    <x v="5"/>
    <s v="QUESO HOLANDES KIOSKO TAJADO"/>
    <x v="0"/>
    <n v="7711"/>
    <n v="1001"/>
    <x v="169"/>
    <x v="169"/>
    <n v="400"/>
    <n v="1"/>
    <n v="1"/>
    <n v="90"/>
    <d v="2024-11-14T00:00:00"/>
    <s v="jueves"/>
    <d v="2024-11-13T00:00:00"/>
    <x v="39"/>
    <n v="75"/>
    <n v="0.83333333333333337"/>
    <n v="202"/>
    <n v="202"/>
    <n v="1"/>
    <n v="0.98888888888888893"/>
    <n v="7.1624999999999996"/>
    <n v="7.1624999999999996"/>
    <n v="1446.8249999999998"/>
    <n v="13"/>
    <x v="0"/>
    <n v="0.20200000000000001"/>
  </r>
  <r>
    <s v="SAN GABRIEL"/>
    <x v="0"/>
    <x v="0"/>
    <x v="1"/>
    <s v="QUESO MOZARELLA KIOSKO BLOQUE"/>
    <x v="0"/>
    <n v="7711"/>
    <n v="1001"/>
    <x v="170"/>
    <x v="170"/>
    <n v="90"/>
    <n v="1"/>
    <n v="0.5"/>
    <n v="40"/>
    <d v="2024-11-19T00:00:00"/>
    <s v="martes"/>
    <d v="2024-11-15T00:00:00"/>
    <x v="44"/>
    <n v="27"/>
    <n v="0.67500000000000004"/>
    <n v="13"/>
    <n v="6.5"/>
    <n v="4"/>
    <n v="0.9"/>
    <n v="2.4256149999999996"/>
    <n v="2.4256149999999996"/>
    <n v="15.766497499999998"/>
    <n v="8"/>
    <x v="0"/>
    <n v="6.4999999999999997E-3"/>
  </r>
  <r>
    <s v="SAN GABRIEL"/>
    <x v="0"/>
    <x v="0"/>
    <x v="1"/>
    <s v="QUESO MOZARELLA KIOSKO BLOQUE"/>
    <x v="0"/>
    <n v="7711"/>
    <n v="1001"/>
    <x v="170"/>
    <x v="170"/>
    <n v="30"/>
    <n v="1"/>
    <n v="0.5"/>
    <n v="40"/>
    <d v="2024-11-21T00:00:00"/>
    <s v="jueves"/>
    <d v="2024-11-15T00:00:00"/>
    <x v="44"/>
    <n v="27"/>
    <n v="0.67500000000000004"/>
    <n v="30"/>
    <n v="15"/>
    <n v="6"/>
    <n v="0.85"/>
    <n v="2.4256149999999996"/>
    <n v="2.4256149999999996"/>
    <n v="36.384224999999994"/>
    <n v="6"/>
    <x v="0"/>
    <n v="1.4999999999999999E-2"/>
  </r>
  <r>
    <s v="MACHACHI"/>
    <x v="1"/>
    <x v="1"/>
    <x v="6"/>
    <s v="REGENERIS REGULAR BOTELLA FAMILIAR"/>
    <x v="0"/>
    <n v="7711"/>
    <n v="1001"/>
    <x v="171"/>
    <x v="171"/>
    <n v="144"/>
    <n v="1"/>
    <n v="1.75"/>
    <n v="45"/>
    <d v="2024-11-16T00:00:00"/>
    <s v="sábado"/>
    <d v="2024-11-13T00:00:00"/>
    <x v="2"/>
    <n v="30"/>
    <n v="0.66666666666666663"/>
    <n v="14"/>
    <n v="24.5"/>
    <n v="3"/>
    <n v="0.93333333333333335"/>
    <n v="2.4097600000000003"/>
    <n v="2.4097600000000003"/>
    <n v="59.039120000000011"/>
    <n v="11"/>
    <x v="0"/>
    <n v="2.4500000000000001E-2"/>
  </r>
  <r>
    <s v="MACHACHI"/>
    <x v="1"/>
    <x v="1"/>
    <x v="6"/>
    <s v="REGENERIS REGULAR BOTELLA FAMILIAR"/>
    <x v="0"/>
    <n v="7711"/>
    <n v="1001"/>
    <x v="171"/>
    <x v="171"/>
    <n v="120"/>
    <n v="1"/>
    <n v="1.75"/>
    <n v="45"/>
    <d v="2024-11-20T00:00:00"/>
    <s v="miércoles"/>
    <d v="2024-11-19T00:00:00"/>
    <x v="8"/>
    <n v="36"/>
    <n v="0.8"/>
    <n v="120"/>
    <n v="210"/>
    <n v="1"/>
    <n v="0.97777777777777775"/>
    <n v="2.4097600000000003"/>
    <n v="2.4097600000000003"/>
    <n v="506.04960000000005"/>
    <n v="7"/>
    <x v="0"/>
    <n v="0.21"/>
  </r>
  <r>
    <s v="COLOMBIA"/>
    <x v="2"/>
    <x v="1"/>
    <x v="12"/>
    <s v="ALPINETTE"/>
    <x v="0"/>
    <n v="7711"/>
    <n v="1001"/>
    <x v="172"/>
    <x v="172"/>
    <n v="660"/>
    <n v="1"/>
    <n v="0.14000000000000001"/>
    <n v="60"/>
    <d v="2024-11-12T00:00:00"/>
    <s v="martes"/>
    <d v="2024-10-26T00:00:00"/>
    <x v="44"/>
    <n v="27"/>
    <n v="0.45"/>
    <n v="2"/>
    <n v="0.28000000000000003"/>
    <n v="17"/>
    <n v="0.71666666666666667"/>
    <n v="0.47797999999999996"/>
    <n v="0.47797999999999996"/>
    <n v="0.13383439999999999"/>
    <n v="15"/>
    <x v="0"/>
    <n v="2.8000000000000003E-4"/>
  </r>
  <r>
    <s v="MACHACHI"/>
    <x v="1"/>
    <x v="1"/>
    <x v="3"/>
    <s v="BEBIDA DE YOGURT KIOSKO FUNDA FAMILI"/>
    <x v="0"/>
    <n v="7711"/>
    <n v="1001"/>
    <x v="173"/>
    <x v="173"/>
    <n v="900"/>
    <n v="1"/>
    <n v="0.9"/>
    <n v="45"/>
    <d v="2024-11-06T00:00:00"/>
    <s v="miércoles"/>
    <d v="2024-10-29T00:00:00"/>
    <x v="25"/>
    <n v="15"/>
    <n v="0.33333333333333331"/>
    <n v="7"/>
    <n v="6.3"/>
    <n v="8"/>
    <n v="0.82222222222222219"/>
    <n v="0.62998500000000002"/>
    <n v="0.62998500000000002"/>
    <n v="3.9689055"/>
    <n v="21"/>
    <x v="2"/>
    <n v="6.3E-3"/>
  </r>
  <r>
    <s v="MACHACHI"/>
    <x v="1"/>
    <x v="1"/>
    <x v="3"/>
    <s v="BEBIDA DE YOGURT KIOSKO FUNDA FAMILI"/>
    <x v="0"/>
    <n v="7711"/>
    <n v="1001"/>
    <x v="173"/>
    <x v="173"/>
    <n v="675"/>
    <n v="1"/>
    <n v="0.9"/>
    <n v="45"/>
    <d v="2024-11-13T00:00:00"/>
    <s v="miércoles"/>
    <d v="2024-11-06T00:00:00"/>
    <x v="11"/>
    <n v="23"/>
    <n v="0.51111111111111107"/>
    <n v="167"/>
    <n v="150.30000000000001"/>
    <n v="7"/>
    <n v="0.84444444444444444"/>
    <n v="0.62998500000000002"/>
    <n v="0.62998500000000002"/>
    <n v="94.686745500000015"/>
    <n v="14"/>
    <x v="1"/>
    <n v="0.15030000000000002"/>
  </r>
  <r>
    <s v="MACHACHI"/>
    <x v="1"/>
    <x v="1"/>
    <x v="3"/>
    <s v="BEBIDA DE YOGURT KIOSKO FUNDA FAMILI"/>
    <x v="0"/>
    <n v="7711"/>
    <n v="1001"/>
    <x v="173"/>
    <x v="173"/>
    <n v="675"/>
    <n v="1"/>
    <n v="0.9"/>
    <n v="45"/>
    <d v="2024-11-13T00:00:00"/>
    <s v="miércoles"/>
    <d v="2024-11-07T00:00:00"/>
    <x v="1"/>
    <n v="24"/>
    <n v="0.53333333333333333"/>
    <n v="243"/>
    <n v="218.70000000000002"/>
    <n v="6"/>
    <n v="0.8666666666666667"/>
    <n v="0.62998500000000002"/>
    <n v="0.62998500000000002"/>
    <n v="137.77771950000002"/>
    <n v="14"/>
    <x v="1"/>
    <n v="0.21870000000000001"/>
  </r>
  <r>
    <s v="MACHACHI"/>
    <x v="1"/>
    <x v="1"/>
    <x v="3"/>
    <s v="BEBIDA DE YOGURT KIOSKO FUNDA FAMILI"/>
    <x v="0"/>
    <n v="7711"/>
    <n v="1001"/>
    <x v="173"/>
    <x v="173"/>
    <n v="900"/>
    <n v="1"/>
    <n v="0.9"/>
    <n v="45"/>
    <d v="2024-11-16T00:00:00"/>
    <s v="sábado"/>
    <d v="2024-11-08T00:00:00"/>
    <x v="9"/>
    <n v="25"/>
    <n v="0.55555555555555558"/>
    <n v="900"/>
    <n v="810"/>
    <n v="8"/>
    <n v="0.82222222222222219"/>
    <n v="0.62998500000000002"/>
    <n v="0.62998500000000002"/>
    <n v="510.28784999999999"/>
    <n v="11"/>
    <x v="1"/>
    <n v="0.81"/>
  </r>
  <r>
    <s v="MACHACHI"/>
    <x v="1"/>
    <x v="1"/>
    <x v="3"/>
    <s v="BEBIDA DE YOGURT KIOSKO FUNDA FAMILI"/>
    <x v="0"/>
    <n v="7711"/>
    <n v="1001"/>
    <x v="173"/>
    <x v="173"/>
    <n v="675"/>
    <n v="1"/>
    <n v="0.9"/>
    <n v="45"/>
    <d v="2024-11-15T00:00:00"/>
    <s v="viernes"/>
    <d v="2024-11-08T00:00:00"/>
    <x v="9"/>
    <n v="25"/>
    <n v="0.55555555555555558"/>
    <n v="733"/>
    <n v="659.7"/>
    <n v="7"/>
    <n v="0.84444444444444444"/>
    <n v="0.62998500000000002"/>
    <n v="0.62998500000000002"/>
    <n v="415.60110450000002"/>
    <n v="12"/>
    <x v="1"/>
    <n v="0.65970000000000006"/>
  </r>
  <r>
    <s v="MACHACHI"/>
    <x v="1"/>
    <x v="1"/>
    <x v="3"/>
    <s v="BEBIDA DE YOGURT KIOSKO FUNDA FAMILI"/>
    <x v="0"/>
    <n v="7711"/>
    <n v="1001"/>
    <x v="173"/>
    <x v="173"/>
    <n v="675"/>
    <n v="1"/>
    <n v="0.9"/>
    <n v="45"/>
    <d v="2024-11-15T00:00:00"/>
    <s v="viernes"/>
    <d v="2024-11-07T00:00:00"/>
    <x v="1"/>
    <n v="24"/>
    <n v="0.53333333333333333"/>
    <n v="675"/>
    <n v="607.5"/>
    <n v="8"/>
    <n v="0.82222222222222219"/>
    <n v="0.62998500000000002"/>
    <n v="0.62998500000000002"/>
    <n v="382.71588750000001"/>
    <n v="12"/>
    <x v="1"/>
    <n v="0.60750000000000004"/>
  </r>
  <r>
    <s v="MACHACHI"/>
    <x v="1"/>
    <x v="1"/>
    <x v="3"/>
    <s v="BEBIDA DE YOGURT KIOSKO FUNDA FAMILI"/>
    <x v="0"/>
    <n v="7711"/>
    <n v="1001"/>
    <x v="173"/>
    <x v="173"/>
    <n v="675"/>
    <n v="1"/>
    <n v="0.9"/>
    <n v="45"/>
    <d v="2024-11-14T00:00:00"/>
    <s v="jueves"/>
    <d v="2024-11-07T00:00:00"/>
    <x v="1"/>
    <n v="24"/>
    <n v="0.53333333333333333"/>
    <n v="675"/>
    <n v="607.5"/>
    <n v="7"/>
    <n v="0.84444444444444444"/>
    <n v="0.62998500000000002"/>
    <n v="0.62998500000000002"/>
    <n v="382.71588750000001"/>
    <n v="13"/>
    <x v="1"/>
    <n v="0.60750000000000004"/>
  </r>
  <r>
    <s v="MACHACHI"/>
    <x v="1"/>
    <x v="1"/>
    <x v="3"/>
    <s v="BEBIDA DE YOGURT KIOSKO FUNDA FAMILI"/>
    <x v="0"/>
    <n v="7711"/>
    <n v="1001"/>
    <x v="173"/>
    <x v="173"/>
    <n v="900"/>
    <n v="1"/>
    <n v="0.9"/>
    <n v="45"/>
    <d v="2024-11-19T00:00:00"/>
    <s v="martes"/>
    <d v="2024-11-13T00:00:00"/>
    <x v="2"/>
    <n v="30"/>
    <n v="0.66666666666666663"/>
    <n v="900"/>
    <n v="810"/>
    <n v="6"/>
    <n v="0.8666666666666667"/>
    <n v="0.62998500000000002"/>
    <n v="0.62998500000000002"/>
    <n v="510.28784999999999"/>
    <n v="8"/>
    <x v="0"/>
    <n v="0.81"/>
  </r>
  <r>
    <s v="MACHACHI"/>
    <x v="1"/>
    <x v="1"/>
    <x v="3"/>
    <s v="BEBIDA DE YOGURT KIOSKO FUNDA FAMILI"/>
    <x v="0"/>
    <n v="7711"/>
    <n v="1001"/>
    <x v="173"/>
    <x v="173"/>
    <n v="675"/>
    <n v="1"/>
    <n v="0.9"/>
    <n v="45"/>
    <d v="2024-11-20T00:00:00"/>
    <s v="miércoles"/>
    <d v="2024-11-14T00:00:00"/>
    <x v="7"/>
    <n v="31"/>
    <n v="0.68888888888888888"/>
    <n v="675"/>
    <n v="607.5"/>
    <n v="6"/>
    <n v="0.8666666666666667"/>
    <n v="0.62998500000000002"/>
    <n v="0.62998500000000002"/>
    <n v="382.71588750000001"/>
    <n v="7"/>
    <x v="0"/>
    <n v="0.60750000000000004"/>
  </r>
  <r>
    <s v="MACHACHI"/>
    <x v="1"/>
    <x v="1"/>
    <x v="3"/>
    <s v="BEBIDA DE YOGURT KIOSKO FUNDA FAMILI"/>
    <x v="0"/>
    <n v="7711"/>
    <n v="1001"/>
    <x v="174"/>
    <x v="174"/>
    <n v="600"/>
    <n v="1"/>
    <n v="0.9"/>
    <n v="45"/>
    <d v="2024-11-09T00:00:00"/>
    <s v="sábado"/>
    <d v="2024-11-01T00:00:00"/>
    <x v="4"/>
    <n v="18"/>
    <n v="0.4"/>
    <n v="420"/>
    <n v="378"/>
    <n v="8"/>
    <n v="0.82222222222222219"/>
    <n v="0.63201499999999999"/>
    <n v="0.63201499999999999"/>
    <n v="238.90167"/>
    <n v="18"/>
    <x v="2"/>
    <n v="0.378"/>
  </r>
  <r>
    <s v="MACHACHI"/>
    <x v="1"/>
    <x v="1"/>
    <x v="3"/>
    <s v="BEBIDA DE YOGURT KIOSKO FUNDA FAMILI"/>
    <x v="0"/>
    <n v="7711"/>
    <n v="1001"/>
    <x v="174"/>
    <x v="174"/>
    <n v="525"/>
    <n v="1"/>
    <n v="0.9"/>
    <n v="45"/>
    <d v="2024-11-16T00:00:00"/>
    <s v="sábado"/>
    <d v="2024-11-12T00:00:00"/>
    <x v="5"/>
    <n v="29"/>
    <n v="0.64444444444444449"/>
    <n v="525"/>
    <n v="472.5"/>
    <n v="4"/>
    <n v="0.91111111111111109"/>
    <n v="0.63201499999999999"/>
    <n v="0.63201499999999999"/>
    <n v="298.62708750000002"/>
    <n v="11"/>
    <x v="0"/>
    <n v="0.47249999999999998"/>
  </r>
  <r>
    <s v="MACHACHI"/>
    <x v="1"/>
    <x v="1"/>
    <x v="3"/>
    <s v="BEBIDA DE YOGURT KIOSKO FUNDA FAMILI"/>
    <x v="0"/>
    <n v="7711"/>
    <n v="1001"/>
    <x v="174"/>
    <x v="174"/>
    <n v="900"/>
    <n v="1"/>
    <n v="0.9"/>
    <n v="45"/>
    <d v="2024-11-15T00:00:00"/>
    <s v="viernes"/>
    <d v="2024-11-07T00:00:00"/>
    <x v="1"/>
    <n v="24"/>
    <n v="0.53333333333333333"/>
    <n v="564"/>
    <n v="507.6"/>
    <n v="8"/>
    <n v="0.82222222222222219"/>
    <n v="0.63201499999999999"/>
    <n v="0.63201499999999999"/>
    <n v="320.81081399999999"/>
    <n v="12"/>
    <x v="1"/>
    <n v="0.50760000000000005"/>
  </r>
  <r>
    <s v="MACHACHI"/>
    <x v="1"/>
    <x v="1"/>
    <x v="3"/>
    <s v="BEBIDA DE YOGURT KIOSKO FUNDA FAMILI"/>
    <x v="0"/>
    <n v="7711"/>
    <n v="1001"/>
    <x v="174"/>
    <x v="174"/>
    <n v="900"/>
    <n v="1"/>
    <n v="0.9"/>
    <n v="45"/>
    <d v="2024-11-19T00:00:00"/>
    <s v="martes"/>
    <d v="2024-11-13T00:00:00"/>
    <x v="2"/>
    <n v="30"/>
    <n v="0.66666666666666663"/>
    <n v="900"/>
    <n v="810"/>
    <n v="6"/>
    <n v="0.8666666666666667"/>
    <n v="0.63201499999999999"/>
    <n v="0.63201499999999999"/>
    <n v="511.93214999999998"/>
    <n v="8"/>
    <x v="0"/>
    <n v="0.81"/>
  </r>
  <r>
    <s v="MACHACHI"/>
    <x v="1"/>
    <x v="1"/>
    <x v="3"/>
    <s v="BEBIDA DE YOGURT KIOSKO BOTELLA FAMILIAR"/>
    <x v="0"/>
    <n v="7711"/>
    <n v="1001"/>
    <x v="175"/>
    <x v="175"/>
    <n v="12"/>
    <n v="1"/>
    <n v="1.7"/>
    <n v="45"/>
    <d v="2024-10-30T00:00:00"/>
    <s v="miércoles"/>
    <d v="2024-10-25T00:00:00"/>
    <x v="53"/>
    <n v="11"/>
    <n v="0.24444444444444444"/>
    <n v="0"/>
    <n v="0"/>
    <n v="5"/>
    <n v="0.88888888888888884"/>
    <n v="1.7276500000000001"/>
    <n v="1.7276500000000001"/>
    <n v="0"/>
    <n v="28"/>
    <x v="2"/>
    <n v="0"/>
  </r>
  <r>
    <s v="MACHACHI"/>
    <x v="1"/>
    <x v="1"/>
    <x v="3"/>
    <s v="BEBIDA DE YOGURT KIOSKO BOTELLA FAMILIAR"/>
    <x v="0"/>
    <n v="7711"/>
    <n v="1001"/>
    <x v="175"/>
    <x v="175"/>
    <n v="12"/>
    <n v="1"/>
    <n v="1.7"/>
    <n v="45"/>
    <d v="2024-10-31T00:00:00"/>
    <s v="jueves"/>
    <d v="2024-10-25T00:00:00"/>
    <x v="53"/>
    <n v="11"/>
    <n v="0.24444444444444444"/>
    <n v="12"/>
    <n v="20.399999999999999"/>
    <n v="6"/>
    <n v="0.8666666666666667"/>
    <n v="1.7276500000000001"/>
    <n v="1.7276500000000001"/>
    <n v="35.244059999999998"/>
    <n v="27"/>
    <x v="2"/>
    <n v="2.0399999999999998E-2"/>
  </r>
  <r>
    <s v="MACHACHI"/>
    <x v="1"/>
    <x v="1"/>
    <x v="3"/>
    <s v="BEBIDA DE YOGURT KIOSKO BOTELLA FAMILIAR"/>
    <x v="0"/>
    <n v="7711"/>
    <n v="1001"/>
    <x v="175"/>
    <x v="175"/>
    <n v="12"/>
    <n v="1"/>
    <n v="1.7"/>
    <n v="45"/>
    <d v="2024-11-07T00:00:00"/>
    <s v="jueves"/>
    <d v="2024-10-31T00:00:00"/>
    <x v="10"/>
    <n v="17"/>
    <n v="0.37777777777777777"/>
    <n v="4"/>
    <n v="6.8"/>
    <n v="7"/>
    <n v="0.84444444444444444"/>
    <n v="1.7276500000000001"/>
    <n v="1.7276500000000001"/>
    <n v="11.74802"/>
    <n v="20"/>
    <x v="2"/>
    <n v="6.7999999999999996E-3"/>
  </r>
  <r>
    <s v="MACHACHI"/>
    <x v="1"/>
    <x v="1"/>
    <x v="3"/>
    <s v="BEBIDA DE YOGURT KIOSKO BOTELLA FAMILIAR"/>
    <x v="0"/>
    <n v="7711"/>
    <n v="1001"/>
    <x v="175"/>
    <x v="175"/>
    <n v="12"/>
    <n v="1"/>
    <n v="1.7"/>
    <n v="45"/>
    <d v="2024-11-09T00:00:00"/>
    <s v="sábado"/>
    <d v="2024-10-31T00:00:00"/>
    <x v="10"/>
    <n v="17"/>
    <n v="0.37777777777777777"/>
    <n v="12"/>
    <n v="20.399999999999999"/>
    <n v="9"/>
    <n v="0.8"/>
    <n v="1.7276500000000001"/>
    <n v="1.7276500000000001"/>
    <n v="35.244059999999998"/>
    <n v="18"/>
    <x v="2"/>
    <n v="2.0399999999999998E-2"/>
  </r>
  <r>
    <s v="MULTIEMPAQUE_MACH"/>
    <x v="1"/>
    <x v="1"/>
    <x v="2"/>
    <s v="BON YURT REGULAR"/>
    <x v="0"/>
    <n v="7711"/>
    <n v="1001"/>
    <x v="176"/>
    <x v="176"/>
    <n v="40"/>
    <n v="1"/>
    <n v="0.66"/>
    <n v="45"/>
    <d v="2024-11-01T00:00:00"/>
    <s v="viernes"/>
    <d v="2024-10-22T00:00:00"/>
    <x v="79"/>
    <n v="8"/>
    <n v="0.17777777777777778"/>
    <n v="11"/>
    <n v="7.2600000000000007"/>
    <n v="10"/>
    <n v="0.77777777777777779"/>
    <n v="1.3975849999999999"/>
    <n v="1.3975849999999999"/>
    <n v="10.146467100000001"/>
    <n v="26"/>
    <x v="2"/>
    <n v="7.2600000000000008E-3"/>
  </r>
  <r>
    <s v="MULTIEMPAQUE_MACH"/>
    <x v="1"/>
    <x v="1"/>
    <x v="2"/>
    <s v="BON YURT REGULAR"/>
    <x v="0"/>
    <n v="7711"/>
    <n v="1001"/>
    <x v="176"/>
    <x v="176"/>
    <n v="8"/>
    <n v="1"/>
    <n v="0.66"/>
    <n v="45"/>
    <d v="2024-11-16T00:00:00"/>
    <s v="sábado"/>
    <d v="2024-11-05T00:00:00"/>
    <x v="19"/>
    <n v="22"/>
    <n v="0.48888888888888887"/>
    <n v="8"/>
    <n v="5.28"/>
    <n v="11"/>
    <n v="0.75555555555555554"/>
    <n v="1.3975849999999999"/>
    <n v="1.3975849999999999"/>
    <n v="7.3792487999999992"/>
    <n v="11"/>
    <x v="1"/>
    <n v="5.28E-3"/>
  </r>
  <r>
    <s v="MULTIEMPAQUE_MACH"/>
    <x v="1"/>
    <x v="1"/>
    <x v="2"/>
    <s v="BON YURT REGULAR"/>
    <x v="0"/>
    <n v="7711"/>
    <n v="1001"/>
    <x v="176"/>
    <x v="176"/>
    <n v="56"/>
    <n v="1"/>
    <n v="0.66"/>
    <n v="45"/>
    <d v="2024-11-15T00:00:00"/>
    <s v="viernes"/>
    <d v="2024-11-05T00:00:00"/>
    <x v="19"/>
    <n v="22"/>
    <n v="0.48888888888888887"/>
    <n v="55"/>
    <n v="36.300000000000004"/>
    <n v="10"/>
    <n v="0.77777777777777779"/>
    <n v="1.3975849999999999"/>
    <n v="1.3975849999999999"/>
    <n v="50.732335499999998"/>
    <n v="12"/>
    <x v="1"/>
    <n v="3.6300000000000006E-2"/>
  </r>
  <r>
    <s v="MULTIEMPAQUE_MACH"/>
    <x v="1"/>
    <x v="1"/>
    <x v="2"/>
    <s v="BON YURT REGULAR"/>
    <x v="0"/>
    <n v="7711"/>
    <n v="1001"/>
    <x v="176"/>
    <x v="176"/>
    <n v="104"/>
    <n v="1"/>
    <n v="0.66"/>
    <n v="45"/>
    <d v="2024-11-20T00:00:00"/>
    <s v="miércoles"/>
    <d v="2024-11-12T00:00:00"/>
    <x v="5"/>
    <n v="29"/>
    <n v="0.64444444444444449"/>
    <n v="104"/>
    <n v="68.64"/>
    <n v="8"/>
    <n v="0.82222222222222219"/>
    <n v="1.3975849999999999"/>
    <n v="1.3975849999999999"/>
    <n v="95.930234399999989"/>
    <n v="7"/>
    <x v="0"/>
    <n v="6.8640000000000007E-2"/>
  </r>
  <r>
    <s v="MACHACHI"/>
    <x v="1"/>
    <x v="1"/>
    <x v="6"/>
    <s v="REGENERIS CEREAL BOTELLA FAMILIAR"/>
    <x v="0"/>
    <n v="7711"/>
    <n v="1001"/>
    <x v="177"/>
    <x v="177"/>
    <n v="18"/>
    <n v="1"/>
    <n v="1"/>
    <n v="45"/>
    <d v="2024-11-06T00:00:00"/>
    <s v="miércoles"/>
    <d v="2024-10-26T00:00:00"/>
    <x v="20"/>
    <n v="12"/>
    <n v="0.26666666666666666"/>
    <n v="3"/>
    <n v="3"/>
    <n v="11"/>
    <n v="0.75555555555555554"/>
    <n v="1.39574"/>
    <n v="1.39574"/>
    <n v="4.1872199999999999"/>
    <n v="21"/>
    <x v="2"/>
    <n v="3.0000000000000001E-3"/>
  </r>
  <r>
    <s v="MACHACHI"/>
    <x v="1"/>
    <x v="1"/>
    <x v="6"/>
    <s v="REGENERIS CEREAL BOTELLA FAMILIAR"/>
    <x v="0"/>
    <n v="7711"/>
    <n v="1001"/>
    <x v="177"/>
    <x v="177"/>
    <n v="18"/>
    <n v="1"/>
    <n v="1"/>
    <n v="45"/>
    <d v="2024-11-09T00:00:00"/>
    <s v="sábado"/>
    <d v="2024-11-08T00:00:00"/>
    <x v="9"/>
    <n v="25"/>
    <n v="0.55555555555555558"/>
    <n v="10"/>
    <n v="10"/>
    <n v="1"/>
    <n v="0.97777777777777775"/>
    <n v="1.39574"/>
    <n v="1.39574"/>
    <n v="13.9574"/>
    <n v="18"/>
    <x v="1"/>
    <n v="0.01"/>
  </r>
  <r>
    <s v="MACHACHI"/>
    <x v="1"/>
    <x v="1"/>
    <x v="6"/>
    <s v="REGENERIS CEREAL BOTELLA FAMILIAR"/>
    <x v="0"/>
    <n v="7711"/>
    <n v="1001"/>
    <x v="177"/>
    <x v="177"/>
    <n v="18"/>
    <n v="1"/>
    <n v="1"/>
    <n v="45"/>
    <d v="2024-11-12T00:00:00"/>
    <s v="martes"/>
    <d v="2024-11-08T00:00:00"/>
    <x v="9"/>
    <n v="25"/>
    <n v="0.55555555555555558"/>
    <n v="18"/>
    <n v="18"/>
    <n v="4"/>
    <n v="0.91111111111111109"/>
    <n v="1.39574"/>
    <n v="1.39574"/>
    <n v="25.12332"/>
    <n v="15"/>
    <x v="1"/>
    <n v="1.7999999999999999E-2"/>
  </r>
  <r>
    <s v="SAN GABRIEL"/>
    <x v="0"/>
    <x v="0"/>
    <x v="5"/>
    <s v="QUESO PARMESANO KIOSKO RALLADO"/>
    <x v="0"/>
    <n v="7711"/>
    <n v="1001"/>
    <x v="178"/>
    <x v="178"/>
    <n v="40"/>
    <n v="1"/>
    <n v="0.25"/>
    <n v="180"/>
    <d v="2024-11-12T00:00:00"/>
    <s v="martes"/>
    <d v="2024-11-08T00:00:00"/>
    <x v="60"/>
    <n v="160"/>
    <n v="0.88888888888888884"/>
    <n v="1"/>
    <n v="0.25"/>
    <n v="4"/>
    <n v="0.97777777777777775"/>
    <n v="2.3212000000000002"/>
    <n v="2.3212000000000002"/>
    <n v="0.58030000000000004"/>
    <n v="15"/>
    <x v="0"/>
    <n v="2.5000000000000001E-4"/>
  </r>
  <r>
    <s v="SAN GABRIEL"/>
    <x v="0"/>
    <x v="0"/>
    <x v="5"/>
    <s v="QUESO PARMESANO KIOSKO RALLADO"/>
    <x v="0"/>
    <n v="7711"/>
    <n v="1001"/>
    <x v="178"/>
    <x v="178"/>
    <n v="200"/>
    <n v="1"/>
    <n v="0.25"/>
    <n v="180"/>
    <d v="2024-11-15T00:00:00"/>
    <s v="viernes"/>
    <d v="2024-11-14T00:00:00"/>
    <x v="35"/>
    <n v="166"/>
    <n v="0.92222222222222228"/>
    <n v="200"/>
    <n v="50"/>
    <n v="1"/>
    <n v="0.99444444444444446"/>
    <n v="2.3212000000000002"/>
    <n v="2.3212000000000002"/>
    <n v="116.06"/>
    <n v="12"/>
    <x v="0"/>
    <n v="0.05"/>
  </r>
  <r>
    <s v="SAN GABRIEL"/>
    <x v="0"/>
    <x v="0"/>
    <x v="5"/>
    <s v="QUESO PARMESANO KIOSKO RALLADO"/>
    <x v="0"/>
    <n v="7711"/>
    <n v="1001"/>
    <x v="178"/>
    <x v="178"/>
    <n v="200"/>
    <n v="1"/>
    <n v="0.25"/>
    <n v="180"/>
    <d v="2024-11-14T00:00:00"/>
    <s v="jueves"/>
    <d v="2024-11-13T00:00:00"/>
    <x v="38"/>
    <n v="165"/>
    <n v="0.91666666666666663"/>
    <n v="159"/>
    <n v="39.75"/>
    <n v="1"/>
    <n v="0.99444444444444446"/>
    <n v="2.3212000000000002"/>
    <n v="2.3212000000000002"/>
    <n v="92.267700000000005"/>
    <n v="13"/>
    <x v="0"/>
    <n v="3.9750000000000001E-2"/>
  </r>
  <r>
    <s v="SAN GABRIEL"/>
    <x v="0"/>
    <x v="0"/>
    <x v="5"/>
    <s v="QUESO PARMESANO KIOSKO RALLADO"/>
    <x v="0"/>
    <n v="7711"/>
    <n v="1001"/>
    <x v="178"/>
    <x v="178"/>
    <n v="160"/>
    <n v="1"/>
    <n v="0.25"/>
    <n v="180"/>
    <d v="2024-11-19T00:00:00"/>
    <s v="martes"/>
    <d v="2024-11-14T00:00:00"/>
    <x v="35"/>
    <n v="166"/>
    <n v="0.92222222222222228"/>
    <n v="160"/>
    <n v="40"/>
    <n v="5"/>
    <n v="0.97222222222222221"/>
    <n v="2.3212000000000002"/>
    <n v="2.3212000000000002"/>
    <n v="92.848000000000013"/>
    <n v="8"/>
    <x v="0"/>
    <n v="0.04"/>
  </r>
  <r>
    <s v="SAN GABRIEL"/>
    <x v="0"/>
    <x v="0"/>
    <x v="5"/>
    <s v="QUESO PARMESANO KIOSKO RALLADO"/>
    <x v="0"/>
    <n v="7711"/>
    <n v="1001"/>
    <x v="178"/>
    <x v="178"/>
    <n v="40"/>
    <n v="1"/>
    <n v="0.25"/>
    <n v="180"/>
    <d v="2024-11-20T00:00:00"/>
    <s v="miércoles"/>
    <d v="2024-11-14T00:00:00"/>
    <x v="35"/>
    <n v="166"/>
    <n v="0.92222222222222228"/>
    <n v="40"/>
    <n v="10"/>
    <n v="6"/>
    <n v="0.96666666666666667"/>
    <n v="2.3212000000000002"/>
    <n v="2.3212000000000002"/>
    <n v="23.212000000000003"/>
    <n v="7"/>
    <x v="0"/>
    <n v="0.01"/>
  </r>
  <r>
    <s v="SAN GABRIEL"/>
    <x v="0"/>
    <x v="0"/>
    <x v="5"/>
    <s v="QUESO PARMESANO KIOSKO RALLADO"/>
    <x v="0"/>
    <n v="7711"/>
    <n v="1001"/>
    <x v="178"/>
    <x v="178"/>
    <n v="120"/>
    <n v="1"/>
    <n v="0.25"/>
    <n v="180"/>
    <d v="2024-11-21T00:00:00"/>
    <s v="jueves"/>
    <d v="2024-11-14T00:00:00"/>
    <x v="35"/>
    <n v="166"/>
    <n v="0.92222222222222228"/>
    <n v="120"/>
    <n v="30"/>
    <n v="7"/>
    <n v="0.96111111111111114"/>
    <n v="2.3212000000000002"/>
    <n v="2.3212000000000002"/>
    <n v="69.63600000000001"/>
    <n v="6"/>
    <x v="0"/>
    <n v="0.03"/>
  </r>
  <r>
    <s v="MACHACHI"/>
    <x v="1"/>
    <x v="1"/>
    <x v="3"/>
    <s v="BEBIDA DE YOGURT KIOSKO BOTELLA PERSONAL"/>
    <x v="0"/>
    <n v="7711"/>
    <n v="1001"/>
    <x v="179"/>
    <x v="179"/>
    <n v="432"/>
    <n v="1"/>
    <n v="0.18"/>
    <n v="45"/>
    <d v="2024-11-13T00:00:00"/>
    <s v="miércoles"/>
    <d v="2024-11-08T00:00:00"/>
    <x v="9"/>
    <n v="25"/>
    <n v="0.55555555555555558"/>
    <n v="306"/>
    <n v="55.08"/>
    <n v="5"/>
    <n v="0.88888888888888884"/>
    <n v="0.323905"/>
    <n v="0.323905"/>
    <n v="17.8406874"/>
    <n v="14"/>
    <x v="1"/>
    <n v="5.5079999999999997E-2"/>
  </r>
  <r>
    <s v="MACHACHI"/>
    <x v="1"/>
    <x v="1"/>
    <x v="3"/>
    <s v="BEBIDA DE YOGURT KIOSKO BOTELLA PERSONAL"/>
    <x v="0"/>
    <n v="7711"/>
    <n v="1001"/>
    <x v="179"/>
    <x v="179"/>
    <n v="1080"/>
    <n v="1"/>
    <n v="0.18"/>
    <n v="45"/>
    <d v="2024-11-14T00:00:00"/>
    <s v="jueves"/>
    <d v="2024-11-08T00:00:00"/>
    <x v="9"/>
    <n v="25"/>
    <n v="0.55555555555555558"/>
    <n v="1080"/>
    <n v="194.4"/>
    <n v="6"/>
    <n v="0.8666666666666667"/>
    <n v="0.323905"/>
    <n v="0.323905"/>
    <n v="62.967131999999999"/>
    <n v="13"/>
    <x v="1"/>
    <n v="0.19440000000000002"/>
  </r>
  <r>
    <s v="SAN GABRIEL"/>
    <x v="0"/>
    <x v="0"/>
    <x v="5"/>
    <s v="QUESO SEMIMADURO KIOSKO MIX RALLADO"/>
    <x v="0"/>
    <n v="7711"/>
    <n v="1001"/>
    <x v="180"/>
    <x v="180"/>
    <n v="60"/>
    <n v="1"/>
    <n v="0.3"/>
    <n v="60"/>
    <d v="2024-11-20T00:00:00"/>
    <s v="miércoles"/>
    <d v="2024-11-07T00:00:00"/>
    <x v="50"/>
    <n v="39"/>
    <n v="0.65"/>
    <n v="46"/>
    <n v="13.799999999999999"/>
    <n v="13"/>
    <n v="0.78333333333333333"/>
    <n v="2.4202900000000001"/>
    <n v="2.4202900000000001"/>
    <n v="33.400002000000001"/>
    <n v="7"/>
    <x v="0"/>
    <n v="1.38E-2"/>
  </r>
  <r>
    <s v="SAN GABRIEL"/>
    <x v="0"/>
    <x v="0"/>
    <x v="5"/>
    <s v="QUESO SEMIMADURO KIOSKO MIX RALLADO"/>
    <x v="0"/>
    <n v="7711"/>
    <n v="1001"/>
    <x v="180"/>
    <x v="180"/>
    <n v="30"/>
    <n v="1"/>
    <n v="0.3"/>
    <n v="60"/>
    <d v="2024-11-21T00:00:00"/>
    <s v="jueves"/>
    <d v="2024-11-07T00:00:00"/>
    <x v="50"/>
    <n v="39"/>
    <n v="0.65"/>
    <n v="30"/>
    <n v="9"/>
    <n v="14"/>
    <n v="0.76666666666666661"/>
    <n v="2.4202900000000001"/>
    <n v="2.4202900000000001"/>
    <n v="21.782610000000002"/>
    <n v="6"/>
    <x v="0"/>
    <n v="8.9999999999999993E-3"/>
  </r>
  <r>
    <s v="MACHACHI"/>
    <x v="1"/>
    <x v="1"/>
    <x v="6"/>
    <s v="REGENERIS CEREAL BOTELLA FAMILIAR"/>
    <x v="0"/>
    <n v="7711"/>
    <n v="1001"/>
    <x v="181"/>
    <x v="181"/>
    <n v="108"/>
    <n v="1"/>
    <n v="1"/>
    <n v="45"/>
    <d v="2024-11-13T00:00:00"/>
    <s v="miércoles"/>
    <d v="2024-11-08T00:00:00"/>
    <x v="9"/>
    <n v="25"/>
    <n v="0.55555555555555558"/>
    <n v="1"/>
    <n v="1"/>
    <n v="5"/>
    <n v="0.88888888888888884"/>
    <n v="1.5184099999999998"/>
    <n v="1.5184099999999998"/>
    <n v="1.5184099999999998"/>
    <n v="14"/>
    <x v="1"/>
    <n v="1E-3"/>
  </r>
  <r>
    <s v="MACHACHI"/>
    <x v="1"/>
    <x v="1"/>
    <x v="6"/>
    <s v="REGENERIS CEREAL BOTELLA FAMILIAR"/>
    <x v="0"/>
    <n v="7711"/>
    <n v="1001"/>
    <x v="181"/>
    <x v="181"/>
    <n v="198"/>
    <n v="1"/>
    <n v="1"/>
    <n v="45"/>
    <d v="2024-11-16T00:00:00"/>
    <s v="sábado"/>
    <d v="2024-11-15T00:00:00"/>
    <x v="0"/>
    <n v="32"/>
    <n v="0.71111111111111114"/>
    <n v="118"/>
    <n v="118"/>
    <n v="1"/>
    <n v="0.97777777777777775"/>
    <n v="1.5184099999999998"/>
    <n v="1.5184099999999998"/>
    <n v="179.17237999999998"/>
    <n v="11"/>
    <x v="0"/>
    <n v="0.11799999999999999"/>
  </r>
  <r>
    <s v="MACHACHI"/>
    <x v="1"/>
    <x v="1"/>
    <x v="6"/>
    <s v="REGENERIS CEREAL BOTELLA FAMILIAR"/>
    <x v="0"/>
    <n v="7711"/>
    <n v="1001"/>
    <x v="181"/>
    <x v="181"/>
    <n v="252"/>
    <n v="1"/>
    <n v="1"/>
    <n v="45"/>
    <d v="2024-11-19T00:00:00"/>
    <s v="martes"/>
    <d v="2024-11-15T00:00:00"/>
    <x v="0"/>
    <n v="32"/>
    <n v="0.71111111111111114"/>
    <n v="252"/>
    <n v="252"/>
    <n v="4"/>
    <n v="0.91111111111111109"/>
    <n v="1.5184099999999998"/>
    <n v="1.5184099999999998"/>
    <n v="382.63931999999994"/>
    <n v="8"/>
    <x v="0"/>
    <n v="0.252"/>
  </r>
  <r>
    <s v="MACHACHI"/>
    <x v="1"/>
    <x v="1"/>
    <x v="6"/>
    <s v="REGENERIS CEREAL BOTELLA FAMILIAR"/>
    <x v="0"/>
    <n v="7711"/>
    <n v="1001"/>
    <x v="181"/>
    <x v="181"/>
    <n v="126"/>
    <n v="1"/>
    <n v="1"/>
    <n v="45"/>
    <d v="2024-11-20T00:00:00"/>
    <s v="miércoles"/>
    <d v="2024-11-15T00:00:00"/>
    <x v="0"/>
    <n v="32"/>
    <n v="0.71111111111111114"/>
    <n v="126"/>
    <n v="126"/>
    <n v="5"/>
    <n v="0.88888888888888884"/>
    <n v="1.5184099999999998"/>
    <n v="1.5184099999999998"/>
    <n v="191.31965999999997"/>
    <n v="7"/>
    <x v="0"/>
    <n v="0.126"/>
  </r>
  <r>
    <s v="MULTIEMPAQUE"/>
    <x v="2"/>
    <x v="1"/>
    <x v="12"/>
    <s v="ALPINETTE"/>
    <x v="0"/>
    <n v="7711"/>
    <n v="1001"/>
    <x v="182"/>
    <x v="182"/>
    <n v="18"/>
    <n v="1"/>
    <n v="0.56000000000000005"/>
    <n v="60"/>
    <d v="2024-11-06T00:00:00"/>
    <s v="miércoles"/>
    <d v="2024-10-08T00:00:00"/>
    <x v="66"/>
    <n v="9"/>
    <n v="0.15"/>
    <n v="18"/>
    <n v="10.080000000000002"/>
    <n v="29"/>
    <n v="0.51666666666666661"/>
    <n v="2.0278900000000002"/>
    <n v="2.0278900000000002"/>
    <n v="20.441131200000004"/>
    <n v="21"/>
    <x v="2"/>
    <n v="1.0080000000000002E-2"/>
  </r>
  <r>
    <s v="MACHACHI"/>
    <x v="1"/>
    <x v="1"/>
    <x v="3"/>
    <s v="BEBIDA DE YOGURT KIOSKO BOTELLA PERSONAL"/>
    <x v="0"/>
    <n v="7711"/>
    <n v="1001"/>
    <x v="183"/>
    <x v="183"/>
    <n v="216"/>
    <n v="1"/>
    <n v="0.18"/>
    <n v="45"/>
    <d v="2024-11-01T00:00:00"/>
    <s v="viernes"/>
    <d v="2024-10-23T00:00:00"/>
    <x v="66"/>
    <n v="9"/>
    <n v="0.2"/>
    <n v="128"/>
    <n v="23.04"/>
    <n v="9"/>
    <n v="0.8"/>
    <n v="0.24412500000000001"/>
    <n v="0.24412500000000001"/>
    <n v="5.6246400000000003"/>
    <n v="26"/>
    <x v="2"/>
    <n v="2.3039999999999998E-2"/>
  </r>
  <r>
    <s v="MACHACHI"/>
    <x v="1"/>
    <x v="1"/>
    <x v="3"/>
    <s v="BEBIDA DE YOGURT KIOSKO BOTELLA PERSONAL"/>
    <x v="0"/>
    <n v="7711"/>
    <n v="1001"/>
    <x v="183"/>
    <x v="183"/>
    <n v="216"/>
    <n v="1"/>
    <n v="0.18"/>
    <n v="45"/>
    <d v="2024-11-05T00:00:00"/>
    <s v="martes"/>
    <d v="2024-10-31T00:00:00"/>
    <x v="10"/>
    <n v="17"/>
    <n v="0.37777777777777777"/>
    <n v="39"/>
    <n v="7.02"/>
    <n v="5"/>
    <n v="0.88888888888888884"/>
    <n v="0.24412500000000001"/>
    <n v="0.24412500000000001"/>
    <n v="1.7137575"/>
    <n v="22"/>
    <x v="2"/>
    <n v="7.0199999999999993E-3"/>
  </r>
  <r>
    <s v="MACHACHI"/>
    <x v="1"/>
    <x v="1"/>
    <x v="3"/>
    <s v="BEBIDA DE YOGURT KIOSKO BOTELLA PERSONAL"/>
    <x v="0"/>
    <n v="7711"/>
    <n v="1001"/>
    <x v="183"/>
    <x v="183"/>
    <n v="108"/>
    <n v="1"/>
    <n v="0.18"/>
    <n v="45"/>
    <d v="2024-11-21T00:00:00"/>
    <s v="jueves"/>
    <d v="2024-11-15T00:00:00"/>
    <x v="0"/>
    <n v="32"/>
    <n v="0.71111111111111114"/>
    <n v="36"/>
    <n v="6.4799999999999995"/>
    <n v="6"/>
    <n v="0.8666666666666667"/>
    <n v="0.24412500000000001"/>
    <n v="0.24412500000000001"/>
    <n v="1.5819299999999998"/>
    <n v="6"/>
    <x v="0"/>
    <n v="6.4799999999999996E-3"/>
  </r>
  <r>
    <s v="PROMOCION"/>
    <x v="3"/>
    <x v="0"/>
    <x v="16"/>
    <s v="ARMADOS"/>
    <x v="0"/>
    <n v="7711"/>
    <n v="1001"/>
    <x v="184"/>
    <x v="184"/>
    <n v="0"/>
    <n v="1"/>
    <n v="0.19"/>
    <n v="60"/>
    <d v="2024-11-23T00:00:00"/>
    <s v="sábado"/>
    <d v="2024-11-23T00:00:00"/>
    <x v="59"/>
    <n v="55"/>
    <n v="0.91666666666666663"/>
    <n v="1"/>
    <n v="0.19"/>
    <n v="0"/>
    <n v="1"/>
    <n v="3.4317950000000002"/>
    <n v="3.4317950000000002"/>
    <n v="0.65204105000000001"/>
    <n v="4"/>
    <x v="0"/>
    <n v="1.9000000000000001E-4"/>
  </r>
  <r>
    <s v="PROMOCION"/>
    <x v="3"/>
    <x v="0"/>
    <x v="16"/>
    <s v="ARMADOS"/>
    <x v="0"/>
    <n v="7711"/>
    <n v="1001"/>
    <x v="184"/>
    <x v="184"/>
    <n v="476"/>
    <n v="1"/>
    <n v="0.19"/>
    <n v="60"/>
    <d v="2024-11-19T00:00:00"/>
    <s v="martes"/>
    <d v="2024-11-05T00:00:00"/>
    <x v="82"/>
    <n v="37"/>
    <n v="0.6166666666666667"/>
    <n v="479"/>
    <n v="91.01"/>
    <n v="14"/>
    <n v="0.76666666666666661"/>
    <n v="3.4317950000000002"/>
    <n v="3.4317950000000002"/>
    <n v="312.32766295000005"/>
    <n v="8"/>
    <x v="0"/>
    <n v="9.1010000000000008E-2"/>
  </r>
  <r>
    <s v="SAN GABRIEL"/>
    <x v="0"/>
    <x v="0"/>
    <x v="0"/>
    <s v="QUESO RICOTTA KIOSKO BLOQUE"/>
    <x v="0"/>
    <n v="7711"/>
    <n v="1001"/>
    <x v="185"/>
    <x v="185"/>
    <n v="270"/>
    <n v="1"/>
    <n v="0.25"/>
    <n v="35"/>
    <d v="2024-11-19T00:00:00"/>
    <s v="martes"/>
    <d v="2024-11-15T00:00:00"/>
    <x v="19"/>
    <n v="22"/>
    <n v="0.62857142857142856"/>
    <n v="171"/>
    <n v="42.75"/>
    <n v="4"/>
    <n v="0.88571428571428568"/>
    <n v="0.69428000000000001"/>
    <n v="0.69428000000000001"/>
    <n v="29.68047"/>
    <n v="8"/>
    <x v="1"/>
    <n v="4.2750000000000003E-2"/>
  </r>
  <r>
    <s v="SAN GABRIEL"/>
    <x v="0"/>
    <x v="0"/>
    <x v="0"/>
    <s v="QUESO RICOTTA KIOSKO BLOQUE"/>
    <x v="0"/>
    <n v="7711"/>
    <n v="1001"/>
    <x v="185"/>
    <x v="185"/>
    <n v="90"/>
    <n v="1"/>
    <n v="0.25"/>
    <n v="35"/>
    <d v="2024-11-20T00:00:00"/>
    <s v="miércoles"/>
    <d v="2024-11-15T00:00:00"/>
    <x v="19"/>
    <n v="22"/>
    <n v="0.62857142857142856"/>
    <n v="90"/>
    <n v="22.5"/>
    <n v="5"/>
    <n v="0.85714285714285721"/>
    <n v="0.69428000000000001"/>
    <n v="0.69428000000000001"/>
    <n v="15.6213"/>
    <n v="7"/>
    <x v="1"/>
    <n v="2.2499999999999999E-2"/>
  </r>
  <r>
    <s v="SAN GABRIEL"/>
    <x v="0"/>
    <x v="0"/>
    <x v="0"/>
    <s v="QUESO RICOTTA KIOSKO BLOQUE"/>
    <x v="0"/>
    <n v="7711"/>
    <n v="1001"/>
    <x v="185"/>
    <x v="185"/>
    <n v="45"/>
    <n v="1"/>
    <n v="0.25"/>
    <n v="35"/>
    <d v="2024-11-21T00:00:00"/>
    <s v="jueves"/>
    <d v="2024-11-20T00:00:00"/>
    <x v="44"/>
    <n v="27"/>
    <n v="0.77142857142857146"/>
    <n v="45"/>
    <n v="11.25"/>
    <n v="1"/>
    <n v="0.97142857142857142"/>
    <n v="0.69428000000000001"/>
    <n v="0.69428000000000001"/>
    <n v="7.8106499999999999"/>
    <n v="6"/>
    <x v="0"/>
    <n v="1.125E-2"/>
  </r>
  <r>
    <s v="SAN GABRIEL"/>
    <x v="0"/>
    <x v="0"/>
    <x v="0"/>
    <s v="QUESO RICOTTA KIOSKO BLOQUE"/>
    <x v="0"/>
    <n v="7711"/>
    <n v="1001"/>
    <x v="185"/>
    <x v="185"/>
    <n v="45"/>
    <n v="1"/>
    <n v="0.25"/>
    <n v="35"/>
    <d v="2024-11-21T00:00:00"/>
    <s v="jueves"/>
    <d v="2024-11-15T00:00:00"/>
    <x v="19"/>
    <n v="22"/>
    <n v="0.62857142857142856"/>
    <n v="45"/>
    <n v="11.25"/>
    <n v="6"/>
    <n v="0.82857142857142851"/>
    <n v="0.69428000000000001"/>
    <n v="0.69428000000000001"/>
    <n v="7.8106499999999999"/>
    <n v="6"/>
    <x v="1"/>
    <n v="1.125E-2"/>
  </r>
  <r>
    <s v="MACHACHI"/>
    <x v="1"/>
    <x v="1"/>
    <x v="3"/>
    <s v="BEBIDA DE YOGURT KIOSKO BOTELLA FAMILIAR"/>
    <x v="0"/>
    <n v="7711"/>
    <n v="1001"/>
    <x v="186"/>
    <x v="186"/>
    <n v="12"/>
    <n v="1"/>
    <n v="1.7"/>
    <n v="45"/>
    <d v="2024-10-30T00:00:00"/>
    <s v="miércoles"/>
    <d v="2024-10-25T00:00:00"/>
    <x v="53"/>
    <n v="11"/>
    <n v="0.24444444444444444"/>
    <n v="0"/>
    <n v="0"/>
    <n v="5"/>
    <n v="0.88888888888888884"/>
    <n v="1.751825"/>
    <n v="1.751825"/>
    <n v="0"/>
    <n v="28"/>
    <x v="2"/>
    <n v="0"/>
  </r>
  <r>
    <s v="MACHACHI"/>
    <x v="1"/>
    <x v="1"/>
    <x v="3"/>
    <s v="BEBIDA DE YOGURT KIOSKO BOTELLA FAMILIAR"/>
    <x v="0"/>
    <n v="7711"/>
    <n v="1001"/>
    <x v="186"/>
    <x v="186"/>
    <n v="12"/>
    <n v="1"/>
    <n v="1.7"/>
    <n v="45"/>
    <d v="2024-10-31T00:00:00"/>
    <s v="jueves"/>
    <d v="2024-10-25T00:00:00"/>
    <x v="53"/>
    <n v="11"/>
    <n v="0.24444444444444444"/>
    <n v="12"/>
    <n v="20.399999999999999"/>
    <n v="6"/>
    <n v="0.8666666666666667"/>
    <n v="1.751825"/>
    <n v="1.751825"/>
    <n v="35.737229999999997"/>
    <n v="27"/>
    <x v="2"/>
    <n v="2.0399999999999998E-2"/>
  </r>
  <r>
    <s v="MACHACHI"/>
    <x v="1"/>
    <x v="1"/>
    <x v="3"/>
    <s v="BEBIDA DE YOGURT KIOSKO BOTELLA FAMILIAR"/>
    <x v="0"/>
    <n v="7711"/>
    <n v="1001"/>
    <x v="186"/>
    <x v="186"/>
    <n v="12"/>
    <n v="1"/>
    <n v="1.7"/>
    <n v="45"/>
    <d v="2024-11-01T00:00:00"/>
    <s v="viernes"/>
    <d v="2024-10-25T00:00:00"/>
    <x v="53"/>
    <n v="11"/>
    <n v="0.24444444444444444"/>
    <n v="12"/>
    <n v="20.399999999999999"/>
    <n v="7"/>
    <n v="0.84444444444444444"/>
    <n v="1.751825"/>
    <n v="1.751825"/>
    <n v="35.737229999999997"/>
    <n v="26"/>
    <x v="2"/>
    <n v="2.0399999999999998E-2"/>
  </r>
  <r>
    <s v="MACHACHI"/>
    <x v="1"/>
    <x v="1"/>
    <x v="3"/>
    <s v="BEBIDA DE YOGURT KIOSKO BOTELLA FAMILIAR"/>
    <x v="0"/>
    <n v="7711"/>
    <n v="1001"/>
    <x v="186"/>
    <x v="186"/>
    <n v="12"/>
    <n v="1"/>
    <n v="1.7"/>
    <n v="45"/>
    <d v="2024-11-09T00:00:00"/>
    <s v="sábado"/>
    <d v="2024-10-31T00:00:00"/>
    <x v="10"/>
    <n v="17"/>
    <n v="0.37777777777777777"/>
    <n v="3"/>
    <n v="5.0999999999999996"/>
    <n v="9"/>
    <n v="0.8"/>
    <n v="1.751825"/>
    <n v="1.751825"/>
    <n v="8.9343074999999992"/>
    <n v="18"/>
    <x v="2"/>
    <n v="5.0999999999999995E-3"/>
  </r>
  <r>
    <s v="MACHACHI"/>
    <x v="1"/>
    <x v="1"/>
    <x v="3"/>
    <s v="BEBIDA DE YOGURT KIOSKO BOTELLA FAMILIAR"/>
    <x v="0"/>
    <n v="7711"/>
    <n v="1001"/>
    <x v="186"/>
    <x v="186"/>
    <n v="12"/>
    <n v="1"/>
    <n v="1.7"/>
    <n v="45"/>
    <d v="2024-11-20T00:00:00"/>
    <s v="miércoles"/>
    <d v="2024-11-15T00:00:00"/>
    <x v="0"/>
    <n v="32"/>
    <n v="0.71111111111111114"/>
    <n v="5"/>
    <n v="8.5"/>
    <n v="5"/>
    <n v="0.88888888888888884"/>
    <n v="1.751825"/>
    <n v="1.751825"/>
    <n v="14.8905125"/>
    <n v="7"/>
    <x v="0"/>
    <n v="8.5000000000000006E-3"/>
  </r>
  <r>
    <s v="SAN GABRIEL"/>
    <x v="0"/>
    <x v="0"/>
    <x v="5"/>
    <s v="QUESO AMERICANO KIOSKO TAJADO"/>
    <x v="0"/>
    <n v="7711"/>
    <n v="1001"/>
    <x v="187"/>
    <x v="187"/>
    <n v="15"/>
    <n v="1.7"/>
    <n v="1"/>
    <n v="60"/>
    <d v="2024-11-08T00:00:00"/>
    <s v="viernes"/>
    <d v="2024-11-08T00:00:00"/>
    <x v="67"/>
    <n v="40"/>
    <n v="0.66666666666666663"/>
    <n v="6"/>
    <n v="10.199999999999999"/>
    <n v="0"/>
    <n v="1"/>
    <n v="7.0906599999999997"/>
    <n v="12.054122"/>
    <n v="122.95204439999999"/>
    <n v="19"/>
    <x v="0"/>
    <n v="1.0199999999999999E-2"/>
  </r>
  <r>
    <s v="SAN GABRIEL"/>
    <x v="0"/>
    <x v="0"/>
    <x v="5"/>
    <s v="QUESO AMERICANO KIOSKO TAJADO"/>
    <x v="0"/>
    <n v="7711"/>
    <n v="1001"/>
    <x v="187"/>
    <x v="187"/>
    <n v="10"/>
    <n v="1.7"/>
    <n v="1"/>
    <n v="60"/>
    <d v="2024-11-14T00:00:00"/>
    <s v="jueves"/>
    <d v="2024-11-13T00:00:00"/>
    <x v="46"/>
    <n v="45"/>
    <n v="0.75"/>
    <n v="10"/>
    <n v="17"/>
    <n v="1"/>
    <n v="0.98333333333333328"/>
    <n v="7.0906599999999997"/>
    <n v="12.054122"/>
    <n v="204.920074"/>
    <n v="13"/>
    <x v="0"/>
    <n v="1.7000000000000001E-2"/>
  </r>
  <r>
    <s v="SAN GABRIEL"/>
    <x v="0"/>
    <x v="0"/>
    <x v="5"/>
    <s v="QUESO AMERICANO KIOSKO TAJADO"/>
    <x v="0"/>
    <n v="7711"/>
    <n v="1001"/>
    <x v="187"/>
    <x v="187"/>
    <n v="5"/>
    <n v="1.7"/>
    <n v="1"/>
    <n v="60"/>
    <d v="2024-11-19T00:00:00"/>
    <s v="martes"/>
    <d v="2024-11-17T00:00:00"/>
    <x v="75"/>
    <n v="49"/>
    <n v="0.81666666666666665"/>
    <n v="5"/>
    <n v="8.5"/>
    <n v="2"/>
    <n v="0.96666666666666667"/>
    <n v="7.0906599999999997"/>
    <n v="12.054122"/>
    <n v="102.460037"/>
    <n v="8"/>
    <x v="0"/>
    <n v="8.5000000000000006E-3"/>
  </r>
  <r>
    <s v="SAN GABRIEL"/>
    <x v="0"/>
    <x v="0"/>
    <x v="5"/>
    <s v="QUESO AMERICANO KIOSKO TAJADO"/>
    <x v="0"/>
    <n v="7711"/>
    <n v="1001"/>
    <x v="187"/>
    <x v="187"/>
    <n v="6"/>
    <n v="1.7"/>
    <n v="1"/>
    <n v="60"/>
    <d v="2024-11-21T00:00:00"/>
    <s v="jueves"/>
    <d v="2024-11-20T00:00:00"/>
    <x v="76"/>
    <n v="52"/>
    <n v="0.8666666666666667"/>
    <n v="6"/>
    <n v="10.199999999999999"/>
    <n v="1"/>
    <n v="0.98333333333333328"/>
    <n v="7.0906599999999997"/>
    <n v="12.054122"/>
    <n v="122.95204439999999"/>
    <n v="6"/>
    <x v="0"/>
    <n v="1.0199999999999999E-2"/>
  </r>
  <r>
    <s v="MACHACHI"/>
    <x v="1"/>
    <x v="1"/>
    <x v="6"/>
    <s v="REGENERIS BEBIBLE BOTELLA FAMILIAR"/>
    <x v="0"/>
    <n v="7711"/>
    <n v="1001"/>
    <x v="188"/>
    <x v="188"/>
    <n v="24"/>
    <n v="1"/>
    <n v="1.75"/>
    <n v="45"/>
    <d v="2024-11-08T00:00:00"/>
    <s v="viernes"/>
    <d v="2024-10-31T00:00:00"/>
    <x v="10"/>
    <n v="17"/>
    <n v="0.37777777777777777"/>
    <n v="6"/>
    <n v="10.5"/>
    <n v="8"/>
    <n v="0.82222222222222219"/>
    <n v="2.2867100000000002"/>
    <n v="2.2867100000000002"/>
    <n v="24.010455000000004"/>
    <n v="19"/>
    <x v="2"/>
    <n v="1.0500000000000001E-2"/>
  </r>
  <r>
    <s v="MACHACHI"/>
    <x v="1"/>
    <x v="1"/>
    <x v="6"/>
    <s v="REGENERIS BEBIBLE BOTELLA FAMILIAR"/>
    <x v="0"/>
    <n v="7711"/>
    <n v="1001"/>
    <x v="188"/>
    <x v="188"/>
    <n v="36"/>
    <n v="1"/>
    <n v="1.75"/>
    <n v="45"/>
    <d v="2024-11-16T00:00:00"/>
    <s v="sábado"/>
    <d v="2024-11-14T00:00:00"/>
    <x v="7"/>
    <n v="31"/>
    <n v="0.68888888888888888"/>
    <n v="24"/>
    <n v="42"/>
    <n v="2"/>
    <n v="0.9555555555555556"/>
    <n v="2.2867100000000002"/>
    <n v="2.2867100000000002"/>
    <n v="96.041820000000016"/>
    <n v="11"/>
    <x v="0"/>
    <n v="4.2000000000000003E-2"/>
  </r>
  <r>
    <s v="MACHACHI"/>
    <x v="1"/>
    <x v="1"/>
    <x v="6"/>
    <s v="REGENERIS BEBIBLE BOTELLA FAMILIAR"/>
    <x v="0"/>
    <n v="7711"/>
    <n v="1001"/>
    <x v="188"/>
    <x v="188"/>
    <n v="12"/>
    <n v="1"/>
    <n v="1.75"/>
    <n v="45"/>
    <d v="2024-11-19T00:00:00"/>
    <s v="martes"/>
    <d v="2024-11-14T00:00:00"/>
    <x v="7"/>
    <n v="31"/>
    <n v="0.68888888888888888"/>
    <n v="12"/>
    <n v="21"/>
    <n v="5"/>
    <n v="0.88888888888888884"/>
    <n v="2.2867100000000002"/>
    <n v="2.2867100000000002"/>
    <n v="48.020910000000008"/>
    <n v="8"/>
    <x v="0"/>
    <n v="2.1000000000000001E-2"/>
  </r>
  <r>
    <s v="MACHACHI"/>
    <x v="1"/>
    <x v="1"/>
    <x v="6"/>
    <s v="REGENERIS BEBIBLE BOTELLA FAMILIAR"/>
    <x v="0"/>
    <n v="7711"/>
    <n v="1001"/>
    <x v="188"/>
    <x v="188"/>
    <n v="24"/>
    <n v="1"/>
    <n v="1.75"/>
    <n v="45"/>
    <d v="2024-11-20T00:00:00"/>
    <s v="miércoles"/>
    <d v="2024-11-19T00:00:00"/>
    <x v="8"/>
    <n v="36"/>
    <n v="0.8"/>
    <n v="24"/>
    <n v="42"/>
    <n v="1"/>
    <n v="0.97777777777777775"/>
    <n v="2.2867100000000002"/>
    <n v="2.2867100000000002"/>
    <n v="96.041820000000016"/>
    <n v="7"/>
    <x v="0"/>
    <n v="4.2000000000000003E-2"/>
  </r>
  <r>
    <s v="SAN GABRIEL"/>
    <x v="0"/>
    <x v="0"/>
    <x v="13"/>
    <s v="CREMA DE LECHE KIOSKO GALON"/>
    <x v="0"/>
    <n v="7711"/>
    <n v="1001"/>
    <x v="189"/>
    <x v="189"/>
    <n v="54"/>
    <n v="1"/>
    <n v="3.5"/>
    <n v="30"/>
    <d v="2024-11-15T00:00:00"/>
    <s v="viernes"/>
    <d v="2024-11-14T00:00:00"/>
    <x v="41"/>
    <n v="16"/>
    <n v="0.53333333333333333"/>
    <n v="34"/>
    <n v="119"/>
    <n v="1"/>
    <n v="0.96666666666666667"/>
    <n v="6.5987749999999998"/>
    <n v="6.5987749999999998"/>
    <n v="785.25422500000002"/>
    <n v="12"/>
    <x v="2"/>
    <n v="0.11899999999999999"/>
  </r>
  <r>
    <s v="SAN GABRIEL"/>
    <x v="0"/>
    <x v="0"/>
    <x v="13"/>
    <s v="CREMA DE LECHE KIOSKO GALON"/>
    <x v="0"/>
    <n v="7711"/>
    <n v="1001"/>
    <x v="189"/>
    <x v="189"/>
    <n v="30"/>
    <n v="1"/>
    <n v="3.5"/>
    <n v="30"/>
    <d v="2024-11-19T00:00:00"/>
    <s v="martes"/>
    <d v="2024-11-14T00:00:00"/>
    <x v="41"/>
    <n v="16"/>
    <n v="0.53333333333333333"/>
    <n v="30"/>
    <n v="105"/>
    <n v="5"/>
    <n v="0.83333333333333337"/>
    <n v="6.5987749999999998"/>
    <n v="6.5987749999999998"/>
    <n v="692.87137499999994"/>
    <n v="8"/>
    <x v="2"/>
    <n v="0.105"/>
  </r>
  <r>
    <s v="SAN GABRIEL"/>
    <x v="0"/>
    <x v="0"/>
    <x v="13"/>
    <s v="CREMA DE LECHE KIOSKO GALON"/>
    <x v="0"/>
    <n v="7711"/>
    <n v="1001"/>
    <x v="189"/>
    <x v="189"/>
    <n v="66"/>
    <n v="1"/>
    <n v="3.5"/>
    <n v="30"/>
    <d v="2024-11-21T00:00:00"/>
    <s v="jueves"/>
    <d v="2024-11-20T00:00:00"/>
    <x v="19"/>
    <n v="22"/>
    <n v="0.73333333333333328"/>
    <n v="66"/>
    <n v="231"/>
    <n v="1"/>
    <n v="0.96666666666666667"/>
    <n v="6.5987749999999998"/>
    <n v="6.5987749999999998"/>
    <n v="1524.3170250000001"/>
    <n v="6"/>
    <x v="1"/>
    <n v="0.23100000000000001"/>
  </r>
  <r>
    <s v="SAN GABRIEL"/>
    <x v="0"/>
    <x v="0"/>
    <x v="0"/>
    <s v="QUESO FRESCO KIOSKO BLOQUE"/>
    <x v="0"/>
    <n v="7711"/>
    <n v="1001"/>
    <x v="190"/>
    <x v="190"/>
    <n v="270"/>
    <n v="1"/>
    <n v="0.45"/>
    <n v="40"/>
    <d v="2024-11-19T00:00:00"/>
    <s v="martes"/>
    <d v="2024-11-19T00:00:00"/>
    <x v="7"/>
    <n v="31"/>
    <n v="0.77500000000000002"/>
    <n v="103"/>
    <n v="46.35"/>
    <n v="0"/>
    <n v="1"/>
    <n v="2.1672899999999999"/>
    <n v="2.1672899999999999"/>
    <n v="100.4538915"/>
    <n v="8"/>
    <x v="0"/>
    <n v="4.6350000000000002E-2"/>
  </r>
  <r>
    <s v="SAN GABRIEL"/>
    <x v="0"/>
    <x v="0"/>
    <x v="0"/>
    <s v="QUESO FRESCO KIOSKO BLOQUE"/>
    <x v="0"/>
    <n v="7711"/>
    <n v="1001"/>
    <x v="190"/>
    <x v="190"/>
    <n v="45"/>
    <n v="1"/>
    <n v="0.45"/>
    <n v="40"/>
    <d v="2024-11-20T00:00:00"/>
    <s v="miércoles"/>
    <d v="2024-11-19T00:00:00"/>
    <x v="7"/>
    <n v="31"/>
    <n v="0.77500000000000002"/>
    <n v="45"/>
    <n v="20.25"/>
    <n v="1"/>
    <n v="0.97499999999999998"/>
    <n v="2.1672899999999999"/>
    <n v="2.1672899999999999"/>
    <n v="43.887622499999999"/>
    <n v="7"/>
    <x v="0"/>
    <n v="2.0250000000000001E-2"/>
  </r>
  <r>
    <s v="SAN GABRIEL"/>
    <x v="0"/>
    <x v="0"/>
    <x v="0"/>
    <s v="QUESO FRESCO KIOSKO BLOQUE"/>
    <x v="0"/>
    <n v="7711"/>
    <n v="1001"/>
    <x v="190"/>
    <x v="190"/>
    <n v="270"/>
    <n v="1"/>
    <n v="0.45"/>
    <n v="40"/>
    <d v="2024-11-21T00:00:00"/>
    <s v="jueves"/>
    <d v="2024-11-19T00:00:00"/>
    <x v="7"/>
    <n v="31"/>
    <n v="0.77500000000000002"/>
    <n v="270"/>
    <n v="121.5"/>
    <n v="2"/>
    <n v="0.95"/>
    <n v="2.1672899999999999"/>
    <n v="2.1672899999999999"/>
    <n v="263.32573500000001"/>
    <n v="6"/>
    <x v="0"/>
    <n v="0.1215"/>
  </r>
  <r>
    <s v="SAN GABRIEL"/>
    <x v="0"/>
    <x v="0"/>
    <x v="5"/>
    <s v="QUESO SEMIMADURO KIOSKO MIX CUBOS"/>
    <x v="0"/>
    <n v="7711"/>
    <n v="1001"/>
    <x v="191"/>
    <x v="191"/>
    <n v="370"/>
    <n v="1"/>
    <n v="0.15"/>
    <n v="60"/>
    <d v="2024-10-30T00:00:00"/>
    <s v="miércoles"/>
    <d v="2024-10-11T00:00:00"/>
    <x v="20"/>
    <n v="12"/>
    <n v="0.2"/>
    <n v="287"/>
    <n v="43.05"/>
    <n v="19"/>
    <n v="0.68333333333333335"/>
    <n v="2.68"/>
    <n v="2.68"/>
    <n v="115.374"/>
    <n v="28"/>
    <x v="2"/>
    <n v="4.3049999999999998E-2"/>
  </r>
  <r>
    <s v="SAN GABRIEL"/>
    <x v="0"/>
    <x v="0"/>
    <x v="5"/>
    <s v="QUESO SEMIMADURO KIOSKO MIX CUBOS"/>
    <x v="0"/>
    <n v="7711"/>
    <n v="1001"/>
    <x v="191"/>
    <x v="191"/>
    <n v="300"/>
    <n v="1"/>
    <n v="0.15"/>
    <n v="60"/>
    <d v="2024-11-19T00:00:00"/>
    <s v="martes"/>
    <d v="2024-11-15T00:00:00"/>
    <x v="52"/>
    <n v="47"/>
    <n v="0.78333333333333333"/>
    <n v="29"/>
    <n v="4.3499999999999996"/>
    <n v="4"/>
    <n v="0.93333333333333335"/>
    <n v="2.68"/>
    <n v="2.68"/>
    <n v="11.657999999999999"/>
    <n v="8"/>
    <x v="0"/>
    <n v="4.3499999999999997E-3"/>
  </r>
  <r>
    <s v="MACHACHI"/>
    <x v="1"/>
    <x v="1"/>
    <x v="3"/>
    <s v="BEBIDA DE YOGURT KIOSKO GALONERA"/>
    <x v="0"/>
    <n v="7711"/>
    <n v="1001"/>
    <x v="192"/>
    <x v="192"/>
    <n v="56"/>
    <n v="1"/>
    <n v="3.5"/>
    <n v="45"/>
    <d v="2024-11-16T00:00:00"/>
    <s v="sábado"/>
    <d v="2024-11-14T00:00:00"/>
    <x v="7"/>
    <n v="31"/>
    <n v="0.68888888888888888"/>
    <n v="56"/>
    <n v="196"/>
    <n v="2"/>
    <n v="0.9555555555555556"/>
    <n v="2.9109100000000003"/>
    <n v="2.9109100000000003"/>
    <n v="570.53836000000001"/>
    <n v="11"/>
    <x v="0"/>
    <n v="0.19600000000000001"/>
  </r>
  <r>
    <s v="MACHACHI"/>
    <x v="1"/>
    <x v="1"/>
    <x v="3"/>
    <s v="BEBIDA DE YOGURT KIOSKO GALONERA"/>
    <x v="0"/>
    <n v="7711"/>
    <n v="1001"/>
    <x v="192"/>
    <x v="192"/>
    <n v="104"/>
    <n v="1"/>
    <n v="3.5"/>
    <n v="45"/>
    <d v="2024-11-15T00:00:00"/>
    <s v="viernes"/>
    <d v="2024-11-14T00:00:00"/>
    <x v="7"/>
    <n v="31"/>
    <n v="0.68888888888888888"/>
    <n v="16"/>
    <n v="56"/>
    <n v="1"/>
    <n v="0.97777777777777775"/>
    <n v="2.9109100000000003"/>
    <n v="2.9109100000000003"/>
    <n v="163.01096000000001"/>
    <n v="12"/>
    <x v="0"/>
    <n v="5.6000000000000001E-2"/>
  </r>
  <r>
    <s v="MACHACHI"/>
    <x v="1"/>
    <x v="1"/>
    <x v="3"/>
    <s v="BEBIDA DE YOGURT KIOSKO GALONERA"/>
    <x v="0"/>
    <n v="7711"/>
    <n v="1001"/>
    <x v="192"/>
    <x v="192"/>
    <n v="104"/>
    <n v="1"/>
    <n v="3.5"/>
    <n v="45"/>
    <d v="2024-11-19T00:00:00"/>
    <s v="martes"/>
    <d v="2024-11-14T00:00:00"/>
    <x v="7"/>
    <n v="31"/>
    <n v="0.68888888888888888"/>
    <n v="104"/>
    <n v="364"/>
    <n v="5"/>
    <n v="0.88888888888888884"/>
    <n v="2.9109100000000003"/>
    <n v="2.9109100000000003"/>
    <n v="1059.5712400000002"/>
    <n v="8"/>
    <x v="0"/>
    <n v="0.36399999999999999"/>
  </r>
  <r>
    <s v="SAN GABRIEL"/>
    <x v="0"/>
    <x v="0"/>
    <x v="5"/>
    <s v="QUESO PARMESANO KIOSKO RALLADO"/>
    <x v="0"/>
    <n v="7711"/>
    <n v="1001"/>
    <x v="193"/>
    <x v="193"/>
    <n v="400"/>
    <n v="1"/>
    <n v="0.1"/>
    <n v="180"/>
    <d v="2024-11-15T00:00:00"/>
    <s v="viernes"/>
    <d v="2024-11-13T00:00:00"/>
    <x v="38"/>
    <n v="165"/>
    <n v="0.91666666666666663"/>
    <n v="400"/>
    <n v="40"/>
    <n v="2"/>
    <n v="0.98888888888888893"/>
    <n v="1.0460849999999999"/>
    <n v="1.0460849999999999"/>
    <n v="41.843399999999995"/>
    <n v="12"/>
    <x v="0"/>
    <n v="0.04"/>
  </r>
  <r>
    <s v="SAN GABRIEL"/>
    <x v="0"/>
    <x v="0"/>
    <x v="5"/>
    <s v="QUESO PARMESANO KIOSKO RALLADO"/>
    <x v="0"/>
    <n v="7711"/>
    <n v="1001"/>
    <x v="193"/>
    <x v="193"/>
    <n v="1100"/>
    <n v="1"/>
    <n v="0.1"/>
    <n v="180"/>
    <d v="2024-11-14T00:00:00"/>
    <s v="jueves"/>
    <d v="2024-11-12T00:00:00"/>
    <x v="33"/>
    <n v="164"/>
    <n v="0.91111111111111109"/>
    <n v="1018"/>
    <n v="101.80000000000001"/>
    <n v="2"/>
    <n v="0.98888888888888893"/>
    <n v="1.0460849999999999"/>
    <n v="1.0460849999999999"/>
    <n v="106.49145300000001"/>
    <n v="13"/>
    <x v="0"/>
    <n v="0.10180000000000002"/>
  </r>
  <r>
    <s v="SAN GABRIEL"/>
    <x v="0"/>
    <x v="0"/>
    <x v="5"/>
    <s v="QUESO PARMESANO KIOSKO RALLADO"/>
    <x v="0"/>
    <n v="7711"/>
    <n v="1001"/>
    <x v="193"/>
    <x v="193"/>
    <n v="400"/>
    <n v="1"/>
    <n v="0.1"/>
    <n v="180"/>
    <d v="2024-11-14T00:00:00"/>
    <s v="jueves"/>
    <d v="2024-11-13T00:00:00"/>
    <x v="38"/>
    <n v="165"/>
    <n v="0.91666666666666663"/>
    <n v="400"/>
    <n v="40"/>
    <n v="1"/>
    <n v="0.99444444444444446"/>
    <n v="1.0460849999999999"/>
    <n v="1.0460849999999999"/>
    <n v="41.843399999999995"/>
    <n v="13"/>
    <x v="0"/>
    <n v="0.04"/>
  </r>
  <r>
    <s v="SAN GABRIEL"/>
    <x v="0"/>
    <x v="0"/>
    <x v="5"/>
    <s v="QUESO PARMESANO KIOSKO RALLADO"/>
    <x v="0"/>
    <n v="7711"/>
    <n v="1001"/>
    <x v="193"/>
    <x v="193"/>
    <n v="500"/>
    <n v="1"/>
    <n v="0.1"/>
    <n v="180"/>
    <d v="2024-11-19T00:00:00"/>
    <s v="martes"/>
    <d v="2024-11-14T00:00:00"/>
    <x v="35"/>
    <n v="166"/>
    <n v="0.92222222222222228"/>
    <n v="503"/>
    <n v="50.300000000000004"/>
    <n v="5"/>
    <n v="0.97222222222222221"/>
    <n v="1.0460849999999999"/>
    <n v="1.0460849999999999"/>
    <n v="52.618075500000003"/>
    <n v="8"/>
    <x v="0"/>
    <n v="5.0300000000000004E-2"/>
  </r>
  <r>
    <s v="SAN GABRIEL"/>
    <x v="0"/>
    <x v="0"/>
    <x v="5"/>
    <s v="QUESO PARMESANO KIOSKO RALLADO"/>
    <x v="0"/>
    <n v="7711"/>
    <n v="1001"/>
    <x v="193"/>
    <x v="193"/>
    <n v="400"/>
    <n v="1"/>
    <n v="0.1"/>
    <n v="180"/>
    <d v="2024-11-20T00:00:00"/>
    <s v="miércoles"/>
    <d v="2024-11-15T00:00:00"/>
    <x v="42"/>
    <n v="167"/>
    <n v="0.92777777777777781"/>
    <n v="400"/>
    <n v="40"/>
    <n v="5"/>
    <n v="0.97222222222222221"/>
    <n v="1.0460849999999999"/>
    <n v="1.0460849999999999"/>
    <n v="41.843399999999995"/>
    <n v="7"/>
    <x v="0"/>
    <n v="0.04"/>
  </r>
  <r>
    <s v="SAN GABRIEL"/>
    <x v="0"/>
    <x v="0"/>
    <x v="5"/>
    <s v="QUESO PARMESANO KIOSKO RALLADO"/>
    <x v="0"/>
    <n v="7711"/>
    <n v="1001"/>
    <x v="193"/>
    <x v="193"/>
    <n v="400"/>
    <n v="1"/>
    <n v="0.1"/>
    <n v="180"/>
    <d v="2024-11-21T00:00:00"/>
    <s v="jueves"/>
    <d v="2024-11-15T00:00:00"/>
    <x v="42"/>
    <n v="167"/>
    <n v="0.92777777777777781"/>
    <n v="400"/>
    <n v="40"/>
    <n v="6"/>
    <n v="0.96666666666666667"/>
    <n v="1.0460849999999999"/>
    <n v="1.0460849999999999"/>
    <n v="41.843399999999995"/>
    <n v="6"/>
    <x v="0"/>
    <n v="0.04"/>
  </r>
  <r>
    <s v="SAN GABRIEL"/>
    <x v="0"/>
    <x v="0"/>
    <x v="5"/>
    <s v="QUESO PARMESANO KIOSKO RALLADO"/>
    <x v="0"/>
    <n v="7711"/>
    <n v="1001"/>
    <x v="193"/>
    <x v="193"/>
    <n v="0"/>
    <n v="1"/>
    <n v="0.1"/>
    <n v="180"/>
    <d v="2024-11-10T00:00:00"/>
    <s v="domingo"/>
    <d v="2024-11-10T00:00:00"/>
    <x v="83"/>
    <n v="162"/>
    <n v="0.9"/>
    <n v="2"/>
    <n v="0.2"/>
    <n v="0"/>
    <n v="1"/>
    <n v="1.0460849999999999"/>
    <n v="1.0460849999999999"/>
    <n v="0.20921699999999999"/>
    <n v="17"/>
    <x v="0"/>
    <n v="2.0000000000000001E-4"/>
  </r>
  <r>
    <s v="SAN GABRIEL"/>
    <x v="0"/>
    <x v="0"/>
    <x v="1"/>
    <s v="QUESO MOZARELLA PIZZA KIOSKO RALLADO"/>
    <x v="0"/>
    <n v="7711"/>
    <n v="1001"/>
    <x v="194"/>
    <x v="194"/>
    <n v="0"/>
    <n v="1"/>
    <n v="1.5"/>
    <n v="30"/>
    <d v="2024-10-15T00:00:00"/>
    <s v="martes"/>
    <d v="2025-03-14T00:00:00"/>
    <x v="63"/>
    <n v="136"/>
    <n v="4.5333333333333332"/>
    <n v="2"/>
    <n v="3"/>
    <n v="-150"/>
    <n v="6"/>
    <n v="9.0726650000000006"/>
    <n v="9.0726650000000006"/>
    <n v="27.217995000000002"/>
    <n v="43"/>
    <x v="0"/>
    <n v="3.0000000000000001E-3"/>
  </r>
  <r>
    <s v="SAN GABRIEL"/>
    <x v="0"/>
    <x v="0"/>
    <x v="1"/>
    <s v="QUESO MOZARELLA PIZZA KIOSKO RALLADO"/>
    <x v="0"/>
    <n v="7711"/>
    <n v="1001"/>
    <x v="194"/>
    <x v="194"/>
    <n v="79"/>
    <n v="1"/>
    <n v="1.5"/>
    <n v="30"/>
    <d v="2024-11-14T00:00:00"/>
    <s v="jueves"/>
    <d v="2024-11-13T00:00:00"/>
    <x v="25"/>
    <n v="15"/>
    <n v="0.5"/>
    <n v="60"/>
    <n v="90"/>
    <n v="1"/>
    <n v="0.96666666666666667"/>
    <n v="9.0726650000000006"/>
    <n v="9.0726650000000006"/>
    <n v="816.53985000000011"/>
    <n v="13"/>
    <x v="2"/>
    <n v="0.09"/>
  </r>
  <r>
    <s v="SAN GABRIEL"/>
    <x v="0"/>
    <x v="0"/>
    <x v="1"/>
    <s v="QUESO MOZARELLA PIZZA KIOSKO RALLADO"/>
    <x v="0"/>
    <n v="7711"/>
    <n v="1001"/>
    <x v="194"/>
    <x v="194"/>
    <n v="40"/>
    <n v="1"/>
    <n v="1.5"/>
    <n v="30"/>
    <d v="2024-11-19T00:00:00"/>
    <s v="martes"/>
    <d v="2024-11-17T00:00:00"/>
    <x v="21"/>
    <n v="19"/>
    <n v="0.6333333333333333"/>
    <n v="40"/>
    <n v="60"/>
    <n v="2"/>
    <n v="0.93333333333333335"/>
    <n v="9.0726650000000006"/>
    <n v="9.0726650000000006"/>
    <n v="544.35990000000004"/>
    <n v="8"/>
    <x v="2"/>
    <n v="0.06"/>
  </r>
  <r>
    <s v="SAN GABRIEL"/>
    <x v="0"/>
    <x v="0"/>
    <x v="1"/>
    <s v="QUESO MOZARELLA PIZZA KIOSKO RALLADO"/>
    <x v="0"/>
    <n v="7711"/>
    <n v="1001"/>
    <x v="194"/>
    <x v="194"/>
    <n v="15"/>
    <n v="1"/>
    <n v="1.5"/>
    <n v="30"/>
    <d v="2024-11-21T00:00:00"/>
    <s v="jueves"/>
    <d v="2024-11-20T00:00:00"/>
    <x v="19"/>
    <n v="22"/>
    <n v="0.73333333333333328"/>
    <n v="15"/>
    <n v="22.5"/>
    <n v="1"/>
    <n v="0.96666666666666667"/>
    <n v="9.0726650000000006"/>
    <n v="9.0726650000000006"/>
    <n v="204.13496250000003"/>
    <n v="6"/>
    <x v="1"/>
    <n v="2.2499999999999999E-2"/>
  </r>
  <r>
    <s v="SAN GABRIEL"/>
    <x v="0"/>
    <x v="0"/>
    <x v="5"/>
    <s v="QUESO HOLANDES KIOSKO TAJADO"/>
    <x v="0"/>
    <n v="7711"/>
    <n v="1001"/>
    <x v="195"/>
    <x v="195"/>
    <n v="36"/>
    <n v="1"/>
    <n v="0.5"/>
    <n v="90"/>
    <d v="2024-11-08T00:00:00"/>
    <s v="viernes"/>
    <d v="2024-11-07T00:00:00"/>
    <x v="58"/>
    <n v="69"/>
    <n v="0.76666666666666672"/>
    <n v="20"/>
    <n v="10"/>
    <n v="1"/>
    <n v="0.98888888888888893"/>
    <n v="4.3248100000000003"/>
    <n v="4.3248100000000003"/>
    <n v="43.248100000000001"/>
    <n v="19"/>
    <x v="0"/>
    <n v="0.01"/>
  </r>
  <r>
    <s v="SAN GABRIEL"/>
    <x v="0"/>
    <x v="0"/>
    <x v="5"/>
    <s v="QUESO HOLANDES KIOSKO TAJADO"/>
    <x v="0"/>
    <n v="7711"/>
    <n v="1001"/>
    <x v="195"/>
    <x v="195"/>
    <n v="12"/>
    <n v="1"/>
    <n v="0.5"/>
    <n v="90"/>
    <d v="2024-11-15T00:00:00"/>
    <s v="viernes"/>
    <d v="2024-11-14T00:00:00"/>
    <x v="23"/>
    <n v="76"/>
    <n v="0.84444444444444444"/>
    <n v="12"/>
    <n v="6"/>
    <n v="1"/>
    <n v="0.98888888888888893"/>
    <n v="4.3248100000000003"/>
    <n v="4.3248100000000003"/>
    <n v="25.948860000000003"/>
    <n v="12"/>
    <x v="0"/>
    <n v="6.0000000000000001E-3"/>
  </r>
  <r>
    <s v="SAN GABRIEL"/>
    <x v="0"/>
    <x v="0"/>
    <x v="5"/>
    <s v="QUESO SEMIMADURO KIOSKO MIX CUBOS"/>
    <x v="0"/>
    <n v="7711"/>
    <n v="1001"/>
    <x v="196"/>
    <x v="196"/>
    <n v="30"/>
    <n v="1"/>
    <n v="0.5"/>
    <n v="60"/>
    <d v="2024-11-05T00:00:00"/>
    <s v="martes"/>
    <d v="2024-10-30T00:00:00"/>
    <x v="7"/>
    <n v="31"/>
    <n v="0.51666666666666672"/>
    <n v="22"/>
    <n v="11"/>
    <n v="6"/>
    <n v="0.9"/>
    <n v="3.3455399999999997"/>
    <n v="3.3455399999999997"/>
    <n v="36.800939999999997"/>
    <n v="22"/>
    <x v="0"/>
    <n v="1.0999999999999999E-2"/>
  </r>
  <r>
    <s v="SAN GABRIEL"/>
    <x v="0"/>
    <x v="0"/>
    <x v="1"/>
    <s v="QUESO MOZARELLA SNACK"/>
    <x v="0"/>
    <n v="7711"/>
    <n v="1001"/>
    <x v="197"/>
    <x v="197"/>
    <n v="180"/>
    <n v="1"/>
    <n v="3.5000000000000003E-2"/>
    <n v="40"/>
    <d v="2024-11-20T00:00:00"/>
    <s v="miércoles"/>
    <d v="2024-11-14T00:00:00"/>
    <x v="6"/>
    <n v="26"/>
    <n v="0.65"/>
    <n v="89"/>
    <n v="3.1150000000000002"/>
    <n v="6"/>
    <n v="0.85"/>
    <n v="0.228385"/>
    <n v="0.228385"/>
    <n v="0.71141927500000002"/>
    <n v="7"/>
    <x v="1"/>
    <n v="3.1150000000000001E-3"/>
  </r>
  <r>
    <s v="SAN GABRIEL"/>
    <x v="0"/>
    <x v="0"/>
    <x v="5"/>
    <s v="QUESO JAVIERINO KIOSKO BLOQUE"/>
    <x v="0"/>
    <n v="7711"/>
    <n v="1001"/>
    <x v="198"/>
    <x v="198"/>
    <n v="20"/>
    <n v="1"/>
    <n v="0.32"/>
    <n v="60"/>
    <d v="2024-11-14T00:00:00"/>
    <s v="jueves"/>
    <d v="2024-12-07T00:00:00"/>
    <x v="58"/>
    <n v="69"/>
    <n v="1.1499999999999999"/>
    <n v="2"/>
    <n v="0.64"/>
    <n v="-23"/>
    <n v="1.3833333333333333"/>
    <n v="2.3771550000000001"/>
    <n v="2.3771550000000001"/>
    <n v="1.5213792000000002"/>
    <n v="13"/>
    <x v="0"/>
    <n v="6.4000000000000005E-4"/>
  </r>
  <r>
    <s v="MACHACHI"/>
    <x v="1"/>
    <x v="1"/>
    <x v="3"/>
    <s v="BEBIDA DE YOGURT KIOSKO GALONERA"/>
    <x v="0"/>
    <n v="7711"/>
    <n v="1001"/>
    <x v="199"/>
    <x v="199"/>
    <n v="152"/>
    <n v="1"/>
    <n v="3.5"/>
    <n v="45"/>
    <d v="2024-11-16T00:00:00"/>
    <s v="sábado"/>
    <d v="2024-11-14T00:00:00"/>
    <x v="7"/>
    <n v="31"/>
    <n v="0.68888888888888888"/>
    <n v="152"/>
    <n v="532"/>
    <n v="2"/>
    <n v="0.9555555555555556"/>
    <n v="2.91994"/>
    <n v="2.91994"/>
    <n v="1553.4080799999999"/>
    <n v="11"/>
    <x v="0"/>
    <n v="0.53200000000000003"/>
  </r>
  <r>
    <s v="MACHACHI"/>
    <x v="1"/>
    <x v="1"/>
    <x v="3"/>
    <s v="BEBIDA DE YOGURT KIOSKO GALONERA"/>
    <x v="0"/>
    <n v="7711"/>
    <n v="1001"/>
    <x v="199"/>
    <x v="199"/>
    <n v="200"/>
    <n v="1"/>
    <n v="3.5"/>
    <n v="45"/>
    <d v="2024-11-15T00:00:00"/>
    <s v="viernes"/>
    <d v="2024-11-14T00:00:00"/>
    <x v="7"/>
    <n v="31"/>
    <n v="0.68888888888888888"/>
    <n v="20"/>
    <n v="70"/>
    <n v="1"/>
    <n v="0.97777777777777775"/>
    <n v="2.91994"/>
    <n v="2.91994"/>
    <n v="204.39580000000001"/>
    <n v="12"/>
    <x v="0"/>
    <n v="7.0000000000000007E-2"/>
  </r>
  <r>
    <s v="MACHACHI"/>
    <x v="1"/>
    <x v="1"/>
    <x v="3"/>
    <s v="BEBIDA DE YOGURT KIOSKO GALONERA"/>
    <x v="0"/>
    <n v="7711"/>
    <n v="1001"/>
    <x v="199"/>
    <x v="199"/>
    <n v="200"/>
    <n v="1"/>
    <n v="3.5"/>
    <n v="45"/>
    <d v="2024-11-19T00:00:00"/>
    <s v="martes"/>
    <d v="2024-11-15T00:00:00"/>
    <x v="0"/>
    <n v="32"/>
    <n v="0.71111111111111114"/>
    <n v="200"/>
    <n v="700"/>
    <n v="4"/>
    <n v="0.91111111111111109"/>
    <n v="2.91994"/>
    <n v="2.91994"/>
    <n v="2043.9580000000001"/>
    <n v="8"/>
    <x v="0"/>
    <n v="0.7"/>
  </r>
  <r>
    <s v="PROMOCION"/>
    <x v="3"/>
    <x v="0"/>
    <x v="16"/>
    <s v="ARMADOS"/>
    <x v="0"/>
    <n v="7711"/>
    <n v="1001"/>
    <x v="200"/>
    <x v="200"/>
    <n v="400"/>
    <n v="1"/>
    <n v="0.6"/>
    <n v="60"/>
    <d v="2024-11-08T00:00:00"/>
    <s v="viernes"/>
    <d v="2024-11-07T00:00:00"/>
    <x v="50"/>
    <n v="39"/>
    <n v="0.65"/>
    <n v="65"/>
    <n v="39"/>
    <n v="1"/>
    <n v="0.98333333333333328"/>
    <n v="3.4317950000000002"/>
    <n v="3.4317950000000002"/>
    <n v="133.84000500000002"/>
    <n v="19"/>
    <x v="0"/>
    <n v="3.9E-2"/>
  </r>
  <r>
    <s v="MACHACHI"/>
    <x v="1"/>
    <x v="1"/>
    <x v="4"/>
    <s v="YOGURT FINESSE VASO"/>
    <x v="0"/>
    <n v="7711"/>
    <n v="1001"/>
    <x v="201"/>
    <x v="201"/>
    <n v="180"/>
    <n v="1"/>
    <n v="0.16500000000000001"/>
    <n v="45"/>
    <d v="2024-11-08T00:00:00"/>
    <s v="viernes"/>
    <d v="2024-11-08T00:00:00"/>
    <x v="9"/>
    <n v="25"/>
    <n v="0.55555555555555558"/>
    <n v="52"/>
    <n v="8.58"/>
    <n v="0"/>
    <n v="1"/>
    <n v="0.35993999999999998"/>
    <n v="0.35993999999999998"/>
    <n v="3.0882852000000001"/>
    <n v="19"/>
    <x v="1"/>
    <n v="8.5800000000000008E-3"/>
  </r>
  <r>
    <s v="MACHACHI"/>
    <x v="1"/>
    <x v="1"/>
    <x v="4"/>
    <s v="YOGURT FINESSE VASO"/>
    <x v="0"/>
    <n v="7711"/>
    <n v="1001"/>
    <x v="202"/>
    <x v="202"/>
    <n v="120"/>
    <n v="1"/>
    <n v="0.16500000000000001"/>
    <n v="45"/>
    <d v="2024-11-21T00:00:00"/>
    <s v="jueves"/>
    <d v="2024-11-08T00:00:00"/>
    <x v="9"/>
    <n v="25"/>
    <n v="0.55555555555555558"/>
    <n v="39"/>
    <n v="6.4350000000000005"/>
    <n v="13"/>
    <n v="0.71111111111111114"/>
    <n v="0.36751"/>
    <n v="0.36751"/>
    <n v="2.3649268500000002"/>
    <n v="6"/>
    <x v="1"/>
    <n v="6.4350000000000006E-3"/>
  </r>
  <r>
    <s v="MULTIEMPAQUE_MACH"/>
    <x v="1"/>
    <x v="1"/>
    <x v="2"/>
    <s v="BON YURT REGULAR"/>
    <x v="0"/>
    <n v="7711"/>
    <n v="1001"/>
    <x v="203"/>
    <x v="203"/>
    <n v="6"/>
    <n v="1"/>
    <n v="0.66500000000000004"/>
    <n v="45"/>
    <d v="2024-11-12T00:00:00"/>
    <s v="martes"/>
    <d v="2024-11-01T00:00:00"/>
    <x v="4"/>
    <n v="18"/>
    <n v="0.4"/>
    <n v="6"/>
    <n v="3.99"/>
    <n v="11"/>
    <n v="0.75555555555555554"/>
    <n v="1.5265749999999998"/>
    <n v="1.5265749999999998"/>
    <n v="6.0910342499999999"/>
    <n v="15"/>
    <x v="2"/>
    <n v="3.9900000000000005E-3"/>
  </r>
  <r>
    <s v="SAN GABRIEL"/>
    <x v="0"/>
    <x v="0"/>
    <x v="5"/>
    <s v="QUESO MOZARELLA PIZZA KIOSKO TAJADO"/>
    <x v="0"/>
    <n v="7711"/>
    <n v="1001"/>
    <x v="204"/>
    <x v="204"/>
    <n v="50"/>
    <n v="1"/>
    <n v="1"/>
    <n v="45"/>
    <d v="2024-11-13T00:00:00"/>
    <s v="miércoles"/>
    <d v="2024-10-28T00:00:00"/>
    <x v="80"/>
    <n v="14"/>
    <n v="0.31111111111111112"/>
    <n v="2"/>
    <n v="2"/>
    <n v="16"/>
    <n v="0.64444444444444438"/>
    <n v="6.5915400000000002"/>
    <n v="6.5915400000000002"/>
    <n v="13.18308"/>
    <n v="14"/>
    <x v="2"/>
    <n v="2E-3"/>
  </r>
  <r>
    <s v="SAN GABRIEL"/>
    <x v="0"/>
    <x v="0"/>
    <x v="5"/>
    <s v="QUESO MOZARELLA PIZZA KIOSKO TAJADO"/>
    <x v="0"/>
    <n v="7711"/>
    <n v="1001"/>
    <x v="204"/>
    <x v="204"/>
    <n v="20"/>
    <n v="1"/>
    <n v="1"/>
    <n v="45"/>
    <d v="2024-11-20T00:00:00"/>
    <s v="miércoles"/>
    <d v="2024-11-04T00:00:00"/>
    <x v="45"/>
    <n v="21"/>
    <n v="0.46666666666666667"/>
    <n v="20"/>
    <n v="20"/>
    <n v="16"/>
    <n v="0.64444444444444438"/>
    <n v="6.5915400000000002"/>
    <n v="6.5915400000000002"/>
    <n v="131.83080000000001"/>
    <n v="7"/>
    <x v="2"/>
    <n v="0.02"/>
  </r>
  <r>
    <s v="SAN GABRIEL"/>
    <x v="0"/>
    <x v="0"/>
    <x v="5"/>
    <s v="QUESO SANDUCHE KIOSKO TAJADO"/>
    <x v="0"/>
    <n v="7711"/>
    <n v="1001"/>
    <x v="205"/>
    <x v="205"/>
    <n v="120"/>
    <n v="1"/>
    <n v="7.4999999999999997E-2"/>
    <n v="90"/>
    <d v="2024-11-13T00:00:00"/>
    <s v="miércoles"/>
    <d v="2024-11-08T00:00:00"/>
    <x v="17"/>
    <n v="70"/>
    <n v="0.77777777777777779"/>
    <n v="30"/>
    <n v="2.25"/>
    <n v="5"/>
    <n v="0.94444444444444442"/>
    <n v="0.60429999999999995"/>
    <n v="0.60429999999999995"/>
    <n v="1.359675"/>
    <n v="14"/>
    <x v="0"/>
    <n v="2.2499999999999998E-3"/>
  </r>
  <r>
    <s v="SAN GABRIEL"/>
    <x v="0"/>
    <x v="0"/>
    <x v="5"/>
    <s v="QUESO SANDUCHE KIOSKO TAJADO"/>
    <x v="0"/>
    <n v="7711"/>
    <n v="1001"/>
    <x v="205"/>
    <x v="205"/>
    <n v="60"/>
    <n v="1"/>
    <n v="7.4999999999999997E-2"/>
    <n v="90"/>
    <d v="2024-11-21T00:00:00"/>
    <s v="jueves"/>
    <d v="2024-11-12T00:00:00"/>
    <x v="18"/>
    <n v="74"/>
    <n v="0.82222222222222219"/>
    <n v="60"/>
    <n v="4.5"/>
    <n v="9"/>
    <n v="0.9"/>
    <n v="0.60429999999999995"/>
    <n v="0.60429999999999995"/>
    <n v="2.7193499999999999"/>
    <n v="6"/>
    <x v="0"/>
    <n v="4.4999999999999997E-3"/>
  </r>
  <r>
    <s v="SAN GABRIEL"/>
    <x v="0"/>
    <x v="0"/>
    <x v="13"/>
    <s v="CREMA DE LECHE KIOSKO FAMILIAR"/>
    <x v="0"/>
    <n v="7711"/>
    <n v="1001"/>
    <x v="206"/>
    <x v="206"/>
    <n v="210"/>
    <n v="1"/>
    <n v="0.2"/>
    <n v="60"/>
    <d v="2024-11-19T00:00:00"/>
    <s v="martes"/>
    <d v="2024-11-15T00:00:00"/>
    <x v="52"/>
    <n v="47"/>
    <n v="0.78333333333333333"/>
    <n v="17"/>
    <n v="3.4000000000000004"/>
    <n v="4"/>
    <n v="0.93333333333333335"/>
    <n v="0.45100499999999999"/>
    <n v="0.45100499999999999"/>
    <n v="1.533417"/>
    <n v="8"/>
    <x v="0"/>
    <n v="3.4000000000000002E-3"/>
  </r>
  <r>
    <s v="SAN GABRIEL"/>
    <x v="0"/>
    <x v="0"/>
    <x v="13"/>
    <s v="CREMA DE LECHE KIOSKO FAMILIAR"/>
    <x v="0"/>
    <n v="7711"/>
    <n v="1001"/>
    <x v="206"/>
    <x v="206"/>
    <n v="140"/>
    <n v="1"/>
    <n v="0.2"/>
    <n v="60"/>
    <d v="2024-11-20T00:00:00"/>
    <s v="miércoles"/>
    <d v="2024-11-15T00:00:00"/>
    <x v="52"/>
    <n v="47"/>
    <n v="0.78333333333333333"/>
    <n v="140"/>
    <n v="28"/>
    <n v="5"/>
    <n v="0.91666666666666663"/>
    <n v="0.45100499999999999"/>
    <n v="0.45100499999999999"/>
    <n v="12.62814"/>
    <n v="7"/>
    <x v="0"/>
    <n v="2.8000000000000001E-2"/>
  </r>
  <r>
    <s v="SAN GABRIEL"/>
    <x v="0"/>
    <x v="0"/>
    <x v="13"/>
    <s v="CREMA DE LECHE KIOSKO FAMILIAR"/>
    <x v="0"/>
    <n v="7711"/>
    <n v="1001"/>
    <x v="206"/>
    <x v="206"/>
    <n v="70"/>
    <n v="1"/>
    <n v="0.2"/>
    <n v="60"/>
    <d v="2024-11-21T00:00:00"/>
    <s v="jueves"/>
    <d v="2024-11-15T00:00:00"/>
    <x v="52"/>
    <n v="47"/>
    <n v="0.78333333333333333"/>
    <n v="70"/>
    <n v="14"/>
    <n v="6"/>
    <n v="0.9"/>
    <n v="0.45100499999999999"/>
    <n v="0.45100499999999999"/>
    <n v="6.3140700000000001"/>
    <n v="6"/>
    <x v="0"/>
    <n v="1.4E-2"/>
  </r>
  <r>
    <s v="SAN GABRIEL"/>
    <x v="0"/>
    <x v="0"/>
    <x v="1"/>
    <s v="QUESO MOZARELLA SNACK"/>
    <x v="0"/>
    <n v="7711"/>
    <n v="1001"/>
    <x v="207"/>
    <x v="207"/>
    <n v="5"/>
    <n v="1"/>
    <n v="1.4"/>
    <n v="40"/>
    <d v="2024-11-14T00:00:00"/>
    <s v="jueves"/>
    <d v="2024-11-13T00:00:00"/>
    <x v="9"/>
    <n v="25"/>
    <n v="0.625"/>
    <n v="3"/>
    <n v="4.1999999999999993"/>
    <n v="1"/>
    <n v="0.97499999999999998"/>
    <n v="7.3991449999999999"/>
    <n v="7.3991449999999999"/>
    <n v="31.076408999999995"/>
    <n v="13"/>
    <x v="1"/>
    <n v="4.1999999999999989E-3"/>
  </r>
  <r>
    <s v="SAN GABRIEL"/>
    <x v="0"/>
    <x v="0"/>
    <x v="1"/>
    <s v="QUESO MOZARELLA SNACK"/>
    <x v="0"/>
    <n v="7711"/>
    <n v="1001"/>
    <x v="207"/>
    <x v="207"/>
    <n v="5"/>
    <n v="1"/>
    <n v="1.4"/>
    <n v="40"/>
    <d v="2024-11-21T00:00:00"/>
    <s v="jueves"/>
    <d v="2024-11-20T00:00:00"/>
    <x v="0"/>
    <n v="32"/>
    <n v="0.8"/>
    <n v="5"/>
    <n v="7"/>
    <n v="1"/>
    <n v="0.97499999999999998"/>
    <n v="7.3991449999999999"/>
    <n v="7.3991449999999999"/>
    <n v="51.794015000000002"/>
    <n v="6"/>
    <x v="0"/>
    <n v="7.0000000000000001E-3"/>
  </r>
  <r>
    <s v="SAN GABRIEL"/>
    <x v="0"/>
    <x v="0"/>
    <x v="14"/>
    <s v="MANTEQUILLA INSTITUCIONAL"/>
    <x v="0"/>
    <n v="7711"/>
    <n v="1001"/>
    <x v="208"/>
    <x v="208"/>
    <n v="756"/>
    <n v="1"/>
    <n v="1"/>
    <n v="40"/>
    <d v="2024-11-20T00:00:00"/>
    <s v="miércoles"/>
    <d v="2024-11-19T00:00:00"/>
    <x v="7"/>
    <n v="31"/>
    <n v="0.77500000000000002"/>
    <n v="41"/>
    <n v="41"/>
    <n v="1"/>
    <n v="0.97499999999999998"/>
    <n v="4.1816800000000001"/>
    <n v="4.1816800000000001"/>
    <n v="171.44888"/>
    <n v="7"/>
    <x v="0"/>
    <n v="4.1000000000000002E-2"/>
  </r>
  <r>
    <s v="SAN GABRIEL"/>
    <x v="0"/>
    <x v="0"/>
    <x v="14"/>
    <s v="MANTEQUILLA INSTITUCIONAL"/>
    <x v="0"/>
    <n v="7711"/>
    <n v="1001"/>
    <x v="208"/>
    <x v="208"/>
    <n v="224"/>
    <n v="1"/>
    <n v="1"/>
    <n v="40"/>
    <d v="2024-11-21T00:00:00"/>
    <s v="jueves"/>
    <d v="2024-11-19T00:00:00"/>
    <x v="7"/>
    <n v="31"/>
    <n v="0.77500000000000002"/>
    <n v="224"/>
    <n v="224"/>
    <n v="2"/>
    <n v="0.95"/>
    <n v="4.1816800000000001"/>
    <n v="4.1816800000000001"/>
    <n v="936.69632000000001"/>
    <n v="6"/>
    <x v="0"/>
    <n v="0.224"/>
  </r>
  <r>
    <s v="SAN GABRIEL"/>
    <x v="0"/>
    <x v="0"/>
    <x v="14"/>
    <s v="MANTEQUILLA INSTITUCIONAL"/>
    <x v="0"/>
    <n v="7711"/>
    <n v="1001"/>
    <x v="209"/>
    <x v="209"/>
    <n v="160"/>
    <n v="1"/>
    <n v="1"/>
    <n v="40"/>
    <d v="2024-11-14T00:00:00"/>
    <s v="jueves"/>
    <d v="2024-11-12T00:00:00"/>
    <x v="1"/>
    <n v="24"/>
    <n v="0.6"/>
    <n v="160"/>
    <n v="160"/>
    <n v="2"/>
    <n v="0.95"/>
    <n v="4.3502849999999995"/>
    <n v="4.3502849999999995"/>
    <n v="696.04559999999992"/>
    <n v="13"/>
    <x v="1"/>
    <n v="0.16"/>
  </r>
  <r>
    <s v="SAN GABRIEL"/>
    <x v="0"/>
    <x v="0"/>
    <x v="0"/>
    <s v="QUESO AMASADO KIOSKO BLOQUE"/>
    <x v="0"/>
    <n v="7711"/>
    <n v="1001"/>
    <x v="210"/>
    <x v="210"/>
    <n v="45"/>
    <n v="1"/>
    <n v="0.45"/>
    <n v="35"/>
    <d v="2024-11-19T00:00:00"/>
    <s v="martes"/>
    <d v="2024-11-16T00:00:00"/>
    <x v="11"/>
    <n v="23"/>
    <n v="0.65714285714285714"/>
    <n v="26"/>
    <n v="11.700000000000001"/>
    <n v="3"/>
    <n v="0.91428571428571426"/>
    <n v="1.2293700000000001"/>
    <n v="1.2293700000000001"/>
    <n v="14.383629000000003"/>
    <n v="8"/>
    <x v="1"/>
    <n v="1.17E-2"/>
  </r>
  <r>
    <s v="SAN GABRIEL"/>
    <x v="0"/>
    <x v="0"/>
    <x v="0"/>
    <s v="QUESO AMASADO KIOSKO BLOQUE"/>
    <x v="0"/>
    <n v="7711"/>
    <n v="1001"/>
    <x v="210"/>
    <x v="210"/>
    <n v="45"/>
    <n v="1"/>
    <n v="0.45"/>
    <n v="35"/>
    <d v="2024-11-21T00:00:00"/>
    <s v="jueves"/>
    <d v="2024-11-16T00:00:00"/>
    <x v="11"/>
    <n v="23"/>
    <n v="0.65714285714285714"/>
    <n v="45"/>
    <n v="20.25"/>
    <n v="5"/>
    <n v="0.85714285714285721"/>
    <n v="1.2293700000000001"/>
    <n v="1.2293700000000001"/>
    <n v="24.894742500000003"/>
    <n v="6"/>
    <x v="1"/>
    <n v="2.0250000000000001E-2"/>
  </r>
  <r>
    <s v="MACHACHI"/>
    <x v="1"/>
    <x v="1"/>
    <x v="3"/>
    <s v="GRIEGO SABORIZADO"/>
    <x v="0"/>
    <n v="7711"/>
    <n v="1001"/>
    <x v="211"/>
    <x v="211"/>
    <n v="720"/>
    <n v="1"/>
    <n v="0.12"/>
    <n v="45"/>
    <d v="2024-11-16T00:00:00"/>
    <s v="sábado"/>
    <d v="2024-11-15T00:00:00"/>
    <x v="0"/>
    <n v="32"/>
    <n v="0.71111111111111114"/>
    <n v="200"/>
    <n v="24"/>
    <n v="1"/>
    <n v="0.97777777777777775"/>
    <n v="0.32286000000000004"/>
    <n v="0.32286000000000004"/>
    <n v="7.7486400000000009"/>
    <n v="11"/>
    <x v="0"/>
    <n v="2.4E-2"/>
  </r>
  <r>
    <s v="MACHACHI"/>
    <x v="1"/>
    <x v="1"/>
    <x v="3"/>
    <s v="GRIEGO SABORIZADO"/>
    <x v="0"/>
    <n v="7711"/>
    <n v="1001"/>
    <x v="211"/>
    <x v="211"/>
    <n v="120"/>
    <n v="1"/>
    <n v="0.12"/>
    <n v="45"/>
    <d v="2024-11-19T00:00:00"/>
    <s v="martes"/>
    <d v="2024-11-15T00:00:00"/>
    <x v="0"/>
    <n v="32"/>
    <n v="0.71111111111111114"/>
    <n v="120"/>
    <n v="14.399999999999999"/>
    <n v="4"/>
    <n v="0.91111111111111109"/>
    <n v="0.32286000000000004"/>
    <n v="0.32286000000000004"/>
    <n v="4.649184"/>
    <n v="8"/>
    <x v="0"/>
    <n v="1.4399999999999998E-2"/>
  </r>
  <r>
    <s v="SAN GABRIEL"/>
    <x v="0"/>
    <x v="0"/>
    <x v="5"/>
    <s v="QUESO MIX KIOSKO TAJADO"/>
    <x v="0"/>
    <n v="7711"/>
    <n v="1001"/>
    <x v="212"/>
    <x v="212"/>
    <n v="10"/>
    <n v="1"/>
    <n v="0.4"/>
    <n v="90"/>
    <d v="2024-11-19T00:00:00"/>
    <s v="martes"/>
    <d v="2024-11-07T00:00:00"/>
    <x v="58"/>
    <n v="69"/>
    <n v="0.76666666666666672"/>
    <n v="10"/>
    <n v="4"/>
    <n v="12"/>
    <n v="0.8666666666666667"/>
    <n v="3.1343899999999998"/>
    <n v="3.1343899999999998"/>
    <n v="12.537559999999999"/>
    <n v="8"/>
    <x v="0"/>
    <n v="4.0000000000000001E-3"/>
  </r>
  <r>
    <s v="SAN GABRIEL"/>
    <x v="0"/>
    <x v="0"/>
    <x v="1"/>
    <s v="QUESO MOZARELLA PIZZA KIOSKO TAJADO"/>
    <x v="0"/>
    <n v="7711"/>
    <n v="1001"/>
    <x v="213"/>
    <x v="213"/>
    <n v="90"/>
    <n v="1"/>
    <n v="7.4999999999999997E-2"/>
    <n v="30"/>
    <d v="2024-11-19T00:00:00"/>
    <s v="martes"/>
    <d v="2024-11-12T00:00:00"/>
    <x v="80"/>
    <n v="14"/>
    <n v="0.46666666666666667"/>
    <n v="90"/>
    <n v="6.75"/>
    <n v="7"/>
    <n v="0.76666666666666661"/>
    <n v="0.62214499999999995"/>
    <n v="0.62214499999999995"/>
    <n v="4.1994787499999999"/>
    <n v="8"/>
    <x v="2"/>
    <n v="6.7499999999999999E-3"/>
  </r>
  <r>
    <s v="SAN GABRIEL"/>
    <x v="0"/>
    <x v="0"/>
    <x v="1"/>
    <s v="QUESO MOZARELLA PIZZA KIOSKO RALLADO"/>
    <x v="0"/>
    <n v="7711"/>
    <n v="1001"/>
    <x v="214"/>
    <x v="214"/>
    <n v="60"/>
    <n v="1"/>
    <n v="0.3"/>
    <n v="30"/>
    <d v="2024-11-20T00:00:00"/>
    <s v="miércoles"/>
    <d v="2024-11-19T00:00:00"/>
    <x v="45"/>
    <n v="21"/>
    <n v="0.7"/>
    <n v="38"/>
    <n v="11.4"/>
    <n v="1"/>
    <n v="0.96666666666666667"/>
    <n v="2.0200649999999998"/>
    <n v="2.0200649999999998"/>
    <n v="23.028740999999997"/>
    <n v="7"/>
    <x v="2"/>
    <n v="1.14E-2"/>
  </r>
  <r>
    <s v="SAN GABRIEL"/>
    <x v="0"/>
    <x v="0"/>
    <x v="1"/>
    <s v="QUESO MOZARELLA PIZZA KIOSKO RALLADO"/>
    <x v="0"/>
    <n v="7711"/>
    <n v="1001"/>
    <x v="214"/>
    <x v="214"/>
    <n v="30"/>
    <n v="1"/>
    <n v="0.3"/>
    <n v="30"/>
    <d v="2024-11-21T00:00:00"/>
    <s v="jueves"/>
    <d v="2024-11-19T00:00:00"/>
    <x v="45"/>
    <n v="21"/>
    <n v="0.7"/>
    <n v="30"/>
    <n v="9"/>
    <n v="2"/>
    <n v="0.93333333333333335"/>
    <n v="2.0200649999999998"/>
    <n v="2.0200649999999998"/>
    <n v="18.180584999999997"/>
    <n v="6"/>
    <x v="2"/>
    <n v="8.9999999999999993E-3"/>
  </r>
  <r>
    <s v="COLOMBIA"/>
    <x v="2"/>
    <x v="1"/>
    <x v="12"/>
    <s v="ALPINETTE"/>
    <x v="0"/>
    <n v="7711"/>
    <n v="1001"/>
    <x v="215"/>
    <x v="215"/>
    <n v="750"/>
    <n v="1"/>
    <n v="0.14000000000000001"/>
    <n v="60"/>
    <d v="2024-11-12T00:00:00"/>
    <s v="martes"/>
    <d v="2024-10-25T00:00:00"/>
    <x v="6"/>
    <n v="26"/>
    <n v="0.43333333333333335"/>
    <n v="15"/>
    <n v="2.1"/>
    <n v="18"/>
    <n v="0.7"/>
    <n v="0.48814500000000005"/>
    <n v="0.48814500000000005"/>
    <n v="1.0251045000000001"/>
    <n v="15"/>
    <x v="1"/>
    <n v="2.1000000000000003E-3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4"/>
    <x v="2"/>
    <x v="17"/>
    <s v=""/>
    <x v="1"/>
    <s v=""/>
    <s v=""/>
    <x v="216"/>
    <x v="216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MULTIEMPAQUE"/>
    <x v="2"/>
    <x v="1"/>
    <x v="12"/>
    <s v="ALPINETTE"/>
    <x v="2"/>
    <n v="7701"/>
    <n v="1080"/>
    <x v="182"/>
    <x v="182"/>
    <n v="65"/>
    <n v="1"/>
    <n v="0.56000000000000005"/>
    <n v="60"/>
    <d v="2024-11-05T00:00:00"/>
    <s v="martes"/>
    <d v="2024-11-05T00:00:00"/>
    <x v="82"/>
    <n v="37"/>
    <n v="0.6166666666666667"/>
    <n v="65"/>
    <n v="36.400000000000006"/>
    <s v=""/>
    <s v=""/>
    <n v="2.0278900000000002"/>
    <n v="2.0278900000000002"/>
    <n v="131.81285000000003"/>
    <n v="22"/>
    <x v="0"/>
    <n v="3.6400000000000009E-2"/>
  </r>
  <r>
    <s v="SAN GABRIEL"/>
    <x v="0"/>
    <x v="0"/>
    <x v="1"/>
    <s v="QUESO MOZARELLA KIOSKO BLOQUE"/>
    <x v="2"/>
    <n v="7701"/>
    <n v="1080"/>
    <x v="25"/>
    <x v="25"/>
    <n v="546"/>
    <n v="1"/>
    <n v="0.9"/>
    <n v="40"/>
    <d v="2024-11-22T00:00:00"/>
    <s v="viernes"/>
    <d v="2024-11-22T00:00:00"/>
    <x v="85"/>
    <n v="34"/>
    <n v="0.85"/>
    <n v="546"/>
    <n v="491.40000000000003"/>
    <n v="0"/>
    <n v="1"/>
    <n v="4.1744400000000006"/>
    <n v="4.1744400000000006"/>
    <n v="2279.2442400000004"/>
    <n v="5"/>
    <x v="0"/>
    <n v="0.49140000000000006"/>
  </r>
  <r>
    <s v="SAN GABRIEL"/>
    <x v="0"/>
    <x v="0"/>
    <x v="1"/>
    <s v="QUESO MOZARELLA KIOSKO BLOQUE"/>
    <x v="2"/>
    <n v="7701"/>
    <n v="1080"/>
    <x v="25"/>
    <x v="25"/>
    <n v="109"/>
    <n v="1"/>
    <n v="0.9"/>
    <n v="40"/>
    <d v="2024-11-20T00:00:00"/>
    <s v="miércoles"/>
    <d v="2024-11-20T00:00:00"/>
    <x v="0"/>
    <n v="32"/>
    <n v="0.8"/>
    <n v="109"/>
    <n v="98.100000000000009"/>
    <n v="0"/>
    <n v="1"/>
    <n v="4.1744400000000006"/>
    <n v="4.1744400000000006"/>
    <n v="455.01396000000005"/>
    <n v="7"/>
    <x v="0"/>
    <n v="9.8100000000000007E-2"/>
  </r>
  <r>
    <s v="SAN GABRIEL"/>
    <x v="0"/>
    <x v="0"/>
    <x v="1"/>
    <s v="QUESO MOZARELLA KIOSKO BLOQUE"/>
    <x v="2"/>
    <n v="7701"/>
    <n v="1080"/>
    <x v="93"/>
    <x v="93"/>
    <n v="156"/>
    <n v="1"/>
    <n v="0.7"/>
    <n v="40"/>
    <d v="2024-11-21T00:00:00"/>
    <s v="jueves"/>
    <d v="2024-11-21T00:00:00"/>
    <x v="3"/>
    <n v="33"/>
    <n v="0.82499999999999996"/>
    <n v="156"/>
    <n v="109.19999999999999"/>
    <n v="0"/>
    <n v="1"/>
    <n v="3.26932"/>
    <n v="3.26932"/>
    <n v="510.01391999999998"/>
    <n v="6"/>
    <x v="0"/>
    <n v="0.10919999999999999"/>
  </r>
  <r>
    <s v="SAN GABRIEL"/>
    <x v="0"/>
    <x v="0"/>
    <x v="1"/>
    <s v="QUESO MOZARELLA KIOSKO BLOQUE"/>
    <x v="2"/>
    <n v="7701"/>
    <n v="1080"/>
    <x v="93"/>
    <x v="93"/>
    <n v="486"/>
    <n v="1"/>
    <n v="0.7"/>
    <n v="40"/>
    <d v="2024-11-22T00:00:00"/>
    <s v="viernes"/>
    <d v="2024-11-22T00:00:00"/>
    <x v="85"/>
    <n v="34"/>
    <n v="0.85"/>
    <n v="486"/>
    <n v="340.2"/>
    <n v="0"/>
    <n v="1"/>
    <n v="3.26932"/>
    <n v="3.26932"/>
    <n v="1588.8895199999999"/>
    <n v="5"/>
    <x v="0"/>
    <n v="0.3402"/>
  </r>
  <r>
    <s v="SAN GABRIEL"/>
    <x v="0"/>
    <x v="0"/>
    <x v="1"/>
    <s v="QUESO MOZARELLA LIGHT KIOSKO BLOQUE"/>
    <x v="2"/>
    <n v="7701"/>
    <n v="1080"/>
    <x v="75"/>
    <x v="75"/>
    <n v="1080"/>
    <n v="1"/>
    <n v="0.2"/>
    <n v="40"/>
    <d v="2024-11-21T00:00:00"/>
    <s v="jueves"/>
    <d v="2024-11-21T00:00:00"/>
    <x v="3"/>
    <n v="33"/>
    <n v="0.82499999999999996"/>
    <n v="1080"/>
    <n v="216"/>
    <n v="0"/>
    <n v="1"/>
    <n v="1.11269"/>
    <n v="1.11269"/>
    <n v="1201.7051999999999"/>
    <n v="6"/>
    <x v="0"/>
    <n v="0.216"/>
  </r>
  <r>
    <s v="SAN GABRIEL"/>
    <x v="0"/>
    <x v="0"/>
    <x v="1"/>
    <s v="QUESO MOZARELLA LIGHT KIOSKO BLOQUE"/>
    <x v="2"/>
    <n v="7701"/>
    <n v="1080"/>
    <x v="75"/>
    <x v="75"/>
    <n v="158"/>
    <n v="1"/>
    <n v="0.2"/>
    <n v="40"/>
    <d v="2024-11-19T00:00:00"/>
    <s v="martes"/>
    <d v="2024-11-19T00:00:00"/>
    <x v="7"/>
    <n v="31"/>
    <n v="0.77500000000000002"/>
    <n v="158"/>
    <n v="31.6"/>
    <n v="0"/>
    <n v="1"/>
    <n v="1.11269"/>
    <n v="1.11269"/>
    <n v="175.80501999999998"/>
    <n v="8"/>
    <x v="0"/>
    <n v="3.1600000000000003E-2"/>
  </r>
  <r>
    <s v="SAN GABRIEL"/>
    <x v="0"/>
    <x v="0"/>
    <x v="1"/>
    <s v="QUESO MOZARELLA LIGHT KIOSKO BLOQUE"/>
    <x v="2"/>
    <n v="7701"/>
    <n v="1080"/>
    <x v="158"/>
    <x v="158"/>
    <n v="25"/>
    <n v="1"/>
    <n v="0.7"/>
    <n v="40"/>
    <d v="2024-11-20T00:00:00"/>
    <s v="miércoles"/>
    <d v="2024-11-20T00:00:00"/>
    <x v="0"/>
    <n v="32"/>
    <n v="0.8"/>
    <n v="25"/>
    <n v="17.5"/>
    <n v="0"/>
    <n v="1"/>
    <n v="3.8565149999999999"/>
    <n v="3.8565149999999999"/>
    <n v="96.412875"/>
    <n v="7"/>
    <x v="0"/>
    <n v="1.7500000000000002E-2"/>
  </r>
  <r>
    <s v="SAN GABRIEL"/>
    <x v="0"/>
    <x v="0"/>
    <x v="1"/>
    <s v="QUESO MOZARELLA LIGHT KIOSKO BLOQUE"/>
    <x v="2"/>
    <n v="7701"/>
    <n v="1080"/>
    <x v="158"/>
    <x v="158"/>
    <n v="108"/>
    <n v="1"/>
    <n v="0.7"/>
    <n v="40"/>
    <d v="2024-11-22T00:00:00"/>
    <s v="viernes"/>
    <d v="2024-11-22T00:00:00"/>
    <x v="85"/>
    <n v="34"/>
    <n v="0.85"/>
    <n v="108"/>
    <n v="75.599999999999994"/>
    <n v="0"/>
    <n v="1"/>
    <n v="3.8565149999999999"/>
    <n v="3.8565149999999999"/>
    <n v="416.50362000000001"/>
    <n v="5"/>
    <x v="0"/>
    <n v="7.5600000000000001E-2"/>
  </r>
  <r>
    <s v="SAN GABRIEL"/>
    <x v="0"/>
    <x v="0"/>
    <x v="1"/>
    <s v="QUESO MOZARELLA SNACK"/>
    <x v="2"/>
    <n v="7701"/>
    <n v="1080"/>
    <x v="1"/>
    <x v="1"/>
    <n v="1350"/>
    <n v="1"/>
    <n v="0.05"/>
    <n v="40"/>
    <d v="2024-11-21T00:00:00"/>
    <s v="jueves"/>
    <d v="2024-11-21T00:00:00"/>
    <x v="3"/>
    <n v="33"/>
    <n v="0.82499999999999996"/>
    <n v="1350"/>
    <n v="67.5"/>
    <n v="0"/>
    <n v="1"/>
    <n v="0.30701500000000004"/>
    <n v="0.30701500000000004"/>
    <n v="414.47025000000008"/>
    <n v="6"/>
    <x v="0"/>
    <n v="6.7500000000000004E-2"/>
  </r>
  <r>
    <s v="SAN GABRIEL"/>
    <x v="0"/>
    <x v="0"/>
    <x v="1"/>
    <s v="QUESO MOZARELLA SNACK"/>
    <x v="2"/>
    <n v="7701"/>
    <n v="1080"/>
    <x v="1"/>
    <x v="1"/>
    <n v="2850"/>
    <n v="1"/>
    <n v="0.05"/>
    <n v="40"/>
    <d v="2024-11-27T00:00:00"/>
    <s v="miércoles"/>
    <d v="2024-11-27T00:00:00"/>
    <x v="50"/>
    <n v="39"/>
    <n v="0.97499999999999998"/>
    <n v="2850"/>
    <n v="142.5"/>
    <n v="0"/>
    <n v="1"/>
    <n v="0.30701500000000004"/>
    <n v="0.30701500000000004"/>
    <n v="874.99275000000011"/>
    <n v="0"/>
    <x v="0"/>
    <n v="0.14249999999999999"/>
  </r>
  <r>
    <s v="SAN GABRIEL"/>
    <x v="2"/>
    <x v="1"/>
    <x v="10"/>
    <s v="AREQUIPE ALPINA"/>
    <x v="2"/>
    <n v="7701"/>
    <n v="1080"/>
    <x v="62"/>
    <x v="62"/>
    <n v="5664"/>
    <n v="1"/>
    <n v="0.25"/>
    <n v="180"/>
    <d v="2024-10-23T00:00:00"/>
    <s v="miércoles"/>
    <d v="2024-10-23T00:00:00"/>
    <x v="64"/>
    <n v="144"/>
    <n v="0.8"/>
    <n v="5664"/>
    <n v="1416"/>
    <n v="0"/>
    <n v="1"/>
    <n v="0.78529499999999997"/>
    <n v="0.78529499999999997"/>
    <n v="4447.9108799999995"/>
    <n v="35"/>
    <x v="0"/>
    <n v="1.4159999999999999"/>
  </r>
  <r>
    <s v="SAN GABRIEL"/>
    <x v="2"/>
    <x v="1"/>
    <x v="10"/>
    <s v="AREQUIPE ALPINA"/>
    <x v="2"/>
    <n v="7701"/>
    <n v="1080"/>
    <x v="62"/>
    <x v="62"/>
    <n v="1584"/>
    <n v="1"/>
    <n v="0.25"/>
    <n v="180"/>
    <d v="2024-10-12T00:00:00"/>
    <s v="sábado"/>
    <d v="2024-10-12T00:00:00"/>
    <x v="65"/>
    <n v="133"/>
    <n v="0.73888888888888893"/>
    <n v="1584"/>
    <n v="396"/>
    <n v="0"/>
    <n v="1"/>
    <n v="0.78529499999999997"/>
    <n v="0.78529499999999997"/>
    <n v="1243.9072799999999"/>
    <n v="46"/>
    <x v="0"/>
    <n v="0.39600000000000002"/>
  </r>
  <r>
    <s v="SAN GABRIEL"/>
    <x v="2"/>
    <x v="1"/>
    <x v="10"/>
    <s v="AREQUIPE ALPINA"/>
    <x v="2"/>
    <n v="7701"/>
    <n v="1080"/>
    <x v="62"/>
    <x v="62"/>
    <n v="1890"/>
    <n v="1"/>
    <n v="0.25"/>
    <n v="180"/>
    <d v="2024-11-19T00:00:00"/>
    <s v="martes"/>
    <d v="2024-11-19T00:00:00"/>
    <x v="56"/>
    <n v="171"/>
    <n v="0.95"/>
    <n v="1890"/>
    <n v="472.5"/>
    <n v="0"/>
    <n v="1"/>
    <n v="0.78529499999999997"/>
    <n v="0.78529499999999997"/>
    <n v="1484.2075499999999"/>
    <n v="8"/>
    <x v="0"/>
    <n v="0.47249999999999998"/>
  </r>
  <r>
    <s v="SAN GABRIEL"/>
    <x v="2"/>
    <x v="1"/>
    <x v="10"/>
    <s v="AREQUIPE ALPINA"/>
    <x v="2"/>
    <n v="7701"/>
    <n v="1080"/>
    <x v="62"/>
    <x v="62"/>
    <n v="3780"/>
    <n v="1"/>
    <n v="0.25"/>
    <n v="180"/>
    <d v="2024-11-21T00:00:00"/>
    <s v="jueves"/>
    <d v="2024-11-21T00:00:00"/>
    <x v="86"/>
    <n v="173"/>
    <n v="0.96111111111111114"/>
    <n v="3780"/>
    <n v="945"/>
    <n v="0"/>
    <n v="1"/>
    <n v="0.78529499999999997"/>
    <n v="0.78529499999999997"/>
    <n v="2968.4150999999997"/>
    <n v="6"/>
    <x v="0"/>
    <n v="0.94499999999999995"/>
  </r>
  <r>
    <s v="SAN GABRIEL"/>
    <x v="2"/>
    <x v="1"/>
    <x v="10"/>
    <s v="AREQUIPE ALPINA"/>
    <x v="2"/>
    <n v="7701"/>
    <n v="1080"/>
    <x v="47"/>
    <x v="47"/>
    <n v="1848"/>
    <n v="1"/>
    <n v="0.5"/>
    <n v="180"/>
    <d v="2024-11-14T00:00:00"/>
    <s v="jueves"/>
    <d v="2024-11-14T00:00:00"/>
    <x v="35"/>
    <n v="166"/>
    <n v="0.92222222222222228"/>
    <n v="1848"/>
    <n v="924"/>
    <n v="0"/>
    <n v="1"/>
    <n v="1.477565"/>
    <n v="1.477565"/>
    <n v="2730.5401200000001"/>
    <n v="13"/>
    <x v="0"/>
    <n v="0.92400000000000004"/>
  </r>
  <r>
    <s v="SAN GABRIEL"/>
    <x v="2"/>
    <x v="1"/>
    <x v="10"/>
    <s v="AREQUIPE ALPINA"/>
    <x v="2"/>
    <n v="7701"/>
    <n v="1080"/>
    <x v="47"/>
    <x v="47"/>
    <n v="1200"/>
    <n v="1"/>
    <n v="0.5"/>
    <n v="180"/>
    <d v="2024-11-19T00:00:00"/>
    <s v="martes"/>
    <d v="2024-11-19T00:00:00"/>
    <x v="56"/>
    <n v="171"/>
    <n v="0.95"/>
    <n v="1200"/>
    <n v="600"/>
    <n v="0"/>
    <n v="1"/>
    <n v="1.477565"/>
    <n v="1.477565"/>
    <n v="1773.078"/>
    <n v="8"/>
    <x v="0"/>
    <n v="0.6"/>
  </r>
  <r>
    <s v="SAN GABRIEL"/>
    <x v="2"/>
    <x v="1"/>
    <x v="10"/>
    <s v="AREQUIPE ALPINA"/>
    <x v="2"/>
    <n v="7701"/>
    <n v="1080"/>
    <x v="47"/>
    <x v="47"/>
    <n v="3026"/>
    <n v="1"/>
    <n v="0.5"/>
    <n v="180"/>
    <d v="2024-11-23T00:00:00"/>
    <s v="sábado"/>
    <d v="2024-11-23T00:00:00"/>
    <x v="87"/>
    <n v="175"/>
    <n v="0.97222222222222221"/>
    <n v="3026"/>
    <n v="1513"/>
    <n v="0"/>
    <n v="1"/>
    <n v="1.477565"/>
    <n v="1.477565"/>
    <n v="4471.1116899999997"/>
    <n v="4"/>
    <x v="0"/>
    <n v="1.5129999999999999"/>
  </r>
  <r>
    <s v="SAN GABRIEL"/>
    <x v="2"/>
    <x v="1"/>
    <x v="9"/>
    <s v="DULCE DE LECHE KIOSCO FAMILIAR"/>
    <x v="2"/>
    <n v="7701"/>
    <n v="1080"/>
    <x v="61"/>
    <x v="61"/>
    <n v="432"/>
    <n v="1"/>
    <n v="0.25"/>
    <n v="180"/>
    <d v="2024-11-20T00:00:00"/>
    <s v="miércoles"/>
    <d v="2024-11-20T00:00:00"/>
    <x v="62"/>
    <n v="172"/>
    <n v="0.9555555555555556"/>
    <n v="432"/>
    <n v="108"/>
    <n v="0"/>
    <n v="1"/>
    <n v="0.69541500000000001"/>
    <n v="0.69541500000000001"/>
    <n v="300.41928000000001"/>
    <n v="7"/>
    <x v="0"/>
    <n v="0.108"/>
  </r>
  <r>
    <s v="SAN GABRIEL"/>
    <x v="2"/>
    <x v="1"/>
    <x v="9"/>
    <s v="DULCE DE LECHE KIOSCO FAMILIAR"/>
    <x v="2"/>
    <n v="7701"/>
    <n v="1080"/>
    <x v="61"/>
    <x v="61"/>
    <n v="5184"/>
    <n v="1"/>
    <n v="0.25"/>
    <n v="180"/>
    <d v="2024-11-22T00:00:00"/>
    <s v="viernes"/>
    <d v="2024-11-22T00:00:00"/>
    <x v="88"/>
    <n v="174"/>
    <n v="0.96666666666666667"/>
    <n v="5184"/>
    <n v="1296"/>
    <n v="0"/>
    <n v="1"/>
    <n v="0.69541500000000001"/>
    <n v="0.69541500000000001"/>
    <n v="3605.0313599999999"/>
    <n v="5"/>
    <x v="0"/>
    <n v="1.296"/>
  </r>
  <r>
    <s v="SAN GABRIEL"/>
    <x v="2"/>
    <x v="1"/>
    <x v="9"/>
    <s v="DULCE DE LECHE KIOSCO FAMILIAR"/>
    <x v="2"/>
    <n v="7701"/>
    <n v="1080"/>
    <x v="61"/>
    <x v="61"/>
    <n v="1200"/>
    <n v="1"/>
    <n v="0.25"/>
    <n v="180"/>
    <d v="2024-11-16T00:00:00"/>
    <s v="sábado"/>
    <d v="2024-11-16T00:00:00"/>
    <x v="89"/>
    <n v="168"/>
    <n v="0.93333333333333335"/>
    <n v="1200"/>
    <n v="300"/>
    <n v="0"/>
    <n v="1"/>
    <n v="0.69541500000000001"/>
    <n v="0.69541500000000001"/>
    <n v="834.49800000000005"/>
    <n v="11"/>
    <x v="0"/>
    <n v="0.3"/>
  </r>
  <r>
    <s v="SAN GABRIEL"/>
    <x v="2"/>
    <x v="1"/>
    <x v="9"/>
    <s v="DULCE DE LECHE KIOSCO FAMILIAR"/>
    <x v="2"/>
    <n v="7701"/>
    <n v="1080"/>
    <x v="21"/>
    <x v="21"/>
    <n v="1088"/>
    <n v="1"/>
    <n v="0.5"/>
    <n v="180"/>
    <d v="2024-10-31T00:00:00"/>
    <s v="jueves"/>
    <d v="2024-10-31T00:00:00"/>
    <x v="32"/>
    <n v="152"/>
    <n v="0.84444444444444444"/>
    <n v="1088"/>
    <n v="544"/>
    <n v="0"/>
    <n v="1"/>
    <n v="1.3121100000000001"/>
    <n v="1.3121100000000001"/>
    <n v="1427.5756800000001"/>
    <n v="27"/>
    <x v="0"/>
    <n v="0.54400000000000004"/>
  </r>
  <r>
    <s v="SAN GABRIEL"/>
    <x v="2"/>
    <x v="1"/>
    <x v="9"/>
    <s v="DULCE DE LECHE KIOSCO FAMILIAR"/>
    <x v="2"/>
    <n v="7701"/>
    <n v="1080"/>
    <x v="21"/>
    <x v="21"/>
    <n v="2520"/>
    <n v="1"/>
    <n v="0.5"/>
    <n v="180"/>
    <d v="2024-11-22T00:00:00"/>
    <s v="viernes"/>
    <d v="2024-11-22T00:00:00"/>
    <x v="88"/>
    <n v="174"/>
    <n v="0.96666666666666667"/>
    <n v="2520"/>
    <n v="1260"/>
    <n v="0"/>
    <n v="1"/>
    <n v="1.3121100000000001"/>
    <n v="1.3121100000000001"/>
    <n v="3306.5172000000002"/>
    <n v="5"/>
    <x v="0"/>
    <n v="1.26"/>
  </r>
  <r>
    <s v="SAN GABRIEL"/>
    <x v="0"/>
    <x v="0"/>
    <x v="5"/>
    <s v="QUESO JAVIERINO KIOSKO TAJADO"/>
    <x v="2"/>
    <n v="7701"/>
    <n v="1080"/>
    <x v="103"/>
    <x v="103"/>
    <n v="30"/>
    <n v="1"/>
    <n v="1.5"/>
    <n v="60"/>
    <d v="2024-11-13T00:00:00"/>
    <s v="miércoles"/>
    <d v="2024-11-13T00:00:00"/>
    <x v="46"/>
    <n v="45"/>
    <n v="0.75"/>
    <n v="30"/>
    <n v="45"/>
    <n v="0"/>
    <n v="1"/>
    <n v="10.255265"/>
    <n v="10.255265"/>
    <n v="307.65794999999997"/>
    <n v="14"/>
    <x v="0"/>
    <n v="4.4999999999999998E-2"/>
  </r>
  <r>
    <s v="SAN GABRIEL"/>
    <x v="0"/>
    <x v="0"/>
    <x v="5"/>
    <s v="QUESO JAVIERINO KIOSKO TAJADO"/>
    <x v="2"/>
    <n v="7701"/>
    <n v="1080"/>
    <x v="103"/>
    <x v="103"/>
    <n v="24"/>
    <n v="1"/>
    <n v="1.5"/>
    <n v="60"/>
    <d v="2024-11-06T00:00:00"/>
    <s v="miércoles"/>
    <d v="2024-11-06T00:00:00"/>
    <x v="13"/>
    <n v="38"/>
    <n v="0.6333333333333333"/>
    <n v="24"/>
    <n v="36"/>
    <n v="0"/>
    <n v="1"/>
    <n v="10.255265"/>
    <n v="10.255265"/>
    <n v="246.12635999999998"/>
    <n v="21"/>
    <x v="0"/>
    <n v="3.5999999999999997E-2"/>
  </r>
  <r>
    <s v="SAN GABRIEL"/>
    <x v="0"/>
    <x v="0"/>
    <x v="5"/>
    <s v="QUESO JAVIERINO KIOSKO TAJADO"/>
    <x v="2"/>
    <n v="7701"/>
    <n v="1080"/>
    <x v="103"/>
    <x v="103"/>
    <n v="100"/>
    <n v="1"/>
    <n v="1.5"/>
    <n v="60"/>
    <d v="2024-11-17T00:00:00"/>
    <s v="domingo"/>
    <d v="2024-11-17T00:00:00"/>
    <x v="75"/>
    <n v="49"/>
    <n v="0.81666666666666665"/>
    <n v="100"/>
    <n v="150"/>
    <n v="0"/>
    <n v="1"/>
    <n v="10.255265"/>
    <n v="10.255265"/>
    <n v="1025.5264999999999"/>
    <n v="10"/>
    <x v="0"/>
    <n v="0.15"/>
  </r>
  <r>
    <s v="SAN GABRIEL"/>
    <x v="0"/>
    <x v="0"/>
    <x v="1"/>
    <s v="QUESO MOZARELLA PIZZA KIOSKO RALLADO"/>
    <x v="2"/>
    <n v="7701"/>
    <n v="1080"/>
    <x v="194"/>
    <x v="194"/>
    <n v="15"/>
    <n v="1"/>
    <n v="1.5"/>
    <n v="30"/>
    <d v="2024-11-23T00:00:00"/>
    <s v="sábado"/>
    <d v="2024-11-23T00:00:00"/>
    <x v="9"/>
    <n v="25"/>
    <n v="0.83333333333333337"/>
    <n v="15"/>
    <n v="22.5"/>
    <n v="0"/>
    <n v="1"/>
    <n v="9.0726650000000006"/>
    <n v="9.0726650000000006"/>
    <n v="136.08997500000001"/>
    <n v="4"/>
    <x v="1"/>
    <n v="2.2499999999999999E-2"/>
  </r>
  <r>
    <s v="SAN GABRIEL"/>
    <x v="0"/>
    <x v="0"/>
    <x v="5"/>
    <s v="QUESO HOLANDES BLOQUE"/>
    <x v="2"/>
    <n v="7701"/>
    <n v="1080"/>
    <x v="153"/>
    <x v="153"/>
    <n v="10"/>
    <n v="1"/>
    <n v="1.5"/>
    <n v="60"/>
    <d v="2024-11-13T00:00:00"/>
    <s v="miércoles"/>
    <d v="2024-11-13T00:00:00"/>
    <x v="46"/>
    <n v="45"/>
    <n v="0.75"/>
    <n v="10"/>
    <n v="15"/>
    <n v="0"/>
    <n v="1"/>
    <n v="10.058565"/>
    <n v="10.058565"/>
    <n v="100.58565"/>
    <n v="14"/>
    <x v="0"/>
    <n v="1.4999999999999999E-2"/>
  </r>
  <r>
    <s v="SAN GABRIEL"/>
    <x v="0"/>
    <x v="0"/>
    <x v="5"/>
    <s v="QUESO HOLANDES BLOQUE"/>
    <x v="2"/>
    <n v="7701"/>
    <n v="1080"/>
    <x v="153"/>
    <x v="153"/>
    <n v="3"/>
    <n v="1"/>
    <n v="1.5"/>
    <n v="60"/>
    <d v="2024-10-30T00:00:00"/>
    <s v="miércoles"/>
    <d v="2024-10-30T00:00:00"/>
    <x v="7"/>
    <n v="31"/>
    <n v="0.51666666666666672"/>
    <n v="3"/>
    <n v="4.5"/>
    <n v="0"/>
    <n v="1"/>
    <n v="10.058565"/>
    <n v="10.058565"/>
    <n v="30.175694999999997"/>
    <n v="28"/>
    <x v="0"/>
    <n v="4.4999999999999997E-3"/>
  </r>
  <r>
    <s v="SAN GABRIEL"/>
    <x v="0"/>
    <x v="0"/>
    <x v="5"/>
    <s v="QUESO HOLANDES BLOQUE"/>
    <x v="2"/>
    <n v="7701"/>
    <n v="1080"/>
    <x v="153"/>
    <x v="153"/>
    <n v="40"/>
    <n v="1"/>
    <n v="1.5"/>
    <n v="60"/>
    <d v="2024-11-17T00:00:00"/>
    <s v="domingo"/>
    <d v="2024-11-17T00:00:00"/>
    <x v="75"/>
    <n v="49"/>
    <n v="0.81666666666666665"/>
    <n v="40"/>
    <n v="60"/>
    <n v="0"/>
    <n v="1"/>
    <n v="10.058565"/>
    <n v="10.058565"/>
    <n v="402.3426"/>
    <n v="10"/>
    <x v="0"/>
    <n v="0.06"/>
  </r>
  <r>
    <s v="SAN GABRIEL"/>
    <x v="0"/>
    <x v="0"/>
    <x v="5"/>
    <s v="QUESO HOLANDES BLOQUE"/>
    <x v="2"/>
    <n v="7701"/>
    <n v="1080"/>
    <x v="153"/>
    <x v="153"/>
    <n v="5"/>
    <n v="1"/>
    <n v="1.5"/>
    <n v="60"/>
    <d v="2024-10-24T00:00:00"/>
    <s v="jueves"/>
    <d v="2024-10-24T00:00:00"/>
    <x v="9"/>
    <n v="25"/>
    <n v="0.41666666666666669"/>
    <n v="5"/>
    <n v="7.5"/>
    <n v="0"/>
    <n v="1"/>
    <n v="10.058565"/>
    <n v="10.058565"/>
    <n v="50.292825000000001"/>
    <n v="34"/>
    <x v="1"/>
    <n v="7.4999999999999997E-3"/>
  </r>
  <r>
    <s v="SAN GABRIEL"/>
    <x v="0"/>
    <x v="0"/>
    <x v="5"/>
    <s v="QUESO HOLANDES KIOSKO TAJADO"/>
    <x v="2"/>
    <n v="7701"/>
    <n v="1080"/>
    <x v="169"/>
    <x v="169"/>
    <n v="5"/>
    <n v="1"/>
    <n v="1"/>
    <n v="90"/>
    <d v="2024-11-17T00:00:00"/>
    <s v="domingo"/>
    <d v="2024-11-17T00:00:00"/>
    <x v="90"/>
    <n v="79"/>
    <n v="0.87777777777777777"/>
    <n v="5"/>
    <n v="5"/>
    <n v="0"/>
    <n v="1"/>
    <n v="7.1624999999999996"/>
    <n v="7.1624999999999996"/>
    <n v="35.8125"/>
    <n v="10"/>
    <x v="0"/>
    <n v="5.0000000000000001E-3"/>
  </r>
  <r>
    <s v="SAN GABRIEL"/>
    <x v="0"/>
    <x v="0"/>
    <x v="5"/>
    <s v="QUESO HOLANDES KIOSKO TAJADO"/>
    <x v="2"/>
    <n v="7701"/>
    <n v="1080"/>
    <x v="169"/>
    <x v="169"/>
    <n v="60"/>
    <n v="1"/>
    <n v="1"/>
    <n v="90"/>
    <d v="2024-11-23T00:00:00"/>
    <s v="sábado"/>
    <d v="2024-11-23T00:00:00"/>
    <x v="91"/>
    <n v="85"/>
    <n v="0.94444444444444442"/>
    <n v="60"/>
    <n v="60"/>
    <n v="0"/>
    <n v="1"/>
    <n v="7.1624999999999996"/>
    <n v="7.1624999999999996"/>
    <n v="429.75"/>
    <n v="4"/>
    <x v="0"/>
    <n v="0.06"/>
  </r>
  <r>
    <s v="COLOMBIA"/>
    <x v="1"/>
    <x v="1"/>
    <x v="7"/>
    <s v="AVENA VASO"/>
    <x v="2"/>
    <n v="7701"/>
    <n v="1080"/>
    <x v="15"/>
    <x v="15"/>
    <n v="10752"/>
    <n v="1"/>
    <n v="0.25"/>
    <n v="180"/>
    <d v="2024-10-23T00:00:00"/>
    <s v="miércoles"/>
    <d v="2024-10-23T00:00:00"/>
    <x v="64"/>
    <n v="144"/>
    <n v="0.8"/>
    <n v="10752"/>
    <n v="2688"/>
    <n v="0"/>
    <n v="1"/>
    <n v="0.391795"/>
    <n v="0.391795"/>
    <n v="4212.5798400000003"/>
    <n v="35"/>
    <x v="0"/>
    <n v="2.6880000000000002"/>
  </r>
  <r>
    <s v="COLOMBIA"/>
    <x v="1"/>
    <x v="1"/>
    <x v="7"/>
    <s v="AVENA VASO"/>
    <x v="2"/>
    <n v="7701"/>
    <n v="1080"/>
    <x v="15"/>
    <x v="15"/>
    <n v="30708"/>
    <n v="1"/>
    <n v="0.25"/>
    <n v="180"/>
    <d v="2024-10-31T00:00:00"/>
    <s v="jueves"/>
    <d v="2024-10-31T00:00:00"/>
    <x v="32"/>
    <n v="152"/>
    <n v="0.84444444444444444"/>
    <n v="30708"/>
    <n v="7677"/>
    <n v="0"/>
    <n v="1"/>
    <n v="0.391795"/>
    <n v="0.391795"/>
    <n v="12031.24086"/>
    <n v="27"/>
    <x v="0"/>
    <n v="7.6769999999999996"/>
  </r>
  <r>
    <s v="COLOMBIA"/>
    <x v="1"/>
    <x v="1"/>
    <x v="7"/>
    <s v="AVENA VASO"/>
    <x v="2"/>
    <n v="7701"/>
    <n v="1080"/>
    <x v="99"/>
    <x v="99"/>
    <n v="37632"/>
    <n v="1"/>
    <n v="0.25"/>
    <n v="180"/>
    <d v="2024-11-03T00:00:00"/>
    <s v="domingo"/>
    <d v="2024-11-03T00:00:00"/>
    <x v="92"/>
    <n v="155"/>
    <n v="0.86111111111111116"/>
    <n v="37632"/>
    <n v="9408"/>
    <n v="0"/>
    <n v="1"/>
    <n v="0.40961000000000003"/>
    <n v="0.40961000000000003"/>
    <n v="15414.443520000001"/>
    <n v="24"/>
    <x v="0"/>
    <n v="9.4079999999999995"/>
  </r>
  <r>
    <s v="COLOMBIA"/>
    <x v="1"/>
    <x v="1"/>
    <x v="7"/>
    <s v="AVENA VASO"/>
    <x v="2"/>
    <n v="7701"/>
    <n v="1080"/>
    <x v="99"/>
    <x v="99"/>
    <n v="864"/>
    <n v="1"/>
    <n v="0.25"/>
    <n v="180"/>
    <d v="2024-11-18T00:00:00"/>
    <s v="lunes"/>
    <d v="2024-11-18T00:00:00"/>
    <x v="93"/>
    <n v="170"/>
    <n v="0.94444444444444442"/>
    <n v="864"/>
    <n v="216"/>
    <n v="0"/>
    <n v="1"/>
    <n v="0.40961000000000003"/>
    <n v="0.40961000000000003"/>
    <n v="353.90304000000003"/>
    <n v="9"/>
    <x v="0"/>
    <n v="0.216"/>
  </r>
  <r>
    <s v="COLOMBIA"/>
    <x v="1"/>
    <x v="1"/>
    <x v="15"/>
    <s v="AVENA FINESSE VASO"/>
    <x v="2"/>
    <n v="7701"/>
    <n v="1080"/>
    <x v="108"/>
    <x v="108"/>
    <n v="16656"/>
    <n v="1"/>
    <n v="0.25"/>
    <n v="180"/>
    <d v="2024-10-23T00:00:00"/>
    <s v="miércoles"/>
    <d v="2024-10-23T00:00:00"/>
    <x v="64"/>
    <n v="144"/>
    <n v="0.8"/>
    <n v="16656"/>
    <n v="4164"/>
    <n v="0"/>
    <n v="1"/>
    <n v="0.35793999999999998"/>
    <n v="0.35793999999999998"/>
    <n v="5961.8486399999992"/>
    <n v="35"/>
    <x v="0"/>
    <n v="4.1639999999999997"/>
  </r>
  <r>
    <s v="MULTIEMPAQUE"/>
    <x v="1"/>
    <x v="1"/>
    <x v="7"/>
    <s v="AVENA VASO"/>
    <x v="2"/>
    <n v="7701"/>
    <n v="1080"/>
    <x v="85"/>
    <x v="85"/>
    <n v="87"/>
    <n v="1"/>
    <n v="1.5"/>
    <n v="180"/>
    <d v="2024-10-18T00:00:00"/>
    <s v="viernes"/>
    <d v="2024-10-18T00:00:00"/>
    <x v="27"/>
    <n v="139"/>
    <n v="0.77222222222222225"/>
    <n v="87"/>
    <n v="130.5"/>
    <n v="0"/>
    <n v="1"/>
    <n v="2.4714"/>
    <n v="2.4714"/>
    <n v="215.01179999999999"/>
    <n v="40"/>
    <x v="0"/>
    <n v="0.1305"/>
  </r>
  <r>
    <s v="MULTIEMPAQUE"/>
    <x v="1"/>
    <x v="1"/>
    <x v="7"/>
    <s v="AVENA VASO"/>
    <x v="2"/>
    <n v="7701"/>
    <n v="1080"/>
    <x v="85"/>
    <x v="85"/>
    <n v="7"/>
    <n v="1"/>
    <n v="1.5"/>
    <n v="180"/>
    <d v="2024-09-10T00:00:00"/>
    <s v="martes"/>
    <d v="2024-09-10T00:00:00"/>
    <x v="26"/>
    <n v="101"/>
    <n v="0.56111111111111112"/>
    <n v="7"/>
    <n v="10.5"/>
    <n v="0"/>
    <n v="1"/>
    <n v="2.4714"/>
    <n v="2.4714"/>
    <n v="17.299800000000001"/>
    <n v="78"/>
    <x v="0"/>
    <n v="1.0500000000000001E-2"/>
  </r>
  <r>
    <s v="MULTIEMPAQUE"/>
    <x v="1"/>
    <x v="1"/>
    <x v="7"/>
    <s v="AVENA VASO"/>
    <x v="2"/>
    <n v="7701"/>
    <n v="1080"/>
    <x v="85"/>
    <x v="85"/>
    <n v="784"/>
    <n v="1"/>
    <n v="1.5"/>
    <n v="180"/>
    <d v="2024-10-31T00:00:00"/>
    <s v="jueves"/>
    <d v="2024-10-31T00:00:00"/>
    <x v="32"/>
    <n v="152"/>
    <n v="0.84444444444444444"/>
    <n v="784"/>
    <n v="1176"/>
    <n v="0"/>
    <n v="1"/>
    <n v="2.4714"/>
    <n v="2.4714"/>
    <n v="1937.5776000000001"/>
    <n v="27"/>
    <x v="0"/>
    <n v="1.1759999999999999"/>
  </r>
  <r>
    <s v="MULTIEMPAQUE"/>
    <x v="1"/>
    <x v="1"/>
    <x v="7"/>
    <s v="AVENA VASO"/>
    <x v="2"/>
    <n v="7701"/>
    <n v="1080"/>
    <x v="136"/>
    <x v="136"/>
    <n v="442"/>
    <n v="1"/>
    <n v="1"/>
    <n v="180"/>
    <d v="2024-10-19T00:00:00"/>
    <s v="sábado"/>
    <d v="2024-10-19T00:00:00"/>
    <x v="73"/>
    <n v="140"/>
    <n v="0.77777777777777779"/>
    <n v="442"/>
    <n v="442"/>
    <n v="0"/>
    <n v="1"/>
    <n v="1.795145"/>
    <n v="1.795145"/>
    <n v="793.45408999999995"/>
    <n v="39"/>
    <x v="0"/>
    <n v="0.442"/>
  </r>
  <r>
    <s v="MULTIEMPAQUE"/>
    <x v="1"/>
    <x v="1"/>
    <x v="15"/>
    <s v="AVENA FINESSE VASO"/>
    <x v="2"/>
    <n v="7701"/>
    <n v="1080"/>
    <x v="112"/>
    <x v="112"/>
    <n v="179"/>
    <n v="1"/>
    <n v="1.5"/>
    <n v="180"/>
    <d v="2024-10-23T00:00:00"/>
    <s v="miércoles"/>
    <d v="2024-10-23T00:00:00"/>
    <x v="64"/>
    <n v="144"/>
    <n v="0.8"/>
    <n v="179"/>
    <n v="268.5"/>
    <n v="0"/>
    <n v="1"/>
    <n v="2.2748600000000003"/>
    <n v="2.2748600000000003"/>
    <n v="407.19994000000008"/>
    <n v="35"/>
    <x v="0"/>
    <n v="0.26850000000000002"/>
  </r>
  <r>
    <s v="MULTIEMPAQUE"/>
    <x v="1"/>
    <x v="1"/>
    <x v="15"/>
    <s v="AVENA FINESSE VASO"/>
    <x v="2"/>
    <n v="7701"/>
    <n v="1080"/>
    <x v="112"/>
    <x v="112"/>
    <n v="8"/>
    <n v="1"/>
    <n v="1.5"/>
    <n v="180"/>
    <d v="2024-09-26T00:00:00"/>
    <s v="jueves"/>
    <d v="2024-09-26T00:00:00"/>
    <x v="77"/>
    <n v="117"/>
    <n v="0.65"/>
    <n v="8"/>
    <n v="12"/>
    <n v="0"/>
    <n v="1"/>
    <n v="2.2748600000000003"/>
    <n v="2.2748600000000003"/>
    <n v="18.198880000000003"/>
    <n v="62"/>
    <x v="0"/>
    <n v="1.2E-2"/>
  </r>
  <r>
    <s v="MULTIEMPAQUE_SG"/>
    <x v="2"/>
    <x v="1"/>
    <x v="10"/>
    <s v="AREQUIPE ALPINA"/>
    <x v="2"/>
    <n v="7701"/>
    <n v="1080"/>
    <x v="102"/>
    <x v="102"/>
    <n v="46"/>
    <n v="1"/>
    <n v="0.3"/>
    <n v="180"/>
    <d v="2024-10-02T00:00:00"/>
    <s v="miércoles"/>
    <d v="2024-10-02T00:00:00"/>
    <x v="71"/>
    <n v="123"/>
    <n v="0.68333333333333335"/>
    <n v="46"/>
    <n v="13.799999999999999"/>
    <n v="0"/>
    <n v="1"/>
    <n v="2.5274799999999997"/>
    <n v="2.5274799999999997"/>
    <n v="116.26407999999999"/>
    <n v="56"/>
    <x v="0"/>
    <n v="1.38E-2"/>
  </r>
  <r>
    <s v="MULTIEMPAQUE_SG"/>
    <x v="2"/>
    <x v="1"/>
    <x v="10"/>
    <s v="AREQUIPE ALPINA"/>
    <x v="2"/>
    <n v="7701"/>
    <n v="1080"/>
    <x v="102"/>
    <x v="102"/>
    <n v="150"/>
    <n v="1"/>
    <n v="0.3"/>
    <n v="180"/>
    <d v="2024-10-23T00:00:00"/>
    <s v="miércoles"/>
    <d v="2024-10-23T00:00:00"/>
    <x v="64"/>
    <n v="144"/>
    <n v="0.8"/>
    <n v="150"/>
    <n v="45"/>
    <n v="0"/>
    <n v="1"/>
    <n v="2.5274799999999997"/>
    <n v="2.5274799999999997"/>
    <n v="379.12199999999996"/>
    <n v="35"/>
    <x v="0"/>
    <n v="4.4999999999999998E-2"/>
  </r>
  <r>
    <s v="MULTIEMPAQUE_SG"/>
    <x v="2"/>
    <x v="1"/>
    <x v="10"/>
    <s v="AREQUIPE ALPINA"/>
    <x v="2"/>
    <n v="7701"/>
    <n v="1080"/>
    <x v="102"/>
    <x v="102"/>
    <n v="135"/>
    <n v="1"/>
    <n v="0.3"/>
    <n v="180"/>
    <d v="2024-10-23T00:00:00"/>
    <s v="miércoles"/>
    <d v="2024-10-23T00:00:00"/>
    <x v="64"/>
    <n v="144"/>
    <n v="0.8"/>
    <n v="135"/>
    <n v="40.5"/>
    <n v="0"/>
    <n v="1"/>
    <n v="2.5274799999999997"/>
    <n v="2.5274799999999997"/>
    <n v="341.20979999999997"/>
    <n v="35"/>
    <x v="0"/>
    <n v="4.0500000000000001E-2"/>
  </r>
  <r>
    <s v="MAQUILA_SG"/>
    <x v="2"/>
    <x v="1"/>
    <x v="10"/>
    <s v="AREQUIPE ALPINA"/>
    <x v="2"/>
    <n v="7701"/>
    <n v="1080"/>
    <x v="94"/>
    <x v="94"/>
    <n v="2180"/>
    <n v="1"/>
    <n v="7.4999999999999997E-2"/>
    <n v="180"/>
    <d v="2024-11-01T00:00:00"/>
    <s v="viernes"/>
    <d v="2024-11-01T00:00:00"/>
    <x v="69"/>
    <n v="153"/>
    <n v="0.85"/>
    <n v="2180"/>
    <n v="163.5"/>
    <n v="0"/>
    <n v="1"/>
    <n v="0.61960000000000004"/>
    <n v="0.61960000000000004"/>
    <n v="1350.7280000000001"/>
    <n v="26"/>
    <x v="0"/>
    <n v="0.16350000000000001"/>
  </r>
  <r>
    <s v="MAQUILA"/>
    <x v="0"/>
    <x v="0"/>
    <x v="13"/>
    <s v="CREMA DE LECHE BOLSA"/>
    <x v="2"/>
    <n v="7701"/>
    <n v="1080"/>
    <x v="68"/>
    <x v="68"/>
    <n v="16800"/>
    <n v="1"/>
    <n v="0.2"/>
    <n v="70"/>
    <d v="2024-11-13T00:00:00"/>
    <s v="miércoles"/>
    <d v="2024-11-13T00:00:00"/>
    <x v="59"/>
    <n v="55"/>
    <n v="0.7857142857142857"/>
    <n v="16800"/>
    <n v="3360"/>
    <n v="0"/>
    <n v="1"/>
    <n v="0.59135000000000004"/>
    <n v="0.59135000000000004"/>
    <n v="9934.68"/>
    <n v="14"/>
    <x v="0"/>
    <n v="3.36"/>
  </r>
  <r>
    <s v="MAQUILA"/>
    <x v="0"/>
    <x v="0"/>
    <x v="13"/>
    <s v="CREMA DE LECHE BOLSA"/>
    <x v="2"/>
    <n v="7701"/>
    <n v="1080"/>
    <x v="68"/>
    <x v="68"/>
    <n v="2450"/>
    <n v="1"/>
    <n v="0.2"/>
    <n v="70"/>
    <d v="2024-11-09T00:00:00"/>
    <s v="sábado"/>
    <d v="2024-11-09T00:00:00"/>
    <x v="94"/>
    <n v="51"/>
    <n v="0.72857142857142854"/>
    <n v="2450"/>
    <n v="490"/>
    <n v="0"/>
    <n v="1"/>
    <n v="0.59135000000000004"/>
    <n v="0.59135000000000004"/>
    <n v="1448.8075000000001"/>
    <n v="18"/>
    <x v="0"/>
    <n v="0.49"/>
  </r>
  <r>
    <s v="MAQUILA"/>
    <x v="0"/>
    <x v="0"/>
    <x v="13"/>
    <s v="CREMA DE LECHE BOLSA"/>
    <x v="2"/>
    <n v="7701"/>
    <n v="1080"/>
    <x v="68"/>
    <x v="68"/>
    <n v="26178"/>
    <n v="1"/>
    <n v="0.2"/>
    <n v="70"/>
    <d v="2024-11-18T00:00:00"/>
    <s v="lunes"/>
    <d v="2024-11-18T00:00:00"/>
    <x v="14"/>
    <n v="60"/>
    <n v="0.8571428571428571"/>
    <n v="26178"/>
    <n v="5235.6000000000004"/>
    <n v="0"/>
    <n v="1"/>
    <n v="0.59135000000000004"/>
    <n v="0.59135000000000004"/>
    <n v="15480.3603"/>
    <n v="9"/>
    <x v="0"/>
    <n v="5.2356000000000007"/>
  </r>
  <r>
    <s v="SAN GABRIEL"/>
    <x v="0"/>
    <x v="0"/>
    <x v="1"/>
    <s v="QUESO MOZARELLA SNACK"/>
    <x v="2"/>
    <n v="7701"/>
    <n v="1080"/>
    <x v="197"/>
    <x v="197"/>
    <n v="174"/>
    <n v="1"/>
    <n v="3.5000000000000003E-2"/>
    <n v="40"/>
    <d v="2024-11-14T00:00:00"/>
    <s v="jueves"/>
    <d v="2024-11-14T00:00:00"/>
    <x v="6"/>
    <n v="26"/>
    <n v="0.65"/>
    <n v="174"/>
    <n v="6.0900000000000007"/>
    <n v="0"/>
    <n v="1"/>
    <n v="0.228385"/>
    <n v="0.228385"/>
    <n v="39.738990000000001"/>
    <n v="13"/>
    <x v="1"/>
    <n v="6.0900000000000008E-3"/>
  </r>
  <r>
    <s v="SAN GABRIEL"/>
    <x v="0"/>
    <x v="0"/>
    <x v="1"/>
    <s v="QUESO MOZARELLA SNACK"/>
    <x v="2"/>
    <n v="7701"/>
    <n v="1080"/>
    <x v="197"/>
    <x v="197"/>
    <n v="540"/>
    <n v="1"/>
    <n v="3.5000000000000003E-2"/>
    <n v="40"/>
    <d v="2024-11-19T00:00:00"/>
    <s v="martes"/>
    <d v="2024-11-19T00:00:00"/>
    <x v="7"/>
    <n v="31"/>
    <n v="0.77500000000000002"/>
    <n v="540"/>
    <n v="18.900000000000002"/>
    <n v="0"/>
    <n v="1"/>
    <n v="0.228385"/>
    <n v="0.228385"/>
    <n v="123.3279"/>
    <n v="8"/>
    <x v="0"/>
    <n v="1.8900000000000004E-2"/>
  </r>
  <r>
    <s v="MACHACHI"/>
    <x v="1"/>
    <x v="1"/>
    <x v="4"/>
    <s v="YOGURT FINESSE DESLACT BOTELLA FAMILIAR"/>
    <x v="2"/>
    <n v="7701"/>
    <n v="1080"/>
    <x v="157"/>
    <x v="157"/>
    <n v="4"/>
    <n v="1"/>
    <n v="1.67"/>
    <n v="45"/>
    <d v="2024-10-25T00:00:00"/>
    <s v="viernes"/>
    <d v="2024-10-25T00:00:00"/>
    <x v="53"/>
    <n v="11"/>
    <n v="0.24444444444444444"/>
    <n v="4"/>
    <n v="6.68"/>
    <n v="0"/>
    <n v="1"/>
    <n v="2.4703599999999999"/>
    <n v="2.4703599999999999"/>
    <n v="9.8814399999999996"/>
    <n v="33"/>
    <x v="2"/>
    <n v="6.6799999999999993E-3"/>
  </r>
  <r>
    <s v="MACHACHI"/>
    <x v="1"/>
    <x v="1"/>
    <x v="4"/>
    <s v="YOGURT FINESSE DESLACT BOTELLA FAMILIAR"/>
    <x v="2"/>
    <n v="7701"/>
    <n v="1080"/>
    <x v="157"/>
    <x v="157"/>
    <n v="8"/>
    <n v="1"/>
    <n v="1.67"/>
    <n v="45"/>
    <d v="2024-10-31T00:00:00"/>
    <s v="jueves"/>
    <d v="2024-10-31T00:00:00"/>
    <x v="10"/>
    <n v="17"/>
    <n v="0.37777777777777777"/>
    <n v="8"/>
    <n v="13.36"/>
    <n v="0"/>
    <n v="1"/>
    <n v="2.4703599999999999"/>
    <n v="2.4703599999999999"/>
    <n v="19.762879999999999"/>
    <n v="27"/>
    <x v="2"/>
    <n v="1.3359999999999999E-2"/>
  </r>
  <r>
    <s v="MACHACHI"/>
    <x v="1"/>
    <x v="1"/>
    <x v="4"/>
    <s v="YOGURT FINESSE DESLACT BOTELLA FAMILIAR"/>
    <x v="2"/>
    <n v="7701"/>
    <n v="1080"/>
    <x v="89"/>
    <x v="89"/>
    <n v="56"/>
    <n v="1"/>
    <n v="1.65"/>
    <n v="45"/>
    <d v="2024-10-23T00:00:00"/>
    <s v="miércoles"/>
    <d v="2024-10-23T00:00:00"/>
    <x v="66"/>
    <n v="9"/>
    <n v="0.2"/>
    <n v="56"/>
    <n v="92.399999999999991"/>
    <n v="0"/>
    <n v="1"/>
    <n v="1.9335450000000001"/>
    <n v="1.9335450000000001"/>
    <n v="108.27852"/>
    <n v="35"/>
    <x v="2"/>
    <n v="9.2399999999999996E-2"/>
  </r>
  <r>
    <s v="MACHACHI"/>
    <x v="1"/>
    <x v="1"/>
    <x v="4"/>
    <s v="YOGURT FINESSE DESLACT BOTELLA FAMILIAR"/>
    <x v="2"/>
    <n v="7701"/>
    <n v="1080"/>
    <x v="89"/>
    <x v="89"/>
    <n v="5"/>
    <n v="1"/>
    <n v="1.65"/>
    <n v="45"/>
    <d v="2024-10-30T00:00:00"/>
    <s v="miércoles"/>
    <d v="2024-10-30T00:00:00"/>
    <x v="41"/>
    <n v="16"/>
    <n v="0.35555555555555557"/>
    <n v="5"/>
    <n v="8.25"/>
    <n v="0"/>
    <n v="1"/>
    <n v="1.9335450000000001"/>
    <n v="1.9335450000000001"/>
    <n v="9.6677250000000008"/>
    <n v="28"/>
    <x v="2"/>
    <n v="8.2500000000000004E-3"/>
  </r>
  <r>
    <s v="MACHACHI"/>
    <x v="1"/>
    <x v="1"/>
    <x v="4"/>
    <s v="YOGURT FINESSE DESLACT BOTELLA FAMILIAR"/>
    <x v="2"/>
    <n v="7701"/>
    <n v="1080"/>
    <x v="89"/>
    <x v="89"/>
    <n v="8"/>
    <n v="1"/>
    <n v="1.65"/>
    <n v="45"/>
    <d v="2024-11-04T00:00:00"/>
    <s v="lunes"/>
    <d v="2024-11-04T00:00:00"/>
    <x v="45"/>
    <n v="21"/>
    <n v="0.46666666666666667"/>
    <n v="8"/>
    <n v="13.2"/>
    <n v="0"/>
    <n v="1"/>
    <n v="1.9335450000000001"/>
    <n v="1.9335450000000001"/>
    <n v="15.468360000000001"/>
    <n v="23"/>
    <x v="2"/>
    <n v="1.32E-2"/>
  </r>
  <r>
    <s v="MACHACHI"/>
    <x v="1"/>
    <x v="1"/>
    <x v="4"/>
    <s v="YOGURT FINESSE DESLACT BOTELLA PERSONAL"/>
    <x v="2"/>
    <n v="7701"/>
    <n v="1080"/>
    <x v="42"/>
    <x v="42"/>
    <n v="289"/>
    <n v="1"/>
    <n v="0.18"/>
    <n v="45"/>
    <d v="2024-10-31T00:00:00"/>
    <s v="jueves"/>
    <d v="2024-10-31T00:00:00"/>
    <x v="10"/>
    <n v="17"/>
    <n v="0.37777777777777777"/>
    <n v="289"/>
    <n v="52.019999999999996"/>
    <n v="0"/>
    <n v="1"/>
    <n v="0.286325"/>
    <n v="0.286325"/>
    <n v="82.747924999999995"/>
    <n v="27"/>
    <x v="2"/>
    <n v="5.2019999999999997E-2"/>
  </r>
  <r>
    <s v="MULTIEMPAQUE_MACH"/>
    <x v="1"/>
    <x v="1"/>
    <x v="4"/>
    <s v="YOGURT FINESSE DESLACT BOTELLA PERSONAL"/>
    <x v="2"/>
    <n v="7701"/>
    <n v="1080"/>
    <x v="217"/>
    <x v="217"/>
    <n v="3"/>
    <n v="1"/>
    <n v="0.72"/>
    <n v="45"/>
    <d v="2024-10-31T00:00:00"/>
    <s v="jueves"/>
    <d v="2024-10-31T00:00:00"/>
    <x v="10"/>
    <n v="17"/>
    <n v="0.37777777777777777"/>
    <n v="3"/>
    <n v="2.16"/>
    <n v="0"/>
    <n v="1"/>
    <n v="1.325315"/>
    <n v="1.325315"/>
    <n v="3.9759450000000003"/>
    <n v="27"/>
    <x v="2"/>
    <n v="2.16E-3"/>
  </r>
  <r>
    <s v="MULTIEMPAQUE_MACH"/>
    <x v="1"/>
    <x v="1"/>
    <x v="4"/>
    <s v="YOGURT FINESSE DESLACT BOTELLA PERSONAL"/>
    <x v="2"/>
    <n v="7701"/>
    <n v="1080"/>
    <x v="217"/>
    <x v="217"/>
    <n v="4"/>
    <n v="1"/>
    <n v="0.72"/>
    <n v="45"/>
    <d v="2024-11-22T00:00:00"/>
    <s v="viernes"/>
    <d v="2024-11-22T00:00:00"/>
    <x v="50"/>
    <n v="39"/>
    <n v="0.8666666666666667"/>
    <n v="4"/>
    <n v="2.88"/>
    <n v="0"/>
    <n v="1"/>
    <n v="1.325315"/>
    <n v="1.325315"/>
    <n v="5.3012600000000001"/>
    <n v="5"/>
    <x v="0"/>
    <n v="2.8799999999999997E-3"/>
  </r>
  <r>
    <s v="MULTIEMPAQUE_MACH"/>
    <x v="1"/>
    <x v="1"/>
    <x v="3"/>
    <s v="BEBIDA DE YOGURT KIOSKO BOTELLA PERSONAL"/>
    <x v="2"/>
    <n v="7701"/>
    <n v="1080"/>
    <x v="160"/>
    <x v="160"/>
    <n v="1179"/>
    <n v="1"/>
    <n v="0.72"/>
    <n v="45"/>
    <d v="2024-12-27T00:00:00"/>
    <s v="viernes"/>
    <d v="2024-12-27T00:00:00"/>
    <x v="18"/>
    <n v="74"/>
    <n v="1.6444444444444444"/>
    <n v="1179"/>
    <n v="848.88"/>
    <n v="0"/>
    <n v="1"/>
    <n v="1.6533599999999999"/>
    <n v="1.6533599999999999"/>
    <n v="1949.3114399999999"/>
    <n v="-30"/>
    <x v="0"/>
    <n v="0.84887999999999997"/>
  </r>
  <r>
    <s v="MULTIEMPAQUE_MACH"/>
    <x v="1"/>
    <x v="1"/>
    <x v="6"/>
    <s v="REGENERIS REGULAR VASO"/>
    <x v="2"/>
    <n v="7701"/>
    <n v="1080"/>
    <x v="149"/>
    <x v="149"/>
    <n v="13"/>
    <n v="1"/>
    <n v="0.9"/>
    <n v="45"/>
    <d v="2024-10-30T00:00:00"/>
    <s v="miércoles"/>
    <d v="2024-10-30T00:00:00"/>
    <x v="41"/>
    <n v="16"/>
    <n v="0.35555555555555557"/>
    <n v="13"/>
    <n v="11.700000000000001"/>
    <n v="0"/>
    <n v="1"/>
    <n v="1.50911"/>
    <n v="1.50911"/>
    <n v="19.61843"/>
    <n v="28"/>
    <x v="2"/>
    <n v="1.17E-2"/>
  </r>
  <r>
    <s v="MULTIEMPAQUE_MACH"/>
    <x v="1"/>
    <x v="1"/>
    <x v="6"/>
    <s v="REGENERIS REGULAR VASO"/>
    <x v="2"/>
    <n v="7701"/>
    <n v="1080"/>
    <x v="149"/>
    <x v="149"/>
    <n v="115"/>
    <n v="1"/>
    <n v="0.9"/>
    <n v="45"/>
    <d v="2024-11-23T00:00:00"/>
    <s v="sábado"/>
    <d v="2024-11-23T00:00:00"/>
    <x v="67"/>
    <n v="40"/>
    <n v="0.88888888888888884"/>
    <n v="115"/>
    <n v="103.5"/>
    <n v="0"/>
    <n v="1"/>
    <n v="1.50911"/>
    <n v="1.50911"/>
    <n v="173.54765"/>
    <n v="4"/>
    <x v="0"/>
    <n v="0.10349999999999999"/>
  </r>
  <r>
    <s v="MULTIEMPAQUE_MACH"/>
    <x v="1"/>
    <x v="1"/>
    <x v="2"/>
    <s v="BON YURT REGULAR"/>
    <x v="2"/>
    <n v="7701"/>
    <n v="1080"/>
    <x v="176"/>
    <x v="176"/>
    <n v="629"/>
    <n v="1"/>
    <n v="0.66"/>
    <n v="45"/>
    <d v="2024-11-24T00:00:00"/>
    <s v="domingo"/>
    <d v="2024-11-24T00:00:00"/>
    <x v="95"/>
    <n v="41"/>
    <n v="0.91111111111111109"/>
    <n v="629"/>
    <n v="415.14000000000004"/>
    <n v="0"/>
    <n v="1"/>
    <n v="1.3975849999999999"/>
    <n v="1.3975849999999999"/>
    <n v="879.08096499999988"/>
    <n v="3"/>
    <x v="0"/>
    <n v="0.41514000000000006"/>
  </r>
  <r>
    <s v="MULTIEMPAQUE_MACH"/>
    <x v="1"/>
    <x v="1"/>
    <x v="6"/>
    <s v="REGENERIS REGULAR VASO"/>
    <x v="2"/>
    <n v="7701"/>
    <n v="1080"/>
    <x v="218"/>
    <x v="218"/>
    <n v="34"/>
    <n v="1"/>
    <n v="0.6"/>
    <n v="45"/>
    <d v="2024-11-16T00:00:00"/>
    <s v="sábado"/>
    <d v="2024-11-16T00:00:00"/>
    <x v="3"/>
    <n v="33"/>
    <n v="0.73333333333333328"/>
    <n v="34"/>
    <n v="20.399999999999999"/>
    <n v="0"/>
    <n v="1"/>
    <n v="1.0306549999999999"/>
    <n v="1.0306549999999999"/>
    <n v="35.042269999999995"/>
    <n v="11"/>
    <x v="0"/>
    <n v="2.0399999999999998E-2"/>
  </r>
  <r>
    <s v="MULTIEMPAQUE_MACH"/>
    <x v="1"/>
    <x v="1"/>
    <x v="6"/>
    <s v="REGENERIS REGULAR VASO"/>
    <x v="2"/>
    <n v="7701"/>
    <n v="1080"/>
    <x v="218"/>
    <x v="218"/>
    <n v="214"/>
    <n v="1"/>
    <n v="0.6"/>
    <n v="45"/>
    <d v="2024-11-23T00:00:00"/>
    <s v="sábado"/>
    <d v="2024-11-23T00:00:00"/>
    <x v="67"/>
    <n v="40"/>
    <n v="0.88888888888888884"/>
    <n v="214"/>
    <n v="128.4"/>
    <n v="0"/>
    <n v="1"/>
    <n v="1.0306549999999999"/>
    <n v="1.0306549999999999"/>
    <n v="220.56016999999997"/>
    <n v="4"/>
    <x v="0"/>
    <n v="0.12840000000000001"/>
  </r>
  <r>
    <s v="MULTIEMPAQUE_MACH"/>
    <x v="1"/>
    <x v="1"/>
    <x v="6"/>
    <s v="REGENERIS REGULAR VASO"/>
    <x v="2"/>
    <n v="7701"/>
    <n v="1080"/>
    <x v="218"/>
    <x v="218"/>
    <n v="19"/>
    <n v="1"/>
    <n v="0.6"/>
    <n v="45"/>
    <d v="2024-10-30T00:00:00"/>
    <s v="miércoles"/>
    <d v="2024-10-30T00:00:00"/>
    <x v="41"/>
    <n v="16"/>
    <n v="0.35555555555555557"/>
    <n v="19"/>
    <n v="11.4"/>
    <n v="0"/>
    <n v="1"/>
    <n v="1.0306549999999999"/>
    <n v="1.0306549999999999"/>
    <n v="19.582444999999996"/>
    <n v="28"/>
    <x v="2"/>
    <n v="1.14E-2"/>
  </r>
  <r>
    <s v="MULTIEMPAQUE_MACH"/>
    <x v="1"/>
    <x v="1"/>
    <x v="2"/>
    <s v="BON YURT REGULAR"/>
    <x v="2"/>
    <n v="7701"/>
    <n v="1080"/>
    <x v="164"/>
    <x v="164"/>
    <n v="16"/>
    <n v="1"/>
    <n v="0.68"/>
    <n v="45"/>
    <d v="2024-11-15T00:00:00"/>
    <s v="viernes"/>
    <d v="2024-11-15T00:00:00"/>
    <x v="0"/>
    <n v="32"/>
    <n v="0.71111111111111114"/>
    <n v="16"/>
    <n v="10.88"/>
    <n v="0"/>
    <n v="1"/>
    <n v="1.3252700000000002"/>
    <n v="1.3252700000000002"/>
    <n v="21.204320000000003"/>
    <n v="12"/>
    <x v="0"/>
    <n v="1.0880000000000001E-2"/>
  </r>
  <r>
    <s v="MULTIEMPAQUE_MACH"/>
    <x v="1"/>
    <x v="1"/>
    <x v="2"/>
    <s v="BON YURT REGULAR"/>
    <x v="2"/>
    <n v="7701"/>
    <n v="1080"/>
    <x v="164"/>
    <x v="164"/>
    <n v="413"/>
    <n v="1"/>
    <n v="0.68"/>
    <n v="45"/>
    <d v="2024-11-23T00:00:00"/>
    <s v="sábado"/>
    <d v="2024-11-23T00:00:00"/>
    <x v="67"/>
    <n v="40"/>
    <n v="0.88888888888888884"/>
    <n v="413"/>
    <n v="280.84000000000003"/>
    <n v="0"/>
    <n v="1"/>
    <n v="1.3252700000000002"/>
    <n v="1.3252700000000002"/>
    <n v="547.33651000000009"/>
    <n v="4"/>
    <x v="0"/>
    <n v="0.28084000000000003"/>
  </r>
  <r>
    <s v="MULTIEMPAQUE_MACH"/>
    <x v="1"/>
    <x v="1"/>
    <x v="6"/>
    <s v="REGENERIS BAJO EN GRASA BOTELLA PERSONAL"/>
    <x v="2"/>
    <n v="7701"/>
    <n v="1080"/>
    <x v="90"/>
    <x v="90"/>
    <n v="24"/>
    <n v="1"/>
    <n v="0.72"/>
    <n v="45"/>
    <d v="2024-11-06T00:00:00"/>
    <s v="miércoles"/>
    <d v="2024-11-06T00:00:00"/>
    <x v="11"/>
    <n v="23"/>
    <n v="0.51111111111111107"/>
    <n v="24"/>
    <n v="17.28"/>
    <n v="0"/>
    <n v="1"/>
    <n v="1.235225"/>
    <n v="1.235225"/>
    <n v="29.645400000000002"/>
    <n v="21"/>
    <x v="1"/>
    <n v="1.728E-2"/>
  </r>
  <r>
    <s v="MULTIEMPAQUE_MACH"/>
    <x v="1"/>
    <x v="1"/>
    <x v="6"/>
    <s v="REGENERIS BAJO EN GRASA BOTELLA PERSONAL"/>
    <x v="2"/>
    <n v="7701"/>
    <n v="1080"/>
    <x v="90"/>
    <x v="90"/>
    <n v="5"/>
    <n v="1"/>
    <n v="0.72"/>
    <n v="45"/>
    <d v="2024-11-26T00:00:00"/>
    <s v="martes"/>
    <d v="2024-11-26T00:00:00"/>
    <x v="72"/>
    <n v="43"/>
    <n v="0.9555555555555556"/>
    <n v="5"/>
    <n v="3.5999999999999996"/>
    <n v="0"/>
    <n v="1"/>
    <n v="1.235225"/>
    <n v="1.235225"/>
    <n v="6.1761249999999999"/>
    <n v="1"/>
    <x v="0"/>
    <n v="3.5999999999999995E-3"/>
  </r>
  <r>
    <s v="MULTIEMPAQUE_MACH"/>
    <x v="1"/>
    <x v="1"/>
    <x v="2"/>
    <s v="BON YURT REGULAR"/>
    <x v="2"/>
    <n v="7701"/>
    <n v="1080"/>
    <x v="203"/>
    <x v="203"/>
    <n v="3"/>
    <n v="1"/>
    <n v="0.66500000000000004"/>
    <n v="45"/>
    <d v="2024-11-16T00:00:00"/>
    <s v="sábado"/>
    <d v="2024-11-16T00:00:00"/>
    <x v="3"/>
    <n v="33"/>
    <n v="0.73333333333333328"/>
    <n v="3"/>
    <n v="1.9950000000000001"/>
    <n v="0"/>
    <n v="1"/>
    <n v="1.5265749999999998"/>
    <n v="1.5265749999999998"/>
    <n v="4.5797249999999998"/>
    <n v="11"/>
    <x v="0"/>
    <n v="1.9950000000000002E-3"/>
  </r>
  <r>
    <s v="MULTIEMPAQUE_MACH"/>
    <x v="1"/>
    <x v="1"/>
    <x v="2"/>
    <s v="BON YURT REGULAR"/>
    <x v="2"/>
    <n v="7701"/>
    <n v="1080"/>
    <x v="203"/>
    <x v="203"/>
    <n v="3"/>
    <n v="1"/>
    <n v="0.66500000000000004"/>
    <n v="45"/>
    <d v="2024-11-08T00:00:00"/>
    <s v="viernes"/>
    <d v="2024-11-08T00:00:00"/>
    <x v="9"/>
    <n v="25"/>
    <n v="0.55555555555555558"/>
    <n v="3"/>
    <n v="1.9950000000000001"/>
    <n v="0"/>
    <n v="1"/>
    <n v="1.5265749999999998"/>
    <n v="1.5265749999999998"/>
    <n v="4.5797249999999998"/>
    <n v="19"/>
    <x v="1"/>
    <n v="1.9950000000000002E-3"/>
  </r>
  <r>
    <s v="MULTIEMPAQUE_MACH"/>
    <x v="1"/>
    <x v="1"/>
    <x v="2"/>
    <s v="BON YURT REGULAR"/>
    <x v="2"/>
    <n v="7701"/>
    <n v="1080"/>
    <x v="203"/>
    <x v="203"/>
    <n v="18"/>
    <n v="1"/>
    <n v="0.66500000000000004"/>
    <n v="45"/>
    <d v="2024-11-23T00:00:00"/>
    <s v="sábado"/>
    <d v="2024-11-23T00:00:00"/>
    <x v="67"/>
    <n v="40"/>
    <n v="0.88888888888888884"/>
    <n v="18"/>
    <n v="11.97"/>
    <n v="0"/>
    <n v="1"/>
    <n v="1.5265749999999998"/>
    <n v="1.5265749999999998"/>
    <n v="27.478349999999995"/>
    <n v="4"/>
    <x v="0"/>
    <n v="1.1970000000000001E-2"/>
  </r>
  <r>
    <s v="MULTIEMPAQUE_MACH"/>
    <x v="1"/>
    <x v="1"/>
    <x v="2"/>
    <s v="BON YURT REGULAR"/>
    <x v="2"/>
    <n v="7701"/>
    <n v="1080"/>
    <x v="156"/>
    <x v="156"/>
    <n v="4"/>
    <n v="1"/>
    <n v="0.68"/>
    <n v="45"/>
    <d v="2024-11-16T00:00:00"/>
    <s v="sábado"/>
    <d v="2024-11-16T00:00:00"/>
    <x v="3"/>
    <n v="33"/>
    <n v="0.73333333333333328"/>
    <n v="4"/>
    <n v="2.72"/>
    <n v="0"/>
    <n v="1"/>
    <n v="1.6522000000000001"/>
    <n v="1.6522000000000001"/>
    <n v="6.6088000000000005"/>
    <n v="11"/>
    <x v="0"/>
    <n v="2.7200000000000002E-3"/>
  </r>
  <r>
    <s v="MULTIEMPAQUE_MACH"/>
    <x v="1"/>
    <x v="1"/>
    <x v="2"/>
    <s v="BON YURT REGULAR"/>
    <x v="2"/>
    <n v="7701"/>
    <n v="1080"/>
    <x v="156"/>
    <x v="156"/>
    <n v="50"/>
    <n v="1"/>
    <n v="0.68"/>
    <n v="45"/>
    <d v="2024-11-19T00:00:00"/>
    <s v="martes"/>
    <d v="2024-11-19T00:00:00"/>
    <x v="8"/>
    <n v="36"/>
    <n v="0.8"/>
    <n v="50"/>
    <n v="34"/>
    <n v="0"/>
    <n v="1"/>
    <n v="1.6522000000000001"/>
    <n v="1.6522000000000001"/>
    <n v="82.61"/>
    <n v="8"/>
    <x v="0"/>
    <n v="3.4000000000000002E-2"/>
  </r>
  <r>
    <s v="MULTIEMPAQUE_MACH"/>
    <x v="1"/>
    <x v="1"/>
    <x v="2"/>
    <s v="BON YURT REGULAR"/>
    <x v="2"/>
    <n v="7701"/>
    <n v="1080"/>
    <x v="156"/>
    <x v="156"/>
    <n v="2"/>
    <n v="1"/>
    <n v="0.68"/>
    <n v="45"/>
    <d v="2024-11-09T00:00:00"/>
    <s v="sábado"/>
    <d v="2024-11-09T00:00:00"/>
    <x v="6"/>
    <n v="26"/>
    <n v="0.57777777777777772"/>
    <n v="2"/>
    <n v="1.36"/>
    <n v="0"/>
    <n v="1"/>
    <n v="1.6522000000000001"/>
    <n v="1.6522000000000001"/>
    <n v="3.3044000000000002"/>
    <n v="18"/>
    <x v="1"/>
    <n v="1.3600000000000001E-3"/>
  </r>
  <r>
    <s v="MULTIEMPAQUE_MACH"/>
    <x v="1"/>
    <x v="1"/>
    <x v="2"/>
    <s v="BON YURT REGULAR"/>
    <x v="2"/>
    <n v="7701"/>
    <n v="1080"/>
    <x v="156"/>
    <x v="156"/>
    <n v="2"/>
    <n v="1"/>
    <n v="0.68"/>
    <n v="45"/>
    <d v="2024-11-05T00:00:00"/>
    <s v="martes"/>
    <d v="2024-11-05T00:00:00"/>
    <x v="19"/>
    <n v="22"/>
    <n v="0.48888888888888887"/>
    <n v="2"/>
    <n v="1.36"/>
    <n v="0"/>
    <n v="1"/>
    <n v="1.6522000000000001"/>
    <n v="1.6522000000000001"/>
    <n v="3.3044000000000002"/>
    <n v="22"/>
    <x v="1"/>
    <n v="1.3600000000000001E-3"/>
  </r>
  <r>
    <s v="MULTIEMPAQUE_MACH"/>
    <x v="1"/>
    <x v="1"/>
    <x v="2"/>
    <s v="BON YURT REGULAR"/>
    <x v="2"/>
    <n v="7701"/>
    <n v="1080"/>
    <x v="156"/>
    <x v="156"/>
    <n v="193"/>
    <n v="1"/>
    <n v="0.68"/>
    <n v="45"/>
    <d v="2024-11-23T00:00:00"/>
    <s v="sábado"/>
    <d v="2024-11-23T00:00:00"/>
    <x v="67"/>
    <n v="40"/>
    <n v="0.88888888888888884"/>
    <n v="193"/>
    <n v="131.24"/>
    <n v="0"/>
    <n v="1"/>
    <n v="1.6522000000000001"/>
    <n v="1.6522000000000001"/>
    <n v="318.87460000000004"/>
    <n v="4"/>
    <x v="0"/>
    <n v="0.13124"/>
  </r>
  <r>
    <s v="MULTIEMPAQUE_MACH"/>
    <x v="1"/>
    <x v="1"/>
    <x v="6"/>
    <s v="REGENERIS BEBIBLE BOTELLA PERSONAL"/>
    <x v="2"/>
    <n v="7701"/>
    <n v="1080"/>
    <x v="87"/>
    <x v="87"/>
    <n v="28"/>
    <n v="1"/>
    <n v="1.08"/>
    <n v="45"/>
    <d v="2024-11-23T00:00:00"/>
    <s v="sábado"/>
    <d v="2024-11-23T00:00:00"/>
    <x v="67"/>
    <n v="40"/>
    <n v="0.88888888888888884"/>
    <n v="28"/>
    <n v="30.240000000000002"/>
    <n v="0"/>
    <n v="1"/>
    <n v="1.89862"/>
    <n v="1.89862"/>
    <n v="53.161360000000002"/>
    <n v="4"/>
    <x v="0"/>
    <n v="3.0240000000000003E-2"/>
  </r>
  <r>
    <s v="MULTIEMPAQUE_SG"/>
    <x v="0"/>
    <x v="0"/>
    <x v="1"/>
    <s v="QUESO MOZARELLA SNACK"/>
    <x v="2"/>
    <n v="7701"/>
    <n v="1080"/>
    <x v="219"/>
    <x v="219"/>
    <n v="170"/>
    <n v="1"/>
    <n v="0.3"/>
    <n v="40"/>
    <d v="2024-11-27T00:00:00"/>
    <s v="miércoles"/>
    <d v="2024-11-27T00:00:00"/>
    <x v="50"/>
    <n v="39"/>
    <n v="0.97499999999999998"/>
    <n v="170"/>
    <n v="51"/>
    <n v="0"/>
    <n v="1"/>
    <n v="1.955125"/>
    <n v="1.955125"/>
    <n v="332.37124999999997"/>
    <n v="0"/>
    <x v="0"/>
    <n v="5.0999999999999997E-2"/>
  </r>
  <r>
    <s v="MULTIEMPAQUE_SG"/>
    <x v="0"/>
    <x v="0"/>
    <x v="1"/>
    <s v="QUESO MOZARELLA SNACK"/>
    <x v="2"/>
    <n v="7701"/>
    <n v="1080"/>
    <x v="219"/>
    <x v="219"/>
    <n v="11"/>
    <n v="1"/>
    <n v="0.3"/>
    <n v="40"/>
    <d v="2024-11-21T00:00:00"/>
    <s v="jueves"/>
    <d v="2024-11-21T00:00:00"/>
    <x v="3"/>
    <n v="33"/>
    <n v="0.82499999999999996"/>
    <n v="11"/>
    <n v="3.3"/>
    <n v="0"/>
    <n v="1"/>
    <n v="1.955125"/>
    <n v="1.955125"/>
    <n v="21.506374999999998"/>
    <n v="6"/>
    <x v="0"/>
    <n v="3.3E-3"/>
  </r>
  <r>
    <s v="MULTIEMPAQUE_SG"/>
    <x v="0"/>
    <x v="0"/>
    <x v="1"/>
    <s v="QUESO MOZARELLA SNACK"/>
    <x v="2"/>
    <n v="7701"/>
    <n v="1080"/>
    <x v="220"/>
    <x v="220"/>
    <n v="37"/>
    <n v="1"/>
    <n v="0.17499999999999999"/>
    <n v="40"/>
    <d v="2024-11-14T00:00:00"/>
    <s v="jueves"/>
    <d v="2024-11-14T00:00:00"/>
    <x v="6"/>
    <n v="26"/>
    <n v="0.65"/>
    <n v="37"/>
    <n v="6.4749999999999996"/>
    <n v="0"/>
    <n v="1"/>
    <n v="1.2970350000000002"/>
    <n v="1.2970350000000002"/>
    <n v="47.990295000000003"/>
    <n v="13"/>
    <x v="1"/>
    <n v="6.4749999999999999E-3"/>
  </r>
  <r>
    <s v="COLOMBIA"/>
    <x v="2"/>
    <x v="1"/>
    <x v="12"/>
    <s v="ALPINETTE"/>
    <x v="2"/>
    <n v="7701"/>
    <n v="1080"/>
    <x v="172"/>
    <x v="172"/>
    <n v="459"/>
    <n v="1"/>
    <n v="0.14000000000000001"/>
    <n v="60"/>
    <d v="2024-11-05T00:00:00"/>
    <s v="martes"/>
    <d v="2024-11-05T00:00:00"/>
    <x v="82"/>
    <n v="37"/>
    <n v="0.6166666666666667"/>
    <n v="459"/>
    <n v="64.260000000000005"/>
    <n v="0"/>
    <n v="1"/>
    <n v="0.47797999999999996"/>
    <n v="0.47797999999999996"/>
    <n v="219.39281999999997"/>
    <n v="22"/>
    <x v="0"/>
    <n v="6.4260000000000012E-2"/>
  </r>
  <r>
    <s v="COLOMBIA"/>
    <x v="2"/>
    <x v="1"/>
    <x v="12"/>
    <s v="ALPINETTE"/>
    <x v="2"/>
    <n v="7701"/>
    <n v="1080"/>
    <x v="159"/>
    <x v="159"/>
    <n v="2540"/>
    <n v="1"/>
    <n v="0.14000000000000001"/>
    <n v="60"/>
    <d v="2024-11-05T00:00:00"/>
    <s v="martes"/>
    <d v="2024-11-05T00:00:00"/>
    <x v="82"/>
    <n v="37"/>
    <n v="0.6166666666666667"/>
    <n v="2540"/>
    <n v="355.6"/>
    <n v="0"/>
    <n v="1"/>
    <n v="0.46937499999999999"/>
    <n v="0.46937499999999999"/>
    <n v="1192.2124999999999"/>
    <n v="22"/>
    <x v="0"/>
    <n v="0.35560000000000003"/>
  </r>
  <r>
    <s v="COLOMBIA"/>
    <x v="2"/>
    <x v="1"/>
    <x v="12"/>
    <s v="ALPINETTE"/>
    <x v="2"/>
    <n v="7701"/>
    <n v="1080"/>
    <x v="215"/>
    <x v="215"/>
    <n v="1003"/>
    <n v="1"/>
    <n v="0.14000000000000001"/>
    <n v="60"/>
    <d v="2024-11-05T00:00:00"/>
    <s v="martes"/>
    <d v="2024-11-05T00:00:00"/>
    <x v="82"/>
    <n v="37"/>
    <n v="0.6166666666666667"/>
    <n v="1003"/>
    <n v="140.42000000000002"/>
    <n v="0"/>
    <n v="1"/>
    <n v="0.48814500000000005"/>
    <n v="0.48814500000000005"/>
    <n v="489.60943500000008"/>
    <n v="22"/>
    <x v="0"/>
    <n v="0.14042000000000002"/>
  </r>
  <r>
    <s v="COLOMBIA"/>
    <x v="2"/>
    <x v="1"/>
    <x v="12"/>
    <s v="ALPINETTE"/>
    <x v="2"/>
    <n v="7701"/>
    <n v="1080"/>
    <x v="221"/>
    <x v="221"/>
    <n v="127"/>
    <n v="1"/>
    <n v="0.14000000000000001"/>
    <n v="60"/>
    <d v="2024-11-09T00:00:00"/>
    <s v="sábado"/>
    <d v="2024-11-09T00:00:00"/>
    <x v="95"/>
    <n v="41"/>
    <n v="0.68333333333333335"/>
    <n v="127"/>
    <n v="17.78"/>
    <n v="0"/>
    <n v="1"/>
    <n v="0.48450000000000004"/>
    <n v="0.48450000000000004"/>
    <n v="61.531500000000008"/>
    <n v="18"/>
    <x v="0"/>
    <n v="1.7780000000000001E-2"/>
  </r>
  <r>
    <s v="SAN GABRIEL"/>
    <x v="0"/>
    <x v="0"/>
    <x v="5"/>
    <s v="QUESO AMERICANO KIOSKO TAJADO"/>
    <x v="2"/>
    <n v="7701"/>
    <n v="1080"/>
    <x v="187"/>
    <x v="187"/>
    <n v="64.099999999999994"/>
    <n v="1.7"/>
    <n v="1"/>
    <n v="60"/>
    <d v="2024-11-13T00:00:00"/>
    <s v="miércoles"/>
    <d v="2024-11-13T00:00:00"/>
    <x v="46"/>
    <n v="45"/>
    <n v="0.75"/>
    <n v="64.099999999999994"/>
    <n v="108.96999999999998"/>
    <n v="0"/>
    <n v="1"/>
    <n v="7.0906599999999997"/>
    <n v="12.054122"/>
    <n v="772.66922019999993"/>
    <n v="14"/>
    <x v="0"/>
    <n v="0.10896999999999998"/>
  </r>
  <r>
    <s v="SAN GABRIEL"/>
    <x v="0"/>
    <x v="0"/>
    <x v="5"/>
    <s v="QUESO AMERICANO KIOSKO TAJADO"/>
    <x v="2"/>
    <n v="7701"/>
    <n v="1080"/>
    <x v="187"/>
    <x v="187"/>
    <n v="51.2"/>
    <n v="1.7"/>
    <n v="1"/>
    <n v="60"/>
    <d v="2024-11-15T00:00:00"/>
    <s v="viernes"/>
    <d v="2024-11-15T00:00:00"/>
    <x v="52"/>
    <n v="47"/>
    <n v="0.78333333333333333"/>
    <n v="51.2"/>
    <n v="87.04"/>
    <n v="0"/>
    <n v="1"/>
    <n v="7.0906599999999997"/>
    <n v="12.054122"/>
    <n v="617.17104640000002"/>
    <n v="12"/>
    <x v="0"/>
    <n v="8.7040000000000006E-2"/>
  </r>
  <r>
    <s v="SAN GABRIEL"/>
    <x v="0"/>
    <x v="0"/>
    <x v="5"/>
    <s v="QUESO AMERICANO KIOSKO TAJADO"/>
    <x v="2"/>
    <n v="7701"/>
    <n v="1080"/>
    <x v="187"/>
    <x v="187"/>
    <n v="96.1"/>
    <n v="1.7"/>
    <n v="1"/>
    <n v="60"/>
    <d v="2024-11-23T00:00:00"/>
    <s v="sábado"/>
    <d v="2024-11-23T00:00:00"/>
    <x v="59"/>
    <n v="55"/>
    <n v="0.91666666666666663"/>
    <n v="96.1"/>
    <n v="163.36999999999998"/>
    <n v="0"/>
    <n v="1"/>
    <n v="7.0906599999999997"/>
    <n v="12.054122"/>
    <n v="1158.4011241999999"/>
    <n v="4"/>
    <x v="0"/>
    <n v="0.16336999999999999"/>
  </r>
  <r>
    <s v="SAN GABRIEL"/>
    <x v="0"/>
    <x v="0"/>
    <x v="1"/>
    <s v="QUESO MOZARELLA PIZZA KIOSKO TAJADO"/>
    <x v="2"/>
    <n v="7701"/>
    <n v="1080"/>
    <x v="152"/>
    <x v="152"/>
    <n v="2.7"/>
    <n v="2.7"/>
    <n v="1"/>
    <n v="30"/>
    <d v="2024-11-12T00:00:00"/>
    <s v="martes"/>
    <d v="2024-11-12T00:00:00"/>
    <x v="80"/>
    <n v="14"/>
    <n v="0.46666666666666667"/>
    <n v="2.7"/>
    <n v="7.2900000000000009"/>
    <n v="0"/>
    <n v="1"/>
    <n v="7.2692399999999999"/>
    <n v="19.626948000000002"/>
    <n v="52.992759600000007"/>
    <n v="15"/>
    <x v="2"/>
    <n v="7.2900000000000013E-3"/>
  </r>
  <r>
    <s v="SAN GABRIEL"/>
    <x v="0"/>
    <x v="0"/>
    <x v="1"/>
    <s v="QUESO MOZARELLA PIZZA KIOSKO TAJADO"/>
    <x v="2"/>
    <n v="7701"/>
    <n v="1080"/>
    <x v="152"/>
    <x v="152"/>
    <n v="67.5"/>
    <n v="2.7"/>
    <n v="1"/>
    <n v="30"/>
    <d v="2024-11-12T00:00:00"/>
    <s v="martes"/>
    <d v="2024-11-12T00:00:00"/>
    <x v="80"/>
    <n v="14"/>
    <n v="0.46666666666666667"/>
    <n v="67.5"/>
    <n v="182.25"/>
    <n v="0"/>
    <n v="1"/>
    <n v="7.2692399999999999"/>
    <n v="19.626948000000002"/>
    <n v="1324.8189900000002"/>
    <n v="15"/>
    <x v="2"/>
    <n v="0.18225"/>
  </r>
  <r>
    <s v="MACHACHI"/>
    <x v="1"/>
    <x v="1"/>
    <x v="8"/>
    <s v="KUMIS BOTELLA FAMILIAR"/>
    <x v="2"/>
    <n v="7701"/>
    <n v="1080"/>
    <x v="79"/>
    <x v="79"/>
    <n v="126"/>
    <n v="1"/>
    <n v="1"/>
    <n v="45"/>
    <d v="2024-10-25T00:00:00"/>
    <s v="viernes"/>
    <d v="2024-10-25T00:00:00"/>
    <x v="53"/>
    <n v="11"/>
    <n v="0.24444444444444444"/>
    <n v="126"/>
    <n v="126"/>
    <n v="0"/>
    <n v="1"/>
    <n v="1.14123"/>
    <n v="1.14123"/>
    <n v="143.79498000000001"/>
    <n v="33"/>
    <x v="2"/>
    <n v="0.126"/>
  </r>
  <r>
    <s v="MACHACHI"/>
    <x v="1"/>
    <x v="1"/>
    <x v="6"/>
    <s v="REGENERIS CEREAL BOTELLA FAMILIAR"/>
    <x v="2"/>
    <n v="7701"/>
    <n v="1080"/>
    <x v="177"/>
    <x v="177"/>
    <n v="68"/>
    <n v="1"/>
    <n v="1"/>
    <n v="45"/>
    <d v="2024-10-26T00:00:00"/>
    <s v="sábado"/>
    <d v="2024-10-26T00:00:00"/>
    <x v="20"/>
    <n v="12"/>
    <n v="0.26666666666666666"/>
    <n v="68"/>
    <n v="68"/>
    <n v="0"/>
    <n v="1"/>
    <n v="1.39574"/>
    <n v="1.39574"/>
    <n v="94.910319999999999"/>
    <n v="32"/>
    <x v="2"/>
    <n v="6.8000000000000005E-2"/>
  </r>
  <r>
    <s v="MACHACHI"/>
    <x v="1"/>
    <x v="1"/>
    <x v="6"/>
    <s v="REGENERIS BAJO EN GRASA BOTELLA FAMILIAR"/>
    <x v="2"/>
    <n v="7701"/>
    <n v="1080"/>
    <x v="122"/>
    <x v="122"/>
    <n v="74"/>
    <n v="1"/>
    <n v="1"/>
    <n v="45"/>
    <d v="2024-10-25T00:00:00"/>
    <s v="viernes"/>
    <d v="2024-10-25T00:00:00"/>
    <x v="53"/>
    <n v="11"/>
    <n v="0.24444444444444444"/>
    <n v="74"/>
    <n v="74"/>
    <n v="0"/>
    <n v="1"/>
    <n v="1.3149000000000002"/>
    <n v="1.3149000000000002"/>
    <n v="97.302600000000012"/>
    <n v="33"/>
    <x v="2"/>
    <n v="7.3999999999999996E-2"/>
  </r>
  <r>
    <s v="MACHACHI"/>
    <x v="1"/>
    <x v="1"/>
    <x v="6"/>
    <s v="REGENERIS BEBIBLE BOTELLA FAMILIAR"/>
    <x v="2"/>
    <n v="7701"/>
    <n v="1080"/>
    <x v="119"/>
    <x v="119"/>
    <n v="68"/>
    <n v="1"/>
    <n v="1"/>
    <n v="45"/>
    <d v="2024-10-31T00:00:00"/>
    <s v="jueves"/>
    <d v="2024-10-31T00:00:00"/>
    <x v="10"/>
    <n v="17"/>
    <n v="0.37777777777777777"/>
    <n v="68"/>
    <n v="68"/>
    <n v="0"/>
    <n v="1"/>
    <n v="1.3255649999999999"/>
    <n v="1.3255649999999999"/>
    <n v="90.138419999999996"/>
    <n v="27"/>
    <x v="2"/>
    <n v="6.8000000000000005E-2"/>
  </r>
  <r>
    <s v="MACHACHI"/>
    <x v="1"/>
    <x v="1"/>
    <x v="6"/>
    <s v="REGENERIS CEREAL BOTELLA PERSONAL"/>
    <x v="2"/>
    <n v="7701"/>
    <n v="1080"/>
    <x v="137"/>
    <x v="137"/>
    <n v="77"/>
    <n v="1"/>
    <n v="0.18"/>
    <n v="45"/>
    <d v="2024-10-25T00:00:00"/>
    <s v="viernes"/>
    <d v="2024-10-25T00:00:00"/>
    <x v="53"/>
    <n v="11"/>
    <n v="0.24444444444444444"/>
    <n v="77"/>
    <n v="13.86"/>
    <n v="0"/>
    <n v="1"/>
    <n v="0.28275"/>
    <n v="0.28275"/>
    <n v="21.771750000000001"/>
    <n v="33"/>
    <x v="2"/>
    <n v="1.3859999999999999E-2"/>
  </r>
  <r>
    <s v="MACHACHI"/>
    <x v="1"/>
    <x v="1"/>
    <x v="3"/>
    <s v="GRIEGO SABORIZADO"/>
    <x v="2"/>
    <n v="7701"/>
    <n v="1080"/>
    <x v="222"/>
    <x v="222"/>
    <n v="56"/>
    <n v="1"/>
    <n v="0.12"/>
    <n v="45"/>
    <d v="2024-11-22T00:00:00"/>
    <s v="viernes"/>
    <d v="2024-11-22T00:00:00"/>
    <x v="50"/>
    <n v="39"/>
    <n v="0.8666666666666667"/>
    <n v="56"/>
    <n v="6.72"/>
    <n v="0"/>
    <n v="1"/>
    <n v="1.6781600000000001"/>
    <n v="1.6781600000000001"/>
    <n v="93.976960000000005"/>
    <n v="5"/>
    <x v="0"/>
    <n v="6.7199999999999994E-3"/>
  </r>
  <r>
    <s v="MACHACHI"/>
    <x v="1"/>
    <x v="1"/>
    <x v="3"/>
    <s v="BEBIDA DE YOGURT KIOSKO FUNDA PER"/>
    <x v="2"/>
    <n v="7701"/>
    <n v="1080"/>
    <x v="223"/>
    <x v="223"/>
    <n v="401"/>
    <n v="1"/>
    <n v="0.15"/>
    <n v="45"/>
    <d v="2024-10-31T00:00:00"/>
    <s v="jueves"/>
    <d v="2024-10-31T00:00:00"/>
    <x v="10"/>
    <n v="17"/>
    <n v="0.37777777777777777"/>
    <n v="401"/>
    <n v="60.15"/>
    <n v="0"/>
    <n v="1"/>
    <n v="0.11866"/>
    <n v="0.11866"/>
    <n v="47.582660000000004"/>
    <n v="27"/>
    <x v="2"/>
    <n v="6.0149999999999995E-2"/>
  </r>
  <r>
    <s v="SAN GABRIEL"/>
    <x v="0"/>
    <x v="0"/>
    <x v="1"/>
    <s v="QUESO MOZARELLA PIZZA KIOSKO TAJADO"/>
    <x v="2"/>
    <n v="7701"/>
    <n v="1080"/>
    <x v="213"/>
    <x v="213"/>
    <n v="22"/>
    <n v="1"/>
    <n v="7.4999999999999997E-2"/>
    <n v="30"/>
    <d v="2024-11-12T00:00:00"/>
    <s v="martes"/>
    <d v="2024-11-12T00:00:00"/>
    <x v="80"/>
    <n v="14"/>
    <n v="0.46666666666666667"/>
    <n v="22"/>
    <n v="1.65"/>
    <n v="0"/>
    <n v="1"/>
    <n v="0.62214499999999995"/>
    <n v="0.62214499999999995"/>
    <n v="13.687189999999999"/>
    <n v="15"/>
    <x v="2"/>
    <n v="1.65E-3"/>
  </r>
  <r>
    <s v="SAN GABRIEL"/>
    <x v="0"/>
    <x v="0"/>
    <x v="0"/>
    <s v="QUESO AMASADO KIOSKO BLOQUE"/>
    <x v="2"/>
    <n v="7701"/>
    <n v="1080"/>
    <x v="210"/>
    <x v="210"/>
    <n v="40"/>
    <n v="1"/>
    <n v="0.45"/>
    <n v="35"/>
    <d v="2024-11-12T00:00:00"/>
    <s v="martes"/>
    <d v="2024-11-12T00:00:00"/>
    <x v="21"/>
    <n v="19"/>
    <n v="0.54285714285714282"/>
    <n v="40"/>
    <n v="18"/>
    <n v="0"/>
    <n v="1"/>
    <n v="1.2293700000000001"/>
    <n v="1.2293700000000001"/>
    <n v="49.174800000000005"/>
    <n v="15"/>
    <x v="2"/>
    <n v="1.7999999999999999E-2"/>
  </r>
  <r>
    <s v="SAN GABRIEL"/>
    <x v="0"/>
    <x v="0"/>
    <x v="1"/>
    <s v="QUESO MOZARELLA PIZZA KIOSKO TAJADO"/>
    <x v="2"/>
    <n v="7701"/>
    <n v="1080"/>
    <x v="163"/>
    <x v="163"/>
    <n v="37"/>
    <n v="1"/>
    <n v="0.3"/>
    <n v="30"/>
    <d v="2024-11-14T00:00:00"/>
    <s v="jueves"/>
    <d v="2024-11-14T00:00:00"/>
    <x v="41"/>
    <n v="16"/>
    <n v="0.53333333333333333"/>
    <n v="37"/>
    <n v="11.1"/>
    <n v="0"/>
    <n v="1"/>
    <n v="2.2262750000000002"/>
    <n v="2.2262750000000002"/>
    <n v="82.372175000000013"/>
    <n v="13"/>
    <x v="2"/>
    <n v="1.11E-2"/>
  </r>
  <r>
    <s v="SAN GABRIEL"/>
    <x v="0"/>
    <x v="0"/>
    <x v="1"/>
    <s v="QUESO MOZARELLA PIZZA KIOSKO TAJADO"/>
    <x v="2"/>
    <n v="7701"/>
    <n v="1080"/>
    <x v="167"/>
    <x v="167"/>
    <n v="15"/>
    <n v="1"/>
    <n v="0.15"/>
    <n v="40"/>
    <d v="2024-11-06T00:00:00"/>
    <s v="miércoles"/>
    <d v="2024-11-06T00:00:00"/>
    <x v="4"/>
    <n v="18"/>
    <n v="0.45"/>
    <n v="15"/>
    <n v="2.25"/>
    <n v="0"/>
    <n v="1"/>
    <n v="1.279185"/>
    <n v="1.279185"/>
    <n v="19.187775000000002"/>
    <n v="21"/>
    <x v="2"/>
    <n v="2.2499999999999998E-3"/>
  </r>
  <r>
    <s v="MACHACHI"/>
    <x v="1"/>
    <x v="1"/>
    <x v="4"/>
    <s v="YOGURT FINESSE DESLACT BOTELLA FAMILIAR"/>
    <x v="2"/>
    <n v="7701"/>
    <n v="1080"/>
    <x v="144"/>
    <x v="144"/>
    <n v="13"/>
    <n v="1"/>
    <n v="1.67"/>
    <n v="45"/>
    <d v="2024-10-25T00:00:00"/>
    <s v="viernes"/>
    <d v="2024-10-25T00:00:00"/>
    <x v="53"/>
    <n v="11"/>
    <n v="0.24444444444444444"/>
    <n v="13"/>
    <n v="21.71"/>
    <n v="0"/>
    <n v="1"/>
    <n v="2.4125399999999999"/>
    <n v="2.4125399999999999"/>
    <n v="31.363019999999999"/>
    <n v="33"/>
    <x v="2"/>
    <n v="2.171E-2"/>
  </r>
  <r>
    <s v="MACHACHI"/>
    <x v="1"/>
    <x v="1"/>
    <x v="4"/>
    <s v="YOGURT FINESSE DESLACT BOTELLA FAMILIAR"/>
    <x v="2"/>
    <n v="7701"/>
    <n v="1080"/>
    <x v="224"/>
    <x v="224"/>
    <n v="32"/>
    <n v="1"/>
    <n v="1.65"/>
    <n v="45"/>
    <d v="2024-10-31T00:00:00"/>
    <s v="jueves"/>
    <d v="2024-10-31T00:00:00"/>
    <x v="10"/>
    <n v="17"/>
    <n v="0.37777777777777777"/>
    <n v="32"/>
    <n v="52.8"/>
    <n v="0"/>
    <n v="1"/>
    <n v="2.0279499999999997"/>
    <n v="2.0279499999999997"/>
    <n v="64.89439999999999"/>
    <n v="27"/>
    <x v="2"/>
    <n v="5.28E-2"/>
  </r>
  <r>
    <s v="MULTIEMPAQUE_MACH"/>
    <x v="1"/>
    <x v="1"/>
    <x v="6"/>
    <s v="REGENERIS BAJO EN GRASA BOTELLA PERSONAL"/>
    <x v="2"/>
    <n v="7701"/>
    <n v="1080"/>
    <x v="90"/>
    <x v="90"/>
    <n v="105"/>
    <n v="1"/>
    <n v="0.72"/>
    <n v="45"/>
    <d v="2024-10-25T00:00:00"/>
    <s v="viernes"/>
    <d v="2024-10-25T00:00:00"/>
    <x v="53"/>
    <n v="11"/>
    <n v="0.24444444444444444"/>
    <n v="105"/>
    <n v="75.599999999999994"/>
    <n v="0"/>
    <n v="1"/>
    <n v="1.235225"/>
    <n v="1.235225"/>
    <n v="129.69862499999999"/>
    <n v="33"/>
    <x v="2"/>
    <n v="7.5600000000000001E-2"/>
  </r>
  <r>
    <s v="MULTIEMPAQUE_MACH"/>
    <x v="1"/>
    <x v="1"/>
    <x v="6"/>
    <s v="REGENERIS REGULAR VASO"/>
    <x v="2"/>
    <n v="7701"/>
    <n v="1080"/>
    <x v="218"/>
    <x v="218"/>
    <n v="2"/>
    <n v="1"/>
    <n v="0.6"/>
    <n v="45"/>
    <d v="2024-10-26T00:00:00"/>
    <s v="sábado"/>
    <d v="2024-10-26T00:00:00"/>
    <x v="20"/>
    <n v="12"/>
    <n v="0.26666666666666666"/>
    <n v="2"/>
    <n v="1.2"/>
    <n v="0"/>
    <n v="1"/>
    <n v="1.0306549999999999"/>
    <n v="1.0306549999999999"/>
    <n v="2.0613099999999998"/>
    <n v="32"/>
    <x v="2"/>
    <n v="1.1999999999999999E-3"/>
  </r>
  <r>
    <n v="0"/>
    <x v="5"/>
    <x v="3"/>
    <x v="18"/>
    <n v="0"/>
    <x v="3"/>
    <n v="7702"/>
    <n v="1001"/>
    <x v="39"/>
    <x v="39"/>
    <n v="0"/>
    <n v="1"/>
    <n v="0.95"/>
    <n v="45"/>
    <d v="2024-10-18T00:00:00"/>
    <s v="viernes"/>
    <d v="2024-10-18T00:00:00"/>
    <x v="96"/>
    <n v="4"/>
    <n v="8.8888888888888892E-2"/>
    <n v="4"/>
    <n v="3.8"/>
    <n v="0"/>
    <n v="1"/>
    <n v="1.055175"/>
    <n v="1.055175"/>
    <n v="4.009665"/>
    <n v="40"/>
    <x v="2"/>
    <n v="3.8E-3"/>
  </r>
  <r>
    <n v="0"/>
    <x v="5"/>
    <x v="3"/>
    <x v="18"/>
    <n v="0"/>
    <x v="3"/>
    <n v="7702"/>
    <n v="1001"/>
    <x v="188"/>
    <x v="188"/>
    <n v="0"/>
    <n v="1"/>
    <n v="1.75"/>
    <n v="45"/>
    <d v="2024-10-18T00:00:00"/>
    <s v="viernes"/>
    <d v="2024-10-18T00:00:00"/>
    <x v="96"/>
    <n v="4"/>
    <n v="8.8888888888888892E-2"/>
    <n v="8"/>
    <n v="14"/>
    <n v="0"/>
    <n v="1"/>
    <n v="2.2867100000000002"/>
    <n v="2.2867100000000002"/>
    <n v="32.013940000000005"/>
    <n v="40"/>
    <x v="2"/>
    <n v="1.4E-2"/>
  </r>
  <r>
    <n v="0"/>
    <x v="5"/>
    <x v="3"/>
    <x v="18"/>
    <n v="0"/>
    <x v="3"/>
    <n v="7702"/>
    <n v="1001"/>
    <x v="143"/>
    <x v="143"/>
    <n v="0"/>
    <n v="1"/>
    <n v="0.95"/>
    <n v="45"/>
    <d v="2024-10-18T00:00:00"/>
    <s v="viernes"/>
    <d v="2024-10-18T00:00:00"/>
    <x v="96"/>
    <n v="4"/>
    <n v="8.8888888888888892E-2"/>
    <n v="12"/>
    <n v="11.399999999999999"/>
    <n v="0"/>
    <n v="1"/>
    <n v="1.4163950000000001"/>
    <n v="1.4163950000000001"/>
    <n v="16.146902999999998"/>
    <n v="40"/>
    <x v="2"/>
    <n v="1.1399999999999999E-2"/>
  </r>
  <r>
    <n v="0"/>
    <x v="5"/>
    <x v="3"/>
    <x v="18"/>
    <n v="0"/>
    <x v="3"/>
    <n v="7702"/>
    <n v="1001"/>
    <x v="171"/>
    <x v="171"/>
    <n v="0"/>
    <n v="1"/>
    <n v="1.75"/>
    <n v="45"/>
    <d v="2024-10-18T00:00:00"/>
    <s v="viernes"/>
    <d v="2024-10-18T00:00:00"/>
    <x v="96"/>
    <n v="4"/>
    <n v="8.8888888888888892E-2"/>
    <n v="4"/>
    <n v="7"/>
    <n v="0"/>
    <n v="1"/>
    <n v="2.4097600000000003"/>
    <n v="2.4097600000000003"/>
    <n v="16.868320000000004"/>
    <n v="40"/>
    <x v="2"/>
    <n v="7.0000000000000001E-3"/>
  </r>
  <r>
    <n v="0"/>
    <x v="5"/>
    <x v="3"/>
    <x v="18"/>
    <n v="0"/>
    <x v="3"/>
    <n v="7702"/>
    <n v="1001"/>
    <x v="125"/>
    <x v="125"/>
    <n v="0"/>
    <n v="1"/>
    <n v="1"/>
    <n v="45"/>
    <d v="2024-10-18T00:00:00"/>
    <s v="viernes"/>
    <d v="2024-10-18T00:00:00"/>
    <x v="96"/>
    <n v="4"/>
    <n v="8.8888888888888892E-2"/>
    <n v="10"/>
    <n v="10"/>
    <n v="0"/>
    <n v="1"/>
    <n v="1.3744550000000002"/>
    <n v="1.3744550000000002"/>
    <n v="13.744550000000002"/>
    <n v="40"/>
    <x v="2"/>
    <n v="0.01"/>
  </r>
  <r>
    <n v="0"/>
    <x v="5"/>
    <x v="3"/>
    <x v="18"/>
    <n v="0"/>
    <x v="3"/>
    <n v="7702"/>
    <n v="1001"/>
    <x v="42"/>
    <x v="42"/>
    <n v="0"/>
    <n v="1"/>
    <n v="0.18"/>
    <n v="45"/>
    <d v="2024-10-18T00:00:00"/>
    <s v="viernes"/>
    <d v="2024-10-18T00:00:00"/>
    <x v="96"/>
    <n v="4"/>
    <n v="8.8888888888888892E-2"/>
    <n v="50"/>
    <n v="9"/>
    <n v="0"/>
    <n v="1"/>
    <n v="0.286325"/>
    <n v="0.286325"/>
    <n v="2.5769250000000001"/>
    <n v="36"/>
    <x v="2"/>
    <n v="8.9999999999999993E-3"/>
  </r>
  <r>
    <n v="0"/>
    <x v="5"/>
    <x v="3"/>
    <x v="18"/>
    <n v="0"/>
    <x v="3"/>
    <n v="7702"/>
    <n v="1001"/>
    <x v="148"/>
    <x v="148"/>
    <n v="0"/>
    <n v="1"/>
    <n v="1.75"/>
    <n v="45"/>
    <d v="2024-10-22T00:00:00"/>
    <s v="martes"/>
    <d v="2024-10-22T00:00:00"/>
    <x v="79"/>
    <n v="8"/>
    <n v="0.17777777777777778"/>
    <n v="4"/>
    <n v="7"/>
    <n v="0"/>
    <n v="1"/>
    <n v="2.48414"/>
    <n v="2.48414"/>
    <n v="17.38898"/>
    <s v=""/>
    <x v="2"/>
    <n v="7.0000000000000001E-3"/>
  </r>
  <r>
    <n v="0"/>
    <x v="5"/>
    <x v="3"/>
    <x v="18"/>
    <n v="0"/>
    <x v="3"/>
    <n v="7702"/>
    <n v="1001"/>
    <x v="185"/>
    <x v="185"/>
    <n v="0"/>
    <n v="1"/>
    <n v="0.25"/>
    <n v="35"/>
    <d v="2024-11-01T00:00:00"/>
    <s v="viernes"/>
    <d v="2024-11-01T00:00:00"/>
    <x v="79"/>
    <n v="8"/>
    <n v="0.22857142857142856"/>
    <n v="120"/>
    <n v="30"/>
    <n v="0"/>
    <n v="1"/>
    <n v="0.69428000000000001"/>
    <n v="0.69428000000000001"/>
    <n v="20.828400000000002"/>
    <n v="35"/>
    <x v="2"/>
    <n v="0.03"/>
  </r>
  <r>
    <n v="0"/>
    <x v="5"/>
    <x v="3"/>
    <x v="18"/>
    <n v="0"/>
    <x v="3"/>
    <n v="7702"/>
    <n v="1001"/>
    <x v="77"/>
    <x v="77"/>
    <n v="0"/>
    <n v="1"/>
    <n v="1.75"/>
    <n v="45"/>
    <d v="2024-10-23T00:00:00"/>
    <s v="miércoles"/>
    <d v="2024-10-23T00:00:00"/>
    <x v="66"/>
    <n v="9"/>
    <n v="0.2"/>
    <n v="8"/>
    <n v="14"/>
    <n v="0"/>
    <n v="1"/>
    <n v="2.3115999999999999"/>
    <n v="2.3115999999999999"/>
    <n v="32.362400000000001"/>
    <n v="35"/>
    <x v="2"/>
    <n v="1.4E-2"/>
  </r>
  <r>
    <n v="0"/>
    <x v="5"/>
    <x v="3"/>
    <x v="18"/>
    <n v="0"/>
    <x v="3"/>
    <n v="7702"/>
    <n v="1001"/>
    <x v="86"/>
    <x v="86"/>
    <n v="0"/>
    <n v="1"/>
    <n v="1.67"/>
    <n v="45"/>
    <d v="2024-10-23T00:00:00"/>
    <s v="miércoles"/>
    <d v="2024-10-23T00:00:00"/>
    <x v="66"/>
    <n v="9"/>
    <n v="0.2"/>
    <n v="10"/>
    <n v="16.7"/>
    <n v="0"/>
    <n v="1"/>
    <n v="2.3031100000000002"/>
    <n v="2.3031100000000002"/>
    <n v="38.461936999999999"/>
    <n v="34"/>
    <x v="2"/>
    <n v="1.67E-2"/>
  </r>
  <r>
    <n v="0"/>
    <x v="5"/>
    <x v="3"/>
    <x v="18"/>
    <n v="0"/>
    <x v="3"/>
    <n v="7702"/>
    <n v="1001"/>
    <x v="129"/>
    <x v="129"/>
    <n v="0"/>
    <n v="1"/>
    <n v="1.75"/>
    <n v="45"/>
    <d v="2024-10-24T00:00:00"/>
    <s v="jueves"/>
    <d v="2024-10-24T00:00:00"/>
    <x v="97"/>
    <n v="10"/>
    <n v="0.22222222222222221"/>
    <n v="8"/>
    <n v="14"/>
    <n v="0"/>
    <n v="1"/>
    <n v="2.36903"/>
    <n v="2.36903"/>
    <n v="33.166420000000002"/>
    <n v="33"/>
    <x v="2"/>
    <n v="1.4E-2"/>
  </r>
  <r>
    <n v="0"/>
    <x v="5"/>
    <x v="3"/>
    <x v="18"/>
    <n v="0"/>
    <x v="3"/>
    <n v="7702"/>
    <n v="1001"/>
    <x v="175"/>
    <x v="175"/>
    <n v="0"/>
    <n v="1"/>
    <n v="1.7"/>
    <n v="45"/>
    <d v="2024-10-25T00:00:00"/>
    <s v="viernes"/>
    <d v="2024-10-25T00:00:00"/>
    <x v="53"/>
    <n v="11"/>
    <n v="0.24444444444444444"/>
    <n v="4"/>
    <n v="6.8"/>
    <n v="0"/>
    <n v="1"/>
    <n v="1.7276500000000001"/>
    <n v="1.7276500000000001"/>
    <n v="11.74802"/>
    <n v="33"/>
    <x v="2"/>
    <n v="6.7999999999999996E-3"/>
  </r>
  <r>
    <n v="0"/>
    <x v="5"/>
    <x v="3"/>
    <x v="18"/>
    <n v="0"/>
    <x v="3"/>
    <n v="7702"/>
    <n v="1001"/>
    <x v="186"/>
    <x v="186"/>
    <n v="0"/>
    <n v="1"/>
    <n v="1.7"/>
    <n v="45"/>
    <d v="2024-10-25T00:00:00"/>
    <s v="viernes"/>
    <d v="2024-10-25T00:00:00"/>
    <x v="53"/>
    <n v="11"/>
    <n v="0.24444444444444444"/>
    <n v="22"/>
    <n v="37.4"/>
    <n v="0"/>
    <n v="1"/>
    <n v="1.751825"/>
    <n v="1.751825"/>
    <n v="65.518254999999996"/>
    <n v="33"/>
    <x v="2"/>
    <n v="3.7399999999999996E-2"/>
  </r>
  <r>
    <n v="0"/>
    <x v="5"/>
    <x v="3"/>
    <x v="18"/>
    <n v="0"/>
    <x v="3"/>
    <n v="7702"/>
    <n v="1001"/>
    <x v="147"/>
    <x v="147"/>
    <n v="0"/>
    <n v="1"/>
    <n v="0.18"/>
    <n v="45"/>
    <d v="2024-10-25T00:00:00"/>
    <s v="viernes"/>
    <d v="2024-10-25T00:00:00"/>
    <x v="53"/>
    <n v="11"/>
    <n v="0.24444444444444444"/>
    <n v="18"/>
    <n v="3.2399999999999998"/>
    <n v="0"/>
    <n v="1"/>
    <n v="0.30833500000000003"/>
    <n v="0.30833500000000003"/>
    <n v="0.99900540000000004"/>
    <n v="33"/>
    <x v="2"/>
    <n v="3.2399999999999998E-3"/>
  </r>
  <r>
    <n v="0"/>
    <x v="5"/>
    <x v="3"/>
    <x v="18"/>
    <n v="0"/>
    <x v="3"/>
    <n v="7702"/>
    <n v="1001"/>
    <x v="122"/>
    <x v="122"/>
    <n v="0"/>
    <n v="1"/>
    <n v="1"/>
    <n v="45"/>
    <d v="2024-10-25T00:00:00"/>
    <s v="viernes"/>
    <d v="2024-10-25T00:00:00"/>
    <x v="53"/>
    <n v="11"/>
    <n v="0.24444444444444444"/>
    <n v="7"/>
    <n v="7"/>
    <n v="0"/>
    <n v="1"/>
    <n v="1.3149000000000002"/>
    <n v="1.3149000000000002"/>
    <n v="9.2043000000000017"/>
    <n v="33"/>
    <x v="2"/>
    <n v="7.0000000000000001E-3"/>
  </r>
  <r>
    <n v="0"/>
    <x v="5"/>
    <x v="3"/>
    <x v="18"/>
    <n v="0"/>
    <x v="3"/>
    <n v="7702"/>
    <n v="1001"/>
    <x v="137"/>
    <x v="137"/>
    <n v="0"/>
    <n v="1"/>
    <n v="0.18"/>
    <n v="45"/>
    <d v="2024-10-25T00:00:00"/>
    <s v="viernes"/>
    <d v="2024-10-25T00:00:00"/>
    <x v="53"/>
    <n v="11"/>
    <n v="0.24444444444444444"/>
    <n v="27"/>
    <n v="4.8599999999999994"/>
    <n v="0"/>
    <n v="1"/>
    <n v="0.28275"/>
    <n v="0.28275"/>
    <n v="1.3741649999999999"/>
    <n v="33"/>
    <x v="2"/>
    <n v="4.8599999999999997E-3"/>
  </r>
  <r>
    <n v="0"/>
    <x v="5"/>
    <x v="3"/>
    <x v="18"/>
    <n v="0"/>
    <x v="3"/>
    <n v="7702"/>
    <n v="1001"/>
    <x v="144"/>
    <x v="144"/>
    <n v="0"/>
    <n v="1"/>
    <n v="1.67"/>
    <n v="45"/>
    <d v="2024-10-25T00:00:00"/>
    <s v="viernes"/>
    <d v="2024-10-25T00:00:00"/>
    <x v="53"/>
    <n v="11"/>
    <n v="0.24444444444444444"/>
    <n v="6"/>
    <n v="10.02"/>
    <n v="0"/>
    <n v="1"/>
    <n v="2.4125399999999999"/>
    <n v="2.4125399999999999"/>
    <n v="24.173650799999997"/>
    <n v="28"/>
    <x v="2"/>
    <n v="1.0019999999999999E-2"/>
  </r>
  <r>
    <n v="0"/>
    <x v="5"/>
    <x v="3"/>
    <x v="18"/>
    <n v="0"/>
    <x v="3"/>
    <n v="7702"/>
    <n v="1001"/>
    <x v="9"/>
    <x v="9"/>
    <n v="0"/>
    <n v="1"/>
    <n v="0.95"/>
    <n v="45"/>
    <d v="2024-10-30T00:00:00"/>
    <s v="miércoles"/>
    <d v="2024-10-30T00:00:00"/>
    <x v="41"/>
    <n v="16"/>
    <n v="0.35555555555555557"/>
    <n v="31"/>
    <n v="29.45"/>
    <n v="0"/>
    <n v="1"/>
    <n v="1.062665"/>
    <n v="1.062665"/>
    <n v="31.295484249999998"/>
    <n v="28"/>
    <x v="2"/>
    <n v="2.945E-2"/>
  </r>
  <r>
    <n v="0"/>
    <x v="5"/>
    <x v="3"/>
    <x v="18"/>
    <n v="0"/>
    <x v="3"/>
    <n v="7702"/>
    <n v="1001"/>
    <x v="218"/>
    <x v="218"/>
    <n v="0"/>
    <n v="1"/>
    <n v="0.6"/>
    <n v="45"/>
    <d v="2024-10-30T00:00:00"/>
    <s v="miércoles"/>
    <d v="2024-10-30T00:00:00"/>
    <x v="41"/>
    <n v="16"/>
    <n v="0.35555555555555557"/>
    <n v="21"/>
    <n v="12.6"/>
    <n v="0"/>
    <n v="1"/>
    <n v="1.0306549999999999"/>
    <n v="1.0306549999999999"/>
    <n v="12.986252999999998"/>
    <n v="27"/>
    <x v="2"/>
    <n v="1.26E-2"/>
  </r>
  <r>
    <n v="0"/>
    <x v="5"/>
    <x v="3"/>
    <x v="18"/>
    <n v="0"/>
    <x v="3"/>
    <n v="7702"/>
    <n v="1001"/>
    <x v="5"/>
    <x v="5"/>
    <n v="0"/>
    <n v="1"/>
    <n v="0.95"/>
    <n v="45"/>
    <d v="2024-10-31T00:00:00"/>
    <s v="jueves"/>
    <d v="2024-10-31T00:00:00"/>
    <x v="10"/>
    <n v="17"/>
    <n v="0.37777777777777777"/>
    <n v="42"/>
    <n v="39.9"/>
    <n v="0"/>
    <n v="1"/>
    <n v="1.02759"/>
    <n v="1.02759"/>
    <n v="41.000841000000001"/>
    <n v="27"/>
    <x v="2"/>
    <n v="3.9899999999999998E-2"/>
  </r>
  <r>
    <n v="0"/>
    <x v="5"/>
    <x v="3"/>
    <x v="18"/>
    <n v="0"/>
    <x v="3"/>
    <n v="7702"/>
    <n v="1001"/>
    <x v="54"/>
    <x v="54"/>
    <n v="0"/>
    <n v="1"/>
    <n v="0.95"/>
    <n v="45"/>
    <d v="2024-10-31T00:00:00"/>
    <s v="jueves"/>
    <d v="2024-10-31T00:00:00"/>
    <x v="10"/>
    <n v="17"/>
    <n v="0.37777777777777777"/>
    <n v="17"/>
    <n v="16.149999999999999"/>
    <n v="0"/>
    <n v="1"/>
    <n v="1.0303550000000001"/>
    <n v="1.0303550000000001"/>
    <n v="16.640233250000001"/>
    <n v="27"/>
    <x v="2"/>
    <n v="1.6149999999999998E-2"/>
  </r>
  <r>
    <n v="0"/>
    <x v="5"/>
    <x v="3"/>
    <x v="18"/>
    <n v="0"/>
    <x v="3"/>
    <n v="7702"/>
    <n v="1001"/>
    <x v="39"/>
    <x v="39"/>
    <n v="0"/>
    <n v="1"/>
    <n v="0.95"/>
    <n v="45"/>
    <d v="2024-10-31T00:00:00"/>
    <s v="jueves"/>
    <d v="2024-10-31T00:00:00"/>
    <x v="10"/>
    <n v="17"/>
    <n v="0.37777777777777777"/>
    <n v="14"/>
    <n v="13.299999999999999"/>
    <n v="0"/>
    <n v="1"/>
    <n v="1.055175"/>
    <n v="1.055175"/>
    <n v="14.033827499999999"/>
    <n v="27"/>
    <x v="2"/>
    <n v="1.3299999999999999E-2"/>
  </r>
  <r>
    <n v="0"/>
    <x v="5"/>
    <x v="3"/>
    <x v="18"/>
    <n v="0"/>
    <x v="3"/>
    <n v="7702"/>
    <n v="1001"/>
    <x v="126"/>
    <x v="126"/>
    <n v="0"/>
    <n v="1"/>
    <n v="0.18"/>
    <n v="45"/>
    <d v="2024-10-31T00:00:00"/>
    <s v="jueves"/>
    <d v="2024-10-31T00:00:00"/>
    <x v="10"/>
    <n v="17"/>
    <n v="0.37777777777777777"/>
    <n v="242"/>
    <n v="43.559999999999995"/>
    <n v="0"/>
    <n v="1"/>
    <n v="0.30145500000000003"/>
    <n v="0.30145500000000003"/>
    <n v="13.131379799999999"/>
    <n v="27"/>
    <x v="2"/>
    <n v="4.3559999999999995E-2"/>
  </r>
  <r>
    <n v="0"/>
    <x v="5"/>
    <x v="3"/>
    <x v="18"/>
    <n v="0"/>
    <x v="3"/>
    <n v="7702"/>
    <n v="1001"/>
    <x v="130"/>
    <x v="130"/>
    <n v="0"/>
    <n v="1"/>
    <n v="1"/>
    <n v="45"/>
    <d v="2024-10-31T00:00:00"/>
    <s v="jueves"/>
    <d v="2024-10-31T00:00:00"/>
    <x v="10"/>
    <n v="17"/>
    <n v="0.37777777777777777"/>
    <n v="9"/>
    <n v="9"/>
    <n v="0"/>
    <n v="1"/>
    <n v="1.4067150000000002"/>
    <n v="1.4067150000000002"/>
    <n v="12.660435000000001"/>
    <n v="27"/>
    <x v="2"/>
    <n v="8.9999999999999993E-3"/>
  </r>
  <r>
    <n v="0"/>
    <x v="5"/>
    <x v="3"/>
    <x v="18"/>
    <n v="0"/>
    <x v="3"/>
    <n v="7702"/>
    <n v="1001"/>
    <x v="13"/>
    <x v="13"/>
    <n v="0"/>
    <n v="1"/>
    <n v="0.18"/>
    <n v="45"/>
    <d v="2024-10-31T00:00:00"/>
    <s v="jueves"/>
    <d v="2024-10-31T00:00:00"/>
    <x v="10"/>
    <n v="17"/>
    <n v="0.37777777777777777"/>
    <n v="33"/>
    <n v="5.9399999999999995"/>
    <n v="0"/>
    <n v="1"/>
    <n v="0.24857499999999999"/>
    <n v="0.24857499999999999"/>
    <n v="1.4765354999999998"/>
    <n v="27"/>
    <x v="2"/>
    <n v="5.9399999999999991E-3"/>
  </r>
  <r>
    <n v="0"/>
    <x v="5"/>
    <x v="3"/>
    <x v="18"/>
    <n v="0"/>
    <x v="3"/>
    <n v="7702"/>
    <n v="1001"/>
    <x v="183"/>
    <x v="183"/>
    <n v="0"/>
    <n v="1"/>
    <n v="0.18"/>
    <n v="45"/>
    <d v="2024-10-31T00:00:00"/>
    <s v="jueves"/>
    <d v="2024-10-31T00:00:00"/>
    <x v="10"/>
    <n v="17"/>
    <n v="0.37777777777777777"/>
    <n v="17"/>
    <n v="3.06"/>
    <n v="0"/>
    <n v="1"/>
    <n v="0.24412500000000001"/>
    <n v="0.24412500000000001"/>
    <n v="0.74702250000000003"/>
    <n v="27"/>
    <x v="2"/>
    <n v="3.0600000000000002E-3"/>
  </r>
  <r>
    <n v="0"/>
    <x v="5"/>
    <x v="3"/>
    <x v="18"/>
    <n v="0"/>
    <x v="3"/>
    <n v="7702"/>
    <n v="1001"/>
    <x v="95"/>
    <x v="95"/>
    <n v="0"/>
    <n v="1"/>
    <n v="0.18"/>
    <n v="45"/>
    <d v="2024-10-31T00:00:00"/>
    <s v="jueves"/>
    <d v="2024-10-31T00:00:00"/>
    <x v="10"/>
    <n v="17"/>
    <n v="0.37777777777777777"/>
    <n v="44"/>
    <n v="7.92"/>
    <n v="0"/>
    <n v="1"/>
    <n v="0.243175"/>
    <n v="0.243175"/>
    <n v="1.9259459999999999"/>
    <n v="27"/>
    <x v="2"/>
    <n v="7.92E-3"/>
  </r>
  <r>
    <n v="0"/>
    <x v="5"/>
    <x v="3"/>
    <x v="18"/>
    <n v="0"/>
    <x v="3"/>
    <n v="7702"/>
    <n v="1001"/>
    <x v="147"/>
    <x v="147"/>
    <n v="0"/>
    <n v="1"/>
    <n v="0.18"/>
    <n v="45"/>
    <d v="2024-10-31T00:00:00"/>
    <s v="jueves"/>
    <d v="2024-10-31T00:00:00"/>
    <x v="10"/>
    <n v="17"/>
    <n v="0.37777777777777777"/>
    <n v="50"/>
    <n v="9"/>
    <n v="0"/>
    <n v="1"/>
    <n v="0.30833500000000003"/>
    <n v="0.30833500000000003"/>
    <n v="2.7750150000000002"/>
    <n v="27"/>
    <x v="2"/>
    <n v="8.9999999999999993E-3"/>
  </r>
  <r>
    <n v="0"/>
    <x v="5"/>
    <x v="3"/>
    <x v="18"/>
    <n v="0"/>
    <x v="3"/>
    <n v="7702"/>
    <n v="1001"/>
    <x v="161"/>
    <x v="161"/>
    <n v="0"/>
    <n v="1"/>
    <n v="0.18"/>
    <n v="45"/>
    <d v="2024-10-31T00:00:00"/>
    <s v="jueves"/>
    <d v="2024-10-31T00:00:00"/>
    <x v="10"/>
    <n v="17"/>
    <n v="0.37777777777777777"/>
    <n v="10"/>
    <n v="1.7999999999999998"/>
    <n v="0"/>
    <n v="1"/>
    <n v="0.31489500000000004"/>
    <n v="0.31489500000000004"/>
    <n v="0.56681099999999995"/>
    <s v=""/>
    <x v="2"/>
    <n v="1.7999999999999997E-3"/>
  </r>
  <r>
    <n v="0"/>
    <x v="5"/>
    <x v="3"/>
    <x v="18"/>
    <n v="0"/>
    <x v="3"/>
    <n v="7702"/>
    <n v="1001"/>
    <x v="162"/>
    <x v="162"/>
    <n v="0"/>
    <n v="1"/>
    <n v="1.75"/>
    <n v="45"/>
    <d v="2024-11-01T00:00:00"/>
    <s v="viernes"/>
    <d v="2024-11-01T00:00:00"/>
    <x v="4"/>
    <n v="18"/>
    <n v="0.4"/>
    <n v="2"/>
    <n v="3.5"/>
    <n v="0"/>
    <n v="1"/>
    <n v="2.164625"/>
    <n v="2.164625"/>
    <n v="7.5761874999999996"/>
    <s v=""/>
    <x v="2"/>
    <n v="3.5000000000000001E-3"/>
  </r>
  <r>
    <n v="0"/>
    <x v="5"/>
    <x v="3"/>
    <x v="18"/>
    <n v="0"/>
    <x v="3"/>
    <n v="7702"/>
    <n v="1001"/>
    <x v="155"/>
    <x v="155"/>
    <n v="0"/>
    <n v="1"/>
    <n v="4.4999999999999998E-2"/>
    <n v="90"/>
    <d v="2024-09-27T00:00:00"/>
    <s v="viernes"/>
    <d v="2024-09-27T00:00:00"/>
    <x v="43"/>
    <n v="28"/>
    <n v="0.31111111111111112"/>
    <n v="295"/>
    <n v="13.275"/>
    <n v="0"/>
    <n v="1"/>
    <n v="0.14824500000000002"/>
    <n v="0.14824500000000002"/>
    <n v="1.9679523750000003"/>
    <n v="45623"/>
    <x v="0"/>
    <n v="1.3275E-2"/>
  </r>
  <r>
    <m/>
    <x v="6"/>
    <x v="4"/>
    <x v="19"/>
    <m/>
    <x v="4"/>
    <m/>
    <m/>
    <x v="225"/>
    <x v="225"/>
    <m/>
    <m/>
    <m/>
    <m/>
    <m/>
    <m/>
    <m/>
    <x v="98"/>
    <m/>
    <m/>
    <m/>
    <m/>
    <m/>
    <m/>
    <m/>
    <m/>
    <m/>
    <m/>
    <x v="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8">
  <r>
    <s v="GUAYAQUIL"/>
    <x v="0"/>
    <x v="0"/>
    <x v="0"/>
    <s v="Q CREMO DEL CAMPO KIOSKO BLOQ 450G"/>
    <n v="270"/>
    <n v="1"/>
    <n v="0.45"/>
    <n v="45"/>
    <d v="2024-11-19T00:00:00"/>
    <s v="martes"/>
    <d v="2024-11-15T00:00:00"/>
    <x v="0"/>
    <n v="32"/>
    <n v="0.71111111111111114"/>
    <n v="2"/>
    <n v="0.9"/>
    <n v="4"/>
    <n v="0.91111111111111109"/>
    <n v="2.3185549999999999"/>
    <n v="2.3185549999999999"/>
    <n v="2.0866994999999999"/>
    <n v="8"/>
    <x v="0"/>
    <n v="8.9999999999999998E-4"/>
  </r>
  <r>
    <s v="GUAYAQUIL"/>
    <x v="0"/>
    <x v="0"/>
    <x v="0"/>
    <s v="Q CREMO DEL CAMPO KIOSKO BLOQ 450G"/>
    <n v="90"/>
    <n v="1"/>
    <n v="0.45"/>
    <n v="45"/>
    <d v="2024-11-21T00:00:00"/>
    <s v="jueves"/>
    <d v="2024-11-15T00:00:00"/>
    <x v="0"/>
    <n v="32"/>
    <n v="0.71111111111111114"/>
    <n v="90"/>
    <n v="40.5"/>
    <n v="6"/>
    <n v="0.8666666666666667"/>
    <n v="2.3185549999999999"/>
    <n v="2.3185549999999999"/>
    <n v="93.901477499999999"/>
    <n v="6"/>
    <x v="0"/>
    <n v="4.0500000000000001E-2"/>
  </r>
  <r>
    <s v="GUAYAQUIL"/>
    <x v="0"/>
    <x v="0"/>
    <x v="1"/>
    <s v="Q MOZAR KIOSKO SNACK 50G"/>
    <n v="1950"/>
    <n v="1"/>
    <n v="0.05"/>
    <n v="40"/>
    <d v="2024-11-15T00:00:00"/>
    <s v="viernes"/>
    <d v="2024-11-12T00:00:00"/>
    <x v="1"/>
    <n v="24"/>
    <n v="0.6"/>
    <n v="1059"/>
    <n v="52.95"/>
    <n v="3"/>
    <n v="0.92500000000000004"/>
    <n v="0.30701500000000004"/>
    <n v="0.30701500000000004"/>
    <n v="16.256444250000001"/>
    <n v="12"/>
    <x v="1"/>
    <n v="5.2950000000000004E-2"/>
  </r>
  <r>
    <s v="GUAYAQUIL"/>
    <x v="0"/>
    <x v="0"/>
    <x v="1"/>
    <s v="Q MOZAR KIOSKO SNACK 50G"/>
    <n v="3150"/>
    <n v="1"/>
    <n v="0.05"/>
    <n v="40"/>
    <d v="2024-11-19T00:00:00"/>
    <s v="martes"/>
    <d v="2024-11-18T00:00:00"/>
    <x v="2"/>
    <n v="30"/>
    <n v="0.75"/>
    <n v="2287"/>
    <n v="114.35000000000001"/>
    <n v="1"/>
    <n v="0.97499999999999998"/>
    <n v="0.30701500000000004"/>
    <n v="0.30701500000000004"/>
    <n v="35.107165250000008"/>
    <n v="8"/>
    <x v="0"/>
    <n v="0.11435000000000001"/>
  </r>
  <r>
    <s v="GUAYAQUIL"/>
    <x v="0"/>
    <x v="0"/>
    <x v="1"/>
    <s v="Q MOZAR KIOSKO SNACK 50G"/>
    <n v="450"/>
    <n v="1"/>
    <n v="0.05"/>
    <n v="40"/>
    <d v="2024-11-20T00:00:00"/>
    <s v="miércoles"/>
    <d v="2024-11-21T00:00:00"/>
    <x v="3"/>
    <n v="33"/>
    <n v="0.82499999999999996"/>
    <n v="450"/>
    <n v="22.5"/>
    <n v="-1"/>
    <n v="1.0249999999999999"/>
    <n v="0.30701500000000004"/>
    <n v="0.30701500000000004"/>
    <n v="6.9078375000000012"/>
    <n v="7"/>
    <x v="0"/>
    <n v="2.2499999999999999E-2"/>
  </r>
  <r>
    <s v="GUAYAQUIL"/>
    <x v="0"/>
    <x v="0"/>
    <x v="1"/>
    <s v="Q MOZAR KIOSKO SNACK 50G"/>
    <n v="750"/>
    <n v="1"/>
    <n v="0.05"/>
    <n v="40"/>
    <d v="2024-11-21T00:00:00"/>
    <s v="jueves"/>
    <d v="2024-11-21T00:00:00"/>
    <x v="3"/>
    <n v="33"/>
    <n v="0.82499999999999996"/>
    <n v="750"/>
    <n v="37.5"/>
    <n v="0"/>
    <n v="1"/>
    <n v="0.30701500000000004"/>
    <n v="0.30701500000000004"/>
    <n v="11.513062500000002"/>
    <n v="6"/>
    <x v="0"/>
    <n v="3.7499999999999999E-2"/>
  </r>
  <r>
    <s v="GUAYAQUIL"/>
    <x v="0"/>
    <x v="0"/>
    <x v="2"/>
    <s v="BY NEON VASO 170G"/>
    <n v="840"/>
    <n v="1"/>
    <n v="0.17"/>
    <n v="45"/>
    <d v="2024-11-09T00:00:00"/>
    <s v="sábado"/>
    <d v="2024-11-01T00:00:00"/>
    <x v="4"/>
    <n v="18"/>
    <n v="0.4"/>
    <n v="6"/>
    <n v="1.02"/>
    <n v="8"/>
    <n v="0.82222222222222219"/>
    <n v="0.38769999999999999"/>
    <n v="0.38769999999999999"/>
    <n v="0.39545399999999997"/>
    <n v="18"/>
    <x v="2"/>
    <n v="1.0200000000000001E-3"/>
  </r>
  <r>
    <s v="GUAYAQUIL"/>
    <x v="0"/>
    <x v="0"/>
    <x v="2"/>
    <s v="BY NEON VASO 170G"/>
    <n v="480"/>
    <n v="1"/>
    <n v="0.17"/>
    <n v="45"/>
    <d v="2024-11-16T00:00:00"/>
    <s v="sábado"/>
    <d v="2024-11-12T00:00:00"/>
    <x v="5"/>
    <n v="29"/>
    <n v="0.64444444444444449"/>
    <n v="480"/>
    <n v="81.600000000000009"/>
    <n v="4"/>
    <n v="0.91111111111111109"/>
    <n v="0.38769999999999999"/>
    <n v="0.38769999999999999"/>
    <n v="31.636320000000001"/>
    <n v="11"/>
    <x v="0"/>
    <n v="8.1600000000000006E-2"/>
  </r>
  <r>
    <s v="GUAYAQUIL"/>
    <x v="0"/>
    <x v="0"/>
    <x v="2"/>
    <s v="BY NEON VASO 170G"/>
    <n v="540"/>
    <n v="1"/>
    <n v="0.17"/>
    <n v="45"/>
    <d v="2024-11-15T00:00:00"/>
    <s v="viernes"/>
    <d v="2024-11-12T00:00:00"/>
    <x v="5"/>
    <n v="29"/>
    <n v="0.64444444444444449"/>
    <n v="540"/>
    <n v="91.800000000000011"/>
    <n v="3"/>
    <n v="0.93333333333333335"/>
    <n v="0.38769999999999999"/>
    <n v="0.38769999999999999"/>
    <n v="35.590860000000006"/>
    <n v="12"/>
    <x v="0"/>
    <n v="9.1800000000000007E-2"/>
  </r>
  <r>
    <s v="GUAYAQUIL"/>
    <x v="0"/>
    <x v="0"/>
    <x v="2"/>
    <s v="BY NEON VASO 170G"/>
    <n v="600"/>
    <n v="1"/>
    <n v="0.17"/>
    <n v="45"/>
    <d v="2024-11-14T00:00:00"/>
    <s v="jueves"/>
    <d v="2024-11-09T00:00:00"/>
    <x v="6"/>
    <n v="26"/>
    <n v="0.57777777777777772"/>
    <n v="102"/>
    <n v="17.34"/>
    <n v="5"/>
    <n v="0.88888888888888884"/>
    <n v="0.38769999999999999"/>
    <n v="0.38769999999999999"/>
    <n v="6.7227179999999995"/>
    <n v="13"/>
    <x v="1"/>
    <n v="1.7340000000000001E-2"/>
  </r>
  <r>
    <s v="GUAYAQUIL"/>
    <x v="0"/>
    <x v="0"/>
    <x v="2"/>
    <s v="BY NEON VASO 170G"/>
    <n v="480"/>
    <n v="1"/>
    <n v="0.17"/>
    <n v="45"/>
    <d v="2024-11-20T00:00:00"/>
    <s v="miércoles"/>
    <d v="2024-11-16T00:00:00"/>
    <x v="3"/>
    <n v="33"/>
    <n v="0.73333333333333328"/>
    <n v="300"/>
    <n v="51.000000000000007"/>
    <n v="4"/>
    <n v="0.91111111111111109"/>
    <n v="0.38769999999999999"/>
    <n v="0.38769999999999999"/>
    <n v="19.772700000000004"/>
    <n v="7"/>
    <x v="0"/>
    <n v="5.1000000000000004E-2"/>
  </r>
  <r>
    <s v="GUAYAQUIL"/>
    <x v="0"/>
    <x v="0"/>
    <x v="2"/>
    <s v="BY NEON VASO 170G"/>
    <n v="780"/>
    <n v="1"/>
    <n v="0.17"/>
    <n v="45"/>
    <d v="2024-11-21T00:00:00"/>
    <s v="jueves"/>
    <d v="2024-11-16T00:00:00"/>
    <x v="3"/>
    <n v="33"/>
    <n v="0.73333333333333328"/>
    <n v="780"/>
    <n v="132.60000000000002"/>
    <n v="5"/>
    <n v="0.88888888888888884"/>
    <n v="0.38769999999999999"/>
    <n v="0.38769999999999999"/>
    <n v="51.409020000000005"/>
    <n v="6"/>
    <x v="0"/>
    <n v="0.13260000000000002"/>
  </r>
  <r>
    <s v="GUAYAQUIL"/>
    <x v="0"/>
    <x v="0"/>
    <x v="3"/>
    <s v="YOG BBLE KIOSKO DZNO BOT 3.5KG"/>
    <n v="56"/>
    <n v="1"/>
    <n v="3.5"/>
    <n v="45"/>
    <d v="2024-11-16T00:00:00"/>
    <s v="sábado"/>
    <d v="2024-11-14T00:00:00"/>
    <x v="7"/>
    <n v="31"/>
    <n v="0.68888888888888888"/>
    <n v="56"/>
    <n v="196"/>
    <n v="2"/>
    <n v="0.9555555555555556"/>
    <n v="2.9180649999999999"/>
    <n v="2.9180649999999999"/>
    <n v="571.94074000000001"/>
    <n v="11"/>
    <x v="0"/>
    <n v="0.19600000000000001"/>
  </r>
  <r>
    <s v="GUAYAQUIL"/>
    <x v="0"/>
    <x v="0"/>
    <x v="3"/>
    <s v="YOG BBLE KIOSKO DZNO BOT 3.5KG"/>
    <n v="104"/>
    <n v="1"/>
    <n v="3.5"/>
    <n v="45"/>
    <d v="2024-11-15T00:00:00"/>
    <s v="viernes"/>
    <d v="2024-11-14T00:00:00"/>
    <x v="7"/>
    <n v="31"/>
    <n v="0.68888888888888888"/>
    <n v="11"/>
    <n v="38.5"/>
    <n v="1"/>
    <n v="0.97777777777777775"/>
    <n v="2.9180649999999999"/>
    <n v="2.9180649999999999"/>
    <n v="112.34550249999999"/>
    <n v="12"/>
    <x v="0"/>
    <n v="3.85E-2"/>
  </r>
  <r>
    <s v="GUAYAQUIL"/>
    <x v="0"/>
    <x v="0"/>
    <x v="3"/>
    <s v="YOG BBLE KIOSKO DZNO BOT 3.5KG"/>
    <n v="104"/>
    <n v="1"/>
    <n v="3.5"/>
    <n v="45"/>
    <d v="2024-11-19T00:00:00"/>
    <s v="martes"/>
    <d v="2024-11-15T00:00:00"/>
    <x v="0"/>
    <n v="32"/>
    <n v="0.71111111111111114"/>
    <n v="104"/>
    <n v="364"/>
    <n v="4"/>
    <n v="0.91111111111111109"/>
    <n v="2.9180649999999999"/>
    <n v="2.9180649999999999"/>
    <n v="1062.1756599999999"/>
    <n v="8"/>
    <x v="0"/>
    <n v="0.36399999999999999"/>
  </r>
  <r>
    <s v="GUAYAQUIL"/>
    <x v="0"/>
    <x v="0"/>
    <x v="3"/>
    <s v="YOG BBLE KIOSKO DZNO BOT 3.5KG"/>
    <n v="104"/>
    <n v="1"/>
    <n v="3.5"/>
    <n v="45"/>
    <d v="2024-11-20T00:00:00"/>
    <s v="miércoles"/>
    <d v="2024-11-19T00:00:00"/>
    <x v="8"/>
    <n v="36"/>
    <n v="0.8"/>
    <n v="104"/>
    <n v="364"/>
    <n v="1"/>
    <n v="0.97777777777777775"/>
    <n v="2.9180649999999999"/>
    <n v="2.9180649999999999"/>
    <n v="1062.1756599999999"/>
    <n v="7"/>
    <x v="0"/>
    <n v="0.36399999999999999"/>
  </r>
  <r>
    <s v="GUAYAQUIL"/>
    <x v="0"/>
    <x v="0"/>
    <x v="4"/>
    <s v="YOG BBLE KID KK FTLLA BOT 120G"/>
    <n v="2730"/>
    <n v="1"/>
    <n v="0.12"/>
    <n v="45"/>
    <d v="2024-11-09T00:00:00"/>
    <s v="sábado"/>
    <d v="2024-11-01T00:00:00"/>
    <x v="4"/>
    <n v="18"/>
    <n v="0.4"/>
    <n v="1"/>
    <n v="0.12"/>
    <n v="8"/>
    <n v="0.82222222222222219"/>
    <n v="0.25833499999999998"/>
    <n v="0.25833499999999998"/>
    <n v="3.1000199999999995E-2"/>
    <n v="18"/>
    <x v="2"/>
    <n v="1.1999999999999999E-4"/>
  </r>
  <r>
    <s v="GUAYAQUIL"/>
    <x v="0"/>
    <x v="0"/>
    <x v="4"/>
    <s v="YOG BBLE KID KK FTLLA BOT 120G"/>
    <n v="728"/>
    <n v="1"/>
    <n v="0.12"/>
    <n v="45"/>
    <d v="2024-11-16T00:00:00"/>
    <s v="sábado"/>
    <d v="2024-11-13T00:00:00"/>
    <x v="2"/>
    <n v="30"/>
    <n v="0.66666666666666663"/>
    <n v="406"/>
    <n v="48.72"/>
    <n v="3"/>
    <n v="0.93333333333333335"/>
    <n v="0.25833499999999998"/>
    <n v="0.25833499999999998"/>
    <n v="12.586081199999999"/>
    <n v="11"/>
    <x v="0"/>
    <n v="4.8719999999999999E-2"/>
  </r>
  <r>
    <s v="GUAYAQUIL"/>
    <x v="0"/>
    <x v="0"/>
    <x v="4"/>
    <s v="YOG BBLE KID KK FTLLA BOT 120G"/>
    <n v="364"/>
    <n v="1"/>
    <n v="0.12"/>
    <n v="45"/>
    <d v="2024-11-14T00:00:00"/>
    <s v="jueves"/>
    <d v="2024-11-08T00:00:00"/>
    <x v="9"/>
    <n v="25"/>
    <n v="0.55555555555555558"/>
    <n v="8"/>
    <n v="0.96"/>
    <n v="6"/>
    <n v="0.8666666666666667"/>
    <n v="0.25833499999999998"/>
    <n v="0.25833499999999998"/>
    <n v="0.24800159999999996"/>
    <n v="13"/>
    <x v="1"/>
    <n v="9.5999999999999992E-4"/>
  </r>
  <r>
    <s v="GUAYAQUIL"/>
    <x v="0"/>
    <x v="0"/>
    <x v="4"/>
    <s v="YOG BBLE KID KK FTLLA BOT 120G"/>
    <n v="728"/>
    <n v="1"/>
    <n v="0.12"/>
    <n v="45"/>
    <d v="2024-11-19T00:00:00"/>
    <s v="martes"/>
    <d v="2024-11-13T00:00:00"/>
    <x v="2"/>
    <n v="30"/>
    <n v="0.66666666666666663"/>
    <n v="728"/>
    <n v="87.36"/>
    <n v="6"/>
    <n v="0.8666666666666667"/>
    <n v="0.25833499999999998"/>
    <n v="0.25833499999999998"/>
    <n v="22.568145599999998"/>
    <n v="8"/>
    <x v="0"/>
    <n v="8.7359999999999993E-2"/>
  </r>
  <r>
    <s v="GUAYAQUIL"/>
    <x v="0"/>
    <x v="0"/>
    <x v="4"/>
    <s v="YOG BBLE KID KK FTLLA BOT 120G"/>
    <n v="1092"/>
    <n v="1"/>
    <n v="0.12"/>
    <n v="45"/>
    <d v="2024-11-20T00:00:00"/>
    <s v="miércoles"/>
    <d v="2024-11-13T00:00:00"/>
    <x v="2"/>
    <n v="30"/>
    <n v="0.66666666666666663"/>
    <n v="1092"/>
    <n v="131.04"/>
    <n v="7"/>
    <n v="0.84444444444444444"/>
    <n v="0.25833499999999998"/>
    <n v="0.25833499999999998"/>
    <n v="33.852218399999998"/>
    <n v="7"/>
    <x v="0"/>
    <n v="0.13103999999999999"/>
  </r>
  <r>
    <s v="GUAYAQUIL"/>
    <x v="0"/>
    <x v="0"/>
    <x v="5"/>
    <s v="YOG BBLE KIOSKO MOR BOT 950G"/>
    <n v="18"/>
    <n v="1"/>
    <n v="0.95"/>
    <n v="45"/>
    <d v="2024-11-16T00:00:00"/>
    <s v="sábado"/>
    <d v="2024-11-08T00:00:00"/>
    <x v="9"/>
    <n v="25"/>
    <n v="0.55555555555555558"/>
    <n v="18"/>
    <n v="17.099999999999998"/>
    <n v="8"/>
    <n v="0.82222222222222219"/>
    <n v="1.02759"/>
    <n v="1.02759"/>
    <n v="17.571788999999999"/>
    <n v="11"/>
    <x v="1"/>
    <n v="1.7099999999999997E-2"/>
  </r>
  <r>
    <s v="GUAYAQUIL"/>
    <x v="0"/>
    <x v="0"/>
    <x v="5"/>
    <s v="YOG BBLE KIOSKO MOR BOT 950G"/>
    <n v="18"/>
    <n v="1"/>
    <n v="0.95"/>
    <n v="45"/>
    <d v="2024-11-15T00:00:00"/>
    <s v="viernes"/>
    <d v="2024-11-08T00:00:00"/>
    <x v="9"/>
    <n v="25"/>
    <n v="0.55555555555555558"/>
    <n v="18"/>
    <n v="17.099999999999998"/>
    <n v="7"/>
    <n v="0.84444444444444444"/>
    <n v="1.02759"/>
    <n v="1.02759"/>
    <n v="17.571788999999999"/>
    <n v="12"/>
    <x v="1"/>
    <n v="1.7099999999999997E-2"/>
  </r>
  <r>
    <s v="GUAYAQUIL"/>
    <x v="0"/>
    <x v="0"/>
    <x v="5"/>
    <s v="YOG BBLE KIOSKO MOR BOT 950G"/>
    <n v="18"/>
    <n v="1"/>
    <n v="0.95"/>
    <n v="45"/>
    <d v="2024-11-14T00:00:00"/>
    <s v="jueves"/>
    <d v="2024-11-08T00:00:00"/>
    <x v="9"/>
    <n v="25"/>
    <n v="0.55555555555555558"/>
    <n v="3"/>
    <n v="2.8499999999999996"/>
    <n v="6"/>
    <n v="0.8666666666666667"/>
    <n v="1.02759"/>
    <n v="1.02759"/>
    <n v="2.9286314999999998"/>
    <n v="13"/>
    <x v="1"/>
    <n v="2.8499999999999997E-3"/>
  </r>
  <r>
    <s v="GUAYAQUIL"/>
    <x v="0"/>
    <x v="0"/>
    <x v="5"/>
    <s v="YOG BBLE KIOSKO MOR BOT 950G"/>
    <n v="18"/>
    <n v="1"/>
    <n v="0.95"/>
    <n v="45"/>
    <d v="2024-11-19T00:00:00"/>
    <s v="martes"/>
    <d v="2024-11-15T00:00:00"/>
    <x v="0"/>
    <n v="32"/>
    <n v="0.71111111111111114"/>
    <n v="0"/>
    <n v="0"/>
    <n v="4"/>
    <n v="0.91111111111111109"/>
    <n v="1.02759"/>
    <n v="1.02759"/>
    <n v="0"/>
    <n v="8"/>
    <x v="0"/>
    <n v="0"/>
  </r>
  <r>
    <s v="GUAYAQUIL"/>
    <x v="0"/>
    <x v="0"/>
    <x v="5"/>
    <s v="YOG BBLE KIOSKO MOR BOT 950G"/>
    <n v="18"/>
    <n v="1"/>
    <n v="0.95"/>
    <n v="45"/>
    <d v="2024-11-20T00:00:00"/>
    <s v="miércoles"/>
    <d v="2024-11-15T00:00:00"/>
    <x v="0"/>
    <n v="32"/>
    <n v="0.71111111111111114"/>
    <n v="18"/>
    <n v="17.099999999999998"/>
    <n v="5"/>
    <n v="0.88888888888888884"/>
    <n v="1.02759"/>
    <n v="1.02759"/>
    <n v="17.571788999999999"/>
    <n v="7"/>
    <x v="0"/>
    <n v="1.7099999999999997E-2"/>
  </r>
  <r>
    <s v="GUAYAQUIL"/>
    <x v="0"/>
    <x v="0"/>
    <x v="5"/>
    <s v="YOG BBLE KIOSKO MOR BOT 950G"/>
    <n v="18"/>
    <n v="1"/>
    <n v="0.95"/>
    <n v="45"/>
    <d v="2024-11-21T00:00:00"/>
    <s v="jueves"/>
    <d v="2024-11-15T00:00:00"/>
    <x v="0"/>
    <n v="32"/>
    <n v="0.71111111111111114"/>
    <n v="18"/>
    <n v="17.099999999999998"/>
    <n v="6"/>
    <n v="0.8666666666666667"/>
    <n v="1.02759"/>
    <n v="1.02759"/>
    <n v="17.571788999999999"/>
    <n v="6"/>
    <x v="0"/>
    <n v="1.7099999999999997E-2"/>
  </r>
  <r>
    <s v="GUAYAQUIL"/>
    <x v="0"/>
    <x v="0"/>
    <x v="6"/>
    <s v="YOG BBLE KID KK FTLLA BOT 180G"/>
    <n v="756"/>
    <n v="1"/>
    <n v="0.18"/>
    <n v="45"/>
    <d v="2024-11-09T00:00:00"/>
    <s v="sábado"/>
    <d v="2024-10-31T00:00:00"/>
    <x v="10"/>
    <n v="17"/>
    <n v="0.37777777777777777"/>
    <n v="2"/>
    <n v="0.36"/>
    <n v="9"/>
    <n v="0.8"/>
    <n v="0.323905"/>
    <n v="0.323905"/>
    <n v="0.1166058"/>
    <n v="18"/>
    <x v="2"/>
    <n v="3.5999999999999997E-4"/>
  </r>
  <r>
    <s v="GUAYAQUIL"/>
    <x v="0"/>
    <x v="0"/>
    <x v="6"/>
    <s v="YOG BBLE KID KK FTLLA BOT 180G"/>
    <n v="1296"/>
    <n v="1"/>
    <n v="0.18"/>
    <n v="45"/>
    <d v="2024-11-12T00:00:00"/>
    <s v="martes"/>
    <d v="2024-11-06T00:00:00"/>
    <x v="11"/>
    <n v="23"/>
    <n v="0.51111111111111107"/>
    <n v="3"/>
    <n v="0.54"/>
    <n v="6"/>
    <n v="0.8666666666666667"/>
    <n v="0.323905"/>
    <n v="0.323905"/>
    <n v="0.1749087"/>
    <n v="15"/>
    <x v="1"/>
    <n v="5.4000000000000001E-4"/>
  </r>
  <r>
    <s v="GUAYAQUIL"/>
    <x v="0"/>
    <x v="0"/>
    <x v="6"/>
    <s v="YOG BBLE KID KK FTLLA BOT 180G"/>
    <n v="432"/>
    <n v="1"/>
    <n v="0.18"/>
    <n v="45"/>
    <d v="2024-11-16T00:00:00"/>
    <s v="sábado"/>
    <d v="2024-11-13T00:00:00"/>
    <x v="2"/>
    <n v="30"/>
    <n v="0.66666666666666663"/>
    <n v="432"/>
    <n v="77.759999999999991"/>
    <n v="3"/>
    <n v="0.93333333333333335"/>
    <n v="0.323905"/>
    <n v="0.323905"/>
    <n v="25.186852799999997"/>
    <n v="11"/>
    <x v="0"/>
    <n v="7.7759999999999996E-2"/>
  </r>
  <r>
    <s v="GUAYAQUIL"/>
    <x v="0"/>
    <x v="0"/>
    <x v="6"/>
    <s v="YOG BBLE KID KK FTLLA BOT 180G"/>
    <n v="540"/>
    <n v="1"/>
    <n v="0.18"/>
    <n v="45"/>
    <d v="2024-11-15T00:00:00"/>
    <s v="viernes"/>
    <d v="2024-11-13T00:00:00"/>
    <x v="2"/>
    <n v="30"/>
    <n v="0.66666666666666663"/>
    <n v="280"/>
    <n v="50.4"/>
    <n v="2"/>
    <n v="0.9555555555555556"/>
    <n v="0.323905"/>
    <n v="0.323905"/>
    <n v="16.324811999999998"/>
    <n v="12"/>
    <x v="0"/>
    <n v="5.04E-2"/>
  </r>
  <r>
    <s v="GUAYAQUIL"/>
    <x v="0"/>
    <x v="0"/>
    <x v="6"/>
    <s v="YOG BBLE KID KK FTLLA BOT 180G"/>
    <n v="0"/>
    <n v="1"/>
    <n v="0.18"/>
    <n v="45"/>
    <d v="2024-12-01T00:00:00"/>
    <s v="domingo"/>
    <d v="2024-12-01T00:00:00"/>
    <x v="12"/>
    <n v="48"/>
    <n v="1.0666666666666667"/>
    <n v="5"/>
    <n v="0.89999999999999991"/>
    <n v="0"/>
    <n v="1"/>
    <n v="0.323905"/>
    <n v="0.323905"/>
    <n v="0.29151449999999995"/>
    <n v="-4"/>
    <x v="0"/>
    <n v="8.9999999999999987E-4"/>
  </r>
  <r>
    <s v="GUAYAQUIL"/>
    <x v="0"/>
    <x v="0"/>
    <x v="6"/>
    <s v="YOG BBLE KID KK FTLLA BOT 180G"/>
    <n v="756"/>
    <n v="1"/>
    <n v="0.18"/>
    <n v="45"/>
    <d v="2024-11-19T00:00:00"/>
    <s v="martes"/>
    <d v="2024-11-13T00:00:00"/>
    <x v="2"/>
    <n v="30"/>
    <n v="0.66666666666666663"/>
    <n v="756"/>
    <n v="136.07999999999998"/>
    <n v="6"/>
    <n v="0.8666666666666667"/>
    <n v="0.323905"/>
    <n v="0.323905"/>
    <n v="44.076992399999995"/>
    <n v="8"/>
    <x v="0"/>
    <n v="0.13607999999999998"/>
  </r>
  <r>
    <s v="GUAYAQUIL"/>
    <x v="0"/>
    <x v="0"/>
    <x v="6"/>
    <s v="YOG BBLE KID KK FTLLA BOT 180G"/>
    <n v="864"/>
    <n v="1"/>
    <n v="0.18"/>
    <n v="45"/>
    <d v="2024-11-21T00:00:00"/>
    <s v="jueves"/>
    <d v="2024-11-15T00:00:00"/>
    <x v="0"/>
    <n v="32"/>
    <n v="0.71111111111111114"/>
    <n v="432"/>
    <n v="77.759999999999991"/>
    <n v="6"/>
    <n v="0.8666666666666667"/>
    <n v="0.323905"/>
    <n v="0.323905"/>
    <n v="25.186852799999997"/>
    <n v="6"/>
    <x v="0"/>
    <n v="7.7759999999999996E-2"/>
  </r>
  <r>
    <s v="GUAYAQUIL"/>
    <x v="0"/>
    <x v="0"/>
    <x v="7"/>
    <s v="YOG FNSSE FRTROJ BOT 950G"/>
    <n v="576"/>
    <n v="1"/>
    <n v="0.95"/>
    <n v="45"/>
    <d v="2024-11-21T00:00:00"/>
    <s v="jueves"/>
    <d v="2024-11-21T00:00:00"/>
    <x v="13"/>
    <n v="38"/>
    <n v="0.84444444444444444"/>
    <n v="80"/>
    <n v="76"/>
    <n v="0"/>
    <n v="1"/>
    <n v="1.38215"/>
    <n v="1.38215"/>
    <n v="105.04340000000001"/>
    <n v="6"/>
    <x v="0"/>
    <n v="7.5999999999999998E-2"/>
  </r>
  <r>
    <s v="GUAYAQUIL"/>
    <x v="0"/>
    <x v="0"/>
    <x v="8"/>
    <s v="Q CHED KIOSKO 10 LONJ 200G"/>
    <n v="112"/>
    <n v="1"/>
    <n v="0.2"/>
    <n v="90"/>
    <d v="2024-11-08T00:00:00"/>
    <s v="viernes"/>
    <d v="2024-10-29T00:00:00"/>
    <x v="14"/>
    <n v="60"/>
    <n v="0.66666666666666663"/>
    <n v="4"/>
    <n v="0.8"/>
    <n v="10"/>
    <n v="0.88888888888888884"/>
    <n v="1.6998099999999998"/>
    <n v="1.6998099999999998"/>
    <n v="1.3598479999999999"/>
    <n v="19"/>
    <x v="0"/>
    <n v="8.0000000000000004E-4"/>
  </r>
  <r>
    <s v="GUAYAQUIL"/>
    <x v="0"/>
    <x v="0"/>
    <x v="8"/>
    <s v="Q CHED KIOSKO 10 LONJ 200G"/>
    <n v="128"/>
    <n v="1"/>
    <n v="0.2"/>
    <n v="90"/>
    <d v="2024-11-08T00:00:00"/>
    <s v="viernes"/>
    <d v="2024-11-05T00:00:00"/>
    <x v="15"/>
    <n v="67"/>
    <n v="0.74444444444444446"/>
    <n v="128"/>
    <n v="25.6"/>
    <n v="3"/>
    <n v="0.96666666666666667"/>
    <n v="1.6998099999999998"/>
    <n v="1.6998099999999998"/>
    <n v="43.515135999999998"/>
    <n v="19"/>
    <x v="0"/>
    <n v="2.5600000000000001E-2"/>
  </r>
  <r>
    <s v="GUAYAQUIL"/>
    <x v="0"/>
    <x v="0"/>
    <x v="8"/>
    <s v="Q CHED KIOSKO 10 LONJ 200G"/>
    <n v="120"/>
    <n v="1"/>
    <n v="0.2"/>
    <n v="90"/>
    <d v="2024-11-12T00:00:00"/>
    <s v="martes"/>
    <d v="2024-10-30T00:00:00"/>
    <x v="16"/>
    <n v="61"/>
    <n v="0.67777777777777781"/>
    <n v="73"/>
    <n v="14.600000000000001"/>
    <n v="13"/>
    <n v="0.85555555555555562"/>
    <n v="1.6998099999999998"/>
    <n v="1.6998099999999998"/>
    <n v="24.817226000000002"/>
    <n v="15"/>
    <x v="0"/>
    <n v="1.4600000000000002E-2"/>
  </r>
  <r>
    <s v="GUAYAQUIL"/>
    <x v="0"/>
    <x v="0"/>
    <x v="8"/>
    <s v="Q CHED KIOSKO 10 LONJ 200G"/>
    <n v="120"/>
    <n v="1"/>
    <n v="0.2"/>
    <n v="90"/>
    <d v="2024-11-13T00:00:00"/>
    <s v="miércoles"/>
    <d v="2024-11-05T00:00:00"/>
    <x v="15"/>
    <n v="67"/>
    <n v="0.74444444444444446"/>
    <n v="120"/>
    <n v="24"/>
    <n v="8"/>
    <n v="0.91111111111111109"/>
    <n v="1.6998099999999998"/>
    <n v="1.6998099999999998"/>
    <n v="40.795439999999999"/>
    <n v="14"/>
    <x v="0"/>
    <n v="2.4E-2"/>
  </r>
  <r>
    <s v="GUAYAQUIL"/>
    <x v="0"/>
    <x v="0"/>
    <x v="8"/>
    <s v="Q CHED KIOSKO 10 LONJ 200G"/>
    <n v="120"/>
    <n v="1"/>
    <n v="0.2"/>
    <n v="90"/>
    <d v="2024-11-15T00:00:00"/>
    <s v="viernes"/>
    <d v="2024-11-08T00:00:00"/>
    <x v="17"/>
    <n v="70"/>
    <n v="0.77777777777777779"/>
    <n v="120"/>
    <n v="24"/>
    <n v="7"/>
    <n v="0.92222222222222228"/>
    <n v="1.6998099999999998"/>
    <n v="1.6998099999999998"/>
    <n v="40.795439999999999"/>
    <n v="12"/>
    <x v="0"/>
    <n v="2.4E-2"/>
  </r>
  <r>
    <s v="GUAYAQUIL"/>
    <x v="0"/>
    <x v="0"/>
    <x v="8"/>
    <s v="Q CHED KIOSKO 10 LONJ 200G"/>
    <n v="120"/>
    <n v="1"/>
    <n v="0.2"/>
    <n v="90"/>
    <d v="2024-11-14T00:00:00"/>
    <s v="jueves"/>
    <d v="2024-11-05T00:00:00"/>
    <x v="15"/>
    <n v="67"/>
    <n v="0.74444444444444446"/>
    <n v="120"/>
    <n v="24"/>
    <n v="9"/>
    <n v="0.9"/>
    <n v="1.6998099999999998"/>
    <n v="1.6998099999999998"/>
    <n v="40.795439999999999"/>
    <n v="13"/>
    <x v="0"/>
    <n v="2.4E-2"/>
  </r>
  <r>
    <s v="GUAYAQUIL"/>
    <x v="0"/>
    <x v="0"/>
    <x v="8"/>
    <s v="Q CHED KIOSKO 10 LONJ 200G"/>
    <n v="96"/>
    <n v="1"/>
    <n v="0.2"/>
    <n v="90"/>
    <d v="2024-11-19T00:00:00"/>
    <s v="martes"/>
    <d v="2024-11-08T00:00:00"/>
    <x v="17"/>
    <n v="70"/>
    <n v="0.77777777777777779"/>
    <n v="96"/>
    <n v="19.200000000000003"/>
    <n v="11"/>
    <n v="0.87777777777777777"/>
    <n v="1.6998099999999998"/>
    <n v="1.6998099999999998"/>
    <n v="32.636352000000002"/>
    <n v="8"/>
    <x v="0"/>
    <n v="1.9200000000000002E-2"/>
  </r>
  <r>
    <s v="GUAYAQUIL"/>
    <x v="0"/>
    <x v="0"/>
    <x v="8"/>
    <s v="Q CHED KIOSKO 10 LONJ 200G"/>
    <n v="24"/>
    <n v="1"/>
    <n v="0.2"/>
    <n v="90"/>
    <d v="2024-11-19T00:00:00"/>
    <s v="martes"/>
    <d v="2024-11-12T00:00:00"/>
    <x v="18"/>
    <n v="74"/>
    <n v="0.82222222222222219"/>
    <n v="24"/>
    <n v="4.8000000000000007"/>
    <n v="7"/>
    <n v="0.92222222222222228"/>
    <n v="1.6998099999999998"/>
    <n v="1.6998099999999998"/>
    <n v="8.1590880000000006"/>
    <n v="8"/>
    <x v="0"/>
    <n v="4.8000000000000004E-3"/>
  </r>
  <r>
    <s v="GUAYAQUIL"/>
    <x v="0"/>
    <x v="0"/>
    <x v="8"/>
    <s v="Q CHED KIOSKO 10 LONJ 200G"/>
    <n v="120"/>
    <n v="1"/>
    <n v="0.2"/>
    <n v="90"/>
    <d v="2024-11-21T00:00:00"/>
    <s v="jueves"/>
    <d v="2024-11-12T00:00:00"/>
    <x v="18"/>
    <n v="74"/>
    <n v="0.82222222222222219"/>
    <n v="120"/>
    <n v="24"/>
    <n v="9"/>
    <n v="0.9"/>
    <n v="1.6998099999999998"/>
    <n v="1.6998099999999998"/>
    <n v="40.795439999999999"/>
    <n v="6"/>
    <x v="0"/>
    <n v="2.4E-2"/>
  </r>
  <r>
    <s v="GUAYAQUIL"/>
    <x v="0"/>
    <x v="0"/>
    <x v="9"/>
    <s v="YOG NAT KIOSKO BOTELLA 950G"/>
    <n v="90"/>
    <n v="1"/>
    <n v="0.95"/>
    <n v="45"/>
    <d v="2024-11-15T00:00:00"/>
    <s v="viernes"/>
    <d v="2024-11-05T00:00:00"/>
    <x v="19"/>
    <n v="22"/>
    <n v="0.48888888888888887"/>
    <n v="90"/>
    <n v="85.5"/>
    <n v="10"/>
    <n v="0.77777777777777779"/>
    <n v="1.062665"/>
    <n v="1.062665"/>
    <n v="90.857857499999994"/>
    <n v="12"/>
    <x v="1"/>
    <n v="8.5500000000000007E-2"/>
  </r>
  <r>
    <s v="GUAYAQUIL"/>
    <x v="0"/>
    <x v="0"/>
    <x v="9"/>
    <s v="YOG NAT KIOSKO BOTELLA 950G"/>
    <n v="54"/>
    <n v="1"/>
    <n v="0.95"/>
    <n v="45"/>
    <d v="2024-11-14T00:00:00"/>
    <s v="jueves"/>
    <d v="2024-11-05T00:00:00"/>
    <x v="19"/>
    <n v="22"/>
    <n v="0.48888888888888887"/>
    <n v="12"/>
    <n v="11.399999999999999"/>
    <n v="9"/>
    <n v="0.8"/>
    <n v="1.062665"/>
    <n v="1.062665"/>
    <n v="12.114380999999998"/>
    <n v="13"/>
    <x v="1"/>
    <n v="1.1399999999999999E-2"/>
  </r>
  <r>
    <s v="GUAYAQUIL"/>
    <x v="0"/>
    <x v="0"/>
    <x v="9"/>
    <s v="YOG NAT KIOSKO BOTELLA 950G"/>
    <n v="18"/>
    <n v="1"/>
    <n v="0.95"/>
    <n v="45"/>
    <d v="2024-11-19T00:00:00"/>
    <s v="martes"/>
    <d v="2024-11-13T00:00:00"/>
    <x v="2"/>
    <n v="30"/>
    <n v="0.66666666666666663"/>
    <n v="17"/>
    <n v="16.149999999999999"/>
    <n v="6"/>
    <n v="0.8666666666666667"/>
    <n v="1.062665"/>
    <n v="1.062665"/>
    <n v="17.162039749999998"/>
    <n v="8"/>
    <x v="0"/>
    <n v="1.6149999999999998E-2"/>
  </r>
  <r>
    <s v="GUAYAQUIL"/>
    <x v="0"/>
    <x v="0"/>
    <x v="9"/>
    <s v="YOG NAT KIOSKO BOTELLA 950G"/>
    <n v="108"/>
    <n v="1"/>
    <n v="0.95"/>
    <n v="45"/>
    <d v="2024-11-20T00:00:00"/>
    <s v="miércoles"/>
    <d v="2024-11-13T00:00:00"/>
    <x v="2"/>
    <n v="30"/>
    <n v="0.66666666666666663"/>
    <n v="108"/>
    <n v="102.6"/>
    <n v="7"/>
    <n v="0.84444444444444444"/>
    <n v="1.062665"/>
    <n v="1.062665"/>
    <n v="109.02942899999999"/>
    <n v="7"/>
    <x v="0"/>
    <n v="0.1026"/>
  </r>
  <r>
    <s v="GUAYAQUIL"/>
    <x v="0"/>
    <x v="0"/>
    <x v="10"/>
    <s v="PACK Q SAND KIOSKO BLOQ 146G JAM"/>
    <n v="260"/>
    <n v="1"/>
    <n v="0.14599999999999999"/>
    <n v="45"/>
    <d v="2024-11-07T00:00:00"/>
    <s v="jueves"/>
    <d v="2024-10-26T00:00:00"/>
    <x v="20"/>
    <n v="12"/>
    <n v="0.26666666666666666"/>
    <n v="1"/>
    <n v="0.14599999999999999"/>
    <n v="12"/>
    <n v="0.73333333333333339"/>
    <n v="1.1321750000000002"/>
    <n v="1.1321750000000002"/>
    <n v="0.16529755000000002"/>
    <n v="20"/>
    <x v="2"/>
    <n v="1.46E-4"/>
  </r>
  <r>
    <s v="GUAYAQUIL"/>
    <x v="0"/>
    <x v="0"/>
    <x v="10"/>
    <s v="PACK Q SAND KIOSKO BLOQ 146G JAM"/>
    <n v="260"/>
    <n v="1"/>
    <n v="0.14599999999999999"/>
    <n v="45"/>
    <d v="2024-11-09T00:00:00"/>
    <s v="sábado"/>
    <d v="2024-11-02T00:00:00"/>
    <x v="21"/>
    <n v="19"/>
    <n v="0.42222222222222222"/>
    <n v="148"/>
    <n v="21.607999999999997"/>
    <n v="7"/>
    <n v="0.84444444444444444"/>
    <n v="1.1321750000000002"/>
    <n v="1.1321750000000002"/>
    <n v="24.464037399999999"/>
    <n v="18"/>
    <x v="2"/>
    <n v="2.1607999999999995E-2"/>
  </r>
  <r>
    <s v="GUAYAQUIL"/>
    <x v="0"/>
    <x v="0"/>
    <x v="10"/>
    <s v="PACK Q SAND KIOSKO BLOQ 146G JAM"/>
    <n v="130"/>
    <n v="1"/>
    <n v="0.14599999999999999"/>
    <n v="45"/>
    <d v="2024-11-19T00:00:00"/>
    <s v="martes"/>
    <d v="2024-11-09T00:00:00"/>
    <x v="6"/>
    <n v="26"/>
    <n v="0.57777777777777772"/>
    <n v="120"/>
    <n v="17.52"/>
    <n v="10"/>
    <n v="0.77777777777777779"/>
    <n v="1.1321750000000002"/>
    <n v="1.1321750000000002"/>
    <n v="19.835706000000002"/>
    <n v="8"/>
    <x v="1"/>
    <n v="1.7520000000000001E-2"/>
  </r>
  <r>
    <s v="GUAYAQUIL"/>
    <x v="0"/>
    <x v="0"/>
    <x v="10"/>
    <s v="PACK Q SAND KIOSKO BLOQ 146G JAM"/>
    <n v="130"/>
    <n v="1"/>
    <n v="0.14599999999999999"/>
    <n v="45"/>
    <d v="2024-11-20T00:00:00"/>
    <s v="miércoles"/>
    <d v="2024-11-09T00:00:00"/>
    <x v="6"/>
    <n v="26"/>
    <n v="0.57777777777777772"/>
    <n v="130"/>
    <n v="18.98"/>
    <n v="11"/>
    <n v="0.75555555555555554"/>
    <n v="1.1321750000000002"/>
    <n v="1.1321750000000002"/>
    <n v="21.488681500000002"/>
    <n v="7"/>
    <x v="1"/>
    <n v="1.898E-2"/>
  </r>
  <r>
    <s v="GUAYAQUIL"/>
    <x v="0"/>
    <x v="0"/>
    <x v="10"/>
    <s v="PACK Q SAND KIOSKO BLOQ 146G JAM"/>
    <n v="130"/>
    <n v="1"/>
    <n v="0.14599999999999999"/>
    <n v="45"/>
    <d v="2024-11-21T00:00:00"/>
    <s v="jueves"/>
    <d v="2024-11-09T00:00:00"/>
    <x v="6"/>
    <n v="26"/>
    <n v="0.57777777777777772"/>
    <n v="130"/>
    <n v="18.98"/>
    <n v="12"/>
    <n v="0.73333333333333339"/>
    <n v="1.1321750000000002"/>
    <n v="1.1321750000000002"/>
    <n v="21.488681500000002"/>
    <n v="6"/>
    <x v="1"/>
    <n v="1.898E-2"/>
  </r>
  <r>
    <s v="GUAYAQUIL"/>
    <x v="0"/>
    <x v="0"/>
    <x v="11"/>
    <s v="Q CHED KIOSKO 5 LONJ 75G"/>
    <n v="240"/>
    <n v="1"/>
    <n v="7.4999999999999997E-2"/>
    <n v="90"/>
    <d v="2024-11-13T00:00:00"/>
    <s v="miércoles"/>
    <d v="2024-11-05T00:00:00"/>
    <x v="15"/>
    <n v="67"/>
    <n v="0.74444444444444446"/>
    <n v="1"/>
    <n v="7.4999999999999997E-2"/>
    <n v="8"/>
    <n v="0.91111111111111109"/>
    <n v="0.65352499999999991"/>
    <n v="0.65352499999999991"/>
    <n v="4.9014374999999992E-2"/>
    <n v="14"/>
    <x v="0"/>
    <n v="7.4999999999999993E-5"/>
  </r>
  <r>
    <s v="GUAYAQUIL"/>
    <x v="0"/>
    <x v="0"/>
    <x v="11"/>
    <s v="Q CHED KIOSKO 5 LONJ 75G"/>
    <n v="720"/>
    <n v="1"/>
    <n v="7.4999999999999997E-2"/>
    <n v="90"/>
    <d v="2024-11-15T00:00:00"/>
    <s v="viernes"/>
    <d v="2024-11-06T00:00:00"/>
    <x v="22"/>
    <n v="68"/>
    <n v="0.75555555555555554"/>
    <n v="158"/>
    <n v="11.85"/>
    <n v="9"/>
    <n v="0.9"/>
    <n v="0.65352499999999991"/>
    <n v="0.65352499999999991"/>
    <n v="7.7442712499999988"/>
    <n v="12"/>
    <x v="0"/>
    <n v="1.1849999999999999E-2"/>
  </r>
  <r>
    <s v="GUAYAQUIL"/>
    <x v="0"/>
    <x v="0"/>
    <x v="11"/>
    <s v="Q CHED KIOSKO 5 LONJ 75G"/>
    <n v="960"/>
    <n v="1"/>
    <n v="7.4999999999999997E-2"/>
    <n v="90"/>
    <d v="2024-11-20T00:00:00"/>
    <s v="miércoles"/>
    <d v="2024-11-14T00:00:00"/>
    <x v="23"/>
    <n v="76"/>
    <n v="0.84444444444444444"/>
    <n v="960"/>
    <n v="72"/>
    <n v="6"/>
    <n v="0.93333333333333335"/>
    <n v="0.65352499999999991"/>
    <n v="0.65352499999999991"/>
    <n v="47.053799999999995"/>
    <n v="7"/>
    <x v="0"/>
    <n v="7.1999999999999995E-2"/>
  </r>
  <r>
    <s v="GUAYAQUIL"/>
    <x v="0"/>
    <x v="0"/>
    <x v="11"/>
    <s v="Q CHED KIOSKO 5 LONJ 75G"/>
    <n v="240"/>
    <n v="1"/>
    <n v="7.4999999999999997E-2"/>
    <n v="90"/>
    <d v="2024-11-21T00:00:00"/>
    <s v="jueves"/>
    <d v="2024-11-15T00:00:00"/>
    <x v="24"/>
    <n v="77"/>
    <n v="0.85555555555555551"/>
    <n v="240"/>
    <n v="18"/>
    <n v="6"/>
    <n v="0.93333333333333335"/>
    <n v="0.65352499999999991"/>
    <n v="0.65352499999999991"/>
    <n v="11.763449999999999"/>
    <n v="6"/>
    <x v="0"/>
    <n v="1.7999999999999999E-2"/>
  </r>
  <r>
    <s v="GUAYAQUIL"/>
    <x v="0"/>
    <x v="0"/>
    <x v="12"/>
    <s v="Q MOZZAR KIOSKO 5 LONJ 75G"/>
    <n v="240"/>
    <n v="1"/>
    <n v="7.4999999999999997E-2"/>
    <n v="30"/>
    <d v="2024-11-15T00:00:00"/>
    <s v="viernes"/>
    <d v="2024-11-13T00:00:00"/>
    <x v="25"/>
    <n v="15"/>
    <n v="0.5"/>
    <n v="31"/>
    <n v="2.3249999999999997"/>
    <n v="2"/>
    <n v="0.93333333333333335"/>
    <n v="0.60747499999999999"/>
    <n v="0.60747499999999999"/>
    <n v="1.4123793749999998"/>
    <n v="12"/>
    <x v="2"/>
    <n v="2.3249999999999998E-3"/>
  </r>
  <r>
    <s v="GUAYAQUIL"/>
    <x v="0"/>
    <x v="0"/>
    <x v="12"/>
    <s v="Q MOZZAR KIOSKO 5 LONJ 75G"/>
    <n v="720"/>
    <n v="1"/>
    <n v="7.4999999999999997E-2"/>
    <n v="30"/>
    <d v="2024-11-19T00:00:00"/>
    <s v="martes"/>
    <d v="2024-11-15T00:00:00"/>
    <x v="10"/>
    <n v="17"/>
    <n v="0.56666666666666665"/>
    <n v="15"/>
    <n v="1.125"/>
    <n v="4"/>
    <n v="0.8666666666666667"/>
    <n v="0.60747499999999999"/>
    <n v="0.60747499999999999"/>
    <n v="0.68340937499999999"/>
    <n v="8"/>
    <x v="2"/>
    <n v="1.1249999999999999E-3"/>
  </r>
  <r>
    <s v="GUAYAQUIL"/>
    <x v="0"/>
    <x v="0"/>
    <x v="12"/>
    <s v="Q MOZZAR KIOSKO 5 LONJ 75G"/>
    <n v="480"/>
    <n v="1"/>
    <n v="7.4999999999999997E-2"/>
    <n v="30"/>
    <d v="2024-11-21T00:00:00"/>
    <s v="jueves"/>
    <d v="2024-11-20T00:00:00"/>
    <x v="19"/>
    <n v="22"/>
    <n v="0.73333333333333328"/>
    <n v="480"/>
    <n v="36"/>
    <n v="1"/>
    <n v="0.96666666666666667"/>
    <n v="0.60747499999999999"/>
    <n v="0.60747499999999999"/>
    <n v="21.8691"/>
    <n v="6"/>
    <x v="1"/>
    <n v="3.5999999999999997E-2"/>
  </r>
  <r>
    <s v="GUAYAQUIL"/>
    <x v="0"/>
    <x v="0"/>
    <x v="13"/>
    <s v="YOG BBLE KIOSKO DZNO 180"/>
    <n v="108"/>
    <n v="1"/>
    <n v="0.18"/>
    <n v="45"/>
    <d v="2024-11-16T00:00:00"/>
    <s v="sábado"/>
    <d v="2024-11-15T00:00:00"/>
    <x v="0"/>
    <n v="32"/>
    <n v="0.71111111111111114"/>
    <n v="16"/>
    <n v="2.88"/>
    <n v="1"/>
    <n v="0.97777777777777775"/>
    <n v="0.24857499999999999"/>
    <n v="0.24857499999999999"/>
    <n v="0.71589599999999998"/>
    <n v="11"/>
    <x v="0"/>
    <n v="2.8799999999999997E-3"/>
  </r>
  <r>
    <s v="GUAYAQUIL"/>
    <x v="0"/>
    <x v="0"/>
    <x v="13"/>
    <s v="YOG BBLE KIOSKO DZNO 180"/>
    <n v="108"/>
    <n v="1"/>
    <n v="0.18"/>
    <n v="45"/>
    <d v="2024-11-20T00:00:00"/>
    <s v="miércoles"/>
    <d v="2024-11-15T00:00:00"/>
    <x v="0"/>
    <n v="32"/>
    <n v="0.71111111111111114"/>
    <n v="108"/>
    <n v="19.439999999999998"/>
    <n v="5"/>
    <n v="0.88888888888888884"/>
    <n v="0.24857499999999999"/>
    <n v="0.24857499999999999"/>
    <n v="4.8322979999999989"/>
    <n v="7"/>
    <x v="0"/>
    <n v="1.9439999999999999E-2"/>
  </r>
  <r>
    <s v="GUAYAQUIL"/>
    <x v="0"/>
    <x v="0"/>
    <x v="14"/>
    <s v="RGN LGHT FTLLA BOT 180G"/>
    <n v="108"/>
    <n v="1"/>
    <n v="0.18"/>
    <n v="45"/>
    <d v="2024-11-14T00:00:00"/>
    <s v="jueves"/>
    <d v="2024-11-06T00:00:00"/>
    <x v="11"/>
    <n v="23"/>
    <n v="0.51111111111111107"/>
    <n v="16"/>
    <n v="2.88"/>
    <n v="8"/>
    <n v="0.82222222222222219"/>
    <n v="0.28561000000000003"/>
    <n v="0.28561000000000003"/>
    <n v="0.82255680000000009"/>
    <n v="13"/>
    <x v="1"/>
    <n v="2.8799999999999997E-3"/>
  </r>
  <r>
    <s v="GUAYAQUIL"/>
    <x v="0"/>
    <x v="0"/>
    <x v="14"/>
    <s v="RGN LGHT FTLLA BOT 180G"/>
    <n v="108"/>
    <n v="1"/>
    <n v="0.18"/>
    <n v="45"/>
    <d v="2024-11-19T00:00:00"/>
    <s v="martes"/>
    <d v="2024-11-14T00:00:00"/>
    <x v="7"/>
    <n v="31"/>
    <n v="0.68888888888888888"/>
    <n v="0"/>
    <n v="0"/>
    <n v="5"/>
    <n v="0.88888888888888884"/>
    <n v="0.28561000000000003"/>
    <n v="0.28561000000000003"/>
    <n v="0"/>
    <n v="8"/>
    <x v="0"/>
    <n v="0"/>
  </r>
  <r>
    <s v="GUAYAQUIL"/>
    <x v="0"/>
    <x v="0"/>
    <x v="14"/>
    <s v="RGN LGHT FTLLA BOT 180G"/>
    <n v="108"/>
    <n v="1"/>
    <n v="0.18"/>
    <n v="45"/>
    <d v="2024-11-21T00:00:00"/>
    <s v="jueves"/>
    <d v="2024-11-14T00:00:00"/>
    <x v="7"/>
    <n v="31"/>
    <n v="0.68888888888888888"/>
    <n v="108"/>
    <n v="19.439999999999998"/>
    <n v="7"/>
    <n v="0.84444444444444444"/>
    <n v="0.28561000000000003"/>
    <n v="0.28561000000000003"/>
    <n v="5.5522584000000004"/>
    <n v="6"/>
    <x v="0"/>
    <n v="1.9439999999999999E-2"/>
  </r>
  <r>
    <s v="GUAYAQUIL"/>
    <x v="0"/>
    <x v="0"/>
    <x v="15"/>
    <s v="AVENA ORIGINAL VASO 250G ECU"/>
    <n v="1344"/>
    <n v="1"/>
    <n v="0.25"/>
    <n v="180"/>
    <d v="2024-11-07T00:00:00"/>
    <s v="jueves"/>
    <d v="2024-09-10T00:00:00"/>
    <x v="26"/>
    <n v="101"/>
    <n v="0.56111111111111112"/>
    <n v="1110"/>
    <n v="277.5"/>
    <n v="58"/>
    <n v="0.67777777777777781"/>
    <n v="0.391795"/>
    <n v="0.391795"/>
    <n v="108.7231125"/>
    <n v="20"/>
    <x v="0"/>
    <n v="0.27750000000000002"/>
  </r>
  <r>
    <s v="GUAYAQUIL"/>
    <x v="0"/>
    <x v="0"/>
    <x v="15"/>
    <s v="AVENA ORIGINAL VASO 250G ECU"/>
    <n v="2688"/>
    <n v="1"/>
    <n v="0.25"/>
    <n v="180"/>
    <d v="2024-11-12T00:00:00"/>
    <s v="martes"/>
    <d v="2024-10-18T00:00:00"/>
    <x v="27"/>
    <n v="139"/>
    <n v="0.77222222222222225"/>
    <n v="2688"/>
    <n v="672"/>
    <n v="25"/>
    <n v="0.86111111111111116"/>
    <n v="0.391795"/>
    <n v="0.391795"/>
    <n v="263.28624000000002"/>
    <n v="15"/>
    <x v="0"/>
    <n v="0.67200000000000004"/>
  </r>
  <r>
    <s v="GUAYAQUIL"/>
    <x v="0"/>
    <x v="0"/>
    <x v="15"/>
    <s v="AVENA ORIGINAL VASO 250G ECU"/>
    <n v="1344"/>
    <n v="1"/>
    <n v="0.25"/>
    <n v="180"/>
    <d v="2024-11-13T00:00:00"/>
    <s v="miércoles"/>
    <d v="2024-09-10T00:00:00"/>
    <x v="26"/>
    <n v="101"/>
    <n v="0.56111111111111112"/>
    <n v="1344"/>
    <n v="336"/>
    <n v="64"/>
    <n v="0.64444444444444438"/>
    <n v="0.391795"/>
    <n v="0.391795"/>
    <n v="131.64312000000001"/>
    <n v="14"/>
    <x v="0"/>
    <n v="0.33600000000000002"/>
  </r>
  <r>
    <s v="GUAYAQUIL"/>
    <x v="0"/>
    <x v="0"/>
    <x v="15"/>
    <s v="AVENA ORIGINAL VASO 250G ECU"/>
    <n v="1344"/>
    <n v="1"/>
    <n v="0.25"/>
    <n v="180"/>
    <d v="2024-11-14T00:00:00"/>
    <s v="jueves"/>
    <d v="2024-10-18T00:00:00"/>
    <x v="27"/>
    <n v="139"/>
    <n v="0.77222222222222225"/>
    <n v="1344"/>
    <n v="336"/>
    <n v="27"/>
    <n v="0.85"/>
    <n v="0.391795"/>
    <n v="0.391795"/>
    <n v="131.64312000000001"/>
    <n v="13"/>
    <x v="0"/>
    <n v="0.33600000000000002"/>
  </r>
  <r>
    <s v="GUAYAQUIL"/>
    <x v="0"/>
    <x v="0"/>
    <x v="15"/>
    <s v="AVENA ORIGINAL VASO 250G ECU"/>
    <n v="2688"/>
    <n v="1"/>
    <n v="0.25"/>
    <n v="180"/>
    <d v="2024-10-05T00:00:00"/>
    <s v="sábado"/>
    <d v="2024-09-27T00:00:00"/>
    <x v="28"/>
    <n v="118"/>
    <n v="0.65555555555555556"/>
    <n v="3"/>
    <n v="0.75"/>
    <n v="8"/>
    <n v="0.9555555555555556"/>
    <n v="0.391795"/>
    <n v="0.391795"/>
    <n v="0.29384624999999998"/>
    <n v="53"/>
    <x v="0"/>
    <n v="7.5000000000000002E-4"/>
  </r>
  <r>
    <s v="GUAYAQUIL"/>
    <x v="0"/>
    <x v="0"/>
    <x v="15"/>
    <s v="AVENA ORIGINAL VASO 250G ECU"/>
    <n v="0"/>
    <n v="1"/>
    <n v="0.25"/>
    <n v="180"/>
    <d v="2025-09-10T00:00:00"/>
    <s v="miércoles"/>
    <d v="2025-09-10T00:00:00"/>
    <x v="29"/>
    <n v="466"/>
    <n v="2.588888888888889"/>
    <n v="3"/>
    <n v="0.75"/>
    <n v="0"/>
    <n v="1"/>
    <n v="0.391795"/>
    <n v="0.391795"/>
    <n v="0.29384624999999998"/>
    <n v="-287"/>
    <x v="0"/>
    <n v="7.5000000000000002E-4"/>
  </r>
  <r>
    <s v="GUAYAQUIL"/>
    <x v="0"/>
    <x v="0"/>
    <x v="16"/>
    <s v="KUMIS ORIG BOT 1750G"/>
    <n v="48"/>
    <n v="1"/>
    <n v="1.75"/>
    <n v="45"/>
    <d v="2024-11-13T00:00:00"/>
    <s v="miércoles"/>
    <d v="2024-11-08T00:00:00"/>
    <x v="9"/>
    <n v="25"/>
    <n v="0.55555555555555558"/>
    <n v="44"/>
    <n v="77"/>
    <n v="5"/>
    <n v="0.88888888888888884"/>
    <n v="1.88428"/>
    <n v="1.88428"/>
    <n v="145.08956000000001"/>
    <n v="14"/>
    <x v="1"/>
    <n v="7.6999999999999999E-2"/>
  </r>
  <r>
    <s v="GUAYAQUIL"/>
    <x v="0"/>
    <x v="0"/>
    <x v="16"/>
    <s v="KUMIS ORIG BOT 1750G"/>
    <n v="60"/>
    <n v="1"/>
    <n v="1.75"/>
    <n v="45"/>
    <d v="2024-11-15T00:00:00"/>
    <s v="viernes"/>
    <d v="2024-11-08T00:00:00"/>
    <x v="9"/>
    <n v="25"/>
    <n v="0.55555555555555558"/>
    <n v="60"/>
    <n v="105"/>
    <n v="7"/>
    <n v="0.84444444444444444"/>
    <n v="1.88428"/>
    <n v="1.88428"/>
    <n v="197.8494"/>
    <n v="12"/>
    <x v="1"/>
    <n v="0.105"/>
  </r>
  <r>
    <s v="GUAYAQUIL"/>
    <x v="0"/>
    <x v="0"/>
    <x v="16"/>
    <s v="KUMIS ORIG BOT 1750G"/>
    <n v="12"/>
    <n v="1"/>
    <n v="1.75"/>
    <n v="45"/>
    <d v="2024-11-21T00:00:00"/>
    <s v="jueves"/>
    <d v="2024-11-19T00:00:00"/>
    <x v="8"/>
    <n v="36"/>
    <n v="0.8"/>
    <n v="12"/>
    <n v="21"/>
    <n v="2"/>
    <n v="0.9555555555555556"/>
    <n v="1.88428"/>
    <n v="1.88428"/>
    <n v="39.569879999999998"/>
    <n v="6"/>
    <x v="0"/>
    <n v="2.1000000000000001E-2"/>
  </r>
  <r>
    <s v="GUAYAQUIL"/>
    <x v="0"/>
    <x v="0"/>
    <x v="17"/>
    <s v="Q PARME KIOSKO RALL BOL 40G"/>
    <n v="750"/>
    <n v="1"/>
    <n v="0.04"/>
    <n v="180"/>
    <d v="2024-11-08T00:00:00"/>
    <s v="viernes"/>
    <d v="2024-10-30T00:00:00"/>
    <x v="30"/>
    <n v="151"/>
    <n v="0.83888888888888891"/>
    <n v="17"/>
    <n v="0.68"/>
    <n v="9"/>
    <n v="0.95"/>
    <n v="0.47916999999999998"/>
    <n v="0.47916999999999998"/>
    <n v="0.3258356"/>
    <n v="19"/>
    <x v="0"/>
    <n v="6.8000000000000005E-4"/>
  </r>
  <r>
    <s v="GUAYAQUIL"/>
    <x v="0"/>
    <x v="0"/>
    <x v="17"/>
    <s v="Q PARME KIOSKO RALL BOL 40G"/>
    <n v="1350"/>
    <n v="1"/>
    <n v="0.04"/>
    <n v="180"/>
    <d v="2024-11-12T00:00:00"/>
    <s v="martes"/>
    <d v="2024-11-05T00:00:00"/>
    <x v="31"/>
    <n v="157"/>
    <n v="0.87222222222222223"/>
    <n v="1012"/>
    <n v="40.480000000000004"/>
    <n v="7"/>
    <n v="0.96111111111111114"/>
    <n v="0.47916999999999998"/>
    <n v="0.47916999999999998"/>
    <n v="19.3968016"/>
    <n v="15"/>
    <x v="0"/>
    <n v="4.0480000000000002E-2"/>
  </r>
  <r>
    <s v="GUAYAQUIL"/>
    <x v="0"/>
    <x v="0"/>
    <x v="17"/>
    <s v="Q PARME KIOSKO RALL BOL 40G"/>
    <n v="900"/>
    <n v="1"/>
    <n v="0.04"/>
    <n v="180"/>
    <d v="2024-11-13T00:00:00"/>
    <s v="miércoles"/>
    <d v="2024-10-31T00:00:00"/>
    <x v="32"/>
    <n v="152"/>
    <n v="0.84444444444444444"/>
    <n v="6"/>
    <n v="0.24"/>
    <n v="13"/>
    <n v="0.92777777777777781"/>
    <n v="0.47916999999999998"/>
    <n v="0.47916999999999998"/>
    <n v="0.11500079999999999"/>
    <n v="14"/>
    <x v="0"/>
    <n v="2.3999999999999998E-4"/>
  </r>
  <r>
    <s v="GUAYAQUIL"/>
    <x v="0"/>
    <x v="0"/>
    <x v="17"/>
    <s v="Q PARME KIOSKO RALL BOL 40G"/>
    <n v="1650"/>
    <n v="1"/>
    <n v="0.04"/>
    <n v="180"/>
    <d v="2024-11-19T00:00:00"/>
    <s v="martes"/>
    <d v="2024-11-12T00:00:00"/>
    <x v="33"/>
    <n v="164"/>
    <n v="0.91111111111111109"/>
    <n v="1650"/>
    <n v="66"/>
    <n v="7"/>
    <n v="0.96111111111111114"/>
    <n v="0.47916999999999998"/>
    <n v="0.47916999999999998"/>
    <n v="31.625219999999999"/>
    <n v="8"/>
    <x v="0"/>
    <n v="6.6000000000000003E-2"/>
  </r>
  <r>
    <s v="GUAYAQUIL"/>
    <x v="0"/>
    <x v="0"/>
    <x v="17"/>
    <s v="Q PARME KIOSKO RALL BOL 40G"/>
    <n v="0"/>
    <n v="1"/>
    <n v="0.04"/>
    <n v="180"/>
    <d v="2024-11-27T00:00:00"/>
    <s v="miércoles"/>
    <d v="2024-11-27T00:00:00"/>
    <x v="34"/>
    <n v="179"/>
    <n v="0.99444444444444446"/>
    <n v="2119"/>
    <n v="84.76"/>
    <n v="0"/>
    <n v="1"/>
    <n v="0.47916999999999998"/>
    <n v="0.47916999999999998"/>
    <n v="40.614449200000003"/>
    <n v="0"/>
    <x v="0"/>
    <n v="8.4760000000000002E-2"/>
  </r>
  <r>
    <s v="GUAYAQUIL"/>
    <x v="0"/>
    <x v="0"/>
    <x v="17"/>
    <s v="Q PARME KIOSKO RALL BOL 40G"/>
    <n v="450"/>
    <n v="1"/>
    <n v="0.04"/>
    <n v="180"/>
    <d v="2024-11-20T00:00:00"/>
    <s v="miércoles"/>
    <d v="2024-11-14T00:00:00"/>
    <x v="35"/>
    <n v="166"/>
    <n v="0.92222222222222228"/>
    <n v="450"/>
    <n v="18"/>
    <n v="6"/>
    <n v="0.96666666666666667"/>
    <n v="0.47916999999999998"/>
    <n v="0.47916999999999998"/>
    <n v="8.6250599999999995"/>
    <n v="7"/>
    <x v="0"/>
    <n v="1.7999999999999999E-2"/>
  </r>
  <r>
    <s v="GUAYAQUIL"/>
    <x v="0"/>
    <x v="0"/>
    <x v="17"/>
    <s v="Q PARME KIOSKO RALL BOL 40G"/>
    <n v="750"/>
    <n v="1"/>
    <n v="0.04"/>
    <n v="180"/>
    <d v="2024-11-21T00:00:00"/>
    <s v="jueves"/>
    <d v="2024-11-14T00:00:00"/>
    <x v="35"/>
    <n v="166"/>
    <n v="0.92222222222222228"/>
    <n v="750"/>
    <n v="30"/>
    <n v="7"/>
    <n v="0.96111111111111114"/>
    <n v="0.47916999999999998"/>
    <n v="0.47916999999999998"/>
    <n v="14.3751"/>
    <n v="6"/>
    <x v="0"/>
    <n v="0.03"/>
  </r>
  <r>
    <s v="GUAYAQUIL"/>
    <x v="0"/>
    <x v="0"/>
    <x v="17"/>
    <s v="Q PARME KIOSKO RALL BOL 40G"/>
    <n v="0"/>
    <n v="1"/>
    <n v="0.04"/>
    <n v="180"/>
    <d v="2025-10-31T00:00:00"/>
    <s v="viernes"/>
    <d v="2025-10-31T00:00:00"/>
    <x v="36"/>
    <n v="517"/>
    <n v="2.8722222222222222"/>
    <n v="6"/>
    <n v="0.24"/>
    <n v="0"/>
    <n v="1"/>
    <n v="0.47916999999999998"/>
    <n v="0.47916999999999998"/>
    <n v="0.11500079999999999"/>
    <n v="-338"/>
    <x v="0"/>
    <n v="2.3999999999999998E-4"/>
  </r>
  <r>
    <s v="GUAYAQUIL"/>
    <x v="0"/>
    <x v="0"/>
    <x v="18"/>
    <s v="Q PARME KIOSKO RALL BOL 500G"/>
    <n v="140"/>
    <n v="1"/>
    <n v="0.5"/>
    <n v="180"/>
    <d v="2024-11-12T00:00:00"/>
    <s v="martes"/>
    <d v="2024-11-05T00:00:00"/>
    <x v="31"/>
    <n v="157"/>
    <n v="0.87222222222222223"/>
    <n v="111"/>
    <n v="55.5"/>
    <n v="7"/>
    <n v="0.96111111111111114"/>
    <n v="4.4371550000000006"/>
    <n v="4.4371550000000006"/>
    <n v="246.26210250000003"/>
    <n v="15"/>
    <x v="0"/>
    <n v="5.5500000000000001E-2"/>
  </r>
  <r>
    <s v="GUAYAQUIL"/>
    <x v="0"/>
    <x v="0"/>
    <x v="18"/>
    <s v="Q PARME KIOSKO RALL BOL 500G"/>
    <n v="120"/>
    <n v="1"/>
    <n v="0.5"/>
    <n v="180"/>
    <d v="2024-11-13T00:00:00"/>
    <s v="miércoles"/>
    <d v="2024-11-05T00:00:00"/>
    <x v="31"/>
    <n v="157"/>
    <n v="0.87222222222222223"/>
    <n v="120"/>
    <n v="60"/>
    <n v="8"/>
    <n v="0.9555555555555556"/>
    <n v="4.4371550000000006"/>
    <n v="4.4371550000000006"/>
    <n v="266.22930000000002"/>
    <n v="14"/>
    <x v="0"/>
    <n v="0.06"/>
  </r>
  <r>
    <s v="GUAYAQUIL"/>
    <x v="0"/>
    <x v="0"/>
    <x v="18"/>
    <s v="Q PARME KIOSKO RALL BOL 500G"/>
    <n v="100"/>
    <n v="1"/>
    <n v="0.5"/>
    <n v="180"/>
    <d v="2024-11-15T00:00:00"/>
    <s v="viernes"/>
    <d v="2024-11-12T00:00:00"/>
    <x v="33"/>
    <n v="164"/>
    <n v="0.91111111111111109"/>
    <n v="100"/>
    <n v="50"/>
    <n v="3"/>
    <n v="0.98333333333333328"/>
    <n v="4.4371550000000006"/>
    <n v="4.4371550000000006"/>
    <n v="221.85775000000004"/>
    <n v="12"/>
    <x v="0"/>
    <n v="0.05"/>
  </r>
  <r>
    <s v="GUAYAQUIL"/>
    <x v="0"/>
    <x v="0"/>
    <x v="18"/>
    <s v="Q PARME KIOSKO RALL BOL 500G"/>
    <n v="180"/>
    <n v="1"/>
    <n v="0.5"/>
    <n v="180"/>
    <d v="2024-11-14T00:00:00"/>
    <s v="jueves"/>
    <d v="2024-11-06T00:00:00"/>
    <x v="37"/>
    <n v="158"/>
    <n v="0.87777777777777777"/>
    <n v="180"/>
    <n v="90"/>
    <n v="8"/>
    <n v="0.9555555555555556"/>
    <n v="4.4371550000000006"/>
    <n v="4.4371550000000006"/>
    <n v="399.34395000000006"/>
    <n v="13"/>
    <x v="0"/>
    <n v="0.09"/>
  </r>
  <r>
    <s v="GUAYAQUIL"/>
    <x v="0"/>
    <x v="0"/>
    <x v="18"/>
    <s v="Q PARME KIOSKO RALL BOL 500G"/>
    <n v="120"/>
    <n v="1"/>
    <n v="0.5"/>
    <n v="180"/>
    <d v="2024-11-19T00:00:00"/>
    <s v="martes"/>
    <d v="2024-11-12T00:00:00"/>
    <x v="33"/>
    <n v="164"/>
    <n v="0.91111111111111109"/>
    <n v="120"/>
    <n v="60"/>
    <n v="7"/>
    <n v="0.96111111111111114"/>
    <n v="4.4371550000000006"/>
    <n v="4.4371550000000006"/>
    <n v="266.22930000000002"/>
    <n v="8"/>
    <x v="0"/>
    <n v="0.06"/>
  </r>
  <r>
    <s v="GUAYAQUIL"/>
    <x v="0"/>
    <x v="0"/>
    <x v="18"/>
    <s v="Q PARME KIOSKO RALL BOL 500G"/>
    <n v="100"/>
    <n v="1"/>
    <n v="0.5"/>
    <n v="180"/>
    <d v="2024-11-20T00:00:00"/>
    <s v="miércoles"/>
    <d v="2024-11-13T00:00:00"/>
    <x v="38"/>
    <n v="165"/>
    <n v="0.91666666666666663"/>
    <n v="100"/>
    <n v="50"/>
    <n v="7"/>
    <n v="0.96111111111111114"/>
    <n v="4.4371550000000006"/>
    <n v="4.4371550000000006"/>
    <n v="221.85775000000004"/>
    <n v="7"/>
    <x v="0"/>
    <n v="0.05"/>
  </r>
  <r>
    <s v="GUAYAQUIL"/>
    <x v="0"/>
    <x v="0"/>
    <x v="18"/>
    <s v="Q PARME KIOSKO RALL BOL 500G"/>
    <n v="100"/>
    <n v="1"/>
    <n v="0.5"/>
    <n v="180"/>
    <d v="2024-11-21T00:00:00"/>
    <s v="jueves"/>
    <d v="2024-11-14T00:00:00"/>
    <x v="35"/>
    <n v="166"/>
    <n v="0.92222222222222228"/>
    <n v="100"/>
    <n v="50"/>
    <n v="7"/>
    <n v="0.96111111111111114"/>
    <n v="4.4371550000000006"/>
    <n v="4.4371550000000006"/>
    <n v="221.85775000000004"/>
    <n v="6"/>
    <x v="0"/>
    <n v="0.05"/>
  </r>
  <r>
    <s v="GUAYAQUIL"/>
    <x v="0"/>
    <x v="0"/>
    <x v="19"/>
    <s v="BY BLCK VASO 165G"/>
    <n v="780"/>
    <n v="1"/>
    <n v="0.16500000000000001"/>
    <n v="45"/>
    <d v="2024-11-13T00:00:00"/>
    <s v="miércoles"/>
    <d v="2024-11-05T00:00:00"/>
    <x v="19"/>
    <n v="22"/>
    <n v="0.48888888888888887"/>
    <n v="500"/>
    <n v="82.5"/>
    <n v="8"/>
    <n v="0.82222222222222219"/>
    <n v="0.32339499999999999"/>
    <n v="0.32339499999999999"/>
    <n v="26.680087499999999"/>
    <n v="14"/>
    <x v="1"/>
    <n v="8.2500000000000004E-2"/>
  </r>
  <r>
    <s v="GUAYAQUIL"/>
    <x v="0"/>
    <x v="0"/>
    <x v="19"/>
    <s v="BY BLCK VASO 165G"/>
    <n v="1800"/>
    <n v="1"/>
    <n v="0.16500000000000001"/>
    <n v="45"/>
    <d v="2024-11-15T00:00:00"/>
    <s v="viernes"/>
    <d v="2024-11-08T00:00:00"/>
    <x v="9"/>
    <n v="25"/>
    <n v="0.55555555555555558"/>
    <n v="684"/>
    <n v="112.86"/>
    <n v="7"/>
    <n v="0.84444444444444444"/>
    <n v="0.32339499999999999"/>
    <n v="0.32339499999999999"/>
    <n v="36.498359700000002"/>
    <n v="12"/>
    <x v="1"/>
    <n v="0.11286"/>
  </r>
  <r>
    <s v="GUAYAQUIL"/>
    <x v="0"/>
    <x v="0"/>
    <x v="19"/>
    <s v="BY BLCK VASO 165G"/>
    <n v="1200"/>
    <n v="1"/>
    <n v="0.16500000000000001"/>
    <n v="45"/>
    <d v="2024-11-14T00:00:00"/>
    <s v="jueves"/>
    <d v="2024-11-05T00:00:00"/>
    <x v="19"/>
    <n v="22"/>
    <n v="0.48888888888888887"/>
    <n v="1200"/>
    <n v="198"/>
    <n v="9"/>
    <n v="0.8"/>
    <n v="0.32339499999999999"/>
    <n v="0.32339499999999999"/>
    <n v="64.032209999999992"/>
    <n v="13"/>
    <x v="1"/>
    <n v="0.19800000000000001"/>
  </r>
  <r>
    <s v="GUAYAQUIL"/>
    <x v="0"/>
    <x v="0"/>
    <x v="19"/>
    <s v="BY BLCK VASO 165G"/>
    <n v="780"/>
    <n v="1"/>
    <n v="0.16500000000000001"/>
    <n v="45"/>
    <d v="2024-11-19T00:00:00"/>
    <s v="martes"/>
    <d v="2024-11-12T00:00:00"/>
    <x v="5"/>
    <n v="29"/>
    <n v="0.64444444444444449"/>
    <n v="1380"/>
    <n v="227.70000000000002"/>
    <n v="7"/>
    <n v="0.84444444444444444"/>
    <n v="0.32339499999999999"/>
    <n v="0.32339499999999999"/>
    <n v="73.637041500000009"/>
    <n v="8"/>
    <x v="0"/>
    <n v="0.22770000000000001"/>
  </r>
  <r>
    <s v="GUAYAQUIL"/>
    <x v="0"/>
    <x v="0"/>
    <x v="19"/>
    <s v="BY BLCK VASO 165G"/>
    <n v="660"/>
    <n v="1"/>
    <n v="0.16500000000000001"/>
    <n v="45"/>
    <d v="2024-11-20T00:00:00"/>
    <s v="miércoles"/>
    <d v="2024-11-16T00:00:00"/>
    <x v="3"/>
    <n v="33"/>
    <n v="0.73333333333333328"/>
    <n v="0"/>
    <n v="0"/>
    <n v="4"/>
    <n v="0.91111111111111109"/>
    <n v="0.32339499999999999"/>
    <n v="0.32339499999999999"/>
    <n v="0"/>
    <n v="7"/>
    <x v="0"/>
    <n v="0"/>
  </r>
  <r>
    <s v="GUAYAQUIL"/>
    <x v="0"/>
    <x v="0"/>
    <x v="19"/>
    <s v="BY BLCK VASO 165G"/>
    <n v="1200"/>
    <n v="1"/>
    <n v="0.16500000000000001"/>
    <n v="45"/>
    <d v="2024-11-21T00:00:00"/>
    <s v="jueves"/>
    <d v="2024-11-16T00:00:00"/>
    <x v="3"/>
    <n v="33"/>
    <n v="0.73333333333333328"/>
    <n v="1200"/>
    <n v="198"/>
    <n v="5"/>
    <n v="0.88888888888888884"/>
    <n v="0.32339499999999999"/>
    <n v="0.32339499999999999"/>
    <n v="64.032209999999992"/>
    <n v="6"/>
    <x v="0"/>
    <n v="0.19800000000000001"/>
  </r>
  <r>
    <s v="GUAYAQUIL"/>
    <x v="0"/>
    <x v="0"/>
    <x v="20"/>
    <s v="Q PARME KIOSKO CUNA AL PESO"/>
    <n v="20"/>
    <n v="2.4"/>
    <n v="1"/>
    <n v="90"/>
    <d v="2024-11-13T00:00:00"/>
    <s v="miércoles"/>
    <d v="2024-11-12T00:00:00"/>
    <x v="18"/>
    <n v="74"/>
    <n v="0.82222222222222219"/>
    <n v="14"/>
    <n v="33.6"/>
    <n v="1"/>
    <n v="0.98888888888888893"/>
    <n v="7.9599600000000006"/>
    <n v="19.103904"/>
    <n v="641.89117440000007"/>
    <n v="14"/>
    <x v="0"/>
    <n v="3.3600000000000005E-2"/>
  </r>
  <r>
    <s v="GUAYAQUIL"/>
    <x v="0"/>
    <x v="0"/>
    <x v="20"/>
    <s v="Q PARME KIOSKO CUNA AL PESO"/>
    <n v="4"/>
    <n v="2.4"/>
    <n v="1"/>
    <n v="90"/>
    <d v="2024-11-14T00:00:00"/>
    <s v="jueves"/>
    <d v="2024-11-13T00:00:00"/>
    <x v="39"/>
    <n v="75"/>
    <n v="0.83333333333333337"/>
    <n v="4"/>
    <n v="9.6"/>
    <n v="1"/>
    <n v="0.98888888888888893"/>
    <n v="7.9599600000000006"/>
    <n v="19.103904"/>
    <n v="183.39747839999998"/>
    <n v="13"/>
    <x v="0"/>
    <n v="9.5999999999999992E-3"/>
  </r>
  <r>
    <s v="GUAYAQUIL"/>
    <x v="0"/>
    <x v="0"/>
    <x v="20"/>
    <s v="Q PARME KIOSKO CUNA AL PESO"/>
    <n v="4"/>
    <n v="2.4"/>
    <n v="1"/>
    <n v="90"/>
    <d v="2024-11-20T00:00:00"/>
    <s v="miércoles"/>
    <d v="2024-11-19T00:00:00"/>
    <x v="40"/>
    <n v="81"/>
    <n v="0.9"/>
    <n v="4"/>
    <n v="9.6"/>
    <n v="1"/>
    <n v="0.98888888888888893"/>
    <n v="7.9599600000000006"/>
    <n v="19.103904"/>
    <n v="183.39747839999998"/>
    <n v="7"/>
    <x v="0"/>
    <n v="9.5999999999999992E-3"/>
  </r>
  <r>
    <s v="GUAYAQUIL"/>
    <x v="0"/>
    <x v="0"/>
    <x v="21"/>
    <s v="DULCE LCH KIOSKO VASO 500G"/>
    <n v="0"/>
    <n v="1"/>
    <n v="0.5"/>
    <n v="180"/>
    <d v="2024-10-30T00:00:00"/>
    <s v="miércoles"/>
    <d v="2024-06-17T00:00:00"/>
    <x v="41"/>
    <n v="16"/>
    <n v="8.8888888888888892E-2"/>
    <n v="16"/>
    <n v="8"/>
    <n v="135"/>
    <n v="0.25"/>
    <n v="1.3121100000000001"/>
    <n v="1.3121100000000001"/>
    <n v="10.496880000000001"/>
    <n v="28"/>
    <x v="2"/>
    <n v="8.0000000000000002E-3"/>
  </r>
  <r>
    <s v="GUAYAQUIL"/>
    <x v="0"/>
    <x v="0"/>
    <x v="21"/>
    <s v="DULCE LCH KIOSKO VASO 500G"/>
    <n v="72"/>
    <n v="1"/>
    <n v="0.5"/>
    <n v="180"/>
    <d v="2024-11-15T00:00:00"/>
    <s v="viernes"/>
    <d v="2024-10-31T00:00:00"/>
    <x v="32"/>
    <n v="152"/>
    <n v="0.84444444444444444"/>
    <n v="72"/>
    <n v="36"/>
    <n v="15"/>
    <n v="0.91666666666666663"/>
    <n v="1.3121100000000001"/>
    <n v="1.3121100000000001"/>
    <n v="47.235960000000006"/>
    <n v="12"/>
    <x v="0"/>
    <n v="3.5999999999999997E-2"/>
  </r>
  <r>
    <s v="GUAYAQUIL"/>
    <x v="0"/>
    <x v="0"/>
    <x v="21"/>
    <s v="DULCE LCH KIOSKO VASO 500G"/>
    <n v="180"/>
    <n v="1"/>
    <n v="0.5"/>
    <n v="180"/>
    <d v="2024-11-14T00:00:00"/>
    <s v="jueves"/>
    <d v="2024-10-31T00:00:00"/>
    <x v="32"/>
    <n v="152"/>
    <n v="0.84444444444444444"/>
    <n v="164"/>
    <n v="82"/>
    <n v="14"/>
    <n v="0.92222222222222228"/>
    <n v="1.3121100000000001"/>
    <n v="1.3121100000000001"/>
    <n v="107.59302000000001"/>
    <n v="13"/>
    <x v="0"/>
    <n v="8.2000000000000003E-2"/>
  </r>
  <r>
    <s v="GUAYAQUIL"/>
    <x v="0"/>
    <x v="0"/>
    <x v="21"/>
    <s v="DULCE LCH KIOSKO VASO 500G"/>
    <n v="252"/>
    <n v="1"/>
    <n v="0.5"/>
    <n v="180"/>
    <d v="2024-11-19T00:00:00"/>
    <s v="martes"/>
    <d v="2024-10-31T00:00:00"/>
    <x v="32"/>
    <n v="152"/>
    <n v="0.84444444444444444"/>
    <n v="252"/>
    <n v="126"/>
    <n v="19"/>
    <n v="0.89444444444444449"/>
    <n v="1.3121100000000001"/>
    <n v="1.3121100000000001"/>
    <n v="165.32586000000001"/>
    <n v="8"/>
    <x v="0"/>
    <n v="0.126"/>
  </r>
  <r>
    <s v="GUAYAQUIL"/>
    <x v="0"/>
    <x v="0"/>
    <x v="21"/>
    <s v="DULCE LCH KIOSKO VASO 500G"/>
    <n v="108"/>
    <n v="1"/>
    <n v="0.5"/>
    <n v="180"/>
    <d v="2024-11-19T00:00:00"/>
    <s v="martes"/>
    <d v="2024-11-15T00:00:00"/>
    <x v="42"/>
    <n v="167"/>
    <n v="0.92777777777777781"/>
    <n v="108"/>
    <n v="54"/>
    <n v="4"/>
    <n v="0.97777777777777775"/>
    <n v="1.3121100000000001"/>
    <n v="1.3121100000000001"/>
    <n v="70.853940000000009"/>
    <n v="8"/>
    <x v="0"/>
    <n v="5.3999999999999999E-2"/>
  </r>
  <r>
    <s v="GUAYAQUIL"/>
    <x v="0"/>
    <x v="0"/>
    <x v="21"/>
    <s v="DULCE LCH KIOSKO VASO 500G"/>
    <n v="1008"/>
    <n v="1"/>
    <n v="0.5"/>
    <n v="180"/>
    <d v="2024-11-20T00:00:00"/>
    <s v="miércoles"/>
    <d v="2024-11-15T00:00:00"/>
    <x v="42"/>
    <n v="167"/>
    <n v="0.92777777777777781"/>
    <n v="1008"/>
    <n v="504"/>
    <n v="5"/>
    <n v="0.97222222222222221"/>
    <n v="1.3121100000000001"/>
    <n v="1.3121100000000001"/>
    <n v="661.30344000000002"/>
    <n v="7"/>
    <x v="0"/>
    <n v="0.504"/>
  </r>
  <r>
    <s v="GUAYAQUIL"/>
    <x v="0"/>
    <x v="0"/>
    <x v="22"/>
    <s v="Q MOZAR KIOSKO BLOQ 200G"/>
    <n v="720"/>
    <n v="1"/>
    <n v="0.2"/>
    <n v="40"/>
    <d v="2024-11-15T00:00:00"/>
    <s v="viernes"/>
    <d v="2024-11-13T00:00:00"/>
    <x v="9"/>
    <n v="25"/>
    <n v="0.625"/>
    <n v="13"/>
    <n v="2.6"/>
    <n v="2"/>
    <n v="0.95"/>
    <n v="0.94696000000000002"/>
    <n v="0.94696000000000002"/>
    <n v="2.4620960000000003"/>
    <n v="12"/>
    <x v="1"/>
    <n v="2.5999999999999999E-3"/>
  </r>
  <r>
    <s v="GUAYAQUIL"/>
    <x v="0"/>
    <x v="0"/>
    <x v="22"/>
    <s v="Q MOZAR KIOSKO BLOQ 200G"/>
    <n v="3120"/>
    <n v="1"/>
    <n v="0.2"/>
    <n v="40"/>
    <d v="2024-11-19T00:00:00"/>
    <s v="martes"/>
    <d v="2024-11-14T00:00:00"/>
    <x v="6"/>
    <n v="26"/>
    <n v="0.65"/>
    <n v="2586"/>
    <n v="517.20000000000005"/>
    <n v="5"/>
    <n v="0.875"/>
    <n v="0.94696000000000002"/>
    <n v="0.94696000000000002"/>
    <n v="489.76771200000007"/>
    <n v="8"/>
    <x v="1"/>
    <n v="0.51719999999999999"/>
  </r>
  <r>
    <s v="GUAYAQUIL"/>
    <x v="0"/>
    <x v="0"/>
    <x v="22"/>
    <s v="Q MOZAR KIOSKO BLOQ 200G"/>
    <n v="360"/>
    <n v="1"/>
    <n v="0.2"/>
    <n v="40"/>
    <d v="2024-11-20T00:00:00"/>
    <s v="miércoles"/>
    <d v="2024-11-16T00:00:00"/>
    <x v="43"/>
    <n v="28"/>
    <n v="0.7"/>
    <n v="360"/>
    <n v="72"/>
    <n v="4"/>
    <n v="0.9"/>
    <n v="0.94696000000000002"/>
    <n v="0.94696000000000002"/>
    <n v="68.181120000000007"/>
    <n v="7"/>
    <x v="0"/>
    <n v="7.1999999999999995E-2"/>
  </r>
  <r>
    <s v="GUAYAQUIL"/>
    <x v="0"/>
    <x v="0"/>
    <x v="22"/>
    <s v="Q MOZAR KIOSKO BLOQ 200G"/>
    <n v="840"/>
    <n v="1"/>
    <n v="0.2"/>
    <n v="40"/>
    <d v="2024-11-20T00:00:00"/>
    <s v="miércoles"/>
    <d v="2024-11-15T00:00:00"/>
    <x v="44"/>
    <n v="27"/>
    <n v="0.67500000000000004"/>
    <n v="840"/>
    <n v="168"/>
    <n v="5"/>
    <n v="0.875"/>
    <n v="0.94696000000000002"/>
    <n v="0.94696000000000002"/>
    <n v="159.08928"/>
    <n v="7"/>
    <x v="0"/>
    <n v="0.16800000000000001"/>
  </r>
  <r>
    <s v="GUAYAQUIL"/>
    <x v="0"/>
    <x v="0"/>
    <x v="22"/>
    <s v="Q MOZAR KIOSKO BLOQ 200G"/>
    <n v="1560"/>
    <n v="1"/>
    <n v="0.2"/>
    <n v="40"/>
    <d v="2024-11-21T00:00:00"/>
    <s v="jueves"/>
    <d v="2024-11-16T00:00:00"/>
    <x v="43"/>
    <n v="28"/>
    <n v="0.7"/>
    <n v="1560"/>
    <n v="312"/>
    <n v="5"/>
    <n v="0.875"/>
    <n v="0.94696000000000002"/>
    <n v="0.94696000000000002"/>
    <n v="295.45152000000002"/>
    <n v="6"/>
    <x v="0"/>
    <n v="0.312"/>
  </r>
  <r>
    <s v="GUAYAQUIL"/>
    <x v="0"/>
    <x v="0"/>
    <x v="23"/>
    <s v="Q MOZAR KIOSKO BLOQ 350G"/>
    <n v="630"/>
    <n v="1"/>
    <n v="0.35"/>
    <n v="40"/>
    <d v="2024-11-08T00:00:00"/>
    <s v="viernes"/>
    <d v="2024-11-06T00:00:00"/>
    <x v="4"/>
    <n v="18"/>
    <n v="0.45"/>
    <n v="1"/>
    <n v="0.35"/>
    <n v="2"/>
    <n v="0.95"/>
    <n v="1.6586400000000001"/>
    <n v="1.6586400000000001"/>
    <n v="0.58052400000000004"/>
    <n v="19"/>
    <x v="2"/>
    <n v="3.5E-4"/>
  </r>
  <r>
    <s v="GUAYAQUIL"/>
    <x v="0"/>
    <x v="0"/>
    <x v="23"/>
    <s v="Q MOZAR KIOSKO BLOQ 350G"/>
    <n v="315"/>
    <n v="1"/>
    <n v="0.35"/>
    <n v="40"/>
    <d v="2024-11-15T00:00:00"/>
    <s v="viernes"/>
    <d v="2024-11-12T00:00:00"/>
    <x v="1"/>
    <n v="24"/>
    <n v="0.6"/>
    <n v="315"/>
    <n v="110.25"/>
    <n v="3"/>
    <n v="0.92500000000000004"/>
    <n v="1.6586400000000001"/>
    <n v="1.6586400000000001"/>
    <n v="182.86506"/>
    <n v="12"/>
    <x v="1"/>
    <n v="0.11025"/>
  </r>
  <r>
    <s v="GUAYAQUIL"/>
    <x v="0"/>
    <x v="0"/>
    <x v="23"/>
    <s v="Q MOZAR KIOSKO BLOQ 350G"/>
    <n v="180"/>
    <n v="1"/>
    <n v="0.35"/>
    <n v="40"/>
    <d v="2024-11-14T00:00:00"/>
    <s v="jueves"/>
    <d v="2024-11-12T00:00:00"/>
    <x v="1"/>
    <n v="24"/>
    <n v="0.6"/>
    <n v="122"/>
    <n v="42.699999999999996"/>
    <n v="2"/>
    <n v="0.95"/>
    <n v="1.6586400000000001"/>
    <n v="1.6586400000000001"/>
    <n v="70.823927999999995"/>
    <n v="13"/>
    <x v="1"/>
    <n v="4.2699999999999995E-2"/>
  </r>
  <r>
    <s v="GUAYAQUIL"/>
    <x v="0"/>
    <x v="0"/>
    <x v="23"/>
    <s v="Q MOZAR KIOSKO BLOQ 350G"/>
    <n v="90"/>
    <n v="1"/>
    <n v="0.35"/>
    <n v="40"/>
    <d v="2024-11-14T00:00:00"/>
    <s v="jueves"/>
    <d v="2024-11-09T00:00:00"/>
    <x v="45"/>
    <n v="21"/>
    <n v="0.52500000000000002"/>
    <n v="10"/>
    <n v="3.5"/>
    <n v="5"/>
    <n v="0.875"/>
    <n v="1.6586400000000001"/>
    <n v="1.6586400000000001"/>
    <n v="5.8052400000000004"/>
    <n v="13"/>
    <x v="2"/>
    <n v="3.5000000000000001E-3"/>
  </r>
  <r>
    <s v="GUAYAQUIL"/>
    <x v="0"/>
    <x v="0"/>
    <x v="23"/>
    <s v="Q MOZAR KIOSKO BLOQ 350G"/>
    <n v="495"/>
    <n v="1"/>
    <n v="0.35"/>
    <n v="40"/>
    <d v="2024-11-19T00:00:00"/>
    <s v="martes"/>
    <d v="2024-11-15T00:00:00"/>
    <x v="44"/>
    <n v="27"/>
    <n v="0.67500000000000004"/>
    <n v="495"/>
    <n v="173.25"/>
    <n v="4"/>
    <n v="0.9"/>
    <n v="1.6586400000000001"/>
    <n v="1.6586400000000001"/>
    <n v="287.35938000000004"/>
    <n v="8"/>
    <x v="0"/>
    <n v="0.17324999999999999"/>
  </r>
  <r>
    <s v="GUAYAQUIL"/>
    <x v="0"/>
    <x v="0"/>
    <x v="23"/>
    <s v="Q MOZAR KIOSKO BLOQ 350G"/>
    <n v="180"/>
    <n v="1"/>
    <n v="0.35"/>
    <n v="40"/>
    <d v="2024-11-20T00:00:00"/>
    <s v="miércoles"/>
    <d v="2024-11-15T00:00:00"/>
    <x v="44"/>
    <n v="27"/>
    <n v="0.67500000000000004"/>
    <n v="180"/>
    <n v="62.999999999999993"/>
    <n v="5"/>
    <n v="0.875"/>
    <n v="1.6586400000000001"/>
    <n v="1.6586400000000001"/>
    <n v="104.49432"/>
    <n v="7"/>
    <x v="0"/>
    <n v="6.2999999999999987E-2"/>
  </r>
  <r>
    <s v="GUAYAQUIL"/>
    <x v="0"/>
    <x v="0"/>
    <x v="23"/>
    <s v="Q MOZAR KIOSKO BLOQ 350G"/>
    <n v="225"/>
    <n v="1"/>
    <n v="0.35"/>
    <n v="40"/>
    <d v="2024-11-21T00:00:00"/>
    <s v="jueves"/>
    <d v="2024-11-19T00:00:00"/>
    <x v="7"/>
    <n v="31"/>
    <n v="0.77500000000000002"/>
    <n v="225"/>
    <n v="78.75"/>
    <n v="2"/>
    <n v="0.95"/>
    <n v="1.6586400000000001"/>
    <n v="1.6586400000000001"/>
    <n v="130.61790000000002"/>
    <n v="6"/>
    <x v="0"/>
    <n v="7.8750000000000001E-2"/>
  </r>
  <r>
    <s v="GUAYAQUIL"/>
    <x v="0"/>
    <x v="0"/>
    <x v="24"/>
    <s v="Q MOZAR KIOSKO BLOQ 500G"/>
    <n v="405"/>
    <n v="1"/>
    <n v="0.5"/>
    <n v="40"/>
    <d v="2024-11-15T00:00:00"/>
    <s v="viernes"/>
    <d v="2024-11-13T00:00:00"/>
    <x v="9"/>
    <n v="25"/>
    <n v="0.625"/>
    <n v="1"/>
    <n v="0.5"/>
    <n v="2"/>
    <n v="0.95"/>
    <n v="2.3418549999999998"/>
    <n v="2.3418549999999998"/>
    <n v="1.1709274999999999"/>
    <n v="12"/>
    <x v="1"/>
    <n v="5.0000000000000001E-4"/>
  </r>
  <r>
    <s v="GUAYAQUIL"/>
    <x v="0"/>
    <x v="0"/>
    <x v="24"/>
    <s v="Q MOZAR KIOSKO BLOQ 500G"/>
    <n v="630"/>
    <n v="1"/>
    <n v="0.5"/>
    <n v="40"/>
    <d v="2024-11-15T00:00:00"/>
    <s v="viernes"/>
    <d v="2024-11-14T00:00:00"/>
    <x v="6"/>
    <n v="26"/>
    <n v="0.65"/>
    <n v="572"/>
    <n v="286"/>
    <n v="1"/>
    <n v="0.97499999999999998"/>
    <n v="2.3418549999999998"/>
    <n v="2.3418549999999998"/>
    <n v="669.77052999999989"/>
    <n v="12"/>
    <x v="1"/>
    <n v="0.28599999999999998"/>
  </r>
  <r>
    <s v="GUAYAQUIL"/>
    <x v="0"/>
    <x v="0"/>
    <x v="24"/>
    <s v="Q MOZAR KIOSKO BLOQ 500G"/>
    <n v="1260"/>
    <n v="1"/>
    <n v="0.5"/>
    <n v="40"/>
    <d v="2024-11-19T00:00:00"/>
    <s v="martes"/>
    <d v="2024-11-14T00:00:00"/>
    <x v="6"/>
    <n v="26"/>
    <n v="0.65"/>
    <n v="1260"/>
    <n v="630"/>
    <n v="5"/>
    <n v="0.875"/>
    <n v="2.3418549999999998"/>
    <n v="2.3418549999999998"/>
    <n v="1475.3686499999999"/>
    <n v="8"/>
    <x v="1"/>
    <n v="0.63"/>
  </r>
  <r>
    <s v="GUAYAQUIL"/>
    <x v="0"/>
    <x v="0"/>
    <x v="24"/>
    <s v="Q MOZAR KIOSKO BLOQ 500G"/>
    <n v="630"/>
    <n v="1"/>
    <n v="0.5"/>
    <n v="40"/>
    <d v="2024-11-20T00:00:00"/>
    <s v="miércoles"/>
    <d v="2024-11-15T00:00:00"/>
    <x v="44"/>
    <n v="27"/>
    <n v="0.67500000000000004"/>
    <n v="630"/>
    <n v="315"/>
    <n v="5"/>
    <n v="0.875"/>
    <n v="2.3418549999999998"/>
    <n v="2.3418549999999998"/>
    <n v="737.68432499999994"/>
    <n v="7"/>
    <x v="0"/>
    <n v="0.315"/>
  </r>
  <r>
    <s v="GUAYAQUIL"/>
    <x v="0"/>
    <x v="0"/>
    <x v="24"/>
    <s v="Q MOZAR KIOSKO BLOQ 500G"/>
    <n v="855"/>
    <n v="1"/>
    <n v="0.5"/>
    <n v="40"/>
    <d v="2024-11-21T00:00:00"/>
    <s v="jueves"/>
    <d v="2024-11-16T00:00:00"/>
    <x v="43"/>
    <n v="28"/>
    <n v="0.7"/>
    <n v="855"/>
    <n v="427.5"/>
    <n v="5"/>
    <n v="0.875"/>
    <n v="2.3418549999999998"/>
    <n v="2.3418549999999998"/>
    <n v="1001.1430124999999"/>
    <n v="6"/>
    <x v="0"/>
    <n v="0.42749999999999999"/>
  </r>
  <r>
    <s v="GUAYAQUIL"/>
    <x v="0"/>
    <x v="0"/>
    <x v="25"/>
    <s v="Q MOZAR KIOSKO BLOQ 900G"/>
    <n v="714"/>
    <n v="1"/>
    <n v="0.9"/>
    <n v="40"/>
    <d v="2024-11-15T00:00:00"/>
    <s v="viernes"/>
    <d v="2024-11-14T00:00:00"/>
    <x v="6"/>
    <n v="26"/>
    <n v="0.65"/>
    <n v="110"/>
    <n v="99"/>
    <n v="1"/>
    <n v="0.97499999999999998"/>
    <n v="4.1744400000000006"/>
    <n v="4.1744400000000006"/>
    <n v="413.26956000000007"/>
    <n v="12"/>
    <x v="1"/>
    <n v="9.9000000000000005E-2"/>
  </r>
  <r>
    <s v="GUAYAQUIL"/>
    <x v="0"/>
    <x v="0"/>
    <x v="25"/>
    <s v="Q MOZAR KIOSKO BLOQ 900G"/>
    <n v="84"/>
    <n v="1"/>
    <n v="0.9"/>
    <n v="40"/>
    <d v="2024-11-19T00:00:00"/>
    <s v="martes"/>
    <d v="2024-11-16T00:00:00"/>
    <x v="43"/>
    <n v="28"/>
    <n v="0.7"/>
    <n v="84"/>
    <n v="75.600000000000009"/>
    <n v="3"/>
    <n v="0.92500000000000004"/>
    <n v="4.1744400000000006"/>
    <n v="4.1744400000000006"/>
    <n v="315.58766400000007"/>
    <n v="8"/>
    <x v="0"/>
    <n v="7.5600000000000014E-2"/>
  </r>
  <r>
    <s v="GUAYAQUIL"/>
    <x v="0"/>
    <x v="0"/>
    <x v="25"/>
    <s v="Q MOZAR KIOSKO BLOQ 900G"/>
    <n v="882"/>
    <n v="1"/>
    <n v="0.9"/>
    <n v="40"/>
    <d v="2024-11-19T00:00:00"/>
    <s v="martes"/>
    <d v="2024-11-15T00:00:00"/>
    <x v="44"/>
    <n v="27"/>
    <n v="0.67500000000000004"/>
    <n v="882"/>
    <n v="793.80000000000007"/>
    <n v="4"/>
    <n v="0.9"/>
    <n v="4.1744400000000006"/>
    <n v="4.1744400000000006"/>
    <n v="3313.6704720000007"/>
    <n v="8"/>
    <x v="0"/>
    <n v="0.79380000000000006"/>
  </r>
  <r>
    <s v="GUAYAQUIL"/>
    <x v="0"/>
    <x v="0"/>
    <x v="25"/>
    <s v="Q MOZAR KIOSKO BLOQ 900G"/>
    <n v="546"/>
    <n v="1"/>
    <n v="0.9"/>
    <n v="40"/>
    <d v="2024-11-20T00:00:00"/>
    <s v="miércoles"/>
    <d v="2024-11-16T00:00:00"/>
    <x v="43"/>
    <n v="28"/>
    <n v="0.7"/>
    <n v="546"/>
    <n v="491.40000000000003"/>
    <n v="4"/>
    <n v="0.9"/>
    <n v="4.1744400000000006"/>
    <n v="4.1744400000000006"/>
    <n v="2051.3198160000006"/>
    <n v="7"/>
    <x v="0"/>
    <n v="0.49140000000000006"/>
  </r>
  <r>
    <s v="GUAYAQUIL"/>
    <x v="0"/>
    <x v="0"/>
    <x v="25"/>
    <s v="Q MOZAR KIOSKO BLOQ 900G"/>
    <n v="630"/>
    <n v="1"/>
    <n v="0.9"/>
    <n v="40"/>
    <d v="2024-11-21T00:00:00"/>
    <s v="jueves"/>
    <d v="2024-11-19T00:00:00"/>
    <x v="7"/>
    <n v="31"/>
    <n v="0.77500000000000002"/>
    <n v="630"/>
    <n v="567"/>
    <n v="2"/>
    <n v="0.95"/>
    <n v="4.1744400000000006"/>
    <n v="4.1744400000000006"/>
    <n v="2366.9074800000003"/>
    <n v="6"/>
    <x v="0"/>
    <n v="0.56699999999999995"/>
  </r>
  <r>
    <s v="GUAYAQUIL"/>
    <x v="0"/>
    <x v="0"/>
    <x v="26"/>
    <s v="Q MOZAR LGHT KIOSKO BLOQ 500G"/>
    <n v="450"/>
    <n v="1"/>
    <n v="0.5"/>
    <n v="40"/>
    <d v="2024-11-19T00:00:00"/>
    <s v="martes"/>
    <d v="2024-11-15T00:00:00"/>
    <x v="44"/>
    <n v="27"/>
    <n v="0.67500000000000004"/>
    <n v="318"/>
    <n v="159"/>
    <n v="4"/>
    <n v="0.9"/>
    <n v="2.755735"/>
    <n v="2.755735"/>
    <n v="438.16186500000003"/>
    <n v="8"/>
    <x v="0"/>
    <n v="0.159"/>
  </r>
  <r>
    <s v="GUAYAQUIL"/>
    <x v="0"/>
    <x v="0"/>
    <x v="26"/>
    <s v="Q MOZAR LGHT KIOSKO BLOQ 500G"/>
    <n v="135"/>
    <n v="1"/>
    <n v="0.5"/>
    <n v="40"/>
    <d v="2024-11-20T00:00:00"/>
    <s v="miércoles"/>
    <d v="2024-11-16T00:00:00"/>
    <x v="43"/>
    <n v="28"/>
    <n v="0.7"/>
    <n v="135"/>
    <n v="67.5"/>
    <n v="4"/>
    <n v="0.9"/>
    <n v="2.755735"/>
    <n v="2.755735"/>
    <n v="186.0121125"/>
    <n v="7"/>
    <x v="0"/>
    <n v="6.7500000000000004E-2"/>
  </r>
  <r>
    <s v="GUAYAQUIL"/>
    <x v="0"/>
    <x v="0"/>
    <x v="26"/>
    <s v="Q MOZAR LGHT KIOSKO BLOQ 500G"/>
    <n v="270"/>
    <n v="1"/>
    <n v="0.5"/>
    <n v="40"/>
    <d v="2024-11-21T00:00:00"/>
    <s v="jueves"/>
    <d v="2024-11-16T00:00:00"/>
    <x v="43"/>
    <n v="28"/>
    <n v="0.7"/>
    <n v="270"/>
    <n v="135"/>
    <n v="5"/>
    <n v="0.875"/>
    <n v="2.755735"/>
    <n v="2.755735"/>
    <n v="372.024225"/>
    <n v="6"/>
    <x v="0"/>
    <n v="0.13500000000000001"/>
  </r>
  <r>
    <s v="GUAYAQUIL"/>
    <x v="0"/>
    <x v="0"/>
    <x v="27"/>
    <s v="Q GOUDA KIOSKO BLOQ 350G"/>
    <n v="108"/>
    <n v="1"/>
    <n v="0.35"/>
    <n v="60"/>
    <d v="2024-11-15T00:00:00"/>
    <s v="viernes"/>
    <d v="2024-11-13T00:00:00"/>
    <x v="46"/>
    <n v="45"/>
    <n v="0.75"/>
    <n v="17"/>
    <n v="5.9499999999999993"/>
    <n v="2"/>
    <n v="0.96666666666666667"/>
    <n v="2.4922949999999999"/>
    <n v="2.4922949999999999"/>
    <n v="14.829155249999998"/>
    <n v="12"/>
    <x v="0"/>
    <n v="5.9499999999999996E-3"/>
  </r>
  <r>
    <s v="GUAYAQUIL"/>
    <x v="0"/>
    <x v="0"/>
    <x v="27"/>
    <s v="Q GOUDA KIOSKO BLOQ 350G"/>
    <n v="288"/>
    <n v="1"/>
    <n v="0.35"/>
    <n v="60"/>
    <d v="2024-11-19T00:00:00"/>
    <s v="martes"/>
    <d v="2024-11-14T00:00:00"/>
    <x v="47"/>
    <n v="46"/>
    <n v="0.76666666666666672"/>
    <n v="288"/>
    <n v="100.8"/>
    <n v="5"/>
    <n v="0.91666666666666663"/>
    <n v="2.4922949999999999"/>
    <n v="2.4922949999999999"/>
    <n v="251.22333599999999"/>
    <n v="8"/>
    <x v="0"/>
    <n v="0.1008"/>
  </r>
  <r>
    <s v="GUAYAQUIL"/>
    <x v="0"/>
    <x v="0"/>
    <x v="27"/>
    <s v="Q GOUDA KIOSKO BLOQ 350G"/>
    <n v="36"/>
    <n v="1"/>
    <n v="0.35"/>
    <n v="60"/>
    <d v="2024-11-20T00:00:00"/>
    <s v="miércoles"/>
    <d v="2024-11-14T00:00:00"/>
    <x v="47"/>
    <n v="46"/>
    <n v="0.76666666666666672"/>
    <n v="36"/>
    <n v="12.6"/>
    <n v="6"/>
    <n v="0.9"/>
    <n v="2.4922949999999999"/>
    <n v="2.4922949999999999"/>
    <n v="31.402916999999999"/>
    <n v="7"/>
    <x v="0"/>
    <n v="1.26E-2"/>
  </r>
  <r>
    <s v="GUAYAQUIL"/>
    <x v="0"/>
    <x v="0"/>
    <x v="27"/>
    <s v="Q GOUDA KIOSKO BLOQ 350G"/>
    <n v="144"/>
    <n v="1"/>
    <n v="0.35"/>
    <n v="60"/>
    <d v="2024-11-21T00:00:00"/>
    <s v="jueves"/>
    <d v="2024-11-14T00:00:00"/>
    <x v="47"/>
    <n v="46"/>
    <n v="0.76666666666666672"/>
    <n v="144"/>
    <n v="50.4"/>
    <n v="7"/>
    <n v="0.8833333333333333"/>
    <n v="2.4922949999999999"/>
    <n v="2.4922949999999999"/>
    <n v="125.61166799999999"/>
    <n v="6"/>
    <x v="0"/>
    <n v="5.04E-2"/>
  </r>
  <r>
    <s v="GUAYAQUIL"/>
    <x v="0"/>
    <x v="0"/>
    <x v="28"/>
    <s v="Q HOLAN KIOSKO AL PESO"/>
    <n v="40"/>
    <n v="2.7"/>
    <n v="1"/>
    <n v="90"/>
    <d v="2024-11-15T00:00:00"/>
    <s v="viernes"/>
    <d v="2024-11-08T00:00:00"/>
    <x v="17"/>
    <n v="70"/>
    <n v="0.77777777777777779"/>
    <n v="32"/>
    <n v="86.4"/>
    <n v="7"/>
    <n v="0.92222222222222228"/>
    <n v="6.1996750000000009"/>
    <n v="16.739122500000004"/>
    <n v="1446.2601840000004"/>
    <n v="12"/>
    <x v="0"/>
    <n v="8.6400000000000005E-2"/>
  </r>
  <r>
    <s v="GUAYAQUIL"/>
    <x v="0"/>
    <x v="0"/>
    <x v="28"/>
    <s v="Q HOLAN KIOSKO AL PESO"/>
    <n v="55"/>
    <n v="2.7"/>
    <n v="1"/>
    <n v="90"/>
    <d v="2024-11-20T00:00:00"/>
    <s v="miércoles"/>
    <d v="2024-11-08T00:00:00"/>
    <x v="17"/>
    <n v="70"/>
    <n v="0.77777777777777779"/>
    <n v="55"/>
    <n v="148.5"/>
    <n v="12"/>
    <n v="0.8666666666666667"/>
    <n v="6.1996750000000009"/>
    <n v="16.739122500000004"/>
    <n v="2485.7596912500007"/>
    <n v="7"/>
    <x v="0"/>
    <n v="0.14849999999999999"/>
  </r>
  <r>
    <s v="GUAYAQUIL"/>
    <x v="0"/>
    <x v="0"/>
    <x v="28"/>
    <s v="Q HOLAN KIOSKO AL PESO"/>
    <n v="31"/>
    <n v="2.7"/>
    <n v="1"/>
    <n v="90"/>
    <d v="2024-11-21T00:00:00"/>
    <s v="jueves"/>
    <d v="2024-11-14T00:00:00"/>
    <x v="23"/>
    <n v="76"/>
    <n v="0.84444444444444444"/>
    <n v="31"/>
    <n v="83.7"/>
    <n v="7"/>
    <n v="0.92222222222222228"/>
    <n v="6.1996750000000009"/>
    <n v="16.739122500000004"/>
    <n v="1401.0645532500005"/>
    <n v="6"/>
    <x v="0"/>
    <n v="8.3699999999999997E-2"/>
  </r>
  <r>
    <s v="GUAYAQUIL"/>
    <x v="0"/>
    <x v="0"/>
    <x v="29"/>
    <s v="Q HOLAN KIOSKO 20 LONJ 300G"/>
    <n v="75"/>
    <n v="1"/>
    <n v="0.3"/>
    <n v="90"/>
    <d v="2024-11-12T00:00:00"/>
    <s v="martes"/>
    <d v="2024-10-31T00:00:00"/>
    <x v="48"/>
    <n v="62"/>
    <n v="0.68888888888888888"/>
    <n v="32"/>
    <n v="9.6"/>
    <n v="12"/>
    <n v="0.8666666666666667"/>
    <n v="2.4232300000000002"/>
    <n v="2.4232300000000002"/>
    <n v="23.263008000000003"/>
    <n v="15"/>
    <x v="0"/>
    <n v="9.5999999999999992E-3"/>
  </r>
  <r>
    <s v="GUAYAQUIL"/>
    <x v="0"/>
    <x v="0"/>
    <x v="29"/>
    <s v="Q HOLAN KIOSKO 20 LONJ 300G"/>
    <n v="75"/>
    <n v="1"/>
    <n v="0.3"/>
    <n v="90"/>
    <d v="2024-11-13T00:00:00"/>
    <s v="miércoles"/>
    <d v="2024-11-06T00:00:00"/>
    <x v="22"/>
    <n v="68"/>
    <n v="0.75555555555555554"/>
    <n v="75"/>
    <n v="22.5"/>
    <n v="7"/>
    <n v="0.92222222222222228"/>
    <n v="2.4232300000000002"/>
    <n v="2.4232300000000002"/>
    <n v="54.522675000000007"/>
    <n v="14"/>
    <x v="0"/>
    <n v="2.2499999999999999E-2"/>
  </r>
  <r>
    <s v="GUAYAQUIL"/>
    <x v="0"/>
    <x v="0"/>
    <x v="29"/>
    <s v="Q HOLAN KIOSKO 20 LONJ 300G"/>
    <n v="75"/>
    <n v="1"/>
    <n v="0.3"/>
    <n v="90"/>
    <d v="2024-11-20T00:00:00"/>
    <s v="miércoles"/>
    <d v="2024-11-14T00:00:00"/>
    <x v="23"/>
    <n v="76"/>
    <n v="0.84444444444444444"/>
    <n v="75"/>
    <n v="22.5"/>
    <n v="6"/>
    <n v="0.93333333333333335"/>
    <n v="2.4232300000000002"/>
    <n v="2.4232300000000002"/>
    <n v="54.522675000000007"/>
    <n v="7"/>
    <x v="0"/>
    <n v="2.2499999999999999E-2"/>
  </r>
  <r>
    <s v="GUAYAQUIL"/>
    <x v="0"/>
    <x v="0"/>
    <x v="29"/>
    <s v="Q HOLAN KIOSKO 20 LONJ 300G"/>
    <n v="75"/>
    <n v="1"/>
    <n v="0.3"/>
    <n v="90"/>
    <d v="2024-11-21T00:00:00"/>
    <s v="jueves"/>
    <d v="2024-11-14T00:00:00"/>
    <x v="23"/>
    <n v="76"/>
    <n v="0.84444444444444444"/>
    <n v="75"/>
    <n v="22.5"/>
    <n v="7"/>
    <n v="0.92222222222222228"/>
    <n v="2.4232300000000002"/>
    <n v="2.4232300000000002"/>
    <n v="54.522675000000007"/>
    <n v="6"/>
    <x v="0"/>
    <n v="2.2499999999999999E-2"/>
  </r>
  <r>
    <s v="GUAYAQUIL"/>
    <x v="0"/>
    <x v="0"/>
    <x v="30"/>
    <s v="Q HOLAN KIOSKO 10 LONJ 150G"/>
    <n v="150"/>
    <n v="1"/>
    <n v="0.15"/>
    <n v="90"/>
    <d v="2024-11-13T00:00:00"/>
    <s v="miércoles"/>
    <d v="2024-11-12T00:00:00"/>
    <x v="18"/>
    <n v="74"/>
    <n v="0.82222222222222219"/>
    <n v="83"/>
    <n v="12.45"/>
    <n v="1"/>
    <n v="0.98888888888888893"/>
    <n v="1.229355"/>
    <n v="1.229355"/>
    <n v="15.305469749999999"/>
    <n v="14"/>
    <x v="0"/>
    <n v="1.2449999999999999E-2"/>
  </r>
  <r>
    <s v="GUAYAQUIL"/>
    <x v="0"/>
    <x v="0"/>
    <x v="30"/>
    <s v="Q HOLAN KIOSKO 10 LONJ 150G"/>
    <n v="150"/>
    <n v="1"/>
    <n v="0.15"/>
    <n v="90"/>
    <d v="2024-11-15T00:00:00"/>
    <s v="viernes"/>
    <d v="2024-11-12T00:00:00"/>
    <x v="18"/>
    <n v="74"/>
    <n v="0.82222222222222219"/>
    <n v="150"/>
    <n v="22.5"/>
    <n v="3"/>
    <n v="0.96666666666666667"/>
    <n v="1.229355"/>
    <n v="1.229355"/>
    <n v="27.660487499999999"/>
    <n v="12"/>
    <x v="0"/>
    <n v="2.2499999999999999E-2"/>
  </r>
  <r>
    <s v="GUAYAQUIL"/>
    <x v="0"/>
    <x v="0"/>
    <x v="30"/>
    <s v="Q HOLAN KIOSKO 10 LONJ 150G"/>
    <n v="150"/>
    <n v="1"/>
    <n v="0.15"/>
    <n v="90"/>
    <d v="2024-11-21T00:00:00"/>
    <s v="jueves"/>
    <d v="2024-11-15T00:00:00"/>
    <x v="24"/>
    <n v="77"/>
    <n v="0.85555555555555551"/>
    <n v="150"/>
    <n v="22.5"/>
    <n v="6"/>
    <n v="0.93333333333333335"/>
    <n v="1.229355"/>
    <n v="1.229355"/>
    <n v="27.660487499999999"/>
    <n v="6"/>
    <x v="0"/>
    <n v="2.2499999999999999E-2"/>
  </r>
  <r>
    <s v="GUAYAQUIL"/>
    <x v="0"/>
    <x v="0"/>
    <x v="31"/>
    <s v="Q JAVIER KIOSKO AL PESO"/>
    <n v="40"/>
    <n v="2.7"/>
    <n v="1"/>
    <n v="90"/>
    <d v="2024-11-15T00:00:00"/>
    <s v="viernes"/>
    <d v="2024-11-12T00:00:00"/>
    <x v="18"/>
    <n v="74"/>
    <n v="0.82222222222222219"/>
    <n v="34"/>
    <n v="91.800000000000011"/>
    <n v="3"/>
    <n v="0.96666666666666667"/>
    <n v="6.2949450000000002"/>
    <n v="16.996351500000003"/>
    <n v="1560.2650677000004"/>
    <n v="12"/>
    <x v="0"/>
    <n v="9.1800000000000007E-2"/>
  </r>
  <r>
    <s v="GUAYAQUIL"/>
    <x v="0"/>
    <x v="0"/>
    <x v="31"/>
    <s v="Q JAVIER KIOSKO AL PESO"/>
    <n v="45"/>
    <n v="2.7"/>
    <n v="1"/>
    <n v="90"/>
    <d v="2024-11-19T00:00:00"/>
    <s v="martes"/>
    <d v="2024-11-12T00:00:00"/>
    <x v="18"/>
    <n v="74"/>
    <n v="0.82222222222222219"/>
    <n v="45"/>
    <n v="121.50000000000001"/>
    <n v="7"/>
    <n v="0.92222222222222228"/>
    <n v="6.2949450000000002"/>
    <n v="16.996351500000003"/>
    <n v="2065.0567072500007"/>
    <n v="8"/>
    <x v="0"/>
    <n v="0.12150000000000001"/>
  </r>
  <r>
    <s v="GUAYAQUIL"/>
    <x v="0"/>
    <x v="0"/>
    <x v="31"/>
    <s v="Q JAVIER KIOSKO AL PESO"/>
    <n v="50"/>
    <n v="2.7"/>
    <n v="1"/>
    <n v="90"/>
    <d v="2024-11-21T00:00:00"/>
    <s v="jueves"/>
    <d v="2024-11-12T00:00:00"/>
    <x v="18"/>
    <n v="74"/>
    <n v="0.82222222222222219"/>
    <n v="50"/>
    <n v="135"/>
    <n v="9"/>
    <n v="0.9"/>
    <n v="6.2949450000000002"/>
    <n v="16.996351500000003"/>
    <n v="2294.5074525000005"/>
    <n v="6"/>
    <x v="0"/>
    <n v="0.13500000000000001"/>
  </r>
  <r>
    <s v="GUAYAQUIL"/>
    <x v="0"/>
    <x v="0"/>
    <x v="32"/>
    <s v="Q JAVIER KIOSKO 10 LONJ 150G"/>
    <n v="150"/>
    <n v="1"/>
    <n v="0.15"/>
    <n v="90"/>
    <d v="2024-11-15T00:00:00"/>
    <s v="viernes"/>
    <d v="2024-11-08T00:00:00"/>
    <x v="17"/>
    <n v="70"/>
    <n v="0.77777777777777779"/>
    <n v="150"/>
    <n v="22.5"/>
    <n v="7"/>
    <n v="0.92222222222222228"/>
    <n v="1.2392050000000001"/>
    <n v="1.2392050000000001"/>
    <n v="27.882112500000002"/>
    <n v="12"/>
    <x v="0"/>
    <n v="2.2499999999999999E-2"/>
  </r>
  <r>
    <s v="GUAYAQUIL"/>
    <x v="0"/>
    <x v="0"/>
    <x v="32"/>
    <s v="Q JAVIER KIOSKO 10 LONJ 150G"/>
    <n v="150"/>
    <n v="1"/>
    <n v="0.15"/>
    <n v="90"/>
    <d v="2024-11-14T00:00:00"/>
    <s v="jueves"/>
    <d v="2024-11-08T00:00:00"/>
    <x v="17"/>
    <n v="70"/>
    <n v="0.77777777777777779"/>
    <n v="89"/>
    <n v="13.35"/>
    <n v="6"/>
    <n v="0.93333333333333335"/>
    <n v="1.2392050000000001"/>
    <n v="1.2392050000000001"/>
    <n v="16.54338675"/>
    <n v="13"/>
    <x v="0"/>
    <n v="1.3349999999999999E-2"/>
  </r>
  <r>
    <s v="GUAYAQUIL"/>
    <x v="0"/>
    <x v="0"/>
    <x v="32"/>
    <s v="Q JAVIER KIOSKO 10 LONJ 150G"/>
    <n v="150"/>
    <n v="1"/>
    <n v="0.15"/>
    <n v="90"/>
    <d v="2024-11-21T00:00:00"/>
    <s v="jueves"/>
    <d v="2024-11-08T00:00:00"/>
    <x v="17"/>
    <n v="70"/>
    <n v="0.77777777777777779"/>
    <n v="150"/>
    <n v="22.5"/>
    <n v="13"/>
    <n v="0.85555555555555562"/>
    <n v="1.2392050000000001"/>
    <n v="1.2392050000000001"/>
    <n v="27.882112500000002"/>
    <n v="6"/>
    <x v="0"/>
    <n v="2.2499999999999999E-2"/>
  </r>
  <r>
    <s v="GUAYAQUIL"/>
    <x v="0"/>
    <x v="0"/>
    <x v="33"/>
    <s v="Q JAVIER KIOSKO LONJ AL PESO"/>
    <n v="50"/>
    <n v="2.5"/>
    <n v="1"/>
    <n v="90"/>
    <d v="2024-11-15T00:00:00"/>
    <s v="viernes"/>
    <d v="2024-11-13T00:00:00"/>
    <x v="39"/>
    <n v="75"/>
    <n v="0.83333333333333337"/>
    <n v="50"/>
    <n v="125"/>
    <n v="2"/>
    <n v="0.97777777777777775"/>
    <n v="7.5779500000000004"/>
    <n v="18.944875"/>
    <n v="2368.109375"/>
    <n v="12"/>
    <x v="0"/>
    <n v="0.125"/>
  </r>
  <r>
    <s v="GUAYAQUIL"/>
    <x v="0"/>
    <x v="0"/>
    <x v="33"/>
    <s v="Q JAVIER KIOSKO LONJ AL PESO"/>
    <n v="60"/>
    <n v="2.5"/>
    <n v="1"/>
    <n v="90"/>
    <d v="2024-11-14T00:00:00"/>
    <s v="jueves"/>
    <d v="2024-11-12T00:00:00"/>
    <x v="18"/>
    <n v="74"/>
    <n v="0.82222222222222219"/>
    <n v="13"/>
    <n v="32.5"/>
    <n v="2"/>
    <n v="0.97777777777777775"/>
    <n v="7.5779500000000004"/>
    <n v="18.944875"/>
    <n v="615.70843749999995"/>
    <n v="13"/>
    <x v="0"/>
    <n v="3.2500000000000001E-2"/>
  </r>
  <r>
    <s v="GUAYAQUIL"/>
    <x v="0"/>
    <x v="0"/>
    <x v="33"/>
    <s v="Q JAVIER KIOSKO LONJ AL PESO"/>
    <n v="40"/>
    <n v="2.5"/>
    <n v="1"/>
    <n v="90"/>
    <d v="2024-11-19T00:00:00"/>
    <s v="martes"/>
    <d v="2024-11-15T00:00:00"/>
    <x v="24"/>
    <n v="77"/>
    <n v="0.85555555555555551"/>
    <n v="40"/>
    <n v="100"/>
    <n v="4"/>
    <n v="0.9555555555555556"/>
    <n v="7.5779500000000004"/>
    <n v="18.944875"/>
    <n v="1894.4875"/>
    <n v="8"/>
    <x v="0"/>
    <n v="0.1"/>
  </r>
  <r>
    <s v="GUAYAQUIL"/>
    <x v="0"/>
    <x v="0"/>
    <x v="33"/>
    <s v="Q JAVIER KIOSKO LONJ AL PESO"/>
    <n v="20"/>
    <n v="2.5"/>
    <n v="1"/>
    <n v="90"/>
    <d v="2024-11-20T00:00:00"/>
    <s v="miércoles"/>
    <d v="2024-11-15T00:00:00"/>
    <x v="24"/>
    <n v="77"/>
    <n v="0.85555555555555551"/>
    <n v="20"/>
    <n v="50"/>
    <n v="5"/>
    <n v="0.94444444444444442"/>
    <n v="7.5779500000000004"/>
    <n v="18.944875"/>
    <n v="947.24374999999998"/>
    <n v="7"/>
    <x v="0"/>
    <n v="0.05"/>
  </r>
  <r>
    <s v="GUAYAQUIL"/>
    <x v="0"/>
    <x v="0"/>
    <x v="33"/>
    <s v="Q JAVIER KIOSKO LONJ AL PESO"/>
    <n v="40"/>
    <n v="2.5"/>
    <n v="1"/>
    <n v="90"/>
    <d v="2024-11-21T00:00:00"/>
    <s v="jueves"/>
    <d v="2024-11-20T00:00:00"/>
    <x v="49"/>
    <n v="82"/>
    <n v="0.91111111111111109"/>
    <n v="40"/>
    <n v="100"/>
    <n v="1"/>
    <n v="0.98888888888888893"/>
    <n v="7.5779500000000004"/>
    <n v="18.944875"/>
    <n v="1894.4875"/>
    <n v="6"/>
    <x v="0"/>
    <n v="0.1"/>
  </r>
  <r>
    <s v="GUAYAQUIL"/>
    <x v="0"/>
    <x v="0"/>
    <x v="33"/>
    <s v="Q JAVIER KIOSKO LONJ AL PESO"/>
    <n v="60"/>
    <n v="2.5"/>
    <n v="1"/>
    <n v="90"/>
    <d v="2024-11-21T00:00:00"/>
    <s v="jueves"/>
    <d v="2024-11-15T00:00:00"/>
    <x v="24"/>
    <n v="77"/>
    <n v="0.85555555555555551"/>
    <n v="60"/>
    <n v="150"/>
    <n v="6"/>
    <n v="0.93333333333333335"/>
    <n v="7.5779500000000004"/>
    <n v="18.944875"/>
    <n v="2841.7312499999998"/>
    <n v="6"/>
    <x v="0"/>
    <n v="0.15"/>
  </r>
  <r>
    <s v="GUAYAQUIL"/>
    <x v="0"/>
    <x v="0"/>
    <x v="34"/>
    <s v="Q MIX ESPECIAL KIOSKO CUBO BOL 350G"/>
    <n v="30"/>
    <n v="1"/>
    <n v="0.35"/>
    <n v="60"/>
    <d v="2024-11-13T00:00:00"/>
    <s v="miércoles"/>
    <d v="2024-11-07T00:00:00"/>
    <x v="50"/>
    <n v="39"/>
    <n v="0.65"/>
    <n v="1"/>
    <n v="0.35"/>
    <n v="6"/>
    <n v="0.9"/>
    <n v="2.20255"/>
    <n v="2.20255"/>
    <n v="0.77089249999999998"/>
    <n v="14"/>
    <x v="0"/>
    <n v="3.5E-4"/>
  </r>
  <r>
    <s v="GUAYAQUIL"/>
    <x v="0"/>
    <x v="0"/>
    <x v="34"/>
    <s v="Q MIX ESPECIAL KIOSKO CUBO BOL 350G"/>
    <n v="210"/>
    <n v="1"/>
    <n v="0.35"/>
    <n v="60"/>
    <d v="2024-11-15T00:00:00"/>
    <s v="viernes"/>
    <d v="2024-11-12T00:00:00"/>
    <x v="51"/>
    <n v="44"/>
    <n v="0.73333333333333328"/>
    <n v="210"/>
    <n v="73.5"/>
    <n v="3"/>
    <n v="0.95"/>
    <n v="2.20255"/>
    <n v="2.20255"/>
    <n v="161.88742500000001"/>
    <n v="12"/>
    <x v="0"/>
    <n v="7.3499999999999996E-2"/>
  </r>
  <r>
    <s v="GUAYAQUIL"/>
    <x v="0"/>
    <x v="0"/>
    <x v="34"/>
    <s v="Q MIX ESPECIAL KIOSKO CUBO BOL 350G"/>
    <n v="90"/>
    <n v="1"/>
    <n v="0.35"/>
    <n v="60"/>
    <d v="2024-11-14T00:00:00"/>
    <s v="jueves"/>
    <d v="2024-11-12T00:00:00"/>
    <x v="51"/>
    <n v="44"/>
    <n v="0.73333333333333328"/>
    <n v="53"/>
    <n v="18.549999999999997"/>
    <n v="2"/>
    <n v="0.96666666666666667"/>
    <n v="2.20255"/>
    <n v="2.20255"/>
    <n v="40.857302499999996"/>
    <n v="13"/>
    <x v="0"/>
    <n v="1.8549999999999997E-2"/>
  </r>
  <r>
    <s v="GUAYAQUIL"/>
    <x v="0"/>
    <x v="0"/>
    <x v="34"/>
    <s v="Q MIX ESPECIAL KIOSKO CUBO BOL 350G"/>
    <n v="120"/>
    <n v="1"/>
    <n v="0.35"/>
    <n v="60"/>
    <d v="2024-11-19T00:00:00"/>
    <s v="martes"/>
    <d v="2024-11-13T00:00:00"/>
    <x v="46"/>
    <n v="45"/>
    <n v="0.75"/>
    <n v="120"/>
    <n v="42"/>
    <n v="6"/>
    <n v="0.9"/>
    <n v="2.20255"/>
    <n v="2.20255"/>
    <n v="92.507099999999994"/>
    <n v="8"/>
    <x v="0"/>
    <n v="4.2000000000000003E-2"/>
  </r>
  <r>
    <s v="GUAYAQUIL"/>
    <x v="0"/>
    <x v="0"/>
    <x v="34"/>
    <s v="Q MIX ESPECIAL KIOSKO CUBO BOL 350G"/>
    <n v="30"/>
    <n v="1"/>
    <n v="0.35"/>
    <n v="60"/>
    <d v="2024-11-20T00:00:00"/>
    <s v="miércoles"/>
    <d v="2024-11-15T00:00:00"/>
    <x v="52"/>
    <n v="47"/>
    <n v="0.78333333333333333"/>
    <n v="30"/>
    <n v="10.5"/>
    <n v="5"/>
    <n v="0.91666666666666663"/>
    <n v="2.20255"/>
    <n v="2.20255"/>
    <n v="23.126774999999999"/>
    <n v="7"/>
    <x v="0"/>
    <n v="1.0500000000000001E-2"/>
  </r>
  <r>
    <s v="GUAYAQUIL"/>
    <x v="0"/>
    <x v="0"/>
    <x v="34"/>
    <s v="Q MIX ESPECIAL KIOSKO CUBO BOL 350G"/>
    <n v="60"/>
    <n v="1"/>
    <n v="0.35"/>
    <n v="60"/>
    <d v="2024-11-20T00:00:00"/>
    <s v="miércoles"/>
    <d v="2024-11-13T00:00:00"/>
    <x v="46"/>
    <n v="45"/>
    <n v="0.75"/>
    <n v="60"/>
    <n v="21"/>
    <n v="7"/>
    <n v="0.8833333333333333"/>
    <n v="2.20255"/>
    <n v="2.20255"/>
    <n v="46.253549999999997"/>
    <n v="7"/>
    <x v="0"/>
    <n v="2.1000000000000001E-2"/>
  </r>
  <r>
    <s v="GUAYAQUIL"/>
    <x v="0"/>
    <x v="0"/>
    <x v="34"/>
    <s v="Q MIX ESPECIAL KIOSKO CUBO BOL 350G"/>
    <n v="90"/>
    <n v="1"/>
    <n v="0.35"/>
    <n v="60"/>
    <d v="2024-11-21T00:00:00"/>
    <s v="jueves"/>
    <d v="2024-11-15T00:00:00"/>
    <x v="52"/>
    <n v="47"/>
    <n v="0.78333333333333333"/>
    <n v="90"/>
    <n v="31.499999999999996"/>
    <n v="6"/>
    <n v="0.9"/>
    <n v="2.20255"/>
    <n v="2.20255"/>
    <n v="69.380324999999999"/>
    <n v="6"/>
    <x v="0"/>
    <n v="3.1499999999999993E-2"/>
  </r>
  <r>
    <s v="GUAYAQUIL"/>
    <x v="0"/>
    <x v="0"/>
    <x v="35"/>
    <s v="Q PROVO AHUM KIOSKO AL PESO"/>
    <n v="80"/>
    <n v="1.4"/>
    <n v="1"/>
    <n v="60"/>
    <d v="2024-10-31T00:00:00"/>
    <s v="jueves"/>
    <d v="2024-10-30T00:00:00"/>
    <x v="7"/>
    <n v="31"/>
    <n v="0.51666666666666672"/>
    <n v="21"/>
    <n v="29.4"/>
    <n v="1"/>
    <n v="0.98333333333333328"/>
    <n v="6.2104049999999997"/>
    <n v="8.6945669999999993"/>
    <n v="255.62026979999996"/>
    <n v="27"/>
    <x v="0"/>
    <n v="2.9399999999999999E-2"/>
  </r>
  <r>
    <s v="GUAYAQUIL"/>
    <x v="0"/>
    <x v="0"/>
    <x v="35"/>
    <s v="Q PROVO AHUM KIOSKO AL PESO"/>
    <n v="26"/>
    <n v="1.4"/>
    <n v="1"/>
    <n v="60"/>
    <d v="2024-11-13T00:00:00"/>
    <s v="miércoles"/>
    <d v="2024-11-12T00:00:00"/>
    <x v="51"/>
    <n v="44"/>
    <n v="0.73333333333333328"/>
    <n v="26"/>
    <n v="36.4"/>
    <n v="1"/>
    <n v="0.98333333333333328"/>
    <n v="6.2104049999999997"/>
    <n v="8.6945669999999993"/>
    <n v="316.48223879999995"/>
    <n v="14"/>
    <x v="0"/>
    <n v="3.6400000000000002E-2"/>
  </r>
  <r>
    <s v="GUAYAQUIL"/>
    <x v="0"/>
    <x v="0"/>
    <x v="35"/>
    <s v="Q PROVO AHUM KIOSKO AL PESO"/>
    <n v="26"/>
    <n v="1.4"/>
    <n v="1"/>
    <n v="60"/>
    <d v="2024-11-15T00:00:00"/>
    <s v="viernes"/>
    <d v="2024-11-14T00:00:00"/>
    <x v="47"/>
    <n v="46"/>
    <n v="0.76666666666666672"/>
    <n v="26"/>
    <n v="36.4"/>
    <n v="1"/>
    <n v="0.98333333333333328"/>
    <n v="6.2104049999999997"/>
    <n v="8.6945669999999993"/>
    <n v="316.48223879999995"/>
    <n v="12"/>
    <x v="0"/>
    <n v="3.6400000000000002E-2"/>
  </r>
  <r>
    <s v="GUAYAQUIL"/>
    <x v="0"/>
    <x v="0"/>
    <x v="36"/>
    <s v="Q SANDU KIOSKO 10 LONJ 150G"/>
    <n v="300"/>
    <n v="1"/>
    <n v="0.15"/>
    <n v="90"/>
    <d v="2024-11-12T00:00:00"/>
    <s v="martes"/>
    <d v="2024-11-05T00:00:00"/>
    <x v="15"/>
    <n v="67"/>
    <n v="0.74444444444444446"/>
    <n v="167"/>
    <n v="25.05"/>
    <n v="7"/>
    <n v="0.92222222222222228"/>
    <n v="1.186285"/>
    <n v="1.186285"/>
    <n v="29.716439250000001"/>
    <n v="15"/>
    <x v="0"/>
    <n v="2.5049999999999999E-2"/>
  </r>
  <r>
    <s v="GUAYAQUIL"/>
    <x v="0"/>
    <x v="0"/>
    <x v="36"/>
    <s v="Q SANDU KIOSKO 10 LONJ 150G"/>
    <n v="150"/>
    <n v="1"/>
    <n v="0.15"/>
    <n v="90"/>
    <d v="2024-11-14T00:00:00"/>
    <s v="jueves"/>
    <d v="2024-11-13T00:00:00"/>
    <x v="39"/>
    <n v="75"/>
    <n v="0.83333333333333337"/>
    <n v="150"/>
    <n v="22.5"/>
    <n v="1"/>
    <n v="0.98888888888888893"/>
    <n v="1.186285"/>
    <n v="1.186285"/>
    <n v="26.691412500000002"/>
    <n v="13"/>
    <x v="0"/>
    <n v="2.2499999999999999E-2"/>
  </r>
  <r>
    <s v="GUAYAQUIL"/>
    <x v="0"/>
    <x v="0"/>
    <x v="36"/>
    <s v="Q SANDU KIOSKO 10 LONJ 150G"/>
    <n v="150"/>
    <n v="1"/>
    <n v="0.15"/>
    <n v="90"/>
    <d v="2024-11-19T00:00:00"/>
    <s v="martes"/>
    <d v="2024-11-13T00:00:00"/>
    <x v="39"/>
    <n v="75"/>
    <n v="0.83333333333333337"/>
    <n v="150"/>
    <n v="22.5"/>
    <n v="6"/>
    <n v="0.93333333333333335"/>
    <n v="1.186285"/>
    <n v="1.186285"/>
    <n v="26.691412500000002"/>
    <n v="8"/>
    <x v="0"/>
    <n v="2.2499999999999999E-2"/>
  </r>
  <r>
    <s v="GUAYAQUIL"/>
    <x v="0"/>
    <x v="0"/>
    <x v="36"/>
    <s v="Q SANDU KIOSKO 10 LONJ 150G"/>
    <n v="150"/>
    <n v="1"/>
    <n v="0.15"/>
    <n v="90"/>
    <d v="2024-11-21T00:00:00"/>
    <s v="jueves"/>
    <d v="2024-11-20T00:00:00"/>
    <x v="49"/>
    <n v="82"/>
    <n v="0.91111111111111109"/>
    <n v="150"/>
    <n v="22.5"/>
    <n v="1"/>
    <n v="0.98888888888888893"/>
    <n v="1.186285"/>
    <n v="1.186285"/>
    <n v="26.691412500000002"/>
    <n v="6"/>
    <x v="0"/>
    <n v="2.2499999999999999E-2"/>
  </r>
  <r>
    <s v="GUAYAQUIL"/>
    <x v="0"/>
    <x v="0"/>
    <x v="37"/>
    <s v="YOG BBLE KID KK DZNO BOT 120G"/>
    <n v="1274"/>
    <n v="1"/>
    <n v="0.12"/>
    <n v="45"/>
    <d v="2024-11-09T00:00:00"/>
    <s v="sábado"/>
    <d v="2024-11-01T00:00:00"/>
    <x v="4"/>
    <n v="18"/>
    <n v="0.4"/>
    <n v="105"/>
    <n v="12.6"/>
    <n v="8"/>
    <n v="0.82222222222222219"/>
    <n v="0.26012000000000002"/>
    <n v="0.26012000000000002"/>
    <n v="3.2775120000000002"/>
    <n v="18"/>
    <x v="2"/>
    <n v="1.26E-2"/>
  </r>
  <r>
    <s v="GUAYAQUIL"/>
    <x v="0"/>
    <x v="0"/>
    <x v="37"/>
    <s v="YOG BBLE KID KK DZNO BOT 120G"/>
    <n v="728"/>
    <n v="1"/>
    <n v="0.12"/>
    <n v="45"/>
    <d v="2024-11-20T00:00:00"/>
    <s v="miércoles"/>
    <d v="2024-11-14T00:00:00"/>
    <x v="7"/>
    <n v="31"/>
    <n v="0.68888888888888888"/>
    <n v="685"/>
    <n v="82.2"/>
    <n v="6"/>
    <n v="0.8666666666666667"/>
    <n v="0.26012000000000002"/>
    <n v="0.26012000000000002"/>
    <n v="21.381864000000004"/>
    <n v="7"/>
    <x v="0"/>
    <n v="8.2200000000000009E-2"/>
  </r>
  <r>
    <s v="GUAYAQUIL"/>
    <x v="0"/>
    <x v="0"/>
    <x v="38"/>
    <s v="Q AMERIC KIOSKO 20 LONJ 300G"/>
    <n v="30"/>
    <n v="1"/>
    <n v="0.3"/>
    <n v="60"/>
    <d v="2024-11-15T00:00:00"/>
    <s v="viernes"/>
    <d v="2024-11-06T00:00:00"/>
    <x v="13"/>
    <n v="38"/>
    <n v="0.6333333333333333"/>
    <n v="29"/>
    <n v="8.6999999999999993"/>
    <n v="9"/>
    <n v="0.85"/>
    <n v="1.9980950000000002"/>
    <n v="1.9980950000000002"/>
    <n v="17.383426499999999"/>
    <n v="12"/>
    <x v="0"/>
    <n v="8.6999999999999994E-3"/>
  </r>
  <r>
    <s v="GUAYAQUIL"/>
    <x v="0"/>
    <x v="0"/>
    <x v="39"/>
    <s v="YOG BBLE KIOSKO DZNO BOT 950G"/>
    <n v="18"/>
    <n v="1"/>
    <n v="0.95"/>
    <n v="45"/>
    <d v="2024-11-09T00:00:00"/>
    <s v="sábado"/>
    <d v="2024-10-31T00:00:00"/>
    <x v="10"/>
    <n v="17"/>
    <n v="0.37777777777777777"/>
    <n v="7"/>
    <n v="6.6499999999999995"/>
    <n v="9"/>
    <n v="0.8"/>
    <n v="1.055175"/>
    <n v="1.055175"/>
    <n v="7.0169137499999996"/>
    <n v="18"/>
    <x v="2"/>
    <n v="6.6499999999999997E-3"/>
  </r>
  <r>
    <s v="GUAYAQUIL"/>
    <x v="0"/>
    <x v="0"/>
    <x v="39"/>
    <s v="YOG BBLE KIOSKO DZNO BOT 950G"/>
    <n v="18"/>
    <n v="1"/>
    <n v="0.95"/>
    <n v="45"/>
    <d v="2024-11-16T00:00:00"/>
    <s v="sábado"/>
    <d v="2024-11-08T00:00:00"/>
    <x v="9"/>
    <n v="25"/>
    <n v="0.55555555555555558"/>
    <n v="18"/>
    <n v="17.099999999999998"/>
    <n v="8"/>
    <n v="0.82222222222222219"/>
    <n v="1.055175"/>
    <n v="1.055175"/>
    <n v="18.043492499999996"/>
    <n v="11"/>
    <x v="1"/>
    <n v="1.7099999999999997E-2"/>
  </r>
  <r>
    <s v="GUAYAQUIL"/>
    <x v="0"/>
    <x v="0"/>
    <x v="39"/>
    <s v="YOG BBLE KIOSKO DZNO BOT 950G"/>
    <n v="18"/>
    <n v="1"/>
    <n v="0.95"/>
    <n v="45"/>
    <d v="2024-11-14T00:00:00"/>
    <s v="jueves"/>
    <d v="2024-11-08T00:00:00"/>
    <x v="9"/>
    <n v="25"/>
    <n v="0.55555555555555558"/>
    <n v="8"/>
    <n v="7.6"/>
    <n v="6"/>
    <n v="0.8666666666666667"/>
    <n v="1.055175"/>
    <n v="1.055175"/>
    <n v="8.0193300000000001"/>
    <n v="13"/>
    <x v="1"/>
    <n v="7.6E-3"/>
  </r>
  <r>
    <s v="GUAYAQUIL"/>
    <x v="0"/>
    <x v="0"/>
    <x v="39"/>
    <s v="YOG BBLE KIOSKO DZNO BOT 950G"/>
    <n v="36"/>
    <n v="1"/>
    <n v="0.95"/>
    <n v="45"/>
    <d v="2024-11-19T00:00:00"/>
    <s v="martes"/>
    <d v="2024-11-15T00:00:00"/>
    <x v="0"/>
    <n v="32"/>
    <n v="0.71111111111111114"/>
    <n v="18"/>
    <n v="17.099999999999998"/>
    <n v="4"/>
    <n v="0.91111111111111109"/>
    <n v="1.055175"/>
    <n v="1.055175"/>
    <n v="18.043492499999996"/>
    <n v="8"/>
    <x v="0"/>
    <n v="1.7099999999999997E-2"/>
  </r>
  <r>
    <s v="GUAYAQUIL"/>
    <x v="0"/>
    <x v="0"/>
    <x v="39"/>
    <s v="YOG BBLE KIOSKO DZNO BOT 950G"/>
    <n v="36"/>
    <n v="1"/>
    <n v="0.95"/>
    <n v="45"/>
    <d v="2024-11-20T00:00:00"/>
    <s v="miércoles"/>
    <d v="2024-11-15T00:00:00"/>
    <x v="0"/>
    <n v="32"/>
    <n v="0.71111111111111114"/>
    <n v="36"/>
    <n v="34.199999999999996"/>
    <n v="5"/>
    <n v="0.88888888888888884"/>
    <n v="1.055175"/>
    <n v="1.055175"/>
    <n v="36.086984999999991"/>
    <n v="7"/>
    <x v="0"/>
    <n v="3.4199999999999994E-2"/>
  </r>
  <r>
    <s v="GUAYAQUIL"/>
    <x v="0"/>
    <x v="0"/>
    <x v="39"/>
    <s v="YOG BBLE KIOSKO DZNO BOT 950G"/>
    <n v="18"/>
    <n v="1"/>
    <n v="0.95"/>
    <n v="45"/>
    <d v="2024-11-21T00:00:00"/>
    <s v="jueves"/>
    <d v="2024-11-15T00:00:00"/>
    <x v="0"/>
    <n v="32"/>
    <n v="0.71111111111111114"/>
    <n v="18"/>
    <n v="17.099999999999998"/>
    <n v="6"/>
    <n v="0.8666666666666667"/>
    <n v="1.055175"/>
    <n v="1.055175"/>
    <n v="18.043492499999996"/>
    <n v="6"/>
    <x v="0"/>
    <n v="1.7099999999999997E-2"/>
  </r>
  <r>
    <s v="GUAYAQUIL"/>
    <x v="0"/>
    <x v="0"/>
    <x v="40"/>
    <s v="GRIEG KIOSKO FRUT ROJ 120"/>
    <n v="360"/>
    <n v="1"/>
    <n v="0.12"/>
    <n v="45"/>
    <d v="2024-11-16T00:00:00"/>
    <s v="sábado"/>
    <d v="2024-11-15T00:00:00"/>
    <x v="0"/>
    <n v="32"/>
    <n v="0.71111111111111114"/>
    <n v="116"/>
    <n v="13.92"/>
    <n v="1"/>
    <n v="0.97777777777777775"/>
    <n v="0.37374000000000002"/>
    <n v="0.37374000000000002"/>
    <n v="5.2024607999999999"/>
    <n v="11"/>
    <x v="0"/>
    <n v="1.392E-2"/>
  </r>
  <r>
    <s v="GUAYAQUIL"/>
    <x v="0"/>
    <x v="0"/>
    <x v="41"/>
    <s v="GRIEG KIOSKO MOR Y ARAND 400"/>
    <n v="80"/>
    <n v="1"/>
    <n v="0.4"/>
    <n v="45"/>
    <d v="2024-11-16T00:00:00"/>
    <s v="sábado"/>
    <d v="2024-11-15T00:00:00"/>
    <x v="0"/>
    <n v="32"/>
    <n v="0.71111111111111114"/>
    <n v="80"/>
    <n v="32"/>
    <n v="1"/>
    <n v="0.97777777777777775"/>
    <n v="1.0693199999999998"/>
    <n v="1.0693199999999998"/>
    <n v="34.218239999999994"/>
    <n v="11"/>
    <x v="0"/>
    <n v="3.2000000000000001E-2"/>
  </r>
  <r>
    <s v="GUAYAQUIL"/>
    <x v="0"/>
    <x v="0"/>
    <x v="41"/>
    <s v="GRIEG KIOSKO MOR Y ARAND 400"/>
    <n v="40"/>
    <n v="1"/>
    <n v="0.4"/>
    <n v="45"/>
    <d v="2024-11-15T00:00:00"/>
    <s v="viernes"/>
    <d v="2024-11-15T00:00:00"/>
    <x v="0"/>
    <n v="32"/>
    <n v="0.71111111111111114"/>
    <n v="35"/>
    <n v="14"/>
    <n v="0"/>
    <n v="1"/>
    <n v="1.0693199999999998"/>
    <n v="1.0693199999999998"/>
    <n v="14.970479999999998"/>
    <n v="12"/>
    <x v="0"/>
    <n v="1.4E-2"/>
  </r>
  <r>
    <s v="GUAYAQUIL"/>
    <x v="0"/>
    <x v="0"/>
    <x v="42"/>
    <s v="YOG FNSSE VAINILLA 180"/>
    <n v="216"/>
    <n v="1"/>
    <n v="0.18"/>
    <n v="45"/>
    <d v="2024-11-05T00:00:00"/>
    <s v="martes"/>
    <d v="2024-10-25T00:00:00"/>
    <x v="53"/>
    <n v="11"/>
    <n v="0.24444444444444444"/>
    <n v="70"/>
    <n v="12.6"/>
    <n v="11"/>
    <n v="0.75555555555555554"/>
    <n v="0.286325"/>
    <n v="0.286325"/>
    <n v="3.6076949999999997"/>
    <n v="22"/>
    <x v="2"/>
    <n v="1.26E-2"/>
  </r>
  <r>
    <s v="GUAYAQUIL"/>
    <x v="0"/>
    <x v="0"/>
    <x v="42"/>
    <s v="YOG FNSSE VAINILLA 180"/>
    <n v="108"/>
    <n v="1"/>
    <n v="0.18"/>
    <n v="45"/>
    <d v="2024-11-16T00:00:00"/>
    <s v="sábado"/>
    <d v="2024-11-08T00:00:00"/>
    <x v="9"/>
    <n v="25"/>
    <n v="0.55555555555555558"/>
    <n v="98"/>
    <n v="17.64"/>
    <n v="8"/>
    <n v="0.82222222222222219"/>
    <n v="0.286325"/>
    <n v="0.286325"/>
    <n v="5.0507730000000004"/>
    <n v="11"/>
    <x v="1"/>
    <n v="1.7639999999999999E-2"/>
  </r>
  <r>
    <s v="GUAYAQUIL"/>
    <x v="0"/>
    <x v="0"/>
    <x v="42"/>
    <s v="YOG FNSSE VAINILLA 180"/>
    <n v="216"/>
    <n v="1"/>
    <n v="0.18"/>
    <n v="45"/>
    <d v="2024-11-20T00:00:00"/>
    <s v="miércoles"/>
    <d v="2024-11-15T00:00:00"/>
    <x v="0"/>
    <n v="32"/>
    <n v="0.71111111111111114"/>
    <n v="108"/>
    <n v="19.439999999999998"/>
    <n v="5"/>
    <n v="0.88888888888888884"/>
    <n v="0.286325"/>
    <n v="0.286325"/>
    <n v="5.5661579999999997"/>
    <n v="7"/>
    <x v="0"/>
    <n v="1.9439999999999999E-2"/>
  </r>
  <r>
    <s v="GUAYAQUIL"/>
    <x v="0"/>
    <x v="0"/>
    <x v="42"/>
    <s v="YOG FNSSE VAINILLA 180"/>
    <n v="108"/>
    <n v="1"/>
    <n v="0.18"/>
    <n v="45"/>
    <d v="2024-11-21T00:00:00"/>
    <s v="jueves"/>
    <d v="2024-11-15T00:00:00"/>
    <x v="0"/>
    <n v="32"/>
    <n v="0.71111111111111114"/>
    <n v="108"/>
    <n v="19.439999999999998"/>
    <n v="6"/>
    <n v="0.8666666666666667"/>
    <n v="0.286325"/>
    <n v="0.286325"/>
    <n v="5.5661579999999997"/>
    <n v="6"/>
    <x v="0"/>
    <n v="1.9439999999999999E-2"/>
  </r>
  <r>
    <s v="GUAYAQUIL"/>
    <x v="0"/>
    <x v="0"/>
    <x v="43"/>
    <s v="Q PROVO AHUM KIOSKO LONJ 1KG"/>
    <n v="13"/>
    <n v="1"/>
    <n v="1"/>
    <n v="60"/>
    <d v="2024-11-15T00:00:00"/>
    <s v="viernes"/>
    <d v="2024-10-26T00:00:00"/>
    <x v="44"/>
    <n v="27"/>
    <n v="0.45"/>
    <n v="11"/>
    <n v="11"/>
    <n v="20"/>
    <n v="0.66666666666666674"/>
    <n v="7.6642950000000001"/>
    <n v="7.6642950000000001"/>
    <n v="84.307244999999995"/>
    <n v="12"/>
    <x v="0"/>
    <n v="1.0999999999999999E-2"/>
  </r>
  <r>
    <s v="GUAYAQUIL"/>
    <x v="0"/>
    <x v="0"/>
    <x v="43"/>
    <s v="Q PROVO AHUM KIOSKO LONJ 1KG"/>
    <n v="17"/>
    <n v="1"/>
    <n v="1"/>
    <n v="60"/>
    <d v="2024-11-15T00:00:00"/>
    <s v="viernes"/>
    <d v="2024-11-13T00:00:00"/>
    <x v="46"/>
    <n v="45"/>
    <n v="0.75"/>
    <n v="7"/>
    <n v="7"/>
    <n v="2"/>
    <n v="0.96666666666666667"/>
    <n v="7.6642950000000001"/>
    <n v="7.6642950000000001"/>
    <n v="53.650064999999998"/>
    <n v="12"/>
    <x v="0"/>
    <n v="7.0000000000000001E-3"/>
  </r>
  <r>
    <s v="GUAYAQUIL"/>
    <x v="0"/>
    <x v="0"/>
    <x v="43"/>
    <s v="Q PROVO AHUM KIOSKO LONJ 1KG"/>
    <n v="23"/>
    <n v="1"/>
    <n v="1"/>
    <n v="60"/>
    <d v="2024-11-20T00:00:00"/>
    <s v="miércoles"/>
    <d v="2024-11-13T00:00:00"/>
    <x v="46"/>
    <n v="45"/>
    <n v="0.75"/>
    <n v="23"/>
    <n v="23"/>
    <n v="7"/>
    <n v="0.8833333333333333"/>
    <n v="7.6642950000000001"/>
    <n v="7.6642950000000001"/>
    <n v="176.278785"/>
    <n v="7"/>
    <x v="0"/>
    <n v="2.3E-2"/>
  </r>
  <r>
    <s v="GUAYAQUIL"/>
    <x v="0"/>
    <x v="0"/>
    <x v="44"/>
    <s v="Q SANDU KIOSKO 20 LONJ 300G"/>
    <n v="75"/>
    <n v="1"/>
    <n v="0.3"/>
    <n v="90"/>
    <d v="2024-11-15T00:00:00"/>
    <s v="viernes"/>
    <d v="2024-11-06T00:00:00"/>
    <x v="22"/>
    <n v="68"/>
    <n v="0.75555555555555554"/>
    <n v="37"/>
    <n v="11.1"/>
    <n v="9"/>
    <n v="0.9"/>
    <n v="2.3314949999999999"/>
    <n v="2.3314949999999999"/>
    <n v="25.879594499999996"/>
    <n v="12"/>
    <x v="0"/>
    <n v="1.11E-2"/>
  </r>
  <r>
    <s v="GUAYAQUIL"/>
    <x v="0"/>
    <x v="0"/>
    <x v="44"/>
    <s v="Q SANDU KIOSKO 20 LONJ 300G"/>
    <n v="75"/>
    <n v="1"/>
    <n v="0.3"/>
    <n v="90"/>
    <d v="2024-11-19T00:00:00"/>
    <s v="martes"/>
    <d v="2024-11-06T00:00:00"/>
    <x v="22"/>
    <n v="68"/>
    <n v="0.75555555555555554"/>
    <n v="75"/>
    <n v="22.5"/>
    <n v="13"/>
    <n v="0.85555555555555562"/>
    <n v="2.3314949999999999"/>
    <n v="2.3314949999999999"/>
    <n v="52.458637499999995"/>
    <n v="8"/>
    <x v="0"/>
    <n v="2.2499999999999999E-2"/>
  </r>
  <r>
    <s v="GUAYAQUIL"/>
    <x v="0"/>
    <x v="0"/>
    <x v="45"/>
    <s v="MPLX6 AREQUIPE VASO 50G"/>
    <n v="360"/>
    <n v="1"/>
    <n v="0.3"/>
    <n v="180"/>
    <d v="2024-11-12T00:00:00"/>
    <s v="martes"/>
    <d v="2024-11-06T00:00:00"/>
    <x v="37"/>
    <n v="158"/>
    <n v="0.87777777777777777"/>
    <n v="267"/>
    <n v="80.099999999999994"/>
    <n v="6"/>
    <n v="0.96666666666666667"/>
    <n v="1.2875100000000002"/>
    <n v="1.2875100000000002"/>
    <n v="103.12955100000001"/>
    <n v="15"/>
    <x v="0"/>
    <n v="8.0099999999999991E-2"/>
  </r>
  <r>
    <s v="GUAYAQUIL"/>
    <x v="0"/>
    <x v="0"/>
    <x v="45"/>
    <s v="MPLX6 AREQUIPE VASO 50G"/>
    <n v="90"/>
    <n v="1"/>
    <n v="0.3"/>
    <n v="180"/>
    <d v="2024-11-15T00:00:00"/>
    <s v="viernes"/>
    <d v="2024-11-07T00:00:00"/>
    <x v="54"/>
    <n v="159"/>
    <n v="0.8833333333333333"/>
    <n v="90"/>
    <n v="27"/>
    <n v="8"/>
    <n v="0.9555555555555556"/>
    <n v="1.2875100000000002"/>
    <n v="1.2875100000000002"/>
    <n v="34.762770000000003"/>
    <n v="12"/>
    <x v="0"/>
    <n v="2.7E-2"/>
  </r>
  <r>
    <s v="GUAYAQUIL"/>
    <x v="0"/>
    <x v="0"/>
    <x v="45"/>
    <s v="MPLX6 AREQUIPE VASO 50G"/>
    <n v="180"/>
    <n v="1"/>
    <n v="0.3"/>
    <n v="180"/>
    <d v="2024-11-14T00:00:00"/>
    <s v="jueves"/>
    <d v="2024-11-07T00:00:00"/>
    <x v="54"/>
    <n v="159"/>
    <n v="0.8833333333333333"/>
    <n v="184"/>
    <n v="55.199999999999996"/>
    <n v="7"/>
    <n v="0.96111111111111114"/>
    <n v="1.2875100000000002"/>
    <n v="1.2875100000000002"/>
    <n v="71.070552000000006"/>
    <n v="13"/>
    <x v="0"/>
    <n v="5.5199999999999999E-2"/>
  </r>
  <r>
    <s v="GUAYAQUIL"/>
    <x v="0"/>
    <x v="0"/>
    <x v="45"/>
    <s v="MPLX6 AREQUIPE VASO 50G"/>
    <n v="225"/>
    <n v="1"/>
    <n v="0.3"/>
    <n v="180"/>
    <d v="2024-11-19T00:00:00"/>
    <s v="martes"/>
    <d v="2024-11-07T00:00:00"/>
    <x v="54"/>
    <n v="159"/>
    <n v="0.8833333333333333"/>
    <n v="225"/>
    <n v="67.5"/>
    <n v="12"/>
    <n v="0.93333333333333335"/>
    <n v="1.2875100000000002"/>
    <n v="1.2875100000000002"/>
    <n v="86.906925000000015"/>
    <n v="8"/>
    <x v="0"/>
    <n v="6.7500000000000004E-2"/>
  </r>
  <r>
    <s v="GUAYAQUIL"/>
    <x v="0"/>
    <x v="0"/>
    <x v="45"/>
    <s v="MPLX6 AREQUIPE VASO 50G"/>
    <n v="90"/>
    <n v="1"/>
    <n v="0.3"/>
    <n v="180"/>
    <d v="2024-11-20T00:00:00"/>
    <s v="miércoles"/>
    <d v="2024-11-12T00:00:00"/>
    <x v="33"/>
    <n v="164"/>
    <n v="0.91111111111111109"/>
    <n v="91"/>
    <n v="27.3"/>
    <n v="8"/>
    <n v="0.9555555555555556"/>
    <n v="1.2875100000000002"/>
    <n v="1.2875100000000002"/>
    <n v="35.149023000000007"/>
    <n v="7"/>
    <x v="0"/>
    <n v="2.7300000000000001E-2"/>
  </r>
  <r>
    <s v="GUAYAQUIL"/>
    <x v="0"/>
    <x v="0"/>
    <x v="46"/>
    <s v="AREQUIPE GAR 4.6KG"/>
    <n v="72"/>
    <n v="1"/>
    <n v="4.5999999999999996"/>
    <n v="90"/>
    <d v="2024-11-15T00:00:00"/>
    <s v="viernes"/>
    <d v="2024-11-13T00:00:00"/>
    <x v="39"/>
    <n v="75"/>
    <n v="0.83333333333333337"/>
    <n v="72"/>
    <n v="331.2"/>
    <n v="2"/>
    <n v="0.97777777777777775"/>
    <n v="12.450799999999999"/>
    <n v="12.450799999999999"/>
    <n v="4123.70496"/>
    <n v="12"/>
    <x v="0"/>
    <n v="0.33119999999999999"/>
  </r>
  <r>
    <s v="GUAYAQUIL"/>
    <x v="0"/>
    <x v="0"/>
    <x v="46"/>
    <s v="AREQUIPE GAR 4.6KG"/>
    <n v="90"/>
    <n v="1"/>
    <n v="4.5999999999999996"/>
    <n v="90"/>
    <d v="2024-11-14T00:00:00"/>
    <s v="jueves"/>
    <d v="2024-11-13T00:00:00"/>
    <x v="39"/>
    <n v="75"/>
    <n v="0.83333333333333337"/>
    <n v="20"/>
    <n v="92"/>
    <n v="1"/>
    <n v="0.98888888888888893"/>
    <n v="12.450799999999999"/>
    <n v="12.450799999999999"/>
    <n v="1145.4736"/>
    <n v="13"/>
    <x v="0"/>
    <n v="9.1999999999999998E-2"/>
  </r>
  <r>
    <s v="GUAYAQUIL"/>
    <x v="0"/>
    <x v="0"/>
    <x v="46"/>
    <s v="AREQUIPE GAR 4.6KG"/>
    <n v="0"/>
    <n v="1"/>
    <n v="4.5999999999999996"/>
    <n v="90"/>
    <d v="2024-11-14T00:00:00"/>
    <s v="jueves"/>
    <d v="2024-11-14T00:00:00"/>
    <x v="23"/>
    <n v="76"/>
    <n v="0.84444444444444444"/>
    <n v="1"/>
    <n v="4.5999999999999996"/>
    <n v="0"/>
    <n v="1"/>
    <n v="12.450799999999999"/>
    <n v="12.450799999999999"/>
    <n v="57.273679999999992"/>
    <n v="13"/>
    <x v="0"/>
    <n v="4.5999999999999999E-3"/>
  </r>
  <r>
    <s v="GUAYAQUIL"/>
    <x v="0"/>
    <x v="0"/>
    <x v="46"/>
    <s v="AREQUIPE GAR 4.6KG"/>
    <n v="24"/>
    <n v="1"/>
    <n v="4.5999999999999996"/>
    <n v="90"/>
    <d v="2024-11-19T00:00:00"/>
    <s v="martes"/>
    <d v="2024-11-13T00:00:00"/>
    <x v="39"/>
    <n v="75"/>
    <n v="0.83333333333333337"/>
    <n v="24"/>
    <n v="110.39999999999999"/>
    <n v="6"/>
    <n v="0.93333333333333335"/>
    <n v="12.450799999999999"/>
    <n v="12.450799999999999"/>
    <n v="1374.5683199999999"/>
    <n v="8"/>
    <x v="0"/>
    <n v="0.1104"/>
  </r>
  <r>
    <s v="GUAYAQUIL"/>
    <x v="0"/>
    <x v="0"/>
    <x v="46"/>
    <s v="AREQUIPE GAR 4.6KG"/>
    <n v="12"/>
    <n v="1"/>
    <n v="4.5999999999999996"/>
    <n v="90"/>
    <d v="2024-11-20T00:00:00"/>
    <s v="miércoles"/>
    <d v="2024-11-16T00:00:00"/>
    <x v="55"/>
    <n v="78"/>
    <n v="0.8666666666666667"/>
    <n v="12"/>
    <n v="55.199999999999996"/>
    <n v="4"/>
    <n v="0.9555555555555556"/>
    <n v="12.450799999999999"/>
    <n v="12.450799999999999"/>
    <n v="687.28415999999993"/>
    <n v="7"/>
    <x v="0"/>
    <n v="5.5199999999999999E-2"/>
  </r>
  <r>
    <s v="GUAYAQUIL"/>
    <x v="0"/>
    <x v="0"/>
    <x v="46"/>
    <s v="AREQUIPE GAR 4.6KG"/>
    <n v="24"/>
    <n v="1"/>
    <n v="4.5999999999999996"/>
    <n v="90"/>
    <d v="2024-11-21T00:00:00"/>
    <s v="jueves"/>
    <d v="2024-11-16T00:00:00"/>
    <x v="55"/>
    <n v="78"/>
    <n v="0.8666666666666667"/>
    <n v="24"/>
    <n v="110.39999999999999"/>
    <n v="5"/>
    <n v="0.94444444444444442"/>
    <n v="12.450799999999999"/>
    <n v="12.450799999999999"/>
    <n v="1374.5683199999999"/>
    <n v="6"/>
    <x v="0"/>
    <n v="0.1104"/>
  </r>
  <r>
    <s v="GUAYAQUIL"/>
    <x v="0"/>
    <x v="0"/>
    <x v="47"/>
    <s v="AREQUIPE VASO 500G ECU"/>
    <n v="972"/>
    <n v="1"/>
    <n v="0.5"/>
    <n v="180"/>
    <d v="2024-10-31T00:00:00"/>
    <s v="jueves"/>
    <d v="2024-10-30T00:00:00"/>
    <x v="30"/>
    <n v="151"/>
    <n v="0.83888888888888891"/>
    <n v="36"/>
    <n v="18"/>
    <n v="1"/>
    <n v="0.99444444444444446"/>
    <n v="1.477565"/>
    <n v="1.477565"/>
    <n v="26.596170000000001"/>
    <n v="27"/>
    <x v="0"/>
    <n v="1.7999999999999999E-2"/>
  </r>
  <r>
    <s v="GUAYAQUIL"/>
    <x v="0"/>
    <x v="0"/>
    <x v="47"/>
    <s v="AREQUIPE VASO 500G ECU"/>
    <n v="504"/>
    <n v="1"/>
    <n v="0.5"/>
    <n v="180"/>
    <d v="2024-11-13T00:00:00"/>
    <s v="miércoles"/>
    <d v="2024-11-12T00:00:00"/>
    <x v="33"/>
    <n v="164"/>
    <n v="0.91111111111111109"/>
    <n v="165"/>
    <n v="82.5"/>
    <n v="1"/>
    <n v="0.99444444444444446"/>
    <n v="1.477565"/>
    <n v="1.477565"/>
    <n v="121.8991125"/>
    <n v="14"/>
    <x v="0"/>
    <n v="8.2500000000000004E-2"/>
  </r>
  <r>
    <s v="GUAYAQUIL"/>
    <x v="0"/>
    <x v="0"/>
    <x v="47"/>
    <s v="AREQUIPE VASO 500G ECU"/>
    <n v="396"/>
    <n v="1"/>
    <n v="0.5"/>
    <n v="180"/>
    <d v="2024-11-15T00:00:00"/>
    <s v="viernes"/>
    <d v="2024-11-14T00:00:00"/>
    <x v="35"/>
    <n v="166"/>
    <n v="0.92222222222222228"/>
    <n v="396"/>
    <n v="198"/>
    <n v="1"/>
    <n v="0.99444444444444446"/>
    <n v="1.477565"/>
    <n v="1.477565"/>
    <n v="292.55786999999998"/>
    <n v="12"/>
    <x v="0"/>
    <n v="0.19800000000000001"/>
  </r>
  <r>
    <s v="GUAYAQUIL"/>
    <x v="0"/>
    <x v="0"/>
    <x v="47"/>
    <s v="AREQUIPE VASO 500G ECU"/>
    <n v="828"/>
    <n v="1"/>
    <n v="0.5"/>
    <n v="180"/>
    <d v="2024-11-20T00:00:00"/>
    <s v="miércoles"/>
    <d v="2024-11-12T00:00:00"/>
    <x v="33"/>
    <n v="164"/>
    <n v="0.91111111111111109"/>
    <n v="828"/>
    <n v="414"/>
    <n v="8"/>
    <n v="0.9555555555555556"/>
    <n v="1.477565"/>
    <n v="1.477565"/>
    <n v="611.71190999999999"/>
    <n v="7"/>
    <x v="0"/>
    <n v="0.41399999999999998"/>
  </r>
  <r>
    <s v="GUAYAQUIL"/>
    <x v="0"/>
    <x v="0"/>
    <x v="47"/>
    <s v="AREQUIPE VASO 500G ECU"/>
    <n v="180"/>
    <n v="1"/>
    <n v="0.5"/>
    <n v="180"/>
    <d v="2024-11-21T00:00:00"/>
    <s v="jueves"/>
    <d v="2024-11-19T00:00:00"/>
    <x v="56"/>
    <n v="171"/>
    <n v="0.95"/>
    <n v="180"/>
    <n v="90"/>
    <n v="2"/>
    <n v="0.98888888888888893"/>
    <n v="1.477565"/>
    <n v="1.477565"/>
    <n v="132.98085"/>
    <n v="6"/>
    <x v="0"/>
    <n v="0.09"/>
  </r>
  <r>
    <s v="GUAYAQUIL"/>
    <x v="0"/>
    <x v="0"/>
    <x v="48"/>
    <s v="BONYURT FRUTILLA ZUCARITAS"/>
    <n v="120"/>
    <n v="1"/>
    <n v="0.16300000000000001"/>
    <n v="45"/>
    <d v="2024-11-15T00:00:00"/>
    <s v="viernes"/>
    <d v="2024-11-09T00:00:00"/>
    <x v="6"/>
    <n v="26"/>
    <n v="0.57777777777777772"/>
    <n v="120"/>
    <n v="19.560000000000002"/>
    <n v="6"/>
    <n v="0.8666666666666667"/>
    <n v="0.298205"/>
    <n v="0.298205"/>
    <n v="5.8328898000000002"/>
    <n v="12"/>
    <x v="1"/>
    <n v="1.9560000000000001E-2"/>
  </r>
  <r>
    <s v="GUAYAQUIL"/>
    <x v="0"/>
    <x v="0"/>
    <x v="48"/>
    <s v="BONYURT FRUTILLA ZUCARITAS"/>
    <n v="120"/>
    <n v="1"/>
    <n v="0.16300000000000001"/>
    <n v="45"/>
    <d v="2024-11-14T00:00:00"/>
    <s v="jueves"/>
    <d v="2024-11-09T00:00:00"/>
    <x v="6"/>
    <n v="26"/>
    <n v="0.57777777777777772"/>
    <n v="47"/>
    <n v="7.6610000000000005"/>
    <n v="5"/>
    <n v="0.88888888888888884"/>
    <n v="0.298205"/>
    <n v="0.298205"/>
    <n v="2.2845485050000001"/>
    <n v="13"/>
    <x v="1"/>
    <n v="7.6610000000000003E-3"/>
  </r>
  <r>
    <s v="GUAYAQUIL"/>
    <x v="0"/>
    <x v="0"/>
    <x v="48"/>
    <s v="BONYURT FRUTILLA ZUCARITAS"/>
    <n v="120"/>
    <n v="1"/>
    <n v="0.16300000000000001"/>
    <n v="45"/>
    <d v="2024-11-19T00:00:00"/>
    <s v="martes"/>
    <d v="2024-11-09T00:00:00"/>
    <x v="6"/>
    <n v="26"/>
    <n v="0.57777777777777772"/>
    <n v="120"/>
    <n v="19.560000000000002"/>
    <n v="10"/>
    <n v="0.77777777777777779"/>
    <n v="0.298205"/>
    <n v="0.298205"/>
    <n v="5.8328898000000002"/>
    <n v="8"/>
    <x v="1"/>
    <n v="1.9560000000000001E-2"/>
  </r>
  <r>
    <s v="GUAYAQUIL"/>
    <x v="0"/>
    <x v="0"/>
    <x v="48"/>
    <s v="BONYURT FRUTILLA ZUCARITAS"/>
    <n v="120"/>
    <n v="1"/>
    <n v="0.16300000000000001"/>
    <n v="45"/>
    <d v="2024-11-20T00:00:00"/>
    <s v="miércoles"/>
    <d v="2024-11-16T00:00:00"/>
    <x v="3"/>
    <n v="33"/>
    <n v="0.73333333333333328"/>
    <n v="0"/>
    <n v="0"/>
    <n v="4"/>
    <n v="0.91111111111111109"/>
    <n v="0.298205"/>
    <n v="0.298205"/>
    <n v="0"/>
    <n v="7"/>
    <x v="0"/>
    <n v="0"/>
  </r>
  <r>
    <s v="GUAYAQUIL"/>
    <x v="0"/>
    <x v="0"/>
    <x v="48"/>
    <s v="BONYURT FRUTILLA ZUCARITAS"/>
    <n v="120"/>
    <n v="1"/>
    <n v="0.16300000000000001"/>
    <n v="45"/>
    <d v="2024-11-21T00:00:00"/>
    <s v="jueves"/>
    <d v="2024-11-16T00:00:00"/>
    <x v="3"/>
    <n v="33"/>
    <n v="0.73333333333333328"/>
    <n v="120"/>
    <n v="19.560000000000002"/>
    <n v="5"/>
    <n v="0.88888888888888884"/>
    <n v="0.298205"/>
    <n v="0.298205"/>
    <n v="5.8328898000000002"/>
    <n v="6"/>
    <x v="0"/>
    <n v="1.9560000000000001E-2"/>
  </r>
  <r>
    <s v="GUAYAQUIL"/>
    <x v="0"/>
    <x v="0"/>
    <x v="49"/>
    <s v="BY ZUC VASO 170G ECU"/>
    <n v="60"/>
    <n v="1"/>
    <n v="0.16200000000000001"/>
    <n v="45"/>
    <d v="2024-11-12T00:00:00"/>
    <s v="martes"/>
    <d v="2024-11-09T00:00:00"/>
    <x v="6"/>
    <n v="26"/>
    <n v="0.57777777777777772"/>
    <n v="20"/>
    <n v="3.24"/>
    <n v="3"/>
    <n v="0.93333333333333335"/>
    <n v="0.27881999999999996"/>
    <n v="0.27881999999999996"/>
    <n v="0.90337679999999987"/>
    <n v="15"/>
    <x v="1"/>
    <n v="3.2400000000000003E-3"/>
  </r>
  <r>
    <s v="GUAYAQUIL"/>
    <x v="0"/>
    <x v="0"/>
    <x v="49"/>
    <s v="BY ZUC VASO 170G ECU"/>
    <n v="60"/>
    <n v="1"/>
    <n v="0.16200000000000001"/>
    <n v="45"/>
    <d v="2024-11-14T00:00:00"/>
    <s v="jueves"/>
    <d v="2024-11-09T00:00:00"/>
    <x v="6"/>
    <n v="26"/>
    <n v="0.57777777777777772"/>
    <n v="60"/>
    <n v="9.7200000000000006"/>
    <n v="5"/>
    <n v="0.88888888888888884"/>
    <n v="0.27881999999999996"/>
    <n v="0.27881999999999996"/>
    <n v="2.7101303999999997"/>
    <n v="13"/>
    <x v="1"/>
    <n v="9.7200000000000012E-3"/>
  </r>
  <r>
    <s v="GUAYAQUIL"/>
    <x v="0"/>
    <x v="0"/>
    <x v="49"/>
    <s v="BY ZUC VASO 170G ECU"/>
    <n v="60"/>
    <n v="1"/>
    <n v="0.16200000000000001"/>
    <n v="45"/>
    <d v="2024-11-19T00:00:00"/>
    <s v="martes"/>
    <d v="2024-11-15T00:00:00"/>
    <x v="0"/>
    <n v="32"/>
    <n v="0.71111111111111114"/>
    <n v="0"/>
    <n v="0"/>
    <n v="4"/>
    <n v="0.91111111111111109"/>
    <n v="0.27881999999999996"/>
    <n v="0.27881999999999996"/>
    <n v="0"/>
    <n v="8"/>
    <x v="0"/>
    <n v="0"/>
  </r>
  <r>
    <s v="GUAYAQUIL"/>
    <x v="0"/>
    <x v="0"/>
    <x v="49"/>
    <s v="BY ZUC VASO 170G ECU"/>
    <n v="60"/>
    <n v="1"/>
    <n v="0.16200000000000001"/>
    <n v="45"/>
    <d v="2024-11-21T00:00:00"/>
    <s v="jueves"/>
    <d v="2024-11-15T00:00:00"/>
    <x v="0"/>
    <n v="32"/>
    <n v="0.71111111111111114"/>
    <n v="60"/>
    <n v="9.7200000000000006"/>
    <n v="6"/>
    <n v="0.8666666666666667"/>
    <n v="0.27881999999999996"/>
    <n v="0.27881999999999996"/>
    <n v="2.7101303999999997"/>
    <n v="6"/>
    <x v="0"/>
    <n v="9.7200000000000012E-3"/>
  </r>
  <r>
    <s v="GUAYAQUIL"/>
    <x v="0"/>
    <x v="0"/>
    <x v="50"/>
    <s v="BY FROOT LOOPS VASO 154 G"/>
    <n v="240"/>
    <n v="1"/>
    <n v="0.154"/>
    <n v="45"/>
    <d v="2024-11-08T00:00:00"/>
    <s v="viernes"/>
    <d v="2024-10-29T00:00:00"/>
    <x v="25"/>
    <n v="15"/>
    <n v="0.33333333333333331"/>
    <n v="3"/>
    <n v="0.46199999999999997"/>
    <n v="10"/>
    <n v="0.77777777777777779"/>
    <n v="0.295705"/>
    <n v="0.295705"/>
    <n v="0.13661571"/>
    <n v="19"/>
    <x v="2"/>
    <n v="4.6199999999999995E-4"/>
  </r>
  <r>
    <s v="GUAYAQUIL"/>
    <x v="0"/>
    <x v="0"/>
    <x v="50"/>
    <s v="BY FROOT LOOPS VASO 154 G"/>
    <n v="300"/>
    <n v="1"/>
    <n v="0.154"/>
    <n v="45"/>
    <d v="2024-11-13T00:00:00"/>
    <s v="miércoles"/>
    <d v="2024-11-05T00:00:00"/>
    <x v="19"/>
    <n v="22"/>
    <n v="0.48888888888888887"/>
    <n v="26"/>
    <n v="4.0039999999999996"/>
    <n v="8"/>
    <n v="0.82222222222222219"/>
    <n v="0.295705"/>
    <n v="0.295705"/>
    <n v="1.1840028199999999"/>
    <n v="14"/>
    <x v="1"/>
    <n v="4.0039999999999997E-3"/>
  </r>
  <r>
    <s v="GUAYAQUIL"/>
    <x v="0"/>
    <x v="0"/>
    <x v="50"/>
    <s v="BY FROOT LOOPS VASO 154 G"/>
    <n v="480"/>
    <n v="1"/>
    <n v="0.154"/>
    <n v="45"/>
    <d v="2024-11-16T00:00:00"/>
    <s v="sábado"/>
    <d v="2024-11-12T00:00:00"/>
    <x v="5"/>
    <n v="29"/>
    <n v="0.64444444444444449"/>
    <n v="480"/>
    <n v="73.92"/>
    <n v="4"/>
    <n v="0.91111111111111109"/>
    <n v="0.295705"/>
    <n v="0.295705"/>
    <n v="21.858513599999998"/>
    <n v="11"/>
    <x v="0"/>
    <n v="7.392E-2"/>
  </r>
  <r>
    <s v="GUAYAQUIL"/>
    <x v="0"/>
    <x v="0"/>
    <x v="50"/>
    <s v="BY FROOT LOOPS VASO 154 G"/>
    <n v="360"/>
    <n v="1"/>
    <n v="0.154"/>
    <n v="45"/>
    <d v="2024-11-15T00:00:00"/>
    <s v="viernes"/>
    <d v="2024-11-09T00:00:00"/>
    <x v="6"/>
    <n v="26"/>
    <n v="0.57777777777777772"/>
    <n v="110"/>
    <n v="16.940000000000001"/>
    <n v="6"/>
    <n v="0.8666666666666667"/>
    <n v="0.295705"/>
    <n v="0.295705"/>
    <n v="5.0092427000000006"/>
    <n v="12"/>
    <x v="1"/>
    <n v="1.694E-2"/>
  </r>
  <r>
    <s v="GUAYAQUIL"/>
    <x v="0"/>
    <x v="0"/>
    <x v="50"/>
    <s v="BY FROOT LOOPS VASO 154 G"/>
    <n v="240"/>
    <n v="1"/>
    <n v="0.154"/>
    <n v="45"/>
    <d v="2024-11-14T00:00:00"/>
    <s v="jueves"/>
    <d v="2024-11-05T00:00:00"/>
    <x v="19"/>
    <n v="22"/>
    <n v="0.48888888888888887"/>
    <n v="240"/>
    <n v="36.96"/>
    <n v="9"/>
    <n v="0.8"/>
    <n v="0.295705"/>
    <n v="0.295705"/>
    <n v="10.929256799999999"/>
    <n v="13"/>
    <x v="1"/>
    <n v="3.696E-2"/>
  </r>
  <r>
    <s v="GUAYAQUIL"/>
    <x v="0"/>
    <x v="0"/>
    <x v="50"/>
    <s v="BY FROOT LOOPS VASO 154 G"/>
    <n v="300"/>
    <n v="1"/>
    <n v="0.154"/>
    <n v="45"/>
    <d v="2024-11-19T00:00:00"/>
    <s v="martes"/>
    <d v="2024-11-12T00:00:00"/>
    <x v="5"/>
    <n v="29"/>
    <n v="0.64444444444444449"/>
    <n v="300"/>
    <n v="46.2"/>
    <n v="7"/>
    <n v="0.84444444444444444"/>
    <n v="0.295705"/>
    <n v="0.295705"/>
    <n v="13.661571"/>
    <n v="8"/>
    <x v="0"/>
    <n v="4.6200000000000005E-2"/>
  </r>
  <r>
    <s v="GUAYAQUIL"/>
    <x v="0"/>
    <x v="0"/>
    <x v="50"/>
    <s v="BY FROOT LOOPS VASO 154 G"/>
    <n v="420"/>
    <n v="1"/>
    <n v="0.154"/>
    <n v="45"/>
    <d v="2024-11-20T00:00:00"/>
    <s v="miércoles"/>
    <d v="2024-11-15T00:00:00"/>
    <x v="0"/>
    <n v="32"/>
    <n v="0.71111111111111114"/>
    <n v="120"/>
    <n v="18.48"/>
    <n v="5"/>
    <n v="0.88888888888888884"/>
    <n v="0.295705"/>
    <n v="0.295705"/>
    <n v="5.4646283999999996"/>
    <n v="7"/>
    <x v="0"/>
    <n v="1.848E-2"/>
  </r>
  <r>
    <s v="GUAYAQUIL"/>
    <x v="0"/>
    <x v="0"/>
    <x v="50"/>
    <s v="BY FROOT LOOPS VASO 154 G"/>
    <n v="300"/>
    <n v="1"/>
    <n v="0.154"/>
    <n v="45"/>
    <d v="2024-11-21T00:00:00"/>
    <s v="jueves"/>
    <d v="2024-11-15T00:00:00"/>
    <x v="0"/>
    <n v="32"/>
    <n v="0.71111111111111114"/>
    <n v="300"/>
    <n v="46.2"/>
    <n v="6"/>
    <n v="0.8666666666666667"/>
    <n v="0.295705"/>
    <n v="0.295705"/>
    <n v="13.661571"/>
    <n v="6"/>
    <x v="0"/>
    <n v="4.6200000000000005E-2"/>
  </r>
  <r>
    <s v="GUAYAQUIL"/>
    <x v="0"/>
    <x v="0"/>
    <x v="51"/>
    <s v="Q HOLAN KIOSKO BLOQ 400G"/>
    <n v="36"/>
    <n v="1"/>
    <n v="0.4"/>
    <n v="60"/>
    <d v="2024-10-17T00:00:00"/>
    <s v="jueves"/>
    <d v="2024-10-10T00:00:00"/>
    <x v="53"/>
    <n v="11"/>
    <n v="0.18333333333333332"/>
    <n v="35"/>
    <n v="14"/>
    <n v="7"/>
    <n v="0.8833333333333333"/>
    <n v="2.599545"/>
    <n v="2.599545"/>
    <n v="36.393630000000002"/>
    <n v="41"/>
    <x v="2"/>
    <n v="1.4E-2"/>
  </r>
  <r>
    <s v="GUAYAQUIL"/>
    <x v="0"/>
    <x v="0"/>
    <x v="51"/>
    <s v="Q HOLAN KIOSKO BLOQ 400G"/>
    <n v="36"/>
    <n v="1"/>
    <n v="0.4"/>
    <n v="60"/>
    <d v="2024-11-08T00:00:00"/>
    <s v="viernes"/>
    <d v="2024-10-31T00:00:00"/>
    <x v="0"/>
    <n v="32"/>
    <n v="0.53333333333333333"/>
    <n v="36"/>
    <n v="14.4"/>
    <n v="8"/>
    <n v="0.8666666666666667"/>
    <n v="2.599545"/>
    <n v="2.599545"/>
    <n v="37.433447999999999"/>
    <n v="19"/>
    <x v="0"/>
    <n v="1.44E-2"/>
  </r>
  <r>
    <s v="GUAYAQUIL"/>
    <x v="0"/>
    <x v="0"/>
    <x v="51"/>
    <s v="Q HOLAN KIOSKO BLOQ 400G"/>
    <n v="10"/>
    <n v="1"/>
    <n v="0.4"/>
    <n v="60"/>
    <d v="2024-11-21T00:00:00"/>
    <s v="jueves"/>
    <d v="2024-11-15T00:00:00"/>
    <x v="52"/>
    <n v="47"/>
    <n v="0.78333333333333333"/>
    <n v="10"/>
    <n v="4"/>
    <n v="6"/>
    <n v="0.9"/>
    <n v="2.599545"/>
    <n v="2.599545"/>
    <n v="10.39818"/>
    <n v="6"/>
    <x v="0"/>
    <n v="4.0000000000000001E-3"/>
  </r>
  <r>
    <s v="GUAYAQUIL"/>
    <x v="0"/>
    <x v="0"/>
    <x v="52"/>
    <s v="Q CHEDDAR KIOSKO BLOQ 400G"/>
    <n v="36"/>
    <n v="1"/>
    <n v="0.4"/>
    <n v="60"/>
    <d v="2024-11-15T00:00:00"/>
    <s v="viernes"/>
    <d v="2024-12-08T00:00:00"/>
    <x v="17"/>
    <n v="70"/>
    <n v="1.1666666666666667"/>
    <n v="34"/>
    <n v="13.600000000000001"/>
    <n v="-23"/>
    <n v="1.3833333333333333"/>
    <n v="3.5996300000000003"/>
    <n v="3.5996300000000003"/>
    <n v="48.954968000000008"/>
    <n v="12"/>
    <x v="0"/>
    <n v="1.3600000000000001E-2"/>
  </r>
  <r>
    <s v="GUAYAQUIL"/>
    <x v="0"/>
    <x v="0"/>
    <x v="52"/>
    <s v="Q CHEDDAR KIOSKO BLOQ 400G"/>
    <n v="20"/>
    <n v="1"/>
    <n v="0.4"/>
    <n v="60"/>
    <d v="2024-11-21T00:00:00"/>
    <s v="jueves"/>
    <d v="2024-12-14T00:00:00"/>
    <x v="23"/>
    <n v="76"/>
    <n v="1.2666666666666666"/>
    <n v="20"/>
    <n v="8"/>
    <n v="-23"/>
    <n v="1.3833333333333333"/>
    <n v="3.5996300000000003"/>
    <n v="3.5996300000000003"/>
    <n v="28.797040000000003"/>
    <n v="6"/>
    <x v="0"/>
    <n v="8.0000000000000002E-3"/>
  </r>
  <r>
    <s v="GUAYAQUIL"/>
    <x v="0"/>
    <x v="0"/>
    <x v="53"/>
    <s v="Q PARME KIOSKO CUNA 300G"/>
    <n v="30"/>
    <n v="1"/>
    <n v="0.3"/>
    <n v="90"/>
    <d v="2024-10-26T00:00:00"/>
    <s v="sábado"/>
    <d v="2024-09-21T00:00:00"/>
    <x v="19"/>
    <n v="22"/>
    <n v="0.24444444444444444"/>
    <n v="5"/>
    <n v="1.5"/>
    <n v="35"/>
    <n v="0.61111111111111116"/>
    <n v="2.93831"/>
    <n v="2.93831"/>
    <n v="4.4074650000000002"/>
    <n v="32"/>
    <x v="1"/>
    <n v="1.5E-3"/>
  </r>
  <r>
    <s v="GUAYAQUIL"/>
    <x v="0"/>
    <x v="0"/>
    <x v="53"/>
    <s v="Q PARME KIOSKO CUNA 300G"/>
    <n v="10"/>
    <n v="1"/>
    <n v="0.3"/>
    <n v="90"/>
    <d v="2024-11-07T00:00:00"/>
    <s v="jueves"/>
    <d v="2024-10-25T00:00:00"/>
    <x v="57"/>
    <n v="56"/>
    <n v="0.62222222222222223"/>
    <n v="7"/>
    <n v="2.1"/>
    <n v="13"/>
    <n v="0.85555555555555562"/>
    <n v="2.93831"/>
    <n v="2.93831"/>
    <n v="6.1704509999999999"/>
    <n v="20"/>
    <x v="0"/>
    <n v="2.1000000000000003E-3"/>
  </r>
  <r>
    <s v="GUAYAQUIL"/>
    <x v="0"/>
    <x v="0"/>
    <x v="53"/>
    <s v="Q PARME KIOSKO CUNA 300G"/>
    <n v="10"/>
    <n v="1"/>
    <n v="0.3"/>
    <n v="90"/>
    <d v="2024-11-08T00:00:00"/>
    <s v="viernes"/>
    <d v="2024-10-25T00:00:00"/>
    <x v="57"/>
    <n v="56"/>
    <n v="0.62222222222222223"/>
    <n v="10"/>
    <n v="3"/>
    <n v="14"/>
    <n v="0.84444444444444444"/>
    <n v="2.93831"/>
    <n v="2.93831"/>
    <n v="8.8149300000000004"/>
    <n v="19"/>
    <x v="0"/>
    <n v="3.0000000000000001E-3"/>
  </r>
  <r>
    <s v="GUAYAQUIL"/>
    <x v="0"/>
    <x v="0"/>
    <x v="53"/>
    <s v="Q PARME KIOSKO CUNA 300G"/>
    <n v="20"/>
    <n v="1"/>
    <n v="0.3"/>
    <n v="90"/>
    <d v="2024-11-14T00:00:00"/>
    <s v="jueves"/>
    <d v="2024-10-25T00:00:00"/>
    <x v="57"/>
    <n v="56"/>
    <n v="0.62222222222222223"/>
    <n v="20"/>
    <n v="6"/>
    <n v="20"/>
    <n v="0.77777777777777779"/>
    <n v="2.93831"/>
    <n v="2.93831"/>
    <n v="17.629860000000001"/>
    <n v="13"/>
    <x v="0"/>
    <n v="6.0000000000000001E-3"/>
  </r>
  <r>
    <s v="GUAYAQUIL"/>
    <x v="0"/>
    <x v="0"/>
    <x v="54"/>
    <s v="YOG BBLE KIOSKO FTLLA BOT 950G"/>
    <n v="36"/>
    <n v="1"/>
    <n v="0.95"/>
    <n v="45"/>
    <d v="2024-11-16T00:00:00"/>
    <s v="sábado"/>
    <d v="2024-11-08T00:00:00"/>
    <x v="9"/>
    <n v="25"/>
    <n v="0.55555555555555558"/>
    <n v="36"/>
    <n v="34.199999999999996"/>
    <n v="8"/>
    <n v="0.82222222222222219"/>
    <n v="1.0303550000000001"/>
    <n v="1.0303550000000001"/>
    <n v="35.238140999999999"/>
    <n v="11"/>
    <x v="1"/>
    <n v="3.4199999999999994E-2"/>
  </r>
  <r>
    <s v="GUAYAQUIL"/>
    <x v="0"/>
    <x v="0"/>
    <x v="54"/>
    <s v="YOG BBLE KIOSKO FTLLA BOT 950G"/>
    <n v="18"/>
    <n v="1"/>
    <n v="0.95"/>
    <n v="45"/>
    <d v="2024-11-15T00:00:00"/>
    <s v="viernes"/>
    <d v="2024-11-08T00:00:00"/>
    <x v="9"/>
    <n v="25"/>
    <n v="0.55555555555555558"/>
    <n v="8"/>
    <n v="7.6"/>
    <n v="7"/>
    <n v="0.84444444444444444"/>
    <n v="1.0303550000000001"/>
    <n v="1.0303550000000001"/>
    <n v="7.8306980000000008"/>
    <n v="12"/>
    <x v="1"/>
    <n v="7.6E-3"/>
  </r>
  <r>
    <s v="GUAYAQUIL"/>
    <x v="0"/>
    <x v="0"/>
    <x v="54"/>
    <s v="YOG BBLE KIOSKO FTLLA BOT 950G"/>
    <n v="36"/>
    <n v="1"/>
    <n v="0.95"/>
    <n v="45"/>
    <d v="2024-11-19T00:00:00"/>
    <s v="martes"/>
    <d v="2024-11-15T00:00:00"/>
    <x v="0"/>
    <n v="32"/>
    <n v="0.71111111111111114"/>
    <n v="18"/>
    <n v="17.099999999999998"/>
    <n v="4"/>
    <n v="0.91111111111111109"/>
    <n v="1.0303550000000001"/>
    <n v="1.0303550000000001"/>
    <n v="17.619070499999999"/>
    <n v="8"/>
    <x v="0"/>
    <n v="1.7099999999999997E-2"/>
  </r>
  <r>
    <s v="GUAYAQUIL"/>
    <x v="0"/>
    <x v="0"/>
    <x v="54"/>
    <s v="YOG BBLE KIOSKO FTLLA BOT 950G"/>
    <n v="72"/>
    <n v="1"/>
    <n v="0.95"/>
    <n v="45"/>
    <d v="2024-11-20T00:00:00"/>
    <s v="miércoles"/>
    <d v="2024-11-15T00:00:00"/>
    <x v="0"/>
    <n v="32"/>
    <n v="0.71111111111111114"/>
    <n v="72"/>
    <n v="68.399999999999991"/>
    <n v="5"/>
    <n v="0.88888888888888884"/>
    <n v="1.0303550000000001"/>
    <n v="1.0303550000000001"/>
    <n v="70.476281999999998"/>
    <n v="7"/>
    <x v="0"/>
    <n v="6.8399999999999989E-2"/>
  </r>
  <r>
    <s v="GUAYAQUIL"/>
    <x v="0"/>
    <x v="0"/>
    <x v="54"/>
    <s v="YOG BBLE KIOSKO FTLLA BOT 950G"/>
    <n v="18"/>
    <n v="1"/>
    <n v="0.95"/>
    <n v="45"/>
    <d v="2024-11-21T00:00:00"/>
    <s v="jueves"/>
    <d v="2024-11-15T00:00:00"/>
    <x v="0"/>
    <n v="32"/>
    <n v="0.71111111111111114"/>
    <n v="18"/>
    <n v="17.099999999999998"/>
    <n v="6"/>
    <n v="0.8666666666666667"/>
    <n v="1.0303550000000001"/>
    <n v="1.0303550000000001"/>
    <n v="17.619070499999999"/>
    <n v="6"/>
    <x v="0"/>
    <n v="1.7099999999999997E-2"/>
  </r>
  <r>
    <s v="GUAYAQUIL"/>
    <x v="0"/>
    <x v="0"/>
    <x v="55"/>
    <s v="YOG BBLE KID KK DZNO BOT 180G"/>
    <n v="756"/>
    <n v="1"/>
    <n v="0.18"/>
    <n v="45"/>
    <d v="2024-11-12T00:00:00"/>
    <s v="martes"/>
    <d v="2024-11-06T00:00:00"/>
    <x v="11"/>
    <n v="23"/>
    <n v="0.51111111111111107"/>
    <n v="4"/>
    <n v="0.72"/>
    <n v="6"/>
    <n v="0.8666666666666667"/>
    <n v="0.32987"/>
    <n v="0.32987"/>
    <n v="0.23750639999999998"/>
    <n v="15"/>
    <x v="1"/>
    <n v="7.1999999999999994E-4"/>
  </r>
  <r>
    <s v="GUAYAQUIL"/>
    <x v="0"/>
    <x v="0"/>
    <x v="55"/>
    <s v="YOG BBLE KID KK DZNO BOT 180G"/>
    <n v="216"/>
    <n v="1"/>
    <n v="0.18"/>
    <n v="45"/>
    <d v="2024-11-16T00:00:00"/>
    <s v="sábado"/>
    <d v="2024-11-13T00:00:00"/>
    <x v="2"/>
    <n v="30"/>
    <n v="0.66666666666666663"/>
    <n v="216"/>
    <n v="38.879999999999995"/>
    <n v="3"/>
    <n v="0.93333333333333335"/>
    <n v="0.32987"/>
    <n v="0.32987"/>
    <n v="12.825345599999999"/>
    <n v="11"/>
    <x v="0"/>
    <n v="3.8879999999999998E-2"/>
  </r>
  <r>
    <s v="GUAYAQUIL"/>
    <x v="0"/>
    <x v="0"/>
    <x v="55"/>
    <s v="YOG BBLE KID KK DZNO BOT 180G"/>
    <n v="108"/>
    <n v="1"/>
    <n v="0.18"/>
    <n v="45"/>
    <d v="2024-11-15T00:00:00"/>
    <s v="viernes"/>
    <d v="2024-11-13T00:00:00"/>
    <x v="2"/>
    <n v="30"/>
    <n v="0.66666666666666663"/>
    <n v="107"/>
    <n v="19.259999999999998"/>
    <n v="2"/>
    <n v="0.9555555555555556"/>
    <n v="0.32987"/>
    <n v="0.32987"/>
    <n v="6.3532961999999991"/>
    <n v="12"/>
    <x v="0"/>
    <n v="1.9259999999999999E-2"/>
  </r>
  <r>
    <s v="GUAYAQUIL"/>
    <x v="0"/>
    <x v="0"/>
    <x v="55"/>
    <s v="YOG BBLE KID KK DZNO BOT 180G"/>
    <n v="216"/>
    <n v="1"/>
    <n v="0.18"/>
    <n v="45"/>
    <d v="2024-11-19T00:00:00"/>
    <s v="martes"/>
    <d v="2024-11-13T00:00:00"/>
    <x v="2"/>
    <n v="30"/>
    <n v="0.66666666666666663"/>
    <n v="216"/>
    <n v="38.879999999999995"/>
    <n v="6"/>
    <n v="0.8666666666666667"/>
    <n v="0.32987"/>
    <n v="0.32987"/>
    <n v="12.825345599999999"/>
    <n v="8"/>
    <x v="0"/>
    <n v="3.8879999999999998E-2"/>
  </r>
  <r>
    <s v="GUAYAQUIL"/>
    <x v="0"/>
    <x v="0"/>
    <x v="55"/>
    <s v="YOG BBLE KID KK DZNO BOT 180G"/>
    <n v="108"/>
    <n v="1"/>
    <n v="0.18"/>
    <n v="45"/>
    <d v="2024-11-20T00:00:00"/>
    <s v="miércoles"/>
    <d v="2024-11-13T00:00:00"/>
    <x v="2"/>
    <n v="30"/>
    <n v="0.66666666666666663"/>
    <n v="108"/>
    <n v="19.439999999999998"/>
    <n v="7"/>
    <n v="0.84444444444444444"/>
    <n v="0.32987"/>
    <n v="0.32987"/>
    <n v="6.4126727999999993"/>
    <n v="7"/>
    <x v="0"/>
    <n v="1.9439999999999999E-2"/>
  </r>
  <r>
    <s v="GUAYAQUIL"/>
    <x v="0"/>
    <x v="0"/>
    <x v="56"/>
    <s v="AREQUIPE VASO 50G ECU"/>
    <n v="300"/>
    <n v="1"/>
    <n v="0.05"/>
    <n v="180"/>
    <d v="2024-11-01T00:00:00"/>
    <s v="viernes"/>
    <d v="2024-10-30T00:00:00"/>
    <x v="30"/>
    <n v="151"/>
    <n v="0.83888888888888891"/>
    <n v="92"/>
    <n v="4.6000000000000005"/>
    <n v="2"/>
    <n v="0.98888888888888893"/>
    <n v="0.18558999999999998"/>
    <n v="0.18558999999999998"/>
    <n v="0.85371399999999997"/>
    <n v="26"/>
    <x v="0"/>
    <n v="4.6000000000000008E-3"/>
  </r>
  <r>
    <s v="GUAYAQUIL"/>
    <x v="0"/>
    <x v="0"/>
    <x v="57"/>
    <s v="YOG BBLE KID KK MORA BOT 180G"/>
    <n v="432"/>
    <n v="1"/>
    <n v="0.18"/>
    <n v="45"/>
    <d v="2024-11-05T00:00:00"/>
    <s v="martes"/>
    <d v="2024-10-25T00:00:00"/>
    <x v="53"/>
    <n v="11"/>
    <n v="0.24444444444444444"/>
    <n v="153"/>
    <n v="27.54"/>
    <n v="11"/>
    <n v="0.75555555555555554"/>
    <n v="0.32335000000000003"/>
    <n v="0.32335000000000003"/>
    <n v="8.9050589999999996"/>
    <n v="22"/>
    <x v="2"/>
    <n v="2.7539999999999999E-2"/>
  </r>
  <r>
    <s v="GUAYAQUIL"/>
    <x v="0"/>
    <x v="0"/>
    <x v="57"/>
    <s v="YOG BBLE KID KK MORA BOT 180G"/>
    <n v="432"/>
    <n v="1"/>
    <n v="0.18"/>
    <n v="45"/>
    <d v="2024-11-15T00:00:00"/>
    <s v="viernes"/>
    <d v="2024-11-08T00:00:00"/>
    <x v="9"/>
    <n v="25"/>
    <n v="0.55555555555555558"/>
    <n v="1"/>
    <n v="0.18"/>
    <n v="7"/>
    <n v="0.84444444444444444"/>
    <n v="0.32335000000000003"/>
    <n v="0.32335000000000003"/>
    <n v="5.8203000000000005E-2"/>
    <n v="12"/>
    <x v="1"/>
    <n v="1.7999999999999998E-4"/>
  </r>
  <r>
    <s v="GUAYAQUIL"/>
    <x v="0"/>
    <x v="0"/>
    <x v="57"/>
    <s v="YOG BBLE KID KK MORA BOT 180G"/>
    <n v="648"/>
    <n v="1"/>
    <n v="0.18"/>
    <n v="45"/>
    <d v="2024-11-21T00:00:00"/>
    <s v="jueves"/>
    <d v="2024-11-13T00:00:00"/>
    <x v="2"/>
    <n v="30"/>
    <n v="0.66666666666666663"/>
    <n v="542"/>
    <n v="97.56"/>
    <n v="8"/>
    <n v="0.82222222222222219"/>
    <n v="0.32335000000000003"/>
    <n v="0.32335000000000003"/>
    <n v="31.546026000000005"/>
    <n v="6"/>
    <x v="0"/>
    <n v="9.7560000000000008E-2"/>
  </r>
  <r>
    <s v="GUAYAQUIL"/>
    <x v="0"/>
    <x v="0"/>
    <x v="58"/>
    <s v="Q ESPAR MOZZ KIOSKO DOYP 200G"/>
    <n v="210"/>
    <n v="1"/>
    <n v="0.2"/>
    <n v="90"/>
    <d v="2024-11-15T00:00:00"/>
    <s v="viernes"/>
    <d v="2024-11-07T00:00:00"/>
    <x v="58"/>
    <n v="69"/>
    <n v="0.76666666666666672"/>
    <n v="198"/>
    <n v="39.6"/>
    <n v="8"/>
    <n v="0.91111111111111109"/>
    <n v="0.37625999999999998"/>
    <n v="0.37625999999999998"/>
    <n v="14.899896"/>
    <n v="12"/>
    <x v="0"/>
    <n v="3.9600000000000003E-2"/>
  </r>
  <r>
    <s v="GUAYAQUIL"/>
    <x v="0"/>
    <x v="0"/>
    <x v="58"/>
    <s v="Q ESPAR MOZZ KIOSKO DOYP 200G"/>
    <n v="70"/>
    <n v="1"/>
    <n v="0.2"/>
    <n v="90"/>
    <d v="2024-11-14T00:00:00"/>
    <s v="jueves"/>
    <d v="2024-10-24T00:00:00"/>
    <x v="59"/>
    <n v="55"/>
    <n v="0.61111111111111116"/>
    <n v="58"/>
    <n v="11.600000000000001"/>
    <n v="21"/>
    <n v="0.76666666666666661"/>
    <n v="0.37625999999999998"/>
    <n v="0.37625999999999998"/>
    <n v="4.3646160000000007"/>
    <n v="13"/>
    <x v="0"/>
    <n v="1.1600000000000001E-2"/>
  </r>
  <r>
    <s v="GUAYAQUIL"/>
    <x v="0"/>
    <x v="0"/>
    <x v="58"/>
    <s v="Q ESPAR MOZZ KIOSKO DOYP 200G"/>
    <n v="70"/>
    <n v="1"/>
    <n v="0.2"/>
    <n v="90"/>
    <d v="2024-11-19T00:00:00"/>
    <s v="martes"/>
    <d v="2024-11-07T00:00:00"/>
    <x v="58"/>
    <n v="69"/>
    <n v="0.76666666666666672"/>
    <n v="70"/>
    <n v="14"/>
    <n v="12"/>
    <n v="0.8666666666666667"/>
    <n v="0.37625999999999998"/>
    <n v="0.37625999999999998"/>
    <n v="5.2676400000000001"/>
    <n v="8"/>
    <x v="0"/>
    <n v="1.4E-2"/>
  </r>
  <r>
    <s v="GUAYAQUIL"/>
    <x v="0"/>
    <x v="0"/>
    <x v="58"/>
    <s v="Q ESPAR MOZZ KIOSKO DOYP 200G"/>
    <n v="70"/>
    <n v="1"/>
    <n v="0.2"/>
    <n v="90"/>
    <d v="2024-11-20T00:00:00"/>
    <s v="miércoles"/>
    <d v="2024-11-07T00:00:00"/>
    <x v="58"/>
    <n v="69"/>
    <n v="0.76666666666666672"/>
    <n v="70"/>
    <n v="14"/>
    <n v="13"/>
    <n v="0.85555555555555562"/>
    <n v="0.37625999999999998"/>
    <n v="0.37625999999999998"/>
    <n v="5.2676400000000001"/>
    <n v="7"/>
    <x v="0"/>
    <n v="1.4E-2"/>
  </r>
  <r>
    <s v="GUAYAQUIL"/>
    <x v="0"/>
    <x v="0"/>
    <x v="59"/>
    <s v="Q JAVIER KIOSKO 20 LONJ 300G"/>
    <n v="2080"/>
    <n v="1"/>
    <n v="0.3"/>
    <n v="90"/>
    <d v="2024-11-20T00:00:00"/>
    <s v="miércoles"/>
    <d v="2024-11-19T00:00:00"/>
    <x v="40"/>
    <n v="81"/>
    <n v="0.9"/>
    <n v="1122"/>
    <n v="336.59999999999997"/>
    <n v="1"/>
    <n v="0.98888888888888893"/>
    <n v="2.4084500000000002"/>
    <n v="2.4084500000000002"/>
    <n v="810.68426999999997"/>
    <n v="7"/>
    <x v="0"/>
    <n v="0.33659999999999995"/>
  </r>
  <r>
    <s v="GUAYAQUIL"/>
    <x v="0"/>
    <x v="0"/>
    <x v="59"/>
    <s v="Q JAVIER KIOSKO 20 LONJ 300G"/>
    <n v="75"/>
    <n v="1"/>
    <n v="0.3"/>
    <n v="90"/>
    <d v="2024-11-21T00:00:00"/>
    <s v="jueves"/>
    <d v="2024-11-19T00:00:00"/>
    <x v="40"/>
    <n v="81"/>
    <n v="0.9"/>
    <n v="75"/>
    <n v="22.5"/>
    <n v="2"/>
    <n v="0.97777777777777775"/>
    <n v="2.4084500000000002"/>
    <n v="2.4084500000000002"/>
    <n v="54.190125000000002"/>
    <n v="6"/>
    <x v="0"/>
    <n v="2.2499999999999999E-2"/>
  </r>
  <r>
    <s v="GUAYAQUIL"/>
    <x v="0"/>
    <x v="0"/>
    <x v="60"/>
    <s v="Q HIERBAS KIOSKO AL PESO"/>
    <n v="10"/>
    <n v="2.7"/>
    <n v="1"/>
    <n v="90"/>
    <d v="2024-11-14T00:00:00"/>
    <s v="jueves"/>
    <d v="2024-11-13T00:00:00"/>
    <x v="39"/>
    <n v="75"/>
    <n v="0.83333333333333337"/>
    <n v="8"/>
    <n v="21.6"/>
    <n v="1"/>
    <n v="0.98888888888888893"/>
    <n v="7.1118300000000003"/>
    <n v="19.201941000000001"/>
    <n v="414.76192560000004"/>
    <n v="13"/>
    <x v="0"/>
    <n v="2.1600000000000001E-2"/>
  </r>
  <r>
    <s v="GUAYAQUIL"/>
    <x v="0"/>
    <x v="0"/>
    <x v="60"/>
    <s v="Q HIERBAS KIOSKO AL PESO"/>
    <n v="10"/>
    <n v="2.7"/>
    <n v="1"/>
    <n v="90"/>
    <d v="2024-11-20T00:00:00"/>
    <s v="miércoles"/>
    <d v="2024-11-13T00:00:00"/>
    <x v="39"/>
    <n v="75"/>
    <n v="0.83333333333333337"/>
    <n v="10"/>
    <n v="27"/>
    <n v="7"/>
    <n v="0.92222222222222228"/>
    <n v="7.1118300000000003"/>
    <n v="19.201941000000001"/>
    <n v="518.45240699999999"/>
    <n v="7"/>
    <x v="0"/>
    <n v="2.7E-2"/>
  </r>
  <r>
    <s v="GUAYAQUIL"/>
    <x v="0"/>
    <x v="0"/>
    <x v="60"/>
    <s v="Q HIERBAS KIOSKO AL PESO"/>
    <n v="10"/>
    <n v="2.7"/>
    <n v="1"/>
    <n v="90"/>
    <d v="2024-11-21T00:00:00"/>
    <s v="jueves"/>
    <d v="2024-11-13T00:00:00"/>
    <x v="39"/>
    <n v="75"/>
    <n v="0.83333333333333337"/>
    <n v="10"/>
    <n v="27"/>
    <n v="8"/>
    <n v="0.91111111111111109"/>
    <n v="7.1118300000000003"/>
    <n v="19.201941000000001"/>
    <n v="518.45240699999999"/>
    <n v="6"/>
    <x v="0"/>
    <n v="2.7E-2"/>
  </r>
  <r>
    <s v="GUAYAQUIL"/>
    <x v="0"/>
    <x v="0"/>
    <x v="61"/>
    <s v="DULCE LCH KIOSKO VASO 250G"/>
    <n v="324"/>
    <n v="1"/>
    <n v="0.25"/>
    <n v="180"/>
    <d v="2024-11-13T00:00:00"/>
    <s v="miércoles"/>
    <d v="2024-11-08T00:00:00"/>
    <x v="60"/>
    <n v="160"/>
    <n v="0.88888888888888884"/>
    <n v="1"/>
    <n v="0.25"/>
    <n v="5"/>
    <n v="0.97222222222222221"/>
    <n v="0.69541500000000001"/>
    <n v="0.69541500000000001"/>
    <n v="0.17385375"/>
    <n v="14"/>
    <x v="0"/>
    <n v="2.5000000000000001E-4"/>
  </r>
  <r>
    <s v="GUAYAQUIL"/>
    <x v="0"/>
    <x v="0"/>
    <x v="61"/>
    <s v="DULCE LCH KIOSKO VASO 250G"/>
    <n v="324"/>
    <n v="1"/>
    <n v="0.25"/>
    <n v="180"/>
    <d v="2024-11-19T00:00:00"/>
    <s v="martes"/>
    <d v="2024-11-08T00:00:00"/>
    <x v="60"/>
    <n v="160"/>
    <n v="0.88888888888888884"/>
    <n v="324"/>
    <n v="81"/>
    <n v="11"/>
    <n v="0.93888888888888888"/>
    <n v="0.69541500000000001"/>
    <n v="0.69541500000000001"/>
    <n v="56.328614999999999"/>
    <n v="8"/>
    <x v="0"/>
    <n v="8.1000000000000003E-2"/>
  </r>
  <r>
    <s v="GUAYAQUIL"/>
    <x v="0"/>
    <x v="0"/>
    <x v="61"/>
    <s v="DULCE LCH KIOSKO VASO 250G"/>
    <n v="2052"/>
    <n v="1"/>
    <n v="0.25"/>
    <n v="180"/>
    <d v="2024-11-19T00:00:00"/>
    <s v="martes"/>
    <d v="2024-10-24T00:00:00"/>
    <x v="61"/>
    <n v="145"/>
    <n v="0.80555555555555558"/>
    <n v="1369"/>
    <n v="342.25"/>
    <n v="26"/>
    <n v="0.85555555555555562"/>
    <n v="0.69541500000000001"/>
    <n v="0.69541500000000001"/>
    <n v="238.00578375000001"/>
    <n v="8"/>
    <x v="0"/>
    <n v="0.34225"/>
  </r>
  <r>
    <s v="GUAYAQUIL"/>
    <x v="0"/>
    <x v="0"/>
    <x v="61"/>
    <s v="DULCE LCH KIOSKO VASO 250G"/>
    <n v="4212"/>
    <n v="1"/>
    <n v="0.25"/>
    <n v="180"/>
    <d v="2024-11-21T00:00:00"/>
    <s v="jueves"/>
    <d v="2024-11-20T00:00:00"/>
    <x v="62"/>
    <n v="172"/>
    <n v="0.9555555555555556"/>
    <n v="4212"/>
    <n v="1053"/>
    <n v="1"/>
    <n v="0.99444444444444446"/>
    <n v="0.69541500000000001"/>
    <n v="0.69541500000000001"/>
    <n v="732.27199500000006"/>
    <n v="6"/>
    <x v="0"/>
    <n v="1.0529999999999999"/>
  </r>
  <r>
    <s v="GUAYAQUIL"/>
    <x v="0"/>
    <x v="0"/>
    <x v="62"/>
    <s v="AREQUIPE VASO 250G ECU"/>
    <n v="0"/>
    <n v="1"/>
    <n v="0.25"/>
    <n v="180"/>
    <d v="2024-10-15T00:00:00"/>
    <s v="martes"/>
    <d v="2024-10-15T00:00:00"/>
    <x v="63"/>
    <n v="136"/>
    <n v="0.75555555555555554"/>
    <n v="7"/>
    <n v="1.75"/>
    <n v="0"/>
    <n v="1"/>
    <n v="0.78529499999999997"/>
    <n v="0.78529499999999997"/>
    <n v="1.37426625"/>
    <n v="43"/>
    <x v="0"/>
    <n v="1.75E-3"/>
  </r>
  <r>
    <s v="GUAYAQUIL"/>
    <x v="0"/>
    <x v="0"/>
    <x v="62"/>
    <s v="AREQUIPE VASO 250G ECU"/>
    <n v="324"/>
    <n v="1"/>
    <n v="0.25"/>
    <n v="180"/>
    <d v="2024-10-24T00:00:00"/>
    <s v="jueves"/>
    <d v="2024-10-18T00:00:00"/>
    <x v="27"/>
    <n v="139"/>
    <n v="0.77222222222222225"/>
    <n v="146"/>
    <n v="36.5"/>
    <n v="6"/>
    <n v="0.96666666666666667"/>
    <n v="0.78529499999999997"/>
    <n v="0.78529499999999997"/>
    <n v="28.6632675"/>
    <n v="34"/>
    <x v="0"/>
    <n v="3.6499999999999998E-2"/>
  </r>
  <r>
    <s v="GUAYAQUIL"/>
    <x v="0"/>
    <x v="0"/>
    <x v="62"/>
    <s v="AREQUIPE VASO 250G ECU"/>
    <n v="972"/>
    <n v="1"/>
    <n v="0.25"/>
    <n v="180"/>
    <d v="2024-10-26T00:00:00"/>
    <s v="sábado"/>
    <d v="2024-10-23T00:00:00"/>
    <x v="64"/>
    <n v="144"/>
    <n v="0.8"/>
    <n v="3"/>
    <n v="0.75"/>
    <n v="3"/>
    <n v="0.98333333333333328"/>
    <n v="0.78529499999999997"/>
    <n v="0.78529499999999997"/>
    <n v="0.58897124999999995"/>
    <n v="32"/>
    <x v="0"/>
    <n v="7.5000000000000002E-4"/>
  </r>
  <r>
    <s v="GUAYAQUIL"/>
    <x v="0"/>
    <x v="0"/>
    <x v="62"/>
    <s v="AREQUIPE VASO 250G ECU"/>
    <n v="1512"/>
    <n v="1"/>
    <n v="0.25"/>
    <n v="180"/>
    <d v="2024-11-06T00:00:00"/>
    <s v="miércoles"/>
    <d v="2024-10-12T00:00:00"/>
    <x v="65"/>
    <n v="133"/>
    <n v="0.73888888888888893"/>
    <n v="4"/>
    <n v="1"/>
    <n v="25"/>
    <n v="0.86111111111111116"/>
    <n v="0.78529499999999997"/>
    <n v="0.78529499999999997"/>
    <n v="0.78529499999999997"/>
    <n v="21"/>
    <x v="0"/>
    <n v="1E-3"/>
  </r>
  <r>
    <s v="GUAYAQUIL"/>
    <x v="0"/>
    <x v="0"/>
    <x v="62"/>
    <s v="AREQUIPE VASO 250G ECU"/>
    <n v="1026"/>
    <n v="1"/>
    <n v="0.25"/>
    <n v="180"/>
    <d v="2024-11-15T00:00:00"/>
    <s v="viernes"/>
    <d v="2024-11-13T00:00:00"/>
    <x v="38"/>
    <n v="165"/>
    <n v="0.91666666666666663"/>
    <n v="1026"/>
    <n v="256.5"/>
    <n v="2"/>
    <n v="0.98888888888888893"/>
    <n v="0.78529499999999997"/>
    <n v="0.78529499999999997"/>
    <n v="201.4281675"/>
    <n v="12"/>
    <x v="0"/>
    <n v="0.25650000000000001"/>
  </r>
  <r>
    <s v="GUAYAQUIL"/>
    <x v="0"/>
    <x v="0"/>
    <x v="62"/>
    <s v="AREQUIPE VASO 250G ECU"/>
    <n v="702"/>
    <n v="1"/>
    <n v="0.25"/>
    <n v="180"/>
    <d v="2024-11-14T00:00:00"/>
    <s v="jueves"/>
    <d v="2024-11-13T00:00:00"/>
    <x v="38"/>
    <n v="165"/>
    <n v="0.91666666666666663"/>
    <n v="702"/>
    <n v="175.5"/>
    <n v="1"/>
    <n v="0.99444444444444446"/>
    <n v="0.78529499999999997"/>
    <n v="0.78529499999999997"/>
    <n v="137.81927249999998"/>
    <n v="13"/>
    <x v="0"/>
    <n v="0.17549999999999999"/>
  </r>
  <r>
    <s v="GUAYAQUIL"/>
    <x v="0"/>
    <x v="0"/>
    <x v="62"/>
    <s v="AREQUIPE VASO 250G ECU"/>
    <n v="324"/>
    <n v="1"/>
    <n v="0.25"/>
    <n v="180"/>
    <d v="2024-11-20T00:00:00"/>
    <s v="miércoles"/>
    <d v="2024-11-13T00:00:00"/>
    <x v="38"/>
    <n v="165"/>
    <n v="0.91666666666666663"/>
    <n v="324"/>
    <n v="81"/>
    <n v="7"/>
    <n v="0.96111111111111114"/>
    <n v="0.78529499999999997"/>
    <n v="0.78529499999999997"/>
    <n v="63.608894999999997"/>
    <n v="7"/>
    <x v="0"/>
    <n v="8.1000000000000003E-2"/>
  </r>
  <r>
    <s v="GUAYAQUIL"/>
    <x v="0"/>
    <x v="0"/>
    <x v="62"/>
    <s v="AREQUIPE VASO 250G ECU"/>
    <n v="1350"/>
    <n v="1"/>
    <n v="0.25"/>
    <n v="180"/>
    <d v="2024-11-21T00:00:00"/>
    <s v="jueves"/>
    <d v="2024-11-19T00:00:00"/>
    <x v="56"/>
    <n v="171"/>
    <n v="0.95"/>
    <n v="1350"/>
    <n v="337.5"/>
    <n v="2"/>
    <n v="0.98888888888888893"/>
    <n v="0.78529499999999997"/>
    <n v="0.78529499999999997"/>
    <n v="265.03706249999999"/>
    <n v="6"/>
    <x v="0"/>
    <n v="0.33750000000000002"/>
  </r>
  <r>
    <s v="GUAYAQUIL"/>
    <x v="0"/>
    <x v="0"/>
    <x v="63"/>
    <s v="MPLX4 ALPINETTE MOR 140G"/>
    <n v="6"/>
    <n v="1"/>
    <n v="0.56000000000000005"/>
    <n v="60"/>
    <d v="2024-10-30T00:00:00"/>
    <s v="miércoles"/>
    <d v="2024-10-08T00:00:00"/>
    <x v="66"/>
    <n v="9"/>
    <n v="0.15"/>
    <n v="5"/>
    <n v="2.8000000000000003"/>
    <n v="22"/>
    <n v="0.6333333333333333"/>
    <n v="1.9986900000000001"/>
    <n v="1.9986900000000001"/>
    <n v="5.5963320000000003"/>
    <n v="28"/>
    <x v="2"/>
    <n v="2.8000000000000004E-3"/>
  </r>
  <r>
    <s v="GUAYAQUIL"/>
    <x v="0"/>
    <x v="0"/>
    <x v="63"/>
    <s v="MPLX4 ALPINETTE MOR 140G"/>
    <n v="36"/>
    <n v="1"/>
    <n v="0.56000000000000005"/>
    <n v="60"/>
    <d v="2024-11-01T00:00:00"/>
    <s v="viernes"/>
    <d v="2024-10-08T00:00:00"/>
    <x v="66"/>
    <n v="9"/>
    <n v="0.15"/>
    <n v="36"/>
    <n v="20.160000000000004"/>
    <n v="24"/>
    <n v="0.6"/>
    <n v="1.9986900000000001"/>
    <n v="1.9986900000000001"/>
    <n v="40.293590400000006"/>
    <n v="26"/>
    <x v="2"/>
    <n v="2.0160000000000004E-2"/>
  </r>
  <r>
    <s v="GUAYAQUIL"/>
    <x v="0"/>
    <x v="0"/>
    <x v="64"/>
    <s v="Q GOUDA KIOSKO LONJ 200G"/>
    <n v="120"/>
    <n v="1"/>
    <n v="0.2"/>
    <n v="60"/>
    <d v="2024-11-01T00:00:00"/>
    <s v="viernes"/>
    <d v="2024-10-24T00:00:00"/>
    <x v="9"/>
    <n v="25"/>
    <n v="0.41666666666666669"/>
    <n v="60"/>
    <n v="12"/>
    <n v="8"/>
    <n v="0.8666666666666667"/>
    <n v="1.5206200000000001"/>
    <n v="1.5206200000000001"/>
    <n v="18.247440000000001"/>
    <n v="26"/>
    <x v="1"/>
    <n v="1.2E-2"/>
  </r>
  <r>
    <s v="GUAYAQUIL"/>
    <x v="0"/>
    <x v="0"/>
    <x v="64"/>
    <s v="Q GOUDA KIOSKO LONJ 200G"/>
    <n v="104"/>
    <n v="1"/>
    <n v="0.2"/>
    <n v="60"/>
    <d v="2024-11-15T00:00:00"/>
    <s v="viernes"/>
    <d v="2024-11-08T00:00:00"/>
    <x v="67"/>
    <n v="40"/>
    <n v="0.66666666666666663"/>
    <n v="41"/>
    <n v="8.2000000000000011"/>
    <n v="7"/>
    <n v="0.8833333333333333"/>
    <n v="1.5206200000000001"/>
    <n v="1.5206200000000001"/>
    <n v="12.469084000000002"/>
    <n v="12"/>
    <x v="0"/>
    <n v="8.2000000000000007E-3"/>
  </r>
  <r>
    <s v="GUAYAQUIL"/>
    <x v="0"/>
    <x v="0"/>
    <x v="64"/>
    <s v="Q GOUDA KIOSKO LONJ 200G"/>
    <n v="16"/>
    <n v="1"/>
    <n v="0.2"/>
    <n v="60"/>
    <d v="2024-11-15T00:00:00"/>
    <s v="viernes"/>
    <d v="2024-11-12T00:00:00"/>
    <x v="51"/>
    <n v="44"/>
    <n v="0.73333333333333328"/>
    <n v="16"/>
    <n v="3.2"/>
    <n v="3"/>
    <n v="0.95"/>
    <n v="1.5206200000000001"/>
    <n v="1.5206200000000001"/>
    <n v="4.865984000000001"/>
    <n v="12"/>
    <x v="0"/>
    <n v="3.2000000000000002E-3"/>
  </r>
  <r>
    <s v="GUAYAQUIL"/>
    <x v="0"/>
    <x v="0"/>
    <x v="64"/>
    <s v="Q GOUDA KIOSKO LONJ 200G"/>
    <n v="120"/>
    <n v="1"/>
    <n v="0.2"/>
    <n v="60"/>
    <d v="2024-11-21T00:00:00"/>
    <s v="jueves"/>
    <d v="2024-11-12T00:00:00"/>
    <x v="51"/>
    <n v="44"/>
    <n v="0.73333333333333328"/>
    <n v="120"/>
    <n v="24"/>
    <n v="9"/>
    <n v="0.85"/>
    <n v="1.5206200000000001"/>
    <n v="1.5206200000000001"/>
    <n v="36.494880000000002"/>
    <n v="6"/>
    <x v="0"/>
    <n v="2.4E-2"/>
  </r>
  <r>
    <s v="GUAYAQUIL"/>
    <x v="0"/>
    <x v="0"/>
    <x v="65"/>
    <s v="BY AREQ VASO 165G"/>
    <n v="780"/>
    <n v="1"/>
    <n v="0.16500000000000001"/>
    <n v="45"/>
    <d v="2024-11-05T00:00:00"/>
    <s v="martes"/>
    <d v="2024-10-26T00:00:00"/>
    <x v="20"/>
    <n v="12"/>
    <n v="0.26666666666666666"/>
    <n v="142"/>
    <n v="23.43"/>
    <n v="10"/>
    <n v="0.77777777777777779"/>
    <n v="0.35961500000000002"/>
    <n v="0.35961500000000002"/>
    <n v="8.4257794500000003"/>
    <n v="22"/>
    <x v="2"/>
    <n v="2.3429999999999999E-2"/>
  </r>
  <r>
    <s v="GUAYAQUIL"/>
    <x v="0"/>
    <x v="0"/>
    <x v="65"/>
    <s v="BY AREQ VASO 165G"/>
    <n v="420"/>
    <n v="1"/>
    <n v="0.16500000000000001"/>
    <n v="45"/>
    <d v="2024-11-07T00:00:00"/>
    <s v="jueves"/>
    <d v="2024-10-29T00:00:00"/>
    <x v="25"/>
    <n v="15"/>
    <n v="0.33333333333333331"/>
    <n v="84"/>
    <n v="13.860000000000001"/>
    <n v="9"/>
    <n v="0.8"/>
    <n v="0.35961500000000002"/>
    <n v="0.35961500000000002"/>
    <n v="4.9842639000000011"/>
    <n v="20"/>
    <x v="2"/>
    <n v="1.3860000000000001E-2"/>
  </r>
  <r>
    <s v="GUAYAQUIL"/>
    <x v="0"/>
    <x v="0"/>
    <x v="65"/>
    <s v="BY AREQ VASO 165G"/>
    <n v="120"/>
    <n v="1"/>
    <n v="0.16500000000000001"/>
    <n v="45"/>
    <d v="2024-11-08T00:00:00"/>
    <s v="viernes"/>
    <d v="2024-10-29T00:00:00"/>
    <x v="25"/>
    <n v="15"/>
    <n v="0.33333333333333331"/>
    <n v="120"/>
    <n v="19.8"/>
    <n v="10"/>
    <n v="0.77777777777777779"/>
    <n v="0.35961500000000002"/>
    <n v="0.35961500000000002"/>
    <n v="7.1203770000000004"/>
    <n v="19"/>
    <x v="2"/>
    <n v="1.9800000000000002E-2"/>
  </r>
  <r>
    <s v="GUAYAQUIL"/>
    <x v="0"/>
    <x v="0"/>
    <x v="65"/>
    <s v="BY AREQ VASO 165G"/>
    <n v="600"/>
    <n v="1"/>
    <n v="0.16500000000000001"/>
    <n v="45"/>
    <d v="2024-11-09T00:00:00"/>
    <s v="sábado"/>
    <d v="2024-10-29T00:00:00"/>
    <x v="25"/>
    <n v="15"/>
    <n v="0.33333333333333331"/>
    <n v="600"/>
    <n v="99"/>
    <n v="11"/>
    <n v="0.75555555555555554"/>
    <n v="0.35961500000000002"/>
    <n v="0.35961500000000002"/>
    <n v="35.601885000000003"/>
    <n v="18"/>
    <x v="2"/>
    <n v="9.9000000000000005E-2"/>
  </r>
  <r>
    <s v="GUAYAQUIL"/>
    <x v="0"/>
    <x v="0"/>
    <x v="65"/>
    <s v="BY AREQ VASO 165G"/>
    <n v="300"/>
    <n v="1"/>
    <n v="0.16500000000000001"/>
    <n v="45"/>
    <d v="2024-11-13T00:00:00"/>
    <s v="miércoles"/>
    <d v="2024-11-01T00:00:00"/>
    <x v="4"/>
    <n v="18"/>
    <n v="0.4"/>
    <n v="102"/>
    <n v="16.830000000000002"/>
    <n v="12"/>
    <n v="0.73333333333333339"/>
    <n v="0.35961500000000002"/>
    <n v="0.35961500000000002"/>
    <n v="6.0523204500000007"/>
    <n v="14"/>
    <x v="2"/>
    <n v="1.6830000000000001E-2"/>
  </r>
  <r>
    <s v="GUAYAQUIL"/>
    <x v="0"/>
    <x v="0"/>
    <x v="65"/>
    <s v="BY AREQ VASO 165G"/>
    <n v="180"/>
    <n v="1"/>
    <n v="0.16500000000000001"/>
    <n v="45"/>
    <d v="2024-11-20T00:00:00"/>
    <s v="miércoles"/>
    <d v="2024-11-12T00:00:00"/>
    <x v="5"/>
    <n v="29"/>
    <n v="0.64444444444444449"/>
    <n v="168"/>
    <n v="27.720000000000002"/>
    <n v="8"/>
    <n v="0.82222222222222219"/>
    <n v="0.35961500000000002"/>
    <n v="0.35961500000000002"/>
    <n v="9.9685278000000022"/>
    <n v="7"/>
    <x v="0"/>
    <n v="2.7720000000000002E-2"/>
  </r>
  <r>
    <s v="GUAYAQUIL"/>
    <x v="0"/>
    <x v="0"/>
    <x v="66"/>
    <s v="QUESO SANDUCHE KIOSKO 75G"/>
    <n v="240"/>
    <n v="1"/>
    <n v="7.4999999999999997E-2"/>
    <n v="90"/>
    <d v="2024-11-12T00:00:00"/>
    <s v="martes"/>
    <d v="2024-11-06T00:00:00"/>
    <x v="22"/>
    <n v="68"/>
    <n v="0.75555555555555554"/>
    <n v="5"/>
    <n v="0.375"/>
    <n v="6"/>
    <n v="0.93333333333333335"/>
    <n v="0.62080000000000002"/>
    <n v="0.62080000000000002"/>
    <n v="0.23280000000000001"/>
    <n v="15"/>
    <x v="0"/>
    <n v="3.7500000000000001E-4"/>
  </r>
  <r>
    <s v="GUAYAQUIL"/>
    <x v="0"/>
    <x v="0"/>
    <x v="66"/>
    <s v="QUESO SANDUCHE KIOSKO 75G"/>
    <n v="240"/>
    <n v="1"/>
    <n v="7.4999999999999997E-2"/>
    <n v="90"/>
    <d v="2024-11-14T00:00:00"/>
    <s v="jueves"/>
    <d v="2024-11-08T00:00:00"/>
    <x v="17"/>
    <n v="70"/>
    <n v="0.77777777777777779"/>
    <n v="139"/>
    <n v="10.424999999999999"/>
    <n v="6"/>
    <n v="0.93333333333333335"/>
    <n v="0.62080000000000002"/>
    <n v="0.62080000000000002"/>
    <n v="6.4718399999999994"/>
    <n v="13"/>
    <x v="0"/>
    <n v="1.0424999999999999E-2"/>
  </r>
  <r>
    <s v="GUAYAQUIL"/>
    <x v="0"/>
    <x v="0"/>
    <x v="66"/>
    <s v="QUESO SANDUCHE KIOSKO 75G"/>
    <n v="240"/>
    <n v="1"/>
    <n v="7.4999999999999997E-2"/>
    <n v="90"/>
    <d v="2024-11-19T00:00:00"/>
    <s v="martes"/>
    <d v="2024-11-14T00:00:00"/>
    <x v="23"/>
    <n v="76"/>
    <n v="0.84444444444444444"/>
    <n v="240"/>
    <n v="18"/>
    <n v="5"/>
    <n v="0.94444444444444442"/>
    <n v="0.62080000000000002"/>
    <n v="0.62080000000000002"/>
    <n v="11.1744"/>
    <n v="8"/>
    <x v="0"/>
    <n v="1.7999999999999999E-2"/>
  </r>
  <r>
    <s v="GUAYAQUIL"/>
    <x v="0"/>
    <x v="0"/>
    <x v="66"/>
    <s v="QUESO SANDUCHE KIOSKO 75G"/>
    <n v="240"/>
    <n v="1"/>
    <n v="7.4999999999999997E-2"/>
    <n v="90"/>
    <d v="2024-11-21T00:00:00"/>
    <s v="jueves"/>
    <d v="2024-11-14T00:00:00"/>
    <x v="23"/>
    <n v="76"/>
    <n v="0.84444444444444444"/>
    <n v="240"/>
    <n v="18"/>
    <n v="7"/>
    <n v="0.92222222222222228"/>
    <n v="0.62080000000000002"/>
    <n v="0.62080000000000002"/>
    <n v="11.1744"/>
    <n v="6"/>
    <x v="0"/>
    <n v="1.7999999999999999E-2"/>
  </r>
  <r>
    <s v="GUAYAQUIL"/>
    <x v="0"/>
    <x v="0"/>
    <x v="67"/>
    <s v="GRIEG KIOSKO FRUT ROJ 400"/>
    <n v="40"/>
    <n v="1"/>
    <n v="0.4"/>
    <n v="45"/>
    <d v="2024-11-16T00:00:00"/>
    <s v="sábado"/>
    <d v="2024-11-15T00:00:00"/>
    <x v="0"/>
    <n v="32"/>
    <n v="0.71111111111111114"/>
    <n v="40"/>
    <n v="16"/>
    <n v="1"/>
    <n v="0.97777777777777775"/>
    <n v="0.96938500000000005"/>
    <n v="0.96938500000000005"/>
    <n v="15.510160000000001"/>
    <n v="11"/>
    <x v="0"/>
    <n v="1.6E-2"/>
  </r>
  <r>
    <s v="GUAYAQUIL"/>
    <x v="0"/>
    <x v="0"/>
    <x v="67"/>
    <s v="GRIEG KIOSKO FRUT ROJ 400"/>
    <n v="40"/>
    <n v="1"/>
    <n v="0.4"/>
    <n v="45"/>
    <d v="2024-11-15T00:00:00"/>
    <s v="viernes"/>
    <d v="2024-11-06T00:00:00"/>
    <x v="11"/>
    <n v="23"/>
    <n v="0.51111111111111107"/>
    <n v="15"/>
    <n v="6"/>
    <n v="9"/>
    <n v="0.8"/>
    <n v="0.96938500000000005"/>
    <n v="0.96938500000000005"/>
    <n v="5.8163100000000005"/>
    <n v="12"/>
    <x v="1"/>
    <n v="6.0000000000000001E-3"/>
  </r>
  <r>
    <s v="GUAYAQUIL"/>
    <x v="0"/>
    <x v="0"/>
    <x v="68"/>
    <s v="CREMA DE LECHE ALPINA 200G"/>
    <n v="2800"/>
    <n v="1"/>
    <n v="0.2"/>
    <n v="70"/>
    <d v="2024-11-09T00:00:00"/>
    <s v="sábado"/>
    <d v="2024-10-24T00:00:00"/>
    <x v="68"/>
    <n v="35"/>
    <n v="0.5"/>
    <n v="2"/>
    <n v="0.4"/>
    <n v="16"/>
    <n v="0.77142857142857146"/>
    <n v="0.59135000000000004"/>
    <n v="0.59135000000000004"/>
    <n v="0.23654000000000003"/>
    <n v="18"/>
    <x v="0"/>
    <n v="4.0000000000000002E-4"/>
  </r>
  <r>
    <s v="GUAYAQUIL"/>
    <x v="0"/>
    <x v="0"/>
    <x v="68"/>
    <s v="CREMA DE LECHE ALPINA 200G"/>
    <n v="2800"/>
    <n v="1"/>
    <n v="0.2"/>
    <n v="70"/>
    <d v="2024-11-12T00:00:00"/>
    <s v="martes"/>
    <d v="2024-10-25T00:00:00"/>
    <x v="8"/>
    <n v="36"/>
    <n v="0.51428571428571423"/>
    <n v="63"/>
    <n v="12.600000000000001"/>
    <n v="18"/>
    <n v="0.74285714285714288"/>
    <n v="0.59135000000000004"/>
    <n v="0.59135000000000004"/>
    <n v="7.451010000000001"/>
    <n v="15"/>
    <x v="0"/>
    <n v="1.2600000000000002E-2"/>
  </r>
  <r>
    <s v="GUAYAQUIL"/>
    <x v="0"/>
    <x v="0"/>
    <x v="68"/>
    <s v="CREMA DE LECHE ALPINA 200G"/>
    <n v="1540"/>
    <n v="1"/>
    <n v="0.2"/>
    <n v="70"/>
    <d v="2024-11-16T00:00:00"/>
    <s v="sábado"/>
    <d v="2024-11-02T00:00:00"/>
    <x v="51"/>
    <n v="44"/>
    <n v="0.62857142857142856"/>
    <n v="1522"/>
    <n v="304.40000000000003"/>
    <n v="14"/>
    <n v="0.8"/>
    <n v="0.59135000000000004"/>
    <n v="0.59135000000000004"/>
    <n v="180.00694000000004"/>
    <n v="11"/>
    <x v="0"/>
    <n v="0.30440000000000006"/>
  </r>
  <r>
    <s v="GUAYAQUIL"/>
    <x v="0"/>
    <x v="0"/>
    <x v="68"/>
    <s v="CREMA DE LECHE ALPINA 200G"/>
    <n v="1540"/>
    <n v="1"/>
    <n v="0.2"/>
    <n v="70"/>
    <d v="2024-11-19T00:00:00"/>
    <s v="martes"/>
    <d v="2024-11-02T00:00:00"/>
    <x v="51"/>
    <n v="44"/>
    <n v="0.62857142857142856"/>
    <n v="1540"/>
    <n v="308"/>
    <n v="17"/>
    <n v="0.75714285714285712"/>
    <n v="0.59135000000000004"/>
    <n v="0.59135000000000004"/>
    <n v="182.13580000000002"/>
    <n v="8"/>
    <x v="0"/>
    <n v="0.308"/>
  </r>
  <r>
    <s v="GUAYAQUIL"/>
    <x v="0"/>
    <x v="0"/>
    <x v="68"/>
    <s v="CREMA DE LECHE ALPINA 200G"/>
    <n v="1540"/>
    <n v="1"/>
    <n v="0.2"/>
    <n v="70"/>
    <d v="2024-11-20T00:00:00"/>
    <s v="miércoles"/>
    <d v="2024-11-02T00:00:00"/>
    <x v="51"/>
    <n v="44"/>
    <n v="0.62857142857142856"/>
    <n v="1540"/>
    <n v="308"/>
    <n v="18"/>
    <n v="0.74285714285714288"/>
    <n v="0.59135000000000004"/>
    <n v="0.59135000000000004"/>
    <n v="182.13580000000002"/>
    <n v="7"/>
    <x v="0"/>
    <n v="0.308"/>
  </r>
  <r>
    <s v="GUAYAQUIL"/>
    <x v="0"/>
    <x v="0"/>
    <x v="68"/>
    <s v="CREMA DE LECHE ALPINA 200G"/>
    <n v="0"/>
    <n v="1"/>
    <n v="0.2"/>
    <n v="70"/>
    <d v="2024-11-25T00:00:00"/>
    <s v="lunes"/>
    <d v="2024-11-25T00:00:00"/>
    <x v="15"/>
    <n v="67"/>
    <n v="0.95714285714285718"/>
    <n v="2"/>
    <n v="0.4"/>
    <n v="0"/>
    <n v="1"/>
    <n v="0.59135000000000004"/>
    <n v="0.59135000000000004"/>
    <n v="0.23654000000000003"/>
    <n v="2"/>
    <x v="0"/>
    <n v="4.0000000000000002E-4"/>
  </r>
  <r>
    <s v="GUAYAQUIL"/>
    <x v="0"/>
    <x v="0"/>
    <x v="69"/>
    <s v="Q PROVO AHUM KIOSKO BLOQ 260G"/>
    <n v="75"/>
    <n v="1"/>
    <n v="0.26"/>
    <n v="60"/>
    <d v="2024-11-15T00:00:00"/>
    <s v="viernes"/>
    <d v="2024-11-07T00:00:00"/>
    <x v="50"/>
    <n v="39"/>
    <n v="0.65"/>
    <n v="6"/>
    <n v="1.56"/>
    <n v="8"/>
    <n v="0.8666666666666667"/>
    <n v="2.0346349999999997"/>
    <n v="2.0346349999999997"/>
    <n v="3.1740305999999996"/>
    <n v="12"/>
    <x v="0"/>
    <n v="1.56E-3"/>
  </r>
  <r>
    <s v="GUAYAQUIL"/>
    <x v="0"/>
    <x v="0"/>
    <x v="69"/>
    <s v="Q PROVO AHUM KIOSKO BLOQ 260G"/>
    <n v="75"/>
    <n v="1"/>
    <n v="0.26"/>
    <n v="60"/>
    <d v="2024-11-19T00:00:00"/>
    <s v="martes"/>
    <d v="2024-11-07T00:00:00"/>
    <x v="50"/>
    <n v="39"/>
    <n v="0.65"/>
    <n v="75"/>
    <n v="19.5"/>
    <n v="12"/>
    <n v="0.8"/>
    <n v="2.0346349999999997"/>
    <n v="2.0346349999999997"/>
    <n v="39.675382499999998"/>
    <n v="8"/>
    <x v="0"/>
    <n v="1.95E-2"/>
  </r>
  <r>
    <s v="GUAYAQUIL"/>
    <x v="0"/>
    <x v="0"/>
    <x v="69"/>
    <s v="Q PROVO AHUM KIOSKO BLOQ 260G"/>
    <n v="30"/>
    <n v="1"/>
    <n v="0.26"/>
    <n v="60"/>
    <d v="2024-11-20T00:00:00"/>
    <s v="miércoles"/>
    <d v="2024-11-15T00:00:00"/>
    <x v="52"/>
    <n v="47"/>
    <n v="0.78333333333333333"/>
    <n v="30"/>
    <n v="7.8000000000000007"/>
    <n v="5"/>
    <n v="0.91666666666666663"/>
    <n v="2.0346349999999997"/>
    <n v="2.0346349999999997"/>
    <n v="15.870153"/>
    <n v="7"/>
    <x v="0"/>
    <n v="7.8000000000000005E-3"/>
  </r>
  <r>
    <s v="GUAYAQUIL"/>
    <x v="0"/>
    <x v="0"/>
    <x v="69"/>
    <s v="Q PROVO AHUM KIOSKO BLOQ 260G"/>
    <n v="35"/>
    <n v="1"/>
    <n v="0.26"/>
    <n v="60"/>
    <d v="2024-11-21T00:00:00"/>
    <s v="jueves"/>
    <d v="2024-11-15T00:00:00"/>
    <x v="52"/>
    <n v="47"/>
    <n v="0.78333333333333333"/>
    <n v="35"/>
    <n v="9.1"/>
    <n v="6"/>
    <n v="0.9"/>
    <n v="2.0346349999999997"/>
    <n v="2.0346349999999997"/>
    <n v="18.515178499999998"/>
    <n v="6"/>
    <x v="0"/>
    <n v="9.1000000000000004E-3"/>
  </r>
  <r>
    <s v="GUAYAQUIL"/>
    <x v="0"/>
    <x v="0"/>
    <x v="70"/>
    <s v="YOG BBLE KID KK MORA BOT 120G"/>
    <n v="182"/>
    <n v="1"/>
    <n v="0.12"/>
    <n v="45"/>
    <d v="2024-11-09T00:00:00"/>
    <s v="sábado"/>
    <d v="2024-10-31T00:00:00"/>
    <x v="10"/>
    <n v="17"/>
    <n v="0.37777777777777777"/>
    <n v="2"/>
    <n v="0.24"/>
    <n v="9"/>
    <n v="0.8"/>
    <n v="0.25665499999999997"/>
    <n v="0.25665499999999997"/>
    <n v="6.1597199999999991E-2"/>
    <n v="18"/>
    <x v="2"/>
    <n v="2.3999999999999998E-4"/>
  </r>
  <r>
    <s v="GUAYAQUIL"/>
    <x v="0"/>
    <x v="0"/>
    <x v="70"/>
    <s v="YOG BBLE KID KK MORA BOT 120G"/>
    <n v="182"/>
    <n v="1"/>
    <n v="0.12"/>
    <n v="45"/>
    <d v="2024-11-15T00:00:00"/>
    <s v="viernes"/>
    <d v="2024-11-13T00:00:00"/>
    <x v="2"/>
    <n v="30"/>
    <n v="0.66666666666666663"/>
    <n v="182"/>
    <n v="21.84"/>
    <n v="2"/>
    <n v="0.9555555555555556"/>
    <n v="0.25665499999999997"/>
    <n v="0.25665499999999997"/>
    <n v="5.6053451999999995"/>
    <n v="12"/>
    <x v="0"/>
    <n v="2.1839999999999998E-2"/>
  </r>
  <r>
    <s v="GUAYAQUIL"/>
    <x v="0"/>
    <x v="0"/>
    <x v="70"/>
    <s v="YOG BBLE KID KK MORA BOT 120G"/>
    <n v="182"/>
    <n v="1"/>
    <n v="0.12"/>
    <n v="45"/>
    <d v="2024-11-14T00:00:00"/>
    <s v="jueves"/>
    <d v="2024-11-06T00:00:00"/>
    <x v="11"/>
    <n v="23"/>
    <n v="0.51111111111111107"/>
    <n v="76"/>
    <n v="9.1199999999999992"/>
    <n v="8"/>
    <n v="0.82222222222222219"/>
    <n v="0.25665499999999997"/>
    <n v="0.25665499999999997"/>
    <n v="2.3406935999999994"/>
    <n v="13"/>
    <x v="1"/>
    <n v="9.1199999999999996E-3"/>
  </r>
  <r>
    <s v="GUAYAQUIL"/>
    <x v="0"/>
    <x v="0"/>
    <x v="70"/>
    <s v="YOG BBLE KID KK MORA BOT 120G"/>
    <n v="182"/>
    <n v="1"/>
    <n v="0.12"/>
    <n v="45"/>
    <d v="2024-11-20T00:00:00"/>
    <s v="miércoles"/>
    <d v="2024-11-14T00:00:00"/>
    <x v="7"/>
    <n v="31"/>
    <n v="0.68888888888888888"/>
    <n v="0"/>
    <n v="0"/>
    <n v="6"/>
    <n v="0.8666666666666667"/>
    <n v="0.25665499999999997"/>
    <n v="0.25665499999999997"/>
    <n v="0"/>
    <n v="7"/>
    <x v="0"/>
    <n v="0"/>
  </r>
  <r>
    <s v="GUAYAQUIL"/>
    <x v="0"/>
    <x v="0"/>
    <x v="70"/>
    <s v="YOG BBLE KID KK MORA BOT 120G"/>
    <n v="182"/>
    <n v="1"/>
    <n v="0.12"/>
    <n v="45"/>
    <d v="2024-11-21T00:00:00"/>
    <s v="jueves"/>
    <d v="2024-11-14T00:00:00"/>
    <x v="7"/>
    <n v="31"/>
    <n v="0.68888888888888888"/>
    <n v="182"/>
    <n v="21.84"/>
    <n v="7"/>
    <n v="0.84444444444444444"/>
    <n v="0.25665499999999997"/>
    <n v="0.25665499999999997"/>
    <n v="5.6053451999999995"/>
    <n v="6"/>
    <x v="0"/>
    <n v="2.1839999999999998E-2"/>
  </r>
  <r>
    <s v="GUAYAQUIL"/>
    <x v="0"/>
    <x v="0"/>
    <x v="71"/>
    <s v="MPLX18 AREQUIPE VASO 50G"/>
    <n v="15"/>
    <n v="1"/>
    <n v="0.9"/>
    <n v="180"/>
    <d v="2024-11-09T00:00:00"/>
    <s v="sábado"/>
    <d v="2024-11-01T00:00:00"/>
    <x v="69"/>
    <n v="153"/>
    <n v="0.85"/>
    <n v="7"/>
    <n v="6.3"/>
    <n v="8"/>
    <n v="0.9555555555555556"/>
    <n v="3.7820849999999999"/>
    <n v="3.7820849999999999"/>
    <n v="23.827135499999997"/>
    <n v="18"/>
    <x v="0"/>
    <n v="6.3E-3"/>
  </r>
  <r>
    <s v="GUAYAQUIL"/>
    <x v="0"/>
    <x v="0"/>
    <x v="71"/>
    <s v="MPLX18 AREQUIPE VASO 50G"/>
    <n v="15"/>
    <n v="1"/>
    <n v="0.9"/>
    <n v="180"/>
    <d v="2024-11-16T00:00:00"/>
    <s v="sábado"/>
    <d v="2024-11-01T00:00:00"/>
    <x v="69"/>
    <n v="153"/>
    <n v="0.85"/>
    <n v="15"/>
    <n v="13.5"/>
    <n v="15"/>
    <n v="0.91666666666666663"/>
    <n v="3.7820849999999999"/>
    <n v="3.7820849999999999"/>
    <n v="51.058147499999997"/>
    <n v="11"/>
    <x v="0"/>
    <n v="1.35E-2"/>
  </r>
  <r>
    <s v="GUAYAQUIL"/>
    <x v="0"/>
    <x v="0"/>
    <x v="72"/>
    <s v="BY MINI GOMITAS 127G"/>
    <n v="1380"/>
    <n v="1"/>
    <n v="0.127"/>
    <n v="45"/>
    <d v="2024-10-31T00:00:00"/>
    <s v="jueves"/>
    <d v="2024-10-19T00:00:00"/>
    <x v="70"/>
    <n v="5"/>
    <n v="0.1111111111111111"/>
    <n v="16"/>
    <n v="2.032"/>
    <n v="12"/>
    <n v="0.73333333333333339"/>
    <n v="0.34782999999999997"/>
    <n v="0.34782999999999997"/>
    <n v="0.70679055999999996"/>
    <n v="27"/>
    <x v="2"/>
    <n v="2.032E-3"/>
  </r>
  <r>
    <s v="GUAYAQUIL"/>
    <x v="0"/>
    <x v="0"/>
    <x v="72"/>
    <s v="BY MINI GOMITAS 127G"/>
    <n v="1800"/>
    <n v="1"/>
    <n v="0.127"/>
    <n v="45"/>
    <d v="2024-11-08T00:00:00"/>
    <s v="viernes"/>
    <d v="2024-11-01T00:00:00"/>
    <x v="4"/>
    <n v="18"/>
    <n v="0.4"/>
    <n v="34"/>
    <n v="4.3179999999999996"/>
    <n v="7"/>
    <n v="0.84444444444444444"/>
    <n v="0.34782999999999997"/>
    <n v="0.34782999999999997"/>
    <n v="1.5019299399999997"/>
    <n v="19"/>
    <x v="2"/>
    <n v="4.3179999999999998E-3"/>
  </r>
  <r>
    <s v="GUAYAQUIL"/>
    <x v="0"/>
    <x v="0"/>
    <x v="72"/>
    <s v="BY MINI GOMITAS 127G"/>
    <n v="600"/>
    <n v="1"/>
    <n v="0.127"/>
    <n v="45"/>
    <d v="2024-11-09T00:00:00"/>
    <s v="sábado"/>
    <d v="2024-11-01T00:00:00"/>
    <x v="4"/>
    <n v="18"/>
    <n v="0.4"/>
    <n v="600"/>
    <n v="76.2"/>
    <n v="8"/>
    <n v="0.82222222222222219"/>
    <n v="0.34782999999999997"/>
    <n v="0.34782999999999997"/>
    <n v="26.504645999999997"/>
    <n v="18"/>
    <x v="2"/>
    <n v="7.6200000000000004E-2"/>
  </r>
  <r>
    <s v="GUAYAQUIL"/>
    <x v="0"/>
    <x v="0"/>
    <x v="72"/>
    <s v="BY MINI GOMITAS 127G"/>
    <n v="720"/>
    <n v="1"/>
    <n v="0.127"/>
    <n v="45"/>
    <d v="2024-11-13T00:00:00"/>
    <s v="miércoles"/>
    <d v="2024-11-01T00:00:00"/>
    <x v="4"/>
    <n v="18"/>
    <n v="0.4"/>
    <n v="720"/>
    <n v="91.44"/>
    <n v="12"/>
    <n v="0.73333333333333339"/>
    <n v="0.34782999999999997"/>
    <n v="0.34782999999999997"/>
    <n v="31.805575199999996"/>
    <n v="14"/>
    <x v="2"/>
    <n v="9.1439999999999994E-2"/>
  </r>
  <r>
    <s v="GUAYAQUIL"/>
    <x v="0"/>
    <x v="0"/>
    <x v="72"/>
    <s v="BY MINI GOMITAS 127G"/>
    <n v="1200"/>
    <n v="1"/>
    <n v="0.127"/>
    <n v="45"/>
    <d v="2024-11-14T00:00:00"/>
    <s v="jueves"/>
    <d v="2024-11-14T00:00:00"/>
    <x v="7"/>
    <n v="31"/>
    <n v="0.68888888888888888"/>
    <n v="536"/>
    <n v="68.072000000000003"/>
    <n v="0"/>
    <n v="1"/>
    <n v="0.34782999999999997"/>
    <n v="0.34782999999999997"/>
    <n v="23.677483759999998"/>
    <n v="13"/>
    <x v="0"/>
    <n v="6.8072000000000008E-2"/>
  </r>
  <r>
    <s v="GUAYAQUIL"/>
    <x v="0"/>
    <x v="0"/>
    <x v="72"/>
    <s v="BY MINI GOMITAS 127G"/>
    <n v="1020"/>
    <n v="1"/>
    <n v="0.127"/>
    <n v="45"/>
    <d v="2024-11-21T00:00:00"/>
    <s v="jueves"/>
    <d v="2024-11-12T00:00:00"/>
    <x v="5"/>
    <n v="29"/>
    <n v="0.64444444444444449"/>
    <n v="656"/>
    <n v="83.311999999999998"/>
    <n v="9"/>
    <n v="0.8"/>
    <n v="0.34782999999999997"/>
    <n v="0.34782999999999997"/>
    <n v="28.978412959999996"/>
    <n v="6"/>
    <x v="0"/>
    <n v="8.3311999999999997E-2"/>
  </r>
  <r>
    <s v="GUAYAQUIL"/>
    <x v="0"/>
    <x v="0"/>
    <x v="73"/>
    <s v="DULCE DE LECHE KIOSKO DOYPACK 100G"/>
    <n v="224"/>
    <n v="1"/>
    <n v="0.1"/>
    <n v="180"/>
    <d v="2024-11-15T00:00:00"/>
    <s v="viernes"/>
    <d v="2024-11-08T00:00:00"/>
    <x v="60"/>
    <n v="160"/>
    <n v="0.88888888888888884"/>
    <n v="137"/>
    <n v="13.700000000000001"/>
    <n v="7"/>
    <n v="0.96111111111111114"/>
    <n v="0.28448000000000001"/>
    <n v="0.28448000000000001"/>
    <n v="3.8973760000000004"/>
    <n v="12"/>
    <x v="0"/>
    <n v="1.37E-2"/>
  </r>
  <r>
    <s v="GUAYAQUIL"/>
    <x v="0"/>
    <x v="0"/>
    <x v="73"/>
    <s v="DULCE DE LECHE KIOSKO DOYPACK 100G"/>
    <n v="224"/>
    <n v="1"/>
    <n v="0.1"/>
    <n v="180"/>
    <d v="2024-11-19T00:00:00"/>
    <s v="martes"/>
    <d v="2024-11-08T00:00:00"/>
    <x v="60"/>
    <n v="160"/>
    <n v="0.88888888888888884"/>
    <n v="224"/>
    <n v="22.400000000000002"/>
    <n v="11"/>
    <n v="0.93888888888888888"/>
    <n v="0.28448000000000001"/>
    <n v="0.28448000000000001"/>
    <n v="6.3723520000000011"/>
    <n v="8"/>
    <x v="0"/>
    <n v="2.2400000000000003E-2"/>
  </r>
  <r>
    <s v="GUAYAQUIL"/>
    <x v="0"/>
    <x v="0"/>
    <x v="73"/>
    <s v="DULCE DE LECHE KIOSKO DOYPACK 100G"/>
    <n v="112"/>
    <n v="1"/>
    <n v="0.1"/>
    <n v="180"/>
    <d v="2024-11-20T00:00:00"/>
    <s v="miércoles"/>
    <d v="2024-11-15T00:00:00"/>
    <x v="42"/>
    <n v="167"/>
    <n v="0.92777777777777781"/>
    <n v="112"/>
    <n v="11.200000000000001"/>
    <n v="5"/>
    <n v="0.97222222222222221"/>
    <n v="0.28448000000000001"/>
    <n v="0.28448000000000001"/>
    <n v="3.1861760000000006"/>
    <n v="7"/>
    <x v="0"/>
    <n v="1.1200000000000002E-2"/>
  </r>
  <r>
    <s v="GUAYAQUIL"/>
    <x v="0"/>
    <x v="0"/>
    <x v="74"/>
    <s v="Q MOZZARELLA DESLACTOSADO 500 GR"/>
    <n v="270"/>
    <n v="1"/>
    <n v="0.5"/>
    <n v="40"/>
    <d v="2024-11-19T00:00:00"/>
    <s v="martes"/>
    <d v="2024-11-15T00:00:00"/>
    <x v="44"/>
    <n v="27"/>
    <n v="0.67500000000000004"/>
    <n v="125"/>
    <n v="62.5"/>
    <n v="4"/>
    <n v="0.9"/>
    <n v="2.3460700000000001"/>
    <n v="2.3460700000000001"/>
    <n v="146.62937500000001"/>
    <n v="8"/>
    <x v="0"/>
    <n v="6.25E-2"/>
  </r>
  <r>
    <s v="GUAYAQUIL"/>
    <x v="0"/>
    <x v="0"/>
    <x v="75"/>
    <s v="Q MOZAR LGHT KIOSKO BLOQ 200G"/>
    <n v="1080"/>
    <n v="1"/>
    <n v="0.2"/>
    <n v="40"/>
    <d v="2024-11-12T00:00:00"/>
    <s v="martes"/>
    <d v="2024-11-05T00:00:00"/>
    <x v="10"/>
    <n v="17"/>
    <n v="0.42499999999999999"/>
    <n v="1"/>
    <n v="0.2"/>
    <n v="7"/>
    <n v="0.82499999999999996"/>
    <n v="1.11269"/>
    <n v="1.11269"/>
    <n v="0.22253800000000001"/>
    <n v="15"/>
    <x v="2"/>
    <n v="2.0000000000000001E-4"/>
  </r>
  <r>
    <s v="GUAYAQUIL"/>
    <x v="0"/>
    <x v="0"/>
    <x v="75"/>
    <s v="Q MOZAR LGHT KIOSKO BLOQ 200G"/>
    <n v="720"/>
    <n v="1"/>
    <n v="0.2"/>
    <n v="40"/>
    <d v="2024-11-15T00:00:00"/>
    <s v="viernes"/>
    <d v="2024-11-12T00:00:00"/>
    <x v="1"/>
    <n v="24"/>
    <n v="0.6"/>
    <n v="40"/>
    <n v="8"/>
    <n v="3"/>
    <n v="0.92500000000000004"/>
    <n v="1.11269"/>
    <n v="1.11269"/>
    <n v="8.9015199999999997"/>
    <n v="12"/>
    <x v="1"/>
    <n v="8.0000000000000002E-3"/>
  </r>
  <r>
    <s v="GUAYAQUIL"/>
    <x v="0"/>
    <x v="0"/>
    <x v="75"/>
    <s v="Q MOZAR LGHT KIOSKO BLOQ 200G"/>
    <n v="720"/>
    <n v="1"/>
    <n v="0.2"/>
    <n v="40"/>
    <d v="2024-11-19T00:00:00"/>
    <s v="martes"/>
    <d v="2024-11-13T00:00:00"/>
    <x v="9"/>
    <n v="25"/>
    <n v="0.625"/>
    <n v="720"/>
    <n v="144"/>
    <n v="6"/>
    <n v="0.85"/>
    <n v="1.11269"/>
    <n v="1.11269"/>
    <n v="160.22736"/>
    <n v="8"/>
    <x v="1"/>
    <n v="0.14399999999999999"/>
  </r>
  <r>
    <s v="GUAYAQUIL"/>
    <x v="0"/>
    <x v="0"/>
    <x v="75"/>
    <s v="Q MOZAR LGHT KIOSKO BLOQ 200G"/>
    <n v="360"/>
    <n v="1"/>
    <n v="0.2"/>
    <n v="40"/>
    <d v="2024-11-20T00:00:00"/>
    <s v="miércoles"/>
    <d v="2024-11-15T00:00:00"/>
    <x v="44"/>
    <n v="27"/>
    <n v="0.67500000000000004"/>
    <n v="360"/>
    <n v="72"/>
    <n v="5"/>
    <n v="0.875"/>
    <n v="1.11269"/>
    <n v="1.11269"/>
    <n v="80.113680000000002"/>
    <n v="7"/>
    <x v="0"/>
    <n v="7.1999999999999995E-2"/>
  </r>
  <r>
    <s v="GUAYAQUIL"/>
    <x v="0"/>
    <x v="0"/>
    <x v="75"/>
    <s v="Q MOZAR LGHT KIOSKO BLOQ 200G"/>
    <n v="360"/>
    <n v="1"/>
    <n v="0.2"/>
    <n v="40"/>
    <d v="2024-11-21T00:00:00"/>
    <s v="jueves"/>
    <d v="2024-11-15T00:00:00"/>
    <x v="44"/>
    <n v="27"/>
    <n v="0.67500000000000004"/>
    <n v="360"/>
    <n v="72"/>
    <n v="6"/>
    <n v="0.85"/>
    <n v="1.11269"/>
    <n v="1.11269"/>
    <n v="80.113680000000002"/>
    <n v="6"/>
    <x v="0"/>
    <n v="7.1999999999999995E-2"/>
  </r>
  <r>
    <s v="GUAYAQUIL"/>
    <x v="0"/>
    <x v="0"/>
    <x v="76"/>
    <s v="YOG BBLE KIOSKO GNBN 900G"/>
    <n v="195"/>
    <n v="1"/>
    <n v="0.9"/>
    <n v="45"/>
    <d v="2024-11-19T00:00:00"/>
    <s v="martes"/>
    <d v="2024-11-15T00:00:00"/>
    <x v="0"/>
    <n v="32"/>
    <n v="0.71111111111111114"/>
    <n v="85"/>
    <n v="76.5"/>
    <n v="4"/>
    <n v="0.91111111111111109"/>
    <n v="0.64812500000000006"/>
    <n v="0.64812500000000006"/>
    <n v="49.581562500000004"/>
    <n v="8"/>
    <x v="0"/>
    <n v="7.6499999999999999E-2"/>
  </r>
  <r>
    <s v="GUAYAQUIL"/>
    <x v="0"/>
    <x v="0"/>
    <x v="76"/>
    <s v="YOG BBLE KIOSKO GNBN 900G"/>
    <n v="300"/>
    <n v="1"/>
    <n v="0.9"/>
    <n v="45"/>
    <d v="2024-11-20T00:00:00"/>
    <s v="miércoles"/>
    <d v="2024-11-15T00:00:00"/>
    <x v="0"/>
    <n v="32"/>
    <n v="0.71111111111111114"/>
    <n v="300"/>
    <n v="270"/>
    <n v="5"/>
    <n v="0.88888888888888884"/>
    <n v="0.64812500000000006"/>
    <n v="0.64812500000000006"/>
    <n v="174.99375000000001"/>
    <n v="7"/>
    <x v="0"/>
    <n v="0.27"/>
  </r>
  <r>
    <s v="GUAYAQUIL"/>
    <x v="0"/>
    <x v="0"/>
    <x v="77"/>
    <s v="RGN BBLE DZNO BOT 1750G"/>
    <n v="36"/>
    <n v="1"/>
    <n v="1.75"/>
    <n v="45"/>
    <d v="2024-10-30T00:00:00"/>
    <s v="miércoles"/>
    <d v="2024-10-23T00:00:00"/>
    <x v="66"/>
    <n v="9"/>
    <n v="0.2"/>
    <n v="29"/>
    <n v="50.75"/>
    <n v="7"/>
    <n v="0.84444444444444444"/>
    <n v="2.3115999999999999"/>
    <n v="2.3115999999999999"/>
    <n v="117.3137"/>
    <n v="28"/>
    <x v="2"/>
    <n v="5.0750000000000003E-2"/>
  </r>
  <r>
    <s v="GUAYAQUIL"/>
    <x v="0"/>
    <x v="0"/>
    <x v="77"/>
    <s v="RGN BBLE DZNO BOT 1750G"/>
    <n v="12"/>
    <n v="1"/>
    <n v="1.75"/>
    <n v="45"/>
    <d v="2024-10-31T00:00:00"/>
    <s v="jueves"/>
    <d v="2024-10-23T00:00:00"/>
    <x v="66"/>
    <n v="9"/>
    <n v="0.2"/>
    <n v="12"/>
    <n v="21"/>
    <n v="8"/>
    <n v="0.82222222222222219"/>
    <n v="2.3115999999999999"/>
    <n v="2.3115999999999999"/>
    <n v="48.543599999999998"/>
    <n v="27"/>
    <x v="2"/>
    <n v="2.1000000000000001E-2"/>
  </r>
  <r>
    <s v="GUAYAQUIL"/>
    <x v="0"/>
    <x v="0"/>
    <x v="77"/>
    <s v="RGN BBLE DZNO BOT 1750G"/>
    <n v="12"/>
    <n v="1"/>
    <n v="1.75"/>
    <n v="45"/>
    <d v="2024-11-01T00:00:00"/>
    <s v="viernes"/>
    <d v="2024-10-23T00:00:00"/>
    <x v="66"/>
    <n v="9"/>
    <n v="0.2"/>
    <n v="12"/>
    <n v="21"/>
    <n v="9"/>
    <n v="0.8"/>
    <n v="2.3115999999999999"/>
    <n v="2.3115999999999999"/>
    <n v="48.543599999999998"/>
    <n v="26"/>
    <x v="2"/>
    <n v="2.1000000000000001E-2"/>
  </r>
  <r>
    <s v="GUAYAQUIL"/>
    <x v="0"/>
    <x v="0"/>
    <x v="77"/>
    <s v="RGN BBLE DZNO BOT 1750G"/>
    <n v="24"/>
    <n v="1"/>
    <n v="1.75"/>
    <n v="45"/>
    <d v="2024-11-16T00:00:00"/>
    <s v="sábado"/>
    <d v="2024-11-15T00:00:00"/>
    <x v="0"/>
    <n v="32"/>
    <n v="0.71111111111111114"/>
    <n v="14"/>
    <n v="24.5"/>
    <n v="1"/>
    <n v="0.97777777777777775"/>
    <n v="2.3115999999999999"/>
    <n v="2.3115999999999999"/>
    <n v="56.6342"/>
    <n v="11"/>
    <x v="0"/>
    <n v="2.4500000000000001E-2"/>
  </r>
  <r>
    <s v="GUAYAQUIL"/>
    <x v="0"/>
    <x v="0"/>
    <x v="77"/>
    <s v="RGN BBLE DZNO BOT 1750G"/>
    <n v="36"/>
    <n v="1"/>
    <n v="1.75"/>
    <n v="45"/>
    <d v="2024-11-20T00:00:00"/>
    <s v="miércoles"/>
    <d v="2024-11-15T00:00:00"/>
    <x v="0"/>
    <n v="32"/>
    <n v="0.71111111111111114"/>
    <n v="36"/>
    <n v="63"/>
    <n v="5"/>
    <n v="0.88888888888888884"/>
    <n v="2.3115999999999999"/>
    <n v="2.3115999999999999"/>
    <n v="145.63079999999999"/>
    <n v="7"/>
    <x v="0"/>
    <n v="6.3E-2"/>
  </r>
  <r>
    <s v="GUAYAQUIL"/>
    <x v="0"/>
    <x v="0"/>
    <x v="78"/>
    <s v="Q FRES CRIOL KIOSKO AL PESO"/>
    <n v="144"/>
    <n v="3"/>
    <n v="3"/>
    <n v="40"/>
    <d v="2024-11-14T00:00:00"/>
    <s v="jueves"/>
    <d v="2024-11-09T00:00:00"/>
    <x v="45"/>
    <n v="21"/>
    <n v="0.52500000000000002"/>
    <n v="63"/>
    <n v="567"/>
    <n v="5"/>
    <n v="0.875"/>
    <n v="4.8676950000000003"/>
    <n v="14.603085"/>
    <n v="8279.9491949999992"/>
    <n v="13"/>
    <x v="2"/>
    <n v="0.56699999999999995"/>
  </r>
  <r>
    <s v="GUAYAQUIL"/>
    <x v="0"/>
    <x v="0"/>
    <x v="78"/>
    <s v="Q FRES CRIOL KIOSKO AL PESO"/>
    <n v="156"/>
    <n v="3"/>
    <n v="3"/>
    <n v="40"/>
    <d v="2024-11-19T00:00:00"/>
    <s v="martes"/>
    <d v="2024-11-14T00:00:00"/>
    <x v="6"/>
    <n v="26"/>
    <n v="0.65"/>
    <n v="156"/>
    <n v="1404"/>
    <n v="5"/>
    <n v="0.875"/>
    <n v="4.8676950000000003"/>
    <n v="14.603085"/>
    <n v="20502.731339999998"/>
    <n v="8"/>
    <x v="1"/>
    <n v="1.4039999999999999"/>
  </r>
  <r>
    <s v="GUAYAQUIL"/>
    <x v="0"/>
    <x v="0"/>
    <x v="78"/>
    <s v="Q FRES CRIOL KIOSKO AL PESO"/>
    <n v="54"/>
    <n v="3"/>
    <n v="3"/>
    <n v="40"/>
    <d v="2024-11-19T00:00:00"/>
    <s v="martes"/>
    <d v="2024-11-19T00:00:00"/>
    <x v="7"/>
    <n v="31"/>
    <n v="0.77500000000000002"/>
    <n v="54"/>
    <n v="486"/>
    <n v="0"/>
    <n v="1"/>
    <n v="4.8676950000000003"/>
    <n v="14.603085"/>
    <n v="7097.0993099999996"/>
    <n v="8"/>
    <x v="0"/>
    <n v="0.48599999999999999"/>
  </r>
  <r>
    <s v="GUAYAQUIL"/>
    <x v="0"/>
    <x v="0"/>
    <x v="78"/>
    <s v="Q FRES CRIOL KIOSKO AL PESO"/>
    <n v="438"/>
    <n v="3"/>
    <n v="3"/>
    <n v="40"/>
    <d v="2024-11-21T00:00:00"/>
    <s v="jueves"/>
    <d v="2024-11-19T00:00:00"/>
    <x v="7"/>
    <n v="31"/>
    <n v="0.77500000000000002"/>
    <n v="438"/>
    <n v="3942"/>
    <n v="2"/>
    <n v="0.95"/>
    <n v="4.8676950000000003"/>
    <n v="14.603085"/>
    <n v="57565.361069999999"/>
    <n v="6"/>
    <x v="0"/>
    <n v="3.9420000000000002"/>
  </r>
  <r>
    <s v="GUAYAQUIL"/>
    <x v="0"/>
    <x v="0"/>
    <x v="79"/>
    <s v="KUMIS ORIG BOT 1000G ECU"/>
    <n v="54"/>
    <n v="1"/>
    <n v="1"/>
    <n v="45"/>
    <d v="2024-10-29T00:00:00"/>
    <s v="martes"/>
    <d v="2024-10-25T00:00:00"/>
    <x v="53"/>
    <n v="11"/>
    <n v="0.24444444444444444"/>
    <n v="35"/>
    <n v="35"/>
    <n v="4"/>
    <n v="0.91111111111111109"/>
    <n v="1.14123"/>
    <n v="1.14123"/>
    <n v="39.943049999999999"/>
    <n v="29"/>
    <x v="2"/>
    <n v="3.5000000000000003E-2"/>
  </r>
  <r>
    <s v="GUAYAQUIL"/>
    <x v="0"/>
    <x v="0"/>
    <x v="79"/>
    <s v="KUMIS ORIG BOT 1000G ECU"/>
    <n v="18"/>
    <n v="1"/>
    <n v="1"/>
    <n v="45"/>
    <d v="2024-10-30T00:00:00"/>
    <s v="miércoles"/>
    <d v="2024-10-25T00:00:00"/>
    <x v="53"/>
    <n v="11"/>
    <n v="0.24444444444444444"/>
    <n v="18"/>
    <n v="18"/>
    <n v="5"/>
    <n v="0.88888888888888884"/>
    <n v="1.14123"/>
    <n v="1.14123"/>
    <n v="20.54214"/>
    <n v="28"/>
    <x v="2"/>
    <n v="1.7999999999999999E-2"/>
  </r>
  <r>
    <s v="GUAYAQUIL"/>
    <x v="0"/>
    <x v="0"/>
    <x v="79"/>
    <s v="KUMIS ORIG BOT 1000G ECU"/>
    <n v="18"/>
    <n v="1"/>
    <n v="1"/>
    <n v="45"/>
    <d v="2024-10-31T00:00:00"/>
    <s v="jueves"/>
    <d v="2024-10-25T00:00:00"/>
    <x v="53"/>
    <n v="11"/>
    <n v="0.24444444444444444"/>
    <n v="18"/>
    <n v="18"/>
    <n v="6"/>
    <n v="0.8666666666666667"/>
    <n v="1.14123"/>
    <n v="1.14123"/>
    <n v="20.54214"/>
    <n v="27"/>
    <x v="2"/>
    <n v="1.7999999999999999E-2"/>
  </r>
  <r>
    <s v="GUAYAQUIL"/>
    <x v="0"/>
    <x v="0"/>
    <x v="79"/>
    <s v="KUMIS ORIG BOT 1000G ECU"/>
    <n v="18"/>
    <n v="1"/>
    <n v="1"/>
    <n v="45"/>
    <d v="2024-11-20T00:00:00"/>
    <s v="miércoles"/>
    <d v="2024-11-19T00:00:00"/>
    <x v="8"/>
    <n v="36"/>
    <n v="0.8"/>
    <n v="18"/>
    <n v="18"/>
    <n v="1"/>
    <n v="0.97777777777777775"/>
    <n v="1.14123"/>
    <n v="1.14123"/>
    <n v="20.54214"/>
    <n v="7"/>
    <x v="0"/>
    <n v="1.7999999999999999E-2"/>
  </r>
  <r>
    <s v="GUAYAQUIL"/>
    <x v="0"/>
    <x v="0"/>
    <x v="80"/>
    <s v="Q AMERIC KIOSKO 5 LONJ 75G"/>
    <n v="240"/>
    <n v="1"/>
    <n v="7.4999999999999997E-2"/>
    <n v="60"/>
    <d v="2024-11-15T00:00:00"/>
    <s v="viernes"/>
    <d v="2024-11-12T00:00:00"/>
    <x v="51"/>
    <n v="44"/>
    <n v="0.73333333333333328"/>
    <n v="192"/>
    <n v="14.399999999999999"/>
    <n v="3"/>
    <n v="0.95"/>
    <n v="0.62094000000000005"/>
    <n v="0.62094000000000005"/>
    <n v="8.9415359999999993"/>
    <n v="12"/>
    <x v="0"/>
    <n v="1.4399999999999998E-2"/>
  </r>
  <r>
    <s v="GUAYAQUIL"/>
    <x v="0"/>
    <x v="0"/>
    <x v="80"/>
    <s v="Q AMERIC KIOSKO 5 LONJ 75G"/>
    <n v="240"/>
    <n v="1"/>
    <n v="7.4999999999999997E-2"/>
    <n v="60"/>
    <d v="2024-11-21T00:00:00"/>
    <s v="jueves"/>
    <d v="2024-11-13T00:00:00"/>
    <x v="46"/>
    <n v="45"/>
    <n v="0.75"/>
    <n v="240"/>
    <n v="18"/>
    <n v="8"/>
    <n v="0.8666666666666667"/>
    <n v="0.62094000000000005"/>
    <n v="0.62094000000000005"/>
    <n v="11.176920000000001"/>
    <n v="6"/>
    <x v="0"/>
    <n v="1.7999999999999999E-2"/>
  </r>
  <r>
    <s v="GUAYAQUIL"/>
    <x v="0"/>
    <x v="0"/>
    <x v="81"/>
    <s v="Q MIX GOURMET KIOSKO CUBO BOL 350G"/>
    <n v="120"/>
    <n v="1"/>
    <n v="0.35"/>
    <n v="60"/>
    <d v="2024-11-15T00:00:00"/>
    <s v="viernes"/>
    <d v="2024-11-08T00:00:00"/>
    <x v="67"/>
    <n v="40"/>
    <n v="0.66666666666666663"/>
    <n v="120"/>
    <n v="42"/>
    <n v="7"/>
    <n v="0.8833333333333333"/>
    <n v="2.30749"/>
    <n v="2.30749"/>
    <n v="96.914580000000001"/>
    <n v="12"/>
    <x v="0"/>
    <n v="4.2000000000000003E-2"/>
  </r>
  <r>
    <s v="GUAYAQUIL"/>
    <x v="0"/>
    <x v="0"/>
    <x v="81"/>
    <s v="Q MIX GOURMET KIOSKO CUBO BOL 350G"/>
    <n v="60"/>
    <n v="1"/>
    <n v="0.35"/>
    <n v="60"/>
    <d v="2024-11-14T00:00:00"/>
    <s v="jueves"/>
    <d v="2024-11-08T00:00:00"/>
    <x v="67"/>
    <n v="40"/>
    <n v="0.66666666666666663"/>
    <n v="18"/>
    <n v="6.3"/>
    <n v="6"/>
    <n v="0.9"/>
    <n v="2.30749"/>
    <n v="2.30749"/>
    <n v="14.537186999999999"/>
    <n v="13"/>
    <x v="0"/>
    <n v="6.3E-3"/>
  </r>
  <r>
    <s v="GUAYAQUIL"/>
    <x v="0"/>
    <x v="0"/>
    <x v="81"/>
    <s v="Q MIX GOURMET KIOSKO CUBO BOL 350G"/>
    <n v="60"/>
    <n v="1"/>
    <n v="0.35"/>
    <n v="60"/>
    <d v="2024-11-19T00:00:00"/>
    <s v="martes"/>
    <d v="2024-11-14T00:00:00"/>
    <x v="47"/>
    <n v="46"/>
    <n v="0.76666666666666672"/>
    <n v="60"/>
    <n v="21"/>
    <n v="5"/>
    <n v="0.91666666666666663"/>
    <n v="2.30749"/>
    <n v="2.30749"/>
    <n v="48.45729"/>
    <n v="8"/>
    <x v="0"/>
    <n v="2.1000000000000001E-2"/>
  </r>
  <r>
    <s v="GUAYAQUIL"/>
    <x v="0"/>
    <x v="0"/>
    <x v="81"/>
    <s v="Q MIX GOURMET KIOSKO CUBO BOL 350G"/>
    <n v="60"/>
    <n v="1"/>
    <n v="0.35"/>
    <n v="60"/>
    <d v="2024-11-20T00:00:00"/>
    <s v="miércoles"/>
    <d v="2024-11-14T00:00:00"/>
    <x v="47"/>
    <n v="46"/>
    <n v="0.76666666666666672"/>
    <n v="60"/>
    <n v="21"/>
    <n v="6"/>
    <n v="0.9"/>
    <n v="2.30749"/>
    <n v="2.30749"/>
    <n v="48.45729"/>
    <n v="7"/>
    <x v="0"/>
    <n v="2.1000000000000001E-2"/>
  </r>
  <r>
    <s v="GUAYAQUIL"/>
    <x v="0"/>
    <x v="0"/>
    <x v="81"/>
    <s v="Q MIX GOURMET KIOSKO CUBO BOL 350G"/>
    <n v="60"/>
    <n v="1"/>
    <n v="0.35"/>
    <n v="60"/>
    <d v="2024-11-21T00:00:00"/>
    <s v="jueves"/>
    <d v="2024-11-15T00:00:00"/>
    <x v="52"/>
    <n v="47"/>
    <n v="0.78333333333333333"/>
    <n v="60"/>
    <n v="21"/>
    <n v="6"/>
    <n v="0.9"/>
    <n v="2.30749"/>
    <n v="2.30749"/>
    <n v="48.45729"/>
    <n v="6"/>
    <x v="0"/>
    <n v="2.1000000000000001E-2"/>
  </r>
  <r>
    <s v="GUAYAQUIL"/>
    <x v="0"/>
    <x v="0"/>
    <x v="81"/>
    <s v="Q MIX GOURMET KIOSKO CUBO BOL 350G"/>
    <n v="60"/>
    <n v="1"/>
    <n v="0.35"/>
    <n v="60"/>
    <d v="2024-11-21T00:00:00"/>
    <s v="jueves"/>
    <d v="2024-11-14T00:00:00"/>
    <x v="47"/>
    <n v="46"/>
    <n v="0.76666666666666672"/>
    <n v="60"/>
    <n v="21"/>
    <n v="7"/>
    <n v="0.8833333333333333"/>
    <n v="2.30749"/>
    <n v="2.30749"/>
    <n v="48.45729"/>
    <n v="6"/>
    <x v="0"/>
    <n v="2.1000000000000001E-2"/>
  </r>
  <r>
    <s v="GUAYAQUIL"/>
    <x v="0"/>
    <x v="0"/>
    <x v="82"/>
    <s v="YOG BBLE KIOSKO NATURAL FUN 900G"/>
    <n v="675"/>
    <n v="1"/>
    <n v="0.9"/>
    <n v="45"/>
    <d v="2024-11-08T00:00:00"/>
    <s v="viernes"/>
    <d v="2024-11-01T00:00:00"/>
    <x v="4"/>
    <n v="18"/>
    <n v="0.4"/>
    <n v="2"/>
    <n v="1.8"/>
    <n v="7"/>
    <n v="0.84444444444444444"/>
    <n v="0.73647499999999999"/>
    <n v="0.73647499999999999"/>
    <n v="1.325655"/>
    <n v="19"/>
    <x v="2"/>
    <n v="1.8E-3"/>
  </r>
  <r>
    <s v="GUAYAQUIL"/>
    <x v="0"/>
    <x v="0"/>
    <x v="82"/>
    <s v="YOG BBLE KIOSKO NATURAL FUN 900G"/>
    <n v="900"/>
    <n v="1"/>
    <n v="0.9"/>
    <n v="45"/>
    <d v="2024-11-16T00:00:00"/>
    <s v="sábado"/>
    <d v="2024-11-12T00:00:00"/>
    <x v="5"/>
    <n v="29"/>
    <n v="0.64444444444444449"/>
    <n v="900"/>
    <n v="810"/>
    <n v="4"/>
    <n v="0.91111111111111109"/>
    <n v="0.73647499999999999"/>
    <n v="0.73647499999999999"/>
    <n v="596.54475000000002"/>
    <n v="11"/>
    <x v="0"/>
    <n v="0.81"/>
  </r>
  <r>
    <s v="GUAYAQUIL"/>
    <x v="0"/>
    <x v="0"/>
    <x v="82"/>
    <s v="YOG BBLE KIOSKO NATURAL FUN 900G"/>
    <n v="675"/>
    <n v="1"/>
    <n v="0.9"/>
    <n v="45"/>
    <d v="2024-11-15T00:00:00"/>
    <s v="viernes"/>
    <d v="2024-11-12T00:00:00"/>
    <x v="5"/>
    <n v="29"/>
    <n v="0.64444444444444449"/>
    <n v="115"/>
    <n v="103.5"/>
    <n v="3"/>
    <n v="0.93333333333333335"/>
    <n v="0.73647499999999999"/>
    <n v="0.73647499999999999"/>
    <n v="76.225162499999996"/>
    <n v="12"/>
    <x v="0"/>
    <n v="0.10349999999999999"/>
  </r>
  <r>
    <s v="GUAYAQUIL"/>
    <x v="0"/>
    <x v="0"/>
    <x v="82"/>
    <s v="YOG BBLE KIOSKO NATURAL FUN 900G"/>
    <n v="900"/>
    <n v="1"/>
    <n v="0.9"/>
    <n v="45"/>
    <d v="2024-11-19T00:00:00"/>
    <s v="martes"/>
    <d v="2024-11-14T00:00:00"/>
    <x v="7"/>
    <n v="31"/>
    <n v="0.68888888888888888"/>
    <n v="900"/>
    <n v="810"/>
    <n v="5"/>
    <n v="0.88888888888888884"/>
    <n v="0.73647499999999999"/>
    <n v="0.73647499999999999"/>
    <n v="596.54475000000002"/>
    <n v="8"/>
    <x v="0"/>
    <n v="0.81"/>
  </r>
  <r>
    <s v="GUAYAQUIL"/>
    <x v="0"/>
    <x v="0"/>
    <x v="83"/>
    <s v="MANTEQUILLA CON SAL KIOSKO 250G"/>
    <n v="192"/>
    <n v="1"/>
    <n v="0.25"/>
    <n v="40"/>
    <d v="2024-11-15T00:00:00"/>
    <s v="viernes"/>
    <d v="2024-11-13T00:00:00"/>
    <x v="9"/>
    <n v="25"/>
    <n v="0.625"/>
    <n v="83"/>
    <n v="20.75"/>
    <n v="2"/>
    <n v="0.95"/>
    <n v="1.0747450000000001"/>
    <n v="1.0747450000000001"/>
    <n v="22.300958749999999"/>
    <n v="12"/>
    <x v="1"/>
    <n v="2.0750000000000001E-2"/>
  </r>
  <r>
    <s v="GUAYAQUIL"/>
    <x v="0"/>
    <x v="0"/>
    <x v="83"/>
    <s v="MANTEQUILLA CON SAL KIOSKO 250G"/>
    <n v="96"/>
    <n v="1"/>
    <n v="0.25"/>
    <n v="40"/>
    <d v="2024-11-20T00:00:00"/>
    <s v="miércoles"/>
    <d v="2024-11-14T00:00:00"/>
    <x v="6"/>
    <n v="26"/>
    <n v="0.65"/>
    <n v="96"/>
    <n v="24"/>
    <n v="6"/>
    <n v="0.85"/>
    <n v="1.0747450000000001"/>
    <n v="1.0747450000000001"/>
    <n v="25.793880000000001"/>
    <n v="7"/>
    <x v="1"/>
    <n v="2.4E-2"/>
  </r>
  <r>
    <s v="GUAYAQUIL"/>
    <x v="0"/>
    <x v="0"/>
    <x v="83"/>
    <s v="MANTEQUILLA CON SAL KIOSKO 250G"/>
    <n v="96"/>
    <n v="1"/>
    <n v="0.25"/>
    <n v="40"/>
    <d v="2024-11-21T00:00:00"/>
    <s v="jueves"/>
    <d v="2024-11-19T00:00:00"/>
    <x v="7"/>
    <n v="31"/>
    <n v="0.77500000000000002"/>
    <n v="96"/>
    <n v="24"/>
    <n v="2"/>
    <n v="0.95"/>
    <n v="1.0747450000000001"/>
    <n v="1.0747450000000001"/>
    <n v="25.793880000000001"/>
    <n v="6"/>
    <x v="0"/>
    <n v="2.4E-2"/>
  </r>
  <r>
    <s v="GUAYAQUIL"/>
    <x v="0"/>
    <x v="0"/>
    <x v="84"/>
    <s v="GRIEG KIOSKO MOR Y ARAND 120"/>
    <n v="480"/>
    <n v="1"/>
    <n v="0.12"/>
    <n v="45"/>
    <d v="2024-11-16T00:00:00"/>
    <s v="sábado"/>
    <d v="2024-11-15T00:00:00"/>
    <x v="0"/>
    <n v="32"/>
    <n v="0.71111111111111114"/>
    <n v="38"/>
    <n v="4.5599999999999996"/>
    <n v="1"/>
    <n v="0.97777777777777775"/>
    <n v="0.40076499999999998"/>
    <n v="0.40076499999999998"/>
    <n v="1.8274883999999998"/>
    <n v="11"/>
    <x v="0"/>
    <n v="4.5599999999999998E-3"/>
  </r>
  <r>
    <s v="GUAYAQUIL"/>
    <x v="0"/>
    <x v="0"/>
    <x v="85"/>
    <s v="MPLX6 AVENA ORIG VASO 250G"/>
    <n v="128"/>
    <n v="1"/>
    <n v="1.5"/>
    <n v="180"/>
    <d v="2024-09-14T00:00:00"/>
    <s v="sábado"/>
    <d v="2024-08-02T00:00:00"/>
    <x v="48"/>
    <n v="62"/>
    <n v="0.34444444444444444"/>
    <n v="1"/>
    <n v="1.5"/>
    <n v="43"/>
    <n v="0.76111111111111107"/>
    <n v="2.4714"/>
    <n v="2.4714"/>
    <n v="3.7071000000000001"/>
    <n v="74"/>
    <x v="0"/>
    <n v="1.5E-3"/>
  </r>
  <r>
    <s v="GUAYAQUIL"/>
    <x v="0"/>
    <x v="0"/>
    <x v="85"/>
    <s v="MPLX6 AVENA ORIG VASO 250G"/>
    <n v="120"/>
    <n v="1"/>
    <n v="1.5"/>
    <n v="180"/>
    <d v="2024-11-12T00:00:00"/>
    <s v="martes"/>
    <d v="2024-10-18T00:00:00"/>
    <x v="27"/>
    <n v="139"/>
    <n v="0.77222222222222225"/>
    <n v="120"/>
    <n v="180"/>
    <n v="25"/>
    <n v="0.86111111111111116"/>
    <n v="2.4714"/>
    <n v="2.4714"/>
    <n v="444.85200000000003"/>
    <n v="15"/>
    <x v="0"/>
    <n v="0.18"/>
  </r>
  <r>
    <s v="GUAYAQUIL"/>
    <x v="0"/>
    <x v="0"/>
    <x v="85"/>
    <s v="MPLX6 AVENA ORIG VASO 250G"/>
    <n v="40"/>
    <n v="1"/>
    <n v="1.5"/>
    <n v="180"/>
    <d v="2024-11-13T00:00:00"/>
    <s v="miércoles"/>
    <d v="2024-10-18T00:00:00"/>
    <x v="27"/>
    <n v="139"/>
    <n v="0.77222222222222225"/>
    <n v="40"/>
    <n v="60"/>
    <n v="26"/>
    <n v="0.85555555555555562"/>
    <n v="2.4714"/>
    <n v="2.4714"/>
    <n v="148.28399999999999"/>
    <n v="14"/>
    <x v="0"/>
    <n v="0.06"/>
  </r>
  <r>
    <s v="GUAYAQUIL"/>
    <x v="0"/>
    <x v="0"/>
    <x v="85"/>
    <s v="MPLX6 AVENA ORIG VASO 250G"/>
    <n v="96"/>
    <n v="1"/>
    <n v="1.5"/>
    <n v="180"/>
    <d v="2024-11-14T00:00:00"/>
    <s v="jueves"/>
    <d v="2024-10-18T00:00:00"/>
    <x v="27"/>
    <n v="139"/>
    <n v="0.77222222222222225"/>
    <n v="96"/>
    <n v="144"/>
    <n v="27"/>
    <n v="0.85"/>
    <n v="2.4714"/>
    <n v="2.4714"/>
    <n v="355.88159999999999"/>
    <n v="13"/>
    <x v="0"/>
    <n v="0.14399999999999999"/>
  </r>
  <r>
    <s v="GUAYAQUIL"/>
    <x v="0"/>
    <x v="0"/>
    <x v="85"/>
    <s v="MPLX6 AVENA ORIG VASO 250G"/>
    <n v="120"/>
    <n v="1"/>
    <n v="1.5"/>
    <n v="180"/>
    <d v="2024-11-20T00:00:00"/>
    <s v="miércoles"/>
    <d v="2024-10-31T00:00:00"/>
    <x v="32"/>
    <n v="152"/>
    <n v="0.84444444444444444"/>
    <n v="32"/>
    <n v="48"/>
    <n v="20"/>
    <n v="0.88888888888888884"/>
    <n v="2.4714"/>
    <n v="2.4714"/>
    <n v="118.6272"/>
    <n v="7"/>
    <x v="0"/>
    <n v="4.8000000000000001E-2"/>
  </r>
  <r>
    <s v="GUAYAQUIL"/>
    <x v="0"/>
    <x v="0"/>
    <x v="85"/>
    <s v="MPLX6 AVENA ORIG VASO 250G"/>
    <n v="88"/>
    <n v="1"/>
    <n v="1.5"/>
    <n v="180"/>
    <d v="2024-11-21T00:00:00"/>
    <s v="jueves"/>
    <d v="2024-10-31T00:00:00"/>
    <x v="32"/>
    <n v="152"/>
    <n v="0.84444444444444444"/>
    <n v="88"/>
    <n v="132"/>
    <n v="21"/>
    <n v="0.8833333333333333"/>
    <n v="2.4714"/>
    <n v="2.4714"/>
    <n v="326.22480000000002"/>
    <n v="6"/>
    <x v="0"/>
    <n v="0.13200000000000001"/>
  </r>
  <r>
    <s v="GUAYAQUIL"/>
    <x v="0"/>
    <x v="0"/>
    <x v="86"/>
    <s v="YOG FNSSE FRTROJ BOT 1670G"/>
    <n v="36"/>
    <n v="1"/>
    <n v="1.67"/>
    <n v="45"/>
    <d v="2024-11-16T00:00:00"/>
    <s v="sábado"/>
    <d v="2024-11-13T00:00:00"/>
    <x v="2"/>
    <n v="30"/>
    <n v="0.66666666666666663"/>
    <n v="0"/>
    <n v="0"/>
    <n v="3"/>
    <n v="0.93333333333333335"/>
    <n v="2.3031100000000002"/>
    <n v="2.3031100000000002"/>
    <n v="0"/>
    <n v="11"/>
    <x v="0"/>
    <n v="0"/>
  </r>
  <r>
    <s v="GUAYAQUIL"/>
    <x v="0"/>
    <x v="0"/>
    <x v="86"/>
    <s v="YOG FNSSE FRTROJ BOT 1670G"/>
    <n v="48"/>
    <n v="1"/>
    <n v="1.67"/>
    <n v="45"/>
    <d v="2024-11-20T00:00:00"/>
    <s v="miércoles"/>
    <d v="2024-11-13T00:00:00"/>
    <x v="2"/>
    <n v="30"/>
    <n v="0.66666666666666663"/>
    <n v="48"/>
    <n v="80.16"/>
    <n v="7"/>
    <n v="0.84444444444444444"/>
    <n v="2.3031100000000002"/>
    <n v="2.3031100000000002"/>
    <n v="184.6172976"/>
    <n v="7"/>
    <x v="0"/>
    <n v="8.0159999999999995E-2"/>
  </r>
  <r>
    <s v="GUAYAQUIL"/>
    <x v="0"/>
    <x v="0"/>
    <x v="86"/>
    <s v="YOG FNSSE FRTROJ BOT 1670G"/>
    <n v="12"/>
    <n v="1"/>
    <n v="1.67"/>
    <n v="45"/>
    <d v="2024-11-21T00:00:00"/>
    <s v="jueves"/>
    <d v="2024-11-13T00:00:00"/>
    <x v="2"/>
    <n v="30"/>
    <n v="0.66666666666666663"/>
    <n v="12"/>
    <n v="20.04"/>
    <n v="8"/>
    <n v="0.82222222222222219"/>
    <n v="2.3031100000000002"/>
    <n v="2.3031100000000002"/>
    <n v="46.1543244"/>
    <n v="6"/>
    <x v="0"/>
    <n v="2.0039999999999999E-2"/>
  </r>
  <r>
    <s v="GUAYAQUIL"/>
    <x v="0"/>
    <x v="0"/>
    <x v="87"/>
    <s v="MPLX6 RGN BBLE MULTSAB BOT 180G"/>
    <n v="48"/>
    <n v="1"/>
    <n v="1.08"/>
    <n v="45"/>
    <d v="2024-11-16T00:00:00"/>
    <s v="sábado"/>
    <d v="2024-11-13T00:00:00"/>
    <x v="2"/>
    <n v="30"/>
    <n v="0.66666666666666663"/>
    <n v="48"/>
    <n v="51.84"/>
    <n v="3"/>
    <n v="0.93333333333333335"/>
    <n v="1.89862"/>
    <n v="1.89862"/>
    <n v="98.424460800000006"/>
    <n v="11"/>
    <x v="0"/>
    <n v="5.1840000000000004E-2"/>
  </r>
  <r>
    <s v="GUAYAQUIL"/>
    <x v="0"/>
    <x v="0"/>
    <x v="87"/>
    <s v="MPLX6 RGN BBLE MULTSAB BOT 180G"/>
    <n v="24"/>
    <n v="1"/>
    <n v="1.08"/>
    <n v="45"/>
    <d v="2024-11-15T00:00:00"/>
    <s v="viernes"/>
    <d v="2024-11-13T00:00:00"/>
    <x v="2"/>
    <n v="30"/>
    <n v="0.66666666666666663"/>
    <n v="24"/>
    <n v="25.92"/>
    <n v="2"/>
    <n v="0.9555555555555556"/>
    <n v="1.89862"/>
    <n v="1.89862"/>
    <n v="49.212230400000003"/>
    <n v="12"/>
    <x v="0"/>
    <n v="2.5920000000000002E-2"/>
  </r>
  <r>
    <s v="GUAYAQUIL"/>
    <x v="0"/>
    <x v="0"/>
    <x v="87"/>
    <s v="MPLX6 RGN BBLE MULTSAB BOT 180G"/>
    <n v="72"/>
    <n v="1"/>
    <n v="1.08"/>
    <n v="45"/>
    <d v="2024-11-14T00:00:00"/>
    <s v="jueves"/>
    <d v="2024-11-13T00:00:00"/>
    <x v="2"/>
    <n v="30"/>
    <n v="0.66666666666666663"/>
    <n v="38"/>
    <n v="41.040000000000006"/>
    <n v="1"/>
    <n v="0.97777777777777775"/>
    <n v="1.89862"/>
    <n v="1.89862"/>
    <n v="77.919364800000011"/>
    <n v="13"/>
    <x v="0"/>
    <n v="4.1040000000000007E-2"/>
  </r>
  <r>
    <s v="GUAYAQUIL"/>
    <x v="0"/>
    <x v="0"/>
    <x v="87"/>
    <s v="MPLX6 RGN BBLE MULTSAB BOT 180G"/>
    <n v="84"/>
    <n v="1"/>
    <n v="1.08"/>
    <n v="45"/>
    <d v="2024-11-20T00:00:00"/>
    <s v="miércoles"/>
    <d v="2024-11-14T00:00:00"/>
    <x v="7"/>
    <n v="31"/>
    <n v="0.68888888888888888"/>
    <n v="84"/>
    <n v="90.72"/>
    <n v="6"/>
    <n v="0.8666666666666667"/>
    <n v="1.89862"/>
    <n v="1.89862"/>
    <n v="172.24280640000001"/>
    <n v="7"/>
    <x v="0"/>
    <n v="9.0719999999999995E-2"/>
  </r>
  <r>
    <s v="GUAYAQUIL"/>
    <x v="0"/>
    <x v="0"/>
    <x v="88"/>
    <s v="GRIEG KIOSKO NATURAL 400"/>
    <n v="48"/>
    <n v="1"/>
    <n v="0.4"/>
    <n v="45"/>
    <d v="2024-11-16T00:00:00"/>
    <s v="sábado"/>
    <d v="2024-11-15T00:00:00"/>
    <x v="0"/>
    <n v="32"/>
    <n v="0.71111111111111114"/>
    <n v="37"/>
    <n v="14.8"/>
    <n v="1"/>
    <n v="0.97777777777777775"/>
    <n v="0.79842499999999994"/>
    <n v="0.79842499999999994"/>
    <n v="11.816689999999999"/>
    <n v="11"/>
    <x v="0"/>
    <n v="1.4800000000000001E-2"/>
  </r>
  <r>
    <s v="GUAYAQUIL"/>
    <x v="0"/>
    <x v="0"/>
    <x v="89"/>
    <s v="YOG FINESSE NATURAL 1650G"/>
    <n v="36"/>
    <n v="1"/>
    <n v="1.65"/>
    <n v="45"/>
    <d v="2024-11-06T00:00:00"/>
    <s v="miércoles"/>
    <d v="2024-10-30T00:00:00"/>
    <x v="41"/>
    <n v="16"/>
    <n v="0.35555555555555557"/>
    <n v="39"/>
    <n v="64.349999999999994"/>
    <n v="7"/>
    <n v="0.84444444444444444"/>
    <n v="1.9335450000000001"/>
    <n v="1.9335450000000001"/>
    <n v="124.42362075"/>
    <n v="21"/>
    <x v="2"/>
    <n v="6.4349999999999991E-2"/>
  </r>
  <r>
    <s v="GUAYAQUIL"/>
    <x v="0"/>
    <x v="0"/>
    <x v="89"/>
    <s v="YOG FINESSE NATURAL 1650G"/>
    <n v="12"/>
    <n v="1"/>
    <n v="1.65"/>
    <n v="45"/>
    <d v="2024-11-08T00:00:00"/>
    <s v="viernes"/>
    <d v="2024-10-30T00:00:00"/>
    <x v="41"/>
    <n v="16"/>
    <n v="0.35555555555555557"/>
    <n v="12"/>
    <n v="19.799999999999997"/>
    <n v="9"/>
    <n v="0.8"/>
    <n v="1.9335450000000001"/>
    <n v="1.9335450000000001"/>
    <n v="38.284190999999993"/>
    <n v="19"/>
    <x v="2"/>
    <n v="1.9799999999999998E-2"/>
  </r>
  <r>
    <s v="GUAYAQUIL"/>
    <x v="0"/>
    <x v="0"/>
    <x v="90"/>
    <s v="MPLX4 RGN LGHT FTLLA BOT 180G"/>
    <n v="24"/>
    <n v="1"/>
    <n v="0.72"/>
    <n v="45"/>
    <d v="2024-11-01T00:00:00"/>
    <s v="viernes"/>
    <d v="2024-10-25T00:00:00"/>
    <x v="53"/>
    <n v="11"/>
    <n v="0.24444444444444444"/>
    <n v="12"/>
    <n v="8.64"/>
    <n v="7"/>
    <n v="0.84444444444444444"/>
    <n v="1.235225"/>
    <n v="1.235225"/>
    <n v="10.672344000000001"/>
    <n v="26"/>
    <x v="2"/>
    <n v="8.6400000000000001E-3"/>
  </r>
  <r>
    <s v="GUAYAQUIL"/>
    <x v="0"/>
    <x v="0"/>
    <x v="91"/>
    <s v="YOG BBLE KIOSKO NRJLA BOT 950G"/>
    <n v="18"/>
    <n v="1"/>
    <n v="0.95"/>
    <n v="45"/>
    <d v="2024-11-01T00:00:00"/>
    <s v="viernes"/>
    <d v="2024-10-25T00:00:00"/>
    <x v="53"/>
    <n v="11"/>
    <n v="0.24444444444444444"/>
    <n v="10"/>
    <n v="9.5"/>
    <n v="7"/>
    <n v="0.84444444444444444"/>
    <n v="1.09108"/>
    <n v="1.09108"/>
    <n v="10.365260000000001"/>
    <n v="26"/>
    <x v="2"/>
    <n v="9.4999999999999998E-3"/>
  </r>
  <r>
    <s v="GUAYAQUIL"/>
    <x v="0"/>
    <x v="0"/>
    <x v="91"/>
    <s v="YOG BBLE KIOSKO NRJLA BOT 950G"/>
    <n v="18"/>
    <n v="1"/>
    <n v="0.95"/>
    <n v="45"/>
    <d v="2024-11-20T00:00:00"/>
    <s v="miércoles"/>
    <d v="2024-11-15T00:00:00"/>
    <x v="0"/>
    <n v="32"/>
    <n v="0.71111111111111114"/>
    <n v="16"/>
    <n v="15.2"/>
    <n v="5"/>
    <n v="0.88888888888888884"/>
    <n v="1.09108"/>
    <n v="1.09108"/>
    <n v="16.584416000000001"/>
    <n v="7"/>
    <x v="0"/>
    <n v="1.52E-2"/>
  </r>
  <r>
    <s v="GUAYAQUIL"/>
    <x v="0"/>
    <x v="0"/>
    <x v="92"/>
    <s v="Q RICOTTA KIOSKO BLOQ 450G"/>
    <n v="180"/>
    <n v="1"/>
    <n v="0.45"/>
    <n v="35"/>
    <d v="2024-11-19T00:00:00"/>
    <s v="martes"/>
    <d v="2024-11-16T00:00:00"/>
    <x v="11"/>
    <n v="23"/>
    <n v="0.65714285714285714"/>
    <n v="3"/>
    <n v="1.35"/>
    <n v="3"/>
    <n v="0.91428571428571426"/>
    <n v="1.1964000000000001"/>
    <n v="1.1964000000000001"/>
    <n v="1.6151400000000002"/>
    <n v="8"/>
    <x v="1"/>
    <n v="1.3500000000000001E-3"/>
  </r>
  <r>
    <s v="GUAYAQUIL"/>
    <x v="0"/>
    <x v="0"/>
    <x v="92"/>
    <s v="Q RICOTTA KIOSKO BLOQ 450G"/>
    <n v="135"/>
    <n v="1"/>
    <n v="0.45"/>
    <n v="35"/>
    <d v="2024-11-20T00:00:00"/>
    <s v="miércoles"/>
    <d v="2024-11-16T00:00:00"/>
    <x v="11"/>
    <n v="23"/>
    <n v="0.65714285714285714"/>
    <n v="135"/>
    <n v="60.75"/>
    <n v="4"/>
    <n v="0.88571428571428568"/>
    <n v="1.1964000000000001"/>
    <n v="1.1964000000000001"/>
    <n v="72.681300000000007"/>
    <n v="7"/>
    <x v="1"/>
    <n v="6.0749999999999998E-2"/>
  </r>
  <r>
    <s v="GUAYAQUIL"/>
    <x v="0"/>
    <x v="0"/>
    <x v="92"/>
    <s v="Q RICOTTA KIOSKO BLOQ 450G"/>
    <n v="180"/>
    <n v="1"/>
    <n v="0.45"/>
    <n v="35"/>
    <d v="2024-11-21T00:00:00"/>
    <s v="jueves"/>
    <d v="2024-11-16T00:00:00"/>
    <x v="11"/>
    <n v="23"/>
    <n v="0.65714285714285714"/>
    <n v="180"/>
    <n v="81"/>
    <n v="5"/>
    <n v="0.85714285714285721"/>
    <n v="1.1964000000000001"/>
    <n v="1.1964000000000001"/>
    <n v="96.908400000000015"/>
    <n v="6"/>
    <x v="1"/>
    <n v="8.1000000000000003E-2"/>
  </r>
  <r>
    <s v="GUAYAQUIL"/>
    <x v="0"/>
    <x v="0"/>
    <x v="93"/>
    <s v="Q MOZAR KIOSKO BLOQ 700G"/>
    <n v="756"/>
    <n v="1"/>
    <n v="0.7"/>
    <n v="40"/>
    <d v="2024-11-15T00:00:00"/>
    <s v="viernes"/>
    <d v="2024-11-13T00:00:00"/>
    <x v="9"/>
    <n v="25"/>
    <n v="0.625"/>
    <n v="109"/>
    <n v="76.3"/>
    <n v="2"/>
    <n v="0.95"/>
    <n v="3.26932"/>
    <n v="3.26932"/>
    <n v="249.449116"/>
    <n v="12"/>
    <x v="1"/>
    <n v="7.6299999999999993E-2"/>
  </r>
  <r>
    <s v="GUAYAQUIL"/>
    <x v="0"/>
    <x v="0"/>
    <x v="93"/>
    <s v="Q MOZAR KIOSKO BLOQ 700G"/>
    <n v="540"/>
    <n v="1"/>
    <n v="0.7"/>
    <n v="40"/>
    <d v="2024-11-19T00:00:00"/>
    <s v="martes"/>
    <d v="2024-11-14T00:00:00"/>
    <x v="6"/>
    <n v="26"/>
    <n v="0.65"/>
    <n v="540"/>
    <n v="378"/>
    <n v="5"/>
    <n v="0.875"/>
    <n v="3.26932"/>
    <n v="3.26932"/>
    <n v="1235.80296"/>
    <n v="8"/>
    <x v="1"/>
    <n v="0.378"/>
  </r>
  <r>
    <s v="GUAYAQUIL"/>
    <x v="0"/>
    <x v="0"/>
    <x v="93"/>
    <s v="Q MOZAR KIOSKO BLOQ 700G"/>
    <n v="162"/>
    <n v="1"/>
    <n v="0.7"/>
    <n v="40"/>
    <d v="2024-11-20T00:00:00"/>
    <s v="miércoles"/>
    <d v="2024-11-16T00:00:00"/>
    <x v="43"/>
    <n v="28"/>
    <n v="0.7"/>
    <n v="162"/>
    <n v="113.39999999999999"/>
    <n v="4"/>
    <n v="0.9"/>
    <n v="3.26932"/>
    <n v="3.26932"/>
    <n v="370.74088799999998"/>
    <n v="7"/>
    <x v="0"/>
    <n v="0.11339999999999999"/>
  </r>
  <r>
    <s v="GUAYAQUIL"/>
    <x v="0"/>
    <x v="0"/>
    <x v="93"/>
    <s v="Q MOZAR KIOSKO BLOQ 700G"/>
    <n v="108"/>
    <n v="1"/>
    <n v="0.7"/>
    <n v="40"/>
    <d v="2024-11-20T00:00:00"/>
    <s v="miércoles"/>
    <d v="2024-11-14T00:00:00"/>
    <x v="6"/>
    <n v="26"/>
    <n v="0.65"/>
    <n v="108"/>
    <n v="75.599999999999994"/>
    <n v="6"/>
    <n v="0.85"/>
    <n v="3.26932"/>
    <n v="3.26932"/>
    <n v="247.16059199999998"/>
    <n v="7"/>
    <x v="1"/>
    <n v="7.5600000000000001E-2"/>
  </r>
  <r>
    <s v="GUAYAQUIL"/>
    <x v="0"/>
    <x v="0"/>
    <x v="93"/>
    <s v="Q MOZAR KIOSKO BLOQ 700G"/>
    <n v="378"/>
    <n v="1"/>
    <n v="0.7"/>
    <n v="40"/>
    <d v="2024-11-21T00:00:00"/>
    <s v="jueves"/>
    <d v="2024-11-16T00:00:00"/>
    <x v="43"/>
    <n v="28"/>
    <n v="0.7"/>
    <n v="378"/>
    <n v="264.59999999999997"/>
    <n v="5"/>
    <n v="0.875"/>
    <n v="3.26932"/>
    <n v="3.26932"/>
    <n v="865.06207199999994"/>
    <n v="6"/>
    <x v="0"/>
    <n v="0.26459999999999995"/>
  </r>
  <r>
    <s v="GUAYAQUIL"/>
    <x v="0"/>
    <x v="0"/>
    <x v="94"/>
    <s v="AREQUIPE Y PRETZEL STICKS 75 GRAMOS"/>
    <n v="132"/>
    <n v="1"/>
    <n v="7.4999999999999997E-2"/>
    <n v="180"/>
    <d v="2024-11-13T00:00:00"/>
    <s v="miércoles"/>
    <d v="2024-10-02T00:00:00"/>
    <x v="71"/>
    <n v="123"/>
    <n v="0.68333333333333335"/>
    <n v="113"/>
    <n v="8.4749999999999996"/>
    <n v="42"/>
    <n v="0.76666666666666661"/>
    <n v="0.61960000000000004"/>
    <n v="0.61960000000000004"/>
    <n v="5.2511099999999997"/>
    <n v="14"/>
    <x v="0"/>
    <n v="8.4749999999999999E-3"/>
  </r>
  <r>
    <s v="GUAYAQUIL"/>
    <x v="0"/>
    <x v="0"/>
    <x v="94"/>
    <s v="AREQUIPE Y PRETZEL STICKS 75 GRAMOS"/>
    <n v="108"/>
    <n v="1"/>
    <n v="7.4999999999999997E-2"/>
    <n v="180"/>
    <d v="2024-11-16T00:00:00"/>
    <s v="sábado"/>
    <d v="2024-10-23T00:00:00"/>
    <x v="64"/>
    <n v="144"/>
    <n v="0.8"/>
    <n v="108"/>
    <n v="8.1"/>
    <n v="24"/>
    <n v="0.8666666666666667"/>
    <n v="0.61960000000000004"/>
    <n v="0.61960000000000004"/>
    <n v="5.0187600000000003"/>
    <n v="11"/>
    <x v="0"/>
    <n v="8.0999999999999996E-3"/>
  </r>
  <r>
    <s v="GUAYAQUIL"/>
    <x v="0"/>
    <x v="0"/>
    <x v="94"/>
    <s v="AREQUIPE Y PRETZEL STICKS 75 GRAMOS"/>
    <n v="132"/>
    <n v="1"/>
    <n v="7.4999999999999997E-2"/>
    <n v="180"/>
    <d v="2024-11-15T00:00:00"/>
    <s v="viernes"/>
    <d v="2024-10-23T00:00:00"/>
    <x v="64"/>
    <n v="144"/>
    <n v="0.8"/>
    <n v="132"/>
    <n v="9.9"/>
    <n v="23"/>
    <n v="0.87222222222222223"/>
    <n v="0.61960000000000004"/>
    <n v="0.61960000000000004"/>
    <n v="6.1340400000000006"/>
    <n v="12"/>
    <x v="0"/>
    <n v="9.9000000000000008E-3"/>
  </r>
  <r>
    <s v="GUAYAQUIL"/>
    <x v="0"/>
    <x v="0"/>
    <x v="94"/>
    <s v="AREQUIPE Y PRETZEL STICKS 75 GRAMOS"/>
    <n v="132"/>
    <n v="1"/>
    <n v="7.4999999999999997E-2"/>
    <n v="180"/>
    <d v="2024-11-19T00:00:00"/>
    <s v="martes"/>
    <d v="2024-10-23T00:00:00"/>
    <x v="64"/>
    <n v="144"/>
    <n v="0.8"/>
    <n v="132"/>
    <n v="9.9"/>
    <n v="27"/>
    <n v="0.85"/>
    <n v="0.61960000000000004"/>
    <n v="0.61960000000000004"/>
    <n v="6.1340400000000006"/>
    <n v="8"/>
    <x v="0"/>
    <n v="9.9000000000000008E-3"/>
  </r>
  <r>
    <s v="GUAYAQUIL"/>
    <x v="0"/>
    <x v="0"/>
    <x v="94"/>
    <s v="AREQUIPE Y PRETZEL STICKS 75 GRAMOS"/>
    <n v="264"/>
    <n v="1"/>
    <n v="7.4999999999999997E-2"/>
    <n v="180"/>
    <d v="2024-11-21T00:00:00"/>
    <s v="jueves"/>
    <d v="2024-11-01T00:00:00"/>
    <x v="69"/>
    <n v="153"/>
    <n v="0.85"/>
    <n v="132"/>
    <n v="9.9"/>
    <n v="20"/>
    <n v="0.88888888888888884"/>
    <n v="0.61960000000000004"/>
    <n v="0.61960000000000004"/>
    <n v="6.1340400000000006"/>
    <n v="6"/>
    <x v="0"/>
    <n v="9.9000000000000008E-3"/>
  </r>
  <r>
    <s v="GUAYAQUIL"/>
    <x v="0"/>
    <x v="0"/>
    <x v="95"/>
    <s v="YOG BBLE KIOSKO MORA 180"/>
    <n v="0"/>
    <n v="1"/>
    <n v="0.18"/>
    <n v="45"/>
    <d v="2024-10-31T00:00:00"/>
    <s v="jueves"/>
    <d v="2024-10-31T00:00:00"/>
    <x v="10"/>
    <n v="17"/>
    <n v="0.37777777777777777"/>
    <n v="53"/>
    <n v="9.5399999999999991"/>
    <n v="0"/>
    <n v="1"/>
    <n v="0.243175"/>
    <n v="0.243175"/>
    <n v="2.3198894999999999"/>
    <n v="27"/>
    <x v="2"/>
    <n v="9.5399999999999999E-3"/>
  </r>
  <r>
    <s v="GUAYAQUIL"/>
    <x v="0"/>
    <x v="0"/>
    <x v="95"/>
    <s v="YOG BBLE KIOSKO MORA 180"/>
    <n v="216"/>
    <n v="1"/>
    <n v="0.18"/>
    <n v="45"/>
    <d v="2024-11-01T00:00:00"/>
    <s v="viernes"/>
    <d v="2024-10-23T00:00:00"/>
    <x v="66"/>
    <n v="9"/>
    <n v="0.2"/>
    <n v="137"/>
    <n v="24.66"/>
    <n v="9"/>
    <n v="0.8"/>
    <n v="0.243175"/>
    <n v="0.243175"/>
    <n v="5.9966955000000004"/>
    <n v="26"/>
    <x v="2"/>
    <n v="2.4660000000000001E-2"/>
  </r>
  <r>
    <s v="GUAYAQUIL"/>
    <x v="0"/>
    <x v="0"/>
    <x v="95"/>
    <s v="YOG BBLE KIOSKO MORA 180"/>
    <n v="108"/>
    <n v="1"/>
    <n v="0.18"/>
    <n v="45"/>
    <d v="2024-11-21T00:00:00"/>
    <s v="jueves"/>
    <d v="2024-11-15T00:00:00"/>
    <x v="0"/>
    <n v="32"/>
    <n v="0.71111111111111114"/>
    <n v="24"/>
    <n v="4.32"/>
    <n v="6"/>
    <n v="0.8666666666666667"/>
    <n v="0.243175"/>
    <n v="0.243175"/>
    <n v="1.050516"/>
    <n v="6"/>
    <x v="0"/>
    <n v="4.3200000000000001E-3"/>
  </r>
  <r>
    <s v="GUAYAQUIL"/>
    <x v="0"/>
    <x v="0"/>
    <x v="96"/>
    <s v="Q HOLAN KIOSKO LONJ AL PESO"/>
    <n v="30"/>
    <n v="2.5"/>
    <n v="1"/>
    <n v="90"/>
    <d v="2024-11-19T00:00:00"/>
    <s v="martes"/>
    <d v="2024-11-12T00:00:00"/>
    <x v="18"/>
    <n v="74"/>
    <n v="0.82222222222222219"/>
    <n v="30"/>
    <n v="75"/>
    <n v="7"/>
    <n v="0.92222222222222228"/>
    <n v="7.5711700000000004"/>
    <n v="18.927925000000002"/>
    <n v="1419.5943750000001"/>
    <n v="8"/>
    <x v="0"/>
    <n v="7.4999999999999997E-2"/>
  </r>
  <r>
    <s v="GUAYAQUIL"/>
    <x v="0"/>
    <x v="0"/>
    <x v="96"/>
    <s v="Q HOLAN KIOSKO LONJ AL PESO"/>
    <n v="30"/>
    <n v="2.5"/>
    <n v="1"/>
    <n v="90"/>
    <d v="2024-11-20T00:00:00"/>
    <s v="miércoles"/>
    <d v="2024-11-13T00:00:00"/>
    <x v="39"/>
    <n v="75"/>
    <n v="0.83333333333333337"/>
    <n v="30"/>
    <n v="75"/>
    <n v="7"/>
    <n v="0.92222222222222228"/>
    <n v="7.5711700000000004"/>
    <n v="18.927925000000002"/>
    <n v="1419.5943750000001"/>
    <n v="7"/>
    <x v="0"/>
    <n v="7.4999999999999997E-2"/>
  </r>
  <r>
    <s v="GUAYAQUIL"/>
    <x v="0"/>
    <x v="0"/>
    <x v="96"/>
    <s v="Q HOLAN KIOSKO LONJ AL PESO"/>
    <n v="30"/>
    <n v="2.5"/>
    <n v="1"/>
    <n v="90"/>
    <d v="2024-11-21T00:00:00"/>
    <s v="jueves"/>
    <d v="2024-11-13T00:00:00"/>
    <x v="39"/>
    <n v="75"/>
    <n v="0.83333333333333337"/>
    <n v="30"/>
    <n v="75"/>
    <n v="8"/>
    <n v="0.91111111111111109"/>
    <n v="7.5711700000000004"/>
    <n v="18.927925000000002"/>
    <n v="1419.5943750000001"/>
    <n v="6"/>
    <x v="0"/>
    <n v="7.4999999999999997E-2"/>
  </r>
  <r>
    <s v="GUAYAQUIL"/>
    <x v="0"/>
    <x v="0"/>
    <x v="97"/>
    <s v="Q SANDU KIOSKO LONJ AL PESO"/>
    <n v="10"/>
    <n v="2.5"/>
    <n v="1"/>
    <n v="90"/>
    <d v="2024-10-17T00:00:00"/>
    <s v="jueves"/>
    <d v="2024-10-12T00:00:00"/>
    <x v="72"/>
    <n v="43"/>
    <n v="0.4777777777777778"/>
    <n v="3"/>
    <n v="7.5"/>
    <n v="5"/>
    <n v="0.94444444444444442"/>
    <n v="7.2458349999999996"/>
    <n v="18.114587499999999"/>
    <n v="135.85940625000001"/>
    <n v="41"/>
    <x v="0"/>
    <n v="7.4999999999999997E-3"/>
  </r>
  <r>
    <s v="GUAYAQUIL"/>
    <x v="0"/>
    <x v="0"/>
    <x v="97"/>
    <s v="Q SANDU KIOSKO LONJ AL PESO"/>
    <n v="10"/>
    <n v="2.5"/>
    <n v="1"/>
    <n v="90"/>
    <d v="2024-10-22T00:00:00"/>
    <s v="martes"/>
    <d v="2024-10-16T00:00:00"/>
    <x v="52"/>
    <n v="47"/>
    <n v="0.52222222222222225"/>
    <n v="10"/>
    <n v="25"/>
    <n v="6"/>
    <n v="0.93333333333333335"/>
    <n v="7.2458349999999996"/>
    <n v="18.114587499999999"/>
    <n v="452.86468749999995"/>
    <n v="36"/>
    <x v="0"/>
    <n v="2.5000000000000001E-2"/>
  </r>
  <r>
    <s v="GUAYAQUIL"/>
    <x v="0"/>
    <x v="0"/>
    <x v="97"/>
    <s v="Q SANDU KIOSKO LONJ AL PESO"/>
    <n v="10"/>
    <n v="2.5"/>
    <n v="1"/>
    <n v="90"/>
    <d v="2024-10-22T00:00:00"/>
    <s v="martes"/>
    <d v="2024-10-15T00:00:00"/>
    <x v="47"/>
    <n v="46"/>
    <n v="0.51111111111111107"/>
    <n v="9"/>
    <n v="22.5"/>
    <n v="7"/>
    <n v="0.92222222222222228"/>
    <n v="7.2458349999999996"/>
    <n v="18.114587499999999"/>
    <n v="407.57821874999996"/>
    <n v="36"/>
    <x v="0"/>
    <n v="2.2499999999999999E-2"/>
  </r>
  <r>
    <s v="GUAYAQUIL"/>
    <x v="0"/>
    <x v="0"/>
    <x v="97"/>
    <s v="Q SANDU KIOSKO LONJ AL PESO"/>
    <n v="10"/>
    <n v="2.5"/>
    <n v="1"/>
    <n v="90"/>
    <d v="2024-10-23T00:00:00"/>
    <s v="miércoles"/>
    <d v="2024-10-16T00:00:00"/>
    <x v="52"/>
    <n v="47"/>
    <n v="0.52222222222222225"/>
    <n v="10"/>
    <n v="25"/>
    <n v="7"/>
    <n v="0.92222222222222228"/>
    <n v="7.2458349999999996"/>
    <n v="18.114587499999999"/>
    <n v="452.86468749999995"/>
    <n v="35"/>
    <x v="0"/>
    <n v="2.5000000000000001E-2"/>
  </r>
  <r>
    <s v="GUAYAQUIL"/>
    <x v="0"/>
    <x v="0"/>
    <x v="97"/>
    <s v="Q SANDU KIOSKO LONJ AL PESO"/>
    <n v="10"/>
    <n v="2.5"/>
    <n v="1"/>
    <n v="90"/>
    <d v="2024-10-24T00:00:00"/>
    <s v="jueves"/>
    <d v="2024-10-17T00:00:00"/>
    <x v="12"/>
    <n v="48"/>
    <n v="0.53333333333333333"/>
    <n v="11"/>
    <n v="27.5"/>
    <n v="7"/>
    <n v="0.92222222222222228"/>
    <n v="7.2458349999999996"/>
    <n v="18.114587499999999"/>
    <n v="498.15115624999999"/>
    <n v="34"/>
    <x v="0"/>
    <n v="2.75E-2"/>
  </r>
  <r>
    <s v="GUAYAQUIL"/>
    <x v="0"/>
    <x v="0"/>
    <x v="98"/>
    <s v="SELECCION ESPECIAL KIOSKO 150G"/>
    <n v="150"/>
    <n v="1"/>
    <n v="0.15"/>
    <n v="60"/>
    <d v="2024-11-19T00:00:00"/>
    <s v="martes"/>
    <d v="2024-11-13T00:00:00"/>
    <x v="46"/>
    <n v="45"/>
    <n v="0.75"/>
    <n v="112"/>
    <n v="16.8"/>
    <n v="6"/>
    <n v="0.9"/>
    <n v="1.1024050000000001"/>
    <n v="1.1024050000000001"/>
    <n v="18.520404000000003"/>
    <n v="8"/>
    <x v="0"/>
    <n v="1.6800000000000002E-2"/>
  </r>
  <r>
    <s v="GUAYAQUIL"/>
    <x v="0"/>
    <x v="0"/>
    <x v="98"/>
    <s v="SELECCION ESPECIAL KIOSKO 150G"/>
    <n v="150"/>
    <n v="1"/>
    <n v="0.15"/>
    <n v="60"/>
    <d v="2024-11-20T00:00:00"/>
    <s v="miércoles"/>
    <d v="2024-11-13T00:00:00"/>
    <x v="46"/>
    <n v="45"/>
    <n v="0.75"/>
    <n v="150"/>
    <n v="22.5"/>
    <n v="7"/>
    <n v="0.8833333333333333"/>
    <n v="1.1024050000000001"/>
    <n v="1.1024050000000001"/>
    <n v="24.804112500000002"/>
    <n v="7"/>
    <x v="0"/>
    <n v="2.2499999999999999E-2"/>
  </r>
  <r>
    <s v="GUAYAQUIL"/>
    <x v="0"/>
    <x v="0"/>
    <x v="98"/>
    <s v="SELECCION ESPECIAL KIOSKO 150G"/>
    <n v="200"/>
    <n v="1"/>
    <n v="0.15"/>
    <n v="60"/>
    <d v="2024-11-21T00:00:00"/>
    <s v="jueves"/>
    <d v="2024-11-16T00:00:00"/>
    <x v="12"/>
    <n v="48"/>
    <n v="0.8"/>
    <n v="200"/>
    <n v="30"/>
    <n v="5"/>
    <n v="0.91666666666666663"/>
    <n v="1.1024050000000001"/>
    <n v="1.1024050000000001"/>
    <n v="33.072150000000001"/>
    <n v="6"/>
    <x v="0"/>
    <n v="0.03"/>
  </r>
  <r>
    <s v="GUAYAQUIL"/>
    <x v="0"/>
    <x v="0"/>
    <x v="99"/>
    <s v="AVENA CANELA VASO 250G ECU"/>
    <n v="624"/>
    <n v="1"/>
    <n v="0.25"/>
    <n v="180"/>
    <d v="2024-11-07T00:00:00"/>
    <s v="jueves"/>
    <d v="2024-10-19T00:00:00"/>
    <x v="73"/>
    <n v="140"/>
    <n v="0.77777777777777779"/>
    <n v="531"/>
    <n v="132.75"/>
    <n v="19"/>
    <n v="0.89444444444444449"/>
    <n v="0.40961000000000003"/>
    <n v="0.40961000000000003"/>
    <n v="54.375727500000004"/>
    <n v="20"/>
    <x v="0"/>
    <n v="0.13275000000000001"/>
  </r>
  <r>
    <s v="GUAYAQUIL"/>
    <x v="0"/>
    <x v="0"/>
    <x v="99"/>
    <s v="AVENA CANELA VASO 250G ECU"/>
    <n v="1344"/>
    <n v="1"/>
    <n v="0.25"/>
    <n v="180"/>
    <d v="2024-11-12T00:00:00"/>
    <s v="martes"/>
    <d v="2024-10-19T00:00:00"/>
    <x v="73"/>
    <n v="140"/>
    <n v="0.77777777777777779"/>
    <n v="1344"/>
    <n v="336"/>
    <n v="24"/>
    <n v="0.8666666666666667"/>
    <n v="0.40961000000000003"/>
    <n v="0.40961000000000003"/>
    <n v="137.62896000000001"/>
    <n v="15"/>
    <x v="0"/>
    <n v="0.33600000000000002"/>
  </r>
  <r>
    <s v="GUAYAQUIL"/>
    <x v="0"/>
    <x v="0"/>
    <x v="99"/>
    <s v="AVENA CANELA VASO 250G ECU"/>
    <n v="624"/>
    <n v="1"/>
    <n v="0.25"/>
    <n v="180"/>
    <d v="2024-11-14T00:00:00"/>
    <s v="jueves"/>
    <d v="2024-10-19T00:00:00"/>
    <x v="73"/>
    <n v="140"/>
    <n v="0.77777777777777779"/>
    <n v="624"/>
    <n v="156"/>
    <n v="26"/>
    <n v="0.85555555555555562"/>
    <n v="0.40961000000000003"/>
    <n v="0.40961000000000003"/>
    <n v="63.899160000000002"/>
    <n v="13"/>
    <x v="0"/>
    <n v="0.156"/>
  </r>
  <r>
    <s v="GUAYAQUIL"/>
    <x v="0"/>
    <x v="0"/>
    <x v="100"/>
    <s v="Q AMERIC KIOSKO LONJ 150G"/>
    <n v="90"/>
    <n v="1"/>
    <n v="0.15"/>
    <n v="60"/>
    <d v="2024-11-15T00:00:00"/>
    <s v="viernes"/>
    <d v="2024-11-08T00:00:00"/>
    <x v="67"/>
    <n v="40"/>
    <n v="0.66666666666666663"/>
    <n v="82"/>
    <n v="12.299999999999999"/>
    <n v="7"/>
    <n v="0.8833333333333333"/>
    <n v="1.1246900000000002"/>
    <n v="1.1246900000000002"/>
    <n v="13.833687000000001"/>
    <n v="12"/>
    <x v="0"/>
    <n v="1.2299999999999998E-2"/>
  </r>
  <r>
    <s v="GUAYAQUIL"/>
    <x v="0"/>
    <x v="0"/>
    <x v="100"/>
    <s v="Q AMERIC KIOSKO LONJ 150G"/>
    <n v="40"/>
    <n v="1"/>
    <n v="0.15"/>
    <n v="60"/>
    <d v="2024-11-19T00:00:00"/>
    <s v="martes"/>
    <d v="2024-11-15T00:00:00"/>
    <x v="52"/>
    <n v="47"/>
    <n v="0.78333333333333333"/>
    <n v="40"/>
    <n v="6"/>
    <n v="4"/>
    <n v="0.93333333333333335"/>
    <n v="1.1246900000000002"/>
    <n v="1.1246900000000002"/>
    <n v="6.7481400000000011"/>
    <n v="8"/>
    <x v="0"/>
    <n v="6.0000000000000001E-3"/>
  </r>
  <r>
    <s v="GUAYAQUIL"/>
    <x v="0"/>
    <x v="0"/>
    <x v="100"/>
    <s v="Q AMERIC KIOSKO LONJ 150G"/>
    <n v="50"/>
    <n v="1"/>
    <n v="0.15"/>
    <n v="60"/>
    <d v="2024-11-20T00:00:00"/>
    <s v="miércoles"/>
    <d v="2024-11-15T00:00:00"/>
    <x v="52"/>
    <n v="47"/>
    <n v="0.78333333333333333"/>
    <n v="50"/>
    <n v="7.5"/>
    <n v="5"/>
    <n v="0.91666666666666663"/>
    <n v="1.1246900000000002"/>
    <n v="1.1246900000000002"/>
    <n v="8.435175000000001"/>
    <n v="7"/>
    <x v="0"/>
    <n v="7.4999999999999997E-3"/>
  </r>
  <r>
    <s v="GUAYAQUIL"/>
    <x v="0"/>
    <x v="0"/>
    <x v="100"/>
    <s v="Q AMERIC KIOSKO LONJ 150G"/>
    <n v="40"/>
    <n v="1"/>
    <n v="0.15"/>
    <n v="60"/>
    <d v="2024-11-21T00:00:00"/>
    <s v="jueves"/>
    <d v="2024-11-15T00:00:00"/>
    <x v="52"/>
    <n v="47"/>
    <n v="0.78333333333333333"/>
    <n v="40"/>
    <n v="6"/>
    <n v="6"/>
    <n v="0.9"/>
    <n v="1.1246900000000002"/>
    <n v="1.1246900000000002"/>
    <n v="6.7481400000000011"/>
    <n v="6"/>
    <x v="0"/>
    <n v="6.0000000000000001E-3"/>
  </r>
  <r>
    <s v="GUAYAQUIL"/>
    <x v="0"/>
    <x v="0"/>
    <x v="101"/>
    <s v="BON YURT CHOCAPIC 158G"/>
    <n v="60"/>
    <n v="1"/>
    <n v="0.158"/>
    <n v="45"/>
    <d v="2024-11-09T00:00:00"/>
    <s v="sábado"/>
    <d v="2024-10-29T00:00:00"/>
    <x v="25"/>
    <n v="15"/>
    <n v="0.33333333333333331"/>
    <n v="16"/>
    <n v="2.528"/>
    <n v="11"/>
    <n v="0.75555555555555554"/>
    <n v="0.32181499999999996"/>
    <n v="0.32181499999999996"/>
    <n v="0.81354831999999988"/>
    <n v="18"/>
    <x v="2"/>
    <n v="2.5279999999999999E-3"/>
  </r>
  <r>
    <s v="GUAYAQUIL"/>
    <x v="0"/>
    <x v="0"/>
    <x v="101"/>
    <s v="BON YURT CHOCAPIC 158G"/>
    <n v="480"/>
    <n v="1"/>
    <n v="0.158"/>
    <n v="45"/>
    <d v="2024-11-16T00:00:00"/>
    <s v="sábado"/>
    <d v="2024-11-09T00:00:00"/>
    <x v="6"/>
    <n v="26"/>
    <n v="0.57777777777777772"/>
    <n v="480"/>
    <n v="75.84"/>
    <n v="7"/>
    <n v="0.84444444444444444"/>
    <n v="0.32181499999999996"/>
    <n v="0.32181499999999996"/>
    <n v="24.406449599999998"/>
    <n v="11"/>
    <x v="1"/>
    <n v="7.5840000000000005E-2"/>
  </r>
  <r>
    <s v="GUAYAQUIL"/>
    <x v="0"/>
    <x v="0"/>
    <x v="101"/>
    <s v="BON YURT CHOCAPIC 158G"/>
    <n v="420"/>
    <n v="1"/>
    <n v="0.158"/>
    <n v="45"/>
    <d v="2024-11-15T00:00:00"/>
    <s v="viernes"/>
    <d v="2024-11-09T00:00:00"/>
    <x v="6"/>
    <n v="26"/>
    <n v="0.57777777777777772"/>
    <n v="132"/>
    <n v="20.856000000000002"/>
    <n v="6"/>
    <n v="0.8666666666666667"/>
    <n v="0.32181499999999996"/>
    <n v="0.32181499999999996"/>
    <n v="6.7117736399999997"/>
    <n v="12"/>
    <x v="1"/>
    <n v="2.0856000000000003E-2"/>
  </r>
  <r>
    <s v="GUAYAQUIL"/>
    <x v="0"/>
    <x v="0"/>
    <x v="101"/>
    <s v="BON YURT CHOCAPIC 158G"/>
    <n v="420"/>
    <n v="1"/>
    <n v="0.158"/>
    <n v="45"/>
    <d v="2024-11-14T00:00:00"/>
    <s v="jueves"/>
    <d v="2024-11-05T00:00:00"/>
    <x v="19"/>
    <n v="22"/>
    <n v="0.48888888888888887"/>
    <n v="389"/>
    <n v="61.462000000000003"/>
    <n v="9"/>
    <n v="0.8"/>
    <n v="0.32181499999999996"/>
    <n v="0.32181499999999996"/>
    <n v="19.77939353"/>
    <n v="13"/>
    <x v="1"/>
    <n v="6.1462000000000003E-2"/>
  </r>
  <r>
    <s v="GUAYAQUIL"/>
    <x v="0"/>
    <x v="0"/>
    <x v="101"/>
    <s v="BON YURT CHOCAPIC 158G"/>
    <n v="420"/>
    <n v="1"/>
    <n v="0.158"/>
    <n v="45"/>
    <d v="2024-11-19T00:00:00"/>
    <s v="martes"/>
    <d v="2024-11-12T00:00:00"/>
    <x v="5"/>
    <n v="29"/>
    <n v="0.64444444444444449"/>
    <n v="420"/>
    <n v="66.36"/>
    <n v="7"/>
    <n v="0.84444444444444444"/>
    <n v="0.32181499999999996"/>
    <n v="0.32181499999999996"/>
    <n v="21.355643399999998"/>
    <n v="8"/>
    <x v="0"/>
    <n v="6.6360000000000002E-2"/>
  </r>
  <r>
    <s v="GUAYAQUIL"/>
    <x v="0"/>
    <x v="0"/>
    <x v="101"/>
    <s v="BON YURT CHOCAPIC 158G"/>
    <n v="600"/>
    <n v="1"/>
    <n v="0.158"/>
    <n v="45"/>
    <d v="2024-11-21T00:00:00"/>
    <s v="jueves"/>
    <d v="2024-11-16T00:00:00"/>
    <x v="3"/>
    <n v="33"/>
    <n v="0.73333333333333328"/>
    <n v="300"/>
    <n v="47.4"/>
    <n v="5"/>
    <n v="0.88888888888888884"/>
    <n v="0.32181499999999996"/>
    <n v="0.32181499999999996"/>
    <n v="15.254030999999998"/>
    <n v="6"/>
    <x v="0"/>
    <n v="4.7399999999999998E-2"/>
  </r>
  <r>
    <s v="GUAYAQUIL"/>
    <x v="0"/>
    <x v="0"/>
    <x v="102"/>
    <s v="FOURPACK AREQUIPE Y PRETZELS 75 GR"/>
    <n v="60"/>
    <n v="1"/>
    <n v="0.3"/>
    <n v="180"/>
    <d v="2024-11-09T00:00:00"/>
    <s v="sábado"/>
    <d v="2024-10-02T00:00:00"/>
    <x v="71"/>
    <n v="123"/>
    <n v="0.68333333333333335"/>
    <n v="58"/>
    <n v="17.399999999999999"/>
    <n v="38"/>
    <n v="0.78888888888888886"/>
    <n v="2.5274799999999997"/>
    <n v="2.5274799999999997"/>
    <n v="43.978151999999994"/>
    <n v="18"/>
    <x v="0"/>
    <n v="1.7399999999999999E-2"/>
  </r>
  <r>
    <s v="GUAYAQUIL"/>
    <x v="0"/>
    <x v="0"/>
    <x v="102"/>
    <s v="FOURPACK AREQUIPE Y PRETZELS 75 GR"/>
    <n v="30"/>
    <n v="1"/>
    <n v="0.3"/>
    <n v="180"/>
    <d v="2024-11-13T00:00:00"/>
    <s v="miércoles"/>
    <d v="2024-10-02T00:00:00"/>
    <x v="71"/>
    <n v="123"/>
    <n v="0.68333333333333335"/>
    <n v="30"/>
    <n v="9"/>
    <n v="42"/>
    <n v="0.76666666666666661"/>
    <n v="2.5274799999999997"/>
    <n v="2.5274799999999997"/>
    <n v="22.747319999999998"/>
    <n v="14"/>
    <x v="0"/>
    <n v="8.9999999999999993E-3"/>
  </r>
  <r>
    <s v="GUAYAQUIL"/>
    <x v="0"/>
    <x v="0"/>
    <x v="103"/>
    <s v="Q JAVIERINO KIOSKO RALLADO 1.5K"/>
    <n v="0"/>
    <n v="1"/>
    <n v="1.5"/>
    <n v="60"/>
    <d v="2024-11-01T00:00:00"/>
    <s v="viernes"/>
    <d v="2024-12-01T00:00:00"/>
    <x v="74"/>
    <n v="63"/>
    <n v="1.05"/>
    <n v="3"/>
    <n v="4.5"/>
    <n v="-30"/>
    <n v="1.5"/>
    <n v="10.255265"/>
    <n v="10.255265"/>
    <n v="46.148692499999996"/>
    <n v="26"/>
    <x v="0"/>
    <n v="4.4999999999999997E-3"/>
  </r>
  <r>
    <s v="GUAYAQUIL"/>
    <x v="0"/>
    <x v="0"/>
    <x v="103"/>
    <s v="Q JAVIERINO KIOSKO RALLADO 1.5K"/>
    <n v="100"/>
    <n v="1"/>
    <n v="1.5"/>
    <n v="60"/>
    <d v="2024-11-15T00:00:00"/>
    <s v="viernes"/>
    <d v="2024-11-14T00:00:00"/>
    <x v="47"/>
    <n v="46"/>
    <n v="0.76666666666666672"/>
    <n v="100"/>
    <n v="150"/>
    <n v="1"/>
    <n v="0.98333333333333328"/>
    <n v="10.255265"/>
    <n v="10.255265"/>
    <n v="1538.2897499999999"/>
    <n v="12"/>
    <x v="0"/>
    <n v="0.15"/>
  </r>
  <r>
    <s v="GUAYAQUIL"/>
    <x v="0"/>
    <x v="0"/>
    <x v="103"/>
    <s v="Q JAVIERINO KIOSKO RALLADO 1.5K"/>
    <n v="230"/>
    <n v="1"/>
    <n v="1.5"/>
    <n v="60"/>
    <d v="2024-11-14T00:00:00"/>
    <s v="jueves"/>
    <d v="2024-11-13T00:00:00"/>
    <x v="46"/>
    <n v="45"/>
    <n v="0.75"/>
    <n v="113"/>
    <n v="169.5"/>
    <n v="1"/>
    <n v="0.98333333333333328"/>
    <n v="10.255265"/>
    <n v="10.255265"/>
    <n v="1738.2674175"/>
    <n v="13"/>
    <x v="0"/>
    <n v="0.16950000000000001"/>
  </r>
  <r>
    <s v="GUAYAQUIL"/>
    <x v="0"/>
    <x v="0"/>
    <x v="103"/>
    <s v="Q JAVIERINO KIOSKO RALLADO 1.5K"/>
    <n v="10"/>
    <n v="1"/>
    <n v="1.5"/>
    <n v="60"/>
    <d v="2024-11-19T00:00:00"/>
    <s v="martes"/>
    <d v="2024-11-17T00:00:00"/>
    <x v="75"/>
    <n v="49"/>
    <n v="0.81666666666666665"/>
    <n v="10"/>
    <n v="15"/>
    <n v="2"/>
    <n v="0.96666666666666667"/>
    <n v="10.255265"/>
    <n v="10.255265"/>
    <n v="153.82897499999999"/>
    <n v="8"/>
    <x v="0"/>
    <n v="1.4999999999999999E-2"/>
  </r>
  <r>
    <s v="GUAYAQUIL"/>
    <x v="0"/>
    <x v="0"/>
    <x v="103"/>
    <s v="Q JAVIERINO KIOSKO RALLADO 1.5K"/>
    <n v="10"/>
    <n v="1"/>
    <n v="1.5"/>
    <n v="60"/>
    <d v="2024-11-21T00:00:00"/>
    <s v="jueves"/>
    <d v="2024-11-20T00:00:00"/>
    <x v="76"/>
    <n v="52"/>
    <n v="0.8666666666666667"/>
    <n v="10"/>
    <n v="15"/>
    <n v="1"/>
    <n v="0.98333333333333328"/>
    <n v="10.255265"/>
    <n v="10.255265"/>
    <n v="153.82897499999999"/>
    <n v="6"/>
    <x v="0"/>
    <n v="1.4999999999999999E-2"/>
  </r>
  <r>
    <s v="GUAYAQUIL"/>
    <x v="0"/>
    <x v="0"/>
    <x v="104"/>
    <s v="CREM LCH NAT KIOSKO GAR 3.5KG"/>
    <n v="102"/>
    <n v="1"/>
    <n v="3.5"/>
    <n v="30"/>
    <d v="2024-11-20T00:00:00"/>
    <s v="miércoles"/>
    <d v="2024-11-19T00:00:00"/>
    <x v="45"/>
    <n v="21"/>
    <n v="0.7"/>
    <n v="27"/>
    <n v="94.5"/>
    <n v="1"/>
    <n v="0.96666666666666667"/>
    <n v="6.7329100000000004"/>
    <n v="6.7329100000000004"/>
    <n v="636.259995"/>
    <n v="7"/>
    <x v="2"/>
    <n v="9.4500000000000001E-2"/>
  </r>
  <r>
    <s v="GUAYAQUIL"/>
    <x v="0"/>
    <x v="0"/>
    <x v="104"/>
    <s v="CREM LCH NAT KIOSKO GAR 3.5KG"/>
    <n v="150"/>
    <n v="1"/>
    <n v="3.5"/>
    <n v="30"/>
    <d v="2024-11-21T00:00:00"/>
    <s v="jueves"/>
    <d v="2024-11-20T00:00:00"/>
    <x v="19"/>
    <n v="22"/>
    <n v="0.73333333333333328"/>
    <n v="150"/>
    <n v="525"/>
    <n v="1"/>
    <n v="0.96666666666666667"/>
    <n v="6.7329100000000004"/>
    <n v="6.7329100000000004"/>
    <n v="3534.7777500000002"/>
    <n v="6"/>
    <x v="1"/>
    <n v="0.52500000000000002"/>
  </r>
  <r>
    <s v="GUAYAQUIL"/>
    <x v="0"/>
    <x v="0"/>
    <x v="104"/>
    <s v="CREM LCH NAT KIOSKO GAR 3.5KG"/>
    <n v="54"/>
    <n v="1"/>
    <n v="3.5"/>
    <n v="30"/>
    <d v="2024-11-21T00:00:00"/>
    <s v="jueves"/>
    <d v="2024-11-19T00:00:00"/>
    <x v="45"/>
    <n v="21"/>
    <n v="0.7"/>
    <n v="54"/>
    <n v="189"/>
    <n v="2"/>
    <n v="0.93333333333333335"/>
    <n v="6.7329100000000004"/>
    <n v="6.7329100000000004"/>
    <n v="1272.51999"/>
    <n v="6"/>
    <x v="2"/>
    <n v="0.189"/>
  </r>
  <r>
    <s v="GUAYAQUIL"/>
    <x v="0"/>
    <x v="0"/>
    <x v="105"/>
    <s v="Q AMERIC LONJ BKING AL PESO"/>
    <n v="141"/>
    <n v="1.6"/>
    <n v="1"/>
    <n v="60"/>
    <d v="2024-11-15T00:00:00"/>
    <s v="viernes"/>
    <d v="2024-11-14T00:00:00"/>
    <x v="47"/>
    <n v="46"/>
    <n v="0.76666666666666672"/>
    <n v="12"/>
    <n v="19.200000000000003"/>
    <n v="1"/>
    <n v="0.98333333333333328"/>
    <n v="6.6801849999999998"/>
    <n v="10.688296000000001"/>
    <n v="205.21528320000004"/>
    <n v="12"/>
    <x v="0"/>
    <n v="1.9200000000000002E-2"/>
  </r>
  <r>
    <s v="GUAYAQUIL"/>
    <x v="0"/>
    <x v="0"/>
    <x v="106"/>
    <s v="CAJA BARQ DE AREQ 240G"/>
    <n v="24"/>
    <n v="1"/>
    <n v="0.24"/>
    <n v="540"/>
    <d v="2024-11-16T00:00:00"/>
    <s v="sábado"/>
    <d v="2023-10-24T00:00:00"/>
    <x v="27"/>
    <n v="139"/>
    <n v="0.25740740740740742"/>
    <n v="23"/>
    <n v="5.52"/>
    <n v="389"/>
    <n v="0.27962962962962967"/>
    <n v="1.5207199999999998"/>
    <n v="1.5207199999999998"/>
    <n v="8.3943743999999985"/>
    <n v="11"/>
    <x v="0"/>
    <n v="5.5199999999999997E-3"/>
  </r>
  <r>
    <s v="GUAYAQUIL"/>
    <x v="0"/>
    <x v="0"/>
    <x v="107"/>
    <s v="BY MINI MASMELOS 88G"/>
    <n v="490"/>
    <n v="1"/>
    <n v="8.7999999999999995E-2"/>
    <n v="45"/>
    <d v="2024-11-09T00:00:00"/>
    <s v="sábado"/>
    <d v="2024-10-30T00:00:00"/>
    <x v="41"/>
    <n v="16"/>
    <n v="0.35555555555555557"/>
    <n v="96"/>
    <n v="8.4480000000000004"/>
    <n v="10"/>
    <n v="0.77777777777777779"/>
    <n v="0.22021000000000002"/>
    <n v="0.22021000000000002"/>
    <n v="1.8603340800000003"/>
    <n v="18"/>
    <x v="2"/>
    <n v="8.4480000000000006E-3"/>
  </r>
  <r>
    <s v="GUAYAQUIL"/>
    <x v="0"/>
    <x v="0"/>
    <x v="107"/>
    <s v="BY MINI MASMELOS 88G"/>
    <n v="2100"/>
    <n v="1"/>
    <n v="8.7999999999999995E-2"/>
    <n v="45"/>
    <d v="2024-11-16T00:00:00"/>
    <s v="sábado"/>
    <d v="2024-11-07T00:00:00"/>
    <x v="1"/>
    <n v="24"/>
    <n v="0.53333333333333333"/>
    <n v="2100"/>
    <n v="184.79999999999998"/>
    <n v="9"/>
    <n v="0.8"/>
    <n v="0.22021000000000002"/>
    <n v="0.22021000000000002"/>
    <n v="40.694808000000002"/>
    <n v="11"/>
    <x v="1"/>
    <n v="0.18479999999999999"/>
  </r>
  <r>
    <s v="GUAYAQUIL"/>
    <x v="0"/>
    <x v="0"/>
    <x v="107"/>
    <s v="BY MINI MASMELOS 88G"/>
    <n v="2100"/>
    <n v="1"/>
    <n v="8.7999999999999995E-2"/>
    <n v="45"/>
    <d v="2024-11-15T00:00:00"/>
    <s v="viernes"/>
    <d v="2024-11-07T00:00:00"/>
    <x v="1"/>
    <n v="24"/>
    <n v="0.53333333333333333"/>
    <n v="1190"/>
    <n v="104.72"/>
    <n v="8"/>
    <n v="0.82222222222222219"/>
    <n v="0.22021000000000002"/>
    <n v="0.22021000000000002"/>
    <n v="23.060391200000002"/>
    <n v="12"/>
    <x v="1"/>
    <n v="0.10471999999999999"/>
  </r>
  <r>
    <s v="GUAYAQUIL"/>
    <x v="0"/>
    <x v="0"/>
    <x v="107"/>
    <s v="BY MINI MASMELOS 88G"/>
    <n v="1820"/>
    <n v="1"/>
    <n v="8.7999999999999995E-2"/>
    <n v="45"/>
    <d v="2024-11-19T00:00:00"/>
    <s v="martes"/>
    <d v="2024-11-07T00:00:00"/>
    <x v="1"/>
    <n v="24"/>
    <n v="0.53333333333333333"/>
    <n v="1820"/>
    <n v="160.16"/>
    <n v="12"/>
    <n v="0.73333333333333339"/>
    <n v="0.22021000000000002"/>
    <n v="0.22021000000000002"/>
    <n v="35.268833600000001"/>
    <n v="8"/>
    <x v="1"/>
    <n v="0.16016"/>
  </r>
  <r>
    <s v="GUAYAQUIL"/>
    <x v="0"/>
    <x v="0"/>
    <x v="107"/>
    <s v="BY MINI MASMELOS 88G"/>
    <n v="1400"/>
    <n v="1"/>
    <n v="8.7999999999999995E-2"/>
    <n v="45"/>
    <d v="2024-11-20T00:00:00"/>
    <s v="miércoles"/>
    <d v="2024-11-13T00:00:00"/>
    <x v="2"/>
    <n v="30"/>
    <n v="0.66666666666666663"/>
    <n v="140"/>
    <n v="12.319999999999999"/>
    <n v="7"/>
    <n v="0.84444444444444444"/>
    <n v="0.22021000000000002"/>
    <n v="0.22021000000000002"/>
    <n v="2.7129871999999997"/>
    <n v="7"/>
    <x v="0"/>
    <n v="1.2319999999999999E-2"/>
  </r>
  <r>
    <s v="GUAYAQUIL"/>
    <x v="0"/>
    <x v="0"/>
    <x v="107"/>
    <s v="BY MINI MASMELOS 88G"/>
    <n v="1260"/>
    <n v="1"/>
    <n v="8.7999999999999995E-2"/>
    <n v="45"/>
    <d v="2024-11-21T00:00:00"/>
    <s v="jueves"/>
    <d v="2024-11-13T00:00:00"/>
    <x v="2"/>
    <n v="30"/>
    <n v="0.66666666666666663"/>
    <n v="1260"/>
    <n v="110.88"/>
    <n v="8"/>
    <n v="0.82222222222222219"/>
    <n v="0.22021000000000002"/>
    <n v="0.22021000000000002"/>
    <n v="24.416884800000002"/>
    <n v="6"/>
    <x v="0"/>
    <n v="0.11087999999999999"/>
  </r>
  <r>
    <s v="GUAYAQUIL"/>
    <x v="0"/>
    <x v="0"/>
    <x v="108"/>
    <s v="AVENA FINESSE VASO 250G ECU"/>
    <n v="1344"/>
    <n v="1"/>
    <n v="0.25"/>
    <n v="180"/>
    <d v="2024-11-01T00:00:00"/>
    <s v="viernes"/>
    <d v="2024-09-26T00:00:00"/>
    <x v="77"/>
    <n v="117"/>
    <n v="0.65"/>
    <n v="281"/>
    <n v="70.25"/>
    <n v="36"/>
    <n v="0.8"/>
    <n v="0.35793999999999998"/>
    <n v="0.35793999999999998"/>
    <n v="25.145284999999998"/>
    <n v="26"/>
    <x v="0"/>
    <n v="7.0250000000000007E-2"/>
  </r>
  <r>
    <s v="GUAYAQUIL"/>
    <x v="0"/>
    <x v="0"/>
    <x v="108"/>
    <s v="AVENA FINESSE VASO 250G ECU"/>
    <n v="624"/>
    <n v="1"/>
    <n v="0.25"/>
    <n v="180"/>
    <d v="2024-11-05T00:00:00"/>
    <s v="martes"/>
    <d v="2024-09-26T00:00:00"/>
    <x v="77"/>
    <n v="117"/>
    <n v="0.65"/>
    <n v="624"/>
    <n v="156"/>
    <n v="40"/>
    <n v="0.77777777777777779"/>
    <n v="0.35793999999999998"/>
    <n v="0.35793999999999998"/>
    <n v="55.838639999999998"/>
    <n v="22"/>
    <x v="0"/>
    <n v="0.156"/>
  </r>
  <r>
    <s v="GUAYAQUIL"/>
    <x v="0"/>
    <x v="0"/>
    <x v="108"/>
    <s v="AVENA FINESSE VASO 250G ECU"/>
    <n v="624"/>
    <n v="1"/>
    <n v="0.25"/>
    <n v="180"/>
    <d v="2024-11-14T00:00:00"/>
    <s v="jueves"/>
    <d v="2024-09-27T00:00:00"/>
    <x v="28"/>
    <n v="118"/>
    <n v="0.65555555555555556"/>
    <n v="624"/>
    <n v="156"/>
    <n v="48"/>
    <n v="0.73333333333333339"/>
    <n v="0.35793999999999998"/>
    <n v="0.35793999999999998"/>
    <n v="55.838639999999998"/>
    <n v="13"/>
    <x v="0"/>
    <n v="0.156"/>
  </r>
  <r>
    <s v="GUAYAQUIL"/>
    <x v="0"/>
    <x v="0"/>
    <x v="109"/>
    <s v="Q HOLANDES KIOSKO LONJAS 75G"/>
    <n v="180"/>
    <n v="1"/>
    <n v="7.4999999999999997E-2"/>
    <n v="90"/>
    <d v="2024-11-12T00:00:00"/>
    <s v="martes"/>
    <d v="2024-11-05T00:00:00"/>
    <x v="15"/>
    <n v="67"/>
    <n v="0.74444444444444446"/>
    <n v="44"/>
    <n v="3.3"/>
    <n v="7"/>
    <n v="0.92222222222222228"/>
    <n v="0.59355000000000002"/>
    <n v="0.59355000000000002"/>
    <n v="1.958715"/>
    <n v="15"/>
    <x v="0"/>
    <n v="3.3E-3"/>
  </r>
  <r>
    <s v="GUAYAQUIL"/>
    <x v="0"/>
    <x v="0"/>
    <x v="109"/>
    <s v="Q HOLANDES KIOSKO LONJAS 75G"/>
    <n v="240"/>
    <n v="1"/>
    <n v="7.4999999999999997E-2"/>
    <n v="90"/>
    <d v="2024-11-19T00:00:00"/>
    <s v="martes"/>
    <d v="2024-11-13T00:00:00"/>
    <x v="39"/>
    <n v="75"/>
    <n v="0.83333333333333337"/>
    <n v="240"/>
    <n v="18"/>
    <n v="6"/>
    <n v="0.93333333333333335"/>
    <n v="0.59355000000000002"/>
    <n v="0.59355000000000002"/>
    <n v="10.683900000000001"/>
    <n v="8"/>
    <x v="0"/>
    <n v="1.7999999999999999E-2"/>
  </r>
  <r>
    <s v="GUAYAQUIL"/>
    <x v="0"/>
    <x v="0"/>
    <x v="110"/>
    <s v="BY MINI CANPOP VASO 105G"/>
    <n v="1050"/>
    <n v="1"/>
    <n v="0.105"/>
    <n v="45"/>
    <d v="2024-11-12T00:00:00"/>
    <s v="martes"/>
    <d v="2024-10-31T00:00:00"/>
    <x v="10"/>
    <n v="17"/>
    <n v="0.37777777777777777"/>
    <n v="85"/>
    <n v="8.9249999999999989"/>
    <n v="12"/>
    <n v="0.73333333333333339"/>
    <n v="0.25944499999999998"/>
    <n v="0.25944499999999998"/>
    <n v="2.3155466249999996"/>
    <n v="15"/>
    <x v="2"/>
    <n v="8.9249999999999989E-3"/>
  </r>
  <r>
    <s v="GUAYAQUIL"/>
    <x v="0"/>
    <x v="0"/>
    <x v="110"/>
    <s v="BY MINI CANPOP VASO 105G"/>
    <n v="1260"/>
    <n v="1"/>
    <n v="0.105"/>
    <n v="45"/>
    <d v="2024-11-16T00:00:00"/>
    <s v="sábado"/>
    <d v="2024-11-07T00:00:00"/>
    <x v="1"/>
    <n v="24"/>
    <n v="0.53333333333333333"/>
    <n v="1260"/>
    <n v="132.29999999999998"/>
    <n v="9"/>
    <n v="0.8"/>
    <n v="0.25944499999999998"/>
    <n v="0.25944499999999998"/>
    <n v="34.324573499999993"/>
    <n v="11"/>
    <x v="1"/>
    <n v="0.13229999999999997"/>
  </r>
  <r>
    <s v="GUAYAQUIL"/>
    <x v="0"/>
    <x v="0"/>
    <x v="110"/>
    <s v="BY MINI CANPOP VASO 105G"/>
    <n v="1540"/>
    <n v="1"/>
    <n v="0.105"/>
    <n v="45"/>
    <d v="2024-11-15T00:00:00"/>
    <s v="viernes"/>
    <d v="2024-11-07T00:00:00"/>
    <x v="1"/>
    <n v="24"/>
    <n v="0.53333333333333333"/>
    <n v="1162"/>
    <n v="122.00999999999999"/>
    <n v="8"/>
    <n v="0.82222222222222219"/>
    <n v="0.25944499999999998"/>
    <n v="0.25944499999999998"/>
    <n v="31.654884449999994"/>
    <n v="12"/>
    <x v="1"/>
    <n v="0.12200999999999999"/>
  </r>
  <r>
    <s v="GUAYAQUIL"/>
    <x v="0"/>
    <x v="0"/>
    <x v="110"/>
    <s v="BY MINI CANPOP VASO 105G"/>
    <n v="1610"/>
    <n v="1"/>
    <n v="0.105"/>
    <n v="45"/>
    <d v="2024-11-19T00:00:00"/>
    <s v="martes"/>
    <d v="2024-11-07T00:00:00"/>
    <x v="1"/>
    <n v="24"/>
    <n v="0.53333333333333333"/>
    <n v="1610"/>
    <n v="169.04999999999998"/>
    <n v="12"/>
    <n v="0.73333333333333339"/>
    <n v="0.25944499999999998"/>
    <n v="0.25944499999999998"/>
    <n v="43.859177249999995"/>
    <n v="8"/>
    <x v="1"/>
    <n v="0.16904999999999998"/>
  </r>
  <r>
    <s v="GUAYAQUIL"/>
    <x v="0"/>
    <x v="0"/>
    <x v="110"/>
    <s v="BY MINI CANPOP VASO 105G"/>
    <n v="1400"/>
    <n v="1"/>
    <n v="0.105"/>
    <n v="45"/>
    <d v="2024-11-20T00:00:00"/>
    <s v="miércoles"/>
    <d v="2024-11-14T00:00:00"/>
    <x v="7"/>
    <n v="31"/>
    <n v="0.68888888888888888"/>
    <n v="350"/>
    <n v="36.75"/>
    <n v="6"/>
    <n v="0.8666666666666667"/>
    <n v="0.25944499999999998"/>
    <n v="0.25944499999999998"/>
    <n v="9.5346037499999987"/>
    <n v="7"/>
    <x v="0"/>
    <n v="3.6749999999999998E-2"/>
  </r>
  <r>
    <s v="GUAYAQUIL"/>
    <x v="0"/>
    <x v="0"/>
    <x v="110"/>
    <s v="BY MINI CANPOP VASO 105G"/>
    <n v="1050"/>
    <n v="1"/>
    <n v="0.105"/>
    <n v="45"/>
    <d v="2024-11-21T00:00:00"/>
    <s v="jueves"/>
    <d v="2024-11-14T00:00:00"/>
    <x v="7"/>
    <n v="31"/>
    <n v="0.68888888888888888"/>
    <n v="1050"/>
    <n v="110.25"/>
    <n v="7"/>
    <n v="0.84444444444444444"/>
    <n v="0.25944499999999998"/>
    <n v="0.25944499999999998"/>
    <n v="28.60381125"/>
    <n v="6"/>
    <x v="0"/>
    <n v="0.11025"/>
  </r>
  <r>
    <s v="GUAYAQUIL"/>
    <x v="0"/>
    <x v="0"/>
    <x v="111"/>
    <s v="Q MIX MEX KIOSKO RALL BOL 300G"/>
    <n v="120"/>
    <n v="1"/>
    <n v="0.3"/>
    <n v="60"/>
    <d v="2024-11-19T00:00:00"/>
    <s v="martes"/>
    <d v="2024-11-12T00:00:00"/>
    <x v="51"/>
    <n v="44"/>
    <n v="0.73333333333333328"/>
    <n v="40"/>
    <n v="12"/>
    <n v="7"/>
    <n v="0.8833333333333333"/>
    <n v="2.3023199999999999"/>
    <n v="2.3023199999999999"/>
    <n v="27.627839999999999"/>
    <n v="8"/>
    <x v="0"/>
    <n v="1.2E-2"/>
  </r>
  <r>
    <s v="GUAYAQUIL"/>
    <x v="0"/>
    <x v="0"/>
    <x v="111"/>
    <s v="Q MIX MEX KIOSKO RALL BOL 300G"/>
    <n v="30"/>
    <n v="1"/>
    <n v="0.3"/>
    <n v="60"/>
    <d v="2024-11-20T00:00:00"/>
    <s v="miércoles"/>
    <d v="2024-11-12T00:00:00"/>
    <x v="51"/>
    <n v="44"/>
    <n v="0.73333333333333328"/>
    <n v="30"/>
    <n v="9"/>
    <n v="8"/>
    <n v="0.8666666666666667"/>
    <n v="2.3023199999999999"/>
    <n v="2.3023199999999999"/>
    <n v="20.720880000000001"/>
    <n v="7"/>
    <x v="0"/>
    <n v="8.9999999999999993E-3"/>
  </r>
  <r>
    <s v="GUAYAQUIL"/>
    <x v="0"/>
    <x v="0"/>
    <x v="111"/>
    <s v="Q MIX MEX KIOSKO RALL BOL 300G"/>
    <n v="60"/>
    <n v="1"/>
    <n v="0.3"/>
    <n v="60"/>
    <d v="2024-11-21T00:00:00"/>
    <s v="jueves"/>
    <d v="2024-11-12T00:00:00"/>
    <x v="51"/>
    <n v="44"/>
    <n v="0.73333333333333328"/>
    <n v="60"/>
    <n v="18"/>
    <n v="9"/>
    <n v="0.85"/>
    <n v="2.3023199999999999"/>
    <n v="2.3023199999999999"/>
    <n v="41.441760000000002"/>
    <n v="6"/>
    <x v="0"/>
    <n v="1.7999999999999999E-2"/>
  </r>
  <r>
    <s v="GUAYAQUIL"/>
    <x v="0"/>
    <x v="0"/>
    <x v="112"/>
    <s v="MPLX6 AVENA FINESSE VASO 250G"/>
    <n v="56"/>
    <n v="1"/>
    <n v="1.5"/>
    <n v="180"/>
    <d v="2024-09-14T00:00:00"/>
    <s v="sábado"/>
    <d v="2024-07-24T00:00:00"/>
    <x v="78"/>
    <n v="53"/>
    <n v="0.29444444444444445"/>
    <n v="6"/>
    <n v="9"/>
    <n v="52"/>
    <n v="0.71111111111111114"/>
    <n v="2.2748600000000003"/>
    <n v="2.2748600000000003"/>
    <n v="20.473740000000003"/>
    <n v="74"/>
    <x v="0"/>
    <n v="8.9999999999999993E-3"/>
  </r>
  <r>
    <s v="GUAYAQUIL"/>
    <x v="0"/>
    <x v="0"/>
    <x v="112"/>
    <s v="MPLX6 AVENA FINESSE VASO 250G"/>
    <n v="56"/>
    <n v="1"/>
    <n v="1.5"/>
    <n v="180"/>
    <d v="2024-11-05T00:00:00"/>
    <s v="martes"/>
    <d v="2024-09-26T00:00:00"/>
    <x v="77"/>
    <n v="117"/>
    <n v="0.65"/>
    <n v="31"/>
    <n v="46.5"/>
    <n v="40"/>
    <n v="0.77777777777777779"/>
    <n v="2.2748600000000003"/>
    <n v="2.2748600000000003"/>
    <n v="105.78099000000002"/>
    <n v="22"/>
    <x v="0"/>
    <n v="4.65E-2"/>
  </r>
  <r>
    <s v="GUAYAQUIL"/>
    <x v="0"/>
    <x v="0"/>
    <x v="112"/>
    <s v="MPLX6 AVENA FINESSE VASO 250G"/>
    <n v="56"/>
    <n v="1"/>
    <n v="1.5"/>
    <n v="180"/>
    <d v="2024-11-12T00:00:00"/>
    <s v="martes"/>
    <d v="2024-09-26T00:00:00"/>
    <x v="77"/>
    <n v="117"/>
    <n v="0.65"/>
    <n v="56"/>
    <n v="84"/>
    <n v="47"/>
    <n v="0.73888888888888893"/>
    <n v="2.2748600000000003"/>
    <n v="2.2748600000000003"/>
    <n v="191.08824000000004"/>
    <n v="15"/>
    <x v="0"/>
    <n v="8.4000000000000005E-2"/>
  </r>
  <r>
    <s v="GUAYAQUIL"/>
    <x v="0"/>
    <x v="0"/>
    <x v="112"/>
    <s v="MPLX6 AVENA FINESSE VASO 250G"/>
    <n v="56"/>
    <n v="1"/>
    <n v="1.5"/>
    <n v="180"/>
    <d v="2024-11-16T00:00:00"/>
    <s v="sábado"/>
    <d v="2024-10-23T00:00:00"/>
    <x v="64"/>
    <n v="144"/>
    <n v="0.8"/>
    <n v="56"/>
    <n v="84"/>
    <n v="24"/>
    <n v="0.8666666666666667"/>
    <n v="2.2748600000000003"/>
    <n v="2.2748600000000003"/>
    <n v="191.08824000000004"/>
    <n v="11"/>
    <x v="0"/>
    <n v="8.4000000000000005E-2"/>
  </r>
  <r>
    <s v="GUAYAQUIL"/>
    <x v="0"/>
    <x v="0"/>
    <x v="113"/>
    <s v="YOG BBLE KIOSKO MOR FUN 900G"/>
    <n v="1350"/>
    <n v="1"/>
    <n v="0.9"/>
    <n v="45"/>
    <d v="2024-11-16T00:00:00"/>
    <s v="sábado"/>
    <d v="2024-11-13T00:00:00"/>
    <x v="2"/>
    <n v="30"/>
    <n v="0.66666666666666663"/>
    <n v="1350"/>
    <n v="1215"/>
    <n v="3"/>
    <n v="0.93333333333333335"/>
    <n v="0.63145499999999999"/>
    <n v="0.63145499999999999"/>
    <n v="767.21782499999995"/>
    <n v="11"/>
    <x v="0"/>
    <n v="1.2150000000000001"/>
  </r>
  <r>
    <s v="GUAYAQUIL"/>
    <x v="0"/>
    <x v="0"/>
    <x v="113"/>
    <s v="YOG BBLE KIOSKO MOR FUN 900G"/>
    <n v="900"/>
    <n v="1"/>
    <n v="0.9"/>
    <n v="45"/>
    <d v="2024-11-15T00:00:00"/>
    <s v="viernes"/>
    <d v="2024-11-08T00:00:00"/>
    <x v="9"/>
    <n v="25"/>
    <n v="0.55555555555555558"/>
    <n v="503"/>
    <n v="452.7"/>
    <n v="7"/>
    <n v="0.84444444444444444"/>
    <n v="0.63145499999999999"/>
    <n v="0.63145499999999999"/>
    <n v="285.85967849999997"/>
    <n v="12"/>
    <x v="1"/>
    <n v="0.45269999999999999"/>
  </r>
  <r>
    <s v="GUAYAQUIL"/>
    <x v="0"/>
    <x v="0"/>
    <x v="113"/>
    <s v="YOG BBLE KIOSKO MOR FUN 900G"/>
    <n v="900"/>
    <n v="1"/>
    <n v="0.9"/>
    <n v="45"/>
    <d v="2024-11-19T00:00:00"/>
    <s v="martes"/>
    <d v="2024-11-12T00:00:00"/>
    <x v="5"/>
    <n v="29"/>
    <n v="0.64444444444444449"/>
    <n v="900"/>
    <n v="810"/>
    <n v="7"/>
    <n v="0.84444444444444444"/>
    <n v="0.63145499999999999"/>
    <n v="0.63145499999999999"/>
    <n v="511.47854999999998"/>
    <n v="8"/>
    <x v="0"/>
    <n v="0.81"/>
  </r>
  <r>
    <s v="GUAYAQUIL"/>
    <x v="0"/>
    <x v="0"/>
    <x v="113"/>
    <s v="YOG BBLE KIOSKO MOR FUN 900G"/>
    <n v="675"/>
    <n v="1"/>
    <n v="0.9"/>
    <n v="45"/>
    <d v="2024-11-20T00:00:00"/>
    <s v="miércoles"/>
    <d v="2024-11-14T00:00:00"/>
    <x v="7"/>
    <n v="31"/>
    <n v="0.68888888888888888"/>
    <n v="675"/>
    <n v="607.5"/>
    <n v="6"/>
    <n v="0.8666666666666667"/>
    <n v="0.63145499999999999"/>
    <n v="0.63145499999999999"/>
    <n v="383.60891249999997"/>
    <n v="7"/>
    <x v="0"/>
    <n v="0.60750000000000004"/>
  </r>
  <r>
    <s v="GUAYAQUIL"/>
    <x v="0"/>
    <x v="0"/>
    <x v="114"/>
    <s v="Q ESPAR MOZAR KIOSKO VASO 45G"/>
    <n v="150"/>
    <n v="1"/>
    <n v="4.4999999999999998E-2"/>
    <n v="90"/>
    <d v="2024-11-19T00:00:00"/>
    <s v="martes"/>
    <d v="2024-11-07T00:00:00"/>
    <x v="58"/>
    <n v="69"/>
    <n v="0.76666666666666672"/>
    <n v="80"/>
    <n v="3.5999999999999996"/>
    <n v="12"/>
    <n v="0.8666666666666667"/>
    <n v="0.12909999999999999"/>
    <n v="0.12909999999999999"/>
    <n v="0.46475999999999995"/>
    <n v="8"/>
    <x v="0"/>
    <n v="3.5999999999999995E-3"/>
  </r>
  <r>
    <s v="GUAYAQUIL"/>
    <x v="0"/>
    <x v="0"/>
    <x v="115"/>
    <s v="YOG FNSSE SBILA BOT 950G"/>
    <n v="36"/>
    <n v="1"/>
    <n v="0.95"/>
    <n v="45"/>
    <d v="2024-10-30T00:00:00"/>
    <s v="miércoles"/>
    <d v="2024-10-25T00:00:00"/>
    <x v="53"/>
    <n v="11"/>
    <n v="0.24444444444444444"/>
    <n v="14"/>
    <n v="13.299999999999999"/>
    <n v="5"/>
    <n v="0.88888888888888884"/>
    <n v="1.46231"/>
    <n v="1.46231"/>
    <n v="19.448722999999998"/>
    <n v="28"/>
    <x v="2"/>
    <n v="1.3299999999999999E-2"/>
  </r>
  <r>
    <s v="GUAYAQUIL"/>
    <x v="0"/>
    <x v="0"/>
    <x v="115"/>
    <s v="YOG FNSSE SBILA BOT 950G"/>
    <n v="72"/>
    <n v="1"/>
    <n v="0.95"/>
    <n v="45"/>
    <d v="2024-11-01T00:00:00"/>
    <s v="viernes"/>
    <d v="2024-10-30T00:00:00"/>
    <x v="41"/>
    <n v="16"/>
    <n v="0.35555555555555557"/>
    <n v="49"/>
    <n v="46.55"/>
    <n v="2"/>
    <n v="0.9555555555555556"/>
    <n v="1.46231"/>
    <n v="1.46231"/>
    <n v="68.07053049999999"/>
    <n v="26"/>
    <x v="2"/>
    <n v="4.6549999999999994E-2"/>
  </r>
  <r>
    <s v="GUAYAQUIL"/>
    <x v="0"/>
    <x v="0"/>
    <x v="115"/>
    <s v="YOG FNSSE SBILA BOT 950G"/>
    <n v="18"/>
    <n v="1"/>
    <n v="0.95"/>
    <n v="45"/>
    <d v="2024-11-05T00:00:00"/>
    <s v="martes"/>
    <d v="2024-10-30T00:00:00"/>
    <x v="41"/>
    <n v="16"/>
    <n v="0.35555555555555557"/>
    <n v="18"/>
    <n v="17.099999999999998"/>
    <n v="6"/>
    <n v="0.8666666666666667"/>
    <n v="1.46231"/>
    <n v="1.46231"/>
    <n v="25.005500999999995"/>
    <n v="22"/>
    <x v="2"/>
    <n v="1.7099999999999997E-2"/>
  </r>
  <r>
    <s v="GUAYAQUIL"/>
    <x v="0"/>
    <x v="0"/>
    <x v="115"/>
    <s v="YOG FNSSE SBILA BOT 950G"/>
    <n v="18"/>
    <n v="1"/>
    <n v="0.95"/>
    <n v="45"/>
    <d v="2024-11-06T00:00:00"/>
    <s v="miércoles"/>
    <d v="2024-10-31T00:00:00"/>
    <x v="10"/>
    <n v="17"/>
    <n v="0.37777777777777777"/>
    <n v="18"/>
    <n v="17.099999999999998"/>
    <n v="6"/>
    <n v="0.8666666666666667"/>
    <n v="1.46231"/>
    <n v="1.46231"/>
    <n v="25.005500999999995"/>
    <n v="21"/>
    <x v="2"/>
    <n v="1.7099999999999997E-2"/>
  </r>
  <r>
    <s v="GUAYAQUIL"/>
    <x v="0"/>
    <x v="0"/>
    <x v="115"/>
    <s v="YOG FNSSE SBILA BOT 950G"/>
    <n v="18"/>
    <n v="1"/>
    <n v="0.95"/>
    <n v="45"/>
    <d v="2024-11-09T00:00:00"/>
    <s v="sábado"/>
    <d v="2024-10-31T00:00:00"/>
    <x v="10"/>
    <n v="17"/>
    <n v="0.37777777777777777"/>
    <n v="18"/>
    <n v="17.099999999999998"/>
    <n v="9"/>
    <n v="0.8"/>
    <n v="1.46231"/>
    <n v="1.46231"/>
    <n v="25.005500999999995"/>
    <n v="18"/>
    <x v="2"/>
    <n v="1.7099999999999997E-2"/>
  </r>
  <r>
    <s v="GUAYAQUIL"/>
    <x v="0"/>
    <x v="0"/>
    <x v="116"/>
    <s v="YOG FNSSE SBILA BOT 180G"/>
    <n v="216"/>
    <n v="1"/>
    <n v="0.18"/>
    <n v="45"/>
    <d v="2024-11-16T00:00:00"/>
    <s v="sábado"/>
    <d v="2024-11-08T00:00:00"/>
    <x v="9"/>
    <n v="25"/>
    <n v="0.55555555555555558"/>
    <n v="152"/>
    <n v="27.36"/>
    <n v="8"/>
    <n v="0.82222222222222219"/>
    <n v="0.32388"/>
    <n v="0.32388"/>
    <n v="8.8613567999999994"/>
    <n v="11"/>
    <x v="1"/>
    <n v="2.7359999999999999E-2"/>
  </r>
  <r>
    <s v="GUAYAQUIL"/>
    <x v="0"/>
    <x v="0"/>
    <x v="116"/>
    <s v="YOG FNSSE SBILA BOT 180G"/>
    <n v="108"/>
    <n v="1"/>
    <n v="0.18"/>
    <n v="45"/>
    <d v="2024-11-20T00:00:00"/>
    <s v="miércoles"/>
    <d v="2024-11-15T00:00:00"/>
    <x v="0"/>
    <n v="32"/>
    <n v="0.71111111111111114"/>
    <n v="108"/>
    <n v="19.439999999999998"/>
    <n v="5"/>
    <n v="0.88888888888888884"/>
    <n v="0.32388"/>
    <n v="0.32388"/>
    <n v="6.2962271999999997"/>
    <n v="7"/>
    <x v="0"/>
    <n v="1.9439999999999999E-2"/>
  </r>
  <r>
    <s v="GUAYAQUIL"/>
    <x v="0"/>
    <x v="0"/>
    <x v="117"/>
    <s v="YOG DUO KIOSKO PINA COCO FUN 900G"/>
    <n v="900"/>
    <n v="1"/>
    <n v="0.9"/>
    <n v="45"/>
    <d v="2024-11-13T00:00:00"/>
    <s v="miércoles"/>
    <d v="2024-11-07T00:00:00"/>
    <x v="1"/>
    <n v="24"/>
    <n v="0.53333333333333333"/>
    <n v="156"/>
    <n v="140.4"/>
    <n v="6"/>
    <n v="0.8666666666666667"/>
    <n v="0.63853000000000004"/>
    <n v="0.63853000000000004"/>
    <n v="89.649612000000005"/>
    <n v="14"/>
    <x v="1"/>
    <n v="0.1404"/>
  </r>
  <r>
    <s v="GUAYAQUIL"/>
    <x v="0"/>
    <x v="0"/>
    <x v="117"/>
    <s v="YOG DUO KIOSKO PINA COCO FUN 900G"/>
    <n v="900"/>
    <n v="1"/>
    <n v="0.9"/>
    <n v="45"/>
    <d v="2024-11-16T00:00:00"/>
    <s v="sábado"/>
    <d v="2024-11-12T00:00:00"/>
    <x v="5"/>
    <n v="29"/>
    <n v="0.64444444444444449"/>
    <n v="900"/>
    <n v="810"/>
    <n v="4"/>
    <n v="0.91111111111111109"/>
    <n v="0.63853000000000004"/>
    <n v="0.63853000000000004"/>
    <n v="517.20929999999998"/>
    <n v="11"/>
    <x v="0"/>
    <n v="0.81"/>
  </r>
  <r>
    <s v="GUAYAQUIL"/>
    <x v="0"/>
    <x v="0"/>
    <x v="117"/>
    <s v="YOG DUO KIOSKO PINA COCO FUN 900G"/>
    <n v="900"/>
    <n v="1"/>
    <n v="0.9"/>
    <n v="45"/>
    <d v="2024-11-15T00:00:00"/>
    <s v="viernes"/>
    <d v="2024-11-07T00:00:00"/>
    <x v="1"/>
    <n v="24"/>
    <n v="0.53333333333333333"/>
    <n v="900"/>
    <n v="810"/>
    <n v="8"/>
    <n v="0.82222222222222219"/>
    <n v="0.63853000000000004"/>
    <n v="0.63853000000000004"/>
    <n v="517.20929999999998"/>
    <n v="12"/>
    <x v="1"/>
    <n v="0.81"/>
  </r>
  <r>
    <s v="GUAYAQUIL"/>
    <x v="0"/>
    <x v="0"/>
    <x v="117"/>
    <s v="YOG DUO KIOSKO PINA COCO FUN 900G"/>
    <n v="900"/>
    <n v="1"/>
    <n v="0.9"/>
    <n v="45"/>
    <d v="2024-11-14T00:00:00"/>
    <s v="jueves"/>
    <d v="2024-11-06T00:00:00"/>
    <x v="11"/>
    <n v="23"/>
    <n v="0.51111111111111107"/>
    <n v="3"/>
    <n v="2.7"/>
    <n v="8"/>
    <n v="0.82222222222222219"/>
    <n v="0.63853000000000004"/>
    <n v="0.63853000000000004"/>
    <n v="1.7240310000000003"/>
    <n v="13"/>
    <x v="1"/>
    <n v="2.7000000000000001E-3"/>
  </r>
  <r>
    <s v="GUAYAQUIL"/>
    <x v="0"/>
    <x v="0"/>
    <x v="117"/>
    <s v="YOG DUO KIOSKO PINA COCO FUN 900G"/>
    <n v="675"/>
    <n v="1"/>
    <n v="0.9"/>
    <n v="45"/>
    <d v="2024-11-19T00:00:00"/>
    <s v="martes"/>
    <d v="2024-11-14T00:00:00"/>
    <x v="7"/>
    <n v="31"/>
    <n v="0.68888888888888888"/>
    <n v="270"/>
    <n v="243"/>
    <n v="5"/>
    <n v="0.88888888888888884"/>
    <n v="0.63853000000000004"/>
    <n v="0.63853000000000004"/>
    <n v="155.16279"/>
    <n v="8"/>
    <x v="0"/>
    <n v="0.24299999999999999"/>
  </r>
  <r>
    <s v="GUAYAQUIL"/>
    <x v="0"/>
    <x v="0"/>
    <x v="117"/>
    <s v="YOG DUO KIOSKO PINA COCO FUN 900G"/>
    <n v="675"/>
    <n v="1"/>
    <n v="0.9"/>
    <n v="45"/>
    <d v="2024-11-20T00:00:00"/>
    <s v="miércoles"/>
    <d v="2024-11-14T00:00:00"/>
    <x v="7"/>
    <n v="31"/>
    <n v="0.68888888888888888"/>
    <n v="675"/>
    <n v="607.5"/>
    <n v="6"/>
    <n v="0.8666666666666667"/>
    <n v="0.63853000000000004"/>
    <n v="0.63853000000000004"/>
    <n v="387.90697500000005"/>
    <n v="7"/>
    <x v="0"/>
    <n v="0.60750000000000004"/>
  </r>
  <r>
    <s v="GUAYAQUIL"/>
    <x v="0"/>
    <x v="0"/>
    <x v="117"/>
    <s v="YOG DUO KIOSKO PINA COCO FUN 900G"/>
    <n v="405"/>
    <n v="1"/>
    <n v="0.9"/>
    <n v="45"/>
    <d v="2024-11-21T00:00:00"/>
    <s v="jueves"/>
    <d v="2024-11-14T00:00:00"/>
    <x v="7"/>
    <n v="31"/>
    <n v="0.68888888888888888"/>
    <n v="405"/>
    <n v="364.5"/>
    <n v="7"/>
    <n v="0.84444444444444444"/>
    <n v="0.63853000000000004"/>
    <n v="0.63853000000000004"/>
    <n v="232.74418500000002"/>
    <n v="6"/>
    <x v="0"/>
    <n v="0.36449999999999999"/>
  </r>
  <r>
    <s v="GUAYAQUIL"/>
    <x v="0"/>
    <x v="0"/>
    <x v="118"/>
    <s v="RGN BBLE MORA 1750"/>
    <n v="24"/>
    <n v="1"/>
    <n v="1.75"/>
    <n v="45"/>
    <d v="2024-10-26T00:00:00"/>
    <s v="sábado"/>
    <d v="2024-10-22T00:00:00"/>
    <x v="79"/>
    <n v="8"/>
    <n v="0.17777777777777778"/>
    <n v="16"/>
    <n v="28"/>
    <n v="4"/>
    <n v="0.91111111111111109"/>
    <n v="2.20458"/>
    <n v="2.20458"/>
    <n v="61.72824"/>
    <n v="32"/>
    <x v="2"/>
    <n v="2.8000000000000001E-2"/>
  </r>
  <r>
    <s v="GUAYAQUIL"/>
    <x v="0"/>
    <x v="0"/>
    <x v="118"/>
    <s v="RGN BBLE MORA 1750"/>
    <n v="12"/>
    <n v="1"/>
    <n v="1.75"/>
    <n v="45"/>
    <d v="2024-11-19T00:00:00"/>
    <s v="martes"/>
    <d v="2024-11-12T00:00:00"/>
    <x v="5"/>
    <n v="29"/>
    <n v="0.64444444444444449"/>
    <n v="8"/>
    <n v="14"/>
    <n v="7"/>
    <n v="0.84444444444444444"/>
    <n v="2.20458"/>
    <n v="2.20458"/>
    <n v="30.86412"/>
    <n v="8"/>
    <x v="0"/>
    <n v="1.4E-2"/>
  </r>
  <r>
    <s v="GUAYAQUIL"/>
    <x v="0"/>
    <x v="0"/>
    <x v="118"/>
    <s v="RGN BBLE MORA 1750"/>
    <n v="36"/>
    <n v="1"/>
    <n v="1.75"/>
    <n v="45"/>
    <d v="2024-11-20T00:00:00"/>
    <s v="miércoles"/>
    <d v="2024-11-15T00:00:00"/>
    <x v="0"/>
    <n v="32"/>
    <n v="0.71111111111111114"/>
    <n v="36"/>
    <n v="63"/>
    <n v="5"/>
    <n v="0.88888888888888884"/>
    <n v="2.20458"/>
    <n v="2.20458"/>
    <n v="138.88854000000001"/>
    <n v="7"/>
    <x v="0"/>
    <n v="6.3E-2"/>
  </r>
  <r>
    <s v="GUAYAQUIL"/>
    <x v="0"/>
    <x v="0"/>
    <x v="119"/>
    <s v="RGN BBLE MORA 1000"/>
    <n v="54"/>
    <n v="1"/>
    <n v="1"/>
    <n v="45"/>
    <d v="2024-11-16T00:00:00"/>
    <s v="sábado"/>
    <d v="2024-11-15T00:00:00"/>
    <x v="0"/>
    <n v="32"/>
    <n v="0.71111111111111114"/>
    <n v="40"/>
    <n v="40"/>
    <n v="1"/>
    <n v="0.97777777777777775"/>
    <n v="1.3255649999999999"/>
    <n v="1.3255649999999999"/>
    <n v="53.022599999999997"/>
    <n v="11"/>
    <x v="0"/>
    <n v="0.04"/>
  </r>
  <r>
    <s v="GUAYAQUIL"/>
    <x v="0"/>
    <x v="0"/>
    <x v="119"/>
    <s v="RGN BBLE MORA 1000"/>
    <n v="18"/>
    <n v="1"/>
    <n v="1"/>
    <n v="45"/>
    <d v="2024-11-20T00:00:00"/>
    <s v="miércoles"/>
    <d v="2024-11-15T00:00:00"/>
    <x v="0"/>
    <n v="32"/>
    <n v="0.71111111111111114"/>
    <n v="18"/>
    <n v="18"/>
    <n v="5"/>
    <n v="0.88888888888888884"/>
    <n v="1.3255649999999999"/>
    <n v="1.3255649999999999"/>
    <n v="23.860169999999997"/>
    <n v="7"/>
    <x v="0"/>
    <n v="1.7999999999999999E-2"/>
  </r>
  <r>
    <s v="GUAYAQUIL"/>
    <x v="0"/>
    <x v="0"/>
    <x v="120"/>
    <s v="RGN BBLE MORA 180"/>
    <n v="108"/>
    <n v="1"/>
    <n v="0.18"/>
    <n v="45"/>
    <d v="2024-11-16T00:00:00"/>
    <s v="sábado"/>
    <d v="2024-11-13T00:00:00"/>
    <x v="2"/>
    <n v="30"/>
    <n v="0.66666666666666663"/>
    <n v="64"/>
    <n v="11.52"/>
    <n v="3"/>
    <n v="0.93333333333333335"/>
    <n v="0.29577500000000001"/>
    <n v="0.29577500000000001"/>
    <n v="3.4073280000000001"/>
    <n v="11"/>
    <x v="0"/>
    <n v="1.1519999999999999E-2"/>
  </r>
  <r>
    <s v="GUAYAQUIL"/>
    <x v="0"/>
    <x v="0"/>
    <x v="120"/>
    <s v="RGN BBLE MORA 180"/>
    <n v="216"/>
    <n v="1"/>
    <n v="0.18"/>
    <n v="45"/>
    <d v="2024-11-19T00:00:00"/>
    <s v="martes"/>
    <d v="2024-11-13T00:00:00"/>
    <x v="2"/>
    <n v="30"/>
    <n v="0.66666666666666663"/>
    <n v="216"/>
    <n v="38.879999999999995"/>
    <n v="6"/>
    <n v="0.8666666666666667"/>
    <n v="0.29577500000000001"/>
    <n v="0.29577500000000001"/>
    <n v="11.499732"/>
    <n v="8"/>
    <x v="0"/>
    <n v="3.8879999999999998E-2"/>
  </r>
  <r>
    <s v="GUAYAQUIL"/>
    <x v="0"/>
    <x v="0"/>
    <x v="120"/>
    <s v="RGN BBLE MORA 180"/>
    <n v="216"/>
    <n v="1"/>
    <n v="0.18"/>
    <n v="45"/>
    <d v="2024-11-20T00:00:00"/>
    <s v="miércoles"/>
    <d v="2024-11-15T00:00:00"/>
    <x v="0"/>
    <n v="32"/>
    <n v="0.71111111111111114"/>
    <n v="0"/>
    <n v="0"/>
    <n v="5"/>
    <n v="0.88888888888888884"/>
    <n v="0.29577500000000001"/>
    <n v="0.29577500000000001"/>
    <n v="0"/>
    <n v="7"/>
    <x v="0"/>
    <n v="0"/>
  </r>
  <r>
    <s v="GUAYAQUIL"/>
    <x v="0"/>
    <x v="0"/>
    <x v="120"/>
    <s v="RGN BBLE MORA 180"/>
    <n v="216"/>
    <n v="1"/>
    <n v="0.18"/>
    <n v="45"/>
    <d v="2024-11-21T00:00:00"/>
    <s v="jueves"/>
    <d v="2024-11-15T00:00:00"/>
    <x v="0"/>
    <n v="32"/>
    <n v="0.71111111111111114"/>
    <n v="216"/>
    <n v="38.879999999999995"/>
    <n v="6"/>
    <n v="0.8666666666666667"/>
    <n v="0.29577500000000001"/>
    <n v="0.29577500000000001"/>
    <n v="11.499732"/>
    <n v="6"/>
    <x v="0"/>
    <n v="3.8879999999999998E-2"/>
  </r>
  <r>
    <s v="GUAYAQUIL"/>
    <x v="0"/>
    <x v="0"/>
    <x v="121"/>
    <s v="RGN CER PITA BOT 180G"/>
    <n v="216"/>
    <n v="1"/>
    <n v="0.18"/>
    <n v="45"/>
    <d v="2024-11-13T00:00:00"/>
    <s v="miércoles"/>
    <d v="2024-11-07T00:00:00"/>
    <x v="1"/>
    <n v="24"/>
    <n v="0.53333333333333333"/>
    <n v="11"/>
    <n v="1.98"/>
    <n v="6"/>
    <n v="0.8666666666666667"/>
    <n v="0.32785500000000001"/>
    <n v="0.32785500000000001"/>
    <n v="0.64915290000000003"/>
    <n v="14"/>
    <x v="1"/>
    <n v="1.98E-3"/>
  </r>
  <r>
    <s v="GUAYAQUIL"/>
    <x v="0"/>
    <x v="0"/>
    <x v="121"/>
    <s v="RGN CER PITA BOT 180G"/>
    <n v="540"/>
    <n v="1"/>
    <n v="0.18"/>
    <n v="45"/>
    <d v="2024-11-16T00:00:00"/>
    <s v="sábado"/>
    <d v="2024-11-13T00:00:00"/>
    <x v="2"/>
    <n v="30"/>
    <n v="0.66666666666666663"/>
    <n v="540"/>
    <n v="97.2"/>
    <n v="3"/>
    <n v="0.93333333333333335"/>
    <n v="0.32785500000000001"/>
    <n v="0.32785500000000001"/>
    <n v="31.867506000000002"/>
    <n v="11"/>
    <x v="0"/>
    <n v="9.7200000000000009E-2"/>
  </r>
  <r>
    <s v="GUAYAQUIL"/>
    <x v="0"/>
    <x v="0"/>
    <x v="121"/>
    <s v="RGN CER PITA BOT 180G"/>
    <n v="216"/>
    <n v="1"/>
    <n v="0.18"/>
    <n v="45"/>
    <d v="2024-11-15T00:00:00"/>
    <s v="viernes"/>
    <d v="2024-11-13T00:00:00"/>
    <x v="2"/>
    <n v="30"/>
    <n v="0.66666666666666663"/>
    <n v="2"/>
    <n v="0.36"/>
    <n v="2"/>
    <n v="0.9555555555555556"/>
    <n v="0.32785500000000001"/>
    <n v="0.32785500000000001"/>
    <n v="0.1180278"/>
    <n v="12"/>
    <x v="0"/>
    <n v="3.5999999999999997E-4"/>
  </r>
  <r>
    <s v="GUAYAQUIL"/>
    <x v="0"/>
    <x v="0"/>
    <x v="121"/>
    <s v="RGN CER PITA BOT 180G"/>
    <n v="432"/>
    <n v="1"/>
    <n v="0.18"/>
    <n v="45"/>
    <d v="2024-11-19T00:00:00"/>
    <s v="martes"/>
    <d v="2024-11-13T00:00:00"/>
    <x v="2"/>
    <n v="30"/>
    <n v="0.66666666666666663"/>
    <n v="432"/>
    <n v="77.759999999999991"/>
    <n v="6"/>
    <n v="0.8666666666666667"/>
    <n v="0.32785500000000001"/>
    <n v="0.32785500000000001"/>
    <n v="25.494004799999999"/>
    <n v="8"/>
    <x v="0"/>
    <n v="7.7759999999999996E-2"/>
  </r>
  <r>
    <s v="GUAYAQUIL"/>
    <x v="0"/>
    <x v="0"/>
    <x v="121"/>
    <s v="RGN CER PITA BOT 180G"/>
    <n v="432"/>
    <n v="1"/>
    <n v="0.18"/>
    <n v="45"/>
    <d v="2024-11-21T00:00:00"/>
    <s v="jueves"/>
    <d v="2024-11-15T00:00:00"/>
    <x v="0"/>
    <n v="32"/>
    <n v="0.71111111111111114"/>
    <n v="324"/>
    <n v="58.32"/>
    <n v="6"/>
    <n v="0.8666666666666667"/>
    <n v="0.32785500000000001"/>
    <n v="0.32785500000000001"/>
    <n v="19.120503599999999"/>
    <n v="6"/>
    <x v="0"/>
    <n v="5.8319999999999997E-2"/>
  </r>
  <r>
    <s v="GUAYAQUIL"/>
    <x v="0"/>
    <x v="0"/>
    <x v="122"/>
    <s v="RGN LGHT FTLLA BOT 1000G"/>
    <n v="18"/>
    <n v="1"/>
    <n v="1"/>
    <n v="45"/>
    <d v="2024-11-16T00:00:00"/>
    <s v="sábado"/>
    <d v="2024-11-06T00:00:00"/>
    <x v="11"/>
    <n v="23"/>
    <n v="0.51111111111111107"/>
    <n v="4"/>
    <n v="4"/>
    <n v="10"/>
    <n v="0.77777777777777779"/>
    <n v="1.3149000000000002"/>
    <n v="1.3149000000000002"/>
    <n v="5.2596000000000007"/>
    <n v="11"/>
    <x v="1"/>
    <n v="4.0000000000000001E-3"/>
  </r>
  <r>
    <s v="GUAYAQUIL"/>
    <x v="0"/>
    <x v="0"/>
    <x v="122"/>
    <s v="RGN LGHT FTLLA BOT 1000G"/>
    <n v="18"/>
    <n v="1"/>
    <n v="1"/>
    <n v="45"/>
    <d v="2024-11-19T00:00:00"/>
    <s v="martes"/>
    <d v="2024-11-06T00:00:00"/>
    <x v="11"/>
    <n v="23"/>
    <n v="0.51111111111111107"/>
    <n v="18"/>
    <n v="18"/>
    <n v="13"/>
    <n v="0.71111111111111114"/>
    <n v="1.3149000000000002"/>
    <n v="1.3149000000000002"/>
    <n v="23.668200000000002"/>
    <n v="8"/>
    <x v="1"/>
    <n v="1.7999999999999999E-2"/>
  </r>
  <r>
    <s v="GUAYAQUIL"/>
    <x v="0"/>
    <x v="0"/>
    <x v="122"/>
    <s v="RGN LGHT FTLLA BOT 1000G"/>
    <n v="18"/>
    <n v="1"/>
    <n v="1"/>
    <n v="45"/>
    <d v="2024-11-20T00:00:00"/>
    <s v="miércoles"/>
    <d v="2024-11-14T00:00:00"/>
    <x v="7"/>
    <n v="31"/>
    <n v="0.68888888888888888"/>
    <n v="18"/>
    <n v="18"/>
    <n v="6"/>
    <n v="0.8666666666666667"/>
    <n v="1.3149000000000002"/>
    <n v="1.3149000000000002"/>
    <n v="23.668200000000002"/>
    <n v="7"/>
    <x v="0"/>
    <n v="1.7999999999999999E-2"/>
  </r>
  <r>
    <s v="GUAYAQUIL"/>
    <x v="0"/>
    <x v="0"/>
    <x v="123"/>
    <s v="RGN LGHT FTLLA BOT 1750G"/>
    <n v="24"/>
    <n v="1"/>
    <n v="1.75"/>
    <n v="45"/>
    <d v="2024-11-16T00:00:00"/>
    <s v="sábado"/>
    <d v="2024-11-14T00:00:00"/>
    <x v="7"/>
    <n v="31"/>
    <n v="0.68888888888888888"/>
    <n v="23"/>
    <n v="40.25"/>
    <n v="2"/>
    <n v="0.9555555555555556"/>
    <n v="2.1685949999999998"/>
    <n v="2.1685949999999998"/>
    <n v="87.285948749999989"/>
    <n v="11"/>
    <x v="0"/>
    <n v="4.0250000000000001E-2"/>
  </r>
  <r>
    <s v="GUAYAQUIL"/>
    <x v="0"/>
    <x v="0"/>
    <x v="123"/>
    <s v="RGN LGHT FTLLA BOT 1750G"/>
    <n v="12"/>
    <n v="1"/>
    <n v="1.75"/>
    <n v="45"/>
    <d v="2024-11-20T00:00:00"/>
    <s v="miércoles"/>
    <d v="2024-11-14T00:00:00"/>
    <x v="7"/>
    <n v="31"/>
    <n v="0.68888888888888888"/>
    <n v="12"/>
    <n v="21"/>
    <n v="6"/>
    <n v="0.8666666666666667"/>
    <n v="2.1685949999999998"/>
    <n v="2.1685949999999998"/>
    <n v="45.540494999999993"/>
    <n v="7"/>
    <x v="0"/>
    <n v="2.1000000000000001E-2"/>
  </r>
  <r>
    <s v="GUAYAQUIL"/>
    <x v="0"/>
    <x v="0"/>
    <x v="124"/>
    <s v="RGN BBLE DZNO BOT 180G"/>
    <n v="108"/>
    <n v="1"/>
    <n v="0.18"/>
    <n v="45"/>
    <d v="2024-11-16T00:00:00"/>
    <s v="sábado"/>
    <d v="2024-11-08T00:00:00"/>
    <x v="9"/>
    <n v="25"/>
    <n v="0.55555555555555558"/>
    <n v="108"/>
    <n v="19.439999999999998"/>
    <n v="8"/>
    <n v="0.82222222222222219"/>
    <n v="0.29342499999999999"/>
    <n v="0.29342499999999999"/>
    <n v="5.7041819999999994"/>
    <n v="11"/>
    <x v="1"/>
    <n v="1.9439999999999999E-2"/>
  </r>
  <r>
    <s v="GUAYAQUIL"/>
    <x v="0"/>
    <x v="0"/>
    <x v="124"/>
    <s v="RGN BBLE DZNO BOT 180G"/>
    <n v="108"/>
    <n v="1"/>
    <n v="0.18"/>
    <n v="45"/>
    <d v="2024-11-15T00:00:00"/>
    <s v="viernes"/>
    <d v="2024-11-08T00:00:00"/>
    <x v="9"/>
    <n v="25"/>
    <n v="0.55555555555555558"/>
    <n v="108"/>
    <n v="19.439999999999998"/>
    <n v="7"/>
    <n v="0.84444444444444444"/>
    <n v="0.29342499999999999"/>
    <n v="0.29342499999999999"/>
    <n v="5.7041819999999994"/>
    <n v="12"/>
    <x v="1"/>
    <n v="1.9439999999999999E-2"/>
  </r>
  <r>
    <s v="GUAYAQUIL"/>
    <x v="0"/>
    <x v="0"/>
    <x v="124"/>
    <s v="RGN BBLE DZNO BOT 180G"/>
    <n v="216"/>
    <n v="1"/>
    <n v="0.18"/>
    <n v="45"/>
    <d v="2024-11-14T00:00:00"/>
    <s v="jueves"/>
    <d v="2024-11-08T00:00:00"/>
    <x v="9"/>
    <n v="25"/>
    <n v="0.55555555555555558"/>
    <n v="97"/>
    <n v="17.46"/>
    <n v="6"/>
    <n v="0.8666666666666667"/>
    <n v="0.29342499999999999"/>
    <n v="0.29342499999999999"/>
    <n v="5.1232005000000003"/>
    <n v="13"/>
    <x v="1"/>
    <n v="1.746E-2"/>
  </r>
  <r>
    <s v="GUAYAQUIL"/>
    <x v="0"/>
    <x v="0"/>
    <x v="124"/>
    <s v="RGN BBLE DZNO BOT 180G"/>
    <n v="216"/>
    <n v="1"/>
    <n v="0.18"/>
    <n v="45"/>
    <d v="2024-11-19T00:00:00"/>
    <s v="martes"/>
    <d v="2024-11-13T00:00:00"/>
    <x v="2"/>
    <n v="30"/>
    <n v="0.66666666666666663"/>
    <n v="216"/>
    <n v="38.879999999999995"/>
    <n v="6"/>
    <n v="0.8666666666666667"/>
    <n v="0.29342499999999999"/>
    <n v="0.29342499999999999"/>
    <n v="11.408363999999999"/>
    <n v="8"/>
    <x v="0"/>
    <n v="3.8879999999999998E-2"/>
  </r>
  <r>
    <s v="GUAYAQUIL"/>
    <x v="0"/>
    <x v="0"/>
    <x v="124"/>
    <s v="RGN BBLE DZNO BOT 180G"/>
    <n v="216"/>
    <n v="1"/>
    <n v="0.18"/>
    <n v="45"/>
    <d v="2024-11-20T00:00:00"/>
    <s v="miércoles"/>
    <d v="2024-11-14T00:00:00"/>
    <x v="7"/>
    <n v="31"/>
    <n v="0.68888888888888888"/>
    <n v="216"/>
    <n v="38.879999999999995"/>
    <n v="6"/>
    <n v="0.8666666666666667"/>
    <n v="0.29342499999999999"/>
    <n v="0.29342499999999999"/>
    <n v="11.408363999999999"/>
    <n v="7"/>
    <x v="0"/>
    <n v="3.8879999999999998E-2"/>
  </r>
  <r>
    <s v="GUAYAQUIL"/>
    <x v="0"/>
    <x v="0"/>
    <x v="125"/>
    <s v="RGN BBLE DZNO BOT 1000G"/>
    <n v="54"/>
    <n v="1"/>
    <n v="1"/>
    <n v="45"/>
    <d v="2024-11-16T00:00:00"/>
    <s v="sábado"/>
    <d v="2024-11-13T00:00:00"/>
    <x v="2"/>
    <n v="30"/>
    <n v="0.66666666666666663"/>
    <n v="16"/>
    <n v="16"/>
    <n v="3"/>
    <n v="0.93333333333333335"/>
    <n v="1.3744550000000002"/>
    <n v="1.3744550000000002"/>
    <n v="21.991280000000003"/>
    <n v="11"/>
    <x v="0"/>
    <n v="1.6E-2"/>
  </r>
  <r>
    <s v="GUAYAQUIL"/>
    <x v="0"/>
    <x v="0"/>
    <x v="125"/>
    <s v="RGN BBLE DZNO BOT 1000G"/>
    <n v="36"/>
    <n v="1"/>
    <n v="1"/>
    <n v="45"/>
    <d v="2024-11-19T00:00:00"/>
    <s v="martes"/>
    <d v="2024-11-13T00:00:00"/>
    <x v="2"/>
    <n v="30"/>
    <n v="0.66666666666666663"/>
    <n v="36"/>
    <n v="36"/>
    <n v="6"/>
    <n v="0.8666666666666667"/>
    <n v="1.3744550000000002"/>
    <n v="1.3744550000000002"/>
    <n v="49.480380000000011"/>
    <n v="8"/>
    <x v="0"/>
    <n v="3.5999999999999997E-2"/>
  </r>
  <r>
    <s v="GUAYAQUIL"/>
    <x v="0"/>
    <x v="0"/>
    <x v="125"/>
    <s v="RGN BBLE DZNO BOT 1000G"/>
    <n v="36"/>
    <n v="1"/>
    <n v="1"/>
    <n v="45"/>
    <d v="2024-11-21T00:00:00"/>
    <s v="jueves"/>
    <d v="2024-11-15T00:00:00"/>
    <x v="0"/>
    <n v="32"/>
    <n v="0.71111111111111114"/>
    <n v="18"/>
    <n v="18"/>
    <n v="6"/>
    <n v="0.8666666666666667"/>
    <n v="1.3744550000000002"/>
    <n v="1.3744550000000002"/>
    <n v="24.740190000000005"/>
    <n v="6"/>
    <x v="0"/>
    <n v="1.7999999999999999E-2"/>
  </r>
  <r>
    <s v="GUAYAQUIL"/>
    <x v="0"/>
    <x v="0"/>
    <x v="126"/>
    <s v="RGN BBLE FTLLA BOT 180G"/>
    <n v="756"/>
    <n v="1"/>
    <n v="0.18"/>
    <n v="45"/>
    <d v="2024-11-09T00:00:00"/>
    <s v="sábado"/>
    <d v="2024-10-30T00:00:00"/>
    <x v="41"/>
    <n v="16"/>
    <n v="0.35555555555555557"/>
    <n v="151"/>
    <n v="27.18"/>
    <n v="10"/>
    <n v="0.77777777777777779"/>
    <n v="0.30145500000000003"/>
    <n v="0.30145500000000003"/>
    <n v="8.1935469000000012"/>
    <n v="18"/>
    <x v="2"/>
    <n v="2.7179999999999999E-2"/>
  </r>
  <r>
    <s v="GUAYAQUIL"/>
    <x v="0"/>
    <x v="0"/>
    <x v="126"/>
    <s v="RGN BBLE FTLLA BOT 180G"/>
    <n v="324"/>
    <n v="1"/>
    <n v="0.18"/>
    <n v="45"/>
    <d v="2024-11-12T00:00:00"/>
    <s v="martes"/>
    <d v="2024-10-31T00:00:00"/>
    <x v="10"/>
    <n v="17"/>
    <n v="0.37777777777777777"/>
    <n v="132"/>
    <n v="23.759999999999998"/>
    <n v="12"/>
    <n v="0.73333333333333339"/>
    <n v="0.30145500000000003"/>
    <n v="0.30145500000000003"/>
    <n v="7.1625708000000001"/>
    <n v="15"/>
    <x v="2"/>
    <n v="2.3759999999999996E-2"/>
  </r>
  <r>
    <s v="GUAYAQUIL"/>
    <x v="0"/>
    <x v="0"/>
    <x v="126"/>
    <s v="RGN BBLE FTLLA BOT 180G"/>
    <n v="540"/>
    <n v="1"/>
    <n v="0.18"/>
    <n v="45"/>
    <d v="2024-11-16T00:00:00"/>
    <s v="sábado"/>
    <d v="2024-11-08T00:00:00"/>
    <x v="9"/>
    <n v="25"/>
    <n v="0.55555555555555558"/>
    <n v="393"/>
    <n v="70.739999999999995"/>
    <n v="8"/>
    <n v="0.82222222222222219"/>
    <n v="0.30145500000000003"/>
    <n v="0.30145500000000003"/>
    <n v="21.324926699999999"/>
    <n v="11"/>
    <x v="1"/>
    <n v="7.0739999999999997E-2"/>
  </r>
  <r>
    <s v="GUAYAQUIL"/>
    <x v="0"/>
    <x v="0"/>
    <x v="126"/>
    <s v="RGN BBLE FTLLA BOT 180G"/>
    <n v="0"/>
    <n v="1"/>
    <n v="0.18"/>
    <n v="45"/>
    <d v="2024-11-15T00:00:00"/>
    <s v="viernes"/>
    <d v="2024-11-15T00:00:00"/>
    <x v="0"/>
    <n v="32"/>
    <n v="0.71111111111111114"/>
    <n v="1"/>
    <n v="0.18"/>
    <n v="0"/>
    <n v="1"/>
    <n v="0.30145500000000003"/>
    <n v="0.30145500000000003"/>
    <n v="5.4261900000000002E-2"/>
    <n v="12"/>
    <x v="0"/>
    <n v="1.7999999999999998E-4"/>
  </r>
  <r>
    <s v="GUAYAQUIL"/>
    <x v="0"/>
    <x v="0"/>
    <x v="126"/>
    <s v="RGN BBLE FTLLA BOT 180G"/>
    <n v="540"/>
    <n v="1"/>
    <n v="0.18"/>
    <n v="45"/>
    <d v="2024-11-19T00:00:00"/>
    <s v="martes"/>
    <d v="2024-11-13T00:00:00"/>
    <x v="2"/>
    <n v="30"/>
    <n v="0.66666666666666663"/>
    <n v="540"/>
    <n v="97.2"/>
    <n v="6"/>
    <n v="0.8666666666666667"/>
    <n v="0.30145500000000003"/>
    <n v="0.30145500000000003"/>
    <n v="29.301426000000003"/>
    <n v="8"/>
    <x v="0"/>
    <n v="9.7200000000000009E-2"/>
  </r>
  <r>
    <s v="GUAYAQUIL"/>
    <x v="0"/>
    <x v="0"/>
    <x v="126"/>
    <s v="RGN BBLE FTLLA BOT 180G"/>
    <n v="216"/>
    <n v="1"/>
    <n v="0.18"/>
    <n v="45"/>
    <d v="2024-11-20T00:00:00"/>
    <s v="miércoles"/>
    <d v="2024-11-13T00:00:00"/>
    <x v="2"/>
    <n v="30"/>
    <n v="0.66666666666666663"/>
    <n v="216"/>
    <n v="38.879999999999995"/>
    <n v="7"/>
    <n v="0.84444444444444444"/>
    <n v="0.30145500000000003"/>
    <n v="0.30145500000000003"/>
    <n v="11.7205704"/>
    <n v="7"/>
    <x v="0"/>
    <n v="3.8879999999999998E-2"/>
  </r>
  <r>
    <s v="GUAYAQUIL"/>
    <x v="0"/>
    <x v="0"/>
    <x v="127"/>
    <s v="RGN BBLE FTLLA BOT 1000G"/>
    <n v="54"/>
    <n v="1"/>
    <n v="1"/>
    <n v="45"/>
    <d v="2024-11-12T00:00:00"/>
    <s v="martes"/>
    <d v="2024-11-08T00:00:00"/>
    <x v="9"/>
    <n v="25"/>
    <n v="0.55555555555555558"/>
    <n v="1"/>
    <n v="1"/>
    <n v="4"/>
    <n v="0.91111111111111109"/>
    <n v="1.3619949999999998"/>
    <n v="1.3619949999999998"/>
    <n v="1.3619949999999998"/>
    <n v="15"/>
    <x v="1"/>
    <n v="1E-3"/>
  </r>
  <r>
    <s v="GUAYAQUIL"/>
    <x v="0"/>
    <x v="0"/>
    <x v="127"/>
    <s v="RGN BBLE FTLLA BOT 1000G"/>
    <n v="72"/>
    <n v="1"/>
    <n v="1"/>
    <n v="45"/>
    <d v="2024-11-16T00:00:00"/>
    <s v="sábado"/>
    <d v="2024-11-14T00:00:00"/>
    <x v="7"/>
    <n v="31"/>
    <n v="0.68888888888888888"/>
    <n v="42"/>
    <n v="42"/>
    <n v="2"/>
    <n v="0.9555555555555556"/>
    <n v="1.3619949999999998"/>
    <n v="1.3619949999999998"/>
    <n v="57.203789999999991"/>
    <n v="11"/>
    <x v="0"/>
    <n v="4.2000000000000003E-2"/>
  </r>
  <r>
    <s v="GUAYAQUIL"/>
    <x v="0"/>
    <x v="0"/>
    <x v="127"/>
    <s v="RGN BBLE FTLLA BOT 1000G"/>
    <n v="72"/>
    <n v="1"/>
    <n v="1"/>
    <n v="45"/>
    <d v="2024-11-19T00:00:00"/>
    <s v="martes"/>
    <d v="2024-11-14T00:00:00"/>
    <x v="7"/>
    <n v="31"/>
    <n v="0.68888888888888888"/>
    <n v="72"/>
    <n v="72"/>
    <n v="5"/>
    <n v="0.88888888888888884"/>
    <n v="1.3619949999999998"/>
    <n v="1.3619949999999998"/>
    <n v="98.063639999999992"/>
    <n v="8"/>
    <x v="0"/>
    <n v="7.1999999999999995E-2"/>
  </r>
  <r>
    <s v="GUAYAQUIL"/>
    <x v="0"/>
    <x v="0"/>
    <x v="127"/>
    <s v="RGN BBLE FTLLA BOT 1000G"/>
    <n v="54"/>
    <n v="1"/>
    <n v="1"/>
    <n v="45"/>
    <d v="2024-11-20T00:00:00"/>
    <s v="miércoles"/>
    <d v="2024-11-19T00:00:00"/>
    <x v="8"/>
    <n v="36"/>
    <n v="0.8"/>
    <n v="54"/>
    <n v="54"/>
    <n v="1"/>
    <n v="0.97777777777777775"/>
    <n v="1.3619949999999998"/>
    <n v="1.3619949999999998"/>
    <n v="73.547729999999987"/>
    <n v="7"/>
    <x v="0"/>
    <n v="5.3999999999999999E-2"/>
  </r>
  <r>
    <s v="GUAYAQUIL"/>
    <x v="0"/>
    <x v="0"/>
    <x v="128"/>
    <s v="RGN TZOS MOR BOT 1750G"/>
    <n v="84"/>
    <n v="1"/>
    <n v="1.75"/>
    <n v="45"/>
    <d v="2024-10-31T00:00:00"/>
    <s v="jueves"/>
    <d v="2024-10-22T00:00:00"/>
    <x v="79"/>
    <n v="8"/>
    <n v="0.17777777777777778"/>
    <n v="9"/>
    <n v="15.75"/>
    <n v="9"/>
    <n v="0.8"/>
    <n v="2.3769900000000002"/>
    <n v="2.3769900000000002"/>
    <n v="37.437592500000001"/>
    <n v="27"/>
    <x v="2"/>
    <n v="1.575E-2"/>
  </r>
  <r>
    <s v="GUAYAQUIL"/>
    <x v="0"/>
    <x v="0"/>
    <x v="128"/>
    <s v="RGN TZOS MOR BOT 1750G"/>
    <n v="144"/>
    <n v="1"/>
    <n v="1.75"/>
    <n v="45"/>
    <d v="2024-11-09T00:00:00"/>
    <s v="sábado"/>
    <d v="2024-10-31T00:00:00"/>
    <x v="10"/>
    <n v="17"/>
    <n v="0.37777777777777777"/>
    <n v="101"/>
    <n v="176.75"/>
    <n v="9"/>
    <n v="0.8"/>
    <n v="2.3769900000000002"/>
    <n v="2.3769900000000002"/>
    <n v="420.13298250000003"/>
    <n v="18"/>
    <x v="2"/>
    <n v="0.17674999999999999"/>
  </r>
  <r>
    <s v="GUAYAQUIL"/>
    <x v="0"/>
    <x v="0"/>
    <x v="128"/>
    <s v="RGN TZOS MOR BOT 1750G"/>
    <n v="72"/>
    <n v="1"/>
    <n v="1.75"/>
    <n v="45"/>
    <d v="2024-11-20T00:00:00"/>
    <s v="miércoles"/>
    <d v="2024-11-12T00:00:00"/>
    <x v="5"/>
    <n v="29"/>
    <n v="0.64444444444444449"/>
    <n v="65"/>
    <n v="113.75"/>
    <n v="8"/>
    <n v="0.82222222222222219"/>
    <n v="2.3769900000000002"/>
    <n v="2.3769900000000002"/>
    <n v="270.38261249999999"/>
    <n v="7"/>
    <x v="0"/>
    <n v="0.11375"/>
  </r>
  <r>
    <s v="GUAYAQUIL"/>
    <x v="0"/>
    <x v="0"/>
    <x v="129"/>
    <s v="RGN TZOS DZNO BOT 1750G"/>
    <n v="180"/>
    <n v="1"/>
    <n v="1.75"/>
    <n v="45"/>
    <d v="2024-11-20T00:00:00"/>
    <s v="miércoles"/>
    <d v="2024-11-19T00:00:00"/>
    <x v="8"/>
    <n v="36"/>
    <n v="0.8"/>
    <n v="174"/>
    <n v="304.5"/>
    <n v="1"/>
    <n v="0.97777777777777775"/>
    <n v="2.36903"/>
    <n v="2.36903"/>
    <n v="721.36963500000002"/>
    <n v="7"/>
    <x v="0"/>
    <n v="0.30449999999999999"/>
  </r>
  <r>
    <s v="GUAYAQUIL"/>
    <x v="0"/>
    <x v="0"/>
    <x v="130"/>
    <s v="RGN TZOS MOR BOT 1000G"/>
    <n v="18"/>
    <n v="1"/>
    <n v="1"/>
    <n v="45"/>
    <d v="2024-11-08T00:00:00"/>
    <s v="viernes"/>
    <d v="2024-10-31T00:00:00"/>
    <x v="10"/>
    <n v="17"/>
    <n v="0.37777777777777777"/>
    <n v="0"/>
    <n v="0"/>
    <n v="8"/>
    <n v="0.82222222222222219"/>
    <n v="1.4067150000000002"/>
    <n v="1.4067150000000002"/>
    <n v="0"/>
    <n v="19"/>
    <x v="2"/>
    <n v="0"/>
  </r>
  <r>
    <s v="GUAYAQUIL"/>
    <x v="0"/>
    <x v="0"/>
    <x v="130"/>
    <s v="RGN TZOS MOR BOT 1000G"/>
    <n v="18"/>
    <n v="1"/>
    <n v="1"/>
    <n v="45"/>
    <d v="2024-11-09T00:00:00"/>
    <s v="sábado"/>
    <d v="2024-10-31T00:00:00"/>
    <x v="10"/>
    <n v="17"/>
    <n v="0.37777777777777777"/>
    <n v="18"/>
    <n v="18"/>
    <n v="9"/>
    <n v="0.8"/>
    <n v="1.4067150000000002"/>
    <n v="1.4067150000000002"/>
    <n v="25.320870000000003"/>
    <n v="18"/>
    <x v="2"/>
    <n v="1.7999999999999999E-2"/>
  </r>
  <r>
    <s v="GUAYAQUIL"/>
    <x v="0"/>
    <x v="0"/>
    <x v="130"/>
    <s v="RGN TZOS MOR BOT 1000G"/>
    <n v="90"/>
    <n v="1"/>
    <n v="1"/>
    <n v="45"/>
    <d v="2024-11-20T00:00:00"/>
    <s v="miércoles"/>
    <d v="2024-11-14T00:00:00"/>
    <x v="7"/>
    <n v="31"/>
    <n v="0.68888888888888888"/>
    <n v="89"/>
    <n v="89"/>
    <n v="6"/>
    <n v="0.8666666666666667"/>
    <n v="1.4067150000000002"/>
    <n v="1.4067150000000002"/>
    <n v="125.19763500000002"/>
    <n v="7"/>
    <x v="0"/>
    <n v="8.8999999999999996E-2"/>
  </r>
  <r>
    <s v="GUAYAQUIL"/>
    <x v="0"/>
    <x v="0"/>
    <x v="131"/>
    <s v="RGN TZOS FTLLA BOT 1000G"/>
    <n v="90"/>
    <n v="1"/>
    <n v="1"/>
    <n v="45"/>
    <d v="2024-11-16T00:00:00"/>
    <s v="sábado"/>
    <d v="2024-11-12T00:00:00"/>
    <x v="5"/>
    <n v="29"/>
    <n v="0.64444444444444449"/>
    <n v="25"/>
    <n v="25"/>
    <n v="4"/>
    <n v="0.91111111111111109"/>
    <n v="1.3933150000000001"/>
    <n v="1.3933150000000001"/>
    <n v="34.832875000000001"/>
    <n v="11"/>
    <x v="0"/>
    <n v="2.5000000000000001E-2"/>
  </r>
  <r>
    <s v="GUAYAQUIL"/>
    <x v="0"/>
    <x v="0"/>
    <x v="131"/>
    <s v="RGN TZOS FTLLA BOT 1000G"/>
    <n v="108"/>
    <n v="1"/>
    <n v="1"/>
    <n v="45"/>
    <d v="2024-11-19T00:00:00"/>
    <s v="martes"/>
    <d v="2024-11-14T00:00:00"/>
    <x v="7"/>
    <n v="31"/>
    <n v="0.68888888888888888"/>
    <n v="108"/>
    <n v="108"/>
    <n v="5"/>
    <n v="0.88888888888888884"/>
    <n v="1.3933150000000001"/>
    <n v="1.3933150000000001"/>
    <n v="150.47802000000001"/>
    <n v="8"/>
    <x v="0"/>
    <n v="0.108"/>
  </r>
  <r>
    <s v="GUAYAQUIL"/>
    <x v="0"/>
    <x v="0"/>
    <x v="131"/>
    <s v="RGN TZOS FTLLA BOT 1000G"/>
    <n v="72"/>
    <n v="1"/>
    <n v="1"/>
    <n v="45"/>
    <d v="2024-11-20T00:00:00"/>
    <s v="miércoles"/>
    <d v="2024-11-14T00:00:00"/>
    <x v="7"/>
    <n v="31"/>
    <n v="0.68888888888888888"/>
    <n v="72"/>
    <n v="72"/>
    <n v="6"/>
    <n v="0.8666666666666667"/>
    <n v="1.3933150000000001"/>
    <n v="1.3933150000000001"/>
    <n v="100.31868"/>
    <n v="7"/>
    <x v="0"/>
    <n v="7.1999999999999995E-2"/>
  </r>
  <r>
    <s v="GUAYAQUIL"/>
    <x v="0"/>
    <x v="0"/>
    <x v="131"/>
    <s v="RGN TZOS FTLLA BOT 1000G"/>
    <n v="72"/>
    <n v="1"/>
    <n v="1"/>
    <n v="45"/>
    <d v="2024-11-21T00:00:00"/>
    <s v="jueves"/>
    <d v="2024-11-19T00:00:00"/>
    <x v="8"/>
    <n v="36"/>
    <n v="0.8"/>
    <n v="36"/>
    <n v="36"/>
    <n v="2"/>
    <n v="0.9555555555555556"/>
    <n v="1.3933150000000001"/>
    <n v="1.3933150000000001"/>
    <n v="50.15934"/>
    <n v="6"/>
    <x v="0"/>
    <n v="3.5999999999999997E-2"/>
  </r>
  <r>
    <s v="GUAYAQUIL"/>
    <x v="0"/>
    <x v="0"/>
    <x v="132"/>
    <s v="RGN TZOS DZNO BOT 1000G"/>
    <n v="126"/>
    <n v="1"/>
    <n v="1"/>
    <n v="45"/>
    <d v="2024-11-01T00:00:00"/>
    <s v="viernes"/>
    <d v="2024-10-23T00:00:00"/>
    <x v="66"/>
    <n v="9"/>
    <n v="0.2"/>
    <n v="51"/>
    <n v="51"/>
    <n v="9"/>
    <n v="0.8"/>
    <n v="1.4128499999999997"/>
    <n v="1.4128499999999997"/>
    <n v="72.05534999999999"/>
    <n v="26"/>
    <x v="2"/>
    <n v="5.0999999999999997E-2"/>
  </r>
  <r>
    <s v="GUAYAQUIL"/>
    <x v="0"/>
    <x v="0"/>
    <x v="132"/>
    <s v="RGN TZOS DZNO BOT 1000G"/>
    <n v="90"/>
    <n v="1"/>
    <n v="1"/>
    <n v="45"/>
    <d v="2024-11-19T00:00:00"/>
    <s v="martes"/>
    <d v="2024-11-12T00:00:00"/>
    <x v="5"/>
    <n v="29"/>
    <n v="0.64444444444444449"/>
    <n v="51"/>
    <n v="51"/>
    <n v="7"/>
    <n v="0.84444444444444444"/>
    <n v="1.4128499999999997"/>
    <n v="1.4128499999999997"/>
    <n v="72.05534999999999"/>
    <n v="8"/>
    <x v="0"/>
    <n v="5.0999999999999997E-2"/>
  </r>
  <r>
    <s v="GUAYAQUIL"/>
    <x v="0"/>
    <x v="0"/>
    <x v="132"/>
    <s v="RGN TZOS DZNO BOT 1000G"/>
    <n v="162"/>
    <n v="1"/>
    <n v="1"/>
    <n v="45"/>
    <d v="2024-11-20T00:00:00"/>
    <s v="miércoles"/>
    <d v="2024-11-14T00:00:00"/>
    <x v="7"/>
    <n v="31"/>
    <n v="0.68888888888888888"/>
    <n v="108"/>
    <n v="108"/>
    <n v="6"/>
    <n v="0.8666666666666667"/>
    <n v="1.4128499999999997"/>
    <n v="1.4128499999999997"/>
    <n v="152.58779999999996"/>
    <n v="7"/>
    <x v="0"/>
    <n v="0.108"/>
  </r>
  <r>
    <s v="GUAYAQUIL"/>
    <x v="0"/>
    <x v="0"/>
    <x v="132"/>
    <s v="RGN TZOS DZNO BOT 1000G"/>
    <n v="54"/>
    <n v="1"/>
    <n v="1"/>
    <n v="45"/>
    <d v="2024-11-21T00:00:00"/>
    <s v="jueves"/>
    <d v="2024-11-14T00:00:00"/>
    <x v="7"/>
    <n v="31"/>
    <n v="0.68888888888888888"/>
    <n v="54"/>
    <n v="54"/>
    <n v="7"/>
    <n v="0.84444444444444444"/>
    <n v="1.4128499999999997"/>
    <n v="1.4128499999999997"/>
    <n v="76.293899999999979"/>
    <n v="6"/>
    <x v="0"/>
    <n v="5.3999999999999999E-2"/>
  </r>
  <r>
    <s v="GUAYAQUIL"/>
    <x v="0"/>
    <x v="0"/>
    <x v="133"/>
    <s v="RGN TZOS DZNO VASO 150G"/>
    <n v="108"/>
    <n v="1"/>
    <n v="0.15"/>
    <n v="45"/>
    <d v="2024-11-13T00:00:00"/>
    <s v="miércoles"/>
    <d v="2024-11-05T00:00:00"/>
    <x v="19"/>
    <n v="22"/>
    <n v="0.48888888888888887"/>
    <n v="31"/>
    <n v="4.6499999999999995"/>
    <n v="8"/>
    <n v="0.82222222222222219"/>
    <n v="0.231765"/>
    <n v="0.231765"/>
    <n v="1.0777072499999998"/>
    <n v="14"/>
    <x v="1"/>
    <n v="4.6499999999999996E-3"/>
  </r>
  <r>
    <s v="GUAYAQUIL"/>
    <x v="0"/>
    <x v="0"/>
    <x v="133"/>
    <s v="RGN TZOS DZNO VASO 150G"/>
    <n v="108"/>
    <n v="1"/>
    <n v="0.15"/>
    <n v="45"/>
    <d v="2024-11-16T00:00:00"/>
    <s v="sábado"/>
    <d v="2024-11-08T00:00:00"/>
    <x v="9"/>
    <n v="25"/>
    <n v="0.55555555555555558"/>
    <n v="108"/>
    <n v="16.2"/>
    <n v="8"/>
    <n v="0.82222222222222219"/>
    <n v="0.231765"/>
    <n v="0.231765"/>
    <n v="3.7545929999999998"/>
    <n v="11"/>
    <x v="1"/>
    <n v="1.6199999999999999E-2"/>
  </r>
  <r>
    <s v="GUAYAQUIL"/>
    <x v="0"/>
    <x v="0"/>
    <x v="133"/>
    <s v="RGN TZOS DZNO VASO 150G"/>
    <n v="108"/>
    <n v="1"/>
    <n v="0.15"/>
    <n v="45"/>
    <d v="2024-11-15T00:00:00"/>
    <s v="viernes"/>
    <d v="2024-11-08T00:00:00"/>
    <x v="9"/>
    <n v="25"/>
    <n v="0.55555555555555558"/>
    <n v="96"/>
    <n v="14.399999999999999"/>
    <n v="7"/>
    <n v="0.84444444444444444"/>
    <n v="0.231765"/>
    <n v="0.231765"/>
    <n v="3.3374159999999997"/>
    <n v="12"/>
    <x v="1"/>
    <n v="1.4399999999999998E-2"/>
  </r>
  <r>
    <s v="GUAYAQUIL"/>
    <x v="0"/>
    <x v="0"/>
    <x v="133"/>
    <s v="RGN TZOS DZNO VASO 150G"/>
    <n v="108"/>
    <n v="1"/>
    <n v="0.15"/>
    <n v="45"/>
    <d v="2024-11-14T00:00:00"/>
    <s v="jueves"/>
    <d v="2024-11-05T00:00:00"/>
    <x v="19"/>
    <n v="22"/>
    <n v="0.48888888888888887"/>
    <n v="108"/>
    <n v="16.2"/>
    <n v="9"/>
    <n v="0.8"/>
    <n v="0.231765"/>
    <n v="0.231765"/>
    <n v="3.7545929999999998"/>
    <n v="13"/>
    <x v="1"/>
    <n v="1.6199999999999999E-2"/>
  </r>
  <r>
    <s v="GUAYAQUIL"/>
    <x v="0"/>
    <x v="0"/>
    <x v="133"/>
    <s v="RGN TZOS DZNO VASO 150G"/>
    <n v="216"/>
    <n v="1"/>
    <n v="0.15"/>
    <n v="45"/>
    <d v="2024-11-19T00:00:00"/>
    <s v="martes"/>
    <d v="2024-11-08T00:00:00"/>
    <x v="9"/>
    <n v="25"/>
    <n v="0.55555555555555558"/>
    <n v="216"/>
    <n v="32.4"/>
    <n v="11"/>
    <n v="0.75555555555555554"/>
    <n v="0.231765"/>
    <n v="0.231765"/>
    <n v="7.5091859999999997"/>
    <n v="8"/>
    <x v="1"/>
    <n v="3.2399999999999998E-2"/>
  </r>
  <r>
    <s v="GUAYAQUIL"/>
    <x v="0"/>
    <x v="0"/>
    <x v="134"/>
    <s v="RGN TZOS FTLLA VASO 150G"/>
    <n v="216"/>
    <n v="1"/>
    <n v="0.15"/>
    <n v="45"/>
    <d v="2024-11-07T00:00:00"/>
    <s v="jueves"/>
    <d v="2024-10-30T00:00:00"/>
    <x v="41"/>
    <n v="16"/>
    <n v="0.35555555555555557"/>
    <n v="155"/>
    <n v="23.25"/>
    <n v="8"/>
    <n v="0.82222222222222219"/>
    <n v="0.234985"/>
    <n v="0.234985"/>
    <n v="5.4634012500000004"/>
    <n v="20"/>
    <x v="2"/>
    <n v="2.325E-2"/>
  </r>
  <r>
    <s v="GUAYAQUIL"/>
    <x v="0"/>
    <x v="0"/>
    <x v="134"/>
    <s v="RGN TZOS FTLLA VASO 150G"/>
    <n v="108"/>
    <n v="1"/>
    <n v="0.15"/>
    <n v="45"/>
    <d v="2024-11-09T00:00:00"/>
    <s v="sábado"/>
    <d v="2024-11-04T00:00:00"/>
    <x v="45"/>
    <n v="21"/>
    <n v="0.46666666666666667"/>
    <n v="110"/>
    <n v="16.5"/>
    <n v="5"/>
    <n v="0.88888888888888884"/>
    <n v="0.234985"/>
    <n v="0.234985"/>
    <n v="3.8772525"/>
    <n v="18"/>
    <x v="2"/>
    <n v="1.6500000000000001E-2"/>
  </r>
  <r>
    <s v="GUAYAQUIL"/>
    <x v="0"/>
    <x v="0"/>
    <x v="134"/>
    <s v="RGN TZOS FTLLA VASO 150G"/>
    <n v="108"/>
    <n v="1"/>
    <n v="0.15"/>
    <n v="45"/>
    <d v="2024-11-12T00:00:00"/>
    <s v="martes"/>
    <d v="2024-10-31T00:00:00"/>
    <x v="10"/>
    <n v="17"/>
    <n v="0.37777777777777777"/>
    <n v="73"/>
    <n v="10.95"/>
    <n v="12"/>
    <n v="0.73333333333333339"/>
    <n v="0.234985"/>
    <n v="0.234985"/>
    <n v="2.5730857499999997"/>
    <n v="15"/>
    <x v="2"/>
    <n v="1.095E-2"/>
  </r>
  <r>
    <s v="GUAYAQUIL"/>
    <x v="0"/>
    <x v="0"/>
    <x v="134"/>
    <s v="RGN TZOS FTLLA VASO 150G"/>
    <n v="108"/>
    <n v="1"/>
    <n v="0.15"/>
    <n v="45"/>
    <d v="2024-11-16T00:00:00"/>
    <s v="sábado"/>
    <d v="2024-11-05T00:00:00"/>
    <x v="19"/>
    <n v="22"/>
    <n v="0.48888888888888887"/>
    <n v="108"/>
    <n v="16.2"/>
    <n v="11"/>
    <n v="0.75555555555555554"/>
    <n v="0.234985"/>
    <n v="0.234985"/>
    <n v="3.8067569999999997"/>
    <n v="11"/>
    <x v="1"/>
    <n v="1.6199999999999999E-2"/>
  </r>
  <r>
    <s v="GUAYAQUIL"/>
    <x v="0"/>
    <x v="0"/>
    <x v="134"/>
    <s v="RGN TZOS FTLLA VASO 150G"/>
    <n v="216"/>
    <n v="1"/>
    <n v="0.15"/>
    <n v="45"/>
    <d v="2024-11-15T00:00:00"/>
    <s v="viernes"/>
    <d v="2024-11-05T00:00:00"/>
    <x v="19"/>
    <n v="22"/>
    <n v="0.48888888888888887"/>
    <n v="192"/>
    <n v="28.799999999999997"/>
    <n v="10"/>
    <n v="0.77777777777777779"/>
    <n v="0.234985"/>
    <n v="0.234985"/>
    <n v="6.7675679999999989"/>
    <n v="12"/>
    <x v="1"/>
    <n v="2.8799999999999996E-2"/>
  </r>
  <r>
    <s v="GUAYAQUIL"/>
    <x v="0"/>
    <x v="0"/>
    <x v="134"/>
    <s v="RGN TZOS FTLLA VASO 150G"/>
    <n v="216"/>
    <n v="1"/>
    <n v="0.15"/>
    <n v="45"/>
    <d v="2024-11-19T00:00:00"/>
    <s v="martes"/>
    <d v="2024-11-07T00:00:00"/>
    <x v="1"/>
    <n v="24"/>
    <n v="0.53333333333333333"/>
    <n v="204"/>
    <n v="30.599999999999998"/>
    <n v="12"/>
    <n v="0.73333333333333339"/>
    <n v="0.234985"/>
    <n v="0.234985"/>
    <n v="7.1905409999999996"/>
    <n v="8"/>
    <x v="1"/>
    <n v="3.0599999999999999E-2"/>
  </r>
  <r>
    <s v="GUAYAQUIL"/>
    <x v="0"/>
    <x v="0"/>
    <x v="135"/>
    <s v="RGN TZOS MOR VASO 150 G"/>
    <n v="108"/>
    <n v="1"/>
    <n v="0.15"/>
    <n v="45"/>
    <d v="2024-11-01T00:00:00"/>
    <s v="viernes"/>
    <d v="2024-10-23T00:00:00"/>
    <x v="66"/>
    <n v="9"/>
    <n v="0.2"/>
    <n v="78"/>
    <n v="11.7"/>
    <n v="9"/>
    <n v="0.8"/>
    <n v="0.231685"/>
    <n v="0.231685"/>
    <n v="2.7107144999999999"/>
    <n v="26"/>
    <x v="2"/>
    <n v="1.1699999999999999E-2"/>
  </r>
  <r>
    <s v="GUAYAQUIL"/>
    <x v="0"/>
    <x v="0"/>
    <x v="135"/>
    <s v="RGN TZOS MOR VASO 150 G"/>
    <n v="108"/>
    <n v="1"/>
    <n v="0.15"/>
    <n v="45"/>
    <d v="2024-11-05T00:00:00"/>
    <s v="martes"/>
    <d v="2024-10-26T00:00:00"/>
    <x v="20"/>
    <n v="12"/>
    <n v="0.26666666666666666"/>
    <n v="56"/>
    <n v="8.4"/>
    <n v="10"/>
    <n v="0.77777777777777779"/>
    <n v="0.231685"/>
    <n v="0.231685"/>
    <n v="1.9461540000000002"/>
    <n v="22"/>
    <x v="2"/>
    <n v="8.4000000000000012E-3"/>
  </r>
  <r>
    <s v="GUAYAQUIL"/>
    <x v="0"/>
    <x v="0"/>
    <x v="135"/>
    <s v="RGN TZOS MOR VASO 150 G"/>
    <n v="108"/>
    <n v="1"/>
    <n v="0.15"/>
    <n v="45"/>
    <d v="2024-11-13T00:00:00"/>
    <s v="miércoles"/>
    <d v="2024-11-05T00:00:00"/>
    <x v="19"/>
    <n v="22"/>
    <n v="0.48888888888888887"/>
    <n v="84"/>
    <n v="12.6"/>
    <n v="8"/>
    <n v="0.82222222222222219"/>
    <n v="0.231685"/>
    <n v="0.231685"/>
    <n v="2.9192309999999999"/>
    <n v="14"/>
    <x v="1"/>
    <n v="1.26E-2"/>
  </r>
  <r>
    <s v="GUAYAQUIL"/>
    <x v="0"/>
    <x v="0"/>
    <x v="135"/>
    <s v="RGN TZOS MOR VASO 150 G"/>
    <n v="108"/>
    <n v="1"/>
    <n v="0.15"/>
    <n v="45"/>
    <d v="2024-11-16T00:00:00"/>
    <s v="sábado"/>
    <d v="2024-11-05T00:00:00"/>
    <x v="19"/>
    <n v="22"/>
    <n v="0.48888888888888887"/>
    <n v="108"/>
    <n v="16.2"/>
    <n v="11"/>
    <n v="0.75555555555555554"/>
    <n v="0.231685"/>
    <n v="0.231685"/>
    <n v="3.7532969999999999"/>
    <n v="11"/>
    <x v="1"/>
    <n v="1.6199999999999999E-2"/>
  </r>
  <r>
    <s v="GUAYAQUIL"/>
    <x v="0"/>
    <x v="0"/>
    <x v="135"/>
    <s v="RGN TZOS MOR VASO 150 G"/>
    <n v="108"/>
    <n v="1"/>
    <n v="0.15"/>
    <n v="45"/>
    <d v="2024-11-15T00:00:00"/>
    <s v="viernes"/>
    <d v="2024-11-05T00:00:00"/>
    <x v="19"/>
    <n v="22"/>
    <n v="0.48888888888888887"/>
    <n v="108"/>
    <n v="16.2"/>
    <n v="10"/>
    <n v="0.77777777777777779"/>
    <n v="0.231685"/>
    <n v="0.231685"/>
    <n v="3.7532969999999999"/>
    <n v="12"/>
    <x v="1"/>
    <n v="1.6199999999999999E-2"/>
  </r>
  <r>
    <s v="GUAYAQUIL"/>
    <x v="0"/>
    <x v="0"/>
    <x v="135"/>
    <s v="RGN TZOS MOR VASO 150 G"/>
    <n v="108"/>
    <n v="1"/>
    <n v="0.15"/>
    <n v="45"/>
    <d v="2024-11-14T00:00:00"/>
    <s v="jueves"/>
    <d v="2024-11-05T00:00:00"/>
    <x v="19"/>
    <n v="22"/>
    <n v="0.48888888888888887"/>
    <n v="108"/>
    <n v="16.2"/>
    <n v="9"/>
    <n v="0.8"/>
    <n v="0.231685"/>
    <n v="0.231685"/>
    <n v="3.7532969999999999"/>
    <n v="13"/>
    <x v="1"/>
    <n v="1.6199999999999999E-2"/>
  </r>
  <r>
    <s v="GUAYAQUIL"/>
    <x v="0"/>
    <x v="0"/>
    <x v="135"/>
    <s v="RGN TZOS MOR VASO 150 G"/>
    <n v="108"/>
    <n v="1"/>
    <n v="0.15"/>
    <n v="45"/>
    <d v="2024-11-19T00:00:00"/>
    <s v="martes"/>
    <d v="2024-11-08T00:00:00"/>
    <x v="9"/>
    <n v="25"/>
    <n v="0.55555555555555558"/>
    <n v="102"/>
    <n v="15.299999999999999"/>
    <n v="11"/>
    <n v="0.75555555555555554"/>
    <n v="0.231685"/>
    <n v="0.231685"/>
    <n v="3.5447804999999999"/>
    <n v="8"/>
    <x v="1"/>
    <n v="1.5299999999999999E-2"/>
  </r>
  <r>
    <s v="GUAYAQUIL"/>
    <x v="0"/>
    <x v="0"/>
    <x v="136"/>
    <s v="MPLX4 AVENA CAN VASO 250G"/>
    <n v="24"/>
    <n v="1"/>
    <n v="1"/>
    <n v="180"/>
    <d v="2024-08-14T00:00:00"/>
    <s v="miércoles"/>
    <d v="2024-07-11T00:00:00"/>
    <x v="67"/>
    <n v="40"/>
    <n v="0.22222222222222221"/>
    <n v="7"/>
    <n v="7"/>
    <n v="34"/>
    <n v="0.81111111111111112"/>
    <n v="1.795145"/>
    <n v="1.795145"/>
    <n v="12.566015"/>
    <n v="105"/>
    <x v="0"/>
    <n v="7.0000000000000001E-3"/>
  </r>
  <r>
    <s v="GUAYAQUIL"/>
    <x v="0"/>
    <x v="0"/>
    <x v="136"/>
    <s v="MPLX4 AVENA CAN VASO 250G"/>
    <n v="36"/>
    <n v="1"/>
    <n v="1"/>
    <n v="180"/>
    <d v="2024-10-23T00:00:00"/>
    <s v="miércoles"/>
    <d v="2024-08-22T00:00:00"/>
    <x v="49"/>
    <n v="82"/>
    <n v="0.45555555555555555"/>
    <n v="9"/>
    <n v="9"/>
    <n v="62"/>
    <n v="0.65555555555555556"/>
    <n v="1.795145"/>
    <n v="1.795145"/>
    <n v="16.156305"/>
    <n v="35"/>
    <x v="0"/>
    <n v="8.9999999999999993E-3"/>
  </r>
  <r>
    <s v="GUAYAQUIL"/>
    <x v="0"/>
    <x v="0"/>
    <x v="136"/>
    <s v="MPLX4 AVENA CAN VASO 250G"/>
    <n v="24"/>
    <n v="1"/>
    <n v="1"/>
    <n v="180"/>
    <d v="2024-11-12T00:00:00"/>
    <s v="martes"/>
    <d v="2024-10-19T00:00:00"/>
    <x v="73"/>
    <n v="140"/>
    <n v="0.77777777777777779"/>
    <n v="21"/>
    <n v="21"/>
    <n v="24"/>
    <n v="0.8666666666666667"/>
    <n v="1.795145"/>
    <n v="1.795145"/>
    <n v="37.698045"/>
    <n v="15"/>
    <x v="0"/>
    <n v="2.1000000000000001E-2"/>
  </r>
  <r>
    <s v="GUAYAQUIL"/>
    <x v="0"/>
    <x v="0"/>
    <x v="137"/>
    <s v="RGN CER GDLLA BOT 180G"/>
    <n v="108"/>
    <n v="1"/>
    <n v="0.18"/>
    <n v="45"/>
    <d v="2024-10-26T00:00:00"/>
    <s v="sábado"/>
    <d v="2024-10-25T00:00:00"/>
    <x v="53"/>
    <n v="11"/>
    <n v="0.24444444444444444"/>
    <n v="22"/>
    <n v="3.96"/>
    <n v="1"/>
    <n v="0.97777777777777775"/>
    <n v="0.28275"/>
    <n v="0.28275"/>
    <n v="1.1196900000000001"/>
    <n v="32"/>
    <x v="2"/>
    <n v="3.96E-3"/>
  </r>
  <r>
    <s v="GUAYAQUIL"/>
    <x v="0"/>
    <x v="0"/>
    <x v="137"/>
    <s v="RGN CER GDLLA BOT 180G"/>
    <n v="108"/>
    <n v="1"/>
    <n v="0.18"/>
    <n v="45"/>
    <d v="2024-11-12T00:00:00"/>
    <s v="martes"/>
    <d v="2024-11-07T00:00:00"/>
    <x v="1"/>
    <n v="24"/>
    <n v="0.53333333333333333"/>
    <n v="77"/>
    <n v="13.86"/>
    <n v="5"/>
    <n v="0.88888888888888884"/>
    <n v="0.28275"/>
    <n v="0.28275"/>
    <n v="3.9189149999999997"/>
    <n v="15"/>
    <x v="1"/>
    <n v="1.3859999999999999E-2"/>
  </r>
  <r>
    <s v="GUAYAQUIL"/>
    <x v="0"/>
    <x v="0"/>
    <x v="138"/>
    <s v="BY MINI CRUNFRE VASO 90G"/>
    <n v="980"/>
    <n v="1"/>
    <n v="0.09"/>
    <n v="45"/>
    <d v="2024-11-12T00:00:00"/>
    <s v="martes"/>
    <d v="2024-10-31T00:00:00"/>
    <x v="10"/>
    <n v="17"/>
    <n v="0.37777777777777777"/>
    <n v="22"/>
    <n v="1.98"/>
    <n v="12"/>
    <n v="0.73333333333333339"/>
    <n v="0.20507500000000001"/>
    <n v="0.20507500000000001"/>
    <n v="0.40604850000000003"/>
    <n v="15"/>
    <x v="2"/>
    <n v="1.98E-3"/>
  </r>
  <r>
    <s v="GUAYAQUIL"/>
    <x v="0"/>
    <x v="0"/>
    <x v="138"/>
    <s v="BY MINI CRUNFRE VASO 90G"/>
    <n v="700"/>
    <n v="1"/>
    <n v="0.09"/>
    <n v="45"/>
    <d v="2024-11-16T00:00:00"/>
    <s v="sábado"/>
    <d v="2024-11-07T00:00:00"/>
    <x v="1"/>
    <n v="24"/>
    <n v="0.53333333333333333"/>
    <n v="700"/>
    <n v="63"/>
    <n v="9"/>
    <n v="0.8"/>
    <n v="0.20507500000000001"/>
    <n v="0.20507500000000001"/>
    <n v="12.919725"/>
    <n v="11"/>
    <x v="1"/>
    <n v="6.3E-2"/>
  </r>
  <r>
    <s v="GUAYAQUIL"/>
    <x v="0"/>
    <x v="0"/>
    <x v="138"/>
    <s v="BY MINI CRUNFRE VASO 90G"/>
    <n v="840"/>
    <n v="1"/>
    <n v="0.09"/>
    <n v="45"/>
    <d v="2024-11-15T00:00:00"/>
    <s v="viernes"/>
    <d v="2024-11-07T00:00:00"/>
    <x v="1"/>
    <n v="24"/>
    <n v="0.53333333333333333"/>
    <n v="733"/>
    <n v="65.97"/>
    <n v="8"/>
    <n v="0.82222222222222219"/>
    <n v="0.20507500000000001"/>
    <n v="0.20507500000000001"/>
    <n v="13.528797750000001"/>
    <n v="12"/>
    <x v="1"/>
    <n v="6.5970000000000001E-2"/>
  </r>
  <r>
    <s v="GUAYAQUIL"/>
    <x v="0"/>
    <x v="0"/>
    <x v="138"/>
    <s v="BY MINI CRUNFRE VASO 90G"/>
    <n v="1050"/>
    <n v="1"/>
    <n v="0.09"/>
    <n v="45"/>
    <d v="2024-11-19T00:00:00"/>
    <s v="martes"/>
    <d v="2024-11-07T00:00:00"/>
    <x v="1"/>
    <n v="24"/>
    <n v="0.53333333333333333"/>
    <n v="1050"/>
    <n v="94.5"/>
    <n v="12"/>
    <n v="0.73333333333333339"/>
    <n v="0.20507500000000001"/>
    <n v="0.20507500000000001"/>
    <n v="19.3795875"/>
    <n v="8"/>
    <x v="1"/>
    <n v="9.4500000000000001E-2"/>
  </r>
  <r>
    <s v="GUAYAQUIL"/>
    <x v="0"/>
    <x v="0"/>
    <x v="138"/>
    <s v="BY MINI CRUNFRE VASO 90G"/>
    <n v="630"/>
    <n v="1"/>
    <n v="0.09"/>
    <n v="45"/>
    <d v="2024-11-20T00:00:00"/>
    <s v="miércoles"/>
    <d v="2024-11-14T00:00:00"/>
    <x v="7"/>
    <n v="31"/>
    <n v="0.68888888888888888"/>
    <n v="70"/>
    <n v="6.3"/>
    <n v="6"/>
    <n v="0.8666666666666667"/>
    <n v="0.20507500000000001"/>
    <n v="0.20507500000000001"/>
    <n v="1.2919725"/>
    <n v="7"/>
    <x v="0"/>
    <n v="6.3E-3"/>
  </r>
  <r>
    <s v="GUAYAQUIL"/>
    <x v="0"/>
    <x v="0"/>
    <x v="138"/>
    <s v="BY MINI CRUNFRE VASO 90G"/>
    <n v="560"/>
    <n v="1"/>
    <n v="0.09"/>
    <n v="45"/>
    <d v="2024-11-21T00:00:00"/>
    <s v="jueves"/>
    <d v="2024-11-14T00:00:00"/>
    <x v="7"/>
    <n v="31"/>
    <n v="0.68888888888888888"/>
    <n v="560"/>
    <n v="50.4"/>
    <n v="7"/>
    <n v="0.84444444444444444"/>
    <n v="0.20507500000000001"/>
    <n v="0.20507500000000001"/>
    <n v="10.33578"/>
    <n v="6"/>
    <x v="0"/>
    <n v="5.04E-2"/>
  </r>
  <r>
    <s v="GUAYAQUIL"/>
    <x v="0"/>
    <x v="0"/>
    <x v="139"/>
    <s v="Q MOZAR PIZZ KIOSKO AL PESO"/>
    <n v="64"/>
    <n v="3"/>
    <n v="1"/>
    <n v="40"/>
    <d v="2024-11-19T00:00:00"/>
    <s v="martes"/>
    <d v="2024-11-14T00:00:00"/>
    <x v="6"/>
    <n v="26"/>
    <n v="0.65"/>
    <n v="20"/>
    <n v="60"/>
    <n v="5"/>
    <n v="0.875"/>
    <n v="5.7276199999999999"/>
    <n v="17.182859999999998"/>
    <n v="1030.9715999999999"/>
    <n v="8"/>
    <x v="1"/>
    <n v="0.06"/>
  </r>
  <r>
    <s v="GUAYAQUIL"/>
    <x v="0"/>
    <x v="0"/>
    <x v="139"/>
    <s v="Q MOZAR PIZZ KIOSKO AL PESO"/>
    <n v="100"/>
    <n v="3"/>
    <n v="1"/>
    <n v="40"/>
    <d v="2024-11-20T00:00:00"/>
    <s v="miércoles"/>
    <d v="2024-11-14T00:00:00"/>
    <x v="6"/>
    <n v="26"/>
    <n v="0.65"/>
    <n v="100"/>
    <n v="300"/>
    <n v="6"/>
    <n v="0.85"/>
    <n v="5.7276199999999999"/>
    <n v="17.182859999999998"/>
    <n v="5154.8579999999993"/>
    <n v="7"/>
    <x v="1"/>
    <n v="0.3"/>
  </r>
  <r>
    <s v="GUAYAQUIL"/>
    <x v="0"/>
    <x v="0"/>
    <x v="139"/>
    <s v="Q MOZAR PIZZ KIOSKO AL PESO"/>
    <n v="190"/>
    <n v="3"/>
    <n v="1"/>
    <n v="40"/>
    <d v="2024-11-21T00:00:00"/>
    <s v="jueves"/>
    <d v="2024-11-15T00:00:00"/>
    <x v="44"/>
    <n v="27"/>
    <n v="0.67500000000000004"/>
    <n v="190"/>
    <n v="570"/>
    <n v="6"/>
    <n v="0.85"/>
    <n v="5.7276199999999999"/>
    <n v="17.182859999999998"/>
    <n v="9794.2301999999981"/>
    <n v="6"/>
    <x v="0"/>
    <n v="0.56999999999999995"/>
  </r>
  <r>
    <s v="GUAYAQUIL"/>
    <x v="0"/>
    <x v="0"/>
    <x v="140"/>
    <s v="Q ANDINO KIOSKO RUEDA 450G"/>
    <n v="36"/>
    <n v="1"/>
    <n v="0.45"/>
    <n v="90"/>
    <d v="2024-11-19T00:00:00"/>
    <s v="martes"/>
    <d v="2024-11-14T00:00:00"/>
    <x v="23"/>
    <n v="76"/>
    <n v="0.84444444444444444"/>
    <n v="19"/>
    <n v="8.5500000000000007"/>
    <n v="5"/>
    <n v="0.94444444444444442"/>
    <n v="3.27454"/>
    <n v="3.27454"/>
    <n v="27.997317000000002"/>
    <n v="8"/>
    <x v="0"/>
    <n v="8.5500000000000003E-3"/>
  </r>
  <r>
    <s v="GUAYAQUIL"/>
    <x v="0"/>
    <x v="0"/>
    <x v="140"/>
    <s v="Q ANDINO KIOSKO RUEDA 450G"/>
    <n v="36"/>
    <n v="1"/>
    <n v="0.45"/>
    <n v="90"/>
    <d v="2024-11-21T00:00:00"/>
    <s v="jueves"/>
    <d v="2024-11-14T00:00:00"/>
    <x v="23"/>
    <n v="76"/>
    <n v="0.84444444444444444"/>
    <n v="36"/>
    <n v="16.2"/>
    <n v="7"/>
    <n v="0.92222222222222228"/>
    <n v="3.27454"/>
    <n v="3.27454"/>
    <n v="53.047547999999999"/>
    <n v="6"/>
    <x v="0"/>
    <n v="1.6199999999999999E-2"/>
  </r>
  <r>
    <s v="GUAYAQUIL"/>
    <x v="0"/>
    <x v="0"/>
    <x v="141"/>
    <s v="Q ESPAR CHED KIOSKO DOYP 200G"/>
    <n v="140"/>
    <n v="1"/>
    <n v="0.2"/>
    <n v="90"/>
    <d v="2024-11-08T00:00:00"/>
    <s v="viernes"/>
    <d v="2024-11-01T00:00:00"/>
    <x v="74"/>
    <n v="63"/>
    <n v="0.7"/>
    <n v="83"/>
    <n v="16.600000000000001"/>
    <n v="7"/>
    <n v="0.92222222222222228"/>
    <n v="0.47434500000000002"/>
    <n v="0.47434500000000002"/>
    <n v="7.8741270000000005"/>
    <n v="19"/>
    <x v="0"/>
    <n v="1.66E-2"/>
  </r>
  <r>
    <s v="GUAYAQUIL"/>
    <x v="0"/>
    <x v="0"/>
    <x v="141"/>
    <s v="Q ESPAR CHED KIOSKO DOYP 200G"/>
    <n v="70"/>
    <n v="1"/>
    <n v="0.2"/>
    <n v="90"/>
    <d v="2024-11-14T00:00:00"/>
    <s v="jueves"/>
    <d v="2024-11-01T00:00:00"/>
    <x v="74"/>
    <n v="63"/>
    <n v="0.7"/>
    <n v="70"/>
    <n v="14"/>
    <n v="13"/>
    <n v="0.85555555555555562"/>
    <n v="0.47434500000000002"/>
    <n v="0.47434500000000002"/>
    <n v="6.6408300000000002"/>
    <n v="13"/>
    <x v="0"/>
    <n v="1.4E-2"/>
  </r>
  <r>
    <s v="GUAYAQUIL"/>
    <x v="0"/>
    <x v="0"/>
    <x v="141"/>
    <s v="Q ESPAR CHED KIOSKO DOYP 200G"/>
    <n v="140"/>
    <n v="1"/>
    <n v="0.2"/>
    <n v="90"/>
    <d v="2024-11-19T00:00:00"/>
    <s v="martes"/>
    <d v="2024-11-15T00:00:00"/>
    <x v="24"/>
    <n v="77"/>
    <n v="0.85555555555555551"/>
    <n v="140"/>
    <n v="28"/>
    <n v="4"/>
    <n v="0.9555555555555556"/>
    <n v="0.47434500000000002"/>
    <n v="0.47434500000000002"/>
    <n v="13.28166"/>
    <n v="8"/>
    <x v="0"/>
    <n v="2.8000000000000001E-2"/>
  </r>
  <r>
    <s v="GUAYAQUIL"/>
    <x v="0"/>
    <x v="0"/>
    <x v="141"/>
    <s v="Q ESPAR CHED KIOSKO DOYP 200G"/>
    <n v="70"/>
    <n v="1"/>
    <n v="0.2"/>
    <n v="90"/>
    <d v="2024-11-20T00:00:00"/>
    <s v="miércoles"/>
    <d v="2024-11-15T00:00:00"/>
    <x v="24"/>
    <n v="77"/>
    <n v="0.85555555555555551"/>
    <n v="70"/>
    <n v="14"/>
    <n v="5"/>
    <n v="0.94444444444444442"/>
    <n v="0.47434500000000002"/>
    <n v="0.47434500000000002"/>
    <n v="6.6408300000000002"/>
    <n v="7"/>
    <x v="0"/>
    <n v="1.4E-2"/>
  </r>
  <r>
    <s v="GUAYAQUIL"/>
    <x v="0"/>
    <x v="0"/>
    <x v="141"/>
    <s v="Q ESPAR CHED KIOSKO DOYP 200G"/>
    <n v="70"/>
    <n v="1"/>
    <n v="0.2"/>
    <n v="90"/>
    <d v="2024-11-21T00:00:00"/>
    <s v="jueves"/>
    <d v="2024-11-15T00:00:00"/>
    <x v="24"/>
    <n v="77"/>
    <n v="0.85555555555555551"/>
    <n v="70"/>
    <n v="14"/>
    <n v="6"/>
    <n v="0.93333333333333335"/>
    <n v="0.47434500000000002"/>
    <n v="0.47434500000000002"/>
    <n v="6.6408300000000002"/>
    <n v="6"/>
    <x v="0"/>
    <n v="1.4E-2"/>
  </r>
  <r>
    <s v="GUAYAQUIL"/>
    <x v="0"/>
    <x v="0"/>
    <x v="142"/>
    <s v="Q MOZAR KIOSKO 10 LONJ 150G"/>
    <n v="0"/>
    <n v="1"/>
    <n v="0.15"/>
    <n v="30"/>
    <d v="2024-11-07T00:00:00"/>
    <s v="jueves"/>
    <d v="2024-11-07T00:00:00"/>
    <x v="66"/>
    <n v="9"/>
    <n v="0.3"/>
    <n v="38"/>
    <n v="5.7"/>
    <n v="0"/>
    <n v="1"/>
    <n v="1.178895"/>
    <n v="1.178895"/>
    <n v="6.7197015000000002"/>
    <n v="20"/>
    <x v="2"/>
    <n v="5.7000000000000002E-3"/>
  </r>
  <r>
    <s v="GUAYAQUIL"/>
    <x v="0"/>
    <x v="0"/>
    <x v="142"/>
    <s v="Q MOZAR KIOSKO 10 LONJ 150G"/>
    <n v="830"/>
    <n v="1"/>
    <n v="0.15"/>
    <n v="30"/>
    <d v="2024-11-15T00:00:00"/>
    <s v="viernes"/>
    <d v="2024-11-12T00:00:00"/>
    <x v="80"/>
    <n v="14"/>
    <n v="0.46666666666666667"/>
    <n v="28"/>
    <n v="4.2"/>
    <n v="3"/>
    <n v="0.9"/>
    <n v="1.178895"/>
    <n v="1.178895"/>
    <n v="4.9513590000000001"/>
    <n v="12"/>
    <x v="2"/>
    <n v="4.2000000000000006E-3"/>
  </r>
  <r>
    <s v="GUAYAQUIL"/>
    <x v="0"/>
    <x v="0"/>
    <x v="142"/>
    <s v="Q MOZAR KIOSKO 10 LONJ 150G"/>
    <n v="220"/>
    <n v="1"/>
    <n v="0.15"/>
    <n v="30"/>
    <d v="2024-11-15T00:00:00"/>
    <s v="viernes"/>
    <d v="2024-11-13T00:00:00"/>
    <x v="25"/>
    <n v="15"/>
    <n v="0.5"/>
    <n v="220"/>
    <n v="33"/>
    <n v="2"/>
    <n v="0.93333333333333335"/>
    <n v="1.178895"/>
    <n v="1.178895"/>
    <n v="38.903534999999998"/>
    <n v="12"/>
    <x v="2"/>
    <n v="3.3000000000000002E-2"/>
  </r>
  <r>
    <s v="GUAYAQUIL"/>
    <x v="0"/>
    <x v="0"/>
    <x v="142"/>
    <s v="Q MOZAR KIOSKO 10 LONJ 150G"/>
    <n v="139"/>
    <n v="1"/>
    <n v="0.15"/>
    <n v="30"/>
    <d v="2024-11-19T00:00:00"/>
    <s v="martes"/>
    <d v="2024-11-15T00:00:00"/>
    <x v="10"/>
    <n v="17"/>
    <n v="0.56666666666666665"/>
    <n v="139"/>
    <n v="20.849999999999998"/>
    <n v="4"/>
    <n v="0.8666666666666667"/>
    <n v="1.178895"/>
    <n v="1.178895"/>
    <n v="24.579960749999998"/>
    <n v="8"/>
    <x v="2"/>
    <n v="2.0849999999999997E-2"/>
  </r>
  <r>
    <s v="GUAYAQUIL"/>
    <x v="0"/>
    <x v="0"/>
    <x v="142"/>
    <s v="Q MOZAR KIOSKO 10 LONJ 150G"/>
    <n v="161"/>
    <n v="1"/>
    <n v="0.15"/>
    <n v="30"/>
    <d v="2024-11-19T00:00:00"/>
    <s v="martes"/>
    <d v="2024-11-13T00:00:00"/>
    <x v="25"/>
    <n v="15"/>
    <n v="0.5"/>
    <n v="161"/>
    <n v="24.15"/>
    <n v="6"/>
    <n v="0.8"/>
    <n v="1.178895"/>
    <n v="1.178895"/>
    <n v="28.470314249999998"/>
    <n v="8"/>
    <x v="2"/>
    <n v="2.4149999999999998E-2"/>
  </r>
  <r>
    <s v="GUAYAQUIL"/>
    <x v="0"/>
    <x v="0"/>
    <x v="142"/>
    <s v="Q MOZAR KIOSKO 10 LONJ 150G"/>
    <n v="300"/>
    <n v="1"/>
    <n v="0.15"/>
    <n v="30"/>
    <d v="2024-11-20T00:00:00"/>
    <s v="miércoles"/>
    <d v="2024-11-15T00:00:00"/>
    <x v="10"/>
    <n v="17"/>
    <n v="0.56666666666666665"/>
    <n v="300"/>
    <n v="45"/>
    <n v="5"/>
    <n v="0.83333333333333337"/>
    <n v="1.178895"/>
    <n v="1.178895"/>
    <n v="53.050274999999999"/>
    <n v="7"/>
    <x v="2"/>
    <n v="4.4999999999999998E-2"/>
  </r>
  <r>
    <s v="GUAYAQUIL"/>
    <x v="0"/>
    <x v="0"/>
    <x v="142"/>
    <s v="Q MOZAR KIOSKO 10 LONJ 150G"/>
    <n v="300"/>
    <n v="1"/>
    <n v="0.15"/>
    <n v="30"/>
    <d v="2024-11-21T00:00:00"/>
    <s v="jueves"/>
    <d v="2024-11-19T00:00:00"/>
    <x v="45"/>
    <n v="21"/>
    <n v="0.7"/>
    <n v="300"/>
    <n v="45"/>
    <n v="2"/>
    <n v="0.93333333333333335"/>
    <n v="1.178895"/>
    <n v="1.178895"/>
    <n v="53.050274999999999"/>
    <n v="6"/>
    <x v="2"/>
    <n v="4.4999999999999998E-2"/>
  </r>
  <r>
    <s v="GUAYAQUIL"/>
    <x v="0"/>
    <x v="0"/>
    <x v="143"/>
    <s v="YOG FNSSE DURAZNO BOT 950G"/>
    <n v="36"/>
    <n v="1"/>
    <n v="0.95"/>
    <n v="45"/>
    <d v="2024-11-16T00:00:00"/>
    <s v="sábado"/>
    <d v="2024-11-15T00:00:00"/>
    <x v="0"/>
    <n v="32"/>
    <n v="0.71111111111111114"/>
    <n v="36"/>
    <n v="34.199999999999996"/>
    <n v="1"/>
    <n v="0.97777777777777775"/>
    <n v="1.4163950000000001"/>
    <n v="1.4163950000000001"/>
    <n v="48.440708999999998"/>
    <n v="11"/>
    <x v="0"/>
    <n v="3.4199999999999994E-2"/>
  </r>
  <r>
    <s v="GUAYAQUIL"/>
    <x v="0"/>
    <x v="0"/>
    <x v="143"/>
    <s v="YOG FNSSE DURAZNO BOT 950G"/>
    <n v="54"/>
    <n v="1"/>
    <n v="0.95"/>
    <n v="45"/>
    <d v="2024-11-19T00:00:00"/>
    <s v="martes"/>
    <d v="2024-11-15T00:00:00"/>
    <x v="0"/>
    <n v="32"/>
    <n v="0.71111111111111114"/>
    <n v="54"/>
    <n v="51.3"/>
    <n v="4"/>
    <n v="0.91111111111111109"/>
    <n v="1.4163950000000001"/>
    <n v="1.4163950000000001"/>
    <n v="72.661063499999997"/>
    <n v="8"/>
    <x v="0"/>
    <n v="5.1299999999999998E-2"/>
  </r>
  <r>
    <s v="GUAYAQUIL"/>
    <x v="0"/>
    <x v="0"/>
    <x v="144"/>
    <s v="YOG FNSSE DURAZNO BOT 1670G"/>
    <n v="24"/>
    <n v="1"/>
    <n v="1.67"/>
    <n v="45"/>
    <d v="2024-11-19T00:00:00"/>
    <s v="martes"/>
    <d v="2024-11-13T00:00:00"/>
    <x v="2"/>
    <n v="30"/>
    <n v="0.66666666666666663"/>
    <n v="21"/>
    <n v="35.07"/>
    <n v="6"/>
    <n v="0.8666666666666667"/>
    <n v="2.4125399999999999"/>
    <n v="2.4125399999999999"/>
    <n v="84.607777799999994"/>
    <n v="8"/>
    <x v="0"/>
    <n v="3.5069999999999997E-2"/>
  </r>
  <r>
    <s v="GUAYAQUIL"/>
    <x v="0"/>
    <x v="0"/>
    <x v="144"/>
    <s v="YOG FNSSE DURAZNO BOT 1670G"/>
    <n v="72"/>
    <n v="1"/>
    <n v="1.67"/>
    <n v="45"/>
    <d v="2024-11-20T00:00:00"/>
    <s v="miércoles"/>
    <d v="2024-11-13T00:00:00"/>
    <x v="2"/>
    <n v="30"/>
    <n v="0.66666666666666663"/>
    <n v="72"/>
    <n v="120.24"/>
    <n v="7"/>
    <n v="0.84444444444444444"/>
    <n v="2.4125399999999999"/>
    <n v="2.4125399999999999"/>
    <n v="290.0838096"/>
    <n v="7"/>
    <x v="0"/>
    <n v="0.12024"/>
  </r>
  <r>
    <s v="GUAYAQUIL"/>
    <x v="0"/>
    <x v="0"/>
    <x v="145"/>
    <s v="Q HIERBAS SEMIMAD KIOSKO 400G"/>
    <n v="36"/>
    <n v="1"/>
    <n v="0.4"/>
    <n v="90"/>
    <d v="2024-11-15T00:00:00"/>
    <s v="viernes"/>
    <d v="2024-10-31T00:00:00"/>
    <x v="48"/>
    <n v="62"/>
    <n v="0.68888888888888888"/>
    <n v="13"/>
    <n v="5.2"/>
    <n v="15"/>
    <n v="0.83333333333333337"/>
    <n v="3.6822549999999996"/>
    <n v="3.6822549999999996"/>
    <n v="19.147725999999999"/>
    <n v="12"/>
    <x v="0"/>
    <n v="5.1999999999999998E-3"/>
  </r>
  <r>
    <s v="GUAYAQUIL"/>
    <x v="0"/>
    <x v="0"/>
    <x v="146"/>
    <s v="Q PROVO AHUM KIOSKO 10 LONJ 150G"/>
    <n v="110"/>
    <n v="1"/>
    <n v="0.15"/>
    <n v="60"/>
    <d v="2024-11-19T00:00:00"/>
    <s v="martes"/>
    <d v="2024-11-06T00:00:00"/>
    <x v="13"/>
    <n v="38"/>
    <n v="0.6333333333333333"/>
    <n v="96"/>
    <n v="14.399999999999999"/>
    <n v="13"/>
    <n v="0.78333333333333333"/>
    <n v="1.219535"/>
    <n v="1.219535"/>
    <n v="17.561304"/>
    <n v="8"/>
    <x v="0"/>
    <n v="1.4399999999999998E-2"/>
  </r>
  <r>
    <s v="GUAYAQUIL"/>
    <x v="0"/>
    <x v="0"/>
    <x v="146"/>
    <s v="Q PROVO AHUM KIOSKO 10 LONJ 150G"/>
    <n v="40"/>
    <n v="1"/>
    <n v="0.15"/>
    <n v="60"/>
    <d v="2024-11-19T00:00:00"/>
    <s v="martes"/>
    <d v="2024-11-12T00:00:00"/>
    <x v="51"/>
    <n v="44"/>
    <n v="0.73333333333333328"/>
    <n v="40"/>
    <n v="6"/>
    <n v="7"/>
    <n v="0.8833333333333333"/>
    <n v="1.219535"/>
    <n v="1.219535"/>
    <n v="7.3172100000000002"/>
    <n v="8"/>
    <x v="0"/>
    <n v="6.0000000000000001E-3"/>
  </r>
  <r>
    <s v="GUAYAQUIL"/>
    <x v="0"/>
    <x v="0"/>
    <x v="147"/>
    <s v="YOG FNSSE FRTROJ BOT 180G"/>
    <n v="216"/>
    <n v="1"/>
    <n v="0.18"/>
    <n v="45"/>
    <d v="2024-11-12T00:00:00"/>
    <s v="martes"/>
    <d v="2024-10-31T00:00:00"/>
    <x v="10"/>
    <n v="17"/>
    <n v="0.37777777777777777"/>
    <n v="36"/>
    <n v="6.4799999999999995"/>
    <n v="12"/>
    <n v="0.73333333333333339"/>
    <n v="0.30833500000000003"/>
    <n v="0.30833500000000003"/>
    <n v="1.9980108000000001"/>
    <n v="15"/>
    <x v="2"/>
    <n v="6.4799999999999996E-3"/>
  </r>
  <r>
    <s v="GUAYAQUIL"/>
    <x v="0"/>
    <x v="0"/>
    <x v="147"/>
    <s v="YOG FNSSE FRTROJ BOT 180G"/>
    <n v="216"/>
    <n v="1"/>
    <n v="0.18"/>
    <n v="45"/>
    <d v="2024-11-16T00:00:00"/>
    <s v="sábado"/>
    <d v="2024-11-13T00:00:00"/>
    <x v="2"/>
    <n v="30"/>
    <n v="0.66666666666666663"/>
    <n v="84"/>
    <n v="15.12"/>
    <n v="3"/>
    <n v="0.93333333333333335"/>
    <n v="0.30833500000000003"/>
    <n v="0.30833500000000003"/>
    <n v="4.6620252000000004"/>
    <n v="11"/>
    <x v="0"/>
    <n v="1.512E-2"/>
  </r>
  <r>
    <s v="GUAYAQUIL"/>
    <x v="0"/>
    <x v="0"/>
    <x v="147"/>
    <s v="YOG FNSSE FRTROJ BOT 180G"/>
    <n v="108"/>
    <n v="1"/>
    <n v="0.18"/>
    <n v="45"/>
    <d v="2024-11-20T00:00:00"/>
    <s v="miércoles"/>
    <d v="2024-11-13T00:00:00"/>
    <x v="2"/>
    <n v="30"/>
    <n v="0.66666666666666663"/>
    <n v="108"/>
    <n v="19.439999999999998"/>
    <n v="7"/>
    <n v="0.84444444444444444"/>
    <n v="0.30833500000000003"/>
    <n v="0.30833500000000003"/>
    <n v="5.9940324"/>
    <n v="7"/>
    <x v="0"/>
    <n v="1.9439999999999999E-2"/>
  </r>
  <r>
    <s v="GUAYAQUIL"/>
    <x v="0"/>
    <x v="0"/>
    <x v="147"/>
    <s v="YOG FNSSE FRTROJ BOT 180G"/>
    <n v="108"/>
    <n v="1"/>
    <n v="0.18"/>
    <n v="45"/>
    <d v="2024-11-21T00:00:00"/>
    <s v="jueves"/>
    <d v="2024-11-13T00:00:00"/>
    <x v="2"/>
    <n v="30"/>
    <n v="0.66666666666666663"/>
    <n v="108"/>
    <n v="19.439999999999998"/>
    <n v="8"/>
    <n v="0.82222222222222219"/>
    <n v="0.30833500000000003"/>
    <n v="0.30833500000000003"/>
    <n v="5.9940324"/>
    <n v="6"/>
    <x v="0"/>
    <n v="1.9439999999999999E-2"/>
  </r>
  <r>
    <s v="GUAYAQUIL"/>
    <x v="0"/>
    <x v="0"/>
    <x v="148"/>
    <s v="RGN CER PITA BOT 1750G ECU"/>
    <n v="120"/>
    <n v="1"/>
    <n v="1.75"/>
    <n v="45"/>
    <d v="2024-10-30T00:00:00"/>
    <s v="miércoles"/>
    <d v="2024-10-25T00:00:00"/>
    <x v="53"/>
    <n v="11"/>
    <n v="0.24444444444444444"/>
    <n v="102"/>
    <n v="178.5"/>
    <n v="5"/>
    <n v="0.88888888888888884"/>
    <n v="2.48414"/>
    <n v="2.48414"/>
    <n v="443.41899000000001"/>
    <n v="28"/>
    <x v="2"/>
    <n v="0.17849999999999999"/>
  </r>
  <r>
    <s v="GUAYAQUIL"/>
    <x v="0"/>
    <x v="0"/>
    <x v="148"/>
    <s v="RGN CER PITA BOT 1750G ECU"/>
    <n v="24"/>
    <n v="1"/>
    <n v="1.75"/>
    <n v="45"/>
    <d v="2024-11-01T00:00:00"/>
    <s v="viernes"/>
    <d v="2024-11-01T00:00:00"/>
    <x v="4"/>
    <n v="18"/>
    <n v="0.4"/>
    <n v="3"/>
    <n v="5.25"/>
    <n v="0"/>
    <n v="1"/>
    <n v="2.48414"/>
    <n v="2.48414"/>
    <n v="13.041734999999999"/>
    <n v="26"/>
    <x v="2"/>
    <n v="5.2500000000000003E-3"/>
  </r>
  <r>
    <s v="GUAYAQUIL"/>
    <x v="0"/>
    <x v="0"/>
    <x v="148"/>
    <s v="RGN CER PITA BOT 1750G ECU"/>
    <n v="156"/>
    <n v="1"/>
    <n v="1.75"/>
    <n v="45"/>
    <d v="2024-11-01T00:00:00"/>
    <s v="viernes"/>
    <d v="2024-10-31T00:00:00"/>
    <x v="10"/>
    <n v="17"/>
    <n v="0.37777777777777777"/>
    <n v="69"/>
    <n v="120.75"/>
    <n v="1"/>
    <n v="0.97777777777777775"/>
    <n v="2.48414"/>
    <n v="2.48414"/>
    <n v="299.95990499999999"/>
    <n v="26"/>
    <x v="2"/>
    <n v="0.12075"/>
  </r>
  <r>
    <s v="GUAYAQUIL"/>
    <x v="0"/>
    <x v="0"/>
    <x v="148"/>
    <s v="RGN CER PITA BOT 1750G ECU"/>
    <n v="84"/>
    <n v="1"/>
    <n v="1.75"/>
    <n v="45"/>
    <d v="2024-11-05T00:00:00"/>
    <s v="martes"/>
    <d v="2024-11-01T00:00:00"/>
    <x v="4"/>
    <n v="18"/>
    <n v="0.4"/>
    <n v="84"/>
    <n v="147"/>
    <n v="4"/>
    <n v="0.91111111111111109"/>
    <n v="2.48414"/>
    <n v="2.48414"/>
    <n v="365.16858000000002"/>
    <n v="22"/>
    <x v="2"/>
    <n v="0.14699999999999999"/>
  </r>
  <r>
    <s v="GUAYAQUIL"/>
    <x v="0"/>
    <x v="0"/>
    <x v="148"/>
    <s v="RGN CER PITA BOT 1750G ECU"/>
    <n v="180"/>
    <n v="1"/>
    <n v="1.75"/>
    <n v="45"/>
    <d v="2024-11-20T00:00:00"/>
    <s v="miércoles"/>
    <d v="2024-11-19T00:00:00"/>
    <x v="8"/>
    <n v="36"/>
    <n v="0.8"/>
    <n v="127"/>
    <n v="222.25"/>
    <n v="1"/>
    <n v="0.97777777777777775"/>
    <n v="2.48414"/>
    <n v="2.48414"/>
    <n v="552.10011499999996"/>
    <n v="7"/>
    <x v="0"/>
    <n v="0.22225"/>
  </r>
  <r>
    <s v="GUAYAQUIL"/>
    <x v="0"/>
    <x v="0"/>
    <x v="148"/>
    <s v="RGN CER PITA BOT 1750G ECU"/>
    <n v="48"/>
    <n v="1"/>
    <n v="1.75"/>
    <n v="45"/>
    <d v="2024-11-21T00:00:00"/>
    <s v="jueves"/>
    <d v="2024-11-19T00:00:00"/>
    <x v="8"/>
    <n v="36"/>
    <n v="0.8"/>
    <n v="48"/>
    <n v="84"/>
    <n v="2"/>
    <n v="0.9555555555555556"/>
    <n v="2.48414"/>
    <n v="2.48414"/>
    <n v="208.66775999999999"/>
    <n v="6"/>
    <x v="0"/>
    <n v="8.4000000000000005E-2"/>
  </r>
  <r>
    <s v="GUAYAQUIL"/>
    <x v="0"/>
    <x v="0"/>
    <x v="149"/>
    <s v="MPLX6 RGN TZOS MULTSAB VASO 150G"/>
    <n v="36"/>
    <n v="1"/>
    <n v="0.9"/>
    <n v="45"/>
    <d v="2024-11-12T00:00:00"/>
    <s v="martes"/>
    <d v="2024-10-30T00:00:00"/>
    <x v="41"/>
    <n v="16"/>
    <n v="0.35555555555555557"/>
    <n v="10"/>
    <n v="9"/>
    <n v="13"/>
    <n v="0.71111111111111114"/>
    <n v="1.50911"/>
    <n v="1.50911"/>
    <n v="13.581989999999999"/>
    <n v="15"/>
    <x v="2"/>
    <n v="8.9999999999999993E-3"/>
  </r>
  <r>
    <s v="GUAYAQUIL"/>
    <x v="0"/>
    <x v="0"/>
    <x v="149"/>
    <s v="MPLX6 RGN TZOS MULTSAB VASO 150G"/>
    <n v="360"/>
    <n v="1"/>
    <n v="0.9"/>
    <n v="45"/>
    <d v="2024-11-21T00:00:00"/>
    <s v="jueves"/>
    <d v="2024-11-16T00:00:00"/>
    <x v="3"/>
    <n v="33"/>
    <n v="0.73333333333333328"/>
    <n v="50"/>
    <n v="45"/>
    <n v="5"/>
    <n v="0.88888888888888884"/>
    <n v="1.50911"/>
    <n v="1.50911"/>
    <n v="67.909949999999995"/>
    <n v="6"/>
    <x v="0"/>
    <n v="4.4999999999999998E-2"/>
  </r>
  <r>
    <s v="GUAYAQUIL"/>
    <x v="0"/>
    <x v="0"/>
    <x v="150"/>
    <s v="BON YURT MINI HOJUELAS 87G"/>
    <n v="630"/>
    <n v="1"/>
    <n v="8.6999999999999994E-2"/>
    <n v="45"/>
    <d v="2024-11-12T00:00:00"/>
    <s v="martes"/>
    <d v="2024-10-31T00:00:00"/>
    <x v="10"/>
    <n v="17"/>
    <n v="0.37777777777777777"/>
    <n v="7"/>
    <n v="0.60899999999999999"/>
    <n v="12"/>
    <n v="0.73333333333333339"/>
    <n v="0.20752000000000001"/>
    <n v="0.20752000000000001"/>
    <n v="0.12637967999999999"/>
    <n v="15"/>
    <x v="2"/>
    <n v="6.0899999999999995E-4"/>
  </r>
  <r>
    <s v="GUAYAQUIL"/>
    <x v="0"/>
    <x v="0"/>
    <x v="150"/>
    <s v="BON YURT MINI HOJUELAS 87G"/>
    <n v="420"/>
    <n v="1"/>
    <n v="8.6999999999999994E-2"/>
    <n v="45"/>
    <d v="2024-11-16T00:00:00"/>
    <s v="sábado"/>
    <d v="2024-11-07T00:00:00"/>
    <x v="1"/>
    <n v="24"/>
    <n v="0.53333333333333333"/>
    <n v="318"/>
    <n v="27.665999999999997"/>
    <n v="9"/>
    <n v="0.8"/>
    <n v="0.20752000000000001"/>
    <n v="0.20752000000000001"/>
    <n v="5.7412483199999995"/>
    <n v="11"/>
    <x v="1"/>
    <n v="2.7665999999999996E-2"/>
  </r>
  <r>
    <s v="GUAYAQUIL"/>
    <x v="0"/>
    <x v="0"/>
    <x v="150"/>
    <s v="BON YURT MINI HOJUELAS 87G"/>
    <n v="1050"/>
    <n v="1"/>
    <n v="8.6999999999999994E-2"/>
    <n v="45"/>
    <d v="2024-11-19T00:00:00"/>
    <s v="martes"/>
    <d v="2024-11-07T00:00:00"/>
    <x v="1"/>
    <n v="24"/>
    <n v="0.53333333333333333"/>
    <n v="1050"/>
    <n v="91.35"/>
    <n v="12"/>
    <n v="0.73333333333333339"/>
    <n v="0.20752000000000001"/>
    <n v="0.20752000000000001"/>
    <n v="18.956952000000001"/>
    <n v="8"/>
    <x v="1"/>
    <n v="9.1350000000000001E-2"/>
  </r>
  <r>
    <s v="GUAYAQUIL"/>
    <x v="0"/>
    <x v="0"/>
    <x v="150"/>
    <s v="BON YURT MINI HOJUELAS 87G"/>
    <n v="560"/>
    <n v="1"/>
    <n v="8.6999999999999994E-2"/>
    <n v="45"/>
    <d v="2024-11-20T00:00:00"/>
    <s v="miércoles"/>
    <d v="2024-11-14T00:00:00"/>
    <x v="7"/>
    <n v="31"/>
    <n v="0.68888888888888888"/>
    <n v="560"/>
    <n v="48.72"/>
    <n v="6"/>
    <n v="0.8666666666666667"/>
    <n v="0.20752000000000001"/>
    <n v="0.20752000000000001"/>
    <n v="10.1103744"/>
    <n v="7"/>
    <x v="0"/>
    <n v="4.8719999999999999E-2"/>
  </r>
  <r>
    <s v="GUAYAQUIL"/>
    <x v="0"/>
    <x v="0"/>
    <x v="150"/>
    <s v="BON YURT MINI HOJUELAS 87G"/>
    <n v="420"/>
    <n v="1"/>
    <n v="8.6999999999999994E-2"/>
    <n v="45"/>
    <d v="2024-11-21T00:00:00"/>
    <s v="jueves"/>
    <d v="2024-11-14T00:00:00"/>
    <x v="7"/>
    <n v="31"/>
    <n v="0.68888888888888888"/>
    <n v="420"/>
    <n v="36.54"/>
    <n v="7"/>
    <n v="0.84444444444444444"/>
    <n v="0.20752000000000001"/>
    <n v="0.20752000000000001"/>
    <n v="7.5827808000000001"/>
    <n v="6"/>
    <x v="0"/>
    <n v="3.6539999999999996E-2"/>
  </r>
  <r>
    <s v="GUAYAQUIL"/>
    <x v="0"/>
    <x v="0"/>
    <x v="151"/>
    <s v="YOG FNSSE VAINILLA 950"/>
    <n v="54"/>
    <n v="1"/>
    <n v="0.95"/>
    <n v="45"/>
    <d v="2024-11-16T00:00:00"/>
    <s v="sábado"/>
    <d v="2024-11-13T00:00:00"/>
    <x v="2"/>
    <n v="30"/>
    <n v="0.66666666666666663"/>
    <n v="13"/>
    <n v="12.35"/>
    <n v="3"/>
    <n v="0.93333333333333335"/>
    <n v="1.24322"/>
    <n v="1.24322"/>
    <n v="15.353766999999999"/>
    <n v="11"/>
    <x v="0"/>
    <n v="1.235E-2"/>
  </r>
  <r>
    <s v="GUAYAQUIL"/>
    <x v="0"/>
    <x v="0"/>
    <x v="151"/>
    <s v="YOG FNSSE VAINILLA 950"/>
    <n v="54"/>
    <n v="1"/>
    <n v="0.95"/>
    <n v="45"/>
    <d v="2024-11-19T00:00:00"/>
    <s v="martes"/>
    <d v="2024-11-13T00:00:00"/>
    <x v="2"/>
    <n v="30"/>
    <n v="0.66666666666666663"/>
    <n v="54"/>
    <n v="51.3"/>
    <n v="6"/>
    <n v="0.8666666666666667"/>
    <n v="1.24322"/>
    <n v="1.24322"/>
    <n v="63.777185999999993"/>
    <n v="8"/>
    <x v="0"/>
    <n v="5.1299999999999998E-2"/>
  </r>
  <r>
    <s v="GUAYAQUIL"/>
    <x v="0"/>
    <x v="0"/>
    <x v="151"/>
    <s v="YOG FNSSE VAINILLA 950"/>
    <n v="36"/>
    <n v="1"/>
    <n v="0.95"/>
    <n v="45"/>
    <d v="2024-11-20T00:00:00"/>
    <s v="miércoles"/>
    <d v="2024-11-15T00:00:00"/>
    <x v="0"/>
    <n v="32"/>
    <n v="0.71111111111111114"/>
    <n v="0"/>
    <n v="0"/>
    <n v="5"/>
    <n v="0.88888888888888884"/>
    <n v="1.24322"/>
    <n v="1.24322"/>
    <n v="0"/>
    <n v="7"/>
    <x v="0"/>
    <n v="0"/>
  </r>
  <r>
    <s v="GUAYAQUIL"/>
    <x v="0"/>
    <x v="0"/>
    <x v="151"/>
    <s v="YOG FNSSE VAINILLA 950"/>
    <n v="36"/>
    <n v="1"/>
    <n v="0.95"/>
    <n v="45"/>
    <d v="2024-11-21T00:00:00"/>
    <s v="jueves"/>
    <d v="2024-11-15T00:00:00"/>
    <x v="0"/>
    <n v="32"/>
    <n v="0.71111111111111114"/>
    <n v="36"/>
    <n v="34.199999999999996"/>
    <n v="6"/>
    <n v="0.8666666666666667"/>
    <n v="1.24322"/>
    <n v="1.24322"/>
    <n v="42.518123999999993"/>
    <n v="6"/>
    <x v="0"/>
    <n v="3.4199999999999994E-2"/>
  </r>
  <r>
    <s v="GUAYAQUIL"/>
    <x v="0"/>
    <x v="0"/>
    <x v="152"/>
    <s v="Q MOZAR PIZZ KIOSKO LONJ AL PESO COR"/>
    <n v="12"/>
    <n v="2.7"/>
    <n v="1"/>
    <n v="30"/>
    <d v="2024-11-19T00:00:00"/>
    <s v="martes"/>
    <d v="2024-11-17T00:00:00"/>
    <x v="21"/>
    <n v="19"/>
    <n v="0.6333333333333333"/>
    <n v="12"/>
    <n v="32.400000000000006"/>
    <n v="2"/>
    <n v="0.93333333333333335"/>
    <n v="7.2692399999999999"/>
    <n v="19.626948000000002"/>
    <n v="635.91311520000022"/>
    <n v="8"/>
    <x v="2"/>
    <n v="3.2400000000000005E-2"/>
  </r>
  <r>
    <s v="GUAYAQUIL"/>
    <x v="0"/>
    <x v="0"/>
    <x v="152"/>
    <s v="Q MOZAR PIZZ KIOSKO LONJ AL PESO COR"/>
    <n v="10"/>
    <n v="2.7"/>
    <n v="1"/>
    <n v="30"/>
    <d v="2024-11-21T00:00:00"/>
    <s v="jueves"/>
    <d v="2024-11-20T00:00:00"/>
    <x v="19"/>
    <n v="22"/>
    <n v="0.73333333333333328"/>
    <n v="10"/>
    <n v="27"/>
    <n v="1"/>
    <n v="0.96666666666666667"/>
    <n v="7.2692399999999999"/>
    <n v="19.626948000000002"/>
    <n v="529.92759600000011"/>
    <n v="6"/>
    <x v="1"/>
    <n v="2.7E-2"/>
  </r>
  <r>
    <s v="GUAYAQUIL"/>
    <x v="0"/>
    <x v="0"/>
    <x v="153"/>
    <s v="Q HOLANDES KIOSKO RALLADO 1500G"/>
    <n v="10"/>
    <n v="1"/>
    <n v="1.5"/>
    <n v="60"/>
    <d v="2024-11-12T00:00:00"/>
    <s v="martes"/>
    <d v="2024-11-08T00:00:00"/>
    <x v="67"/>
    <n v="40"/>
    <n v="0.66666666666666663"/>
    <n v="4"/>
    <n v="6"/>
    <n v="4"/>
    <n v="0.93333333333333335"/>
    <n v="10.058565"/>
    <n v="10.058565"/>
    <n v="60.351389999999995"/>
    <n v="15"/>
    <x v="0"/>
    <n v="6.0000000000000001E-3"/>
  </r>
  <r>
    <s v="GUAYAQUIL"/>
    <x v="0"/>
    <x v="0"/>
    <x v="153"/>
    <s v="Q HOLANDES KIOSKO RALLADO 1500G"/>
    <n v="150"/>
    <n v="1"/>
    <n v="1.5"/>
    <n v="60"/>
    <d v="2024-11-14T00:00:00"/>
    <s v="jueves"/>
    <d v="2024-11-13T00:00:00"/>
    <x v="46"/>
    <n v="45"/>
    <n v="0.75"/>
    <n v="150"/>
    <n v="225"/>
    <n v="1"/>
    <n v="0.98333333333333328"/>
    <n v="10.058565"/>
    <n v="10.058565"/>
    <n v="2263.1771250000002"/>
    <n v="13"/>
    <x v="0"/>
    <n v="0.22500000000000001"/>
  </r>
  <r>
    <s v="GUAYAQUIL"/>
    <x v="0"/>
    <x v="0"/>
    <x v="153"/>
    <s v="Q HOLANDES KIOSKO RALLADO 1500G"/>
    <n v="5"/>
    <n v="1"/>
    <n v="1.5"/>
    <n v="60"/>
    <d v="2024-11-19T00:00:00"/>
    <s v="martes"/>
    <d v="2024-11-17T00:00:00"/>
    <x v="75"/>
    <n v="49"/>
    <n v="0.81666666666666665"/>
    <n v="5"/>
    <n v="7.5"/>
    <n v="2"/>
    <n v="0.96666666666666667"/>
    <n v="10.058565"/>
    <n v="10.058565"/>
    <n v="75.439237500000004"/>
    <n v="8"/>
    <x v="0"/>
    <n v="7.4999999999999997E-3"/>
  </r>
  <r>
    <s v="GUAYAQUIL"/>
    <x v="0"/>
    <x v="0"/>
    <x v="153"/>
    <s v="Q HOLANDES KIOSKO RALLADO 1500G"/>
    <n v="200"/>
    <n v="1"/>
    <n v="1.5"/>
    <n v="60"/>
    <d v="2024-11-21T00:00:00"/>
    <s v="jueves"/>
    <d v="2024-11-20T00:00:00"/>
    <x v="76"/>
    <n v="52"/>
    <n v="0.8666666666666667"/>
    <n v="200"/>
    <n v="300"/>
    <n v="1"/>
    <n v="0.98333333333333328"/>
    <n v="10.058565"/>
    <n v="10.058565"/>
    <n v="3017.5695000000001"/>
    <n v="6"/>
    <x v="0"/>
    <n v="0.3"/>
  </r>
  <r>
    <s v="GUAYAQUIL"/>
    <x v="0"/>
    <x v="0"/>
    <x v="154"/>
    <s v="Q HIERBAS KIOSKO LONJ AL PESO"/>
    <n v="20"/>
    <n v="2.5"/>
    <n v="1"/>
    <n v="90"/>
    <d v="2024-11-12T00:00:00"/>
    <s v="martes"/>
    <d v="2024-11-07T00:00:00"/>
    <x v="58"/>
    <n v="69"/>
    <n v="0.76666666666666672"/>
    <n v="9"/>
    <n v="22.5"/>
    <n v="5"/>
    <n v="0.94444444444444442"/>
    <n v="7.4059249999999999"/>
    <n v="18.514812499999998"/>
    <n v="416.58328124999997"/>
    <n v="15"/>
    <x v="0"/>
    <n v="2.2499999999999999E-2"/>
  </r>
  <r>
    <s v="GUAYAQUIL"/>
    <x v="0"/>
    <x v="0"/>
    <x v="154"/>
    <s v="Q HIERBAS KIOSKO LONJ AL PESO"/>
    <n v="10"/>
    <n v="2.5"/>
    <n v="1"/>
    <n v="90"/>
    <d v="2024-11-15T00:00:00"/>
    <s v="viernes"/>
    <d v="2024-11-13T00:00:00"/>
    <x v="39"/>
    <n v="75"/>
    <n v="0.83333333333333337"/>
    <n v="10"/>
    <n v="25"/>
    <n v="2"/>
    <n v="0.97777777777777775"/>
    <n v="7.4059249999999999"/>
    <n v="18.514812499999998"/>
    <n v="462.87031249999995"/>
    <n v="12"/>
    <x v="0"/>
    <n v="2.5000000000000001E-2"/>
  </r>
  <r>
    <s v="GUAYAQUIL"/>
    <x v="0"/>
    <x v="0"/>
    <x v="155"/>
    <s v="Q ESPAR CHED KIOSKO VASO 45G"/>
    <n v="300"/>
    <n v="1"/>
    <n v="4.4999999999999998E-2"/>
    <n v="90"/>
    <d v="2024-11-07T00:00:00"/>
    <s v="jueves"/>
    <d v="2024-09-27T00:00:00"/>
    <x v="43"/>
    <n v="28"/>
    <n v="0.31111111111111112"/>
    <n v="180"/>
    <n v="8.1"/>
    <n v="41"/>
    <n v="0.54444444444444451"/>
    <n v="0.14824500000000002"/>
    <n v="0.14824500000000002"/>
    <n v="1.2007845000000001"/>
    <n v="20"/>
    <x v="0"/>
    <n v="8.0999999999999996E-3"/>
  </r>
  <r>
    <s v="GUAYAQUIL"/>
    <x v="0"/>
    <x v="0"/>
    <x v="156"/>
    <s v="MPLX4 BY NEON VASO 170G"/>
    <n v="16"/>
    <n v="1"/>
    <n v="0.68"/>
    <n v="45"/>
    <d v="2024-11-15T00:00:00"/>
    <s v="viernes"/>
    <d v="2024-11-09T00:00:00"/>
    <x v="6"/>
    <n v="26"/>
    <n v="0.57777777777777772"/>
    <n v="6"/>
    <n v="4.08"/>
    <n v="6"/>
    <n v="0.8666666666666667"/>
    <n v="1.6522000000000001"/>
    <n v="1.6522000000000001"/>
    <n v="6.7409760000000007"/>
    <n v="12"/>
    <x v="1"/>
    <n v="4.0800000000000003E-3"/>
  </r>
  <r>
    <s v="GUAYAQUIL"/>
    <x v="0"/>
    <x v="0"/>
    <x v="157"/>
    <s v="YOG FNSSE SBILA BOT 1670G"/>
    <n v="24"/>
    <n v="1"/>
    <n v="1.67"/>
    <n v="45"/>
    <d v="2024-10-29T00:00:00"/>
    <s v="martes"/>
    <d v="2024-10-23T00:00:00"/>
    <x v="66"/>
    <n v="9"/>
    <n v="0.2"/>
    <n v="14"/>
    <n v="23.38"/>
    <n v="6"/>
    <n v="0.8666666666666667"/>
    <n v="2.4703599999999999"/>
    <n v="2.4703599999999999"/>
    <n v="57.757016799999995"/>
    <n v="29"/>
    <x v="2"/>
    <n v="2.3379999999999998E-2"/>
  </r>
  <r>
    <s v="GUAYAQUIL"/>
    <x v="0"/>
    <x v="0"/>
    <x v="157"/>
    <s v="YOG FNSSE SBILA BOT 1670G"/>
    <n v="12"/>
    <n v="1"/>
    <n v="1.67"/>
    <n v="45"/>
    <d v="2024-10-31T00:00:00"/>
    <s v="jueves"/>
    <d v="2024-10-25T00:00:00"/>
    <x v="53"/>
    <n v="11"/>
    <n v="0.24444444444444444"/>
    <n v="5"/>
    <n v="8.35"/>
    <n v="6"/>
    <n v="0.8666666666666667"/>
    <n v="2.4703599999999999"/>
    <n v="2.4703599999999999"/>
    <n v="20.627505999999997"/>
    <n v="27"/>
    <x v="2"/>
    <n v="8.3499999999999998E-3"/>
  </r>
  <r>
    <s v="GUAYAQUIL"/>
    <x v="0"/>
    <x v="0"/>
    <x v="157"/>
    <s v="YOG FNSSE SBILA BOT 1670G"/>
    <n v="12"/>
    <n v="1"/>
    <n v="1.67"/>
    <n v="45"/>
    <d v="2024-11-01T00:00:00"/>
    <s v="viernes"/>
    <d v="2024-10-25T00:00:00"/>
    <x v="53"/>
    <n v="11"/>
    <n v="0.24444444444444444"/>
    <n v="12"/>
    <n v="20.04"/>
    <n v="7"/>
    <n v="0.84444444444444444"/>
    <n v="2.4703599999999999"/>
    <n v="2.4703599999999999"/>
    <n v="49.506014399999998"/>
    <n v="26"/>
    <x v="2"/>
    <n v="2.0039999999999999E-2"/>
  </r>
  <r>
    <s v="GUAYAQUIL"/>
    <x v="0"/>
    <x v="0"/>
    <x v="157"/>
    <s v="YOG FNSSE SBILA BOT 1670G"/>
    <n v="12"/>
    <n v="1"/>
    <n v="1.67"/>
    <n v="45"/>
    <d v="2024-11-16T00:00:00"/>
    <s v="sábado"/>
    <d v="2024-11-08T00:00:00"/>
    <x v="9"/>
    <n v="25"/>
    <n v="0.55555555555555558"/>
    <n v="6"/>
    <n v="10.02"/>
    <n v="8"/>
    <n v="0.82222222222222219"/>
    <n v="2.4703599999999999"/>
    <n v="2.4703599999999999"/>
    <n v="24.753007199999999"/>
    <n v="11"/>
    <x v="1"/>
    <n v="1.0019999999999999E-2"/>
  </r>
  <r>
    <s v="GUAYAQUIL"/>
    <x v="0"/>
    <x v="0"/>
    <x v="157"/>
    <s v="YOG FNSSE SBILA BOT 1670G"/>
    <n v="36"/>
    <n v="1"/>
    <n v="1.67"/>
    <n v="45"/>
    <d v="2024-11-20T00:00:00"/>
    <s v="miércoles"/>
    <d v="2024-11-13T00:00:00"/>
    <x v="2"/>
    <n v="30"/>
    <n v="0.66666666666666663"/>
    <n v="36"/>
    <n v="60.12"/>
    <n v="7"/>
    <n v="0.84444444444444444"/>
    <n v="2.4703599999999999"/>
    <n v="2.4703599999999999"/>
    <n v="148.51804319999999"/>
    <n v="7"/>
    <x v="0"/>
    <n v="6.012E-2"/>
  </r>
  <r>
    <s v="GUAYAQUIL"/>
    <x v="0"/>
    <x v="0"/>
    <x v="158"/>
    <s v="Q MOZAR LGHT KIOSKO BLOQ 700G"/>
    <n v="0"/>
    <n v="1"/>
    <n v="0.7"/>
    <n v="40"/>
    <d v="2024-11-04T00:00:00"/>
    <s v="lunes"/>
    <d v="2025-03-24T00:00:00"/>
    <x v="81"/>
    <n v="156"/>
    <n v="3.9"/>
    <n v="21"/>
    <n v="14.7"/>
    <n v="-140"/>
    <n v="4.5"/>
    <n v="3.8565149999999999"/>
    <n v="3.8565149999999999"/>
    <n v="56.690770499999999"/>
    <n v="23"/>
    <x v="0"/>
    <n v="1.47E-2"/>
  </r>
  <r>
    <s v="GUAYAQUIL"/>
    <x v="0"/>
    <x v="0"/>
    <x v="158"/>
    <s v="Q MOZAR LGHT KIOSKO BLOQ 700G"/>
    <n v="216"/>
    <n v="1"/>
    <n v="0.7"/>
    <n v="40"/>
    <d v="2024-11-19T00:00:00"/>
    <s v="martes"/>
    <d v="2024-11-16T00:00:00"/>
    <x v="43"/>
    <n v="28"/>
    <n v="0.7"/>
    <n v="184"/>
    <n v="128.79999999999998"/>
    <n v="3"/>
    <n v="0.92500000000000004"/>
    <n v="3.8565149999999999"/>
    <n v="3.8565149999999999"/>
    <n v="496.71913199999995"/>
    <n v="8"/>
    <x v="0"/>
    <n v="0.12879999999999997"/>
  </r>
  <r>
    <s v="GUAYAQUIL"/>
    <x v="0"/>
    <x v="0"/>
    <x v="158"/>
    <s v="Q MOZAR LGHT KIOSKO BLOQ 700G"/>
    <n v="54"/>
    <n v="1"/>
    <n v="0.7"/>
    <n v="40"/>
    <d v="2024-11-20T00:00:00"/>
    <s v="miércoles"/>
    <d v="2024-11-16T00:00:00"/>
    <x v="43"/>
    <n v="28"/>
    <n v="0.7"/>
    <n v="54"/>
    <n v="37.799999999999997"/>
    <n v="4"/>
    <n v="0.9"/>
    <n v="3.8565149999999999"/>
    <n v="3.8565149999999999"/>
    <n v="145.77626699999999"/>
    <n v="7"/>
    <x v="0"/>
    <n v="3.78E-2"/>
  </r>
  <r>
    <s v="GUAYAQUIL"/>
    <x v="0"/>
    <x v="0"/>
    <x v="158"/>
    <s v="Q MOZAR LGHT KIOSKO BLOQ 700G"/>
    <n v="108"/>
    <n v="1"/>
    <n v="0.7"/>
    <n v="40"/>
    <d v="2024-11-21T00:00:00"/>
    <s v="jueves"/>
    <d v="2024-11-16T00:00:00"/>
    <x v="43"/>
    <n v="28"/>
    <n v="0.7"/>
    <n v="108"/>
    <n v="75.599999999999994"/>
    <n v="5"/>
    <n v="0.875"/>
    <n v="3.8565149999999999"/>
    <n v="3.8565149999999999"/>
    <n v="291.55253399999998"/>
    <n v="6"/>
    <x v="0"/>
    <n v="7.5600000000000001E-2"/>
  </r>
  <r>
    <s v="GUAYAQUIL"/>
    <x v="0"/>
    <x v="0"/>
    <x v="159"/>
    <s v="ALPINETTE FRESA 140G ECU"/>
    <n v="120"/>
    <n v="1"/>
    <n v="0.14000000000000001"/>
    <n v="60"/>
    <d v="2024-11-08T00:00:00"/>
    <s v="viernes"/>
    <d v="2024-10-08T00:00:00"/>
    <x v="66"/>
    <n v="9"/>
    <n v="0.15"/>
    <n v="91"/>
    <n v="12.740000000000002"/>
    <n v="31"/>
    <n v="0.48333333333333328"/>
    <n v="0.46937499999999999"/>
    <n v="0.46937499999999999"/>
    <n v="5.9798375000000004"/>
    <n v="19"/>
    <x v="2"/>
    <n v="1.2740000000000001E-2"/>
  </r>
  <r>
    <s v="GUAYAQUIL"/>
    <x v="0"/>
    <x v="0"/>
    <x v="160"/>
    <s v="MPX6 YOG BBLE KID KK MULTSAB BOT 120G"/>
    <n v="308"/>
    <n v="1"/>
    <n v="0.72"/>
    <n v="45"/>
    <d v="2024-11-19T00:00:00"/>
    <s v="martes"/>
    <d v="2024-11-14T00:00:00"/>
    <x v="7"/>
    <n v="31"/>
    <n v="0.68888888888888888"/>
    <n v="282"/>
    <n v="203.04"/>
    <n v="5"/>
    <n v="0.88888888888888884"/>
    <n v="1.6533599999999999"/>
    <n v="1.6533599999999999"/>
    <n v="335.69821439999998"/>
    <n v="8"/>
    <x v="0"/>
    <n v="0.20304"/>
  </r>
  <r>
    <s v="GUAYAQUIL"/>
    <x v="0"/>
    <x v="0"/>
    <x v="161"/>
    <s v="YOG FNSSE DURAZNO BOT 180G"/>
    <n v="324"/>
    <n v="1"/>
    <n v="0.18"/>
    <n v="45"/>
    <d v="2024-11-16T00:00:00"/>
    <s v="sábado"/>
    <d v="2024-11-15T00:00:00"/>
    <x v="0"/>
    <n v="32"/>
    <n v="0.71111111111111114"/>
    <n v="101"/>
    <n v="18.18"/>
    <n v="1"/>
    <n v="0.97777777777777775"/>
    <n v="0.31489500000000004"/>
    <n v="0.31489500000000004"/>
    <n v="5.7247911000000009"/>
    <n v="11"/>
    <x v="0"/>
    <n v="1.8179999999999998E-2"/>
  </r>
  <r>
    <s v="GUAYAQUIL"/>
    <x v="0"/>
    <x v="0"/>
    <x v="162"/>
    <s v="RGN CER GDLLA BOT 1750G"/>
    <n v="12"/>
    <n v="1"/>
    <n v="1.75"/>
    <n v="45"/>
    <d v="2024-11-06T00:00:00"/>
    <s v="miércoles"/>
    <d v="2024-11-01T00:00:00"/>
    <x v="4"/>
    <n v="18"/>
    <n v="0.4"/>
    <n v="13"/>
    <n v="22.75"/>
    <n v="5"/>
    <n v="0.88888888888888884"/>
    <n v="2.164625"/>
    <n v="2.164625"/>
    <n v="49.245218749999999"/>
    <n v="21"/>
    <x v="2"/>
    <n v="2.2749999999999999E-2"/>
  </r>
  <r>
    <s v="GUAYAQUIL"/>
    <x v="0"/>
    <x v="0"/>
    <x v="163"/>
    <s v="Q MOZAR PIZZ KIOSKO 20 LONJ 300G"/>
    <n v="10"/>
    <n v="1"/>
    <n v="0.3"/>
    <n v="30"/>
    <d v="2024-11-20T00:00:00"/>
    <s v="miércoles"/>
    <d v="2024-11-14T00:00:00"/>
    <x v="41"/>
    <n v="16"/>
    <n v="0.53333333333333333"/>
    <n v="0"/>
    <n v="0"/>
    <n v="6"/>
    <n v="0.8"/>
    <n v="2.2262750000000002"/>
    <n v="2.2262750000000002"/>
    <n v="0"/>
    <n v="7"/>
    <x v="2"/>
    <n v="0"/>
  </r>
  <r>
    <s v="GUAYAQUIL"/>
    <x v="0"/>
    <x v="0"/>
    <x v="163"/>
    <s v="Q MOZAR PIZZ KIOSKO 20 LONJ 300G"/>
    <n v="20"/>
    <n v="1"/>
    <n v="0.3"/>
    <n v="30"/>
    <d v="2024-11-21T00:00:00"/>
    <s v="jueves"/>
    <d v="2024-11-14T00:00:00"/>
    <x v="41"/>
    <n v="16"/>
    <n v="0.53333333333333333"/>
    <n v="20"/>
    <n v="6"/>
    <n v="7"/>
    <n v="0.76666666666666661"/>
    <n v="2.2262750000000002"/>
    <n v="2.2262750000000002"/>
    <n v="13.357650000000001"/>
    <n v="6"/>
    <x v="2"/>
    <n v="6.0000000000000001E-3"/>
  </r>
  <r>
    <s v="GUAYAQUIL"/>
    <x v="0"/>
    <x v="0"/>
    <x v="164"/>
    <s v="MPLX4 BY MULTSAB VASO ECU"/>
    <n v="16"/>
    <n v="1"/>
    <n v="0.68"/>
    <n v="45"/>
    <d v="2024-11-01T00:00:00"/>
    <s v="viernes"/>
    <d v="2024-10-22T00:00:00"/>
    <x v="79"/>
    <n v="8"/>
    <n v="0.17777777777777778"/>
    <n v="5"/>
    <n v="3.4000000000000004"/>
    <n v="10"/>
    <n v="0.77777777777777779"/>
    <n v="1.3252700000000002"/>
    <n v="1.3252700000000002"/>
    <n v="4.5059180000000012"/>
    <n v="26"/>
    <x v="2"/>
    <n v="3.4000000000000002E-3"/>
  </r>
  <r>
    <s v="GUAYAQUIL"/>
    <x v="0"/>
    <x v="0"/>
    <x v="164"/>
    <s v="MPLX4 BY MULTSAB VASO ECU"/>
    <n v="16"/>
    <n v="1"/>
    <n v="0.68"/>
    <n v="45"/>
    <d v="2024-11-08T00:00:00"/>
    <s v="viernes"/>
    <d v="2024-11-01T00:00:00"/>
    <x v="4"/>
    <n v="18"/>
    <n v="0.4"/>
    <n v="8"/>
    <n v="5.44"/>
    <n v="7"/>
    <n v="0.84444444444444444"/>
    <n v="1.3252700000000002"/>
    <n v="1.3252700000000002"/>
    <n v="7.2094688000000016"/>
    <n v="19"/>
    <x v="2"/>
    <n v="5.4400000000000004E-3"/>
  </r>
  <r>
    <s v="GUAYAQUIL"/>
    <x v="0"/>
    <x v="0"/>
    <x v="164"/>
    <s v="MPLX4 BY MULTSAB VASO ECU"/>
    <n v="16"/>
    <n v="1"/>
    <n v="0.68"/>
    <n v="45"/>
    <d v="2024-11-19T00:00:00"/>
    <s v="martes"/>
    <d v="2024-11-15T00:00:00"/>
    <x v="0"/>
    <n v="32"/>
    <n v="0.71111111111111114"/>
    <n v="0"/>
    <n v="0"/>
    <n v="4"/>
    <n v="0.91111111111111109"/>
    <n v="1.3252700000000002"/>
    <n v="1.3252700000000002"/>
    <n v="0"/>
    <n v="8"/>
    <x v="0"/>
    <n v="0"/>
  </r>
  <r>
    <s v="GUAYAQUIL"/>
    <x v="0"/>
    <x v="0"/>
    <x v="164"/>
    <s v="MPLX4 BY MULTSAB VASO ECU"/>
    <n v="16"/>
    <n v="1"/>
    <n v="0.68"/>
    <n v="45"/>
    <d v="2024-11-20T00:00:00"/>
    <s v="miércoles"/>
    <d v="2024-11-15T00:00:00"/>
    <x v="0"/>
    <n v="32"/>
    <n v="0.71111111111111114"/>
    <n v="16"/>
    <n v="10.88"/>
    <n v="5"/>
    <n v="0.88888888888888884"/>
    <n v="1.3252700000000002"/>
    <n v="1.3252700000000002"/>
    <n v="14.418937600000003"/>
    <n v="7"/>
    <x v="0"/>
    <n v="1.0880000000000001E-2"/>
  </r>
  <r>
    <s v="GUAYAQUIL"/>
    <x v="0"/>
    <x v="0"/>
    <x v="164"/>
    <s v="MPLX4 BY MULTSAB VASO ECU"/>
    <n v="8"/>
    <n v="1"/>
    <n v="0.68"/>
    <n v="45"/>
    <d v="2024-11-21T00:00:00"/>
    <s v="jueves"/>
    <d v="2024-11-15T00:00:00"/>
    <x v="0"/>
    <n v="32"/>
    <n v="0.71111111111111114"/>
    <n v="8"/>
    <n v="5.44"/>
    <n v="6"/>
    <n v="0.8666666666666667"/>
    <n v="1.3252700000000002"/>
    <n v="1.3252700000000002"/>
    <n v="7.2094688000000016"/>
    <n v="6"/>
    <x v="0"/>
    <n v="5.4400000000000004E-3"/>
  </r>
  <r>
    <s v="GUAYAQUIL"/>
    <x v="0"/>
    <x v="0"/>
    <x v="165"/>
    <s v="Q MOZAR PIZZ KIOSKO LONJ AL PESO"/>
    <n v="30"/>
    <n v="2.7"/>
    <n v="1"/>
    <n v="30"/>
    <d v="2024-11-20T00:00:00"/>
    <s v="miércoles"/>
    <d v="2024-11-20T00:00:00"/>
    <x v="19"/>
    <n v="22"/>
    <n v="0.73333333333333328"/>
    <n v="8"/>
    <n v="21.6"/>
    <n v="0"/>
    <n v="1"/>
    <n v="6.98916"/>
    <n v="18.870732"/>
    <n v="407.60781120000001"/>
    <n v="7"/>
    <x v="1"/>
    <n v="2.1600000000000001E-2"/>
  </r>
  <r>
    <s v="GUAYAQUIL"/>
    <x v="0"/>
    <x v="0"/>
    <x v="165"/>
    <s v="Q MOZAR PIZZ KIOSKO LONJ AL PESO"/>
    <n v="50"/>
    <n v="2.7"/>
    <n v="1"/>
    <n v="30"/>
    <d v="2024-11-21T00:00:00"/>
    <s v="jueves"/>
    <d v="2024-11-21T00:00:00"/>
    <x v="11"/>
    <n v="23"/>
    <n v="0.76666666666666672"/>
    <n v="50"/>
    <n v="135"/>
    <n v="0"/>
    <n v="1"/>
    <n v="6.98916"/>
    <n v="18.870732"/>
    <n v="2547.54882"/>
    <n v="6"/>
    <x v="1"/>
    <n v="0.13500000000000001"/>
  </r>
  <r>
    <s v="GUAYAQUIL"/>
    <x v="0"/>
    <x v="0"/>
    <x v="166"/>
    <s v="Q CHEDDAR KIOSKO LONJ 400G"/>
    <n v="2628"/>
    <n v="1"/>
    <n v="0.4"/>
    <n v="90"/>
    <d v="2024-11-20T00:00:00"/>
    <s v="miércoles"/>
    <d v="2024-11-19T00:00:00"/>
    <x v="40"/>
    <n v="81"/>
    <n v="0.9"/>
    <n v="1060"/>
    <n v="424"/>
    <n v="1"/>
    <n v="0.98888888888888893"/>
    <n v="3.05572"/>
    <n v="3.05572"/>
    <n v="1295.62528"/>
    <n v="7"/>
    <x v="0"/>
    <n v="0.42399999999999999"/>
  </r>
  <r>
    <s v="GUAYAQUIL"/>
    <x v="0"/>
    <x v="0"/>
    <x v="166"/>
    <s v="Q CHEDDAR KIOSKO LONJ 400G"/>
    <n v="36"/>
    <n v="1"/>
    <n v="0.4"/>
    <n v="90"/>
    <d v="2024-11-21T00:00:00"/>
    <s v="jueves"/>
    <d v="2024-11-19T00:00:00"/>
    <x v="40"/>
    <n v="81"/>
    <n v="0.9"/>
    <n v="36"/>
    <n v="14.4"/>
    <n v="2"/>
    <n v="0.97777777777777775"/>
    <n v="3.05572"/>
    <n v="3.05572"/>
    <n v="44.002368000000004"/>
    <n v="6"/>
    <x v="0"/>
    <n v="1.44E-2"/>
  </r>
  <r>
    <s v="GUAYAQUIL"/>
    <x v="0"/>
    <x v="0"/>
    <x v="167"/>
    <s v="Q MOZZARELLA HIERBAS LONJAS 150G"/>
    <n v="20"/>
    <n v="1"/>
    <n v="0.15"/>
    <n v="40"/>
    <d v="2024-11-19T00:00:00"/>
    <s v="martes"/>
    <d v="2024-11-13T00:00:00"/>
    <x v="9"/>
    <n v="25"/>
    <n v="0.625"/>
    <n v="5"/>
    <n v="0.75"/>
    <n v="6"/>
    <n v="0.85"/>
    <n v="1.279185"/>
    <n v="1.279185"/>
    <n v="0.95938875000000001"/>
    <n v="8"/>
    <x v="1"/>
    <n v="7.5000000000000002E-4"/>
  </r>
  <r>
    <s v="GUAYAQUIL"/>
    <x v="0"/>
    <x v="0"/>
    <x v="167"/>
    <s v="Q MOZZARELLA HIERBAS LONJAS 150G"/>
    <n v="10"/>
    <n v="1"/>
    <n v="0.15"/>
    <n v="40"/>
    <d v="2024-11-21T00:00:00"/>
    <s v="jueves"/>
    <d v="2024-11-13T00:00:00"/>
    <x v="9"/>
    <n v="25"/>
    <n v="0.625"/>
    <n v="10"/>
    <n v="1.5"/>
    <n v="8"/>
    <n v="0.8"/>
    <n v="1.279185"/>
    <n v="1.279185"/>
    <n v="1.9187775"/>
    <n v="6"/>
    <x v="1"/>
    <n v="1.5E-3"/>
  </r>
  <r>
    <s v="GUAYAQUIL"/>
    <x v="0"/>
    <x v="0"/>
    <x v="168"/>
    <s v="KIOSKO CHEDDAR LONJAS LINEA DIARIA 75G"/>
    <n v="120"/>
    <n v="1"/>
    <n v="7.4999999999999997E-2"/>
    <n v="90"/>
    <d v="2024-11-13T00:00:00"/>
    <s v="miércoles"/>
    <d v="2024-11-07T00:00:00"/>
    <x v="58"/>
    <n v="69"/>
    <n v="0.76666666666666672"/>
    <n v="46"/>
    <n v="3.4499999999999997"/>
    <n v="6"/>
    <n v="0.93333333333333335"/>
    <n v="0.64679999999999993"/>
    <n v="0.64679999999999993"/>
    <n v="2.2314599999999998"/>
    <n v="14"/>
    <x v="0"/>
    <n v="3.4499999999999999E-3"/>
  </r>
  <r>
    <s v="GUAYAQUIL"/>
    <x v="0"/>
    <x v="0"/>
    <x v="168"/>
    <s v="KIOSKO CHEDDAR LONJAS LINEA DIARIA 75G"/>
    <n v="100"/>
    <n v="1"/>
    <n v="7.4999999999999997E-2"/>
    <n v="90"/>
    <d v="2024-11-19T00:00:00"/>
    <s v="martes"/>
    <d v="2024-11-15T00:00:00"/>
    <x v="24"/>
    <n v="77"/>
    <n v="0.85555555555555551"/>
    <n v="100"/>
    <n v="7.5"/>
    <n v="4"/>
    <n v="0.9555555555555556"/>
    <n v="0.64679999999999993"/>
    <n v="0.64679999999999993"/>
    <n v="4.8509999999999991"/>
    <n v="8"/>
    <x v="0"/>
    <n v="7.4999999999999997E-3"/>
  </r>
  <r>
    <s v="GUAYAQUIL"/>
    <x v="0"/>
    <x v="0"/>
    <x v="169"/>
    <s v="QUESO KIOSKO HOLANDES LONJ 1KG AL PESO"/>
    <n v="400"/>
    <n v="1"/>
    <n v="1"/>
    <n v="90"/>
    <d v="2024-11-14T00:00:00"/>
    <s v="jueves"/>
    <d v="2024-11-13T00:00:00"/>
    <x v="39"/>
    <n v="75"/>
    <n v="0.83333333333333337"/>
    <n v="202"/>
    <n v="202"/>
    <n v="1"/>
    <n v="0.98888888888888893"/>
    <n v="7.1624999999999996"/>
    <n v="7.1624999999999996"/>
    <n v="1446.8249999999998"/>
    <n v="13"/>
    <x v="0"/>
    <n v="0.20200000000000001"/>
  </r>
  <r>
    <s v="GUAYAQUIL"/>
    <x v="0"/>
    <x v="0"/>
    <x v="170"/>
    <s v="Q MOZAR HIERBAS KIOSKO BLOQ 500G"/>
    <n v="90"/>
    <n v="1"/>
    <n v="0.5"/>
    <n v="40"/>
    <d v="2024-11-19T00:00:00"/>
    <s v="martes"/>
    <d v="2024-11-15T00:00:00"/>
    <x v="44"/>
    <n v="27"/>
    <n v="0.67500000000000004"/>
    <n v="13"/>
    <n v="6.5"/>
    <n v="4"/>
    <n v="0.9"/>
    <n v="2.4256149999999996"/>
    <n v="2.4256149999999996"/>
    <n v="15.766497499999998"/>
    <n v="8"/>
    <x v="0"/>
    <n v="6.4999999999999997E-3"/>
  </r>
  <r>
    <s v="GUAYAQUIL"/>
    <x v="0"/>
    <x v="0"/>
    <x v="170"/>
    <s v="Q MOZAR HIERBAS KIOSKO BLOQ 500G"/>
    <n v="30"/>
    <n v="1"/>
    <n v="0.5"/>
    <n v="40"/>
    <d v="2024-11-21T00:00:00"/>
    <s v="jueves"/>
    <d v="2024-11-15T00:00:00"/>
    <x v="44"/>
    <n v="27"/>
    <n v="0.67500000000000004"/>
    <n v="30"/>
    <n v="15"/>
    <n v="6"/>
    <n v="0.85"/>
    <n v="2.4256149999999996"/>
    <n v="2.4256149999999996"/>
    <n v="36.384224999999994"/>
    <n v="6"/>
    <x v="0"/>
    <n v="1.4999999999999999E-2"/>
  </r>
  <r>
    <s v="GUAYAQUIL"/>
    <x v="0"/>
    <x v="0"/>
    <x v="171"/>
    <s v="RGN TZOS FTLLA BOT 1750G"/>
    <n v="144"/>
    <n v="1"/>
    <n v="1.75"/>
    <n v="45"/>
    <d v="2024-11-16T00:00:00"/>
    <s v="sábado"/>
    <d v="2024-11-13T00:00:00"/>
    <x v="2"/>
    <n v="30"/>
    <n v="0.66666666666666663"/>
    <n v="14"/>
    <n v="24.5"/>
    <n v="3"/>
    <n v="0.93333333333333335"/>
    <n v="2.4097600000000003"/>
    <n v="2.4097600000000003"/>
    <n v="59.039120000000011"/>
    <n v="11"/>
    <x v="0"/>
    <n v="2.4500000000000001E-2"/>
  </r>
  <r>
    <s v="GUAYAQUIL"/>
    <x v="0"/>
    <x v="0"/>
    <x v="171"/>
    <s v="RGN TZOS FTLLA BOT 1750G"/>
    <n v="120"/>
    <n v="1"/>
    <n v="1.75"/>
    <n v="45"/>
    <d v="2024-11-20T00:00:00"/>
    <s v="miércoles"/>
    <d v="2024-11-19T00:00:00"/>
    <x v="8"/>
    <n v="36"/>
    <n v="0.8"/>
    <n v="120"/>
    <n v="210"/>
    <n v="1"/>
    <n v="0.97777777777777775"/>
    <n v="2.4097600000000003"/>
    <n v="2.4097600000000003"/>
    <n v="506.04960000000005"/>
    <n v="7"/>
    <x v="0"/>
    <n v="0.21"/>
  </r>
  <r>
    <s v="GUAYAQUIL"/>
    <x v="0"/>
    <x v="0"/>
    <x v="172"/>
    <s v="ALPINETTE MORA 140G ECU"/>
    <n v="660"/>
    <n v="1"/>
    <n v="0.14000000000000001"/>
    <n v="60"/>
    <d v="2024-11-12T00:00:00"/>
    <s v="martes"/>
    <d v="2024-10-26T00:00:00"/>
    <x v="44"/>
    <n v="27"/>
    <n v="0.45"/>
    <n v="2"/>
    <n v="0.28000000000000003"/>
    <n v="17"/>
    <n v="0.71666666666666667"/>
    <n v="0.47797999999999996"/>
    <n v="0.47797999999999996"/>
    <n v="0.13383439999999999"/>
    <n v="15"/>
    <x v="0"/>
    <n v="2.8000000000000003E-4"/>
  </r>
  <r>
    <s v="GUAYAQUIL"/>
    <x v="0"/>
    <x v="0"/>
    <x v="173"/>
    <s v="YOG BBLE KIOSKO FTLLA FUN 900G"/>
    <n v="900"/>
    <n v="1"/>
    <n v="0.9"/>
    <n v="45"/>
    <d v="2024-11-06T00:00:00"/>
    <s v="miércoles"/>
    <d v="2024-10-29T00:00:00"/>
    <x v="25"/>
    <n v="15"/>
    <n v="0.33333333333333331"/>
    <n v="7"/>
    <n v="6.3"/>
    <n v="8"/>
    <n v="0.82222222222222219"/>
    <n v="0.62998500000000002"/>
    <n v="0.62998500000000002"/>
    <n v="3.9689055"/>
    <n v="21"/>
    <x v="2"/>
    <n v="6.3E-3"/>
  </r>
  <r>
    <s v="GUAYAQUIL"/>
    <x v="0"/>
    <x v="0"/>
    <x v="173"/>
    <s v="YOG BBLE KIOSKO FTLLA FUN 900G"/>
    <n v="675"/>
    <n v="1"/>
    <n v="0.9"/>
    <n v="45"/>
    <d v="2024-11-13T00:00:00"/>
    <s v="miércoles"/>
    <d v="2024-11-06T00:00:00"/>
    <x v="11"/>
    <n v="23"/>
    <n v="0.51111111111111107"/>
    <n v="167"/>
    <n v="150.30000000000001"/>
    <n v="7"/>
    <n v="0.84444444444444444"/>
    <n v="0.62998500000000002"/>
    <n v="0.62998500000000002"/>
    <n v="94.686745500000015"/>
    <n v="14"/>
    <x v="1"/>
    <n v="0.15030000000000002"/>
  </r>
  <r>
    <s v="GUAYAQUIL"/>
    <x v="0"/>
    <x v="0"/>
    <x v="173"/>
    <s v="YOG BBLE KIOSKO FTLLA FUN 900G"/>
    <n v="675"/>
    <n v="1"/>
    <n v="0.9"/>
    <n v="45"/>
    <d v="2024-11-13T00:00:00"/>
    <s v="miércoles"/>
    <d v="2024-11-07T00:00:00"/>
    <x v="1"/>
    <n v="24"/>
    <n v="0.53333333333333333"/>
    <n v="243"/>
    <n v="218.70000000000002"/>
    <n v="6"/>
    <n v="0.8666666666666667"/>
    <n v="0.62998500000000002"/>
    <n v="0.62998500000000002"/>
    <n v="137.77771950000002"/>
    <n v="14"/>
    <x v="1"/>
    <n v="0.21870000000000001"/>
  </r>
  <r>
    <s v="GUAYAQUIL"/>
    <x v="0"/>
    <x v="0"/>
    <x v="173"/>
    <s v="YOG BBLE KIOSKO FTLLA FUN 900G"/>
    <n v="900"/>
    <n v="1"/>
    <n v="0.9"/>
    <n v="45"/>
    <d v="2024-11-16T00:00:00"/>
    <s v="sábado"/>
    <d v="2024-11-08T00:00:00"/>
    <x v="9"/>
    <n v="25"/>
    <n v="0.55555555555555558"/>
    <n v="900"/>
    <n v="810"/>
    <n v="8"/>
    <n v="0.82222222222222219"/>
    <n v="0.62998500000000002"/>
    <n v="0.62998500000000002"/>
    <n v="510.28784999999999"/>
    <n v="11"/>
    <x v="1"/>
    <n v="0.81"/>
  </r>
  <r>
    <s v="GUAYAQUIL"/>
    <x v="0"/>
    <x v="0"/>
    <x v="173"/>
    <s v="YOG BBLE KIOSKO FTLLA FUN 900G"/>
    <n v="675"/>
    <n v="1"/>
    <n v="0.9"/>
    <n v="45"/>
    <d v="2024-11-15T00:00:00"/>
    <s v="viernes"/>
    <d v="2024-11-08T00:00:00"/>
    <x v="9"/>
    <n v="25"/>
    <n v="0.55555555555555558"/>
    <n v="733"/>
    <n v="659.7"/>
    <n v="7"/>
    <n v="0.84444444444444444"/>
    <n v="0.62998500000000002"/>
    <n v="0.62998500000000002"/>
    <n v="415.60110450000002"/>
    <n v="12"/>
    <x v="1"/>
    <n v="0.65970000000000006"/>
  </r>
  <r>
    <s v="GUAYAQUIL"/>
    <x v="0"/>
    <x v="0"/>
    <x v="173"/>
    <s v="YOG BBLE KIOSKO FTLLA FUN 900G"/>
    <n v="675"/>
    <n v="1"/>
    <n v="0.9"/>
    <n v="45"/>
    <d v="2024-11-15T00:00:00"/>
    <s v="viernes"/>
    <d v="2024-11-07T00:00:00"/>
    <x v="1"/>
    <n v="24"/>
    <n v="0.53333333333333333"/>
    <n v="675"/>
    <n v="607.5"/>
    <n v="8"/>
    <n v="0.82222222222222219"/>
    <n v="0.62998500000000002"/>
    <n v="0.62998500000000002"/>
    <n v="382.71588750000001"/>
    <n v="12"/>
    <x v="1"/>
    <n v="0.60750000000000004"/>
  </r>
  <r>
    <s v="GUAYAQUIL"/>
    <x v="0"/>
    <x v="0"/>
    <x v="173"/>
    <s v="YOG BBLE KIOSKO FTLLA FUN 900G"/>
    <n v="675"/>
    <n v="1"/>
    <n v="0.9"/>
    <n v="45"/>
    <d v="2024-11-14T00:00:00"/>
    <s v="jueves"/>
    <d v="2024-11-07T00:00:00"/>
    <x v="1"/>
    <n v="24"/>
    <n v="0.53333333333333333"/>
    <n v="675"/>
    <n v="607.5"/>
    <n v="7"/>
    <n v="0.84444444444444444"/>
    <n v="0.62998500000000002"/>
    <n v="0.62998500000000002"/>
    <n v="382.71588750000001"/>
    <n v="13"/>
    <x v="1"/>
    <n v="0.60750000000000004"/>
  </r>
  <r>
    <s v="GUAYAQUIL"/>
    <x v="0"/>
    <x v="0"/>
    <x v="173"/>
    <s v="YOG BBLE KIOSKO FTLLA FUN 900G"/>
    <n v="900"/>
    <n v="1"/>
    <n v="0.9"/>
    <n v="45"/>
    <d v="2024-11-19T00:00:00"/>
    <s v="martes"/>
    <d v="2024-11-13T00:00:00"/>
    <x v="2"/>
    <n v="30"/>
    <n v="0.66666666666666663"/>
    <n v="900"/>
    <n v="810"/>
    <n v="6"/>
    <n v="0.8666666666666667"/>
    <n v="0.62998500000000002"/>
    <n v="0.62998500000000002"/>
    <n v="510.28784999999999"/>
    <n v="8"/>
    <x v="0"/>
    <n v="0.81"/>
  </r>
  <r>
    <s v="GUAYAQUIL"/>
    <x v="0"/>
    <x v="0"/>
    <x v="173"/>
    <s v="YOG BBLE KIOSKO FTLLA FUN 900G"/>
    <n v="675"/>
    <n v="1"/>
    <n v="0.9"/>
    <n v="45"/>
    <d v="2024-11-20T00:00:00"/>
    <s v="miércoles"/>
    <d v="2024-11-14T00:00:00"/>
    <x v="7"/>
    <n v="31"/>
    <n v="0.68888888888888888"/>
    <n v="675"/>
    <n v="607.5"/>
    <n v="6"/>
    <n v="0.8666666666666667"/>
    <n v="0.62998500000000002"/>
    <n v="0.62998500000000002"/>
    <n v="382.71588750000001"/>
    <n v="7"/>
    <x v="0"/>
    <n v="0.60750000000000004"/>
  </r>
  <r>
    <s v="GUAYAQUIL"/>
    <x v="0"/>
    <x v="0"/>
    <x v="174"/>
    <s v="YOG BBLE KIOSKO DZNO FUN 900G"/>
    <n v="600"/>
    <n v="1"/>
    <n v="0.9"/>
    <n v="45"/>
    <d v="2024-11-09T00:00:00"/>
    <s v="sábado"/>
    <d v="2024-11-01T00:00:00"/>
    <x v="4"/>
    <n v="18"/>
    <n v="0.4"/>
    <n v="420"/>
    <n v="378"/>
    <n v="8"/>
    <n v="0.82222222222222219"/>
    <n v="0.63201499999999999"/>
    <n v="0.63201499999999999"/>
    <n v="238.90167"/>
    <n v="18"/>
    <x v="2"/>
    <n v="0.378"/>
  </r>
  <r>
    <s v="GUAYAQUIL"/>
    <x v="0"/>
    <x v="0"/>
    <x v="174"/>
    <s v="YOG BBLE KIOSKO DZNO FUN 900G"/>
    <n v="525"/>
    <n v="1"/>
    <n v="0.9"/>
    <n v="45"/>
    <d v="2024-11-16T00:00:00"/>
    <s v="sábado"/>
    <d v="2024-11-12T00:00:00"/>
    <x v="5"/>
    <n v="29"/>
    <n v="0.64444444444444449"/>
    <n v="525"/>
    <n v="472.5"/>
    <n v="4"/>
    <n v="0.91111111111111109"/>
    <n v="0.63201499999999999"/>
    <n v="0.63201499999999999"/>
    <n v="298.62708750000002"/>
    <n v="11"/>
    <x v="0"/>
    <n v="0.47249999999999998"/>
  </r>
  <r>
    <s v="GUAYAQUIL"/>
    <x v="0"/>
    <x v="0"/>
    <x v="174"/>
    <s v="YOG BBLE KIOSKO DZNO FUN 900G"/>
    <n v="900"/>
    <n v="1"/>
    <n v="0.9"/>
    <n v="45"/>
    <d v="2024-11-15T00:00:00"/>
    <s v="viernes"/>
    <d v="2024-11-07T00:00:00"/>
    <x v="1"/>
    <n v="24"/>
    <n v="0.53333333333333333"/>
    <n v="564"/>
    <n v="507.6"/>
    <n v="8"/>
    <n v="0.82222222222222219"/>
    <n v="0.63201499999999999"/>
    <n v="0.63201499999999999"/>
    <n v="320.81081399999999"/>
    <n v="12"/>
    <x v="1"/>
    <n v="0.50760000000000005"/>
  </r>
  <r>
    <s v="GUAYAQUIL"/>
    <x v="0"/>
    <x v="0"/>
    <x v="174"/>
    <s v="YOG BBLE KIOSKO DZNO FUN 900G"/>
    <n v="900"/>
    <n v="1"/>
    <n v="0.9"/>
    <n v="45"/>
    <d v="2024-11-19T00:00:00"/>
    <s v="martes"/>
    <d v="2024-11-13T00:00:00"/>
    <x v="2"/>
    <n v="30"/>
    <n v="0.66666666666666663"/>
    <n v="900"/>
    <n v="810"/>
    <n v="6"/>
    <n v="0.8666666666666667"/>
    <n v="0.63201499999999999"/>
    <n v="0.63201499999999999"/>
    <n v="511.93214999999998"/>
    <n v="8"/>
    <x v="0"/>
    <n v="0.81"/>
  </r>
  <r>
    <s v="GUAYAQUIL"/>
    <x v="0"/>
    <x v="0"/>
    <x v="175"/>
    <s v="YOG BBLE KIOSKO FTLLA BOT 1700G"/>
    <n v="12"/>
    <n v="1"/>
    <n v="1.7"/>
    <n v="45"/>
    <d v="2024-10-30T00:00:00"/>
    <s v="miércoles"/>
    <d v="2024-10-25T00:00:00"/>
    <x v="53"/>
    <n v="11"/>
    <n v="0.24444444444444444"/>
    <n v="0"/>
    <n v="0"/>
    <n v="5"/>
    <n v="0.88888888888888884"/>
    <n v="1.7276500000000001"/>
    <n v="1.7276500000000001"/>
    <n v="0"/>
    <n v="28"/>
    <x v="2"/>
    <n v="0"/>
  </r>
  <r>
    <s v="GUAYAQUIL"/>
    <x v="0"/>
    <x v="0"/>
    <x v="175"/>
    <s v="YOG BBLE KIOSKO FTLLA BOT 1700G"/>
    <n v="12"/>
    <n v="1"/>
    <n v="1.7"/>
    <n v="45"/>
    <d v="2024-10-31T00:00:00"/>
    <s v="jueves"/>
    <d v="2024-10-25T00:00:00"/>
    <x v="53"/>
    <n v="11"/>
    <n v="0.24444444444444444"/>
    <n v="12"/>
    <n v="20.399999999999999"/>
    <n v="6"/>
    <n v="0.8666666666666667"/>
    <n v="1.7276500000000001"/>
    <n v="1.7276500000000001"/>
    <n v="35.244059999999998"/>
    <n v="27"/>
    <x v="2"/>
    <n v="2.0399999999999998E-2"/>
  </r>
  <r>
    <s v="GUAYAQUIL"/>
    <x v="0"/>
    <x v="0"/>
    <x v="175"/>
    <s v="YOG BBLE KIOSKO FTLLA BOT 1700G"/>
    <n v="12"/>
    <n v="1"/>
    <n v="1.7"/>
    <n v="45"/>
    <d v="2024-11-07T00:00:00"/>
    <s v="jueves"/>
    <d v="2024-10-31T00:00:00"/>
    <x v="10"/>
    <n v="17"/>
    <n v="0.37777777777777777"/>
    <n v="4"/>
    <n v="6.8"/>
    <n v="7"/>
    <n v="0.84444444444444444"/>
    <n v="1.7276500000000001"/>
    <n v="1.7276500000000001"/>
    <n v="11.74802"/>
    <n v="20"/>
    <x v="2"/>
    <n v="6.7999999999999996E-3"/>
  </r>
  <r>
    <s v="GUAYAQUIL"/>
    <x v="0"/>
    <x v="0"/>
    <x v="175"/>
    <s v="YOG BBLE KIOSKO FTLLA BOT 1700G"/>
    <n v="12"/>
    <n v="1"/>
    <n v="1.7"/>
    <n v="45"/>
    <d v="2024-11-09T00:00:00"/>
    <s v="sábado"/>
    <d v="2024-10-31T00:00:00"/>
    <x v="10"/>
    <n v="17"/>
    <n v="0.37777777777777777"/>
    <n v="12"/>
    <n v="20.399999999999999"/>
    <n v="9"/>
    <n v="0.8"/>
    <n v="1.7276500000000001"/>
    <n v="1.7276500000000001"/>
    <n v="35.244059999999998"/>
    <n v="18"/>
    <x v="2"/>
    <n v="2.0399999999999998E-2"/>
  </r>
  <r>
    <s v="GUAYAQUIL"/>
    <x v="0"/>
    <x v="0"/>
    <x v="176"/>
    <s v="MPLX4 BY BLCK VASO 165G"/>
    <n v="40"/>
    <n v="1"/>
    <n v="0.66"/>
    <n v="45"/>
    <d v="2024-11-01T00:00:00"/>
    <s v="viernes"/>
    <d v="2024-10-22T00:00:00"/>
    <x v="79"/>
    <n v="8"/>
    <n v="0.17777777777777778"/>
    <n v="11"/>
    <n v="7.2600000000000007"/>
    <n v="10"/>
    <n v="0.77777777777777779"/>
    <n v="1.3975849999999999"/>
    <n v="1.3975849999999999"/>
    <n v="10.146467100000001"/>
    <n v="26"/>
    <x v="2"/>
    <n v="7.2600000000000008E-3"/>
  </r>
  <r>
    <s v="GUAYAQUIL"/>
    <x v="0"/>
    <x v="0"/>
    <x v="176"/>
    <s v="MPLX4 BY BLCK VASO 165G"/>
    <n v="8"/>
    <n v="1"/>
    <n v="0.66"/>
    <n v="45"/>
    <d v="2024-11-16T00:00:00"/>
    <s v="sábado"/>
    <d v="2024-11-05T00:00:00"/>
    <x v="19"/>
    <n v="22"/>
    <n v="0.48888888888888887"/>
    <n v="8"/>
    <n v="5.28"/>
    <n v="11"/>
    <n v="0.75555555555555554"/>
    <n v="1.3975849999999999"/>
    <n v="1.3975849999999999"/>
    <n v="7.3792487999999992"/>
    <n v="11"/>
    <x v="1"/>
    <n v="5.28E-3"/>
  </r>
  <r>
    <s v="GUAYAQUIL"/>
    <x v="0"/>
    <x v="0"/>
    <x v="176"/>
    <s v="MPLX4 BY BLCK VASO 165G"/>
    <n v="56"/>
    <n v="1"/>
    <n v="0.66"/>
    <n v="45"/>
    <d v="2024-11-15T00:00:00"/>
    <s v="viernes"/>
    <d v="2024-11-05T00:00:00"/>
    <x v="19"/>
    <n v="22"/>
    <n v="0.48888888888888887"/>
    <n v="55"/>
    <n v="36.300000000000004"/>
    <n v="10"/>
    <n v="0.77777777777777779"/>
    <n v="1.3975849999999999"/>
    <n v="1.3975849999999999"/>
    <n v="50.732335499999998"/>
    <n v="12"/>
    <x v="1"/>
    <n v="3.6300000000000006E-2"/>
  </r>
  <r>
    <s v="GUAYAQUIL"/>
    <x v="0"/>
    <x v="0"/>
    <x v="176"/>
    <s v="MPLX4 BY BLCK VASO 165G"/>
    <n v="104"/>
    <n v="1"/>
    <n v="0.66"/>
    <n v="45"/>
    <d v="2024-11-20T00:00:00"/>
    <s v="miércoles"/>
    <d v="2024-11-12T00:00:00"/>
    <x v="5"/>
    <n v="29"/>
    <n v="0.64444444444444449"/>
    <n v="104"/>
    <n v="68.64"/>
    <n v="8"/>
    <n v="0.82222222222222219"/>
    <n v="1.3975849999999999"/>
    <n v="1.3975849999999999"/>
    <n v="95.930234399999989"/>
    <n v="7"/>
    <x v="0"/>
    <n v="6.8640000000000007E-2"/>
  </r>
  <r>
    <s v="GUAYAQUIL"/>
    <x v="0"/>
    <x v="0"/>
    <x v="177"/>
    <s v="RGN CER GDLLA BOT 1000G"/>
    <n v="18"/>
    <n v="1"/>
    <n v="1"/>
    <n v="45"/>
    <d v="2024-11-06T00:00:00"/>
    <s v="miércoles"/>
    <d v="2024-10-26T00:00:00"/>
    <x v="20"/>
    <n v="12"/>
    <n v="0.26666666666666666"/>
    <n v="3"/>
    <n v="3"/>
    <n v="11"/>
    <n v="0.75555555555555554"/>
    <n v="1.39574"/>
    <n v="1.39574"/>
    <n v="4.1872199999999999"/>
    <n v="21"/>
    <x v="2"/>
    <n v="3.0000000000000001E-3"/>
  </r>
  <r>
    <s v="GUAYAQUIL"/>
    <x v="0"/>
    <x v="0"/>
    <x v="177"/>
    <s v="RGN CER GDLLA BOT 1000G"/>
    <n v="18"/>
    <n v="1"/>
    <n v="1"/>
    <n v="45"/>
    <d v="2024-11-09T00:00:00"/>
    <s v="sábado"/>
    <d v="2024-11-08T00:00:00"/>
    <x v="9"/>
    <n v="25"/>
    <n v="0.55555555555555558"/>
    <n v="10"/>
    <n v="10"/>
    <n v="1"/>
    <n v="0.97777777777777775"/>
    <n v="1.39574"/>
    <n v="1.39574"/>
    <n v="13.9574"/>
    <n v="18"/>
    <x v="1"/>
    <n v="0.01"/>
  </r>
  <r>
    <s v="GUAYAQUIL"/>
    <x v="0"/>
    <x v="0"/>
    <x v="177"/>
    <s v="RGN CER GDLLA BOT 1000G"/>
    <n v="18"/>
    <n v="1"/>
    <n v="1"/>
    <n v="45"/>
    <d v="2024-11-12T00:00:00"/>
    <s v="martes"/>
    <d v="2024-11-08T00:00:00"/>
    <x v="9"/>
    <n v="25"/>
    <n v="0.55555555555555558"/>
    <n v="18"/>
    <n v="18"/>
    <n v="4"/>
    <n v="0.91111111111111109"/>
    <n v="1.39574"/>
    <n v="1.39574"/>
    <n v="25.12332"/>
    <n v="15"/>
    <x v="1"/>
    <n v="1.7999999999999999E-2"/>
  </r>
  <r>
    <s v="GUAYAQUIL"/>
    <x v="0"/>
    <x v="0"/>
    <x v="178"/>
    <s v="Q PARME KIOSKO RALL BOL 250G"/>
    <n v="40"/>
    <n v="1"/>
    <n v="0.25"/>
    <n v="180"/>
    <d v="2024-11-12T00:00:00"/>
    <s v="martes"/>
    <d v="2024-11-08T00:00:00"/>
    <x v="60"/>
    <n v="160"/>
    <n v="0.88888888888888884"/>
    <n v="1"/>
    <n v="0.25"/>
    <n v="4"/>
    <n v="0.97777777777777775"/>
    <n v="2.3212000000000002"/>
    <n v="2.3212000000000002"/>
    <n v="0.58030000000000004"/>
    <n v="15"/>
    <x v="0"/>
    <n v="2.5000000000000001E-4"/>
  </r>
  <r>
    <s v="GUAYAQUIL"/>
    <x v="0"/>
    <x v="0"/>
    <x v="178"/>
    <s v="Q PARME KIOSKO RALL BOL 250G"/>
    <n v="200"/>
    <n v="1"/>
    <n v="0.25"/>
    <n v="180"/>
    <d v="2024-11-15T00:00:00"/>
    <s v="viernes"/>
    <d v="2024-11-14T00:00:00"/>
    <x v="35"/>
    <n v="166"/>
    <n v="0.92222222222222228"/>
    <n v="200"/>
    <n v="50"/>
    <n v="1"/>
    <n v="0.99444444444444446"/>
    <n v="2.3212000000000002"/>
    <n v="2.3212000000000002"/>
    <n v="116.06"/>
    <n v="12"/>
    <x v="0"/>
    <n v="0.05"/>
  </r>
  <r>
    <s v="GUAYAQUIL"/>
    <x v="0"/>
    <x v="0"/>
    <x v="178"/>
    <s v="Q PARME KIOSKO RALL BOL 250G"/>
    <n v="200"/>
    <n v="1"/>
    <n v="0.25"/>
    <n v="180"/>
    <d v="2024-11-14T00:00:00"/>
    <s v="jueves"/>
    <d v="2024-11-13T00:00:00"/>
    <x v="38"/>
    <n v="165"/>
    <n v="0.91666666666666663"/>
    <n v="159"/>
    <n v="39.75"/>
    <n v="1"/>
    <n v="0.99444444444444446"/>
    <n v="2.3212000000000002"/>
    <n v="2.3212000000000002"/>
    <n v="92.267700000000005"/>
    <n v="13"/>
    <x v="0"/>
    <n v="3.9750000000000001E-2"/>
  </r>
  <r>
    <s v="GUAYAQUIL"/>
    <x v="0"/>
    <x v="0"/>
    <x v="178"/>
    <s v="Q PARME KIOSKO RALL BOL 250G"/>
    <n v="160"/>
    <n v="1"/>
    <n v="0.25"/>
    <n v="180"/>
    <d v="2024-11-19T00:00:00"/>
    <s v="martes"/>
    <d v="2024-11-14T00:00:00"/>
    <x v="35"/>
    <n v="166"/>
    <n v="0.92222222222222228"/>
    <n v="160"/>
    <n v="40"/>
    <n v="5"/>
    <n v="0.97222222222222221"/>
    <n v="2.3212000000000002"/>
    <n v="2.3212000000000002"/>
    <n v="92.848000000000013"/>
    <n v="8"/>
    <x v="0"/>
    <n v="0.04"/>
  </r>
  <r>
    <s v="GUAYAQUIL"/>
    <x v="0"/>
    <x v="0"/>
    <x v="178"/>
    <s v="Q PARME KIOSKO RALL BOL 250G"/>
    <n v="40"/>
    <n v="1"/>
    <n v="0.25"/>
    <n v="180"/>
    <d v="2024-11-20T00:00:00"/>
    <s v="miércoles"/>
    <d v="2024-11-14T00:00:00"/>
    <x v="35"/>
    <n v="166"/>
    <n v="0.92222222222222228"/>
    <n v="40"/>
    <n v="10"/>
    <n v="6"/>
    <n v="0.96666666666666667"/>
    <n v="2.3212000000000002"/>
    <n v="2.3212000000000002"/>
    <n v="23.212000000000003"/>
    <n v="7"/>
    <x v="0"/>
    <n v="0.01"/>
  </r>
  <r>
    <s v="GUAYAQUIL"/>
    <x v="0"/>
    <x v="0"/>
    <x v="178"/>
    <s v="Q PARME KIOSKO RALL BOL 250G"/>
    <n v="120"/>
    <n v="1"/>
    <n v="0.25"/>
    <n v="180"/>
    <d v="2024-11-21T00:00:00"/>
    <s v="jueves"/>
    <d v="2024-11-14T00:00:00"/>
    <x v="35"/>
    <n v="166"/>
    <n v="0.92222222222222228"/>
    <n v="120"/>
    <n v="30"/>
    <n v="7"/>
    <n v="0.96111111111111114"/>
    <n v="2.3212000000000002"/>
    <n v="2.3212000000000002"/>
    <n v="69.63600000000001"/>
    <n v="6"/>
    <x v="0"/>
    <n v="0.03"/>
  </r>
  <r>
    <s v="GUAYAQUIL"/>
    <x v="0"/>
    <x v="0"/>
    <x v="179"/>
    <s v="YOG BBLE KID KK BANANO BOT 180G"/>
    <n v="432"/>
    <n v="1"/>
    <n v="0.18"/>
    <n v="45"/>
    <d v="2024-11-13T00:00:00"/>
    <s v="miércoles"/>
    <d v="2024-11-08T00:00:00"/>
    <x v="9"/>
    <n v="25"/>
    <n v="0.55555555555555558"/>
    <n v="306"/>
    <n v="55.08"/>
    <n v="5"/>
    <n v="0.88888888888888884"/>
    <n v="0.323905"/>
    <n v="0.323905"/>
    <n v="17.8406874"/>
    <n v="14"/>
    <x v="1"/>
    <n v="5.5079999999999997E-2"/>
  </r>
  <r>
    <s v="GUAYAQUIL"/>
    <x v="0"/>
    <x v="0"/>
    <x v="179"/>
    <s v="YOG BBLE KID KK BANANO BOT 180G"/>
    <n v="1080"/>
    <n v="1"/>
    <n v="0.18"/>
    <n v="45"/>
    <d v="2024-11-14T00:00:00"/>
    <s v="jueves"/>
    <d v="2024-11-08T00:00:00"/>
    <x v="9"/>
    <n v="25"/>
    <n v="0.55555555555555558"/>
    <n v="1080"/>
    <n v="194.4"/>
    <n v="6"/>
    <n v="0.8666666666666667"/>
    <n v="0.323905"/>
    <n v="0.323905"/>
    <n v="62.967131999999999"/>
    <n v="13"/>
    <x v="1"/>
    <n v="0.19440000000000002"/>
  </r>
  <r>
    <s v="GUAYAQUIL"/>
    <x v="0"/>
    <x v="0"/>
    <x v="180"/>
    <s v="Q KIOSKO MIX RALLADOS 300G"/>
    <n v="60"/>
    <n v="1"/>
    <n v="0.3"/>
    <n v="60"/>
    <d v="2024-11-20T00:00:00"/>
    <s v="miércoles"/>
    <d v="2024-11-07T00:00:00"/>
    <x v="50"/>
    <n v="39"/>
    <n v="0.65"/>
    <n v="46"/>
    <n v="13.799999999999999"/>
    <n v="13"/>
    <n v="0.78333333333333333"/>
    <n v="2.4202900000000001"/>
    <n v="2.4202900000000001"/>
    <n v="33.400002000000001"/>
    <n v="7"/>
    <x v="0"/>
    <n v="1.38E-2"/>
  </r>
  <r>
    <s v="GUAYAQUIL"/>
    <x v="0"/>
    <x v="0"/>
    <x v="180"/>
    <s v="Q KIOSKO MIX RALLADOS 300G"/>
    <n v="30"/>
    <n v="1"/>
    <n v="0.3"/>
    <n v="60"/>
    <d v="2024-11-21T00:00:00"/>
    <s v="jueves"/>
    <d v="2024-11-07T00:00:00"/>
    <x v="50"/>
    <n v="39"/>
    <n v="0.65"/>
    <n v="30"/>
    <n v="9"/>
    <n v="14"/>
    <n v="0.76666666666666661"/>
    <n v="2.4202900000000001"/>
    <n v="2.4202900000000001"/>
    <n v="21.782610000000002"/>
    <n v="6"/>
    <x v="0"/>
    <n v="8.9999999999999993E-3"/>
  </r>
  <r>
    <s v="GUAYAQUIL"/>
    <x v="0"/>
    <x v="0"/>
    <x v="181"/>
    <s v="RGN CER PITA BOT 1000G"/>
    <n v="108"/>
    <n v="1"/>
    <n v="1"/>
    <n v="45"/>
    <d v="2024-11-13T00:00:00"/>
    <s v="miércoles"/>
    <d v="2024-11-08T00:00:00"/>
    <x v="9"/>
    <n v="25"/>
    <n v="0.55555555555555558"/>
    <n v="1"/>
    <n v="1"/>
    <n v="5"/>
    <n v="0.88888888888888884"/>
    <n v="1.5184099999999998"/>
    <n v="1.5184099999999998"/>
    <n v="1.5184099999999998"/>
    <n v="14"/>
    <x v="1"/>
    <n v="1E-3"/>
  </r>
  <r>
    <s v="GUAYAQUIL"/>
    <x v="0"/>
    <x v="0"/>
    <x v="181"/>
    <s v="RGN CER PITA BOT 1000G"/>
    <n v="198"/>
    <n v="1"/>
    <n v="1"/>
    <n v="45"/>
    <d v="2024-11-16T00:00:00"/>
    <s v="sábado"/>
    <d v="2024-11-15T00:00:00"/>
    <x v="0"/>
    <n v="32"/>
    <n v="0.71111111111111114"/>
    <n v="118"/>
    <n v="118"/>
    <n v="1"/>
    <n v="0.97777777777777775"/>
    <n v="1.5184099999999998"/>
    <n v="1.5184099999999998"/>
    <n v="179.17237999999998"/>
    <n v="11"/>
    <x v="0"/>
    <n v="0.11799999999999999"/>
  </r>
  <r>
    <s v="GUAYAQUIL"/>
    <x v="0"/>
    <x v="0"/>
    <x v="181"/>
    <s v="RGN CER PITA BOT 1000G"/>
    <n v="252"/>
    <n v="1"/>
    <n v="1"/>
    <n v="45"/>
    <d v="2024-11-19T00:00:00"/>
    <s v="martes"/>
    <d v="2024-11-15T00:00:00"/>
    <x v="0"/>
    <n v="32"/>
    <n v="0.71111111111111114"/>
    <n v="252"/>
    <n v="252"/>
    <n v="4"/>
    <n v="0.91111111111111109"/>
    <n v="1.5184099999999998"/>
    <n v="1.5184099999999998"/>
    <n v="382.63931999999994"/>
    <n v="8"/>
    <x v="0"/>
    <n v="0.252"/>
  </r>
  <r>
    <s v="GUAYAQUIL"/>
    <x v="0"/>
    <x v="0"/>
    <x v="181"/>
    <s v="RGN CER PITA BOT 1000G"/>
    <n v="126"/>
    <n v="1"/>
    <n v="1"/>
    <n v="45"/>
    <d v="2024-11-20T00:00:00"/>
    <s v="miércoles"/>
    <d v="2024-11-15T00:00:00"/>
    <x v="0"/>
    <n v="32"/>
    <n v="0.71111111111111114"/>
    <n v="126"/>
    <n v="126"/>
    <n v="5"/>
    <n v="0.88888888888888884"/>
    <n v="1.5184099999999998"/>
    <n v="1.5184099999999998"/>
    <n v="191.31965999999997"/>
    <n v="7"/>
    <x v="0"/>
    <n v="0.126"/>
  </r>
  <r>
    <s v="GUAYAQUIL"/>
    <x v="0"/>
    <x v="0"/>
    <x v="182"/>
    <s v="MPLX4 ALPINETTE CZA 140G"/>
    <n v="18"/>
    <n v="1"/>
    <n v="0.56000000000000005"/>
    <n v="60"/>
    <d v="2024-11-06T00:00:00"/>
    <s v="miércoles"/>
    <d v="2024-10-08T00:00:00"/>
    <x v="66"/>
    <n v="9"/>
    <n v="0.15"/>
    <n v="18"/>
    <n v="10.080000000000002"/>
    <n v="29"/>
    <n v="0.51666666666666661"/>
    <n v="2.0278900000000002"/>
    <n v="2.0278900000000002"/>
    <n v="20.441131200000004"/>
    <n v="21"/>
    <x v="2"/>
    <n v="1.0080000000000002E-2"/>
  </r>
  <r>
    <s v="GUAYAQUIL"/>
    <x v="0"/>
    <x v="0"/>
    <x v="183"/>
    <s v="YOG BBLE KIOSKO FTILLA 180"/>
    <n v="216"/>
    <n v="1"/>
    <n v="0.18"/>
    <n v="45"/>
    <d v="2024-11-01T00:00:00"/>
    <s v="viernes"/>
    <d v="2024-10-23T00:00:00"/>
    <x v="66"/>
    <n v="9"/>
    <n v="0.2"/>
    <n v="128"/>
    <n v="23.04"/>
    <n v="9"/>
    <n v="0.8"/>
    <n v="0.24412500000000001"/>
    <n v="0.24412500000000001"/>
    <n v="5.6246400000000003"/>
    <n v="26"/>
    <x v="2"/>
    <n v="2.3039999999999998E-2"/>
  </r>
  <r>
    <s v="GUAYAQUIL"/>
    <x v="0"/>
    <x v="0"/>
    <x v="183"/>
    <s v="YOG BBLE KIOSKO FTILLA 180"/>
    <n v="216"/>
    <n v="1"/>
    <n v="0.18"/>
    <n v="45"/>
    <d v="2024-11-05T00:00:00"/>
    <s v="martes"/>
    <d v="2024-10-31T00:00:00"/>
    <x v="10"/>
    <n v="17"/>
    <n v="0.37777777777777777"/>
    <n v="39"/>
    <n v="7.02"/>
    <n v="5"/>
    <n v="0.88888888888888884"/>
    <n v="0.24412500000000001"/>
    <n v="0.24412500000000001"/>
    <n v="1.7137575"/>
    <n v="22"/>
    <x v="2"/>
    <n v="7.0199999999999993E-3"/>
  </r>
  <r>
    <s v="GUAYAQUIL"/>
    <x v="0"/>
    <x v="0"/>
    <x v="183"/>
    <s v="YOG BBLE KIOSKO FTILLA 180"/>
    <n v="108"/>
    <n v="1"/>
    <n v="0.18"/>
    <n v="45"/>
    <d v="2024-11-21T00:00:00"/>
    <s v="jueves"/>
    <d v="2024-11-15T00:00:00"/>
    <x v="0"/>
    <n v="32"/>
    <n v="0.71111111111111114"/>
    <n v="36"/>
    <n v="6.4799999999999995"/>
    <n v="6"/>
    <n v="0.8666666666666667"/>
    <n v="0.24412500000000001"/>
    <n v="0.24412500000000001"/>
    <n v="1.5819299999999998"/>
    <n v="6"/>
    <x v="0"/>
    <n v="6.4799999999999996E-3"/>
  </r>
  <r>
    <s v="GUAYAQUIL"/>
    <x v="0"/>
    <x v="0"/>
    <x v="184"/>
    <s v="PACK TABLA+PARM 40G+ AMERIC 75G+SAN 75G"/>
    <n v="0"/>
    <n v="1"/>
    <n v="0.19"/>
    <n v="60"/>
    <d v="2024-11-23T00:00:00"/>
    <s v="sábado"/>
    <d v="2024-11-23T00:00:00"/>
    <x v="59"/>
    <n v="55"/>
    <n v="0.91666666666666663"/>
    <n v="1"/>
    <n v="0.19"/>
    <n v="0"/>
    <n v="1"/>
    <n v="3.4317950000000002"/>
    <n v="3.4317950000000002"/>
    <n v="0.65204105000000001"/>
    <n v="4"/>
    <x v="0"/>
    <n v="1.9000000000000001E-4"/>
  </r>
  <r>
    <s v="GUAYAQUIL"/>
    <x v="0"/>
    <x v="0"/>
    <x v="184"/>
    <s v="PACK TABLA+PARM 40G+ AMERIC 75G+SAN 75G"/>
    <n v="476"/>
    <n v="1"/>
    <n v="0.19"/>
    <n v="60"/>
    <d v="2024-11-19T00:00:00"/>
    <s v="martes"/>
    <d v="2024-11-05T00:00:00"/>
    <x v="82"/>
    <n v="37"/>
    <n v="0.6166666666666667"/>
    <n v="479"/>
    <n v="91.01"/>
    <n v="14"/>
    <n v="0.76666666666666661"/>
    <n v="3.4317950000000002"/>
    <n v="3.4317950000000002"/>
    <n v="312.32766295000005"/>
    <n v="8"/>
    <x v="0"/>
    <n v="9.1010000000000008E-2"/>
  </r>
  <r>
    <s v="GUAYAQUIL"/>
    <x v="0"/>
    <x v="0"/>
    <x v="185"/>
    <s v="Q RICOTTA KIOSKO BLOQ 250G"/>
    <n v="270"/>
    <n v="1"/>
    <n v="0.25"/>
    <n v="35"/>
    <d v="2024-11-19T00:00:00"/>
    <s v="martes"/>
    <d v="2024-11-15T00:00:00"/>
    <x v="19"/>
    <n v="22"/>
    <n v="0.62857142857142856"/>
    <n v="171"/>
    <n v="42.75"/>
    <n v="4"/>
    <n v="0.88571428571428568"/>
    <n v="0.69428000000000001"/>
    <n v="0.69428000000000001"/>
    <n v="29.68047"/>
    <n v="8"/>
    <x v="1"/>
    <n v="4.2750000000000003E-2"/>
  </r>
  <r>
    <s v="GUAYAQUIL"/>
    <x v="0"/>
    <x v="0"/>
    <x v="185"/>
    <s v="Q RICOTTA KIOSKO BLOQ 250G"/>
    <n v="90"/>
    <n v="1"/>
    <n v="0.25"/>
    <n v="35"/>
    <d v="2024-11-20T00:00:00"/>
    <s v="miércoles"/>
    <d v="2024-11-15T00:00:00"/>
    <x v="19"/>
    <n v="22"/>
    <n v="0.62857142857142856"/>
    <n v="90"/>
    <n v="22.5"/>
    <n v="5"/>
    <n v="0.85714285714285721"/>
    <n v="0.69428000000000001"/>
    <n v="0.69428000000000001"/>
    <n v="15.6213"/>
    <n v="7"/>
    <x v="1"/>
    <n v="2.2499999999999999E-2"/>
  </r>
  <r>
    <s v="GUAYAQUIL"/>
    <x v="0"/>
    <x v="0"/>
    <x v="185"/>
    <s v="Q RICOTTA KIOSKO BLOQ 250G"/>
    <n v="45"/>
    <n v="1"/>
    <n v="0.25"/>
    <n v="35"/>
    <d v="2024-11-21T00:00:00"/>
    <s v="jueves"/>
    <d v="2024-11-20T00:00:00"/>
    <x v="44"/>
    <n v="27"/>
    <n v="0.77142857142857146"/>
    <n v="45"/>
    <n v="11.25"/>
    <n v="1"/>
    <n v="0.97142857142857142"/>
    <n v="0.69428000000000001"/>
    <n v="0.69428000000000001"/>
    <n v="7.8106499999999999"/>
    <n v="6"/>
    <x v="0"/>
    <n v="1.125E-2"/>
  </r>
  <r>
    <s v="GUAYAQUIL"/>
    <x v="0"/>
    <x v="0"/>
    <x v="185"/>
    <s v="Q RICOTTA KIOSKO BLOQ 250G"/>
    <n v="45"/>
    <n v="1"/>
    <n v="0.25"/>
    <n v="35"/>
    <d v="2024-11-21T00:00:00"/>
    <s v="jueves"/>
    <d v="2024-11-15T00:00:00"/>
    <x v="19"/>
    <n v="22"/>
    <n v="0.62857142857142856"/>
    <n v="45"/>
    <n v="11.25"/>
    <n v="6"/>
    <n v="0.82857142857142851"/>
    <n v="0.69428000000000001"/>
    <n v="0.69428000000000001"/>
    <n v="7.8106499999999999"/>
    <n v="6"/>
    <x v="1"/>
    <n v="1.125E-2"/>
  </r>
  <r>
    <s v="GUAYAQUIL"/>
    <x v="0"/>
    <x v="0"/>
    <x v="186"/>
    <s v="YOG BBLE KIOSKO DZNO BOT 1700G"/>
    <n v="12"/>
    <n v="1"/>
    <n v="1.7"/>
    <n v="45"/>
    <d v="2024-10-30T00:00:00"/>
    <s v="miércoles"/>
    <d v="2024-10-25T00:00:00"/>
    <x v="53"/>
    <n v="11"/>
    <n v="0.24444444444444444"/>
    <n v="0"/>
    <n v="0"/>
    <n v="5"/>
    <n v="0.88888888888888884"/>
    <n v="1.751825"/>
    <n v="1.751825"/>
    <n v="0"/>
    <n v="28"/>
    <x v="2"/>
    <n v="0"/>
  </r>
  <r>
    <s v="GUAYAQUIL"/>
    <x v="0"/>
    <x v="0"/>
    <x v="186"/>
    <s v="YOG BBLE KIOSKO DZNO BOT 1700G"/>
    <n v="12"/>
    <n v="1"/>
    <n v="1.7"/>
    <n v="45"/>
    <d v="2024-10-31T00:00:00"/>
    <s v="jueves"/>
    <d v="2024-10-25T00:00:00"/>
    <x v="53"/>
    <n v="11"/>
    <n v="0.24444444444444444"/>
    <n v="12"/>
    <n v="20.399999999999999"/>
    <n v="6"/>
    <n v="0.8666666666666667"/>
    <n v="1.751825"/>
    <n v="1.751825"/>
    <n v="35.737229999999997"/>
    <n v="27"/>
    <x v="2"/>
    <n v="2.0399999999999998E-2"/>
  </r>
  <r>
    <s v="GUAYAQUIL"/>
    <x v="0"/>
    <x v="0"/>
    <x v="186"/>
    <s v="YOG BBLE KIOSKO DZNO BOT 1700G"/>
    <n v="12"/>
    <n v="1"/>
    <n v="1.7"/>
    <n v="45"/>
    <d v="2024-11-01T00:00:00"/>
    <s v="viernes"/>
    <d v="2024-10-25T00:00:00"/>
    <x v="53"/>
    <n v="11"/>
    <n v="0.24444444444444444"/>
    <n v="12"/>
    <n v="20.399999999999999"/>
    <n v="7"/>
    <n v="0.84444444444444444"/>
    <n v="1.751825"/>
    <n v="1.751825"/>
    <n v="35.737229999999997"/>
    <n v="26"/>
    <x v="2"/>
    <n v="2.0399999999999998E-2"/>
  </r>
  <r>
    <s v="GUAYAQUIL"/>
    <x v="0"/>
    <x v="0"/>
    <x v="186"/>
    <s v="YOG BBLE KIOSKO DZNO BOT 1700G"/>
    <n v="12"/>
    <n v="1"/>
    <n v="1.7"/>
    <n v="45"/>
    <d v="2024-11-09T00:00:00"/>
    <s v="sábado"/>
    <d v="2024-10-31T00:00:00"/>
    <x v="10"/>
    <n v="17"/>
    <n v="0.37777777777777777"/>
    <n v="3"/>
    <n v="5.0999999999999996"/>
    <n v="9"/>
    <n v="0.8"/>
    <n v="1.751825"/>
    <n v="1.751825"/>
    <n v="8.9343074999999992"/>
    <n v="18"/>
    <x v="2"/>
    <n v="5.0999999999999995E-3"/>
  </r>
  <r>
    <s v="GUAYAQUIL"/>
    <x v="0"/>
    <x v="0"/>
    <x v="186"/>
    <s v="YOG BBLE KIOSKO DZNO BOT 1700G"/>
    <n v="12"/>
    <n v="1"/>
    <n v="1.7"/>
    <n v="45"/>
    <d v="2024-11-20T00:00:00"/>
    <s v="miércoles"/>
    <d v="2024-11-15T00:00:00"/>
    <x v="0"/>
    <n v="32"/>
    <n v="0.71111111111111114"/>
    <n v="5"/>
    <n v="8.5"/>
    <n v="5"/>
    <n v="0.88888888888888884"/>
    <n v="1.751825"/>
    <n v="1.751825"/>
    <n v="14.8905125"/>
    <n v="7"/>
    <x v="0"/>
    <n v="8.5000000000000006E-3"/>
  </r>
  <r>
    <s v="GUAYAQUIL"/>
    <x v="0"/>
    <x v="0"/>
    <x v="187"/>
    <s v="Q AMERIC KIOSKO LONJ AL PESO COR"/>
    <n v="15"/>
    <n v="1.7"/>
    <n v="1"/>
    <n v="60"/>
    <d v="2024-11-08T00:00:00"/>
    <s v="viernes"/>
    <d v="2024-11-08T00:00:00"/>
    <x v="67"/>
    <n v="40"/>
    <n v="0.66666666666666663"/>
    <n v="6"/>
    <n v="10.199999999999999"/>
    <n v="0"/>
    <n v="1"/>
    <n v="7.0906599999999997"/>
    <n v="12.054122"/>
    <n v="122.95204439999999"/>
    <n v="19"/>
    <x v="0"/>
    <n v="1.0199999999999999E-2"/>
  </r>
  <r>
    <s v="GUAYAQUIL"/>
    <x v="0"/>
    <x v="0"/>
    <x v="187"/>
    <s v="Q AMERIC KIOSKO LONJ AL PESO COR"/>
    <n v="10"/>
    <n v="1.7"/>
    <n v="1"/>
    <n v="60"/>
    <d v="2024-11-14T00:00:00"/>
    <s v="jueves"/>
    <d v="2024-11-13T00:00:00"/>
    <x v="46"/>
    <n v="45"/>
    <n v="0.75"/>
    <n v="10"/>
    <n v="17"/>
    <n v="1"/>
    <n v="0.98333333333333328"/>
    <n v="7.0906599999999997"/>
    <n v="12.054122"/>
    <n v="204.920074"/>
    <n v="13"/>
    <x v="0"/>
    <n v="1.7000000000000001E-2"/>
  </r>
  <r>
    <s v="GUAYAQUIL"/>
    <x v="0"/>
    <x v="0"/>
    <x v="187"/>
    <s v="Q AMERIC KIOSKO LONJ AL PESO COR"/>
    <n v="5"/>
    <n v="1.7"/>
    <n v="1"/>
    <n v="60"/>
    <d v="2024-11-19T00:00:00"/>
    <s v="martes"/>
    <d v="2024-11-17T00:00:00"/>
    <x v="75"/>
    <n v="49"/>
    <n v="0.81666666666666665"/>
    <n v="5"/>
    <n v="8.5"/>
    <n v="2"/>
    <n v="0.96666666666666667"/>
    <n v="7.0906599999999997"/>
    <n v="12.054122"/>
    <n v="102.460037"/>
    <n v="8"/>
    <x v="0"/>
    <n v="8.5000000000000006E-3"/>
  </r>
  <r>
    <s v="GUAYAQUIL"/>
    <x v="0"/>
    <x v="0"/>
    <x v="187"/>
    <s v="Q AMERIC KIOSKO LONJ AL PESO COR"/>
    <n v="6"/>
    <n v="1.7"/>
    <n v="1"/>
    <n v="60"/>
    <d v="2024-11-21T00:00:00"/>
    <s v="jueves"/>
    <d v="2024-11-20T00:00:00"/>
    <x v="76"/>
    <n v="52"/>
    <n v="0.8666666666666667"/>
    <n v="6"/>
    <n v="10.199999999999999"/>
    <n v="1"/>
    <n v="0.98333333333333328"/>
    <n v="7.0906599999999997"/>
    <n v="12.054122"/>
    <n v="122.95204439999999"/>
    <n v="6"/>
    <x v="0"/>
    <n v="1.0199999999999999E-2"/>
  </r>
  <r>
    <s v="GUAYAQUIL"/>
    <x v="0"/>
    <x v="0"/>
    <x v="188"/>
    <s v="RGN BBLE FTLLA BOT 1750G"/>
    <n v="24"/>
    <n v="1"/>
    <n v="1.75"/>
    <n v="45"/>
    <d v="2024-11-08T00:00:00"/>
    <s v="viernes"/>
    <d v="2024-10-31T00:00:00"/>
    <x v="10"/>
    <n v="17"/>
    <n v="0.37777777777777777"/>
    <n v="6"/>
    <n v="10.5"/>
    <n v="8"/>
    <n v="0.82222222222222219"/>
    <n v="2.2867100000000002"/>
    <n v="2.2867100000000002"/>
    <n v="24.010455000000004"/>
    <n v="19"/>
    <x v="2"/>
    <n v="1.0500000000000001E-2"/>
  </r>
  <r>
    <s v="GUAYAQUIL"/>
    <x v="0"/>
    <x v="0"/>
    <x v="188"/>
    <s v="RGN BBLE FTLLA BOT 1750G"/>
    <n v="36"/>
    <n v="1"/>
    <n v="1.75"/>
    <n v="45"/>
    <d v="2024-11-16T00:00:00"/>
    <s v="sábado"/>
    <d v="2024-11-14T00:00:00"/>
    <x v="7"/>
    <n v="31"/>
    <n v="0.68888888888888888"/>
    <n v="24"/>
    <n v="42"/>
    <n v="2"/>
    <n v="0.9555555555555556"/>
    <n v="2.2867100000000002"/>
    <n v="2.2867100000000002"/>
    <n v="96.041820000000016"/>
    <n v="11"/>
    <x v="0"/>
    <n v="4.2000000000000003E-2"/>
  </r>
  <r>
    <s v="GUAYAQUIL"/>
    <x v="0"/>
    <x v="0"/>
    <x v="188"/>
    <s v="RGN BBLE FTLLA BOT 1750G"/>
    <n v="12"/>
    <n v="1"/>
    <n v="1.75"/>
    <n v="45"/>
    <d v="2024-11-19T00:00:00"/>
    <s v="martes"/>
    <d v="2024-11-14T00:00:00"/>
    <x v="7"/>
    <n v="31"/>
    <n v="0.68888888888888888"/>
    <n v="12"/>
    <n v="21"/>
    <n v="5"/>
    <n v="0.88888888888888884"/>
    <n v="2.2867100000000002"/>
    <n v="2.2867100000000002"/>
    <n v="48.020910000000008"/>
    <n v="8"/>
    <x v="0"/>
    <n v="2.1000000000000001E-2"/>
  </r>
  <r>
    <s v="GUAYAQUIL"/>
    <x v="0"/>
    <x v="0"/>
    <x v="188"/>
    <s v="RGN BBLE FTLLA BOT 1750G"/>
    <n v="24"/>
    <n v="1"/>
    <n v="1.75"/>
    <n v="45"/>
    <d v="2024-11-20T00:00:00"/>
    <s v="miércoles"/>
    <d v="2024-11-19T00:00:00"/>
    <x v="8"/>
    <n v="36"/>
    <n v="0.8"/>
    <n v="24"/>
    <n v="42"/>
    <n v="1"/>
    <n v="0.97777777777777775"/>
    <n v="2.2867100000000002"/>
    <n v="2.2867100000000002"/>
    <n v="96.041820000000016"/>
    <n v="7"/>
    <x v="0"/>
    <n v="4.2000000000000003E-2"/>
  </r>
  <r>
    <s v="GUAYAQUIL"/>
    <x v="0"/>
    <x v="0"/>
    <x v="189"/>
    <s v="CREM LCH AGRIA KIOSKO GAR 3.5KG"/>
    <n v="54"/>
    <n v="1"/>
    <n v="3.5"/>
    <n v="30"/>
    <d v="2024-11-15T00:00:00"/>
    <s v="viernes"/>
    <d v="2024-11-14T00:00:00"/>
    <x v="41"/>
    <n v="16"/>
    <n v="0.53333333333333333"/>
    <n v="34"/>
    <n v="119"/>
    <n v="1"/>
    <n v="0.96666666666666667"/>
    <n v="6.5987749999999998"/>
    <n v="6.5987749999999998"/>
    <n v="785.25422500000002"/>
    <n v="12"/>
    <x v="2"/>
    <n v="0.11899999999999999"/>
  </r>
  <r>
    <s v="GUAYAQUIL"/>
    <x v="0"/>
    <x v="0"/>
    <x v="189"/>
    <s v="CREM LCH AGRIA KIOSKO GAR 3.5KG"/>
    <n v="30"/>
    <n v="1"/>
    <n v="3.5"/>
    <n v="30"/>
    <d v="2024-11-19T00:00:00"/>
    <s v="martes"/>
    <d v="2024-11-14T00:00:00"/>
    <x v="41"/>
    <n v="16"/>
    <n v="0.53333333333333333"/>
    <n v="30"/>
    <n v="105"/>
    <n v="5"/>
    <n v="0.83333333333333337"/>
    <n v="6.5987749999999998"/>
    <n v="6.5987749999999998"/>
    <n v="692.87137499999994"/>
    <n v="8"/>
    <x v="2"/>
    <n v="0.105"/>
  </r>
  <r>
    <s v="GUAYAQUIL"/>
    <x v="0"/>
    <x v="0"/>
    <x v="189"/>
    <s v="CREM LCH AGRIA KIOSKO GAR 3.5KG"/>
    <n v="66"/>
    <n v="1"/>
    <n v="3.5"/>
    <n v="30"/>
    <d v="2024-11-21T00:00:00"/>
    <s v="jueves"/>
    <d v="2024-11-20T00:00:00"/>
    <x v="19"/>
    <n v="22"/>
    <n v="0.73333333333333328"/>
    <n v="66"/>
    <n v="231"/>
    <n v="1"/>
    <n v="0.96666666666666667"/>
    <n v="6.5987749999999998"/>
    <n v="6.5987749999999998"/>
    <n v="1524.3170250000001"/>
    <n v="6"/>
    <x v="1"/>
    <n v="0.23100000000000001"/>
  </r>
  <r>
    <s v="GUAYAQUIL"/>
    <x v="0"/>
    <x v="0"/>
    <x v="190"/>
    <s v="Q FRES KIOSKO BLOQ 450G"/>
    <n v="270"/>
    <n v="1"/>
    <n v="0.45"/>
    <n v="40"/>
    <d v="2024-11-19T00:00:00"/>
    <s v="martes"/>
    <d v="2024-11-19T00:00:00"/>
    <x v="7"/>
    <n v="31"/>
    <n v="0.77500000000000002"/>
    <n v="103"/>
    <n v="46.35"/>
    <n v="0"/>
    <n v="1"/>
    <n v="2.1672899999999999"/>
    <n v="2.1672899999999999"/>
    <n v="100.4538915"/>
    <n v="8"/>
    <x v="0"/>
    <n v="4.6350000000000002E-2"/>
  </r>
  <r>
    <s v="GUAYAQUIL"/>
    <x v="0"/>
    <x v="0"/>
    <x v="190"/>
    <s v="Q FRES KIOSKO BLOQ 450G"/>
    <n v="45"/>
    <n v="1"/>
    <n v="0.45"/>
    <n v="40"/>
    <d v="2024-11-20T00:00:00"/>
    <s v="miércoles"/>
    <d v="2024-11-19T00:00:00"/>
    <x v="7"/>
    <n v="31"/>
    <n v="0.77500000000000002"/>
    <n v="45"/>
    <n v="20.25"/>
    <n v="1"/>
    <n v="0.97499999999999998"/>
    <n v="2.1672899999999999"/>
    <n v="2.1672899999999999"/>
    <n v="43.887622499999999"/>
    <n v="7"/>
    <x v="0"/>
    <n v="2.0250000000000001E-2"/>
  </r>
  <r>
    <s v="GUAYAQUIL"/>
    <x v="0"/>
    <x v="0"/>
    <x v="190"/>
    <s v="Q FRES KIOSKO BLOQ 450G"/>
    <n v="270"/>
    <n v="1"/>
    <n v="0.45"/>
    <n v="40"/>
    <d v="2024-11-21T00:00:00"/>
    <s v="jueves"/>
    <d v="2024-11-19T00:00:00"/>
    <x v="7"/>
    <n v="31"/>
    <n v="0.77500000000000002"/>
    <n v="270"/>
    <n v="121.5"/>
    <n v="2"/>
    <n v="0.95"/>
    <n v="2.1672899999999999"/>
    <n v="2.1672899999999999"/>
    <n v="263.32573500000001"/>
    <n v="6"/>
    <x v="0"/>
    <n v="0.1215"/>
  </r>
  <r>
    <s v="GUAYAQUIL"/>
    <x v="0"/>
    <x v="0"/>
    <x v="191"/>
    <s v="Q MIX GOURMET KIOSKO CUBO BOL 150G"/>
    <n v="370"/>
    <n v="1"/>
    <n v="0.15"/>
    <n v="60"/>
    <d v="2024-10-30T00:00:00"/>
    <s v="miércoles"/>
    <d v="2024-10-11T00:00:00"/>
    <x v="20"/>
    <n v="12"/>
    <n v="0.2"/>
    <n v="287"/>
    <n v="43.05"/>
    <n v="19"/>
    <n v="0.68333333333333335"/>
    <n v="2.68"/>
    <n v="2.68"/>
    <n v="115.374"/>
    <n v="28"/>
    <x v="2"/>
    <n v="4.3049999999999998E-2"/>
  </r>
  <r>
    <s v="GUAYAQUIL"/>
    <x v="0"/>
    <x v="0"/>
    <x v="191"/>
    <s v="Q MIX GOURMET KIOSKO CUBO BOL 150G"/>
    <n v="300"/>
    <n v="1"/>
    <n v="0.15"/>
    <n v="60"/>
    <d v="2024-11-19T00:00:00"/>
    <s v="martes"/>
    <d v="2024-11-15T00:00:00"/>
    <x v="52"/>
    <n v="47"/>
    <n v="0.78333333333333333"/>
    <n v="29"/>
    <n v="4.3499999999999996"/>
    <n v="4"/>
    <n v="0.93333333333333335"/>
    <n v="2.68"/>
    <n v="2.68"/>
    <n v="11.657999999999999"/>
    <n v="8"/>
    <x v="0"/>
    <n v="4.3499999999999997E-3"/>
  </r>
  <r>
    <s v="GUAYAQUIL"/>
    <x v="0"/>
    <x v="0"/>
    <x v="192"/>
    <s v="YOG BBLE KIOSKO MOR BOT 3.5KG"/>
    <n v="56"/>
    <n v="1"/>
    <n v="3.5"/>
    <n v="45"/>
    <d v="2024-11-16T00:00:00"/>
    <s v="sábado"/>
    <d v="2024-11-14T00:00:00"/>
    <x v="7"/>
    <n v="31"/>
    <n v="0.68888888888888888"/>
    <n v="56"/>
    <n v="196"/>
    <n v="2"/>
    <n v="0.9555555555555556"/>
    <n v="2.9109100000000003"/>
    <n v="2.9109100000000003"/>
    <n v="570.53836000000001"/>
    <n v="11"/>
    <x v="0"/>
    <n v="0.19600000000000001"/>
  </r>
  <r>
    <s v="GUAYAQUIL"/>
    <x v="0"/>
    <x v="0"/>
    <x v="192"/>
    <s v="YOG BBLE KIOSKO MOR BOT 3.5KG"/>
    <n v="104"/>
    <n v="1"/>
    <n v="3.5"/>
    <n v="45"/>
    <d v="2024-11-15T00:00:00"/>
    <s v="viernes"/>
    <d v="2024-11-14T00:00:00"/>
    <x v="7"/>
    <n v="31"/>
    <n v="0.68888888888888888"/>
    <n v="16"/>
    <n v="56"/>
    <n v="1"/>
    <n v="0.97777777777777775"/>
    <n v="2.9109100000000003"/>
    <n v="2.9109100000000003"/>
    <n v="163.01096000000001"/>
    <n v="12"/>
    <x v="0"/>
    <n v="5.6000000000000001E-2"/>
  </r>
  <r>
    <s v="GUAYAQUIL"/>
    <x v="0"/>
    <x v="0"/>
    <x v="192"/>
    <s v="YOG BBLE KIOSKO MOR BOT 3.5KG"/>
    <n v="104"/>
    <n v="1"/>
    <n v="3.5"/>
    <n v="45"/>
    <d v="2024-11-19T00:00:00"/>
    <s v="martes"/>
    <d v="2024-11-14T00:00:00"/>
    <x v="7"/>
    <n v="31"/>
    <n v="0.68888888888888888"/>
    <n v="104"/>
    <n v="364"/>
    <n v="5"/>
    <n v="0.88888888888888884"/>
    <n v="2.9109100000000003"/>
    <n v="2.9109100000000003"/>
    <n v="1059.5712400000002"/>
    <n v="8"/>
    <x v="0"/>
    <n v="0.36399999999999999"/>
  </r>
  <r>
    <s v="GUAYAQUIL"/>
    <x v="0"/>
    <x v="0"/>
    <x v="193"/>
    <s v="Q PARME KIOSKO RALL BOL 100G"/>
    <n v="400"/>
    <n v="1"/>
    <n v="0.1"/>
    <n v="180"/>
    <d v="2024-11-15T00:00:00"/>
    <s v="viernes"/>
    <d v="2024-11-13T00:00:00"/>
    <x v="38"/>
    <n v="165"/>
    <n v="0.91666666666666663"/>
    <n v="400"/>
    <n v="40"/>
    <n v="2"/>
    <n v="0.98888888888888893"/>
    <n v="1.0460849999999999"/>
    <n v="1.0460849999999999"/>
    <n v="41.843399999999995"/>
    <n v="12"/>
    <x v="0"/>
    <n v="0.04"/>
  </r>
  <r>
    <s v="GUAYAQUIL"/>
    <x v="0"/>
    <x v="0"/>
    <x v="193"/>
    <s v="Q PARME KIOSKO RALL BOL 100G"/>
    <n v="1100"/>
    <n v="1"/>
    <n v="0.1"/>
    <n v="180"/>
    <d v="2024-11-14T00:00:00"/>
    <s v="jueves"/>
    <d v="2024-11-12T00:00:00"/>
    <x v="33"/>
    <n v="164"/>
    <n v="0.91111111111111109"/>
    <n v="1018"/>
    <n v="101.80000000000001"/>
    <n v="2"/>
    <n v="0.98888888888888893"/>
    <n v="1.0460849999999999"/>
    <n v="1.0460849999999999"/>
    <n v="106.49145300000001"/>
    <n v="13"/>
    <x v="0"/>
    <n v="0.10180000000000002"/>
  </r>
  <r>
    <s v="GUAYAQUIL"/>
    <x v="0"/>
    <x v="0"/>
    <x v="193"/>
    <s v="Q PARME KIOSKO RALL BOL 100G"/>
    <n v="400"/>
    <n v="1"/>
    <n v="0.1"/>
    <n v="180"/>
    <d v="2024-11-14T00:00:00"/>
    <s v="jueves"/>
    <d v="2024-11-13T00:00:00"/>
    <x v="38"/>
    <n v="165"/>
    <n v="0.91666666666666663"/>
    <n v="400"/>
    <n v="40"/>
    <n v="1"/>
    <n v="0.99444444444444446"/>
    <n v="1.0460849999999999"/>
    <n v="1.0460849999999999"/>
    <n v="41.843399999999995"/>
    <n v="13"/>
    <x v="0"/>
    <n v="0.04"/>
  </r>
  <r>
    <s v="GUAYAQUIL"/>
    <x v="0"/>
    <x v="0"/>
    <x v="193"/>
    <s v="Q PARME KIOSKO RALL BOL 100G"/>
    <n v="500"/>
    <n v="1"/>
    <n v="0.1"/>
    <n v="180"/>
    <d v="2024-11-19T00:00:00"/>
    <s v="martes"/>
    <d v="2024-11-14T00:00:00"/>
    <x v="35"/>
    <n v="166"/>
    <n v="0.92222222222222228"/>
    <n v="503"/>
    <n v="50.300000000000004"/>
    <n v="5"/>
    <n v="0.97222222222222221"/>
    <n v="1.0460849999999999"/>
    <n v="1.0460849999999999"/>
    <n v="52.618075500000003"/>
    <n v="8"/>
    <x v="0"/>
    <n v="5.0300000000000004E-2"/>
  </r>
  <r>
    <s v="GUAYAQUIL"/>
    <x v="0"/>
    <x v="0"/>
    <x v="193"/>
    <s v="Q PARME KIOSKO RALL BOL 100G"/>
    <n v="400"/>
    <n v="1"/>
    <n v="0.1"/>
    <n v="180"/>
    <d v="2024-11-20T00:00:00"/>
    <s v="miércoles"/>
    <d v="2024-11-15T00:00:00"/>
    <x v="42"/>
    <n v="167"/>
    <n v="0.92777777777777781"/>
    <n v="400"/>
    <n v="40"/>
    <n v="5"/>
    <n v="0.97222222222222221"/>
    <n v="1.0460849999999999"/>
    <n v="1.0460849999999999"/>
    <n v="41.843399999999995"/>
    <n v="7"/>
    <x v="0"/>
    <n v="0.04"/>
  </r>
  <r>
    <s v="GUAYAQUIL"/>
    <x v="0"/>
    <x v="0"/>
    <x v="193"/>
    <s v="Q PARME KIOSKO RALL BOL 100G"/>
    <n v="400"/>
    <n v="1"/>
    <n v="0.1"/>
    <n v="180"/>
    <d v="2024-11-21T00:00:00"/>
    <s v="jueves"/>
    <d v="2024-11-15T00:00:00"/>
    <x v="42"/>
    <n v="167"/>
    <n v="0.92777777777777781"/>
    <n v="400"/>
    <n v="40"/>
    <n v="6"/>
    <n v="0.96666666666666667"/>
    <n v="1.0460849999999999"/>
    <n v="1.0460849999999999"/>
    <n v="41.843399999999995"/>
    <n v="6"/>
    <x v="0"/>
    <n v="0.04"/>
  </r>
  <r>
    <s v="GUAYAQUIL"/>
    <x v="0"/>
    <x v="0"/>
    <x v="193"/>
    <s v="Q PARME KIOSKO RALL BOL 100G"/>
    <n v="0"/>
    <n v="1"/>
    <n v="0.1"/>
    <n v="180"/>
    <d v="2024-11-10T00:00:00"/>
    <s v="domingo"/>
    <d v="2024-11-10T00:00:00"/>
    <x v="83"/>
    <n v="162"/>
    <n v="0.9"/>
    <n v="2"/>
    <n v="0.2"/>
    <n v="0"/>
    <n v="1"/>
    <n v="1.0460849999999999"/>
    <n v="1.0460849999999999"/>
    <n v="0.20921699999999999"/>
    <n v="17"/>
    <x v="0"/>
    <n v="2.0000000000000001E-4"/>
  </r>
  <r>
    <s v="GUAYAQUIL"/>
    <x v="0"/>
    <x v="0"/>
    <x v="194"/>
    <s v="Q MOZZARELLA PIZZ KIOSKO RALLADO 1.5K"/>
    <n v="0"/>
    <n v="1"/>
    <n v="1.5"/>
    <n v="30"/>
    <d v="2024-10-15T00:00:00"/>
    <s v="martes"/>
    <d v="2025-03-14T00:00:00"/>
    <x v="63"/>
    <n v="136"/>
    <n v="4.5333333333333332"/>
    <n v="2"/>
    <n v="3"/>
    <n v="-150"/>
    <n v="6"/>
    <n v="9.0726650000000006"/>
    <n v="9.0726650000000006"/>
    <n v="27.217995000000002"/>
    <n v="43"/>
    <x v="0"/>
    <n v="3.0000000000000001E-3"/>
  </r>
  <r>
    <s v="GUAYAQUIL"/>
    <x v="0"/>
    <x v="0"/>
    <x v="194"/>
    <s v="Q MOZZARELLA PIZZ KIOSKO RALLADO 1.5K"/>
    <n v="79"/>
    <n v="1"/>
    <n v="1.5"/>
    <n v="30"/>
    <d v="2024-11-14T00:00:00"/>
    <s v="jueves"/>
    <d v="2024-11-13T00:00:00"/>
    <x v="25"/>
    <n v="15"/>
    <n v="0.5"/>
    <n v="60"/>
    <n v="90"/>
    <n v="1"/>
    <n v="0.96666666666666667"/>
    <n v="9.0726650000000006"/>
    <n v="9.0726650000000006"/>
    <n v="816.53985000000011"/>
    <n v="13"/>
    <x v="2"/>
    <n v="0.09"/>
  </r>
  <r>
    <s v="GUAYAQUIL"/>
    <x v="0"/>
    <x v="0"/>
    <x v="194"/>
    <s v="Q MOZZARELLA PIZZ KIOSKO RALLADO 1.5K"/>
    <n v="40"/>
    <n v="1"/>
    <n v="1.5"/>
    <n v="30"/>
    <d v="2024-11-19T00:00:00"/>
    <s v="martes"/>
    <d v="2024-11-17T00:00:00"/>
    <x v="21"/>
    <n v="19"/>
    <n v="0.6333333333333333"/>
    <n v="40"/>
    <n v="60"/>
    <n v="2"/>
    <n v="0.93333333333333335"/>
    <n v="9.0726650000000006"/>
    <n v="9.0726650000000006"/>
    <n v="544.35990000000004"/>
    <n v="8"/>
    <x v="2"/>
    <n v="0.06"/>
  </r>
  <r>
    <s v="GUAYAQUIL"/>
    <x v="0"/>
    <x v="0"/>
    <x v="194"/>
    <s v="Q MOZZARELLA PIZZ KIOSKO RALLADO 1.5K"/>
    <n v="15"/>
    <n v="1"/>
    <n v="1.5"/>
    <n v="30"/>
    <d v="2024-11-21T00:00:00"/>
    <s v="jueves"/>
    <d v="2024-11-20T00:00:00"/>
    <x v="19"/>
    <n v="22"/>
    <n v="0.73333333333333328"/>
    <n v="15"/>
    <n v="22.5"/>
    <n v="1"/>
    <n v="0.96666666666666667"/>
    <n v="9.0726650000000006"/>
    <n v="9.0726650000000006"/>
    <n v="204.13496250000003"/>
    <n v="6"/>
    <x v="1"/>
    <n v="2.2499999999999999E-2"/>
  </r>
  <r>
    <s v="GUAYAQUIL"/>
    <x v="0"/>
    <x v="0"/>
    <x v="195"/>
    <s v="Q HOLAN KIOSKO LONJ 500G BKING"/>
    <n v="36"/>
    <n v="1"/>
    <n v="0.5"/>
    <n v="90"/>
    <d v="2024-11-08T00:00:00"/>
    <s v="viernes"/>
    <d v="2024-11-07T00:00:00"/>
    <x v="58"/>
    <n v="69"/>
    <n v="0.76666666666666672"/>
    <n v="20"/>
    <n v="10"/>
    <n v="1"/>
    <n v="0.98888888888888893"/>
    <n v="4.3248100000000003"/>
    <n v="4.3248100000000003"/>
    <n v="43.248100000000001"/>
    <n v="19"/>
    <x v="0"/>
    <n v="0.01"/>
  </r>
  <r>
    <s v="GUAYAQUIL"/>
    <x v="0"/>
    <x v="0"/>
    <x v="195"/>
    <s v="Q HOLAN KIOSKO LONJ 500G BKING"/>
    <n v="12"/>
    <n v="1"/>
    <n v="0.5"/>
    <n v="90"/>
    <d v="2024-11-15T00:00:00"/>
    <s v="viernes"/>
    <d v="2024-11-14T00:00:00"/>
    <x v="23"/>
    <n v="76"/>
    <n v="0.84444444444444444"/>
    <n v="12"/>
    <n v="6"/>
    <n v="1"/>
    <n v="0.98888888888888893"/>
    <n v="4.3248100000000003"/>
    <n v="4.3248100000000003"/>
    <n v="25.948860000000003"/>
    <n v="12"/>
    <x v="0"/>
    <n v="6.0000000000000001E-3"/>
  </r>
  <r>
    <s v="GUAYAQUIL"/>
    <x v="0"/>
    <x v="0"/>
    <x v="196"/>
    <s v="Q MIX ESPECIAL KIOSKO CUBO BOL 500G"/>
    <n v="30"/>
    <n v="1"/>
    <n v="0.5"/>
    <n v="60"/>
    <d v="2024-11-05T00:00:00"/>
    <s v="martes"/>
    <d v="2024-10-30T00:00:00"/>
    <x v="7"/>
    <n v="31"/>
    <n v="0.51666666666666672"/>
    <n v="22"/>
    <n v="11"/>
    <n v="6"/>
    <n v="0.9"/>
    <n v="3.3455399999999997"/>
    <n v="3.3455399999999997"/>
    <n v="36.800939999999997"/>
    <n v="22"/>
    <x v="0"/>
    <n v="1.0999999999999999E-2"/>
  </r>
  <r>
    <s v="GUAYAQUIL"/>
    <x v="0"/>
    <x v="0"/>
    <x v="197"/>
    <s v="QUESO MOZARELLA LIGHT KIOSKO 35 G"/>
    <n v="180"/>
    <n v="1"/>
    <n v="3.5000000000000003E-2"/>
    <n v="40"/>
    <d v="2024-11-20T00:00:00"/>
    <s v="miércoles"/>
    <d v="2024-11-14T00:00:00"/>
    <x v="6"/>
    <n v="26"/>
    <n v="0.65"/>
    <n v="89"/>
    <n v="3.1150000000000002"/>
    <n v="6"/>
    <n v="0.85"/>
    <n v="0.228385"/>
    <n v="0.228385"/>
    <n v="0.71141927500000002"/>
    <n v="7"/>
    <x v="1"/>
    <n v="3.1150000000000001E-3"/>
  </r>
  <r>
    <s v="GUAYAQUIL"/>
    <x v="0"/>
    <x v="0"/>
    <x v="198"/>
    <s v="Q JAVIER KIOSKO BLOQ 320G"/>
    <n v="20"/>
    <n v="1"/>
    <n v="0.32"/>
    <n v="60"/>
    <d v="2024-11-14T00:00:00"/>
    <s v="jueves"/>
    <d v="2024-12-07T00:00:00"/>
    <x v="58"/>
    <n v="69"/>
    <n v="1.1499999999999999"/>
    <n v="2"/>
    <n v="0.64"/>
    <n v="-23"/>
    <n v="1.3833333333333333"/>
    <n v="2.3771550000000001"/>
    <n v="2.3771550000000001"/>
    <n v="1.5213792000000002"/>
    <n v="13"/>
    <x v="0"/>
    <n v="6.4000000000000005E-4"/>
  </r>
  <r>
    <s v="GUAYAQUIL"/>
    <x v="0"/>
    <x v="0"/>
    <x v="199"/>
    <s v="YOG BBLE KIOSKO FTLLA BOT 3.5KG"/>
    <n v="152"/>
    <n v="1"/>
    <n v="3.5"/>
    <n v="45"/>
    <d v="2024-11-16T00:00:00"/>
    <s v="sábado"/>
    <d v="2024-11-14T00:00:00"/>
    <x v="7"/>
    <n v="31"/>
    <n v="0.68888888888888888"/>
    <n v="152"/>
    <n v="532"/>
    <n v="2"/>
    <n v="0.9555555555555556"/>
    <n v="2.91994"/>
    <n v="2.91994"/>
    <n v="1553.4080799999999"/>
    <n v="11"/>
    <x v="0"/>
    <n v="0.53200000000000003"/>
  </r>
  <r>
    <s v="GUAYAQUIL"/>
    <x v="0"/>
    <x v="0"/>
    <x v="199"/>
    <s v="YOG BBLE KIOSKO FTLLA BOT 3.5KG"/>
    <n v="200"/>
    <n v="1"/>
    <n v="3.5"/>
    <n v="45"/>
    <d v="2024-11-15T00:00:00"/>
    <s v="viernes"/>
    <d v="2024-11-14T00:00:00"/>
    <x v="7"/>
    <n v="31"/>
    <n v="0.68888888888888888"/>
    <n v="20"/>
    <n v="70"/>
    <n v="1"/>
    <n v="0.97777777777777775"/>
    <n v="2.91994"/>
    <n v="2.91994"/>
    <n v="204.39580000000001"/>
    <n v="12"/>
    <x v="0"/>
    <n v="7.0000000000000007E-2"/>
  </r>
  <r>
    <s v="GUAYAQUIL"/>
    <x v="0"/>
    <x v="0"/>
    <x v="199"/>
    <s v="YOG BBLE KIOSKO FTLLA BOT 3.5KG"/>
    <n v="200"/>
    <n v="1"/>
    <n v="3.5"/>
    <n v="45"/>
    <d v="2024-11-19T00:00:00"/>
    <s v="martes"/>
    <d v="2024-11-15T00:00:00"/>
    <x v="0"/>
    <n v="32"/>
    <n v="0.71111111111111114"/>
    <n v="200"/>
    <n v="700"/>
    <n v="4"/>
    <n v="0.91111111111111109"/>
    <n v="2.91994"/>
    <n v="2.91994"/>
    <n v="2043.9580000000001"/>
    <n v="8"/>
    <x v="0"/>
    <n v="0.7"/>
  </r>
  <r>
    <s v="GUAYAQUIL"/>
    <x v="0"/>
    <x v="0"/>
    <x v="200"/>
    <s v="PACK QUESOS KIOSKO NAVIDAD + TABLA"/>
    <n v="400"/>
    <n v="1"/>
    <n v="0.6"/>
    <n v="60"/>
    <d v="2024-11-08T00:00:00"/>
    <s v="viernes"/>
    <d v="2024-11-07T00:00:00"/>
    <x v="50"/>
    <n v="39"/>
    <n v="0.65"/>
    <n v="65"/>
    <n v="39"/>
    <n v="1"/>
    <n v="0.98333333333333328"/>
    <n v="3.4317950000000002"/>
    <n v="3.4317950000000002"/>
    <n v="133.84000500000002"/>
    <n v="19"/>
    <x v="0"/>
    <n v="3.9E-2"/>
  </r>
  <r>
    <s v="GUAYAQUIL"/>
    <x v="0"/>
    <x v="0"/>
    <x v="201"/>
    <s v="YOG FNSSE FRTROJ MUSLI 155G"/>
    <n v="180"/>
    <n v="1"/>
    <n v="0.16500000000000001"/>
    <n v="45"/>
    <d v="2024-11-08T00:00:00"/>
    <s v="viernes"/>
    <d v="2024-11-08T00:00:00"/>
    <x v="9"/>
    <n v="25"/>
    <n v="0.55555555555555558"/>
    <n v="52"/>
    <n v="8.58"/>
    <n v="0"/>
    <n v="1"/>
    <n v="0.35993999999999998"/>
    <n v="0.35993999999999998"/>
    <n v="3.0882852000000001"/>
    <n v="19"/>
    <x v="1"/>
    <n v="8.5800000000000008E-3"/>
  </r>
  <r>
    <s v="GUAYAQUIL"/>
    <x v="0"/>
    <x v="0"/>
    <x v="202"/>
    <s v="YOG FNSSE DURAZNO MUSLI 155G"/>
    <n v="120"/>
    <n v="1"/>
    <n v="0.16500000000000001"/>
    <n v="45"/>
    <d v="2024-11-21T00:00:00"/>
    <s v="jueves"/>
    <d v="2024-11-08T00:00:00"/>
    <x v="9"/>
    <n v="25"/>
    <n v="0.55555555555555558"/>
    <n v="39"/>
    <n v="6.4350000000000005"/>
    <n v="13"/>
    <n v="0.71111111111111114"/>
    <n v="0.36751"/>
    <n v="0.36751"/>
    <n v="2.3649268500000002"/>
    <n v="6"/>
    <x v="1"/>
    <n v="6.4350000000000006E-3"/>
  </r>
  <r>
    <s v="GUAYAQUIL"/>
    <x v="0"/>
    <x v="0"/>
    <x v="203"/>
    <s v="MPLX4 BY MULTSAB VASO"/>
    <n v="6"/>
    <n v="1"/>
    <n v="0.66500000000000004"/>
    <n v="45"/>
    <d v="2024-11-12T00:00:00"/>
    <s v="martes"/>
    <d v="2024-11-01T00:00:00"/>
    <x v="4"/>
    <n v="18"/>
    <n v="0.4"/>
    <n v="6"/>
    <n v="3.99"/>
    <n v="11"/>
    <n v="0.75555555555555554"/>
    <n v="1.5265749999999998"/>
    <n v="1.5265749999999998"/>
    <n v="6.0910342499999999"/>
    <n v="15"/>
    <x v="2"/>
    <n v="3.9900000000000005E-3"/>
  </r>
  <r>
    <s v="GUAYAQUIL"/>
    <x v="0"/>
    <x v="0"/>
    <x v="204"/>
    <s v="QUESO KIOSKO MOZZARELLA LONJ 1KG AL PESO"/>
    <n v="50"/>
    <n v="1"/>
    <n v="1"/>
    <n v="45"/>
    <d v="2024-11-13T00:00:00"/>
    <s v="miércoles"/>
    <d v="2024-10-28T00:00:00"/>
    <x v="80"/>
    <n v="14"/>
    <n v="0.31111111111111112"/>
    <n v="2"/>
    <n v="2"/>
    <n v="16"/>
    <n v="0.64444444444444438"/>
    <n v="6.5915400000000002"/>
    <n v="6.5915400000000002"/>
    <n v="13.18308"/>
    <n v="14"/>
    <x v="2"/>
    <n v="2E-3"/>
  </r>
  <r>
    <s v="GUAYAQUIL"/>
    <x v="0"/>
    <x v="0"/>
    <x v="204"/>
    <s v="QUESO KIOSKO MOZZARELLA LONJ 1KG AL PESO"/>
    <n v="20"/>
    <n v="1"/>
    <n v="1"/>
    <n v="45"/>
    <d v="2024-11-20T00:00:00"/>
    <s v="miércoles"/>
    <d v="2024-11-04T00:00:00"/>
    <x v="45"/>
    <n v="21"/>
    <n v="0.46666666666666667"/>
    <n v="20"/>
    <n v="20"/>
    <n v="16"/>
    <n v="0.64444444444444438"/>
    <n v="6.5915400000000002"/>
    <n v="6.5915400000000002"/>
    <n v="131.83080000000001"/>
    <n v="7"/>
    <x v="2"/>
    <n v="0.02"/>
  </r>
  <r>
    <s v="GUAYAQUIL"/>
    <x v="0"/>
    <x v="0"/>
    <x v="205"/>
    <s v="KIOSKO SANDUCHE LONJAS LINEA DIARIA 75G"/>
    <n v="120"/>
    <n v="1"/>
    <n v="7.4999999999999997E-2"/>
    <n v="90"/>
    <d v="2024-11-13T00:00:00"/>
    <s v="miércoles"/>
    <d v="2024-11-08T00:00:00"/>
    <x v="17"/>
    <n v="70"/>
    <n v="0.77777777777777779"/>
    <n v="30"/>
    <n v="2.25"/>
    <n v="5"/>
    <n v="0.94444444444444442"/>
    <n v="0.60429999999999995"/>
    <n v="0.60429999999999995"/>
    <n v="1.359675"/>
    <n v="14"/>
    <x v="0"/>
    <n v="2.2499999999999998E-3"/>
  </r>
  <r>
    <s v="GUAYAQUIL"/>
    <x v="0"/>
    <x v="0"/>
    <x v="205"/>
    <s v="KIOSKO SANDUCHE LONJAS LINEA DIARIA 75G"/>
    <n v="60"/>
    <n v="1"/>
    <n v="7.4999999999999997E-2"/>
    <n v="90"/>
    <d v="2024-11-21T00:00:00"/>
    <s v="jueves"/>
    <d v="2024-11-12T00:00:00"/>
    <x v="18"/>
    <n v="74"/>
    <n v="0.82222222222222219"/>
    <n v="60"/>
    <n v="4.5"/>
    <n v="9"/>
    <n v="0.9"/>
    <n v="0.60429999999999995"/>
    <n v="0.60429999999999995"/>
    <n v="2.7193499999999999"/>
    <n v="6"/>
    <x v="0"/>
    <n v="4.4999999999999997E-3"/>
  </r>
  <r>
    <s v="GUAYAQUIL"/>
    <x v="0"/>
    <x v="0"/>
    <x v="206"/>
    <s v="CREM LCH AGRIA KIOSKO DOYP 200G"/>
    <n v="210"/>
    <n v="1"/>
    <n v="0.2"/>
    <n v="60"/>
    <d v="2024-11-19T00:00:00"/>
    <s v="martes"/>
    <d v="2024-11-15T00:00:00"/>
    <x v="52"/>
    <n v="47"/>
    <n v="0.78333333333333333"/>
    <n v="17"/>
    <n v="3.4000000000000004"/>
    <n v="4"/>
    <n v="0.93333333333333335"/>
    <n v="0.45100499999999999"/>
    <n v="0.45100499999999999"/>
    <n v="1.533417"/>
    <n v="8"/>
    <x v="0"/>
    <n v="3.4000000000000002E-3"/>
  </r>
  <r>
    <s v="GUAYAQUIL"/>
    <x v="0"/>
    <x v="0"/>
    <x v="206"/>
    <s v="CREM LCH AGRIA KIOSKO DOYP 200G"/>
    <n v="140"/>
    <n v="1"/>
    <n v="0.2"/>
    <n v="60"/>
    <d v="2024-11-20T00:00:00"/>
    <s v="miércoles"/>
    <d v="2024-11-15T00:00:00"/>
    <x v="52"/>
    <n v="47"/>
    <n v="0.78333333333333333"/>
    <n v="140"/>
    <n v="28"/>
    <n v="5"/>
    <n v="0.91666666666666663"/>
    <n v="0.45100499999999999"/>
    <n v="0.45100499999999999"/>
    <n v="12.62814"/>
    <n v="7"/>
    <x v="0"/>
    <n v="2.8000000000000001E-2"/>
  </r>
  <r>
    <s v="GUAYAQUIL"/>
    <x v="0"/>
    <x v="0"/>
    <x v="206"/>
    <s v="CREM LCH AGRIA KIOSKO DOYP 200G"/>
    <n v="70"/>
    <n v="1"/>
    <n v="0.2"/>
    <n v="60"/>
    <d v="2024-11-21T00:00:00"/>
    <s v="jueves"/>
    <d v="2024-11-15T00:00:00"/>
    <x v="52"/>
    <n v="47"/>
    <n v="0.78333333333333333"/>
    <n v="70"/>
    <n v="14"/>
    <n v="6"/>
    <n v="0.9"/>
    <n v="0.45100499999999999"/>
    <n v="0.45100499999999999"/>
    <n v="6.3140700000000001"/>
    <n v="6"/>
    <x v="0"/>
    <n v="1.4E-2"/>
  </r>
  <r>
    <s v="GUAYAQUIL"/>
    <x v="0"/>
    <x v="0"/>
    <x v="207"/>
    <s v="MOZZARELLA STICK AL GRANEL X 40 UN"/>
    <n v="5"/>
    <n v="1"/>
    <n v="1.4"/>
    <n v="40"/>
    <d v="2024-11-14T00:00:00"/>
    <s v="jueves"/>
    <d v="2024-11-13T00:00:00"/>
    <x v="9"/>
    <n v="25"/>
    <n v="0.625"/>
    <n v="3"/>
    <n v="4.1999999999999993"/>
    <n v="1"/>
    <n v="0.97499999999999998"/>
    <n v="7.3991449999999999"/>
    <n v="7.3991449999999999"/>
    <n v="31.076408999999995"/>
    <n v="13"/>
    <x v="1"/>
    <n v="4.1999999999999989E-3"/>
  </r>
  <r>
    <s v="GUAYAQUIL"/>
    <x v="0"/>
    <x v="0"/>
    <x v="207"/>
    <s v="MOZZARELLA STICK AL GRANEL X 40 UN"/>
    <n v="5"/>
    <n v="1"/>
    <n v="1.4"/>
    <n v="40"/>
    <d v="2024-11-21T00:00:00"/>
    <s v="jueves"/>
    <d v="2024-11-20T00:00:00"/>
    <x v="0"/>
    <n v="32"/>
    <n v="0.8"/>
    <n v="5"/>
    <n v="7"/>
    <n v="1"/>
    <n v="0.97499999999999998"/>
    <n v="7.3991449999999999"/>
    <n v="7.3991449999999999"/>
    <n v="51.794015000000002"/>
    <n v="6"/>
    <x v="0"/>
    <n v="7.0000000000000001E-3"/>
  </r>
  <r>
    <s v="GUAYAQUIL"/>
    <x v="0"/>
    <x v="0"/>
    <x v="208"/>
    <s v="MQUILLA NAT KIOSKO 1KG INST MOD OTROS"/>
    <n v="756"/>
    <n v="1"/>
    <n v="1"/>
    <n v="40"/>
    <d v="2024-11-20T00:00:00"/>
    <s v="miércoles"/>
    <d v="2024-11-19T00:00:00"/>
    <x v="7"/>
    <n v="31"/>
    <n v="0.77500000000000002"/>
    <n v="41"/>
    <n v="41"/>
    <n v="1"/>
    <n v="0.97499999999999998"/>
    <n v="4.1816800000000001"/>
    <n v="4.1816800000000001"/>
    <n v="171.44888"/>
    <n v="7"/>
    <x v="0"/>
    <n v="4.1000000000000002E-2"/>
  </r>
  <r>
    <s v="GUAYAQUIL"/>
    <x v="0"/>
    <x v="0"/>
    <x v="208"/>
    <s v="MQUILLA NAT KIOSKO 1KG INST MOD OTROS"/>
    <n v="224"/>
    <n v="1"/>
    <n v="1"/>
    <n v="40"/>
    <d v="2024-11-21T00:00:00"/>
    <s v="jueves"/>
    <d v="2024-11-19T00:00:00"/>
    <x v="7"/>
    <n v="31"/>
    <n v="0.77500000000000002"/>
    <n v="224"/>
    <n v="224"/>
    <n v="2"/>
    <n v="0.95"/>
    <n v="4.1816800000000001"/>
    <n v="4.1816800000000001"/>
    <n v="936.69632000000001"/>
    <n v="6"/>
    <x v="0"/>
    <n v="0.224"/>
  </r>
  <r>
    <s v="GUAYAQUIL"/>
    <x v="0"/>
    <x v="0"/>
    <x v="209"/>
    <s v="MQUILLA NAT KIOSKO AL PESO"/>
    <n v="160"/>
    <n v="1"/>
    <n v="1"/>
    <n v="40"/>
    <d v="2024-11-14T00:00:00"/>
    <s v="jueves"/>
    <d v="2024-11-12T00:00:00"/>
    <x v="1"/>
    <n v="24"/>
    <n v="0.6"/>
    <n v="160"/>
    <n v="160"/>
    <n v="2"/>
    <n v="0.95"/>
    <n v="4.3502849999999995"/>
    <n v="4.3502849999999995"/>
    <n v="696.04559999999992"/>
    <n v="13"/>
    <x v="1"/>
    <n v="0.16"/>
  </r>
  <r>
    <s v="GUAYAQUIL"/>
    <x v="0"/>
    <x v="0"/>
    <x v="210"/>
    <s v="Q AMASADO KIOSKO BLOQ 450G"/>
    <n v="45"/>
    <n v="1"/>
    <n v="0.45"/>
    <n v="35"/>
    <d v="2024-11-19T00:00:00"/>
    <s v="martes"/>
    <d v="2024-11-16T00:00:00"/>
    <x v="11"/>
    <n v="23"/>
    <n v="0.65714285714285714"/>
    <n v="26"/>
    <n v="11.700000000000001"/>
    <n v="3"/>
    <n v="0.91428571428571426"/>
    <n v="1.2293700000000001"/>
    <n v="1.2293700000000001"/>
    <n v="14.383629000000003"/>
    <n v="8"/>
    <x v="1"/>
    <n v="1.17E-2"/>
  </r>
  <r>
    <s v="GUAYAQUIL"/>
    <x v="0"/>
    <x v="0"/>
    <x v="210"/>
    <s v="Q AMASADO KIOSKO BLOQ 450G"/>
    <n v="45"/>
    <n v="1"/>
    <n v="0.45"/>
    <n v="35"/>
    <d v="2024-11-21T00:00:00"/>
    <s v="jueves"/>
    <d v="2024-11-16T00:00:00"/>
    <x v="11"/>
    <n v="23"/>
    <n v="0.65714285714285714"/>
    <n v="45"/>
    <n v="20.25"/>
    <n v="5"/>
    <n v="0.85714285714285721"/>
    <n v="1.2293700000000001"/>
    <n v="1.2293700000000001"/>
    <n v="24.894742500000003"/>
    <n v="6"/>
    <x v="1"/>
    <n v="2.0250000000000001E-2"/>
  </r>
  <r>
    <s v="GUAYAQUIL"/>
    <x v="0"/>
    <x v="0"/>
    <x v="211"/>
    <s v="GRIEG KIOSKO NATURAL 120"/>
    <n v="720"/>
    <n v="1"/>
    <n v="0.12"/>
    <n v="45"/>
    <d v="2024-11-16T00:00:00"/>
    <s v="sábado"/>
    <d v="2024-11-15T00:00:00"/>
    <x v="0"/>
    <n v="32"/>
    <n v="0.71111111111111114"/>
    <n v="200"/>
    <n v="24"/>
    <n v="1"/>
    <n v="0.97777777777777775"/>
    <n v="0.32286000000000004"/>
    <n v="0.32286000000000004"/>
    <n v="7.7486400000000009"/>
    <n v="11"/>
    <x v="0"/>
    <n v="2.4E-2"/>
  </r>
  <r>
    <s v="GUAYAQUIL"/>
    <x v="0"/>
    <x v="0"/>
    <x v="211"/>
    <s v="GRIEG KIOSKO NATURAL 120"/>
    <n v="120"/>
    <n v="1"/>
    <n v="0.12"/>
    <n v="45"/>
    <d v="2024-11-19T00:00:00"/>
    <s v="martes"/>
    <d v="2024-11-15T00:00:00"/>
    <x v="0"/>
    <n v="32"/>
    <n v="0.71111111111111114"/>
    <n v="120"/>
    <n v="14.399999999999999"/>
    <n v="4"/>
    <n v="0.91111111111111109"/>
    <n v="0.32286000000000004"/>
    <n v="0.32286000000000004"/>
    <n v="4.649184"/>
    <n v="8"/>
    <x v="0"/>
    <n v="1.4399999999999998E-2"/>
  </r>
  <r>
    <s v="GUAYAQUIL"/>
    <x v="0"/>
    <x v="0"/>
    <x v="212"/>
    <s v="KIOSKO MIX LONJEADOS 400 G"/>
    <n v="10"/>
    <n v="1"/>
    <n v="0.4"/>
    <n v="90"/>
    <d v="2024-11-19T00:00:00"/>
    <s v="martes"/>
    <d v="2024-11-07T00:00:00"/>
    <x v="58"/>
    <n v="69"/>
    <n v="0.76666666666666672"/>
    <n v="10"/>
    <n v="4"/>
    <n v="12"/>
    <n v="0.8666666666666667"/>
    <n v="3.1343899999999998"/>
    <n v="3.1343899999999998"/>
    <n v="12.537559999999999"/>
    <n v="8"/>
    <x v="0"/>
    <n v="4.0000000000000001E-3"/>
  </r>
  <r>
    <s v="GUAYAQUIL"/>
    <x v="0"/>
    <x v="0"/>
    <x v="213"/>
    <s v="KIOSKO MOZZARELL LONJAS LINEA DIARIA 75G"/>
    <n v="90"/>
    <n v="1"/>
    <n v="7.4999999999999997E-2"/>
    <n v="30"/>
    <d v="2024-11-19T00:00:00"/>
    <s v="martes"/>
    <d v="2024-11-12T00:00:00"/>
    <x v="80"/>
    <n v="14"/>
    <n v="0.46666666666666667"/>
    <n v="90"/>
    <n v="6.75"/>
    <n v="7"/>
    <n v="0.76666666666666661"/>
    <n v="0.62214499999999995"/>
    <n v="0.62214499999999995"/>
    <n v="4.1994787499999999"/>
    <n v="8"/>
    <x v="2"/>
    <n v="6.7499999999999999E-3"/>
  </r>
  <r>
    <s v="GUAYAQUIL"/>
    <x v="0"/>
    <x v="0"/>
    <x v="214"/>
    <s v="Q MOZAR PIZZ KIOSKO RALL BOL 300G"/>
    <n v="60"/>
    <n v="1"/>
    <n v="0.3"/>
    <n v="30"/>
    <d v="2024-11-20T00:00:00"/>
    <s v="miércoles"/>
    <d v="2024-11-19T00:00:00"/>
    <x v="45"/>
    <n v="21"/>
    <n v="0.7"/>
    <n v="38"/>
    <n v="11.4"/>
    <n v="1"/>
    <n v="0.96666666666666667"/>
    <n v="2.0200649999999998"/>
    <n v="2.0200649999999998"/>
    <n v="23.028740999999997"/>
    <n v="7"/>
    <x v="2"/>
    <n v="1.14E-2"/>
  </r>
  <r>
    <s v="GUAYAQUIL"/>
    <x v="0"/>
    <x v="0"/>
    <x v="214"/>
    <s v="Q MOZAR PIZZ KIOSKO RALL BOL 300G"/>
    <n v="30"/>
    <n v="1"/>
    <n v="0.3"/>
    <n v="30"/>
    <d v="2024-11-21T00:00:00"/>
    <s v="jueves"/>
    <d v="2024-11-19T00:00:00"/>
    <x v="45"/>
    <n v="21"/>
    <n v="0.7"/>
    <n v="30"/>
    <n v="9"/>
    <n v="2"/>
    <n v="0.93333333333333335"/>
    <n v="2.0200649999999998"/>
    <n v="2.0200649999999998"/>
    <n v="18.180584999999997"/>
    <n v="6"/>
    <x v="2"/>
    <n v="8.9999999999999993E-3"/>
  </r>
  <r>
    <s v="GUAYAQUIL"/>
    <x v="0"/>
    <x v="0"/>
    <x v="215"/>
    <s v="ALPINETTE CEREZA 140G ECU"/>
    <n v="750"/>
    <n v="1"/>
    <n v="0.14000000000000001"/>
    <n v="60"/>
    <d v="2024-11-12T00:00:00"/>
    <s v="martes"/>
    <d v="2024-10-25T00:00:00"/>
    <x v="6"/>
    <n v="26"/>
    <n v="0.43333333333333335"/>
    <n v="15"/>
    <n v="2.1"/>
    <n v="18"/>
    <n v="0.7"/>
    <n v="0.48814500000000005"/>
    <n v="0.48814500000000005"/>
    <n v="1.0251045000000001"/>
    <n v="15"/>
    <x v="1"/>
    <n v="2.1000000000000003E-3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"/>
    <x v="1"/>
    <x v="1"/>
    <x v="216"/>
    <s v=""/>
    <n v="0"/>
    <s v=""/>
    <s v=""/>
    <s v=""/>
    <d v="1899-12-30T00:00:00"/>
    <s v=""/>
    <s v=""/>
    <x v="84"/>
    <s v=""/>
    <n v="0"/>
    <n v="0"/>
    <s v=""/>
    <n v="0"/>
    <s v=""/>
    <n v="0"/>
    <s v=""/>
    <s v=""/>
    <s v=""/>
    <x v="3"/>
    <e v="#VALUE!"/>
  </r>
  <r>
    <s v="MACHACHI"/>
    <x v="2"/>
    <x v="2"/>
    <x v="182"/>
    <s v="MPLX4 ALPINETTE CZA 140G"/>
    <n v="65"/>
    <n v="1"/>
    <n v="0.56000000000000005"/>
    <n v="60"/>
    <d v="2024-11-05T00:00:00"/>
    <s v="martes"/>
    <d v="2024-11-05T00:00:00"/>
    <x v="82"/>
    <n v="37"/>
    <n v="0.6166666666666667"/>
    <n v="65"/>
    <n v="36.400000000000006"/>
    <s v=""/>
    <s v=""/>
    <n v="2.0278900000000002"/>
    <n v="2.0278900000000002"/>
    <n v="131.81285000000003"/>
    <n v="22"/>
    <x v="0"/>
    <n v="3.6400000000000009E-2"/>
  </r>
  <r>
    <s v="MACHACHI"/>
    <x v="2"/>
    <x v="2"/>
    <x v="25"/>
    <s v="Q MOZAR KIOSKO BLOQ 900G"/>
    <n v="546"/>
    <n v="1"/>
    <n v="0.9"/>
    <n v="40"/>
    <d v="2024-11-22T00:00:00"/>
    <s v="viernes"/>
    <d v="2024-11-22T00:00:00"/>
    <x v="85"/>
    <n v="34"/>
    <n v="0.85"/>
    <n v="546"/>
    <n v="491.40000000000003"/>
    <n v="0"/>
    <n v="1"/>
    <n v="4.1744400000000006"/>
    <n v="4.1744400000000006"/>
    <n v="2279.2442400000004"/>
    <n v="5"/>
    <x v="0"/>
    <n v="0.49140000000000006"/>
  </r>
  <r>
    <s v="MACHACHI"/>
    <x v="2"/>
    <x v="2"/>
    <x v="25"/>
    <s v="Q MOZAR KIOSKO BLOQ 900G"/>
    <n v="109"/>
    <n v="1"/>
    <n v="0.9"/>
    <n v="40"/>
    <d v="2024-11-20T00:00:00"/>
    <s v="miércoles"/>
    <d v="2024-11-20T00:00:00"/>
    <x v="0"/>
    <n v="32"/>
    <n v="0.8"/>
    <n v="109"/>
    <n v="98.100000000000009"/>
    <n v="0"/>
    <n v="1"/>
    <n v="4.1744400000000006"/>
    <n v="4.1744400000000006"/>
    <n v="455.01396000000005"/>
    <n v="7"/>
    <x v="0"/>
    <n v="9.8100000000000007E-2"/>
  </r>
  <r>
    <s v="MACHACHI"/>
    <x v="2"/>
    <x v="2"/>
    <x v="93"/>
    <s v="Q MOZAR KIOSKO BLOQ 700G"/>
    <n v="156"/>
    <n v="1"/>
    <n v="0.7"/>
    <n v="40"/>
    <d v="2024-11-21T00:00:00"/>
    <s v="jueves"/>
    <d v="2024-11-21T00:00:00"/>
    <x v="3"/>
    <n v="33"/>
    <n v="0.82499999999999996"/>
    <n v="156"/>
    <n v="109.19999999999999"/>
    <n v="0"/>
    <n v="1"/>
    <n v="3.26932"/>
    <n v="3.26932"/>
    <n v="510.01391999999998"/>
    <n v="6"/>
    <x v="0"/>
    <n v="0.10919999999999999"/>
  </r>
  <r>
    <s v="MACHACHI"/>
    <x v="2"/>
    <x v="2"/>
    <x v="93"/>
    <s v="Q MOZAR KIOSKO BLOQ 700G"/>
    <n v="486"/>
    <n v="1"/>
    <n v="0.7"/>
    <n v="40"/>
    <d v="2024-11-22T00:00:00"/>
    <s v="viernes"/>
    <d v="2024-11-22T00:00:00"/>
    <x v="85"/>
    <n v="34"/>
    <n v="0.85"/>
    <n v="486"/>
    <n v="340.2"/>
    <n v="0"/>
    <n v="1"/>
    <n v="3.26932"/>
    <n v="3.26932"/>
    <n v="1588.8895199999999"/>
    <n v="5"/>
    <x v="0"/>
    <n v="0.3402"/>
  </r>
  <r>
    <s v="MACHACHI"/>
    <x v="2"/>
    <x v="2"/>
    <x v="75"/>
    <s v="Q MOZAR LGHT KIOSKO BLOQ 200G"/>
    <n v="1080"/>
    <n v="1"/>
    <n v="0.2"/>
    <n v="40"/>
    <d v="2024-11-21T00:00:00"/>
    <s v="jueves"/>
    <d v="2024-11-21T00:00:00"/>
    <x v="3"/>
    <n v="33"/>
    <n v="0.82499999999999996"/>
    <n v="1080"/>
    <n v="216"/>
    <n v="0"/>
    <n v="1"/>
    <n v="1.11269"/>
    <n v="1.11269"/>
    <n v="1201.7051999999999"/>
    <n v="6"/>
    <x v="0"/>
    <n v="0.216"/>
  </r>
  <r>
    <s v="MACHACHI"/>
    <x v="2"/>
    <x v="2"/>
    <x v="75"/>
    <s v="Q MOZAR LGHT KIOSKO BLOQ 200G"/>
    <n v="158"/>
    <n v="1"/>
    <n v="0.2"/>
    <n v="40"/>
    <d v="2024-11-19T00:00:00"/>
    <s v="martes"/>
    <d v="2024-11-19T00:00:00"/>
    <x v="7"/>
    <n v="31"/>
    <n v="0.77500000000000002"/>
    <n v="158"/>
    <n v="31.6"/>
    <n v="0"/>
    <n v="1"/>
    <n v="1.11269"/>
    <n v="1.11269"/>
    <n v="175.80501999999998"/>
    <n v="8"/>
    <x v="0"/>
    <n v="3.1600000000000003E-2"/>
  </r>
  <r>
    <s v="MACHACHI"/>
    <x v="2"/>
    <x v="2"/>
    <x v="158"/>
    <s v="Q MOZAR LGHT KIOSKO BLOQ 700G"/>
    <n v="25"/>
    <n v="1"/>
    <n v="0.7"/>
    <n v="40"/>
    <d v="2024-11-20T00:00:00"/>
    <s v="miércoles"/>
    <d v="2024-11-20T00:00:00"/>
    <x v="0"/>
    <n v="32"/>
    <n v="0.8"/>
    <n v="25"/>
    <n v="17.5"/>
    <n v="0"/>
    <n v="1"/>
    <n v="3.8565149999999999"/>
    <n v="3.8565149999999999"/>
    <n v="96.412875"/>
    <n v="7"/>
    <x v="0"/>
    <n v="1.7500000000000002E-2"/>
  </r>
  <r>
    <s v="MACHACHI"/>
    <x v="2"/>
    <x v="2"/>
    <x v="158"/>
    <s v="Q MOZAR LGHT KIOSKO BLOQ 700G"/>
    <n v="108"/>
    <n v="1"/>
    <n v="0.7"/>
    <n v="40"/>
    <d v="2024-11-22T00:00:00"/>
    <s v="viernes"/>
    <d v="2024-11-22T00:00:00"/>
    <x v="85"/>
    <n v="34"/>
    <n v="0.85"/>
    <n v="108"/>
    <n v="75.599999999999994"/>
    <n v="0"/>
    <n v="1"/>
    <n v="3.8565149999999999"/>
    <n v="3.8565149999999999"/>
    <n v="416.50362000000001"/>
    <n v="5"/>
    <x v="0"/>
    <n v="7.5600000000000001E-2"/>
  </r>
  <r>
    <s v="MACHACHI"/>
    <x v="2"/>
    <x v="2"/>
    <x v="1"/>
    <s v="Q MOZAR KIOSKO SNACK 50G"/>
    <n v="1350"/>
    <n v="1"/>
    <n v="0.05"/>
    <n v="40"/>
    <d v="2024-11-21T00:00:00"/>
    <s v="jueves"/>
    <d v="2024-11-21T00:00:00"/>
    <x v="3"/>
    <n v="33"/>
    <n v="0.82499999999999996"/>
    <n v="1350"/>
    <n v="67.5"/>
    <n v="0"/>
    <n v="1"/>
    <n v="0.30701500000000004"/>
    <n v="0.30701500000000004"/>
    <n v="414.47025000000008"/>
    <n v="6"/>
    <x v="0"/>
    <n v="6.7500000000000004E-2"/>
  </r>
  <r>
    <s v="MACHACHI"/>
    <x v="2"/>
    <x v="2"/>
    <x v="1"/>
    <s v="Q MOZAR KIOSKO SNACK 50G"/>
    <n v="2850"/>
    <n v="1"/>
    <n v="0.05"/>
    <n v="40"/>
    <d v="2024-11-27T00:00:00"/>
    <s v="miércoles"/>
    <d v="2024-11-27T00:00:00"/>
    <x v="50"/>
    <n v="39"/>
    <n v="0.97499999999999998"/>
    <n v="2850"/>
    <n v="142.5"/>
    <n v="0"/>
    <n v="1"/>
    <n v="0.30701500000000004"/>
    <n v="0.30701500000000004"/>
    <n v="874.99275000000011"/>
    <n v="0"/>
    <x v="0"/>
    <n v="0.14249999999999999"/>
  </r>
  <r>
    <s v="MACHACHI"/>
    <x v="2"/>
    <x v="2"/>
    <x v="62"/>
    <s v="AREQUIPE VASO 250G ECU"/>
    <n v="5664"/>
    <n v="1"/>
    <n v="0.25"/>
    <n v="180"/>
    <d v="2024-10-23T00:00:00"/>
    <s v="miércoles"/>
    <d v="2024-10-23T00:00:00"/>
    <x v="64"/>
    <n v="144"/>
    <n v="0.8"/>
    <n v="5664"/>
    <n v="1416"/>
    <n v="0"/>
    <n v="1"/>
    <n v="0.78529499999999997"/>
    <n v="0.78529499999999997"/>
    <n v="4447.9108799999995"/>
    <n v="35"/>
    <x v="0"/>
    <n v="1.4159999999999999"/>
  </r>
  <r>
    <s v="MACHACHI"/>
    <x v="2"/>
    <x v="2"/>
    <x v="62"/>
    <s v="AREQUIPE VASO 250G ECU"/>
    <n v="1584"/>
    <n v="1"/>
    <n v="0.25"/>
    <n v="180"/>
    <d v="2024-10-12T00:00:00"/>
    <s v="sábado"/>
    <d v="2024-10-12T00:00:00"/>
    <x v="65"/>
    <n v="133"/>
    <n v="0.73888888888888893"/>
    <n v="1584"/>
    <n v="396"/>
    <n v="0"/>
    <n v="1"/>
    <n v="0.78529499999999997"/>
    <n v="0.78529499999999997"/>
    <n v="1243.9072799999999"/>
    <n v="46"/>
    <x v="0"/>
    <n v="0.39600000000000002"/>
  </r>
  <r>
    <s v="MACHACHI"/>
    <x v="2"/>
    <x v="2"/>
    <x v="62"/>
    <s v="AREQUIPE VASO 250G ECU"/>
    <n v="1890"/>
    <n v="1"/>
    <n v="0.25"/>
    <n v="180"/>
    <d v="2024-11-19T00:00:00"/>
    <s v="martes"/>
    <d v="2024-11-19T00:00:00"/>
    <x v="56"/>
    <n v="171"/>
    <n v="0.95"/>
    <n v="1890"/>
    <n v="472.5"/>
    <n v="0"/>
    <n v="1"/>
    <n v="0.78529499999999997"/>
    <n v="0.78529499999999997"/>
    <n v="1484.2075499999999"/>
    <n v="8"/>
    <x v="0"/>
    <n v="0.47249999999999998"/>
  </r>
  <r>
    <s v="MACHACHI"/>
    <x v="2"/>
    <x v="2"/>
    <x v="62"/>
    <s v="AREQUIPE VASO 250G ECU"/>
    <n v="3780"/>
    <n v="1"/>
    <n v="0.25"/>
    <n v="180"/>
    <d v="2024-11-21T00:00:00"/>
    <s v="jueves"/>
    <d v="2024-11-21T00:00:00"/>
    <x v="86"/>
    <n v="173"/>
    <n v="0.96111111111111114"/>
    <n v="3780"/>
    <n v="945"/>
    <n v="0"/>
    <n v="1"/>
    <n v="0.78529499999999997"/>
    <n v="0.78529499999999997"/>
    <n v="2968.4150999999997"/>
    <n v="6"/>
    <x v="0"/>
    <n v="0.94499999999999995"/>
  </r>
  <r>
    <s v="MACHACHI"/>
    <x v="2"/>
    <x v="2"/>
    <x v="47"/>
    <s v="AREQUIPE VASO 500G ECU"/>
    <n v="1848"/>
    <n v="1"/>
    <n v="0.5"/>
    <n v="180"/>
    <d v="2024-11-14T00:00:00"/>
    <s v="jueves"/>
    <d v="2024-11-14T00:00:00"/>
    <x v="35"/>
    <n v="166"/>
    <n v="0.92222222222222228"/>
    <n v="1848"/>
    <n v="924"/>
    <n v="0"/>
    <n v="1"/>
    <n v="1.477565"/>
    <n v="1.477565"/>
    <n v="2730.5401200000001"/>
    <n v="13"/>
    <x v="0"/>
    <n v="0.92400000000000004"/>
  </r>
  <r>
    <s v="MACHACHI"/>
    <x v="2"/>
    <x v="2"/>
    <x v="47"/>
    <s v="AREQUIPE VASO 500G ECU"/>
    <n v="1200"/>
    <n v="1"/>
    <n v="0.5"/>
    <n v="180"/>
    <d v="2024-11-19T00:00:00"/>
    <s v="martes"/>
    <d v="2024-11-19T00:00:00"/>
    <x v="56"/>
    <n v="171"/>
    <n v="0.95"/>
    <n v="1200"/>
    <n v="600"/>
    <n v="0"/>
    <n v="1"/>
    <n v="1.477565"/>
    <n v="1.477565"/>
    <n v="1773.078"/>
    <n v="8"/>
    <x v="0"/>
    <n v="0.6"/>
  </r>
  <r>
    <s v="MACHACHI"/>
    <x v="2"/>
    <x v="2"/>
    <x v="47"/>
    <s v="AREQUIPE VASO 500G ECU"/>
    <n v="3026"/>
    <n v="1"/>
    <n v="0.5"/>
    <n v="180"/>
    <d v="2024-11-23T00:00:00"/>
    <s v="sábado"/>
    <d v="2024-11-23T00:00:00"/>
    <x v="87"/>
    <n v="175"/>
    <n v="0.97222222222222221"/>
    <n v="3026"/>
    <n v="1513"/>
    <n v="0"/>
    <n v="1"/>
    <n v="1.477565"/>
    <n v="1.477565"/>
    <n v="4471.1116899999997"/>
    <n v="4"/>
    <x v="0"/>
    <n v="1.5129999999999999"/>
  </r>
  <r>
    <s v="MACHACHI"/>
    <x v="2"/>
    <x v="2"/>
    <x v="61"/>
    <s v="DULCE LCH KIOSKO VASO 250G"/>
    <n v="432"/>
    <n v="1"/>
    <n v="0.25"/>
    <n v="180"/>
    <d v="2024-11-20T00:00:00"/>
    <s v="miércoles"/>
    <d v="2024-11-20T00:00:00"/>
    <x v="62"/>
    <n v="172"/>
    <n v="0.9555555555555556"/>
    <n v="432"/>
    <n v="108"/>
    <n v="0"/>
    <n v="1"/>
    <n v="0.69541500000000001"/>
    <n v="0.69541500000000001"/>
    <n v="300.41928000000001"/>
    <n v="7"/>
    <x v="0"/>
    <n v="0.108"/>
  </r>
  <r>
    <s v="MACHACHI"/>
    <x v="2"/>
    <x v="2"/>
    <x v="61"/>
    <s v="DULCE LCH KIOSKO VASO 250G"/>
    <n v="5184"/>
    <n v="1"/>
    <n v="0.25"/>
    <n v="180"/>
    <d v="2024-11-22T00:00:00"/>
    <s v="viernes"/>
    <d v="2024-11-22T00:00:00"/>
    <x v="88"/>
    <n v="174"/>
    <n v="0.96666666666666667"/>
    <n v="5184"/>
    <n v="1296"/>
    <n v="0"/>
    <n v="1"/>
    <n v="0.69541500000000001"/>
    <n v="0.69541500000000001"/>
    <n v="3605.0313599999999"/>
    <n v="5"/>
    <x v="0"/>
    <n v="1.296"/>
  </r>
  <r>
    <s v="MACHACHI"/>
    <x v="2"/>
    <x v="2"/>
    <x v="61"/>
    <s v="DULCE LCH KIOSKO VASO 250G"/>
    <n v="1200"/>
    <n v="1"/>
    <n v="0.25"/>
    <n v="180"/>
    <d v="2024-11-16T00:00:00"/>
    <s v="sábado"/>
    <d v="2024-11-16T00:00:00"/>
    <x v="89"/>
    <n v="168"/>
    <n v="0.93333333333333335"/>
    <n v="1200"/>
    <n v="300"/>
    <n v="0"/>
    <n v="1"/>
    <n v="0.69541500000000001"/>
    <n v="0.69541500000000001"/>
    <n v="834.49800000000005"/>
    <n v="11"/>
    <x v="0"/>
    <n v="0.3"/>
  </r>
  <r>
    <s v="MACHACHI"/>
    <x v="2"/>
    <x v="2"/>
    <x v="21"/>
    <s v="DULCE LCH KIOSKO VASO 500G"/>
    <n v="1088"/>
    <n v="1"/>
    <n v="0.5"/>
    <n v="180"/>
    <d v="2024-10-31T00:00:00"/>
    <s v="jueves"/>
    <d v="2024-10-31T00:00:00"/>
    <x v="32"/>
    <n v="152"/>
    <n v="0.84444444444444444"/>
    <n v="1088"/>
    <n v="544"/>
    <n v="0"/>
    <n v="1"/>
    <n v="1.3121100000000001"/>
    <n v="1.3121100000000001"/>
    <n v="1427.5756800000001"/>
    <n v="27"/>
    <x v="0"/>
    <n v="0.54400000000000004"/>
  </r>
  <r>
    <s v="MACHACHI"/>
    <x v="2"/>
    <x v="2"/>
    <x v="21"/>
    <s v="DULCE LCH KIOSKO VASO 500G"/>
    <n v="2520"/>
    <n v="1"/>
    <n v="0.5"/>
    <n v="180"/>
    <d v="2024-11-22T00:00:00"/>
    <s v="viernes"/>
    <d v="2024-11-22T00:00:00"/>
    <x v="88"/>
    <n v="174"/>
    <n v="0.96666666666666667"/>
    <n v="2520"/>
    <n v="1260"/>
    <n v="0"/>
    <n v="1"/>
    <n v="1.3121100000000001"/>
    <n v="1.3121100000000001"/>
    <n v="3306.5172000000002"/>
    <n v="5"/>
    <x v="0"/>
    <n v="1.26"/>
  </r>
  <r>
    <s v="MACHACHI"/>
    <x v="2"/>
    <x v="2"/>
    <x v="103"/>
    <s v="Q JAVIERINO KIOSKO RALLADO 1.5K"/>
    <n v="30"/>
    <n v="1"/>
    <n v="1.5"/>
    <n v="60"/>
    <d v="2024-11-13T00:00:00"/>
    <s v="miércoles"/>
    <d v="2024-11-13T00:00:00"/>
    <x v="46"/>
    <n v="45"/>
    <n v="0.75"/>
    <n v="30"/>
    <n v="45"/>
    <n v="0"/>
    <n v="1"/>
    <n v="10.255265"/>
    <n v="10.255265"/>
    <n v="307.65794999999997"/>
    <n v="14"/>
    <x v="0"/>
    <n v="4.4999999999999998E-2"/>
  </r>
  <r>
    <s v="MACHACHI"/>
    <x v="2"/>
    <x v="2"/>
    <x v="103"/>
    <s v="Q JAVIERINO KIOSKO RALLADO 1.5K"/>
    <n v="24"/>
    <n v="1"/>
    <n v="1.5"/>
    <n v="60"/>
    <d v="2024-11-06T00:00:00"/>
    <s v="miércoles"/>
    <d v="2024-11-06T00:00:00"/>
    <x v="13"/>
    <n v="38"/>
    <n v="0.6333333333333333"/>
    <n v="24"/>
    <n v="36"/>
    <n v="0"/>
    <n v="1"/>
    <n v="10.255265"/>
    <n v="10.255265"/>
    <n v="246.12635999999998"/>
    <n v="21"/>
    <x v="0"/>
    <n v="3.5999999999999997E-2"/>
  </r>
  <r>
    <s v="MACHACHI"/>
    <x v="2"/>
    <x v="2"/>
    <x v="103"/>
    <s v="Q JAVIERINO KIOSKO RALLADO 1.5K"/>
    <n v="100"/>
    <n v="1"/>
    <n v="1.5"/>
    <n v="60"/>
    <d v="2024-11-17T00:00:00"/>
    <s v="domingo"/>
    <d v="2024-11-17T00:00:00"/>
    <x v="75"/>
    <n v="49"/>
    <n v="0.81666666666666665"/>
    <n v="100"/>
    <n v="150"/>
    <n v="0"/>
    <n v="1"/>
    <n v="10.255265"/>
    <n v="10.255265"/>
    <n v="1025.5264999999999"/>
    <n v="10"/>
    <x v="0"/>
    <n v="0.15"/>
  </r>
  <r>
    <s v="MACHACHI"/>
    <x v="2"/>
    <x v="2"/>
    <x v="194"/>
    <s v="Q MOZZARELLA PIZZ KIOSKO RALLADO 1.5K"/>
    <n v="15"/>
    <n v="1"/>
    <n v="1.5"/>
    <n v="30"/>
    <d v="2024-11-23T00:00:00"/>
    <s v="sábado"/>
    <d v="2024-11-23T00:00:00"/>
    <x v="9"/>
    <n v="25"/>
    <n v="0.83333333333333337"/>
    <n v="15"/>
    <n v="22.5"/>
    <n v="0"/>
    <n v="1"/>
    <n v="9.0726650000000006"/>
    <n v="9.0726650000000006"/>
    <n v="136.08997500000001"/>
    <n v="4"/>
    <x v="1"/>
    <n v="2.2499999999999999E-2"/>
  </r>
  <r>
    <s v="MACHACHI"/>
    <x v="2"/>
    <x v="2"/>
    <x v="153"/>
    <s v="Q HOLANDES KIOSKO RALLADO 1500G"/>
    <n v="10"/>
    <n v="1"/>
    <n v="1.5"/>
    <n v="60"/>
    <d v="2024-11-13T00:00:00"/>
    <s v="miércoles"/>
    <d v="2024-11-13T00:00:00"/>
    <x v="46"/>
    <n v="45"/>
    <n v="0.75"/>
    <n v="10"/>
    <n v="15"/>
    <n v="0"/>
    <n v="1"/>
    <n v="10.058565"/>
    <n v="10.058565"/>
    <n v="100.58565"/>
    <n v="14"/>
    <x v="0"/>
    <n v="1.4999999999999999E-2"/>
  </r>
  <r>
    <s v="MACHACHI"/>
    <x v="2"/>
    <x v="2"/>
    <x v="153"/>
    <s v="Q HOLANDES KIOSKO RALLADO 1500G"/>
    <n v="3"/>
    <n v="1"/>
    <n v="1.5"/>
    <n v="60"/>
    <d v="2024-10-30T00:00:00"/>
    <s v="miércoles"/>
    <d v="2024-10-30T00:00:00"/>
    <x v="7"/>
    <n v="31"/>
    <n v="0.51666666666666672"/>
    <n v="3"/>
    <n v="4.5"/>
    <n v="0"/>
    <n v="1"/>
    <n v="10.058565"/>
    <n v="10.058565"/>
    <n v="30.175694999999997"/>
    <n v="28"/>
    <x v="0"/>
    <n v="4.4999999999999997E-3"/>
  </r>
  <r>
    <s v="MACHACHI"/>
    <x v="2"/>
    <x v="2"/>
    <x v="153"/>
    <s v="Q HOLANDES KIOSKO RALLADO 1500G"/>
    <n v="40"/>
    <n v="1"/>
    <n v="1.5"/>
    <n v="60"/>
    <d v="2024-11-17T00:00:00"/>
    <s v="domingo"/>
    <d v="2024-11-17T00:00:00"/>
    <x v="75"/>
    <n v="49"/>
    <n v="0.81666666666666665"/>
    <n v="40"/>
    <n v="60"/>
    <n v="0"/>
    <n v="1"/>
    <n v="10.058565"/>
    <n v="10.058565"/>
    <n v="402.3426"/>
    <n v="10"/>
    <x v="0"/>
    <n v="0.06"/>
  </r>
  <r>
    <s v="MACHACHI"/>
    <x v="2"/>
    <x v="2"/>
    <x v="153"/>
    <s v="Q HOLANDES KIOSKO RALLADO 1500G"/>
    <n v="5"/>
    <n v="1"/>
    <n v="1.5"/>
    <n v="60"/>
    <d v="2024-10-24T00:00:00"/>
    <s v="jueves"/>
    <d v="2024-10-24T00:00:00"/>
    <x v="9"/>
    <n v="25"/>
    <n v="0.41666666666666669"/>
    <n v="5"/>
    <n v="7.5"/>
    <n v="0"/>
    <n v="1"/>
    <n v="10.058565"/>
    <n v="10.058565"/>
    <n v="50.292825000000001"/>
    <n v="34"/>
    <x v="1"/>
    <n v="7.4999999999999997E-3"/>
  </r>
  <r>
    <s v="MACHACHI"/>
    <x v="2"/>
    <x v="2"/>
    <x v="169"/>
    <s v="QUESO KIOSKO HOLANDES LONJ 1KG AL PESO"/>
    <n v="5"/>
    <n v="1"/>
    <n v="1"/>
    <n v="90"/>
    <d v="2024-11-17T00:00:00"/>
    <s v="domingo"/>
    <d v="2024-11-17T00:00:00"/>
    <x v="90"/>
    <n v="79"/>
    <n v="0.87777777777777777"/>
    <n v="5"/>
    <n v="5"/>
    <n v="0"/>
    <n v="1"/>
    <n v="7.1624999999999996"/>
    <n v="7.1624999999999996"/>
    <n v="35.8125"/>
    <n v="10"/>
    <x v="0"/>
    <n v="5.0000000000000001E-3"/>
  </r>
  <r>
    <s v="MACHACHI"/>
    <x v="2"/>
    <x v="2"/>
    <x v="169"/>
    <s v="QUESO KIOSKO HOLANDES LONJ 1KG AL PESO"/>
    <n v="60"/>
    <n v="1"/>
    <n v="1"/>
    <n v="90"/>
    <d v="2024-11-23T00:00:00"/>
    <s v="sábado"/>
    <d v="2024-11-23T00:00:00"/>
    <x v="91"/>
    <n v="85"/>
    <n v="0.94444444444444442"/>
    <n v="60"/>
    <n v="60"/>
    <n v="0"/>
    <n v="1"/>
    <n v="7.1624999999999996"/>
    <n v="7.1624999999999996"/>
    <n v="429.75"/>
    <n v="4"/>
    <x v="0"/>
    <n v="0.06"/>
  </r>
  <r>
    <s v="MACHACHI"/>
    <x v="2"/>
    <x v="2"/>
    <x v="15"/>
    <s v="AVENA ORIGINAL VASO 250G ECU"/>
    <n v="10752"/>
    <n v="1"/>
    <n v="0.25"/>
    <n v="180"/>
    <d v="2024-10-23T00:00:00"/>
    <s v="miércoles"/>
    <d v="2024-10-23T00:00:00"/>
    <x v="64"/>
    <n v="144"/>
    <n v="0.8"/>
    <n v="10752"/>
    <n v="2688"/>
    <n v="0"/>
    <n v="1"/>
    <n v="0.391795"/>
    <n v="0.391795"/>
    <n v="4212.5798400000003"/>
    <n v="35"/>
    <x v="0"/>
    <n v="2.6880000000000002"/>
  </r>
  <r>
    <s v="MACHACHI"/>
    <x v="2"/>
    <x v="2"/>
    <x v="15"/>
    <s v="AVENA ORIGINAL VASO 250G ECU"/>
    <n v="30708"/>
    <n v="1"/>
    <n v="0.25"/>
    <n v="180"/>
    <d v="2024-10-31T00:00:00"/>
    <s v="jueves"/>
    <d v="2024-10-31T00:00:00"/>
    <x v="32"/>
    <n v="152"/>
    <n v="0.84444444444444444"/>
    <n v="30708"/>
    <n v="7677"/>
    <n v="0"/>
    <n v="1"/>
    <n v="0.391795"/>
    <n v="0.391795"/>
    <n v="12031.24086"/>
    <n v="27"/>
    <x v="0"/>
    <n v="7.6769999999999996"/>
  </r>
  <r>
    <s v="MACHACHI"/>
    <x v="2"/>
    <x v="2"/>
    <x v="99"/>
    <s v="AVENA CANELA VASO 250G ECU"/>
    <n v="37632"/>
    <n v="1"/>
    <n v="0.25"/>
    <n v="180"/>
    <d v="2024-11-03T00:00:00"/>
    <s v="domingo"/>
    <d v="2024-11-03T00:00:00"/>
    <x v="92"/>
    <n v="155"/>
    <n v="0.86111111111111116"/>
    <n v="37632"/>
    <n v="9408"/>
    <n v="0"/>
    <n v="1"/>
    <n v="0.40961000000000003"/>
    <n v="0.40961000000000003"/>
    <n v="15414.443520000001"/>
    <n v="24"/>
    <x v="0"/>
    <n v="9.4079999999999995"/>
  </r>
  <r>
    <s v="MACHACHI"/>
    <x v="2"/>
    <x v="2"/>
    <x v="99"/>
    <s v="AVENA CANELA VASO 250G ECU"/>
    <n v="864"/>
    <n v="1"/>
    <n v="0.25"/>
    <n v="180"/>
    <d v="2024-11-18T00:00:00"/>
    <s v="lunes"/>
    <d v="2024-11-18T00:00:00"/>
    <x v="93"/>
    <n v="170"/>
    <n v="0.94444444444444442"/>
    <n v="864"/>
    <n v="216"/>
    <n v="0"/>
    <n v="1"/>
    <n v="0.40961000000000003"/>
    <n v="0.40961000000000003"/>
    <n v="353.90304000000003"/>
    <n v="9"/>
    <x v="0"/>
    <n v="0.216"/>
  </r>
  <r>
    <s v="MACHACHI"/>
    <x v="2"/>
    <x v="2"/>
    <x v="108"/>
    <s v="AVENA FINESSE VASO 250G ECU"/>
    <n v="16656"/>
    <n v="1"/>
    <n v="0.25"/>
    <n v="180"/>
    <d v="2024-10-23T00:00:00"/>
    <s v="miércoles"/>
    <d v="2024-10-23T00:00:00"/>
    <x v="64"/>
    <n v="144"/>
    <n v="0.8"/>
    <n v="16656"/>
    <n v="4164"/>
    <n v="0"/>
    <n v="1"/>
    <n v="0.35793999999999998"/>
    <n v="0.35793999999999998"/>
    <n v="5961.8486399999992"/>
    <n v="35"/>
    <x v="0"/>
    <n v="4.1639999999999997"/>
  </r>
  <r>
    <s v="MACHACHI"/>
    <x v="2"/>
    <x v="2"/>
    <x v="85"/>
    <s v="MPLX6 AVENA ORIG VASO 250G"/>
    <n v="87"/>
    <n v="1"/>
    <n v="1.5"/>
    <n v="180"/>
    <d v="2024-10-18T00:00:00"/>
    <s v="viernes"/>
    <d v="2024-10-18T00:00:00"/>
    <x v="27"/>
    <n v="139"/>
    <n v="0.77222222222222225"/>
    <n v="87"/>
    <n v="130.5"/>
    <n v="0"/>
    <n v="1"/>
    <n v="2.4714"/>
    <n v="2.4714"/>
    <n v="215.01179999999999"/>
    <n v="40"/>
    <x v="0"/>
    <n v="0.1305"/>
  </r>
  <r>
    <s v="MACHACHI"/>
    <x v="2"/>
    <x v="2"/>
    <x v="85"/>
    <s v="MPLX6 AVENA ORIG VASO 250G"/>
    <n v="7"/>
    <n v="1"/>
    <n v="1.5"/>
    <n v="180"/>
    <d v="2024-09-10T00:00:00"/>
    <s v="martes"/>
    <d v="2024-09-10T00:00:00"/>
    <x v="26"/>
    <n v="101"/>
    <n v="0.56111111111111112"/>
    <n v="7"/>
    <n v="10.5"/>
    <n v="0"/>
    <n v="1"/>
    <n v="2.4714"/>
    <n v="2.4714"/>
    <n v="17.299800000000001"/>
    <n v="78"/>
    <x v="0"/>
    <n v="1.0500000000000001E-2"/>
  </r>
  <r>
    <s v="MACHACHI"/>
    <x v="2"/>
    <x v="2"/>
    <x v="85"/>
    <s v="MPLX6 AVENA ORIG VASO 250G"/>
    <n v="784"/>
    <n v="1"/>
    <n v="1.5"/>
    <n v="180"/>
    <d v="2024-10-31T00:00:00"/>
    <s v="jueves"/>
    <d v="2024-10-31T00:00:00"/>
    <x v="32"/>
    <n v="152"/>
    <n v="0.84444444444444444"/>
    <n v="784"/>
    <n v="1176"/>
    <n v="0"/>
    <n v="1"/>
    <n v="2.4714"/>
    <n v="2.4714"/>
    <n v="1937.5776000000001"/>
    <n v="27"/>
    <x v="0"/>
    <n v="1.1759999999999999"/>
  </r>
  <r>
    <s v="MACHACHI"/>
    <x v="2"/>
    <x v="2"/>
    <x v="136"/>
    <s v="MPLX4 AVENA CAN VASO 250G"/>
    <n v="442"/>
    <n v="1"/>
    <n v="1"/>
    <n v="180"/>
    <d v="2024-10-19T00:00:00"/>
    <s v="sábado"/>
    <d v="2024-10-19T00:00:00"/>
    <x v="73"/>
    <n v="140"/>
    <n v="0.77777777777777779"/>
    <n v="442"/>
    <n v="442"/>
    <n v="0"/>
    <n v="1"/>
    <n v="1.795145"/>
    <n v="1.795145"/>
    <n v="793.45408999999995"/>
    <n v="39"/>
    <x v="0"/>
    <n v="0.442"/>
  </r>
  <r>
    <s v="MACHACHI"/>
    <x v="2"/>
    <x v="2"/>
    <x v="112"/>
    <s v="MPLX6 AVENA FINESSE VASO 250G"/>
    <n v="179"/>
    <n v="1"/>
    <n v="1.5"/>
    <n v="180"/>
    <d v="2024-10-23T00:00:00"/>
    <s v="miércoles"/>
    <d v="2024-10-23T00:00:00"/>
    <x v="64"/>
    <n v="144"/>
    <n v="0.8"/>
    <n v="179"/>
    <n v="268.5"/>
    <n v="0"/>
    <n v="1"/>
    <n v="2.2748600000000003"/>
    <n v="2.2748600000000003"/>
    <n v="407.19994000000008"/>
    <n v="35"/>
    <x v="0"/>
    <n v="0.26850000000000002"/>
  </r>
  <r>
    <s v="MACHACHI"/>
    <x v="2"/>
    <x v="2"/>
    <x v="112"/>
    <s v="MPLX6 AVENA FINESSE VASO 250G"/>
    <n v="8"/>
    <n v="1"/>
    <n v="1.5"/>
    <n v="180"/>
    <d v="2024-09-26T00:00:00"/>
    <s v="jueves"/>
    <d v="2024-09-26T00:00:00"/>
    <x v="77"/>
    <n v="117"/>
    <n v="0.65"/>
    <n v="8"/>
    <n v="12"/>
    <n v="0"/>
    <n v="1"/>
    <n v="2.2748600000000003"/>
    <n v="2.2748600000000003"/>
    <n v="18.198880000000003"/>
    <n v="62"/>
    <x v="0"/>
    <n v="1.2E-2"/>
  </r>
  <r>
    <s v="MACHACHI"/>
    <x v="2"/>
    <x v="2"/>
    <x v="102"/>
    <s v="FOURPACK AREQUIPE Y PRETZELS 75 GR"/>
    <n v="46"/>
    <n v="1"/>
    <n v="0.3"/>
    <n v="180"/>
    <d v="2024-10-02T00:00:00"/>
    <s v="miércoles"/>
    <d v="2024-10-02T00:00:00"/>
    <x v="71"/>
    <n v="123"/>
    <n v="0.68333333333333335"/>
    <n v="46"/>
    <n v="13.799999999999999"/>
    <n v="0"/>
    <n v="1"/>
    <n v="2.5274799999999997"/>
    <n v="2.5274799999999997"/>
    <n v="116.26407999999999"/>
    <n v="56"/>
    <x v="0"/>
    <n v="1.38E-2"/>
  </r>
  <r>
    <s v="MACHACHI"/>
    <x v="2"/>
    <x v="2"/>
    <x v="102"/>
    <s v="FOURPACK AREQUIPE Y PRETZELS 75 GR"/>
    <n v="150"/>
    <n v="1"/>
    <n v="0.3"/>
    <n v="180"/>
    <d v="2024-10-23T00:00:00"/>
    <s v="miércoles"/>
    <d v="2024-10-23T00:00:00"/>
    <x v="64"/>
    <n v="144"/>
    <n v="0.8"/>
    <n v="150"/>
    <n v="45"/>
    <n v="0"/>
    <n v="1"/>
    <n v="2.5274799999999997"/>
    <n v="2.5274799999999997"/>
    <n v="379.12199999999996"/>
    <n v="35"/>
    <x v="0"/>
    <n v="4.4999999999999998E-2"/>
  </r>
  <r>
    <s v="MACHACHI"/>
    <x v="2"/>
    <x v="2"/>
    <x v="102"/>
    <s v="FOURPACK AREQUIPE Y PRETZELS 75 GR"/>
    <n v="135"/>
    <n v="1"/>
    <n v="0.3"/>
    <n v="180"/>
    <d v="2024-10-23T00:00:00"/>
    <s v="miércoles"/>
    <d v="2024-10-23T00:00:00"/>
    <x v="64"/>
    <n v="144"/>
    <n v="0.8"/>
    <n v="135"/>
    <n v="40.5"/>
    <n v="0"/>
    <n v="1"/>
    <n v="2.5274799999999997"/>
    <n v="2.5274799999999997"/>
    <n v="341.20979999999997"/>
    <n v="35"/>
    <x v="0"/>
    <n v="4.0500000000000001E-2"/>
  </r>
  <r>
    <s v="MACHACHI"/>
    <x v="2"/>
    <x v="2"/>
    <x v="94"/>
    <s v="AREQUIPE Y PRETZEL STICKS 75 GRAMOS"/>
    <n v="2180"/>
    <n v="1"/>
    <n v="7.4999999999999997E-2"/>
    <n v="180"/>
    <d v="2024-11-01T00:00:00"/>
    <s v="viernes"/>
    <d v="2024-11-01T00:00:00"/>
    <x v="69"/>
    <n v="153"/>
    <n v="0.85"/>
    <n v="2180"/>
    <n v="163.5"/>
    <n v="0"/>
    <n v="1"/>
    <n v="0.61960000000000004"/>
    <n v="0.61960000000000004"/>
    <n v="1350.7280000000001"/>
    <n v="26"/>
    <x v="0"/>
    <n v="0.16350000000000001"/>
  </r>
  <r>
    <s v="MACHACHI"/>
    <x v="2"/>
    <x v="2"/>
    <x v="68"/>
    <s v="CREMA DE LECHE ALPINA 200G"/>
    <n v="16800"/>
    <n v="1"/>
    <n v="0.2"/>
    <n v="70"/>
    <d v="2024-11-13T00:00:00"/>
    <s v="miércoles"/>
    <d v="2024-11-13T00:00:00"/>
    <x v="59"/>
    <n v="55"/>
    <n v="0.7857142857142857"/>
    <n v="16800"/>
    <n v="3360"/>
    <n v="0"/>
    <n v="1"/>
    <n v="0.59135000000000004"/>
    <n v="0.59135000000000004"/>
    <n v="9934.68"/>
    <n v="14"/>
    <x v="0"/>
    <n v="3.36"/>
  </r>
  <r>
    <s v="MACHACHI"/>
    <x v="2"/>
    <x v="2"/>
    <x v="68"/>
    <s v="CREMA DE LECHE ALPINA 200G"/>
    <n v="2450"/>
    <n v="1"/>
    <n v="0.2"/>
    <n v="70"/>
    <d v="2024-11-09T00:00:00"/>
    <s v="sábado"/>
    <d v="2024-11-09T00:00:00"/>
    <x v="94"/>
    <n v="51"/>
    <n v="0.72857142857142854"/>
    <n v="2450"/>
    <n v="490"/>
    <n v="0"/>
    <n v="1"/>
    <n v="0.59135000000000004"/>
    <n v="0.59135000000000004"/>
    <n v="1448.8075000000001"/>
    <n v="18"/>
    <x v="0"/>
    <n v="0.49"/>
  </r>
  <r>
    <s v="MACHACHI"/>
    <x v="2"/>
    <x v="2"/>
    <x v="68"/>
    <s v="CREMA DE LECHE ALPINA 200G"/>
    <n v="26178"/>
    <n v="1"/>
    <n v="0.2"/>
    <n v="70"/>
    <d v="2024-11-18T00:00:00"/>
    <s v="lunes"/>
    <d v="2024-11-18T00:00:00"/>
    <x v="14"/>
    <n v="60"/>
    <n v="0.8571428571428571"/>
    <n v="26178"/>
    <n v="5235.6000000000004"/>
    <n v="0"/>
    <n v="1"/>
    <n v="0.59135000000000004"/>
    <n v="0.59135000000000004"/>
    <n v="15480.3603"/>
    <n v="9"/>
    <x v="0"/>
    <n v="5.2356000000000007"/>
  </r>
  <r>
    <s v="MACHACHI"/>
    <x v="2"/>
    <x v="2"/>
    <x v="197"/>
    <s v="QUESO MOZARELLA LIGHT KIOSKO 35 G"/>
    <n v="174"/>
    <n v="1"/>
    <n v="3.5000000000000003E-2"/>
    <n v="40"/>
    <d v="2024-11-14T00:00:00"/>
    <s v="jueves"/>
    <d v="2024-11-14T00:00:00"/>
    <x v="6"/>
    <n v="26"/>
    <n v="0.65"/>
    <n v="174"/>
    <n v="6.0900000000000007"/>
    <n v="0"/>
    <n v="1"/>
    <n v="0.228385"/>
    <n v="0.228385"/>
    <n v="39.738990000000001"/>
    <n v="13"/>
    <x v="1"/>
    <n v="6.0900000000000008E-3"/>
  </r>
  <r>
    <s v="MACHACHI"/>
    <x v="2"/>
    <x v="2"/>
    <x v="197"/>
    <s v="QUESO MOZARELLA LIGHT KIOSKO 35 G"/>
    <n v="540"/>
    <n v="1"/>
    <n v="3.5000000000000003E-2"/>
    <n v="40"/>
    <d v="2024-11-19T00:00:00"/>
    <s v="martes"/>
    <d v="2024-11-19T00:00:00"/>
    <x v="7"/>
    <n v="31"/>
    <n v="0.77500000000000002"/>
    <n v="540"/>
    <n v="18.900000000000002"/>
    <n v="0"/>
    <n v="1"/>
    <n v="0.228385"/>
    <n v="0.228385"/>
    <n v="123.3279"/>
    <n v="8"/>
    <x v="0"/>
    <n v="1.8900000000000004E-2"/>
  </r>
  <r>
    <s v="MACHACHI"/>
    <x v="2"/>
    <x v="2"/>
    <x v="157"/>
    <s v="YOG FNSSE SBILA BOT 1670G"/>
    <n v="4"/>
    <n v="1"/>
    <n v="1.67"/>
    <n v="45"/>
    <d v="2024-10-25T00:00:00"/>
    <s v="viernes"/>
    <d v="2024-10-25T00:00:00"/>
    <x v="53"/>
    <n v="11"/>
    <n v="0.24444444444444444"/>
    <n v="4"/>
    <n v="6.68"/>
    <n v="0"/>
    <n v="1"/>
    <n v="2.4703599999999999"/>
    <n v="2.4703599999999999"/>
    <n v="9.8814399999999996"/>
    <n v="33"/>
    <x v="2"/>
    <n v="6.6799999999999993E-3"/>
  </r>
  <r>
    <s v="MACHACHI"/>
    <x v="2"/>
    <x v="2"/>
    <x v="157"/>
    <s v="YOG FNSSE SBILA BOT 1670G"/>
    <n v="8"/>
    <n v="1"/>
    <n v="1.67"/>
    <n v="45"/>
    <d v="2024-10-31T00:00:00"/>
    <s v="jueves"/>
    <d v="2024-10-31T00:00:00"/>
    <x v="10"/>
    <n v="17"/>
    <n v="0.37777777777777777"/>
    <n v="8"/>
    <n v="13.36"/>
    <n v="0"/>
    <n v="1"/>
    <n v="2.4703599999999999"/>
    <n v="2.4703599999999999"/>
    <n v="19.762879999999999"/>
    <n v="27"/>
    <x v="2"/>
    <n v="1.3359999999999999E-2"/>
  </r>
  <r>
    <s v="MACHACHI"/>
    <x v="2"/>
    <x v="2"/>
    <x v="89"/>
    <s v="YOG FINESSE NATURAL 1650G"/>
    <n v="56"/>
    <n v="1"/>
    <n v="1.65"/>
    <n v="45"/>
    <d v="2024-10-23T00:00:00"/>
    <s v="miércoles"/>
    <d v="2024-10-23T00:00:00"/>
    <x v="66"/>
    <n v="9"/>
    <n v="0.2"/>
    <n v="56"/>
    <n v="92.399999999999991"/>
    <n v="0"/>
    <n v="1"/>
    <n v="1.9335450000000001"/>
    <n v="1.9335450000000001"/>
    <n v="108.27852"/>
    <n v="35"/>
    <x v="2"/>
    <n v="9.2399999999999996E-2"/>
  </r>
  <r>
    <s v="MACHACHI"/>
    <x v="2"/>
    <x v="2"/>
    <x v="89"/>
    <s v="YOG FINESSE NATURAL 1650G"/>
    <n v="5"/>
    <n v="1"/>
    <n v="1.65"/>
    <n v="45"/>
    <d v="2024-10-30T00:00:00"/>
    <s v="miércoles"/>
    <d v="2024-10-30T00:00:00"/>
    <x v="41"/>
    <n v="16"/>
    <n v="0.35555555555555557"/>
    <n v="5"/>
    <n v="8.25"/>
    <n v="0"/>
    <n v="1"/>
    <n v="1.9335450000000001"/>
    <n v="1.9335450000000001"/>
    <n v="9.6677250000000008"/>
    <n v="28"/>
    <x v="2"/>
    <n v="8.2500000000000004E-3"/>
  </r>
  <r>
    <s v="MACHACHI"/>
    <x v="2"/>
    <x v="2"/>
    <x v="89"/>
    <s v="YOG FINESSE NATURAL 1650G"/>
    <n v="8"/>
    <n v="1"/>
    <n v="1.65"/>
    <n v="45"/>
    <d v="2024-11-04T00:00:00"/>
    <s v="lunes"/>
    <d v="2024-11-04T00:00:00"/>
    <x v="45"/>
    <n v="21"/>
    <n v="0.46666666666666667"/>
    <n v="8"/>
    <n v="13.2"/>
    <n v="0"/>
    <n v="1"/>
    <n v="1.9335450000000001"/>
    <n v="1.9335450000000001"/>
    <n v="15.468360000000001"/>
    <n v="23"/>
    <x v="2"/>
    <n v="1.32E-2"/>
  </r>
  <r>
    <s v="MACHACHI"/>
    <x v="2"/>
    <x v="2"/>
    <x v="42"/>
    <s v="YOG FNSSE VAINILLA 180"/>
    <n v="289"/>
    <n v="1"/>
    <n v="0.18"/>
    <n v="45"/>
    <d v="2024-10-31T00:00:00"/>
    <s v="jueves"/>
    <d v="2024-10-31T00:00:00"/>
    <x v="10"/>
    <n v="17"/>
    <n v="0.37777777777777777"/>
    <n v="289"/>
    <n v="52.019999999999996"/>
    <n v="0"/>
    <n v="1"/>
    <n v="0.286325"/>
    <n v="0.286325"/>
    <n v="82.747924999999995"/>
    <n v="27"/>
    <x v="2"/>
    <n v="5.2019999999999997E-2"/>
  </r>
  <r>
    <s v="MACHACHI"/>
    <x v="2"/>
    <x v="2"/>
    <x v="217"/>
    <s v="MPX4 YOG FNSSE MULTSAB BOT 180G"/>
    <n v="3"/>
    <n v="1"/>
    <n v="0.72"/>
    <n v="45"/>
    <d v="2024-10-31T00:00:00"/>
    <s v="jueves"/>
    <d v="2024-10-31T00:00:00"/>
    <x v="10"/>
    <n v="17"/>
    <n v="0.37777777777777777"/>
    <n v="3"/>
    <n v="2.16"/>
    <n v="0"/>
    <n v="1"/>
    <n v="1.325315"/>
    <n v="1.325315"/>
    <n v="3.9759450000000003"/>
    <n v="27"/>
    <x v="2"/>
    <n v="2.16E-3"/>
  </r>
  <r>
    <s v="MACHACHI"/>
    <x v="2"/>
    <x v="2"/>
    <x v="217"/>
    <s v="MPX4 YOG FNSSE MULTSAB BOT 180G"/>
    <n v="4"/>
    <n v="1"/>
    <n v="0.72"/>
    <n v="45"/>
    <d v="2024-11-22T00:00:00"/>
    <s v="viernes"/>
    <d v="2024-11-22T00:00:00"/>
    <x v="50"/>
    <n v="39"/>
    <n v="0.8666666666666667"/>
    <n v="4"/>
    <n v="2.88"/>
    <n v="0"/>
    <n v="1"/>
    <n v="1.325315"/>
    <n v="1.325315"/>
    <n v="5.3012600000000001"/>
    <n v="5"/>
    <x v="0"/>
    <n v="2.8799999999999997E-3"/>
  </r>
  <r>
    <s v="MACHACHI"/>
    <x v="2"/>
    <x v="2"/>
    <x v="160"/>
    <s v="MPX6 YOG BBLE KID KK MULTSAB BOT 120G"/>
    <n v="1179"/>
    <n v="1"/>
    <n v="0.72"/>
    <n v="45"/>
    <d v="2024-12-27T00:00:00"/>
    <s v="viernes"/>
    <d v="2024-12-27T00:00:00"/>
    <x v="18"/>
    <n v="74"/>
    <n v="1.6444444444444444"/>
    <n v="1179"/>
    <n v="848.88"/>
    <n v="0"/>
    <n v="1"/>
    <n v="1.6533599999999999"/>
    <n v="1.6533599999999999"/>
    <n v="1949.3114399999999"/>
    <n v="-30"/>
    <x v="0"/>
    <n v="0.84887999999999997"/>
  </r>
  <r>
    <s v="MACHACHI"/>
    <x v="2"/>
    <x v="2"/>
    <x v="149"/>
    <s v="MPLX6 RGN TZOS MULTSAB VASO 150G"/>
    <n v="13"/>
    <n v="1"/>
    <n v="0.9"/>
    <n v="45"/>
    <d v="2024-10-30T00:00:00"/>
    <s v="miércoles"/>
    <d v="2024-10-30T00:00:00"/>
    <x v="41"/>
    <n v="16"/>
    <n v="0.35555555555555557"/>
    <n v="13"/>
    <n v="11.700000000000001"/>
    <n v="0"/>
    <n v="1"/>
    <n v="1.50911"/>
    <n v="1.50911"/>
    <n v="19.61843"/>
    <n v="28"/>
    <x v="2"/>
    <n v="1.17E-2"/>
  </r>
  <r>
    <s v="MACHACHI"/>
    <x v="2"/>
    <x v="2"/>
    <x v="149"/>
    <s v="MPLX6 RGN TZOS MULTSAB VASO 150G"/>
    <n v="115"/>
    <n v="1"/>
    <n v="0.9"/>
    <n v="45"/>
    <d v="2024-11-23T00:00:00"/>
    <s v="sábado"/>
    <d v="2024-11-23T00:00:00"/>
    <x v="67"/>
    <n v="40"/>
    <n v="0.88888888888888884"/>
    <n v="115"/>
    <n v="103.5"/>
    <n v="0"/>
    <n v="1"/>
    <n v="1.50911"/>
    <n v="1.50911"/>
    <n v="173.54765"/>
    <n v="4"/>
    <x v="0"/>
    <n v="0.10349999999999999"/>
  </r>
  <r>
    <s v="MACHACHI"/>
    <x v="2"/>
    <x v="2"/>
    <x v="176"/>
    <s v="MPLX4 BY BLCK VASO 165G"/>
    <n v="629"/>
    <n v="1"/>
    <n v="0.66"/>
    <n v="45"/>
    <d v="2024-11-24T00:00:00"/>
    <s v="domingo"/>
    <d v="2024-11-24T00:00:00"/>
    <x v="95"/>
    <n v="41"/>
    <n v="0.91111111111111109"/>
    <n v="629"/>
    <n v="415.14000000000004"/>
    <n v="0"/>
    <n v="1"/>
    <n v="1.3975849999999999"/>
    <n v="1.3975849999999999"/>
    <n v="879.08096499999988"/>
    <n v="3"/>
    <x v="0"/>
    <n v="0.41514000000000006"/>
  </r>
  <r>
    <s v="MACHACHI"/>
    <x v="2"/>
    <x v="2"/>
    <x v="218"/>
    <s v="MPLX4 RGN TZOS MULTSAB VASO 150G"/>
    <n v="34"/>
    <n v="1"/>
    <n v="0.6"/>
    <n v="45"/>
    <d v="2024-11-16T00:00:00"/>
    <s v="sábado"/>
    <d v="2024-11-16T00:00:00"/>
    <x v="3"/>
    <n v="33"/>
    <n v="0.73333333333333328"/>
    <n v="34"/>
    <n v="20.399999999999999"/>
    <n v="0"/>
    <n v="1"/>
    <n v="1.0306549999999999"/>
    <n v="1.0306549999999999"/>
    <n v="35.042269999999995"/>
    <n v="11"/>
    <x v="0"/>
    <n v="2.0399999999999998E-2"/>
  </r>
  <r>
    <s v="MACHACHI"/>
    <x v="2"/>
    <x v="2"/>
    <x v="218"/>
    <s v="MPLX4 RGN TZOS MULTSAB VASO 150G"/>
    <n v="214"/>
    <n v="1"/>
    <n v="0.6"/>
    <n v="45"/>
    <d v="2024-11-23T00:00:00"/>
    <s v="sábado"/>
    <d v="2024-11-23T00:00:00"/>
    <x v="67"/>
    <n v="40"/>
    <n v="0.88888888888888884"/>
    <n v="214"/>
    <n v="128.4"/>
    <n v="0"/>
    <n v="1"/>
    <n v="1.0306549999999999"/>
    <n v="1.0306549999999999"/>
    <n v="220.56016999999997"/>
    <n v="4"/>
    <x v="0"/>
    <n v="0.12840000000000001"/>
  </r>
  <r>
    <s v="MACHACHI"/>
    <x v="2"/>
    <x v="2"/>
    <x v="218"/>
    <s v="MPLX4 RGN TZOS MULTSAB VASO 150G"/>
    <n v="19"/>
    <n v="1"/>
    <n v="0.6"/>
    <n v="45"/>
    <d v="2024-10-30T00:00:00"/>
    <s v="miércoles"/>
    <d v="2024-10-30T00:00:00"/>
    <x v="41"/>
    <n v="16"/>
    <n v="0.35555555555555557"/>
    <n v="19"/>
    <n v="11.4"/>
    <n v="0"/>
    <n v="1"/>
    <n v="1.0306549999999999"/>
    <n v="1.0306549999999999"/>
    <n v="19.582444999999996"/>
    <n v="28"/>
    <x v="2"/>
    <n v="1.14E-2"/>
  </r>
  <r>
    <s v="MACHACHI"/>
    <x v="2"/>
    <x v="2"/>
    <x v="164"/>
    <s v="MPLX4 BY MULTSAB VASO ECU"/>
    <n v="16"/>
    <n v="1"/>
    <n v="0.68"/>
    <n v="45"/>
    <d v="2024-11-15T00:00:00"/>
    <s v="viernes"/>
    <d v="2024-11-15T00:00:00"/>
    <x v="0"/>
    <n v="32"/>
    <n v="0.71111111111111114"/>
    <n v="16"/>
    <n v="10.88"/>
    <n v="0"/>
    <n v="1"/>
    <n v="1.3252700000000002"/>
    <n v="1.3252700000000002"/>
    <n v="21.204320000000003"/>
    <n v="12"/>
    <x v="0"/>
    <n v="1.0880000000000001E-2"/>
  </r>
  <r>
    <s v="MACHACHI"/>
    <x v="2"/>
    <x v="2"/>
    <x v="164"/>
    <s v="MPLX4 BY MULTSAB VASO ECU"/>
    <n v="413"/>
    <n v="1"/>
    <n v="0.68"/>
    <n v="45"/>
    <d v="2024-11-23T00:00:00"/>
    <s v="sábado"/>
    <d v="2024-11-23T00:00:00"/>
    <x v="67"/>
    <n v="40"/>
    <n v="0.88888888888888884"/>
    <n v="413"/>
    <n v="280.84000000000003"/>
    <n v="0"/>
    <n v="1"/>
    <n v="1.3252700000000002"/>
    <n v="1.3252700000000002"/>
    <n v="547.33651000000009"/>
    <n v="4"/>
    <x v="0"/>
    <n v="0.28084000000000003"/>
  </r>
  <r>
    <s v="MACHACHI"/>
    <x v="2"/>
    <x v="2"/>
    <x v="90"/>
    <s v="MPLX4 RGN LGHT FTLLA BOT 180G"/>
    <n v="24"/>
    <n v="1"/>
    <n v="0.72"/>
    <n v="45"/>
    <d v="2024-11-06T00:00:00"/>
    <s v="miércoles"/>
    <d v="2024-11-06T00:00:00"/>
    <x v="11"/>
    <n v="23"/>
    <n v="0.51111111111111107"/>
    <n v="24"/>
    <n v="17.28"/>
    <n v="0"/>
    <n v="1"/>
    <n v="1.235225"/>
    <n v="1.235225"/>
    <n v="29.645400000000002"/>
    <n v="21"/>
    <x v="1"/>
    <n v="1.728E-2"/>
  </r>
  <r>
    <s v="MACHACHI"/>
    <x v="2"/>
    <x v="2"/>
    <x v="90"/>
    <s v="MPLX4 RGN LGHT FTLLA BOT 180G"/>
    <n v="5"/>
    <n v="1"/>
    <n v="0.72"/>
    <n v="45"/>
    <d v="2024-11-26T00:00:00"/>
    <s v="martes"/>
    <d v="2024-11-26T00:00:00"/>
    <x v="72"/>
    <n v="43"/>
    <n v="0.9555555555555556"/>
    <n v="5"/>
    <n v="3.5999999999999996"/>
    <n v="0"/>
    <n v="1"/>
    <n v="1.235225"/>
    <n v="1.235225"/>
    <n v="6.1761249999999999"/>
    <n v="1"/>
    <x v="0"/>
    <n v="3.5999999999999995E-3"/>
  </r>
  <r>
    <s v="MACHACHI"/>
    <x v="2"/>
    <x v="2"/>
    <x v="203"/>
    <s v="MPLX4 BY MULTSAB VASO"/>
    <n v="3"/>
    <n v="1"/>
    <n v="0.66500000000000004"/>
    <n v="45"/>
    <d v="2024-11-16T00:00:00"/>
    <s v="sábado"/>
    <d v="2024-11-16T00:00:00"/>
    <x v="3"/>
    <n v="33"/>
    <n v="0.73333333333333328"/>
    <n v="3"/>
    <n v="1.9950000000000001"/>
    <n v="0"/>
    <n v="1"/>
    <n v="1.5265749999999998"/>
    <n v="1.5265749999999998"/>
    <n v="4.5797249999999998"/>
    <n v="11"/>
    <x v="0"/>
    <n v="1.9950000000000002E-3"/>
  </r>
  <r>
    <s v="MACHACHI"/>
    <x v="2"/>
    <x v="2"/>
    <x v="203"/>
    <s v="MPLX4 BY MULTSAB VASO"/>
    <n v="3"/>
    <n v="1"/>
    <n v="0.66500000000000004"/>
    <n v="45"/>
    <d v="2024-11-08T00:00:00"/>
    <s v="viernes"/>
    <d v="2024-11-08T00:00:00"/>
    <x v="9"/>
    <n v="25"/>
    <n v="0.55555555555555558"/>
    <n v="3"/>
    <n v="1.9950000000000001"/>
    <n v="0"/>
    <n v="1"/>
    <n v="1.5265749999999998"/>
    <n v="1.5265749999999998"/>
    <n v="4.5797249999999998"/>
    <n v="19"/>
    <x v="1"/>
    <n v="1.9950000000000002E-3"/>
  </r>
  <r>
    <s v="MACHACHI"/>
    <x v="2"/>
    <x v="2"/>
    <x v="203"/>
    <s v="MPLX4 BY MULTSAB VASO"/>
    <n v="18"/>
    <n v="1"/>
    <n v="0.66500000000000004"/>
    <n v="45"/>
    <d v="2024-11-23T00:00:00"/>
    <s v="sábado"/>
    <d v="2024-11-23T00:00:00"/>
    <x v="67"/>
    <n v="40"/>
    <n v="0.88888888888888884"/>
    <n v="18"/>
    <n v="11.97"/>
    <n v="0"/>
    <n v="1"/>
    <n v="1.5265749999999998"/>
    <n v="1.5265749999999998"/>
    <n v="27.478349999999995"/>
    <n v="4"/>
    <x v="0"/>
    <n v="1.1970000000000001E-2"/>
  </r>
  <r>
    <s v="MACHACHI"/>
    <x v="2"/>
    <x v="2"/>
    <x v="156"/>
    <s v="MPLX4 BY NEON VASO 170G"/>
    <n v="4"/>
    <n v="1"/>
    <n v="0.68"/>
    <n v="45"/>
    <d v="2024-11-16T00:00:00"/>
    <s v="sábado"/>
    <d v="2024-11-16T00:00:00"/>
    <x v="3"/>
    <n v="33"/>
    <n v="0.73333333333333328"/>
    <n v="4"/>
    <n v="2.72"/>
    <n v="0"/>
    <n v="1"/>
    <n v="1.6522000000000001"/>
    <n v="1.6522000000000001"/>
    <n v="6.6088000000000005"/>
    <n v="11"/>
    <x v="0"/>
    <n v="2.7200000000000002E-3"/>
  </r>
  <r>
    <s v="MACHACHI"/>
    <x v="2"/>
    <x v="2"/>
    <x v="156"/>
    <s v="MPLX4 BY NEON VASO 170G"/>
    <n v="50"/>
    <n v="1"/>
    <n v="0.68"/>
    <n v="45"/>
    <d v="2024-11-19T00:00:00"/>
    <s v="martes"/>
    <d v="2024-11-19T00:00:00"/>
    <x v="8"/>
    <n v="36"/>
    <n v="0.8"/>
    <n v="50"/>
    <n v="34"/>
    <n v="0"/>
    <n v="1"/>
    <n v="1.6522000000000001"/>
    <n v="1.6522000000000001"/>
    <n v="82.61"/>
    <n v="8"/>
    <x v="0"/>
    <n v="3.4000000000000002E-2"/>
  </r>
  <r>
    <s v="MACHACHI"/>
    <x v="2"/>
    <x v="2"/>
    <x v="156"/>
    <s v="MPLX4 BY NEON VASO 170G"/>
    <n v="2"/>
    <n v="1"/>
    <n v="0.68"/>
    <n v="45"/>
    <d v="2024-11-09T00:00:00"/>
    <s v="sábado"/>
    <d v="2024-11-09T00:00:00"/>
    <x v="6"/>
    <n v="26"/>
    <n v="0.57777777777777772"/>
    <n v="2"/>
    <n v="1.36"/>
    <n v="0"/>
    <n v="1"/>
    <n v="1.6522000000000001"/>
    <n v="1.6522000000000001"/>
    <n v="3.3044000000000002"/>
    <n v="18"/>
    <x v="1"/>
    <n v="1.3600000000000001E-3"/>
  </r>
  <r>
    <s v="MACHACHI"/>
    <x v="2"/>
    <x v="2"/>
    <x v="156"/>
    <s v="MPLX4 BY NEON VASO 170G"/>
    <n v="2"/>
    <n v="1"/>
    <n v="0.68"/>
    <n v="45"/>
    <d v="2024-11-05T00:00:00"/>
    <s v="martes"/>
    <d v="2024-11-05T00:00:00"/>
    <x v="19"/>
    <n v="22"/>
    <n v="0.48888888888888887"/>
    <n v="2"/>
    <n v="1.36"/>
    <n v="0"/>
    <n v="1"/>
    <n v="1.6522000000000001"/>
    <n v="1.6522000000000001"/>
    <n v="3.3044000000000002"/>
    <n v="22"/>
    <x v="1"/>
    <n v="1.3600000000000001E-3"/>
  </r>
  <r>
    <s v="MACHACHI"/>
    <x v="2"/>
    <x v="2"/>
    <x v="156"/>
    <s v="MPLX4 BY NEON VASO 170G"/>
    <n v="193"/>
    <n v="1"/>
    <n v="0.68"/>
    <n v="45"/>
    <d v="2024-11-23T00:00:00"/>
    <s v="sábado"/>
    <d v="2024-11-23T00:00:00"/>
    <x v="67"/>
    <n v="40"/>
    <n v="0.88888888888888884"/>
    <n v="193"/>
    <n v="131.24"/>
    <n v="0"/>
    <n v="1"/>
    <n v="1.6522000000000001"/>
    <n v="1.6522000000000001"/>
    <n v="318.87460000000004"/>
    <n v="4"/>
    <x v="0"/>
    <n v="0.13124"/>
  </r>
  <r>
    <s v="MACHACHI"/>
    <x v="2"/>
    <x v="2"/>
    <x v="87"/>
    <s v="MPLX6 RGN BBLE MULTSAB BOT 180G"/>
    <n v="28"/>
    <n v="1"/>
    <n v="1.08"/>
    <n v="45"/>
    <d v="2024-11-23T00:00:00"/>
    <s v="sábado"/>
    <d v="2024-11-23T00:00:00"/>
    <x v="67"/>
    <n v="40"/>
    <n v="0.88888888888888884"/>
    <n v="28"/>
    <n v="30.240000000000002"/>
    <n v="0"/>
    <n v="1"/>
    <n v="1.89862"/>
    <n v="1.89862"/>
    <n v="53.161360000000002"/>
    <n v="4"/>
    <x v="0"/>
    <n v="3.0240000000000003E-2"/>
  </r>
  <r>
    <s v="MACHACHI"/>
    <x v="2"/>
    <x v="2"/>
    <x v="219"/>
    <s v="MPLX6 Q MOZAR KIOSKO SNACK 50G"/>
    <n v="170"/>
    <n v="1"/>
    <n v="0.3"/>
    <n v="40"/>
    <d v="2024-11-27T00:00:00"/>
    <s v="miércoles"/>
    <d v="2024-11-27T00:00:00"/>
    <x v="50"/>
    <n v="39"/>
    <n v="0.97499999999999998"/>
    <n v="170"/>
    <n v="51"/>
    <n v="0"/>
    <n v="1"/>
    <n v="1.955125"/>
    <n v="1.955125"/>
    <n v="332.37124999999997"/>
    <n v="0"/>
    <x v="0"/>
    <n v="5.0999999999999997E-2"/>
  </r>
  <r>
    <s v="MACHACHI"/>
    <x v="2"/>
    <x v="2"/>
    <x v="219"/>
    <s v="MPLX6 Q MOZAR KIOSKO SNACK 50G"/>
    <n v="11"/>
    <n v="1"/>
    <n v="0.3"/>
    <n v="40"/>
    <d v="2024-11-21T00:00:00"/>
    <s v="jueves"/>
    <d v="2024-11-21T00:00:00"/>
    <x v="3"/>
    <n v="33"/>
    <n v="0.82499999999999996"/>
    <n v="11"/>
    <n v="3.3"/>
    <n v="0"/>
    <n v="1"/>
    <n v="1.955125"/>
    <n v="1.955125"/>
    <n v="21.506374999999998"/>
    <n v="6"/>
    <x v="0"/>
    <n v="3.3E-3"/>
  </r>
  <r>
    <s v="MACHACHI"/>
    <x v="2"/>
    <x v="2"/>
    <x v="220"/>
    <s v="MPLX5 QUESO MOZARELLA LIGHT KIOSKO 35 G"/>
    <n v="37"/>
    <n v="1"/>
    <n v="0.17499999999999999"/>
    <n v="40"/>
    <d v="2024-11-14T00:00:00"/>
    <s v="jueves"/>
    <d v="2024-11-14T00:00:00"/>
    <x v="6"/>
    <n v="26"/>
    <n v="0.65"/>
    <n v="37"/>
    <n v="6.4749999999999996"/>
    <n v="0"/>
    <n v="1"/>
    <n v="1.2970350000000002"/>
    <n v="1.2970350000000002"/>
    <n v="47.990295000000003"/>
    <n v="13"/>
    <x v="1"/>
    <n v="6.4749999999999999E-3"/>
  </r>
  <r>
    <s v="MACHACHI"/>
    <x v="2"/>
    <x v="2"/>
    <x v="172"/>
    <s v="ALPINETTE MORA 140G ECU"/>
    <n v="459"/>
    <n v="1"/>
    <n v="0.14000000000000001"/>
    <n v="60"/>
    <d v="2024-11-05T00:00:00"/>
    <s v="martes"/>
    <d v="2024-11-05T00:00:00"/>
    <x v="82"/>
    <n v="37"/>
    <n v="0.6166666666666667"/>
    <n v="459"/>
    <n v="64.260000000000005"/>
    <n v="0"/>
    <n v="1"/>
    <n v="0.47797999999999996"/>
    <n v="0.47797999999999996"/>
    <n v="219.39281999999997"/>
    <n v="22"/>
    <x v="0"/>
    <n v="6.4260000000000012E-2"/>
  </r>
  <r>
    <s v="MACHACHI"/>
    <x v="2"/>
    <x v="2"/>
    <x v="159"/>
    <s v="ALPINETTE FRESA 140G ECU"/>
    <n v="2540"/>
    <n v="1"/>
    <n v="0.14000000000000001"/>
    <n v="60"/>
    <d v="2024-11-05T00:00:00"/>
    <s v="martes"/>
    <d v="2024-11-05T00:00:00"/>
    <x v="82"/>
    <n v="37"/>
    <n v="0.6166666666666667"/>
    <n v="2540"/>
    <n v="355.6"/>
    <n v="0"/>
    <n v="1"/>
    <n v="0.46937499999999999"/>
    <n v="0.46937499999999999"/>
    <n v="1192.2124999999999"/>
    <n v="22"/>
    <x v="0"/>
    <n v="0.35560000000000003"/>
  </r>
  <r>
    <s v="MACHACHI"/>
    <x v="2"/>
    <x v="2"/>
    <x v="215"/>
    <s v="ALPINETTE CEREZA 140G ECU"/>
    <n v="1003"/>
    <n v="1"/>
    <n v="0.14000000000000001"/>
    <n v="60"/>
    <d v="2024-11-05T00:00:00"/>
    <s v="martes"/>
    <d v="2024-11-05T00:00:00"/>
    <x v="82"/>
    <n v="37"/>
    <n v="0.6166666666666667"/>
    <n v="1003"/>
    <n v="140.42000000000002"/>
    <n v="0"/>
    <n v="1"/>
    <n v="0.48814500000000005"/>
    <n v="0.48814500000000005"/>
    <n v="489.60943500000008"/>
    <n v="22"/>
    <x v="0"/>
    <n v="0.14042000000000002"/>
  </r>
  <r>
    <s v="MACHACHI"/>
    <x v="2"/>
    <x v="2"/>
    <x v="221"/>
    <s v="ALPINETTE MELOCOTON 140G ECU"/>
    <n v="127"/>
    <n v="1"/>
    <n v="0.14000000000000001"/>
    <n v="60"/>
    <d v="2024-11-09T00:00:00"/>
    <s v="sábado"/>
    <d v="2024-11-09T00:00:00"/>
    <x v="95"/>
    <n v="41"/>
    <n v="0.68333333333333335"/>
    <n v="127"/>
    <n v="17.78"/>
    <n v="0"/>
    <n v="1"/>
    <n v="0.48450000000000004"/>
    <n v="0.48450000000000004"/>
    <n v="61.531500000000008"/>
    <n v="18"/>
    <x v="0"/>
    <n v="1.7780000000000001E-2"/>
  </r>
  <r>
    <s v="MACHACHI"/>
    <x v="2"/>
    <x v="2"/>
    <x v="187"/>
    <s v="Q AMERIC KIOSKO LONJ AL PESO COR"/>
    <n v="64.099999999999994"/>
    <n v="1.7"/>
    <n v="1"/>
    <n v="60"/>
    <d v="2024-11-13T00:00:00"/>
    <s v="miércoles"/>
    <d v="2024-11-13T00:00:00"/>
    <x v="46"/>
    <n v="45"/>
    <n v="0.75"/>
    <n v="64.099999999999994"/>
    <n v="108.96999999999998"/>
    <n v="0"/>
    <n v="1"/>
    <n v="7.0906599999999997"/>
    <n v="12.054122"/>
    <n v="772.66922019999993"/>
    <n v="14"/>
    <x v="0"/>
    <n v="0.10896999999999998"/>
  </r>
  <r>
    <s v="MACHACHI"/>
    <x v="2"/>
    <x v="2"/>
    <x v="187"/>
    <s v="Q AMERIC KIOSKO LONJ AL PESO COR"/>
    <n v="51.2"/>
    <n v="1.7"/>
    <n v="1"/>
    <n v="60"/>
    <d v="2024-11-15T00:00:00"/>
    <s v="viernes"/>
    <d v="2024-11-15T00:00:00"/>
    <x v="52"/>
    <n v="47"/>
    <n v="0.78333333333333333"/>
    <n v="51.2"/>
    <n v="87.04"/>
    <n v="0"/>
    <n v="1"/>
    <n v="7.0906599999999997"/>
    <n v="12.054122"/>
    <n v="617.17104640000002"/>
    <n v="12"/>
    <x v="0"/>
    <n v="8.7040000000000006E-2"/>
  </r>
  <r>
    <s v="MACHACHI"/>
    <x v="2"/>
    <x v="2"/>
    <x v="187"/>
    <s v="Q AMERIC KIOSKO LONJ AL PESO COR"/>
    <n v="96.1"/>
    <n v="1.7"/>
    <n v="1"/>
    <n v="60"/>
    <d v="2024-11-23T00:00:00"/>
    <s v="sábado"/>
    <d v="2024-11-23T00:00:00"/>
    <x v="59"/>
    <n v="55"/>
    <n v="0.91666666666666663"/>
    <n v="96.1"/>
    <n v="163.36999999999998"/>
    <n v="0"/>
    <n v="1"/>
    <n v="7.0906599999999997"/>
    <n v="12.054122"/>
    <n v="1158.4011241999999"/>
    <n v="4"/>
    <x v="0"/>
    <n v="0.16336999999999999"/>
  </r>
  <r>
    <s v="MACHACHI"/>
    <x v="2"/>
    <x v="2"/>
    <x v="152"/>
    <s v="Q MOZAR PIZZ KIOSKO LONJ AL PESO COR"/>
    <n v="2.7"/>
    <n v="2.7"/>
    <n v="1"/>
    <n v="30"/>
    <d v="2024-11-12T00:00:00"/>
    <s v="martes"/>
    <d v="2024-11-12T00:00:00"/>
    <x v="80"/>
    <n v="14"/>
    <n v="0.46666666666666667"/>
    <n v="2.7"/>
    <n v="7.2900000000000009"/>
    <n v="0"/>
    <n v="1"/>
    <n v="7.2692399999999999"/>
    <n v="19.626948000000002"/>
    <n v="52.992759600000007"/>
    <n v="15"/>
    <x v="2"/>
    <n v="7.2900000000000013E-3"/>
  </r>
  <r>
    <s v="MACHACHI"/>
    <x v="2"/>
    <x v="2"/>
    <x v="152"/>
    <s v="Q MOZAR PIZZ KIOSKO LONJ AL PESO COR"/>
    <n v="67.5"/>
    <n v="2.7"/>
    <n v="1"/>
    <n v="30"/>
    <d v="2024-11-12T00:00:00"/>
    <s v="martes"/>
    <d v="2024-11-12T00:00:00"/>
    <x v="80"/>
    <n v="14"/>
    <n v="0.46666666666666667"/>
    <n v="67.5"/>
    <n v="182.25"/>
    <n v="0"/>
    <n v="1"/>
    <n v="7.2692399999999999"/>
    <n v="19.626948000000002"/>
    <n v="1324.8189900000002"/>
    <n v="15"/>
    <x v="2"/>
    <n v="0.18225"/>
  </r>
  <r>
    <s v="MACHACHI"/>
    <x v="2"/>
    <x v="2"/>
    <x v="79"/>
    <s v="KUMIS ORIG BOT 1000G ECU"/>
    <n v="126"/>
    <n v="1"/>
    <n v="1"/>
    <n v="45"/>
    <d v="2024-10-25T00:00:00"/>
    <s v="viernes"/>
    <d v="2024-10-25T00:00:00"/>
    <x v="53"/>
    <n v="11"/>
    <n v="0.24444444444444444"/>
    <n v="126"/>
    <n v="126"/>
    <n v="0"/>
    <n v="1"/>
    <n v="1.14123"/>
    <n v="1.14123"/>
    <n v="143.79498000000001"/>
    <n v="33"/>
    <x v="2"/>
    <n v="0.126"/>
  </r>
  <r>
    <s v="MACHACHI"/>
    <x v="2"/>
    <x v="2"/>
    <x v="177"/>
    <s v="RGN CER GDLLA BOT 1000G"/>
    <n v="68"/>
    <n v="1"/>
    <n v="1"/>
    <n v="45"/>
    <d v="2024-10-26T00:00:00"/>
    <s v="sábado"/>
    <d v="2024-10-26T00:00:00"/>
    <x v="20"/>
    <n v="12"/>
    <n v="0.26666666666666666"/>
    <n v="68"/>
    <n v="68"/>
    <n v="0"/>
    <n v="1"/>
    <n v="1.39574"/>
    <n v="1.39574"/>
    <n v="94.910319999999999"/>
    <n v="32"/>
    <x v="2"/>
    <n v="6.8000000000000005E-2"/>
  </r>
  <r>
    <s v="MACHACHI"/>
    <x v="2"/>
    <x v="2"/>
    <x v="122"/>
    <s v="RGN LGHT FTLLA BOT 1000G"/>
    <n v="74"/>
    <n v="1"/>
    <n v="1"/>
    <n v="45"/>
    <d v="2024-10-25T00:00:00"/>
    <s v="viernes"/>
    <d v="2024-10-25T00:00:00"/>
    <x v="53"/>
    <n v="11"/>
    <n v="0.24444444444444444"/>
    <n v="74"/>
    <n v="74"/>
    <n v="0"/>
    <n v="1"/>
    <n v="1.3149000000000002"/>
    <n v="1.3149000000000002"/>
    <n v="97.302600000000012"/>
    <n v="33"/>
    <x v="2"/>
    <n v="7.3999999999999996E-2"/>
  </r>
  <r>
    <s v="MACHACHI"/>
    <x v="2"/>
    <x v="2"/>
    <x v="119"/>
    <s v="RGN BBLE MORA 1000"/>
    <n v="68"/>
    <n v="1"/>
    <n v="1"/>
    <n v="45"/>
    <d v="2024-10-31T00:00:00"/>
    <s v="jueves"/>
    <d v="2024-10-31T00:00:00"/>
    <x v="10"/>
    <n v="17"/>
    <n v="0.37777777777777777"/>
    <n v="68"/>
    <n v="68"/>
    <n v="0"/>
    <n v="1"/>
    <n v="1.3255649999999999"/>
    <n v="1.3255649999999999"/>
    <n v="90.138419999999996"/>
    <n v="27"/>
    <x v="2"/>
    <n v="6.8000000000000005E-2"/>
  </r>
  <r>
    <s v="MACHACHI"/>
    <x v="2"/>
    <x v="2"/>
    <x v="137"/>
    <s v="RGN CER GDLLA BOT 180G"/>
    <n v="77"/>
    <n v="1"/>
    <n v="0.18"/>
    <n v="45"/>
    <d v="2024-10-25T00:00:00"/>
    <s v="viernes"/>
    <d v="2024-10-25T00:00:00"/>
    <x v="53"/>
    <n v="11"/>
    <n v="0.24444444444444444"/>
    <n v="77"/>
    <n v="13.86"/>
    <n v="0"/>
    <n v="1"/>
    <n v="0.28275"/>
    <n v="0.28275"/>
    <n v="21.771750000000001"/>
    <n v="33"/>
    <x v="2"/>
    <n v="1.3859999999999999E-2"/>
  </r>
  <r>
    <s v="MACHACHI"/>
    <x v="2"/>
    <x v="2"/>
    <x v="222"/>
    <s v="MPLX4 GRIEG KIOSKO MULTISAB 480"/>
    <n v="56"/>
    <n v="1"/>
    <n v="0.12"/>
    <n v="45"/>
    <d v="2024-11-22T00:00:00"/>
    <s v="viernes"/>
    <d v="2024-11-22T00:00:00"/>
    <x v="50"/>
    <n v="39"/>
    <n v="0.8666666666666667"/>
    <n v="56"/>
    <n v="6.72"/>
    <n v="0"/>
    <n v="1"/>
    <n v="1.6781600000000001"/>
    <n v="1.6781600000000001"/>
    <n v="93.976960000000005"/>
    <n v="5"/>
    <x v="0"/>
    <n v="6.7199999999999994E-3"/>
  </r>
  <r>
    <s v="MACHACHI"/>
    <x v="2"/>
    <x v="2"/>
    <x v="223"/>
    <s v="YOG BBLE KIOSKO MORA FUN 150G"/>
    <n v="401"/>
    <n v="1"/>
    <n v="0.15"/>
    <n v="45"/>
    <d v="2024-10-31T00:00:00"/>
    <s v="jueves"/>
    <d v="2024-10-31T00:00:00"/>
    <x v="10"/>
    <n v="17"/>
    <n v="0.37777777777777777"/>
    <n v="401"/>
    <n v="60.15"/>
    <n v="0"/>
    <n v="1"/>
    <n v="0.11866"/>
    <n v="0.11866"/>
    <n v="47.582660000000004"/>
    <n v="27"/>
    <x v="2"/>
    <n v="6.0149999999999995E-2"/>
  </r>
  <r>
    <s v="MACHACHI"/>
    <x v="2"/>
    <x v="2"/>
    <x v="213"/>
    <s v="KIOSKO MOZZARELL LONJAS LINEA DIARIA 75G"/>
    <n v="22"/>
    <n v="1"/>
    <n v="7.4999999999999997E-2"/>
    <n v="30"/>
    <d v="2024-11-12T00:00:00"/>
    <s v="martes"/>
    <d v="2024-11-12T00:00:00"/>
    <x v="80"/>
    <n v="14"/>
    <n v="0.46666666666666667"/>
    <n v="22"/>
    <n v="1.65"/>
    <n v="0"/>
    <n v="1"/>
    <n v="0.62214499999999995"/>
    <n v="0.62214499999999995"/>
    <n v="13.687189999999999"/>
    <n v="15"/>
    <x v="2"/>
    <n v="1.65E-3"/>
  </r>
  <r>
    <s v="MACHACHI"/>
    <x v="2"/>
    <x v="2"/>
    <x v="210"/>
    <s v="Q AMASADO KIOSKO BLOQ 450G"/>
    <n v="40"/>
    <n v="1"/>
    <n v="0.45"/>
    <n v="35"/>
    <d v="2024-11-12T00:00:00"/>
    <s v="martes"/>
    <d v="2024-11-12T00:00:00"/>
    <x v="21"/>
    <n v="19"/>
    <n v="0.54285714285714282"/>
    <n v="40"/>
    <n v="18"/>
    <n v="0"/>
    <n v="1"/>
    <n v="1.2293700000000001"/>
    <n v="1.2293700000000001"/>
    <n v="49.174800000000005"/>
    <n v="15"/>
    <x v="2"/>
    <n v="1.7999999999999999E-2"/>
  </r>
  <r>
    <s v="MACHACHI"/>
    <x v="2"/>
    <x v="2"/>
    <x v="163"/>
    <s v="Q MOZAR PIZZ KIOSKO 20 LONJ 300G"/>
    <n v="37"/>
    <n v="1"/>
    <n v="0.3"/>
    <n v="30"/>
    <d v="2024-11-14T00:00:00"/>
    <s v="jueves"/>
    <d v="2024-11-14T00:00:00"/>
    <x v="41"/>
    <n v="16"/>
    <n v="0.53333333333333333"/>
    <n v="37"/>
    <n v="11.1"/>
    <n v="0"/>
    <n v="1"/>
    <n v="2.2262750000000002"/>
    <n v="2.2262750000000002"/>
    <n v="82.372175000000013"/>
    <n v="13"/>
    <x v="2"/>
    <n v="1.11E-2"/>
  </r>
  <r>
    <s v="MACHACHI"/>
    <x v="2"/>
    <x v="2"/>
    <x v="167"/>
    <s v="Q MOZZARELLA HIERBAS LONJAS 150G"/>
    <n v="15"/>
    <n v="1"/>
    <n v="0.15"/>
    <n v="40"/>
    <d v="2024-11-06T00:00:00"/>
    <s v="miércoles"/>
    <d v="2024-11-06T00:00:00"/>
    <x v="4"/>
    <n v="18"/>
    <n v="0.45"/>
    <n v="15"/>
    <n v="2.25"/>
    <n v="0"/>
    <n v="1"/>
    <n v="1.279185"/>
    <n v="1.279185"/>
    <n v="19.187775000000002"/>
    <n v="21"/>
    <x v="2"/>
    <n v="2.2499999999999998E-3"/>
  </r>
  <r>
    <s v="MACHACHI"/>
    <x v="2"/>
    <x v="2"/>
    <x v="144"/>
    <s v="YOG FNSSE DURAZNO BOT 1670G"/>
    <n v="13"/>
    <n v="1"/>
    <n v="1.67"/>
    <n v="45"/>
    <d v="2024-10-25T00:00:00"/>
    <s v="viernes"/>
    <d v="2024-10-25T00:00:00"/>
    <x v="53"/>
    <n v="11"/>
    <n v="0.24444444444444444"/>
    <n v="13"/>
    <n v="21.71"/>
    <n v="0"/>
    <n v="1"/>
    <n v="2.4125399999999999"/>
    <n v="2.4125399999999999"/>
    <n v="31.363019999999999"/>
    <n v="33"/>
    <x v="2"/>
    <n v="2.171E-2"/>
  </r>
  <r>
    <s v="MACHACHI"/>
    <x v="2"/>
    <x v="2"/>
    <x v="224"/>
    <s v="YOG FNSSE VAINILLA 1650"/>
    <n v="32"/>
    <n v="1"/>
    <n v="1.65"/>
    <n v="45"/>
    <d v="2024-10-31T00:00:00"/>
    <s v="jueves"/>
    <d v="2024-10-31T00:00:00"/>
    <x v="10"/>
    <n v="17"/>
    <n v="0.37777777777777777"/>
    <n v="32"/>
    <n v="52.8"/>
    <n v="0"/>
    <n v="1"/>
    <n v="2.0279499999999997"/>
    <n v="2.0279499999999997"/>
    <n v="64.89439999999999"/>
    <n v="27"/>
    <x v="2"/>
    <n v="5.28E-2"/>
  </r>
  <r>
    <s v="MACHACHI"/>
    <x v="2"/>
    <x v="2"/>
    <x v="90"/>
    <s v="MPLX4 RGN LGHT FTLLA BOT 180G"/>
    <n v="105"/>
    <n v="1"/>
    <n v="0.72"/>
    <n v="45"/>
    <d v="2024-10-25T00:00:00"/>
    <s v="viernes"/>
    <d v="2024-10-25T00:00:00"/>
    <x v="53"/>
    <n v="11"/>
    <n v="0.24444444444444444"/>
    <n v="105"/>
    <n v="75.599999999999994"/>
    <n v="0"/>
    <n v="1"/>
    <n v="1.235225"/>
    <n v="1.235225"/>
    <n v="129.69862499999999"/>
    <n v="33"/>
    <x v="2"/>
    <n v="7.5600000000000001E-2"/>
  </r>
  <r>
    <s v="MACHACHI"/>
    <x v="2"/>
    <x v="2"/>
    <x v="218"/>
    <s v="MPLX4 RGN TZOS MULTSAB VASO 150G"/>
    <n v="2"/>
    <n v="1"/>
    <n v="0.6"/>
    <n v="45"/>
    <d v="2024-10-26T00:00:00"/>
    <s v="sábado"/>
    <d v="2024-10-26T00:00:00"/>
    <x v="20"/>
    <n v="12"/>
    <n v="0.26666666666666666"/>
    <n v="2"/>
    <n v="1.2"/>
    <n v="0"/>
    <n v="1"/>
    <n v="1.0306549999999999"/>
    <n v="1.0306549999999999"/>
    <n v="2.0613099999999998"/>
    <n v="32"/>
    <x v="2"/>
    <n v="1.1999999999999999E-3"/>
  </r>
  <r>
    <s v="SAN GABRIEL"/>
    <x v="3"/>
    <x v="0"/>
    <x v="39"/>
    <s v="YOG BBLE KIOSKO DZNO BOT 950G"/>
    <n v="0"/>
    <n v="1"/>
    <n v="0.95"/>
    <n v="45"/>
    <d v="2024-10-18T00:00:00"/>
    <s v="viernes"/>
    <d v="2024-10-18T00:00:00"/>
    <x v="96"/>
    <n v="4"/>
    <n v="8.8888888888888892E-2"/>
    <n v="4"/>
    <n v="3.8"/>
    <n v="0"/>
    <n v="1"/>
    <n v="1.055175"/>
    <n v="1.055175"/>
    <n v="4.009665"/>
    <n v="40"/>
    <x v="2"/>
    <n v="3.8E-3"/>
  </r>
  <r>
    <s v="SAN GABRIEL"/>
    <x v="3"/>
    <x v="0"/>
    <x v="188"/>
    <s v="RGN BBLE FTLLA BOT 1750G"/>
    <n v="0"/>
    <n v="1"/>
    <n v="1.75"/>
    <n v="45"/>
    <d v="2024-10-18T00:00:00"/>
    <s v="viernes"/>
    <d v="2024-10-18T00:00:00"/>
    <x v="96"/>
    <n v="4"/>
    <n v="8.8888888888888892E-2"/>
    <n v="8"/>
    <n v="14"/>
    <n v="0"/>
    <n v="1"/>
    <n v="2.2867100000000002"/>
    <n v="2.2867100000000002"/>
    <n v="32.013940000000005"/>
    <n v="40"/>
    <x v="2"/>
    <n v="1.4E-2"/>
  </r>
  <r>
    <s v="SAN GABRIEL"/>
    <x v="3"/>
    <x v="0"/>
    <x v="143"/>
    <s v="YOG FNSSE DURAZNO BOT 950G"/>
    <n v="0"/>
    <n v="1"/>
    <n v="0.95"/>
    <n v="45"/>
    <d v="2024-10-18T00:00:00"/>
    <s v="viernes"/>
    <d v="2024-10-18T00:00:00"/>
    <x v="96"/>
    <n v="4"/>
    <n v="8.8888888888888892E-2"/>
    <n v="12"/>
    <n v="11.399999999999999"/>
    <n v="0"/>
    <n v="1"/>
    <n v="1.4163950000000001"/>
    <n v="1.4163950000000001"/>
    <n v="16.146902999999998"/>
    <n v="40"/>
    <x v="2"/>
    <n v="1.1399999999999999E-2"/>
  </r>
  <r>
    <s v="SAN GABRIEL"/>
    <x v="3"/>
    <x v="0"/>
    <x v="171"/>
    <s v="RGN TZOS FTLLA BOT 1750G"/>
    <n v="0"/>
    <n v="1"/>
    <n v="1.75"/>
    <n v="45"/>
    <d v="2024-10-18T00:00:00"/>
    <s v="viernes"/>
    <d v="2024-10-18T00:00:00"/>
    <x v="96"/>
    <n v="4"/>
    <n v="8.8888888888888892E-2"/>
    <n v="4"/>
    <n v="7"/>
    <n v="0"/>
    <n v="1"/>
    <n v="2.4097600000000003"/>
    <n v="2.4097600000000003"/>
    <n v="16.868320000000004"/>
    <n v="40"/>
    <x v="2"/>
    <n v="7.0000000000000001E-3"/>
  </r>
  <r>
    <s v="SAN GABRIEL"/>
    <x v="3"/>
    <x v="0"/>
    <x v="125"/>
    <s v="RGN BBLE DZNO BOT 1000G"/>
    <n v="0"/>
    <n v="1"/>
    <n v="1"/>
    <n v="45"/>
    <d v="2024-10-18T00:00:00"/>
    <s v="viernes"/>
    <d v="2024-10-18T00:00:00"/>
    <x v="96"/>
    <n v="4"/>
    <n v="8.8888888888888892E-2"/>
    <n v="10"/>
    <n v="10"/>
    <n v="0"/>
    <n v="1"/>
    <n v="1.3744550000000002"/>
    <n v="1.3744550000000002"/>
    <n v="13.744550000000002"/>
    <n v="40"/>
    <x v="2"/>
    <n v="0.01"/>
  </r>
  <r>
    <s v="SAN GABRIEL"/>
    <x v="3"/>
    <x v="0"/>
    <x v="42"/>
    <s v="YOG FNSSE VAINILLA 180"/>
    <n v="0"/>
    <n v="1"/>
    <n v="0.18"/>
    <n v="45"/>
    <d v="2024-10-18T00:00:00"/>
    <s v="viernes"/>
    <d v="2024-10-18T00:00:00"/>
    <x v="96"/>
    <n v="4"/>
    <n v="8.8888888888888892E-2"/>
    <n v="50"/>
    <n v="9"/>
    <n v="0"/>
    <n v="1"/>
    <n v="0.286325"/>
    <n v="0.286325"/>
    <n v="2.5769250000000001"/>
    <n v="36"/>
    <x v="2"/>
    <n v="8.9999999999999993E-3"/>
  </r>
  <r>
    <s v="SAN GABRIEL"/>
    <x v="3"/>
    <x v="0"/>
    <x v="148"/>
    <s v="RGN CER PITA BOT 1750G ECU"/>
    <n v="0"/>
    <n v="1"/>
    <n v="1.75"/>
    <n v="45"/>
    <d v="2024-10-22T00:00:00"/>
    <s v="martes"/>
    <d v="2024-10-22T00:00:00"/>
    <x v="79"/>
    <n v="8"/>
    <n v="0.17777777777777778"/>
    <n v="4"/>
    <n v="7"/>
    <n v="0"/>
    <n v="1"/>
    <n v="2.48414"/>
    <n v="2.48414"/>
    <n v="17.38898"/>
    <s v=""/>
    <x v="2"/>
    <n v="7.0000000000000001E-3"/>
  </r>
  <r>
    <s v="SAN GABRIEL"/>
    <x v="3"/>
    <x v="0"/>
    <x v="185"/>
    <s v="Q RICOTTA KIOSKO BLOQ 250G"/>
    <n v="0"/>
    <n v="1"/>
    <n v="0.25"/>
    <n v="35"/>
    <d v="2024-11-01T00:00:00"/>
    <s v="viernes"/>
    <d v="2024-11-01T00:00:00"/>
    <x v="79"/>
    <n v="8"/>
    <n v="0.22857142857142856"/>
    <n v="120"/>
    <n v="30"/>
    <n v="0"/>
    <n v="1"/>
    <n v="0.69428000000000001"/>
    <n v="0.69428000000000001"/>
    <n v="20.828400000000002"/>
    <n v="35"/>
    <x v="2"/>
    <n v="0.03"/>
  </r>
  <r>
    <s v="SAN GABRIEL"/>
    <x v="3"/>
    <x v="0"/>
    <x v="77"/>
    <s v="RGN BBLE DZNO BOT 1750G"/>
    <n v="0"/>
    <n v="1"/>
    <n v="1.75"/>
    <n v="45"/>
    <d v="2024-10-23T00:00:00"/>
    <s v="miércoles"/>
    <d v="2024-10-23T00:00:00"/>
    <x v="66"/>
    <n v="9"/>
    <n v="0.2"/>
    <n v="8"/>
    <n v="14"/>
    <n v="0"/>
    <n v="1"/>
    <n v="2.3115999999999999"/>
    <n v="2.3115999999999999"/>
    <n v="32.362400000000001"/>
    <n v="35"/>
    <x v="2"/>
    <n v="1.4E-2"/>
  </r>
  <r>
    <s v="SAN GABRIEL"/>
    <x v="3"/>
    <x v="0"/>
    <x v="86"/>
    <s v="YOG FNSSE FRTROJ BOT 1670G"/>
    <n v="0"/>
    <n v="1"/>
    <n v="1.67"/>
    <n v="45"/>
    <d v="2024-10-23T00:00:00"/>
    <s v="miércoles"/>
    <d v="2024-10-23T00:00:00"/>
    <x v="66"/>
    <n v="9"/>
    <n v="0.2"/>
    <n v="10"/>
    <n v="16.7"/>
    <n v="0"/>
    <n v="1"/>
    <n v="2.3031100000000002"/>
    <n v="2.3031100000000002"/>
    <n v="38.461936999999999"/>
    <n v="34"/>
    <x v="2"/>
    <n v="1.67E-2"/>
  </r>
  <r>
    <s v="SAN GABRIEL"/>
    <x v="3"/>
    <x v="0"/>
    <x v="129"/>
    <s v="RGN TZOS DZNO BOT 1750G"/>
    <n v="0"/>
    <n v="1"/>
    <n v="1.75"/>
    <n v="45"/>
    <d v="2024-10-24T00:00:00"/>
    <s v="jueves"/>
    <d v="2024-10-24T00:00:00"/>
    <x v="97"/>
    <n v="10"/>
    <n v="0.22222222222222221"/>
    <n v="8"/>
    <n v="14"/>
    <n v="0"/>
    <n v="1"/>
    <n v="2.36903"/>
    <n v="2.36903"/>
    <n v="33.166420000000002"/>
    <n v="33"/>
    <x v="2"/>
    <n v="1.4E-2"/>
  </r>
  <r>
    <s v="SAN GABRIEL"/>
    <x v="3"/>
    <x v="0"/>
    <x v="175"/>
    <s v="YOG BBLE KIOSKO FTLLA BOT 1700G"/>
    <n v="0"/>
    <n v="1"/>
    <n v="1.7"/>
    <n v="45"/>
    <d v="2024-10-25T00:00:00"/>
    <s v="viernes"/>
    <d v="2024-10-25T00:00:00"/>
    <x v="53"/>
    <n v="11"/>
    <n v="0.24444444444444444"/>
    <n v="4"/>
    <n v="6.8"/>
    <n v="0"/>
    <n v="1"/>
    <n v="1.7276500000000001"/>
    <n v="1.7276500000000001"/>
    <n v="11.74802"/>
    <n v="33"/>
    <x v="2"/>
    <n v="6.7999999999999996E-3"/>
  </r>
  <r>
    <s v="SAN GABRIEL"/>
    <x v="3"/>
    <x v="0"/>
    <x v="186"/>
    <s v="YOG BBLE KIOSKO DZNO BOT 1700G"/>
    <n v="0"/>
    <n v="1"/>
    <n v="1.7"/>
    <n v="45"/>
    <d v="2024-10-25T00:00:00"/>
    <s v="viernes"/>
    <d v="2024-10-25T00:00:00"/>
    <x v="53"/>
    <n v="11"/>
    <n v="0.24444444444444444"/>
    <n v="22"/>
    <n v="37.4"/>
    <n v="0"/>
    <n v="1"/>
    <n v="1.751825"/>
    <n v="1.751825"/>
    <n v="65.518254999999996"/>
    <n v="33"/>
    <x v="2"/>
    <n v="3.7399999999999996E-2"/>
  </r>
  <r>
    <s v="SAN GABRIEL"/>
    <x v="3"/>
    <x v="0"/>
    <x v="147"/>
    <s v="YOG FNSSE FRTROJ BOT 180G"/>
    <n v="0"/>
    <n v="1"/>
    <n v="0.18"/>
    <n v="45"/>
    <d v="2024-10-25T00:00:00"/>
    <s v="viernes"/>
    <d v="2024-10-25T00:00:00"/>
    <x v="53"/>
    <n v="11"/>
    <n v="0.24444444444444444"/>
    <n v="18"/>
    <n v="3.2399999999999998"/>
    <n v="0"/>
    <n v="1"/>
    <n v="0.30833500000000003"/>
    <n v="0.30833500000000003"/>
    <n v="0.99900540000000004"/>
    <n v="33"/>
    <x v="2"/>
    <n v="3.2399999999999998E-3"/>
  </r>
  <r>
    <s v="SAN GABRIEL"/>
    <x v="3"/>
    <x v="0"/>
    <x v="122"/>
    <s v="RGN LGHT FTLLA BOT 1000G"/>
    <n v="0"/>
    <n v="1"/>
    <n v="1"/>
    <n v="45"/>
    <d v="2024-10-25T00:00:00"/>
    <s v="viernes"/>
    <d v="2024-10-25T00:00:00"/>
    <x v="53"/>
    <n v="11"/>
    <n v="0.24444444444444444"/>
    <n v="7"/>
    <n v="7"/>
    <n v="0"/>
    <n v="1"/>
    <n v="1.3149000000000002"/>
    <n v="1.3149000000000002"/>
    <n v="9.2043000000000017"/>
    <n v="33"/>
    <x v="2"/>
    <n v="7.0000000000000001E-3"/>
  </r>
  <r>
    <s v="SAN GABRIEL"/>
    <x v="3"/>
    <x v="0"/>
    <x v="137"/>
    <s v="RGN CER GDLLA BOT 180G"/>
    <n v="0"/>
    <n v="1"/>
    <n v="0.18"/>
    <n v="45"/>
    <d v="2024-10-25T00:00:00"/>
    <s v="viernes"/>
    <d v="2024-10-25T00:00:00"/>
    <x v="53"/>
    <n v="11"/>
    <n v="0.24444444444444444"/>
    <n v="27"/>
    <n v="4.8599999999999994"/>
    <n v="0"/>
    <n v="1"/>
    <n v="0.28275"/>
    <n v="0.28275"/>
    <n v="1.3741649999999999"/>
    <n v="33"/>
    <x v="2"/>
    <n v="4.8599999999999997E-3"/>
  </r>
  <r>
    <s v="SAN GABRIEL"/>
    <x v="3"/>
    <x v="0"/>
    <x v="144"/>
    <s v="YOG FNSSE DURAZNO BOT 1670G"/>
    <n v="0"/>
    <n v="1"/>
    <n v="1.67"/>
    <n v="45"/>
    <d v="2024-10-25T00:00:00"/>
    <s v="viernes"/>
    <d v="2024-10-25T00:00:00"/>
    <x v="53"/>
    <n v="11"/>
    <n v="0.24444444444444444"/>
    <n v="6"/>
    <n v="10.02"/>
    <n v="0"/>
    <n v="1"/>
    <n v="2.4125399999999999"/>
    <n v="2.4125399999999999"/>
    <n v="24.173650799999997"/>
    <n v="28"/>
    <x v="2"/>
    <n v="1.0019999999999999E-2"/>
  </r>
  <r>
    <s v="SAN GABRIEL"/>
    <x v="3"/>
    <x v="0"/>
    <x v="9"/>
    <s v="YOG NAT KIOSKO BOTELLA 950G"/>
    <n v="0"/>
    <n v="1"/>
    <n v="0.95"/>
    <n v="45"/>
    <d v="2024-10-30T00:00:00"/>
    <s v="miércoles"/>
    <d v="2024-10-30T00:00:00"/>
    <x v="41"/>
    <n v="16"/>
    <n v="0.35555555555555557"/>
    <n v="31"/>
    <n v="29.45"/>
    <n v="0"/>
    <n v="1"/>
    <n v="1.062665"/>
    <n v="1.062665"/>
    <n v="31.295484249999998"/>
    <n v="28"/>
    <x v="2"/>
    <n v="2.945E-2"/>
  </r>
  <r>
    <s v="SAN GABRIEL"/>
    <x v="3"/>
    <x v="0"/>
    <x v="218"/>
    <s v="MPLX4 RGN TZOS MULTSAB VASO 150G"/>
    <n v="0"/>
    <n v="1"/>
    <n v="0.6"/>
    <n v="45"/>
    <d v="2024-10-30T00:00:00"/>
    <s v="miércoles"/>
    <d v="2024-10-30T00:00:00"/>
    <x v="41"/>
    <n v="16"/>
    <n v="0.35555555555555557"/>
    <n v="21"/>
    <n v="12.6"/>
    <n v="0"/>
    <n v="1"/>
    <n v="1.0306549999999999"/>
    <n v="1.0306549999999999"/>
    <n v="12.986252999999998"/>
    <n v="27"/>
    <x v="2"/>
    <n v="1.26E-2"/>
  </r>
  <r>
    <s v="SAN GABRIEL"/>
    <x v="3"/>
    <x v="0"/>
    <x v="5"/>
    <s v="YOG BBLE KIOSKO MOR BOT 950G"/>
    <n v="0"/>
    <n v="1"/>
    <n v="0.95"/>
    <n v="45"/>
    <d v="2024-10-31T00:00:00"/>
    <s v="jueves"/>
    <d v="2024-10-31T00:00:00"/>
    <x v="10"/>
    <n v="17"/>
    <n v="0.37777777777777777"/>
    <n v="42"/>
    <n v="39.9"/>
    <n v="0"/>
    <n v="1"/>
    <n v="1.02759"/>
    <n v="1.02759"/>
    <n v="41.000841000000001"/>
    <n v="27"/>
    <x v="2"/>
    <n v="3.9899999999999998E-2"/>
  </r>
  <r>
    <s v="SAN GABRIEL"/>
    <x v="3"/>
    <x v="0"/>
    <x v="54"/>
    <s v="YOG BBLE KIOSKO FTLLA BOT 950G"/>
    <n v="0"/>
    <n v="1"/>
    <n v="0.95"/>
    <n v="45"/>
    <d v="2024-10-31T00:00:00"/>
    <s v="jueves"/>
    <d v="2024-10-31T00:00:00"/>
    <x v="10"/>
    <n v="17"/>
    <n v="0.37777777777777777"/>
    <n v="17"/>
    <n v="16.149999999999999"/>
    <n v="0"/>
    <n v="1"/>
    <n v="1.0303550000000001"/>
    <n v="1.0303550000000001"/>
    <n v="16.640233250000001"/>
    <n v="27"/>
    <x v="2"/>
    <n v="1.6149999999999998E-2"/>
  </r>
  <r>
    <s v="SAN GABRIEL"/>
    <x v="3"/>
    <x v="0"/>
    <x v="39"/>
    <s v="YOG BBLE KIOSKO DZNO BOT 950G"/>
    <n v="0"/>
    <n v="1"/>
    <n v="0.95"/>
    <n v="45"/>
    <d v="2024-10-31T00:00:00"/>
    <s v="jueves"/>
    <d v="2024-10-31T00:00:00"/>
    <x v="10"/>
    <n v="17"/>
    <n v="0.37777777777777777"/>
    <n v="14"/>
    <n v="13.299999999999999"/>
    <n v="0"/>
    <n v="1"/>
    <n v="1.055175"/>
    <n v="1.055175"/>
    <n v="14.033827499999999"/>
    <n v="27"/>
    <x v="2"/>
    <n v="1.3299999999999999E-2"/>
  </r>
  <r>
    <s v="SAN GABRIEL"/>
    <x v="3"/>
    <x v="0"/>
    <x v="126"/>
    <s v="RGN BBLE FTLLA BOT 180G"/>
    <n v="0"/>
    <n v="1"/>
    <n v="0.18"/>
    <n v="45"/>
    <d v="2024-10-31T00:00:00"/>
    <s v="jueves"/>
    <d v="2024-10-31T00:00:00"/>
    <x v="10"/>
    <n v="17"/>
    <n v="0.37777777777777777"/>
    <n v="242"/>
    <n v="43.559999999999995"/>
    <n v="0"/>
    <n v="1"/>
    <n v="0.30145500000000003"/>
    <n v="0.30145500000000003"/>
    <n v="13.131379799999999"/>
    <n v="27"/>
    <x v="2"/>
    <n v="4.3559999999999995E-2"/>
  </r>
  <r>
    <s v="SAN GABRIEL"/>
    <x v="3"/>
    <x v="0"/>
    <x v="130"/>
    <s v="RGN TZOS MOR BOT 1000G"/>
    <n v="0"/>
    <n v="1"/>
    <n v="1"/>
    <n v="45"/>
    <d v="2024-10-31T00:00:00"/>
    <s v="jueves"/>
    <d v="2024-10-31T00:00:00"/>
    <x v="10"/>
    <n v="17"/>
    <n v="0.37777777777777777"/>
    <n v="9"/>
    <n v="9"/>
    <n v="0"/>
    <n v="1"/>
    <n v="1.4067150000000002"/>
    <n v="1.4067150000000002"/>
    <n v="12.660435000000001"/>
    <n v="27"/>
    <x v="2"/>
    <n v="8.9999999999999993E-3"/>
  </r>
  <r>
    <s v="SAN GABRIEL"/>
    <x v="3"/>
    <x v="0"/>
    <x v="13"/>
    <s v="YOG BBLE KIOSKO DZNO 180"/>
    <n v="0"/>
    <n v="1"/>
    <n v="0.18"/>
    <n v="45"/>
    <d v="2024-10-31T00:00:00"/>
    <s v="jueves"/>
    <d v="2024-10-31T00:00:00"/>
    <x v="10"/>
    <n v="17"/>
    <n v="0.37777777777777777"/>
    <n v="33"/>
    <n v="5.9399999999999995"/>
    <n v="0"/>
    <n v="1"/>
    <n v="0.24857499999999999"/>
    <n v="0.24857499999999999"/>
    <n v="1.4765354999999998"/>
    <n v="27"/>
    <x v="2"/>
    <n v="5.9399999999999991E-3"/>
  </r>
  <r>
    <s v="SAN GABRIEL"/>
    <x v="3"/>
    <x v="0"/>
    <x v="183"/>
    <s v="YOG BBLE KIOSKO FTILLA 180"/>
    <n v="0"/>
    <n v="1"/>
    <n v="0.18"/>
    <n v="45"/>
    <d v="2024-10-31T00:00:00"/>
    <s v="jueves"/>
    <d v="2024-10-31T00:00:00"/>
    <x v="10"/>
    <n v="17"/>
    <n v="0.37777777777777777"/>
    <n v="17"/>
    <n v="3.06"/>
    <n v="0"/>
    <n v="1"/>
    <n v="0.24412500000000001"/>
    <n v="0.24412500000000001"/>
    <n v="0.74702250000000003"/>
    <n v="27"/>
    <x v="2"/>
    <n v="3.0600000000000002E-3"/>
  </r>
  <r>
    <s v="SAN GABRIEL"/>
    <x v="3"/>
    <x v="0"/>
    <x v="95"/>
    <s v="YOG BBLE KIOSKO MORA 180"/>
    <n v="0"/>
    <n v="1"/>
    <n v="0.18"/>
    <n v="45"/>
    <d v="2024-10-31T00:00:00"/>
    <s v="jueves"/>
    <d v="2024-10-31T00:00:00"/>
    <x v="10"/>
    <n v="17"/>
    <n v="0.37777777777777777"/>
    <n v="44"/>
    <n v="7.92"/>
    <n v="0"/>
    <n v="1"/>
    <n v="0.243175"/>
    <n v="0.243175"/>
    <n v="1.9259459999999999"/>
    <n v="27"/>
    <x v="2"/>
    <n v="7.92E-3"/>
  </r>
  <r>
    <s v="SAN GABRIEL"/>
    <x v="3"/>
    <x v="0"/>
    <x v="147"/>
    <s v="YOG FNSSE FRTROJ BOT 180G"/>
    <n v="0"/>
    <n v="1"/>
    <n v="0.18"/>
    <n v="45"/>
    <d v="2024-10-31T00:00:00"/>
    <s v="jueves"/>
    <d v="2024-10-31T00:00:00"/>
    <x v="10"/>
    <n v="17"/>
    <n v="0.37777777777777777"/>
    <n v="50"/>
    <n v="9"/>
    <n v="0"/>
    <n v="1"/>
    <n v="0.30833500000000003"/>
    <n v="0.30833500000000003"/>
    <n v="2.7750150000000002"/>
    <n v="27"/>
    <x v="2"/>
    <n v="8.9999999999999993E-3"/>
  </r>
  <r>
    <s v="SAN GABRIEL"/>
    <x v="3"/>
    <x v="0"/>
    <x v="161"/>
    <s v="YOG FNSSE DURAZNO BOT 180G"/>
    <n v="0"/>
    <n v="1"/>
    <n v="0.18"/>
    <n v="45"/>
    <d v="2024-10-31T00:00:00"/>
    <s v="jueves"/>
    <d v="2024-10-31T00:00:00"/>
    <x v="10"/>
    <n v="17"/>
    <n v="0.37777777777777777"/>
    <n v="10"/>
    <n v="1.7999999999999998"/>
    <n v="0"/>
    <n v="1"/>
    <n v="0.31489500000000004"/>
    <n v="0.31489500000000004"/>
    <n v="0.56681099999999995"/>
    <s v=""/>
    <x v="2"/>
    <n v="1.7999999999999997E-3"/>
  </r>
  <r>
    <s v="SAN GABRIEL"/>
    <x v="3"/>
    <x v="0"/>
    <x v="162"/>
    <s v="RGN CER GDLLA BOT 1750G"/>
    <n v="0"/>
    <n v="1"/>
    <n v="1.75"/>
    <n v="45"/>
    <d v="2024-11-01T00:00:00"/>
    <s v="viernes"/>
    <d v="2024-11-01T00:00:00"/>
    <x v="4"/>
    <n v="18"/>
    <n v="0.4"/>
    <n v="2"/>
    <n v="3.5"/>
    <n v="0"/>
    <n v="1"/>
    <n v="2.164625"/>
    <n v="2.164625"/>
    <n v="7.5761874999999996"/>
    <s v=""/>
    <x v="2"/>
    <n v="3.5000000000000001E-3"/>
  </r>
  <r>
    <s v="SAN GABRIEL"/>
    <x v="3"/>
    <x v="0"/>
    <x v="155"/>
    <s v="Q ESPAR CHED KIOSKO VASO 45G"/>
    <n v="0"/>
    <n v="1"/>
    <n v="4.4999999999999998E-2"/>
    <n v="90"/>
    <d v="2024-09-27T00:00:00"/>
    <s v="viernes"/>
    <d v="2024-09-27T00:00:00"/>
    <x v="43"/>
    <n v="28"/>
    <n v="0.31111111111111112"/>
    <n v="295"/>
    <n v="13.275"/>
    <n v="0"/>
    <n v="1"/>
    <n v="0.14824500000000002"/>
    <n v="0.14824500000000002"/>
    <n v="1.9679523750000003"/>
    <n v="45623"/>
    <x v="0"/>
    <n v="1.3275E-2"/>
  </r>
  <r>
    <m/>
    <x v="4"/>
    <x v="3"/>
    <x v="225"/>
    <m/>
    <m/>
    <m/>
    <m/>
    <m/>
    <m/>
    <m/>
    <m/>
    <x v="98"/>
    <m/>
    <m/>
    <m/>
    <m/>
    <m/>
    <m/>
    <m/>
    <m/>
    <m/>
    <m/>
    <x v="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24F8B-72DD-4ED9-93E3-8C5C92332B10}" name="TablaDinámica2" cacheId="158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B13:H37" firstHeaderRow="0" firstDataRow="1" firstDataCol="3" rowPageCount="1" colPageCount="1"/>
  <pivotFields count="33">
    <pivotField compact="0" outline="0" subtotalTop="0" showAll="0" defaultSubtotal="0"/>
    <pivotField compact="0" outline="0" subtotalTop="0" showAll="0" defaultSubtotal="0">
      <items count="7">
        <item x="5"/>
        <item x="4"/>
        <item x="1"/>
        <item x="3"/>
        <item x="2"/>
        <item x="0"/>
        <item x="6"/>
      </items>
    </pivotField>
    <pivotField compact="0" outline="0" subtotalTop="0" showAll="0" defaultSubtotal="0">
      <items count="5">
        <item x="3"/>
        <item x="2"/>
        <item x="0"/>
        <item x="1"/>
        <item x="4"/>
      </items>
    </pivotField>
    <pivotField compact="0" outline="0" subtotalTop="0" showAll="0" defaultSubtotal="0">
      <items count="20">
        <item x="18"/>
        <item x="17"/>
        <item x="12"/>
        <item x="10"/>
        <item x="7"/>
        <item x="15"/>
        <item x="2"/>
        <item x="13"/>
        <item x="9"/>
        <item x="8"/>
        <item x="14"/>
        <item x="16"/>
        <item x="0"/>
        <item x="11"/>
        <item x="1"/>
        <item x="5"/>
        <item x="6"/>
        <item x="4"/>
        <item x="3"/>
        <item x="19"/>
      </items>
    </pivotField>
    <pivotField compact="0" outline="0" subtotalTop="0" showAll="0" defaultSubtotal="0"/>
    <pivotField compact="0" outline="0" subtotalTop="0" showAll="0" defaultSubtotal="0">
      <items count="5">
        <item h="1" x="1"/>
        <item h="1" x="0"/>
        <item x="2"/>
        <item h="1" x="3"/>
        <item h="1" x="4"/>
      </items>
    </pivotField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226">
        <item x="92"/>
        <item x="0"/>
        <item x="1"/>
        <item x="195"/>
        <item x="2"/>
        <item x="199"/>
        <item x="3"/>
        <item x="4"/>
        <item x="37"/>
        <item x="113"/>
        <item x="160"/>
        <item x="156"/>
        <item x="136"/>
        <item x="54"/>
        <item x="175"/>
        <item x="39"/>
        <item x="186"/>
        <item x="5"/>
        <item x="6"/>
        <item x="55"/>
        <item x="71"/>
        <item x="114"/>
        <item x="65"/>
        <item x="7"/>
        <item x="147"/>
        <item x="115"/>
        <item x="116"/>
        <item x="142"/>
        <item x="8"/>
        <item x="81"/>
        <item x="53"/>
        <item x="117"/>
        <item x="192"/>
        <item x="146"/>
        <item x="43"/>
        <item x="210"/>
        <item x="162"/>
        <item x="177"/>
        <item x="137"/>
        <item x="86"/>
        <item x="203"/>
        <item x="106"/>
        <item x="197"/>
        <item x="63"/>
        <item x="105"/>
        <item x="79"/>
        <item x="70"/>
        <item x="57"/>
        <item x="9"/>
        <item x="103"/>
        <item x="194"/>
        <item x="152"/>
        <item x="187"/>
        <item x="83"/>
        <item x="94"/>
        <item x="102"/>
        <item x="82"/>
        <item x="74"/>
        <item x="91"/>
        <item x="66"/>
        <item x="144"/>
        <item x="143"/>
        <item x="161"/>
        <item x="10"/>
        <item x="11"/>
        <item x="12"/>
        <item x="80"/>
        <item x="64"/>
        <item x="100"/>
        <item x="51"/>
        <item x="145"/>
        <item x="52"/>
        <item x="170"/>
        <item x="180"/>
        <item x="42"/>
        <item x="151"/>
        <item x="140"/>
        <item x="183"/>
        <item x="13"/>
        <item x="95"/>
        <item x="141"/>
        <item x="58"/>
        <item x="207"/>
        <item x="169"/>
        <item x="40"/>
        <item x="67"/>
        <item x="41"/>
        <item x="84"/>
        <item x="88"/>
        <item x="211"/>
        <item x="109"/>
        <item x="167"/>
        <item x="72"/>
        <item x="76"/>
        <item x="118"/>
        <item x="119"/>
        <item x="120"/>
        <item x="73"/>
        <item x="68"/>
        <item x="98"/>
        <item x="112"/>
        <item x="153"/>
        <item x="201"/>
        <item x="202"/>
        <item x="89"/>
        <item x="101"/>
        <item x="150"/>
        <item x="138"/>
        <item x="110"/>
        <item x="107"/>
        <item x="208"/>
        <item x="121"/>
        <item x="148"/>
        <item x="85"/>
        <item x="14"/>
        <item x="122"/>
        <item x="123"/>
        <item x="90"/>
        <item x="149"/>
        <item x="87"/>
        <item x="124"/>
        <item x="125"/>
        <item x="126"/>
        <item x="127"/>
        <item x="128"/>
        <item x="129"/>
        <item x="15"/>
        <item x="99"/>
        <item x="16"/>
        <item x="130"/>
        <item x="131"/>
        <item x="132"/>
        <item x="133"/>
        <item x="134"/>
        <item x="135"/>
        <item x="188"/>
        <item x="77"/>
        <item x="18"/>
        <item x="19"/>
        <item x="20"/>
        <item x="189"/>
        <item x="104"/>
        <item x="61"/>
        <item x="21"/>
        <item x="38"/>
        <item x="22"/>
        <item x="23"/>
        <item x="24"/>
        <item x="93"/>
        <item x="25"/>
        <item x="75"/>
        <item x="26"/>
        <item x="158"/>
        <item x="139"/>
        <item x="163"/>
        <item x="165"/>
        <item x="185"/>
        <item x="27"/>
        <item x="60"/>
        <item x="154"/>
        <item x="28"/>
        <item x="29"/>
        <item x="30"/>
        <item x="96"/>
        <item x="31"/>
        <item x="59"/>
        <item x="32"/>
        <item x="33"/>
        <item x="34"/>
        <item x="69"/>
        <item x="35"/>
        <item x="36"/>
        <item x="44"/>
        <item x="97"/>
        <item x="111"/>
        <item x="190"/>
        <item x="221"/>
        <item x="172"/>
        <item x="45"/>
        <item x="46"/>
        <item x="62"/>
        <item x="47"/>
        <item x="56"/>
        <item x="108"/>
        <item x="48"/>
        <item x="49"/>
        <item x="50"/>
        <item x="164"/>
        <item x="225"/>
        <item x="155"/>
        <item x="182"/>
        <item x="159"/>
        <item x="216"/>
        <item x="219"/>
        <item x="217"/>
        <item x="218"/>
        <item x="157"/>
        <item x="166"/>
        <item x="168"/>
        <item x="78"/>
        <item x="17"/>
        <item x="171"/>
        <item x="181"/>
        <item x="173"/>
        <item x="174"/>
        <item x="176"/>
        <item x="178"/>
        <item x="179"/>
        <item x="184"/>
        <item x="191"/>
        <item x="193"/>
        <item x="196"/>
        <item x="198"/>
        <item x="224"/>
        <item x="204"/>
        <item x="200"/>
        <item x="205"/>
        <item x="206"/>
        <item x="209"/>
        <item x="220"/>
        <item x="212"/>
        <item x="213"/>
        <item x="214"/>
        <item x="215"/>
        <item x="222"/>
        <item x="223"/>
      </items>
    </pivotField>
    <pivotField axis="axisRow" compact="0" outline="0" subtotalTop="0" showAll="0" defaultSubtotal="0">
      <items count="261">
        <item x="215"/>
        <item x="221"/>
        <item x="172"/>
        <item x="46"/>
        <item m="1" x="242"/>
        <item m="1" x="238"/>
        <item m="1" x="241"/>
        <item x="94"/>
        <item x="99"/>
        <item x="108"/>
        <item x="15"/>
        <item x="101"/>
        <item x="150"/>
        <item x="48"/>
        <item x="65"/>
        <item x="19"/>
        <item x="50"/>
        <item x="110"/>
        <item x="138"/>
        <item x="72"/>
        <item x="107"/>
        <item x="2"/>
        <item m="1" x="239"/>
        <item x="106"/>
        <item x="206"/>
        <item x="189"/>
        <item x="104"/>
        <item x="68"/>
        <item x="73"/>
        <item x="61"/>
        <item x="21"/>
        <item x="102"/>
        <item x="40"/>
        <item x="67"/>
        <item x="84"/>
        <item x="41"/>
        <item x="211"/>
        <item x="88"/>
        <item x="168"/>
        <item x="212"/>
        <item x="213"/>
        <item x="205"/>
        <item m="1" x="244"/>
        <item x="16"/>
        <item x="207"/>
        <item x="71"/>
        <item x="63"/>
        <item x="136"/>
        <item x="176"/>
        <item x="203"/>
        <item x="156"/>
        <item x="90"/>
        <item x="45"/>
        <item x="112"/>
        <item x="85"/>
        <item x="87"/>
        <item x="149"/>
        <item x="160"/>
        <item m="1" x="246"/>
        <item m="1" x="233"/>
        <item x="208"/>
        <item x="209"/>
        <item m="1" x="259"/>
        <item m="1" x="260"/>
        <item m="1" x="234"/>
        <item x="210"/>
        <item x="38"/>
        <item x="100"/>
        <item m="1" x="226"/>
        <item x="187"/>
        <item x="105"/>
        <item m="1" x="245"/>
        <item x="140"/>
        <item x="8"/>
        <item x="52"/>
        <item m="1" x="251"/>
        <item m="1" x="235"/>
        <item x="0"/>
        <item x="141"/>
        <item x="114"/>
        <item x="58"/>
        <item x="78"/>
        <item x="190"/>
        <item x="27"/>
        <item m="1" x="243"/>
        <item x="60"/>
        <item x="154"/>
        <item m="1" x="250"/>
        <item x="30"/>
        <item x="29"/>
        <item x="28"/>
        <item x="195"/>
        <item x="96"/>
        <item m="1" x="240"/>
        <item x="109"/>
        <item x="153"/>
        <item x="32"/>
        <item x="59"/>
        <item x="31"/>
        <item x="198"/>
        <item x="33"/>
        <item x="103"/>
        <item m="1" x="248"/>
        <item x="34"/>
        <item x="81"/>
        <item x="111"/>
        <item x="170"/>
        <item x="142"/>
        <item x="22"/>
        <item x="23"/>
        <item x="24"/>
        <item x="93"/>
        <item x="25"/>
        <item x="1"/>
        <item x="75"/>
        <item x="26"/>
        <item x="158"/>
        <item x="163"/>
        <item x="139"/>
        <item x="165"/>
        <item x="152"/>
        <item x="214"/>
        <item x="74"/>
        <item x="167"/>
        <item m="1" x="236"/>
        <item x="194"/>
        <item x="53"/>
        <item m="1" x="237"/>
        <item x="193"/>
        <item x="178"/>
        <item x="17"/>
        <item x="18"/>
        <item x="146"/>
        <item x="35"/>
        <item x="69"/>
        <item x="43"/>
        <item x="185"/>
        <item x="92"/>
        <item x="36"/>
        <item x="44"/>
        <item x="97"/>
        <item x="169"/>
        <item m="1" x="249"/>
        <item x="66"/>
        <item x="125"/>
        <item x="77"/>
        <item x="124"/>
        <item x="127"/>
        <item x="188"/>
        <item x="126"/>
        <item x="119"/>
        <item x="118"/>
        <item x="120"/>
        <item x="177"/>
        <item x="162"/>
        <item x="137"/>
        <item x="181"/>
        <item x="148"/>
        <item x="121"/>
        <item x="122"/>
        <item x="123"/>
        <item x="14"/>
        <item x="132"/>
        <item x="129"/>
        <item x="133"/>
        <item x="131"/>
        <item x="171"/>
        <item x="134"/>
        <item x="130"/>
        <item x="128"/>
        <item x="135"/>
        <item m="1" x="228"/>
        <item x="98"/>
        <item x="37"/>
        <item x="55"/>
        <item x="4"/>
        <item x="6"/>
        <item x="70"/>
        <item x="57"/>
        <item x="13"/>
        <item x="186"/>
        <item x="3"/>
        <item x="39"/>
        <item x="174"/>
        <item x="183"/>
        <item x="175"/>
        <item x="199"/>
        <item x="54"/>
        <item x="173"/>
        <item x="76"/>
        <item x="192"/>
        <item x="5"/>
        <item x="113"/>
        <item x="95"/>
        <item x="82"/>
        <item x="91"/>
        <item m="1" x="258"/>
        <item x="117"/>
        <item m="1" x="232"/>
        <item x="89"/>
        <item m="1" x="231"/>
        <item x="144"/>
        <item x="161"/>
        <item x="143"/>
        <item m="1" x="252"/>
        <item x="86"/>
        <item x="147"/>
        <item x="7"/>
        <item m="1" x="247"/>
        <item x="157"/>
        <item x="116"/>
        <item x="115"/>
        <item x="42"/>
        <item x="151"/>
        <item x="9"/>
        <item x="225"/>
        <item x="196"/>
        <item x="155"/>
        <item x="182"/>
        <item x="159"/>
        <item x="204"/>
        <item m="1" x="257"/>
        <item x="216"/>
        <item x="219"/>
        <item x="217"/>
        <item x="218"/>
        <item m="1" x="229"/>
        <item x="222"/>
        <item m="1" x="254"/>
        <item m="1" x="255"/>
        <item m="1" x="253"/>
        <item m="1" x="256"/>
        <item x="224"/>
        <item x="10"/>
        <item x="11"/>
        <item x="12"/>
        <item x="20"/>
        <item x="47"/>
        <item x="49"/>
        <item x="51"/>
        <item x="56"/>
        <item x="62"/>
        <item x="64"/>
        <item x="79"/>
        <item x="80"/>
        <item x="83"/>
        <item x="201"/>
        <item x="180"/>
        <item x="197"/>
        <item x="145"/>
        <item x="164"/>
        <item x="166"/>
        <item x="202"/>
        <item m="1" x="227"/>
        <item x="220"/>
        <item x="191"/>
        <item x="200"/>
        <item x="179"/>
        <item x="223"/>
        <item x="184"/>
        <item m="1" x="23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45">
        <item m="1" x="244"/>
        <item m="1" x="242"/>
        <item m="1" x="239"/>
        <item m="1" x="243"/>
        <item m="1" x="233"/>
        <item m="1" x="240"/>
        <item m="1" x="241"/>
        <item m="1" x="227"/>
        <item m="1" x="226"/>
        <item m="1" x="232"/>
        <item m="1" x="235"/>
        <item m="1" x="230"/>
        <item m="1" x="234"/>
        <item m="1" x="225"/>
        <item m="1" x="231"/>
        <item m="1" x="229"/>
        <item m="1" x="222"/>
        <item m="1" x="223"/>
        <item m="1" x="224"/>
        <item m="1" x="221"/>
        <item m="1" x="212"/>
        <item m="1" x="216"/>
        <item m="1" x="215"/>
        <item m="1" x="211"/>
        <item m="1" x="200"/>
        <item m="1" x="220"/>
        <item m="1" x="199"/>
        <item m="1" x="191"/>
        <item m="1" x="193"/>
        <item m="1" x="213"/>
        <item m="1" x="192"/>
        <item m="1" x="210"/>
        <item m="1" x="197"/>
        <item m="1" x="196"/>
        <item m="1" x="187"/>
        <item m="1" x="188"/>
        <item m="1" x="207"/>
        <item m="1" x="172"/>
        <item m="1" x="178"/>
        <item m="1" x="177"/>
        <item m="1" x="171"/>
        <item m="1" x="184"/>
        <item m="1" x="185"/>
        <item m="1" x="167"/>
        <item m="1" x="169"/>
        <item m="1" x="158"/>
        <item m="1" x="166"/>
        <item m="1" x="164"/>
        <item m="1" x="147"/>
        <item m="1" x="165"/>
        <item m="1" x="163"/>
        <item m="1" x="148"/>
        <item m="1" x="141"/>
        <item m="1" x="144"/>
        <item m="1" x="145"/>
        <item m="1" x="138"/>
        <item m="1" x="151"/>
        <item m="1" x="155"/>
        <item m="1" x="133"/>
        <item m="1" x="134"/>
        <item m="1" x="135"/>
        <item m="1" x="122"/>
        <item m="1" x="121"/>
        <item m="1" x="116"/>
        <item m="1" x="110"/>
        <item x="96"/>
        <item m="1" x="113"/>
        <item x="10"/>
        <item x="9"/>
        <item x="0"/>
        <item x="8"/>
        <item x="67"/>
        <item x="95"/>
        <item x="47"/>
        <item x="78"/>
        <item x="57"/>
        <item m="1" x="209"/>
        <item x="14"/>
        <item m="1" x="208"/>
        <item m="1" x="228"/>
        <item x="58"/>
        <item m="1" x="140"/>
        <item x="18"/>
        <item x="39"/>
        <item m="1" x="160"/>
        <item x="40"/>
        <item x="49"/>
        <item m="1" x="217"/>
        <item m="1" x="219"/>
        <item m="1" x="218"/>
        <item x="27"/>
        <item x="98"/>
        <item m="1" x="195"/>
        <item m="1" x="117"/>
        <item m="1" x="132"/>
        <item m="1" x="114"/>
        <item x="48"/>
        <item m="1" x="190"/>
        <item m="1" x="206"/>
        <item m="1" x="173"/>
        <item m="1" x="115"/>
        <item m="1" x="194"/>
        <item m="1" x="168"/>
        <item x="70"/>
        <item m="1" x="198"/>
        <item m="1" x="202"/>
        <item m="1" x="159"/>
        <item x="84"/>
        <item x="15"/>
        <item x="59"/>
        <item x="23"/>
        <item m="1" x="174"/>
        <item m="1" x="237"/>
        <item m="1" x="236"/>
        <item m="1" x="238"/>
        <item m="1" x="106"/>
        <item m="1" x="156"/>
        <item m="1" x="137"/>
        <item m="1" x="189"/>
        <item m="1" x="186"/>
        <item m="1" x="130"/>
        <item m="1" x="146"/>
        <item m="1" x="111"/>
        <item m="1" x="162"/>
        <item x="53"/>
        <item m="1" x="123"/>
        <item x="80"/>
        <item x="79"/>
        <item x="20"/>
        <item m="1" x="203"/>
        <item m="1" x="204"/>
        <item m="1" x="175"/>
        <item m="1" x="179"/>
        <item m="1" x="205"/>
        <item x="26"/>
        <item x="4"/>
        <item m="1" x="104"/>
        <item m="1" x="176"/>
        <item x="25"/>
        <item m="1" x="136"/>
        <item x="21"/>
        <item x="19"/>
        <item x="46"/>
        <item x="45"/>
        <item m="1" x="103"/>
        <item m="1" x="181"/>
        <item m="1" x="180"/>
        <item m="1" x="183"/>
        <item m="1" x="161"/>
        <item m="1" x="131"/>
        <item m="1" x="142"/>
        <item m="1" x="214"/>
        <item m="1" x="127"/>
        <item x="28"/>
        <item x="6"/>
        <item m="1" x="129"/>
        <item m="1" x="109"/>
        <item x="85"/>
        <item x="43"/>
        <item x="77"/>
        <item m="1" x="201"/>
        <item x="2"/>
        <item m="1" x="152"/>
        <item x="44"/>
        <item m="1" x="170"/>
        <item m="1" x="107"/>
        <item x="71"/>
        <item x="3"/>
        <item m="1" x="154"/>
        <item m="1" x="182"/>
        <item x="5"/>
        <item m="1" x="101"/>
        <item x="68"/>
        <item m="1" x="108"/>
        <item m="1" x="153"/>
        <item m="1" x="125"/>
        <item x="66"/>
        <item x="50"/>
        <item m="1" x="143"/>
        <item m="1" x="128"/>
        <item x="97"/>
        <item m="1" x="149"/>
        <item x="72"/>
        <item x="65"/>
        <item x="52"/>
        <item m="1" x="100"/>
        <item m="1" x="120"/>
        <item x="63"/>
        <item m="1" x="157"/>
        <item x="41"/>
        <item x="12"/>
        <item x="75"/>
        <item m="1" x="105"/>
        <item x="64"/>
        <item m="1" x="150"/>
        <item x="83"/>
        <item x="11"/>
        <item m="1" x="102"/>
        <item x="1"/>
        <item m="1" x="118"/>
        <item x="61"/>
        <item x="16"/>
        <item m="1" x="99"/>
        <item m="1" x="124"/>
        <item x="7"/>
        <item x="30"/>
        <item x="32"/>
        <item m="1" x="139"/>
        <item m="1" x="119"/>
        <item x="73"/>
        <item x="74"/>
        <item x="22"/>
        <item x="13"/>
        <item x="82"/>
        <item x="31"/>
        <item x="37"/>
        <item x="51"/>
        <item m="1" x="126"/>
        <item x="54"/>
        <item x="69"/>
        <item x="17"/>
        <item x="60"/>
        <item x="33"/>
        <item x="35"/>
        <item x="38"/>
        <item x="81"/>
        <item x="92"/>
        <item x="29"/>
        <item x="34"/>
        <item x="36"/>
        <item x="42"/>
        <item x="24"/>
        <item x="55"/>
        <item x="94"/>
        <item m="1" x="112"/>
        <item x="89"/>
        <item x="56"/>
        <item x="62"/>
        <item x="76"/>
        <item x="86"/>
        <item x="87"/>
        <item x="88"/>
        <item x="90"/>
        <item x="91"/>
        <item x="93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Page" compact="0" outline="0" multipleItemSelectionAllowed="1" showAll="0" defaultSubtotal="0">
      <items count="6">
        <item h="1" m="1" x="5"/>
        <item x="2"/>
        <item h="1" x="1"/>
        <item h="1" x="0"/>
        <item h="1" x="4"/>
        <item h="1" x="3"/>
      </items>
    </pivotField>
    <pivotField compact="0" outline="0" subtotalTop="0" showAll="0" defaultSubtotal="0"/>
    <pivotField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compact="0" outline="0" subtotalTop="0" showAll="0" defaultSubtotal="0">
      <items count="6">
        <item sd="0" x="1"/>
        <item sd="0" x="2"/>
        <item sd="0" x="3"/>
        <item sd="0" x="4"/>
        <item x="0"/>
        <item x="5"/>
      </items>
    </pivotField>
    <pivotField compact="0" outline="0" subtotalTop="0" showAll="0" defaultSubtotal="0">
      <items count="129">
        <item sd="0" x="125"/>
        <item sd="0"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7"/>
        <item x="128"/>
      </items>
    </pivotField>
  </pivotFields>
  <rowFields count="3">
    <field x="8"/>
    <field x="9"/>
    <field x="17"/>
  </rowFields>
  <rowItems count="24">
    <i>
      <x v="35"/>
      <x v="65"/>
      <x v="140"/>
    </i>
    <i>
      <x v="37"/>
      <x v="153"/>
      <x v="128"/>
    </i>
    <i>
      <x v="38"/>
      <x v="155"/>
      <x v="124"/>
    </i>
    <i>
      <x v="45"/>
      <x v="243"/>
      <x v="124"/>
    </i>
    <i>
      <x v="51"/>
      <x v="120"/>
      <x v="126"/>
    </i>
    <i>
      <x v="60"/>
      <x v="201"/>
      <x v="124"/>
    </i>
    <i>
      <x v="74"/>
      <x v="212"/>
      <x v="67"/>
    </i>
    <i>
      <x v="91"/>
      <x v="123"/>
      <x v="135"/>
    </i>
    <i>
      <x v="95"/>
      <x v="150"/>
      <x v="67"/>
    </i>
    <i>
      <x v="104"/>
      <x v="199"/>
      <x v="143"/>
    </i>
    <i r="2">
      <x v="176"/>
    </i>
    <i r="2">
      <x v="189"/>
    </i>
    <i>
      <x v="115"/>
      <x v="159"/>
      <x v="124"/>
    </i>
    <i>
      <x v="117"/>
      <x v="51"/>
      <x v="124"/>
    </i>
    <i>
      <x v="118"/>
      <x v="56"/>
      <x v="189"/>
    </i>
    <i>
      <x v="154"/>
      <x v="117"/>
      <x v="189"/>
    </i>
    <i>
      <x v="194"/>
      <x v="224"/>
      <x v="67"/>
    </i>
    <i>
      <x v="195"/>
      <x v="225"/>
      <x v="128"/>
    </i>
    <i r="2">
      <x v="189"/>
    </i>
    <i>
      <x v="196"/>
      <x v="209"/>
      <x v="67"/>
    </i>
    <i r="2">
      <x v="124"/>
    </i>
    <i>
      <x v="213"/>
      <x v="232"/>
      <x v="67"/>
    </i>
    <i>
      <x v="221"/>
      <x v="40"/>
      <x v="126"/>
    </i>
    <i>
      <x v="225"/>
      <x v="258"/>
      <x v="67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8" hier="-1"/>
  </pageFields>
  <dataFields count="4">
    <dataField name="Stock Actual" fld="20" baseField="1" baseItem="0"/>
    <dataField name="%  V.U." fld="19" baseField="10" baseItem="34" numFmtId="9"/>
    <dataField name=" Días para Caducar" fld="18" baseField="10" baseItem="14"/>
    <dataField name="Dolares" fld="26" baseField="15" baseItem="14" numFmtId="175"/>
  </dataFields>
  <formats count="207">
    <format dxfId="426">
      <pivotArea field="17" type="button" dataOnly="0" labelOnly="1" outline="0" axis="axisRow" fieldPosition="2"/>
    </format>
    <format dxfId="42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24">
      <pivotArea field="17" type="button" dataOnly="0" labelOnly="1" outline="0" axis="axisRow" fieldPosition="2"/>
    </format>
    <format dxfId="42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2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21">
      <pivotArea field="17" type="button" dataOnly="0" labelOnly="1" outline="0" axis="axisRow" fieldPosition="2"/>
    </format>
    <format dxfId="420">
      <pivotArea field="17" type="button" dataOnly="0" labelOnly="1" outline="0" axis="axisRow" fieldPosition="2"/>
    </format>
    <format dxfId="419">
      <pivotArea dataOnly="0" labelOnly="1" grandRow="1" outline="0" fieldPosition="0"/>
    </format>
    <format dxfId="418">
      <pivotArea dataOnly="0" labelOnly="1" outline="0" fieldPosition="0">
        <references count="3">
          <reference field="8" count="1" selected="0">
            <x v="0"/>
          </reference>
          <reference field="9" count="1" selected="0">
            <x v="137"/>
          </reference>
          <reference field="17" count="5">
            <x v="13"/>
            <x v="15"/>
            <x v="16"/>
            <x v="18"/>
            <x v="20"/>
          </reference>
        </references>
      </pivotArea>
    </format>
    <format dxfId="417">
      <pivotArea dataOnly="0" labelOnly="1" outline="0" fieldPosition="0">
        <references count="3">
          <reference field="8" count="1" selected="0">
            <x v="1"/>
          </reference>
          <reference field="9" count="1" selected="0">
            <x v="77"/>
          </reference>
          <reference field="17" count="3">
            <x v="9"/>
            <x v="20"/>
            <x v="28"/>
          </reference>
        </references>
      </pivotArea>
    </format>
    <format dxfId="416">
      <pivotArea dataOnly="0" labelOnly="1" outline="0" fieldPosition="0">
        <references count="3">
          <reference field="8" count="1" selected="0">
            <x v="2"/>
          </reference>
          <reference field="9" count="1" selected="0">
            <x v="113"/>
          </reference>
          <reference field="17" count="2">
            <x v="27"/>
            <x v="30"/>
          </reference>
        </references>
      </pivotArea>
    </format>
    <format dxfId="415">
      <pivotArea dataOnly="0" labelOnly="1" outline="0" fieldPosition="0">
        <references count="3">
          <reference field="8" count="1" selected="0">
            <x v="3"/>
          </reference>
          <reference field="9" count="1" selected="0">
            <x v="91"/>
          </reference>
          <reference field="17" count="1">
            <x v="61"/>
          </reference>
        </references>
      </pivotArea>
    </format>
    <format dxfId="414">
      <pivotArea dataOnly="0" labelOnly="1" outline="0" fieldPosition="0">
        <references count="3">
          <reference field="8" count="1" selected="0">
            <x v="4"/>
          </reference>
          <reference field="9" count="1" selected="0">
            <x v="21"/>
          </reference>
          <reference field="17" count="2">
            <x v="27"/>
            <x v="30"/>
          </reference>
        </references>
      </pivotArea>
    </format>
    <format dxfId="413">
      <pivotArea dataOnly="0" labelOnly="1" outline="0" fieldPosition="0">
        <references count="3">
          <reference field="8" count="1" selected="0">
            <x v="5"/>
          </reference>
          <reference field="9" count="1" selected="0">
            <x v="186"/>
          </reference>
          <reference field="17" count="3">
            <x v="29"/>
            <x v="31"/>
            <x v="32"/>
          </reference>
        </references>
      </pivotArea>
    </format>
    <format dxfId="412">
      <pivotArea dataOnly="0" labelOnly="1" outline="0" fieldPosition="0">
        <references count="3">
          <reference field="8" count="1" selected="0">
            <x v="6"/>
          </reference>
          <reference field="9" count="1" selected="0">
            <x v="181"/>
          </reference>
          <reference field="17" count="2">
            <x v="29"/>
            <x v="32"/>
          </reference>
        </references>
      </pivotArea>
    </format>
    <format dxfId="411">
      <pivotArea dataOnly="0" labelOnly="1" outline="0" fieldPosition="0">
        <references count="3">
          <reference field="8" count="1" selected="0">
            <x v="7"/>
          </reference>
          <reference field="9" count="1" selected="0">
            <x v="175"/>
          </reference>
          <reference field="17" count="4">
            <x v="15"/>
            <x v="20"/>
            <x v="22"/>
            <x v="27"/>
          </reference>
        </references>
      </pivotArea>
    </format>
    <format dxfId="410">
      <pivotArea dataOnly="0" labelOnly="1" outline="0" fieldPosition="0">
        <references count="3">
          <reference field="8" count="1" selected="0">
            <x v="8"/>
          </reference>
          <reference field="9" count="1" selected="0">
            <x v="173"/>
          </reference>
          <reference field="17" count="2">
            <x v="27"/>
            <x v="30"/>
          </reference>
        </references>
      </pivotArea>
    </format>
    <format dxfId="409">
      <pivotArea dataOnly="0" labelOnly="1" outline="0" fieldPosition="0">
        <references count="3">
          <reference field="8" count="1" selected="0">
            <x v="9"/>
          </reference>
          <reference field="9" count="1" selected="0">
            <x v="192"/>
          </reference>
          <reference field="17" count="6">
            <x v="14"/>
            <x v="21"/>
            <x v="22"/>
            <x v="24"/>
            <x v="27"/>
            <x v="30"/>
          </reference>
        </references>
      </pivotArea>
    </format>
    <format dxfId="408">
      <pivotArea dataOnly="0" labelOnly="1" outline="0" fieldPosition="0">
        <references count="3">
          <reference field="8" count="1" selected="0">
            <x v="10"/>
          </reference>
          <reference field="9" count="1" selected="0">
            <x v="57"/>
          </reference>
          <reference field="17" count="2">
            <x v="8"/>
            <x v="27"/>
          </reference>
        </references>
      </pivotArea>
    </format>
    <format dxfId="407">
      <pivotArea dataOnly="0" labelOnly="1" outline="0" fieldPosition="0">
        <references count="3">
          <reference field="8" count="1" selected="0">
            <x v="11"/>
          </reference>
          <reference field="9" count="1" selected="0">
            <x v="50"/>
          </reference>
          <reference field="17" count="1">
            <x v="27"/>
          </reference>
        </references>
      </pivotArea>
    </format>
    <format dxfId="406">
      <pivotArea dataOnly="0" labelOnly="1" outline="0" fieldPosition="0">
        <references count="3">
          <reference field="8" count="1" selected="0">
            <x v="12"/>
          </reference>
          <reference field="9" count="1" selected="0">
            <x v="47"/>
          </reference>
          <reference field="17" count="5">
            <x v="42"/>
            <x v="59"/>
            <x v="65"/>
            <x v="71"/>
            <x v="78"/>
          </reference>
        </references>
      </pivotArea>
    </format>
    <format dxfId="405">
      <pivotArea dataOnly="0" labelOnly="1" outline="0" fieldPosition="0">
        <references count="3">
          <reference field="8" count="1" selected="0">
            <x v="13"/>
          </reference>
          <reference field="9" count="1" selected="0">
            <x v="187"/>
          </reference>
          <reference field="17" count="2">
            <x v="22"/>
            <x v="27"/>
          </reference>
        </references>
      </pivotArea>
    </format>
    <format dxfId="404">
      <pivotArea dataOnly="0" labelOnly="1" outline="0" fieldPosition="0">
        <references count="3">
          <reference field="8" count="1" selected="0">
            <x v="14"/>
          </reference>
          <reference field="9" count="1" selected="0">
            <x v="185"/>
          </reference>
          <reference field="17" count="2">
            <x v="27"/>
            <x v="29"/>
          </reference>
        </references>
      </pivotArea>
    </format>
    <format dxfId="403">
      <pivotArea dataOnly="0" labelOnly="1" outline="0" fieldPosition="0">
        <references count="3">
          <reference field="8" count="1" selected="0">
            <x v="15"/>
          </reference>
          <reference field="9" count="1" selected="0">
            <x v="182"/>
          </reference>
          <reference field="17" count="2">
            <x v="27"/>
            <x v="29"/>
          </reference>
        </references>
      </pivotArea>
    </format>
    <format dxfId="402">
      <pivotArea dataOnly="0" labelOnly="1" outline="0" fieldPosition="0">
        <references count="3">
          <reference field="8" count="1" selected="0">
            <x v="16"/>
          </reference>
          <reference field="9" count="1" selected="0">
            <x v="180"/>
          </reference>
          <reference field="17" count="2">
            <x v="22"/>
            <x v="29"/>
          </reference>
        </references>
      </pivotArea>
    </format>
    <format dxfId="401">
      <pivotArea dataOnly="0" labelOnly="1" outline="0" fieldPosition="0">
        <references count="3">
          <reference field="8" count="1" selected="0">
            <x v="17"/>
          </reference>
          <reference field="9" count="1" selected="0">
            <x v="191"/>
          </reference>
          <reference field="17" count="1">
            <x v="27"/>
          </reference>
        </references>
      </pivotArea>
    </format>
    <format dxfId="400">
      <pivotArea dataOnly="0" labelOnly="1" outline="0" fieldPosition="0">
        <references count="3">
          <reference field="8" count="1" selected="0">
            <x v="18"/>
          </reference>
          <reference field="9" count="1" selected="0">
            <x v="176"/>
          </reference>
          <reference field="17" count="3">
            <x v="20"/>
            <x v="27"/>
            <x v="45"/>
          </reference>
        </references>
      </pivotArea>
    </format>
    <format dxfId="399">
      <pivotArea dataOnly="0" labelOnly="1" outline="0" fieldPosition="0">
        <references count="3">
          <reference field="8" count="1" selected="0">
            <x v="19"/>
          </reference>
          <reference field="9" count="1" selected="0">
            <x v="174"/>
          </reference>
          <reference field="17" count="3">
            <x v="20"/>
            <x v="22"/>
            <x v="29"/>
          </reference>
        </references>
      </pivotArea>
    </format>
    <format dxfId="398">
      <pivotArea dataOnly="0" labelOnly="1" outline="0" fieldPosition="0">
        <references count="3">
          <reference field="8" count="1" selected="0">
            <x v="20"/>
          </reference>
          <reference field="9" count="1" selected="0">
            <x v="45"/>
          </reference>
          <reference field="17" count="1">
            <x v="79"/>
          </reference>
        </references>
      </pivotArea>
    </format>
    <format dxfId="397">
      <pivotArea dataOnly="0" labelOnly="1" outline="0" fieldPosition="0">
        <references count="3">
          <reference field="8" count="1" selected="0">
            <x v="21"/>
          </reference>
          <reference field="9" count="1" selected="0">
            <x v="79"/>
          </reference>
          <reference field="17" count="1">
            <x v="32"/>
          </reference>
        </references>
      </pivotArea>
    </format>
    <format dxfId="396">
      <pivotArea dataOnly="0" labelOnly="1" outline="0" fieldPosition="0">
        <references count="3">
          <reference field="8" count="1" selected="0">
            <x v="22"/>
          </reference>
          <reference field="9" count="1" selected="0">
            <x v="14"/>
          </reference>
          <reference field="17" count="3">
            <x v="27"/>
            <x v="30"/>
            <x v="32"/>
          </reference>
        </references>
      </pivotArea>
    </format>
    <format dxfId="395">
      <pivotArea dataOnly="0" labelOnly="1" outline="0" fieldPosition="0">
        <references count="3">
          <reference field="8" count="1" selected="0">
            <x v="23"/>
          </reference>
          <reference field="9" count="1" selected="0">
            <x v="207"/>
          </reference>
          <reference field="17" count="3">
            <x v="22"/>
            <x v="27"/>
            <x v="29"/>
          </reference>
        </references>
      </pivotArea>
    </format>
    <format dxfId="394">
      <pivotArea dataOnly="0" labelOnly="1" outline="0" fieldPosition="0">
        <references count="3">
          <reference field="8" count="1" selected="0">
            <x v="24"/>
          </reference>
          <reference field="9" count="1" selected="0">
            <x v="206"/>
          </reference>
          <reference field="17" count="2">
            <x v="28"/>
            <x v="29"/>
          </reference>
        </references>
      </pivotArea>
    </format>
    <format dxfId="393">
      <pivotArea dataOnly="0" labelOnly="1" outline="0" fieldPosition="0">
        <references count="3">
          <reference field="8" count="1" selected="0">
            <x v="25"/>
          </reference>
          <reference field="9" count="1" selected="0">
            <x v="211"/>
          </reference>
          <reference field="17" count="1">
            <x v="29"/>
          </reference>
        </references>
      </pivotArea>
    </format>
    <format dxfId="392">
      <pivotArea dataOnly="0" labelOnly="1" outline="0" fieldPosition="0">
        <references count="3">
          <reference field="8" count="1" selected="0">
            <x v="26"/>
          </reference>
          <reference field="9" count="1" selected="0">
            <x v="210"/>
          </reference>
          <reference field="17" count="2">
            <x v="20"/>
            <x v="27"/>
          </reference>
        </references>
      </pivotArea>
    </format>
    <format dxfId="391">
      <pivotArea dataOnly="0" labelOnly="1" outline="0" fieldPosition="0">
        <references count="3">
          <reference field="8" count="1" selected="0">
            <x v="27"/>
          </reference>
          <reference field="9" count="1" selected="0">
            <x v="107"/>
          </reference>
          <reference field="17" count="4">
            <x v="4"/>
            <x v="12"/>
            <x v="13"/>
            <x v="14"/>
          </reference>
        </references>
      </pivotArea>
    </format>
    <format dxfId="390">
      <pivotArea dataOnly="0" labelOnly="1" outline="0" fieldPosition="0">
        <references count="3">
          <reference field="8" count="1" selected="0">
            <x v="28"/>
          </reference>
          <reference field="9" count="1" selected="0">
            <x v="73"/>
          </reference>
          <reference field="17" count="3">
            <x v="49"/>
            <x v="57"/>
            <x v="59"/>
          </reference>
        </references>
      </pivotArea>
    </format>
    <format dxfId="389">
      <pivotArea dataOnly="0" labelOnly="1" outline="0" fieldPosition="0">
        <references count="3">
          <reference field="8" count="1" selected="0">
            <x v="29"/>
          </reference>
          <reference field="9" count="1" selected="0">
            <x v="104"/>
          </reference>
          <reference field="17" count="2">
            <x v="33"/>
            <x v="35"/>
          </reference>
        </references>
      </pivotArea>
    </format>
    <format dxfId="388">
      <pivotArea dataOnly="0" labelOnly="1" outline="0" fieldPosition="0">
        <references count="3">
          <reference field="8" count="1" selected="0">
            <x v="30"/>
          </reference>
          <reference field="9" count="1" selected="0">
            <x v="126"/>
          </reference>
          <reference field="17" count="3">
            <x v="11"/>
            <x v="18"/>
            <x v="55"/>
          </reference>
        </references>
      </pivotArea>
    </format>
    <format dxfId="387">
      <pivotArea dataOnly="0" labelOnly="1" outline="0" fieldPosition="0">
        <references count="3">
          <reference field="8" count="1" selected="0">
            <x v="31"/>
          </reference>
          <reference field="9" count="1" selected="0">
            <x v="197"/>
          </reference>
          <reference field="17" count="4">
            <x v="13"/>
            <x v="23"/>
            <x v="27"/>
            <x v="28"/>
          </reference>
        </references>
      </pivotArea>
    </format>
    <format dxfId="386">
      <pivotArea dataOnly="0" labelOnly="1" outline="0" fieldPosition="0">
        <references count="3">
          <reference field="8" count="1" selected="0">
            <x v="32"/>
          </reference>
          <reference field="9" count="1" selected="0">
            <x v="190"/>
          </reference>
          <reference field="17" count="2">
            <x v="29"/>
            <x v="30"/>
          </reference>
        </references>
      </pivotArea>
    </format>
    <format dxfId="385">
      <pivotArea dataOnly="0" labelOnly="1" outline="0" fieldPosition="0">
        <references count="3">
          <reference field="8" count="1" selected="0">
            <x v="33"/>
          </reference>
          <reference field="9" count="1" selected="0">
            <x v="132"/>
          </reference>
          <reference field="17" count="2">
            <x v="31"/>
            <x v="39"/>
          </reference>
        </references>
      </pivotArea>
    </format>
    <format dxfId="384">
      <pivotArea dataOnly="0" labelOnly="1" outline="0" fieldPosition="0">
        <references count="3">
          <reference field="8" count="1" selected="0">
            <x v="34"/>
          </reference>
          <reference field="9" count="1" selected="0">
            <x v="135"/>
          </reference>
          <reference field="17" count="1">
            <x v="39"/>
          </reference>
        </references>
      </pivotArea>
    </format>
    <format dxfId="383">
      <pivotArea dataOnly="0" labelOnly="1" outline="0" fieldPosition="0">
        <references count="3">
          <reference field="8" count="1" selected="0">
            <x v="35"/>
          </reference>
          <reference field="9" count="1" selected="0">
            <x v="65"/>
          </reference>
          <reference field="17" count="2">
            <x v="12"/>
            <x v="19"/>
          </reference>
        </references>
      </pivotArea>
    </format>
    <format dxfId="382">
      <pivotArea dataOnly="0" labelOnly="1" outline="0" fieldPosition="0">
        <references count="3">
          <reference field="8" count="1" selected="0">
            <x v="36"/>
          </reference>
          <reference field="9" count="1" selected="0">
            <x v="154"/>
          </reference>
          <reference field="17" count="1">
            <x v="16"/>
          </reference>
        </references>
      </pivotArea>
    </format>
    <format dxfId="381">
      <pivotArea dataOnly="0" labelOnly="1" outline="0" fieldPosition="0">
        <references count="3">
          <reference field="8" count="1" selected="0">
            <x v="37"/>
          </reference>
          <reference field="9" count="1" selected="0">
            <x v="153"/>
          </reference>
          <reference field="17" count="2">
            <x v="16"/>
            <x v="27"/>
          </reference>
        </references>
      </pivotArea>
    </format>
    <format dxfId="380">
      <pivotArea dataOnly="0" labelOnly="1" outline="0" fieldPosition="0">
        <references count="3">
          <reference field="8" count="1" selected="0">
            <x v="38"/>
          </reference>
          <reference field="9" count="1" selected="0">
            <x v="155"/>
          </reference>
          <reference field="17" count="2">
            <x v="8"/>
            <x v="15"/>
          </reference>
        </references>
      </pivotArea>
    </format>
    <format dxfId="379">
      <pivotArea dataOnly="0" labelOnly="1" outline="0" fieldPosition="0">
        <references count="3">
          <reference field="8" count="1" selected="0">
            <x v="39"/>
          </reference>
          <reference field="9" count="1" selected="0">
            <x v="205"/>
          </reference>
          <reference field="17" count="1">
            <x v="29"/>
          </reference>
        </references>
      </pivotArea>
    </format>
    <format dxfId="378">
      <pivotArea dataOnly="0" labelOnly="1" outline="0" fieldPosition="0">
        <references count="3">
          <reference field="8" count="1" selected="0">
            <x v="40"/>
          </reference>
          <reference field="9" count="1" selected="0">
            <x v="49"/>
          </reference>
          <reference field="17" count="1">
            <x v="23"/>
          </reference>
        </references>
      </pivotArea>
    </format>
    <format dxfId="377">
      <pivotArea dataOnly="0" labelOnly="1" outline="0" fieldPosition="0">
        <references count="3">
          <reference field="8" count="1" selected="0">
            <x v="41"/>
          </reference>
          <reference field="9" count="1" selected="0">
            <x v="23"/>
          </reference>
          <reference field="17" count="1">
            <x v="90"/>
          </reference>
        </references>
      </pivotArea>
    </format>
    <format dxfId="376">
      <pivotArea dataOnly="0" labelOnly="1" outline="0" fieldPosition="0">
        <references count="3">
          <reference field="8" count="1" selected="0">
            <x v="42"/>
          </reference>
          <reference field="9" count="1" selected="0">
            <x v="142"/>
          </reference>
          <reference field="17" count="1">
            <x v="23"/>
          </reference>
        </references>
      </pivotArea>
    </format>
    <format dxfId="375">
      <pivotArea dataOnly="0" labelOnly="1" outline="0" fieldPosition="0">
        <references count="3">
          <reference field="8" count="1" selected="0">
            <x v="43"/>
          </reference>
          <reference field="9" count="1" selected="0">
            <x v="46"/>
          </reference>
          <reference field="17" count="1">
            <x v="22"/>
          </reference>
        </references>
      </pivotArea>
    </format>
    <format dxfId="374">
      <pivotArea dataOnly="0" labelOnly="1" outline="0" fieldPosition="0">
        <references count="3">
          <reference field="8" count="1" selected="0">
            <x v="44"/>
          </reference>
          <reference field="9" count="1" selected="0">
            <x v="70"/>
          </reference>
          <reference field="17" count="1">
            <x v="39"/>
          </reference>
        </references>
      </pivotArea>
    </format>
    <format dxfId="373">
      <pivotArea dataOnly="0" labelOnly="1" outline="0" fieldPosition="0">
        <references count="3">
          <reference field="8" count="1" selected="0">
            <x v="45"/>
          </reference>
          <reference field="9" count="1" selected="0">
            <x v="42"/>
          </reference>
          <reference field="17" count="2">
            <x v="21"/>
            <x v="28"/>
          </reference>
        </references>
      </pivotArea>
    </format>
    <format dxfId="372">
      <pivotArea dataOnly="0" labelOnly="1" outline="0" fieldPosition="0">
        <references count="3">
          <reference field="8" count="1" selected="0">
            <x v="46"/>
          </reference>
          <reference field="9" count="1" selected="0">
            <x v="177"/>
          </reference>
          <reference field="17" count="3">
            <x v="15"/>
            <x v="22"/>
            <x v="27"/>
          </reference>
        </references>
      </pivotArea>
    </format>
    <format dxfId="371">
      <pivotArea dataOnly="0" labelOnly="1" outline="0" fieldPosition="0">
        <references count="3">
          <reference field="8" count="1" selected="0">
            <x v="47"/>
          </reference>
          <reference field="9" count="1" selected="0">
            <x v="178"/>
          </reference>
          <reference field="17" count="2">
            <x v="27"/>
            <x v="33"/>
          </reference>
        </references>
      </pivotArea>
    </format>
    <format dxfId="370">
      <pivotArea dataOnly="0" labelOnly="1" outline="0" fieldPosition="0">
        <references count="3">
          <reference field="8" count="1" selected="0">
            <x v="48"/>
          </reference>
          <reference field="9" count="1" selected="0">
            <x v="214"/>
          </reference>
          <reference field="17" count="1">
            <x v="28"/>
          </reference>
        </references>
      </pivotArea>
    </format>
    <format dxfId="369">
      <pivotArea dataOnly="0" labelOnly="1" outline="0" fieldPosition="0">
        <references count="3">
          <reference field="8" count="1" selected="0">
            <x v="49"/>
          </reference>
          <reference field="9" count="1" selected="0">
            <x v="101"/>
          </reference>
          <reference field="17" count="2">
            <x v="39"/>
            <x v="44"/>
          </reference>
        </references>
      </pivotArea>
    </format>
    <format dxfId="368">
      <pivotArea dataOnly="0" labelOnly="1" outline="0" fieldPosition="0">
        <references count="3">
          <reference field="8" count="1" selected="0">
            <x v="50"/>
          </reference>
          <reference field="9" count="1" selected="0">
            <x v="125"/>
          </reference>
          <reference field="17" count="3">
            <x v="11"/>
            <x v="13"/>
            <x v="18"/>
          </reference>
        </references>
      </pivotArea>
    </format>
    <format dxfId="367">
      <pivotArea dataOnly="0" labelOnly="1" outline="0" fieldPosition="0">
        <references count="3">
          <reference field="8" count="1" selected="0">
            <x v="51"/>
          </reference>
          <reference field="9" count="1" selected="0">
            <x v="120"/>
          </reference>
          <reference field="17" count="1">
            <x v="12"/>
          </reference>
        </references>
      </pivotArea>
    </format>
    <format dxfId="366">
      <pivotArea dataOnly="0" labelOnly="1" outline="0" fieldPosition="0">
        <references count="3">
          <reference field="8" count="1" selected="0">
            <x v="52"/>
          </reference>
          <reference field="9" count="1" selected="0">
            <x v="69"/>
          </reference>
          <reference field="17" count="1">
            <x v="38"/>
          </reference>
        </references>
      </pivotArea>
    </format>
    <format dxfId="365">
      <pivotArea dataOnly="0" labelOnly="1" outline="0" fieldPosition="0">
        <references count="3">
          <reference field="8" count="1" selected="0">
            <x v="53"/>
          </reference>
          <reference field="9" count="1" selected="0">
            <x v="58"/>
          </reference>
          <reference field="17" count="4">
            <x v="15"/>
            <x v="21"/>
            <x v="22"/>
            <x v="24"/>
          </reference>
        </references>
      </pivotArea>
    </format>
    <format dxfId="364">
      <pivotArea dataOnly="0" labelOnly="1" outline="0" fieldPosition="0">
        <references count="3">
          <reference field="8" count="1" selected="0">
            <x v="54"/>
          </reference>
          <reference field="9" count="1" selected="0">
            <x v="7"/>
          </reference>
          <reference field="17" count="2">
            <x v="68"/>
            <x v="75"/>
          </reference>
        </references>
      </pivotArea>
    </format>
    <format dxfId="363">
      <pivotArea dataOnly="0" labelOnly="1" outline="0" fieldPosition="0">
        <references count="3">
          <reference field="8" count="1" selected="0">
            <x v="55"/>
          </reference>
          <reference field="9" count="1" selected="0">
            <x v="31"/>
          </reference>
          <reference field="17" count="2">
            <x v="73"/>
            <x v="75"/>
          </reference>
        </references>
      </pivotArea>
    </format>
    <format dxfId="362">
      <pivotArea dataOnly="0" labelOnly="1" outline="0" fieldPosition="0">
        <references count="3">
          <reference field="8" count="1" selected="0">
            <x v="56"/>
          </reference>
          <reference field="9" count="1" selected="0">
            <x v="194"/>
          </reference>
          <reference field="17" count="4">
            <x v="22"/>
            <x v="23"/>
            <x v="28"/>
            <x v="29"/>
          </reference>
        </references>
      </pivotArea>
    </format>
    <format dxfId="361">
      <pivotArea dataOnly="0" labelOnly="1" outline="0" fieldPosition="0">
        <references count="3">
          <reference field="8" count="1" selected="0">
            <x v="57"/>
          </reference>
          <reference field="9" count="1" selected="0">
            <x v="122"/>
          </reference>
          <reference field="17" count="2">
            <x v="17"/>
            <x v="25"/>
          </reference>
        </references>
      </pivotArea>
    </format>
    <format dxfId="360">
      <pivotArea dataOnly="0" labelOnly="1" outline="0" fieldPosition="0">
        <references count="3">
          <reference field="8" count="1" selected="0">
            <x v="58"/>
          </reference>
          <reference field="9" count="1" selected="0">
            <x v="195"/>
          </reference>
          <reference field="17" count="2">
            <x v="13"/>
            <x v="20"/>
          </reference>
        </references>
      </pivotArea>
    </format>
    <format dxfId="359">
      <pivotArea dataOnly="0" labelOnly="1" outline="0" fieldPosition="0">
        <references count="3">
          <reference field="8" count="1" selected="0">
            <x v="59"/>
          </reference>
          <reference field="9" count="1" selected="0">
            <x v="143"/>
          </reference>
          <reference field="17" count="3">
            <x v="49"/>
            <x v="55"/>
            <x v="56"/>
          </reference>
        </references>
      </pivotArea>
    </format>
    <format dxfId="358">
      <pivotArea dataOnly="0" labelOnly="1" outline="0" fieldPosition="0">
        <references count="3">
          <reference field="8" count="1" selected="0">
            <x v="60"/>
          </reference>
          <reference field="9" count="1" selected="0">
            <x v="201"/>
          </reference>
          <reference field="17" count="2">
            <x v="29"/>
            <x v="33"/>
          </reference>
        </references>
      </pivotArea>
    </format>
    <format dxfId="357">
      <pivotArea dataOnly="0" labelOnly="1" outline="0" fieldPosition="0">
        <references count="3">
          <reference field="8" count="1" selected="0">
            <x v="61"/>
          </reference>
          <reference field="9" count="1" selected="0">
            <x v="203"/>
          </reference>
          <reference field="17" count="2">
            <x v="29"/>
            <x v="33"/>
          </reference>
        </references>
      </pivotArea>
    </format>
    <format dxfId="356">
      <pivotArea dataOnly="0" labelOnly="1" outline="0" fieldPosition="0">
        <references count="3">
          <reference field="8" count="1" selected="0">
            <x v="62"/>
          </reference>
          <reference field="9" count="1" selected="0">
            <x v="202"/>
          </reference>
          <reference field="17" count="3">
            <x v="13"/>
            <x v="20"/>
            <x v="33"/>
          </reference>
        </references>
      </pivotArea>
    </format>
    <format dxfId="355">
      <pivotArea dataOnly="0" labelOnly="1" outline="0" fieldPosition="0">
        <references count="3">
          <reference field="8" count="1" selected="0">
            <x v="63"/>
          </reference>
          <reference field="9" count="1" selected="0">
            <x v="64"/>
          </reference>
          <reference field="17" count="3">
            <x v="9"/>
            <x v="16"/>
            <x v="23"/>
          </reference>
        </references>
      </pivotArea>
    </format>
    <format dxfId="354">
      <pivotArea dataOnly="0" labelOnly="1" outline="0" fieldPosition="0">
        <references count="3">
          <reference field="8" count="1" selected="0">
            <x v="64"/>
          </reference>
          <reference field="9" count="1" selected="0">
            <x v="76"/>
          </reference>
          <reference field="17" count="4">
            <x v="53"/>
            <x v="57"/>
            <x v="60"/>
            <x v="62"/>
          </reference>
        </references>
      </pivotArea>
    </format>
    <format dxfId="353">
      <pivotArea dataOnly="0" labelOnly="1" outline="0" fieldPosition="0">
        <references count="3">
          <reference field="8" count="1" selected="0">
            <x v="65"/>
          </reference>
          <reference field="9" count="1" selected="0">
            <x v="124"/>
          </reference>
          <reference field="17" count="2">
            <x v="13"/>
            <x v="14"/>
          </reference>
        </references>
      </pivotArea>
    </format>
    <format dxfId="352">
      <pivotArea dataOnly="0" labelOnly="1" outline="0" fieldPosition="0">
        <references count="3">
          <reference field="8" count="1" selected="0">
            <x v="66"/>
          </reference>
          <reference field="9" count="1" selected="0">
            <x v="71"/>
          </reference>
          <reference field="17" count="1">
            <x v="35"/>
          </reference>
        </references>
      </pivotArea>
    </format>
    <format dxfId="351">
      <pivotArea dataOnly="0" labelOnly="1" outline="0" fieldPosition="0">
        <references count="3">
          <reference field="8" count="1" selected="0">
            <x v="67"/>
          </reference>
          <reference field="9" count="1" selected="0">
            <x v="84"/>
          </reference>
          <reference field="17" count="2">
            <x v="9"/>
            <x v="13"/>
          </reference>
        </references>
      </pivotArea>
    </format>
    <format dxfId="350">
      <pivotArea dataOnly="0" labelOnly="1" outline="0" fieldPosition="0">
        <references count="3">
          <reference field="8" count="1" selected="0">
            <x v="68"/>
          </reference>
          <reference field="9" count="1" selected="0">
            <x v="67"/>
          </reference>
          <reference field="17" count="2">
            <x v="12"/>
            <x v="30"/>
          </reference>
        </references>
      </pivotArea>
    </format>
    <format dxfId="349">
      <pivotArea dataOnly="0" labelOnly="1" outline="0" fieldPosition="0">
        <references count="3">
          <reference field="8" count="1" selected="0">
            <x v="69"/>
          </reference>
          <reference field="9" count="1" selected="0">
            <x v="93"/>
          </reference>
          <reference field="17" count="3">
            <x v="3"/>
            <x v="21"/>
            <x v="37"/>
          </reference>
        </references>
      </pivotArea>
    </format>
    <format dxfId="348">
      <pivotArea dataOnly="0" labelOnly="1" outline="0" fieldPosition="0">
        <references count="3">
          <reference field="8" count="1" selected="0">
            <x v="70"/>
          </reference>
          <reference field="9" count="1" selected="0">
            <x v="87"/>
          </reference>
          <reference field="17" count="1">
            <x v="39"/>
          </reference>
        </references>
      </pivotArea>
    </format>
    <format dxfId="347">
      <pivotArea dataOnly="0" labelOnly="1" outline="0" fieldPosition="0">
        <references count="3">
          <reference field="8" count="1" selected="0">
            <x v="71"/>
          </reference>
          <reference field="9" count="1" selected="0">
            <x v="74"/>
          </reference>
          <reference field="17" count="3">
            <x v="15"/>
            <x v="16"/>
            <x v="34"/>
          </reference>
        </references>
      </pivotArea>
    </format>
    <format dxfId="346">
      <pivotArea dataOnly="0" labelOnly="1" outline="0" fieldPosition="0">
        <references count="3">
          <reference field="8" count="1" selected="0">
            <x v="72"/>
          </reference>
          <reference field="9" count="1" selected="0">
            <x v="106"/>
          </reference>
          <reference field="17" count="1">
            <x v="24"/>
          </reference>
        </references>
      </pivotArea>
    </format>
    <format dxfId="345">
      <pivotArea dataOnly="0" labelOnly="1" outline="0" fieldPosition="0">
        <references count="3">
          <reference field="8" count="1" selected="0">
            <x v="73"/>
          </reference>
          <reference field="9" count="1" selected="0">
            <x v="102"/>
          </reference>
          <reference field="17" count="3">
            <x v="30"/>
            <x v="36"/>
            <x v="37"/>
          </reference>
        </references>
      </pivotArea>
    </format>
    <format dxfId="344">
      <pivotArea dataOnly="0" labelOnly="1" outline="0" fieldPosition="0">
        <references count="3">
          <reference field="8" count="1" selected="0">
            <x v="74"/>
          </reference>
          <reference field="9" count="1" selected="0">
            <x v="212"/>
          </reference>
          <reference field="17" count="2">
            <x v="5"/>
            <x v="27"/>
          </reference>
        </references>
      </pivotArea>
    </format>
    <format dxfId="343">
      <pivotArea dataOnly="0" labelOnly="1" outline="0" fieldPosition="0">
        <references count="3">
          <reference field="8" count="1" selected="0">
            <x v="75"/>
          </reference>
          <reference field="9" count="1" selected="0">
            <x v="213"/>
          </reference>
          <reference field="17" count="2">
            <x v="27"/>
            <x v="29"/>
          </reference>
        </references>
      </pivotArea>
    </format>
    <format dxfId="342">
      <pivotArea dataOnly="0" labelOnly="1" outline="0" fieldPosition="0">
        <references count="3">
          <reference field="8" count="1" selected="0">
            <x v="76"/>
          </reference>
          <reference field="9" count="1" selected="0">
            <x v="72"/>
          </reference>
          <reference field="17" count="4">
            <x v="35"/>
            <x v="37"/>
            <x v="50"/>
            <x v="51"/>
          </reference>
        </references>
      </pivotArea>
    </format>
    <format dxfId="341">
      <pivotArea dataOnly="0" labelOnly="1" outline="0" fieldPosition="0">
        <references count="3">
          <reference field="8" count="1" selected="0">
            <x v="77"/>
          </reference>
          <reference field="9" count="1" selected="0">
            <x v="184"/>
          </reference>
          <reference field="17" count="3">
            <x v="13"/>
            <x v="22"/>
            <x v="29"/>
          </reference>
        </references>
      </pivotArea>
    </format>
    <format dxfId="340">
      <pivotArea dataOnly="0" labelOnly="1" outline="0" fieldPosition="0">
        <references count="3">
          <reference field="8" count="1" selected="0">
            <x v="78"/>
          </reference>
          <reference field="9" count="1" selected="0">
            <x v="179"/>
          </reference>
          <reference field="17" count="2">
            <x v="13"/>
            <x v="22"/>
          </reference>
        </references>
      </pivotArea>
    </format>
    <format dxfId="339">
      <pivotArea dataOnly="0" labelOnly="1" outline="0" fieldPosition="0">
        <references count="3">
          <reference field="8" count="1" selected="0">
            <x v="79"/>
          </reference>
          <reference field="9" count="1" selected="0">
            <x v="193"/>
          </reference>
          <reference field="17" count="2">
            <x v="13"/>
            <x v="22"/>
          </reference>
        </references>
      </pivotArea>
    </format>
    <format dxfId="338">
      <pivotArea dataOnly="0" labelOnly="1" outline="0" fieldPosition="0">
        <references count="3">
          <reference field="8" count="1" selected="0">
            <x v="80"/>
          </reference>
          <reference field="9" count="1" selected="0">
            <x v="78"/>
          </reference>
          <reference field="17" count="1">
            <x v="50"/>
          </reference>
        </references>
      </pivotArea>
    </format>
    <format dxfId="337">
      <pivotArea dataOnly="0" labelOnly="1" outline="0" fieldPosition="0">
        <references count="3">
          <reference field="8" count="1" selected="0">
            <x v="81"/>
          </reference>
          <reference field="9" count="1" selected="0">
            <x v="80"/>
          </reference>
          <reference field="17" count="1">
            <x v="54"/>
          </reference>
        </references>
      </pivotArea>
    </format>
    <format dxfId="336">
      <pivotArea dataOnly="0" labelOnly="1" outline="0" fieldPosition="0">
        <references count="3">
          <reference field="8" count="1" selected="0">
            <x v="82"/>
          </reference>
          <reference field="9" count="1" selected="0">
            <x v="44"/>
          </reference>
          <reference field="17" count="1">
            <x v="23"/>
          </reference>
        </references>
      </pivotArea>
    </format>
    <format dxfId="335">
      <pivotArea dataOnly="0" labelOnly="1" outline="0" fieldPosition="0">
        <references count="3">
          <reference field="8" count="1" selected="0">
            <x v="83"/>
          </reference>
          <reference field="9" count="1" selected="0">
            <x v="141"/>
          </reference>
          <reference field="17" count="2">
            <x v="59"/>
            <x v="64"/>
          </reference>
        </references>
      </pivotArea>
    </format>
    <format dxfId="334">
      <pivotArea dataOnly="0" labelOnly="1" outline="0" fieldPosition="0">
        <references count="3">
          <reference field="8" count="1" selected="0">
            <x v="84"/>
          </reference>
          <reference field="9" count="1" selected="0">
            <x v="32"/>
          </reference>
          <reference field="17" count="2">
            <x v="15"/>
            <x v="30"/>
          </reference>
        </references>
      </pivotArea>
    </format>
    <format dxfId="333">
      <pivotArea dataOnly="0" labelOnly="1" outline="0" fieldPosition="0">
        <references count="3">
          <reference field="8" count="1" selected="0">
            <x v="85"/>
          </reference>
          <reference field="9" count="1" selected="0">
            <x v="33"/>
          </reference>
          <reference field="17" count="2">
            <x v="15"/>
            <x v="23"/>
          </reference>
        </references>
      </pivotArea>
    </format>
    <format dxfId="332">
      <pivotArea dataOnly="0" labelOnly="1" outline="0" fieldPosition="0">
        <references count="3">
          <reference field="8" count="1" selected="0">
            <x v="86"/>
          </reference>
          <reference field="9" count="1" selected="0">
            <x v="35"/>
          </reference>
          <reference field="17" count="2">
            <x v="23"/>
            <x v="30"/>
          </reference>
        </references>
      </pivotArea>
    </format>
    <format dxfId="331">
      <pivotArea dataOnly="0" labelOnly="1" outline="0" fieldPosition="0">
        <references count="3">
          <reference field="8" count="1" selected="0">
            <x v="87"/>
          </reference>
          <reference field="9" count="1" selected="0">
            <x v="34"/>
          </reference>
          <reference field="17" count="1">
            <x v="30"/>
          </reference>
        </references>
      </pivotArea>
    </format>
    <format dxfId="330">
      <pivotArea dataOnly="0" labelOnly="1" outline="0" fieldPosition="0">
        <references count="3">
          <reference field="8" count="1" selected="0">
            <x v="88"/>
          </reference>
          <reference field="9" count="1" selected="0">
            <x v="37"/>
          </reference>
          <reference field="17" count="1">
            <x v="23"/>
          </reference>
        </references>
      </pivotArea>
    </format>
    <format dxfId="329">
      <pivotArea dataOnly="0" labelOnly="1" outline="0" fieldPosition="0">
        <references count="3">
          <reference field="8" count="1" selected="0">
            <x v="89"/>
          </reference>
          <reference field="9" count="1" selected="0">
            <x v="36"/>
          </reference>
          <reference field="17" count="2">
            <x v="22"/>
            <x v="29"/>
          </reference>
        </references>
      </pivotArea>
    </format>
    <format dxfId="328">
      <pivotArea dataOnly="0" labelOnly="1" outline="0" fieldPosition="0">
        <references count="3">
          <reference field="8" count="1" selected="0">
            <x v="90"/>
          </reference>
          <reference field="9" count="1" selected="0">
            <x v="94"/>
          </reference>
          <reference field="17" count="2">
            <x v="43"/>
            <x v="55"/>
          </reference>
        </references>
      </pivotArea>
    </format>
    <format dxfId="327">
      <pivotArea dataOnly="0" labelOnly="1" outline="0" fieldPosition="0">
        <references count="3">
          <reference field="8" count="1" selected="0">
            <x v="91"/>
          </reference>
          <reference field="9" count="1" selected="0">
            <x v="123"/>
          </reference>
          <reference field="17" count="2">
            <x v="15"/>
            <x v="23"/>
          </reference>
        </references>
      </pivotArea>
    </format>
    <format dxfId="326">
      <pivotArea dataOnly="0" labelOnly="1" outline="0" fieldPosition="0">
        <references count="3">
          <reference field="8" count="1" selected="0">
            <x v="92"/>
          </reference>
          <reference field="9" count="1" selected="0">
            <x v="19"/>
          </reference>
          <reference field="17" count="3">
            <x v="12"/>
            <x v="23"/>
            <x v="30"/>
          </reference>
        </references>
      </pivotArea>
    </format>
    <format dxfId="325">
      <pivotArea dataOnly="0" labelOnly="1" outline="0" fieldPosition="0">
        <references count="3">
          <reference field="8" count="1" selected="0">
            <x v="93"/>
          </reference>
          <reference field="9" count="1" selected="0">
            <x v="189"/>
          </reference>
          <reference field="17" count="5">
            <x v="12"/>
            <x v="13"/>
            <x v="23"/>
            <x v="26"/>
            <x v="28"/>
          </reference>
        </references>
      </pivotArea>
    </format>
    <format dxfId="324">
      <pivotArea dataOnly="0" labelOnly="1" outline="0" fieldPosition="0">
        <references count="3">
          <reference field="8" count="1" selected="0">
            <x v="94"/>
          </reference>
          <reference field="9" count="1" selected="0">
            <x v="151"/>
          </reference>
          <reference field="17" count="1">
            <x v="26"/>
          </reference>
        </references>
      </pivotArea>
    </format>
    <format dxfId="323">
      <pivotArea dataOnly="0" labelOnly="1" outline="0" fieldPosition="0">
        <references count="3">
          <reference field="8" count="1" selected="0">
            <x v="95"/>
          </reference>
          <reference field="9" count="1" selected="0">
            <x v="150"/>
          </reference>
          <reference field="17" count="2">
            <x v="22"/>
            <x v="29"/>
          </reference>
        </references>
      </pivotArea>
    </format>
    <format dxfId="322">
      <pivotArea dataOnly="0" labelOnly="1" outline="0" fieldPosition="0">
        <references count="3">
          <reference field="8" count="1" selected="0">
            <x v="96"/>
          </reference>
          <reference field="9" count="1" selected="0">
            <x v="152"/>
          </reference>
          <reference field="17" count="2">
            <x v="28"/>
            <x v="30"/>
          </reference>
        </references>
      </pivotArea>
    </format>
    <format dxfId="321">
      <pivotArea dataOnly="0" labelOnly="1" outline="0" fieldPosition="0">
        <references count="3">
          <reference field="8" count="1" selected="0">
            <x v="97"/>
          </reference>
          <reference field="9" count="1" selected="0">
            <x v="28"/>
          </reference>
          <reference field="17" count="3">
            <x v="8"/>
            <x v="82"/>
            <x v="84"/>
          </reference>
        </references>
      </pivotArea>
    </format>
    <format dxfId="320">
      <pivotArea dataOnly="0" labelOnly="1" outline="0" fieldPosition="0">
        <references count="3">
          <reference field="8" count="1" selected="0">
            <x v="98"/>
          </reference>
          <reference field="9" count="1" selected="0">
            <x v="27"/>
          </reference>
          <reference field="17" count="3">
            <x v="33"/>
            <x v="36"/>
            <x v="44"/>
          </reference>
        </references>
      </pivotArea>
    </format>
    <format dxfId="319">
      <pivotArea dataOnly="0" labelOnly="1" outline="0" fieldPosition="0">
        <references count="3">
          <reference field="8" count="1" selected="0">
            <x v="99"/>
          </reference>
          <reference field="9" count="1" selected="0">
            <x v="172"/>
          </reference>
          <reference field="17" count="3">
            <x v="38"/>
            <x v="39"/>
            <x v="40"/>
          </reference>
        </references>
      </pivotArea>
    </format>
    <format dxfId="318">
      <pivotArea dataOnly="0" labelOnly="1" outline="0" fieldPosition="0">
        <references count="3">
          <reference field="8" count="1" selected="0">
            <x v="100"/>
          </reference>
          <reference field="9" count="1" selected="0">
            <x v="53"/>
          </reference>
          <reference field="17" count="2">
            <x v="72"/>
            <x v="74"/>
          </reference>
        </references>
      </pivotArea>
    </format>
    <format dxfId="317">
      <pivotArea dataOnly="0" labelOnly="1" outline="0" fieldPosition="0">
        <references count="3">
          <reference field="8" count="1" selected="0">
            <x v="101"/>
          </reference>
          <reference field="9" count="1" selected="0">
            <x v="95"/>
          </reference>
          <reference field="17" count="2">
            <x v="37"/>
            <x v="44"/>
          </reference>
        </references>
      </pivotArea>
    </format>
    <format dxfId="316">
      <pivotArea dataOnly="0" labelOnly="1" outline="0" fieldPosition="0">
        <references count="3">
          <reference field="8" count="1" selected="0">
            <x v="102"/>
          </reference>
          <reference field="9" count="1" selected="0">
            <x v="208"/>
          </reference>
          <reference field="17" count="2">
            <x v="7"/>
            <x v="20"/>
          </reference>
        </references>
      </pivotArea>
    </format>
    <format dxfId="315">
      <pivotArea dataOnly="0" labelOnly="1" outline="0" fieldPosition="0">
        <references count="3">
          <reference field="8" count="1" selected="0">
            <x v="103"/>
          </reference>
          <reference field="9" count="1" selected="0">
            <x v="204"/>
          </reference>
          <reference field="17" count="2">
            <x v="7"/>
            <x v="20"/>
          </reference>
        </references>
      </pivotArea>
    </format>
    <format dxfId="314">
      <pivotArea dataOnly="0" labelOnly="1" outline="0" fieldPosition="0">
        <references count="3">
          <reference field="8" count="1" selected="0">
            <x v="104"/>
          </reference>
          <reference field="9" count="1" selected="0">
            <x v="199"/>
          </reference>
          <reference field="17" count="3">
            <x v="19"/>
            <x v="26"/>
            <x v="33"/>
          </reference>
        </references>
      </pivotArea>
    </format>
    <format dxfId="313">
      <pivotArea dataOnly="0" labelOnly="1" outline="0" fieldPosition="0">
        <references count="3">
          <reference field="8" count="1" selected="0">
            <x v="105"/>
          </reference>
          <reference field="9" count="1" selected="0">
            <x v="11"/>
          </reference>
          <reference field="17" count="5">
            <x v="19"/>
            <x v="26"/>
            <x v="27"/>
            <x v="30"/>
            <x v="42"/>
          </reference>
        </references>
      </pivotArea>
    </format>
    <format dxfId="312">
      <pivotArea dataOnly="0" labelOnly="1" outline="0" fieldPosition="0">
        <references count="3">
          <reference field="8" count="1" selected="0">
            <x v="106"/>
          </reference>
          <reference field="9" count="1" selected="0">
            <x v="12"/>
          </reference>
          <reference field="17" count="2">
            <x v="21"/>
            <x v="28"/>
          </reference>
        </references>
      </pivotArea>
    </format>
    <format dxfId="311">
      <pivotArea dataOnly="0" labelOnly="1" outline="0" fieldPosition="0">
        <references count="3">
          <reference field="8" count="1" selected="0">
            <x v="107"/>
          </reference>
          <reference field="9" count="1" selected="0">
            <x v="18"/>
          </reference>
          <reference field="17" count="3">
            <x v="21"/>
            <x v="28"/>
            <x v="40"/>
          </reference>
        </references>
      </pivotArea>
    </format>
    <format dxfId="310">
      <pivotArea dataOnly="0" labelOnly="1" outline="0" fieldPosition="0">
        <references count="3">
          <reference field="8" count="1" selected="0">
            <x v="108"/>
          </reference>
          <reference field="9" count="1" selected="0">
            <x v="17"/>
          </reference>
          <reference field="17" count="2">
            <x v="21"/>
            <x v="28"/>
          </reference>
        </references>
      </pivotArea>
    </format>
    <format dxfId="309">
      <pivotArea dataOnly="0" labelOnly="1" outline="0" fieldPosition="0">
        <references count="3">
          <reference field="8" count="1" selected="0">
            <x v="109"/>
          </reference>
          <reference field="9" count="1" selected="0">
            <x v="20"/>
          </reference>
          <reference field="17" count="3">
            <x v="21"/>
            <x v="28"/>
            <x v="35"/>
          </reference>
        </references>
      </pivotArea>
    </format>
    <format dxfId="308">
      <pivotArea dataOnly="0" labelOnly="1" outline="0" fieldPosition="0">
        <references count="3">
          <reference field="8" count="1" selected="0">
            <x v="110"/>
          </reference>
          <reference field="9" count="1" selected="0">
            <x v="60"/>
          </reference>
          <reference field="17" count="4">
            <x v="16"/>
            <x v="24"/>
            <x v="25"/>
            <x v="28"/>
          </reference>
        </references>
      </pivotArea>
    </format>
    <format dxfId="307">
      <pivotArea dataOnly="0" labelOnly="1" outline="0" fieldPosition="0">
        <references count="3">
          <reference field="8" count="1" selected="0">
            <x v="111"/>
          </reference>
          <reference field="9" count="1" selected="0">
            <x v="158"/>
          </reference>
          <reference field="17" count="3">
            <x v="28"/>
            <x v="30"/>
            <x v="47"/>
          </reference>
        </references>
      </pivotArea>
    </format>
    <format dxfId="306">
      <pivotArea dataOnly="0" labelOnly="1" outline="0" fieldPosition="0">
        <references count="3">
          <reference field="8" count="1" selected="0">
            <x v="112"/>
          </reference>
          <reference field="9" count="1" selected="0">
            <x v="157"/>
          </reference>
          <reference field="17" count="2">
            <x v="27"/>
            <x v="28"/>
          </reference>
        </references>
      </pivotArea>
    </format>
    <format dxfId="305">
      <pivotArea dataOnly="0" labelOnly="1" outline="0" fieldPosition="0">
        <references count="3">
          <reference field="8" count="1" selected="0">
            <x v="113"/>
          </reference>
          <reference field="9" count="1" selected="0">
            <x v="54"/>
          </reference>
          <reference field="17" count="3">
            <x v="32"/>
            <x v="70"/>
            <x v="77"/>
          </reference>
        </references>
      </pivotArea>
    </format>
    <format dxfId="304">
      <pivotArea dataOnly="0" labelOnly="1" outline="0" fieldPosition="0">
        <references count="3">
          <reference field="8" count="1" selected="0">
            <x v="114"/>
          </reference>
          <reference field="9" count="1" selected="0">
            <x v="161"/>
          </reference>
          <reference field="17" count="1">
            <x v="22"/>
          </reference>
        </references>
      </pivotArea>
    </format>
    <format dxfId="303">
      <pivotArea dataOnly="0" labelOnly="1" outline="0" fieldPosition="0">
        <references count="3">
          <reference field="8" count="1" selected="0">
            <x v="115"/>
          </reference>
          <reference field="9" count="1" selected="0">
            <x v="159"/>
          </reference>
          <reference field="17" count="1">
            <x v="22"/>
          </reference>
        </references>
      </pivotArea>
    </format>
    <format dxfId="302">
      <pivotArea dataOnly="0" labelOnly="1" outline="0" fieldPosition="0">
        <references count="3">
          <reference field="8" count="1" selected="0">
            <x v="116"/>
          </reference>
          <reference field="9" count="1" selected="0">
            <x v="160"/>
          </reference>
          <reference field="17" count="1">
            <x v="22"/>
          </reference>
        </references>
      </pivotArea>
    </format>
    <format dxfId="301">
      <pivotArea dataOnly="0" labelOnly="1" outline="0" fieldPosition="0">
        <references count="3">
          <reference field="8" count="1" selected="0">
            <x v="117"/>
          </reference>
          <reference field="9" count="1" selected="0">
            <x v="51"/>
          </reference>
          <reference field="17" count="1">
            <x v="6"/>
          </reference>
        </references>
      </pivotArea>
    </format>
    <format dxfId="300">
      <pivotArea dataOnly="0" labelOnly="1" outline="0" fieldPosition="0">
        <references count="3">
          <reference field="8" count="1" selected="0">
            <x v="118"/>
          </reference>
          <reference field="9" count="1" selected="0">
            <x v="56"/>
          </reference>
          <reference field="17" count="2">
            <x v="20"/>
            <x v="24"/>
          </reference>
        </references>
      </pivotArea>
    </format>
    <format dxfId="299">
      <pivotArea dataOnly="0" labelOnly="1" outline="0" fieldPosition="0">
        <references count="3">
          <reference field="8" count="1" selected="0">
            <x v="119"/>
          </reference>
          <reference field="9" count="1" selected="0">
            <x v="55"/>
          </reference>
          <reference field="17" count="2">
            <x v="15"/>
            <x v="30"/>
          </reference>
        </references>
      </pivotArea>
    </format>
    <format dxfId="298">
      <pivotArea dataOnly="0" labelOnly="1" outline="0" fieldPosition="0">
        <references count="3">
          <reference field="8" count="1" selected="0">
            <x v="120"/>
          </reference>
          <reference field="9" count="1" selected="0">
            <x v="146"/>
          </reference>
          <reference field="17" count="2">
            <x v="28"/>
            <x v="30"/>
          </reference>
        </references>
      </pivotArea>
    </format>
    <format dxfId="297">
      <pivotArea dataOnly="0" labelOnly="1" outline="0" fieldPosition="0">
        <references count="3">
          <reference field="8" count="1" selected="0">
            <x v="121"/>
          </reference>
          <reference field="9" count="1" selected="0">
            <x v="144"/>
          </reference>
          <reference field="17" count="3">
            <x v="14"/>
            <x v="22"/>
            <x v="27"/>
          </reference>
        </references>
      </pivotArea>
    </format>
    <format dxfId="296">
      <pivotArea dataOnly="0" labelOnly="1" outline="0" fieldPosition="0">
        <references count="3">
          <reference field="8" count="1" selected="0">
            <x v="122"/>
          </reference>
          <reference field="9" count="1" selected="0">
            <x v="149"/>
          </reference>
          <reference field="17" count="2">
            <x v="28"/>
            <x v="30"/>
          </reference>
        </references>
      </pivotArea>
    </format>
    <format dxfId="295">
      <pivotArea dataOnly="0" labelOnly="1" outline="0" fieldPosition="0">
        <references count="3">
          <reference field="8" count="1" selected="0">
            <x v="123"/>
          </reference>
          <reference field="9" count="1" selected="0">
            <x v="147"/>
          </reference>
          <reference field="17" count="2">
            <x v="27"/>
            <x v="29"/>
          </reference>
        </references>
      </pivotArea>
    </format>
    <format dxfId="294">
      <pivotArea dataOnly="0" labelOnly="1" outline="0" fieldPosition="0">
        <references count="3">
          <reference field="8" count="1" selected="0">
            <x v="124"/>
          </reference>
          <reference field="9" count="1" selected="0">
            <x v="169"/>
          </reference>
          <reference field="17" count="3">
            <x v="5"/>
            <x v="28"/>
            <x v="30"/>
          </reference>
        </references>
      </pivotArea>
    </format>
    <format dxfId="293">
      <pivotArea dataOnly="0" labelOnly="1" outline="0" fieldPosition="0">
        <references count="3">
          <reference field="8" count="1" selected="0">
            <x v="125"/>
          </reference>
          <reference field="9" count="1" selected="0">
            <x v="163"/>
          </reference>
          <reference field="17" count="2">
            <x v="28"/>
            <x v="29"/>
          </reference>
        </references>
      </pivotArea>
    </format>
    <format dxfId="292">
      <pivotArea dataOnly="0" labelOnly="1" outline="0" fieldPosition="0">
        <references count="3">
          <reference field="8" count="1" selected="0">
            <x v="126"/>
          </reference>
          <reference field="9" count="1" selected="0">
            <x v="10"/>
          </reference>
          <reference field="17" count="2">
            <x v="70"/>
            <x v="77"/>
          </reference>
        </references>
      </pivotArea>
    </format>
    <format dxfId="291">
      <pivotArea dataOnly="0" labelOnly="1" outline="0" fieldPosition="0">
        <references count="3">
          <reference field="8" count="1" selected="0">
            <x v="127"/>
          </reference>
          <reference field="9" count="1" selected="0">
            <x v="8"/>
          </reference>
          <reference field="17" count="3">
            <x v="71"/>
            <x v="76"/>
            <x v="78"/>
          </reference>
        </references>
      </pivotArea>
    </format>
    <format dxfId="290">
      <pivotArea dataOnly="0" labelOnly="1" outline="0" fieldPosition="0">
        <references count="3">
          <reference field="8" count="1" selected="0">
            <x v="128"/>
          </reference>
          <reference field="9" count="1" selected="0">
            <x v="43"/>
          </reference>
          <reference field="17" count="1">
            <x v="28"/>
          </reference>
        </references>
      </pivotArea>
    </format>
    <format dxfId="289">
      <pivotArea dataOnly="0" labelOnly="1" outline="0" fieldPosition="0">
        <references count="3">
          <reference field="8" count="1" selected="0">
            <x v="129"/>
          </reference>
          <reference field="9" count="1" selected="0">
            <x v="168"/>
          </reference>
          <reference field="17" count="3">
            <x v="22"/>
            <x v="26"/>
            <x v="29"/>
          </reference>
        </references>
      </pivotArea>
    </format>
    <format dxfId="288">
      <pivotArea dataOnly="0" labelOnly="1" outline="0" fieldPosition="0">
        <references count="3">
          <reference field="8" count="1" selected="0">
            <x v="130"/>
          </reference>
          <reference field="9" count="1" selected="0">
            <x v="165"/>
          </reference>
          <reference field="17" count="2">
            <x v="27"/>
            <x v="32"/>
          </reference>
        </references>
      </pivotArea>
    </format>
    <format dxfId="287">
      <pivotArea dataOnly="0" labelOnly="1" outline="0" fieldPosition="0">
        <references count="3">
          <reference field="8" count="1" selected="0">
            <x v="131"/>
          </reference>
          <reference field="9" count="1" selected="0">
            <x v="162"/>
          </reference>
          <reference field="17" count="2">
            <x v="27"/>
            <x v="29"/>
          </reference>
        </references>
      </pivotArea>
    </format>
    <format dxfId="286">
      <pivotArea dataOnly="0" labelOnly="1" outline="0" fieldPosition="0">
        <references count="3">
          <reference field="8" count="1" selected="0">
            <x v="132"/>
          </reference>
          <reference field="9" count="1" selected="0">
            <x v="164"/>
          </reference>
          <reference field="17" count="3">
            <x v="13"/>
            <x v="21"/>
            <x v="23"/>
          </reference>
        </references>
      </pivotArea>
    </format>
    <format dxfId="285">
      <pivotArea dataOnly="0" labelOnly="1" outline="0" fieldPosition="0">
        <references count="3">
          <reference field="8" count="1" selected="0">
            <x v="133"/>
          </reference>
          <reference field="9" count="1" selected="0">
            <x v="167"/>
          </reference>
          <reference field="17" count="4">
            <x v="20"/>
            <x v="21"/>
            <x v="24"/>
            <x v="26"/>
          </reference>
        </references>
      </pivotArea>
    </format>
    <format dxfId="284">
      <pivotArea dataOnly="0" labelOnly="1" outline="0" fieldPosition="0">
        <references count="3">
          <reference field="8" count="1" selected="0">
            <x v="134"/>
          </reference>
          <reference field="9" count="1" selected="0">
            <x v="170"/>
          </reference>
          <reference field="17" count="3">
            <x v="21"/>
            <x v="24"/>
            <x v="26"/>
          </reference>
        </references>
      </pivotArea>
    </format>
    <format dxfId="283">
      <pivotArea dataOnly="0" labelOnly="1" outline="0" fieldPosition="0">
        <references count="3">
          <reference field="8" count="1" selected="0">
            <x v="135"/>
          </reference>
          <reference field="9" count="1" selected="0">
            <x v="148"/>
          </reference>
          <reference field="17" count="3">
            <x v="6"/>
            <x v="26"/>
            <x v="29"/>
          </reference>
        </references>
      </pivotArea>
    </format>
    <format dxfId="282">
      <pivotArea dataOnly="0" labelOnly="1" outline="0" fieldPosition="0">
        <references count="3">
          <reference field="8" count="1" selected="0">
            <x v="136"/>
          </reference>
          <reference field="9" count="1" selected="0">
            <x v="145"/>
          </reference>
          <reference field="17" count="2">
            <x v="13"/>
            <x v="28"/>
          </reference>
        </references>
      </pivotArea>
    </format>
    <format dxfId="281">
      <pivotArea dataOnly="0" labelOnly="1" outline="0" fieldPosition="0">
        <references count="3">
          <reference field="8" count="1" selected="0">
            <x v="137"/>
          </reference>
          <reference field="9" count="1" selected="0">
            <x v="131"/>
          </reference>
          <reference field="17" count="4">
            <x v="81"/>
            <x v="82"/>
            <x v="83"/>
            <x v="85"/>
          </reference>
        </references>
      </pivotArea>
    </format>
    <format dxfId="280">
      <pivotArea dataOnly="0" labelOnly="1" outline="0" fieldPosition="0">
        <references count="3">
          <reference field="8" count="1" selected="0">
            <x v="138"/>
          </reference>
          <reference field="9" count="1" selected="0">
            <x v="15"/>
          </reference>
          <reference field="17" count="2">
            <x v="27"/>
            <x v="30"/>
          </reference>
        </references>
      </pivotArea>
    </format>
    <format dxfId="279">
      <pivotArea dataOnly="0" labelOnly="1" outline="0" fieldPosition="0">
        <references count="3">
          <reference field="8" count="1" selected="0">
            <x v="139"/>
          </reference>
          <reference field="9" count="1" selected="0">
            <x v="127"/>
          </reference>
          <reference field="17" count="2">
            <x v="50"/>
            <x v="60"/>
          </reference>
        </references>
      </pivotArea>
    </format>
    <format dxfId="278">
      <pivotArea dataOnly="0" labelOnly="1" outline="0" fieldPosition="0">
        <references count="3">
          <reference field="8" count="1" selected="0">
            <x v="140"/>
          </reference>
          <reference field="9" count="1" selected="0">
            <x v="25"/>
          </reference>
          <reference field="17" count="3">
            <x v="5"/>
            <x v="6"/>
            <x v="7"/>
          </reference>
        </references>
      </pivotArea>
    </format>
    <format dxfId="277">
      <pivotArea dataOnly="0" labelOnly="1" outline="0" fieldPosition="0">
        <references count="3">
          <reference field="8" count="1" selected="0">
            <x v="141"/>
          </reference>
          <reference field="9" count="1" selected="0">
            <x v="26"/>
          </reference>
          <reference field="17" count="3">
            <x v="11"/>
            <x v="15"/>
            <x v="18"/>
          </reference>
        </references>
      </pivotArea>
    </format>
    <format dxfId="276">
      <pivotArea dataOnly="0" labelOnly="1" outline="0" fieldPosition="0">
        <references count="3">
          <reference field="8" count="1" selected="0">
            <x v="142"/>
          </reference>
          <reference field="9" count="1" selected="0">
            <x v="29"/>
          </reference>
          <reference field="17" count="1">
            <x v="82"/>
          </reference>
        </references>
      </pivotArea>
    </format>
    <format dxfId="275">
      <pivotArea dataOnly="0" labelOnly="1" outline="0" fieldPosition="0">
        <references count="3">
          <reference field="8" count="1" selected="0">
            <x v="143"/>
          </reference>
          <reference field="9" count="1" selected="0">
            <x v="30"/>
          </reference>
          <reference field="17" count="3">
            <x v="82"/>
            <x v="84"/>
            <x v="88"/>
          </reference>
        </references>
      </pivotArea>
    </format>
    <format dxfId="274">
      <pivotArea dataOnly="0" labelOnly="1" outline="0" fieldPosition="0">
        <references count="3">
          <reference field="8" count="1" selected="0">
            <x v="144"/>
          </reference>
          <reference field="9" count="1" selected="0">
            <x v="66"/>
          </reference>
          <reference field="17" count="2">
            <x v="17"/>
            <x v="40"/>
          </reference>
        </references>
      </pivotArea>
    </format>
    <format dxfId="273">
      <pivotArea dataOnly="0" labelOnly="1" outline="0" fieldPosition="0">
        <references count="3">
          <reference field="8" count="1" selected="0">
            <x v="145"/>
          </reference>
          <reference field="9" count="1" selected="0">
            <x v="108"/>
          </reference>
          <reference field="17" count="7">
            <x v="7"/>
            <x v="11"/>
            <x v="16"/>
            <x v="17"/>
            <x v="21"/>
            <x v="22"/>
            <x v="23"/>
          </reference>
        </references>
      </pivotArea>
    </format>
    <format dxfId="272">
      <pivotArea dataOnly="0" labelOnly="1" outline="0" fieldPosition="0">
        <references count="3">
          <reference field="8" count="1" selected="0">
            <x v="146"/>
          </reference>
          <reference field="9" count="1" selected="0">
            <x v="109"/>
          </reference>
          <reference field="17" count="4">
            <x v="15"/>
            <x v="16"/>
            <x v="18"/>
            <x v="21"/>
          </reference>
        </references>
      </pivotArea>
    </format>
    <format dxfId="271">
      <pivotArea dataOnly="0" labelOnly="1" outline="0" fieldPosition="0">
        <references count="3">
          <reference field="8" count="1" selected="0">
            <x v="147"/>
          </reference>
          <reference field="9" count="1" selected="0">
            <x v="110"/>
          </reference>
          <reference field="17" count="6">
            <x v="11"/>
            <x v="15"/>
            <x v="17"/>
            <x v="21"/>
            <x v="22"/>
            <x v="23"/>
          </reference>
        </references>
      </pivotArea>
    </format>
    <format dxfId="270">
      <pivotArea dataOnly="0" labelOnly="1" outline="0" fieldPosition="0">
        <references count="3">
          <reference field="8" count="1" selected="0">
            <x v="148"/>
          </reference>
          <reference field="9" count="1" selected="0">
            <x v="111"/>
          </reference>
          <reference field="17" count="3">
            <x v="18"/>
            <x v="24"/>
            <x v="25"/>
          </reference>
        </references>
      </pivotArea>
    </format>
    <format dxfId="269">
      <pivotArea dataOnly="0" labelOnly="1" outline="0" fieldPosition="0">
        <references count="3">
          <reference field="8" count="1" selected="0">
            <x v="149"/>
          </reference>
          <reference field="9" count="1" selected="0">
            <x v="112"/>
          </reference>
          <reference field="17" count="3">
            <x v="18"/>
            <x v="24"/>
            <x v="25"/>
          </reference>
        </references>
      </pivotArea>
    </format>
    <format dxfId="268">
      <pivotArea dataOnly="0" labelOnly="1" outline="0" fieldPosition="0">
        <references count="3">
          <reference field="8" count="1" selected="0">
            <x v="150"/>
          </reference>
          <reference field="9" count="1" selected="0">
            <x v="114"/>
          </reference>
          <reference field="17" count="4">
            <x v="14"/>
            <x v="18"/>
            <x v="22"/>
            <x v="24"/>
          </reference>
        </references>
      </pivotArea>
    </format>
    <format dxfId="267">
      <pivotArea dataOnly="0" labelOnly="1" outline="0" fieldPosition="0">
        <references count="3">
          <reference field="8" count="1" selected="0">
            <x v="151"/>
          </reference>
          <reference field="9" count="1" selected="0">
            <x v="115"/>
          </reference>
          <reference field="17" count="3">
            <x v="18"/>
            <x v="22"/>
            <x v="24"/>
          </reference>
        </references>
      </pivotArea>
    </format>
    <format dxfId="266">
      <pivotArea dataOnly="0" labelOnly="1" outline="0" fieldPosition="0">
        <references count="3">
          <reference field="8" count="1" selected="0">
            <x v="152"/>
          </reference>
          <reference field="9" count="1" selected="0">
            <x v="116"/>
          </reference>
          <reference field="17" count="1">
            <x v="23"/>
          </reference>
        </references>
      </pivotArea>
    </format>
    <format dxfId="265">
      <pivotArea dataOnly="0" labelOnly="1" outline="0" fieldPosition="0">
        <references count="3">
          <reference field="8" count="1" selected="0">
            <x v="153"/>
          </reference>
          <reference field="9" count="1" selected="0">
            <x v="118"/>
          </reference>
          <reference field="17" count="1">
            <x v="23"/>
          </reference>
        </references>
      </pivotArea>
    </format>
    <format dxfId="264">
      <pivotArea dataOnly="0" labelOnly="1" outline="0" fieldPosition="0">
        <references count="3">
          <reference field="8" count="1" selected="0">
            <x v="154"/>
          </reference>
          <reference field="9" count="1" selected="0">
            <x v="117"/>
          </reference>
          <reference field="17" count="3">
            <x v="2"/>
            <x v="14"/>
            <x v="15"/>
          </reference>
        </references>
      </pivotArea>
    </format>
    <format dxfId="263">
      <pivotArea dataOnly="0" labelOnly="1" outline="0" fieldPosition="0">
        <references count="3">
          <reference field="8" count="1" selected="0">
            <x v="155"/>
          </reference>
          <reference field="9" count="1" selected="0">
            <x v="119"/>
          </reference>
          <reference field="17" count="2">
            <x v="13"/>
            <x v="15"/>
          </reference>
        </references>
      </pivotArea>
    </format>
    <format dxfId="262">
      <pivotArea dataOnly="0" labelOnly="1" outline="0" fieldPosition="0">
        <references count="3">
          <reference field="8" count="1" selected="0">
            <x v="156"/>
          </reference>
          <reference field="9" count="1" selected="0">
            <x v="136"/>
          </reference>
          <reference field="17" count="1">
            <x v="18"/>
          </reference>
        </references>
      </pivotArea>
    </format>
    <format dxfId="261">
      <pivotArea dataOnly="0" labelOnly="1" outline="0" fieldPosition="0">
        <references count="3">
          <reference field="8" count="1" selected="0">
            <x v="157"/>
          </reference>
          <reference field="9" count="1" selected="0">
            <x v="83"/>
          </reference>
          <reference field="17" count="3">
            <x v="34"/>
            <x v="38"/>
            <x v="39"/>
          </reference>
        </references>
      </pivotArea>
    </format>
    <format dxfId="260">
      <pivotArea dataOnly="0" labelOnly="1" outline="0" fieldPosition="0">
        <references count="3">
          <reference field="8" count="1" selected="0">
            <x v="158"/>
          </reference>
          <reference field="9" count="1" selected="0">
            <x v="85"/>
          </reference>
          <reference field="17" count="3">
            <x v="26"/>
            <x v="48"/>
            <x v="61"/>
          </reference>
        </references>
      </pivotArea>
    </format>
    <format dxfId="259">
      <pivotArea dataOnly="0" labelOnly="1" outline="0" fieldPosition="0">
        <references count="3">
          <reference field="8" count="1" selected="0">
            <x v="159"/>
          </reference>
          <reference field="9" count="1" selected="0">
            <x v="86"/>
          </reference>
          <reference field="17" count="2">
            <x v="62"/>
            <x v="63"/>
          </reference>
        </references>
      </pivotArea>
    </format>
    <format dxfId="258">
      <pivotArea dataOnly="0" labelOnly="1" outline="0" fieldPosition="0">
        <references count="3">
          <reference field="8" count="1" selected="0">
            <x v="160"/>
          </reference>
          <reference field="9" count="1" selected="0">
            <x v="90"/>
          </reference>
          <reference field="17" count="1">
            <x v="59"/>
          </reference>
        </references>
      </pivotArea>
    </format>
    <format dxfId="257">
      <pivotArea dataOnly="0" labelOnly="1" outline="0" fieldPosition="0">
        <references count="3">
          <reference field="8" count="1" selected="0">
            <x v="161"/>
          </reference>
          <reference field="9" count="1" selected="0">
            <x v="89"/>
          </reference>
          <reference field="17" count="2">
            <x v="60"/>
            <x v="61"/>
          </reference>
        </references>
      </pivotArea>
    </format>
    <format dxfId="256">
      <pivotArea dataOnly="0" labelOnly="1" outline="0" fieldPosition="0">
        <references count="3">
          <reference field="8" count="1" selected="0">
            <x v="162"/>
          </reference>
          <reference field="9" count="1" selected="0">
            <x v="88"/>
          </reference>
          <reference field="17" count="2">
            <x v="55"/>
            <x v="61"/>
          </reference>
        </references>
      </pivotArea>
    </format>
    <format dxfId="255">
      <pivotArea dataOnly="0" labelOnly="1" outline="0" fieldPosition="0">
        <references count="3">
          <reference field="8" count="1" selected="0">
            <x v="163"/>
          </reference>
          <reference field="9" count="1" selected="0">
            <x v="92"/>
          </reference>
          <reference field="17" count="3">
            <x v="49"/>
            <x v="58"/>
            <x v="60"/>
          </reference>
        </references>
      </pivotArea>
    </format>
    <format dxfId="254">
      <pivotArea dataOnly="0" labelOnly="1" outline="0" fieldPosition="0">
        <references count="3">
          <reference field="8" count="1" selected="0">
            <x v="164"/>
          </reference>
          <reference field="9" count="1" selected="0">
            <x v="98"/>
          </reference>
          <reference field="17" count="3">
            <x v="51"/>
            <x v="57"/>
            <x v="61"/>
          </reference>
        </references>
      </pivotArea>
    </format>
    <format dxfId="253">
      <pivotArea dataOnly="0" labelOnly="1" outline="0" fieldPosition="0">
        <references count="3">
          <reference field="8" count="1" selected="0">
            <x v="165"/>
          </reference>
          <reference field="9" count="1" selected="0">
            <x v="97"/>
          </reference>
          <reference field="17" count="1">
            <x v="25"/>
          </reference>
        </references>
      </pivotArea>
    </format>
    <format dxfId="252">
      <pivotArea dataOnly="0" labelOnly="1" outline="0" fieldPosition="0">
        <references count="3">
          <reference field="8" count="1" selected="0">
            <x v="166"/>
          </reference>
          <reference field="9" count="1" selected="0">
            <x v="96"/>
          </reference>
          <reference field="17" count="3">
            <x v="43"/>
            <x v="55"/>
            <x v="59"/>
          </reference>
        </references>
      </pivotArea>
    </format>
    <format dxfId="251">
      <pivotArea dataOnly="0" labelOnly="1" outline="0" fieldPosition="0">
        <references count="3">
          <reference field="8" count="1" selected="0">
            <x v="167"/>
          </reference>
          <reference field="9" count="1" selected="0">
            <x v="100"/>
          </reference>
          <reference field="17" count="3">
            <x v="59"/>
            <x v="60"/>
            <x v="61"/>
          </reference>
        </references>
      </pivotArea>
    </format>
    <format dxfId="250">
      <pivotArea dataOnly="0" labelOnly="1" outline="0" fieldPosition="0">
        <references count="3">
          <reference field="8" count="1" selected="0">
            <x v="168"/>
          </reference>
          <reference field="9" count="1" selected="0">
            <x v="103"/>
          </reference>
          <reference field="17" count="2">
            <x v="37"/>
            <x v="38"/>
          </reference>
        </references>
      </pivotArea>
    </format>
    <format dxfId="249">
      <pivotArea dataOnly="0" labelOnly="1" outline="0" fieldPosition="0">
        <references count="3">
          <reference field="8" count="1" selected="0">
            <x v="169"/>
          </reference>
          <reference field="9" count="1" selected="0">
            <x v="134"/>
          </reference>
          <reference field="17" count="2">
            <x v="37"/>
            <x v="40"/>
          </reference>
        </references>
      </pivotArea>
    </format>
    <format dxfId="248">
      <pivotArea dataOnly="0" labelOnly="1" outline="0" fieldPosition="0">
        <references count="3">
          <reference field="8" count="1" selected="0">
            <x v="170"/>
          </reference>
          <reference field="9" count="1" selected="0">
            <x v="133"/>
          </reference>
          <reference field="17" count="1">
            <x v="39"/>
          </reference>
        </references>
      </pivotArea>
    </format>
    <format dxfId="247">
      <pivotArea dataOnly="0" labelOnly="1" outline="0" fieldPosition="0">
        <references count="3">
          <reference field="8" count="1" selected="0">
            <x v="171"/>
          </reference>
          <reference field="9" count="1" selected="0">
            <x v="138"/>
          </reference>
          <reference field="17" count="3">
            <x v="55"/>
            <x v="59"/>
            <x v="60"/>
          </reference>
        </references>
      </pivotArea>
    </format>
    <format dxfId="246">
      <pivotArea dataOnly="0" labelOnly="1" outline="0" fieldPosition="0">
        <references count="3">
          <reference field="8" count="1" selected="0">
            <x v="172"/>
          </reference>
          <reference field="9" count="1" selected="0">
            <x v="139"/>
          </reference>
          <reference field="17" count="1">
            <x v="55"/>
          </reference>
        </references>
      </pivotArea>
    </format>
    <format dxfId="245">
      <pivotArea dataOnly="0" labelOnly="1" outline="0" fieldPosition="0">
        <references count="3">
          <reference field="8" count="1" selected="0">
            <x v="173"/>
          </reference>
          <reference field="9" count="1" selected="0">
            <x v="140"/>
          </reference>
          <reference field="17" count="3">
            <x v="58"/>
            <x v="60"/>
            <x v="61"/>
          </reference>
        </references>
      </pivotArea>
    </format>
    <format dxfId="244">
      <pivotArea dataOnly="0" labelOnly="1" outline="0" fieldPosition="0">
        <references count="3">
          <reference field="8" count="1" selected="0">
            <x v="174"/>
          </reference>
          <reference field="9" count="1" selected="0">
            <x v="105"/>
          </reference>
          <reference field="17" count="3">
            <x v="37"/>
            <x v="38"/>
            <x v="39"/>
          </reference>
        </references>
      </pivotArea>
    </format>
    <format dxfId="243">
      <pivotArea dataOnly="0" labelOnly="1" outline="0" fieldPosition="0">
        <references count="3">
          <reference field="8" count="1" selected="0">
            <x v="175"/>
          </reference>
          <reference field="9" count="1" selected="0">
            <x v="82"/>
          </reference>
          <reference field="17" count="2">
            <x v="23"/>
            <x v="28"/>
          </reference>
        </references>
      </pivotArea>
    </format>
    <format dxfId="242">
      <pivotArea dataOnly="0" labelOnly="1" outline="0" fieldPosition="0">
        <references count="3">
          <reference field="8" count="1" selected="0">
            <x v="176"/>
          </reference>
          <reference field="9" count="1" selected="0">
            <x v="1"/>
          </reference>
          <reference field="17" count="1">
            <x v="24"/>
          </reference>
        </references>
      </pivotArea>
    </format>
    <format dxfId="241">
      <pivotArea dataOnly="0" labelOnly="1" outline="0" fieldPosition="0">
        <references count="3">
          <reference field="8" count="1" selected="0">
            <x v="177"/>
          </reference>
          <reference field="9" count="1" selected="0">
            <x v="2"/>
          </reference>
          <reference field="17" count="1">
            <x v="7"/>
          </reference>
        </references>
      </pivotArea>
    </format>
    <format dxfId="240">
      <pivotArea dataOnly="0" labelOnly="1" outline="0" fieldPosition="0">
        <references count="3">
          <reference field="8" count="1" selected="0">
            <x v="178"/>
          </reference>
          <reference field="9" count="1" selected="0">
            <x v="52"/>
          </reference>
          <reference field="17" count="2">
            <x v="79"/>
            <x v="83"/>
          </reference>
        </references>
      </pivotArea>
    </format>
    <format dxfId="239">
      <pivotArea dataOnly="0" labelOnly="1" outline="0" fieldPosition="0">
        <references count="3">
          <reference field="8" count="1" selected="0">
            <x v="179"/>
          </reference>
          <reference field="9" count="1" selected="0">
            <x v="3"/>
          </reference>
          <reference field="17" count="3">
            <x v="56"/>
            <x v="62"/>
            <x v="64"/>
          </reference>
        </references>
      </pivotArea>
    </format>
    <format dxfId="238">
      <pivotArea dataOnly="0" labelOnly="1" outline="0" fieldPosition="0">
        <references count="3">
          <reference field="8" count="1" selected="0">
            <x v="180"/>
          </reference>
          <reference field="9" count="1" selected="0">
            <x v="4"/>
          </reference>
          <reference field="17" count="5">
            <x v="83"/>
            <x v="85"/>
            <x v="86"/>
            <x v="87"/>
            <x v="89"/>
          </reference>
        </references>
      </pivotArea>
    </format>
    <format dxfId="237">
      <pivotArea dataOnly="0" labelOnly="1" outline="0" fieldPosition="0">
        <references count="3">
          <reference field="8" count="1" selected="0">
            <x v="181"/>
          </reference>
          <reference field="9" count="1" selected="0">
            <x v="5"/>
          </reference>
          <reference field="17" count="2">
            <x v="86"/>
            <x v="87"/>
          </reference>
        </references>
      </pivotArea>
    </format>
    <format dxfId="236">
      <pivotArea dataOnly="0" labelOnly="1" outline="0" fieldPosition="0">
        <references count="3">
          <reference field="8" count="1" selected="0">
            <x v="182"/>
          </reference>
          <reference field="9" count="1" selected="0">
            <x v="6"/>
          </reference>
          <reference field="17" count="7">
            <x v="17"/>
            <x v="64"/>
            <x v="66"/>
            <x v="67"/>
            <x v="69"/>
            <x v="73"/>
            <x v="83"/>
          </reference>
        </references>
      </pivotArea>
    </format>
    <format dxfId="235">
      <pivotArea dataOnly="0" labelOnly="1" outline="0" fieldPosition="0">
        <references count="3">
          <reference field="8" count="1" selected="0">
            <x v="183"/>
          </reference>
          <reference field="9" count="1" selected="0">
            <x v="9"/>
          </reference>
          <reference field="17" count="1">
            <x v="74"/>
          </reference>
        </references>
      </pivotArea>
    </format>
    <format dxfId="234">
      <pivotArea dataOnly="0" labelOnly="1" outline="0" fieldPosition="0">
        <references count="3">
          <reference field="8" count="1" selected="0">
            <x v="184"/>
          </reference>
          <reference field="9" count="1" selected="0">
            <x v="13"/>
          </reference>
          <reference field="17" count="3">
            <x v="20"/>
            <x v="26"/>
            <x v="30"/>
          </reference>
        </references>
      </pivotArea>
    </format>
    <format dxfId="233">
      <pivotArea dataOnly="0" labelOnly="1" outline="0" fieldPosition="0">
        <references count="3">
          <reference field="8" count="1" selected="0">
            <x v="185"/>
          </reference>
          <reference field="9" count="1" selected="0">
            <x v="22"/>
          </reference>
          <reference field="17" count="1">
            <x v="23"/>
          </reference>
        </references>
      </pivotArea>
    </format>
    <format dxfId="232">
      <pivotArea dataOnly="0" labelOnly="1" outline="0" fieldPosition="0">
        <references count="3">
          <reference field="8" count="1" selected="0">
            <x v="186"/>
          </reference>
          <reference field="9" count="1" selected="0">
            <x v="16"/>
          </reference>
          <reference field="17" count="3">
            <x v="27"/>
            <x v="30"/>
            <x v="32"/>
          </reference>
        </references>
      </pivotArea>
    </format>
    <format dxfId="231">
      <pivotArea dataOnly="0" labelOnly="1" outline="0" fieldPosition="0">
        <references count="3">
          <reference field="8" count="1" selected="0">
            <x v="187"/>
          </reference>
          <reference field="9" count="1" selected="0">
            <x v="49"/>
          </reference>
          <reference field="17" count="2">
            <x v="16"/>
            <x v="23"/>
          </reference>
        </references>
      </pivotArea>
    </format>
    <format dxfId="230">
      <pivotArea outline="0" collapsedLevelsAreSubtotals="1" fieldPosition="0"/>
    </format>
    <format dxfId="22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28">
      <pivotArea outline="0" fieldPosition="0">
        <references count="1">
          <reference field="4294967294" count="1">
            <x v="1"/>
          </reference>
        </references>
      </pivotArea>
    </format>
    <format dxfId="227">
      <pivotArea outline="0" fieldPosition="0">
        <references count="1">
          <reference field="4294967294" count="1" selected="0">
            <x v="2"/>
          </reference>
        </references>
      </pivotArea>
    </format>
    <format dxfId="22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25">
      <pivotArea outline="0" fieldPosition="0">
        <references count="1">
          <reference field="4294967294" count="1" selected="0">
            <x v="0"/>
          </reference>
        </references>
      </pivotArea>
    </format>
    <format dxfId="22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3">
      <pivotArea outline="0" fieldPosition="0">
        <references count="1">
          <reference field="4294967294" count="1">
            <x v="3"/>
          </reference>
        </references>
      </pivotArea>
    </format>
    <format dxfId="22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21">
      <pivotArea outline="0" fieldPosition="0">
        <references count="1">
          <reference field="4294967294" count="1" selected="0">
            <x v="3"/>
          </reference>
        </references>
      </pivotArea>
    </format>
    <format dxfId="220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5E491B-B6BA-46E5-AD16-6AB48825EAEB}" name="TablaDinámica7" cacheId="1587" applyNumberFormats="0" applyBorderFormats="0" applyFontFormats="0" applyPatternFormats="0" applyAlignmentFormats="0" applyWidthHeightFormats="1" dataCaption="Ratios" tag="a903f394-b987-4d03-acad-e3da589e7fc3" updatedVersion="8" minRefreshableVersion="3" useAutoFormatting="1" subtotalHiddenItems="1" rowGrandTotals="0" colGrandTotals="0" itemPrintTitles="1" createdVersion="5" indent="0" outline="1" outlineData="1" multipleFieldFilters="0" chartFormat="5" rowHeaderCaption="bodega">
  <location ref="E2:E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>
      <x v="2"/>
    </i>
  </rowItems>
  <formats count="2">
    <format dxfId="185">
      <pivotArea outline="0" collapsedLevelsAreSubtotals="1" fieldPosition="0"/>
    </format>
    <format dxfId="184">
      <pivotArea outline="0" collapsedLevelsAreSubtotals="1" fieldPosition="0"/>
    </format>
  </formats>
  <pivotHierarchies count="1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Inv Disp Kg"/>
    <pivotHierarchy dragToData="1" caption="F Corta Kg "/>
    <pivotHierarchy dragToData="1" caption="Inv Kg"/>
    <pivotHierarchy dragToData="1"/>
    <pivotHierarchy dragToData="1"/>
    <pivotHierarchy dragToData="1"/>
  </pivotHierarchies>
  <pivotTableStyleInfo name="PivotStyleDark18" showRowHeaders="1" showColHeaders="1" showRowStripes="0" showColStripes="0" showLastColumn="1"/>
  <rowHierarchiesUsage count="1">
    <rowHierarchyUsage hierarchyUsage="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orte Stock DiarioPR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6941B-9DC4-4220-A873-FD4AFA9BF8B5}" name="TablaDinámica3" cacheId="1586" applyNumberFormats="0" applyBorderFormats="0" applyFontFormats="0" applyPatternFormats="0" applyAlignmentFormats="0" applyWidthHeightFormats="1" dataCaption="Ratios" tag="cb6fc8e8-787c-4659-9cd9-ac8e44af15b5" updatedVersion="8" minRefreshableVersion="3" useAutoFormatting="1" subtotalHiddenItems="1" rowGrandTotals="0" colGrandTotals="0" itemPrintTitles="1" createdVersion="5" indent="0" outline="1" outlineData="1" multipleFieldFilters="0" chartFormat="5" rowHeaderCaption="Fecha">
  <location ref="H17:I18" firstHeaderRow="0" firstDataRow="1" firstDataCol="0"/>
  <pivotFields count="4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dataFields count="2">
    <dataField fld="0" subtotal="count" baseField="0" baseItem="0" numFmtId="170"/>
    <dataField fld="1" subtotal="count" baseField="0" baseItem="0"/>
  </dataFields>
  <formats count="11">
    <format dxfId="196">
      <pivotArea outline="0" collapsedLevelsAreSubtotals="1" fieldPosition="0"/>
    </format>
    <format dxfId="195">
      <pivotArea outline="0" collapsedLevelsAreSubtotals="1" fieldPosition="0"/>
    </format>
    <format dxfId="194">
      <pivotArea outline="0" collapsedLevelsAreSubtotals="1" fieldPosition="0"/>
    </format>
    <format dxfId="193">
      <pivotArea outline="0" collapsedLevelsAreSubtotals="1" fieldPosition="0"/>
    </format>
    <format dxfId="192">
      <pivotArea dataOnly="0" labelOnly="1" outline="0" axis="axisValues" fieldPosition="0"/>
    </format>
    <format dxfId="19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0">
      <pivotArea outline="0" collapsedLevelsAreSubtotals="1" fieldPosition="0"/>
    </format>
    <format dxfId="18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8">
      <pivotArea type="all" dataOnly="0" outline="0" fieldPosition="0"/>
    </format>
    <format dxfId="187">
      <pivotArea outline="0" collapsedLevelsAreSubtotals="1" fieldPosition="0"/>
    </format>
    <format dxfId="1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1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Inv Disp Kg"/>
    <pivotHierarchy dragToData="1" caption="F Corta Kg "/>
    <pivotHierarchy dragToData="1" caption="Inv Kg"/>
    <pivotHierarchy dragToData="1" caption="F Corta $"/>
    <pivotHierarchy dragToData="1" caption="Inv $"/>
    <pivotHierarchy dragToData="1"/>
  </pivotHierarchies>
  <pivotTableStyleInfo name="PivotStyleDark18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orte Stock DiarioPR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37BF9-B4AE-4D0A-A4E6-9FEEDB9CA4CC}" name="TablaDinámica2" cacheId="1585" applyNumberFormats="0" applyBorderFormats="0" applyFontFormats="0" applyPatternFormats="0" applyAlignmentFormats="0" applyWidthHeightFormats="1" dataCaption="Ratios" tag="b6fa1256-c64b-4a97-a660-e44a1ba29127" updatedVersion="8" minRefreshableVersion="3" subtotalHiddenItems="1" rowGrandTotals="0" colGrandTotals="0" itemPrintTitles="1" createdVersion="5" indent="0" outline="1" outlineData="1" multipleFieldFilters="0" chartFormat="5" rowHeaderCaption="Fecha">
  <location ref="H8:J9" firstHeaderRow="0" firstDataRow="1" firstDataCol="1"/>
  <pivotFields count="5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">
        <item x="0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1">
    <i>
      <x/>
    </i>
  </rowItems>
  <colFields count="1">
    <field x="-2"/>
  </colFields>
  <colItems count="2">
    <i>
      <x/>
    </i>
    <i i="1">
      <x v="1"/>
    </i>
  </colItems>
  <dataFields count="2">
    <dataField name="F Corta Kg " fld="0" baseField="0" baseItem="0"/>
    <dataField name="Inv Kg" fld="1" baseField="0" baseItem="0"/>
  </dataFields>
  <formats count="10">
    <format dxfId="206">
      <pivotArea outline="0" collapsedLevelsAreSubtotals="1" fieldPosition="0"/>
    </format>
    <format dxfId="2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4">
      <pivotArea outline="0" collapsedLevelsAreSubtotals="1" fieldPosition="0"/>
    </format>
    <format dxfId="203">
      <pivotArea dataOnly="0" labelOnly="1" fieldPosition="0">
        <references count="1">
          <reference field="2" count="0"/>
        </references>
      </pivotArea>
    </format>
    <format dxfId="202">
      <pivotArea field="2" type="button" dataOnly="0" labelOnly="1" outline="0" axis="axisRow" fieldPosition="0"/>
    </format>
    <format dxfId="201">
      <pivotArea type="all" dataOnly="0" outline="0" fieldPosition="0"/>
    </format>
    <format dxfId="200">
      <pivotArea outline="0" collapsedLevelsAreSubtotals="1" fieldPosition="0"/>
    </format>
    <format dxfId="199">
      <pivotArea field="2" type="button" dataOnly="0" labelOnly="1" outline="0" axis="axisRow" fieldPosition="0"/>
    </format>
    <format dxfId="19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7">
      <pivotArea dataOnly="0" labelOnly="1" fieldPosition="0">
        <references count="1">
          <reference field="2" count="0"/>
        </references>
      </pivotArea>
    </format>
  </formats>
  <pivotHierarchies count="1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Inv Disp Kg"/>
    <pivotHierarchy dragToData="1" caption="F Corta Kg "/>
    <pivotHierarchy dragToData="1" caption="Inv Kg"/>
    <pivotHierarchy dragToData="1"/>
    <pivotHierarchy dragToData="1"/>
    <pivotHierarchy dragToData="1"/>
  </pivotHierarchies>
  <pivotTableStyleInfo name="PivotStyleDark18" showRowHeaders="1" showColHeaders="1" showRowStripes="0" showColStripes="0" showLastColumn="1"/>
  <rowHierarchiesUsage count="1">
    <rowHierarchyUsage hierarchyUsage="5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orte Stock DiarioPR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24261-8704-4A2E-B63F-3A11A67854DB}" name="TablaDinámica6" cacheId="1588" applyNumberFormats="0" applyBorderFormats="0" applyFontFormats="0" applyPatternFormats="0" applyAlignmentFormats="0" applyWidthHeightFormats="1" dataCaption="Ratios" tag="29c7162f-4ccd-4b5b-be4d-3867c3ef6154" updatedVersion="8" minRefreshableVersion="3" useAutoFormatting="1" subtotalHiddenItems="1" rowGrandTotals="0" colGrandTotals="0" itemPrintTitles="1" createdVersion="5" indent="0" outline="1" outlineData="1" multipleFieldFilters="0" chartFormat="5" rowHeaderCaption="Fecha">
  <location ref="H13:J14" firstHeaderRow="0" firstDataRow="1" firstDataCol="1"/>
  <pivotFields count="5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">
    <i>
      <x/>
    </i>
  </rowItems>
  <colFields count="1">
    <field x="-2"/>
  </colFields>
  <colItems count="2">
    <i>
      <x/>
    </i>
    <i i="1">
      <x v="1"/>
    </i>
  </colItems>
  <dataFields count="2">
    <dataField name="F Corta $" fld="1" baseField="0" baseItem="0" numFmtId="174"/>
    <dataField name="Inv $" fld="2" baseField="0" baseItem="0"/>
  </dataFields>
  <formats count="13">
    <format dxfId="219">
      <pivotArea outline="0" collapsedLevelsAreSubtotals="1" fieldPosition="0"/>
    </format>
    <format dxfId="218">
      <pivotArea outline="0" collapsedLevelsAreSubtotals="1" fieldPosition="0"/>
    </format>
    <format dxfId="217">
      <pivotArea outline="0" collapsedLevelsAreSubtotals="1" fieldPosition="0"/>
    </format>
    <format dxfId="216">
      <pivotArea outline="0" collapsedLevelsAreSubtotals="1" fieldPosition="0"/>
    </format>
    <format dxfId="215">
      <pivotArea dataOnly="0" labelOnly="1" outline="0" axis="axisValues" fieldPosition="0"/>
    </format>
    <format dxfId="21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2">
      <pivotArea field="0" type="button" dataOnly="0" labelOnly="1" outline="0" axis="axisRow" fieldPosition="0"/>
    </format>
    <format dxfId="211">
      <pivotArea type="all" dataOnly="0" outline="0" fieldPosition="0"/>
    </format>
    <format dxfId="210">
      <pivotArea outline="0" collapsedLevelsAreSubtotals="1" fieldPosition="0"/>
    </format>
    <format dxfId="209">
      <pivotArea field="0" type="button" dataOnly="0" labelOnly="1" outline="0" axis="axisRow" fieldPosition="0"/>
    </format>
    <format dxfId="20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7">
      <pivotArea dataOnly="0" labelOnly="1" fieldPosition="0">
        <references count="1">
          <reference field="0" count="0"/>
        </references>
      </pivotArea>
    </format>
  </formats>
  <pivotHierarchies count="1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Inv Disp Kg"/>
    <pivotHierarchy dragToData="1" caption="F Corta Kg "/>
    <pivotHierarchy dragToData="1" caption="Inv Kg"/>
    <pivotHierarchy dragToData="1" caption="F Corta $"/>
    <pivotHierarchy dragToData="1" caption="Inv $"/>
    <pivotHierarchy dragToData="1"/>
  </pivotHierarchies>
  <pivotTableStyleInfo name="PivotStyleDark18" showRowHeaders="1" showColHeaders="1" showRowStripes="0" showColStripes="0" showLastColumn="1"/>
  <rowHierarchiesUsage count="1">
    <rowHierarchyUsage hierarchyUsage="5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orte Stock DiarioPR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6C8F05-3FC2-48EF-B755-C3C96C1AB420}" name="TablaDinámica6" cacheId="158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2">
  <location ref="A24:B30" firstHeaderRow="1" firstDataRow="1" firstDataCol="1" rowPageCount="1" colPageCount="1"/>
  <pivotFields count="33">
    <pivotField showAll="0"/>
    <pivotField showAll="0">
      <items count="8">
        <item x="5"/>
        <item x="4"/>
        <item x="1"/>
        <item x="3"/>
        <item x="2"/>
        <item x="0"/>
        <item x="6"/>
        <item t="default"/>
      </items>
    </pivotField>
    <pivotField showAll="0">
      <items count="6">
        <item x="3"/>
        <item x="2"/>
        <item x="0"/>
        <item x="1"/>
        <item x="4"/>
        <item t="default"/>
      </items>
    </pivotField>
    <pivotField axis="axisRow" showAll="0">
      <items count="21">
        <item x="12"/>
        <item x="10"/>
        <item x="7"/>
        <item x="15"/>
        <item x="2"/>
        <item x="13"/>
        <item x="9"/>
        <item x="8"/>
        <item x="14"/>
        <item x="0"/>
        <item x="11"/>
        <item x="1"/>
        <item x="5"/>
        <item x="6"/>
        <item x="4"/>
        <item x="3"/>
        <item x="19"/>
        <item x="18"/>
        <item x="17"/>
        <item x="16"/>
        <item t="default"/>
      </items>
    </pivotField>
    <pivotField showAll="0"/>
    <pivotField showAll="0">
      <items count="6">
        <item h="1" x="1"/>
        <item h="1" x="0"/>
        <item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46">
        <item m="1" x="244"/>
        <item m="1" x="242"/>
        <item m="1" x="239"/>
        <item m="1" x="243"/>
        <item m="1" x="233"/>
        <item m="1" x="240"/>
        <item m="1" x="241"/>
        <item m="1" x="227"/>
        <item m="1" x="226"/>
        <item m="1" x="232"/>
        <item m="1" x="235"/>
        <item m="1" x="230"/>
        <item m="1" x="234"/>
        <item m="1" x="225"/>
        <item m="1" x="231"/>
        <item m="1" x="229"/>
        <item m="1" x="222"/>
        <item m="1" x="223"/>
        <item m="1" x="224"/>
        <item m="1" x="221"/>
        <item m="1" x="212"/>
        <item m="1" x="216"/>
        <item m="1" x="215"/>
        <item m="1" x="211"/>
        <item m="1" x="200"/>
        <item m="1" x="220"/>
        <item m="1" x="199"/>
        <item m="1" x="191"/>
        <item m="1" x="193"/>
        <item m="1" x="213"/>
        <item m="1" x="192"/>
        <item m="1" x="210"/>
        <item m="1" x="197"/>
        <item m="1" x="196"/>
        <item m="1" x="187"/>
        <item m="1" x="188"/>
        <item m="1" x="207"/>
        <item m="1" x="172"/>
        <item m="1" x="178"/>
        <item m="1" x="177"/>
        <item m="1" x="171"/>
        <item m="1" x="184"/>
        <item m="1" x="185"/>
        <item m="1" x="167"/>
        <item m="1" x="169"/>
        <item m="1" x="158"/>
        <item m="1" x="166"/>
        <item m="1" x="164"/>
        <item m="1" x="147"/>
        <item m="1" x="165"/>
        <item m="1" x="163"/>
        <item m="1" x="148"/>
        <item m="1" x="141"/>
        <item m="1" x="144"/>
        <item m="1" x="145"/>
        <item m="1" x="138"/>
        <item m="1" x="151"/>
        <item m="1" x="155"/>
        <item m="1" x="133"/>
        <item m="1" x="134"/>
        <item m="1" x="135"/>
        <item m="1" x="122"/>
        <item m="1" x="121"/>
        <item m="1" x="116"/>
        <item m="1" x="110"/>
        <item x="96"/>
        <item m="1" x="113"/>
        <item x="10"/>
        <item x="9"/>
        <item x="0"/>
        <item x="8"/>
        <item x="67"/>
        <item x="95"/>
        <item x="47"/>
        <item x="78"/>
        <item x="57"/>
        <item m="1" x="209"/>
        <item x="14"/>
        <item m="1" x="208"/>
        <item m="1" x="228"/>
        <item x="58"/>
        <item m="1" x="140"/>
        <item x="18"/>
        <item x="39"/>
        <item m="1" x="160"/>
        <item x="40"/>
        <item x="49"/>
        <item m="1" x="217"/>
        <item m="1" x="219"/>
        <item m="1" x="218"/>
        <item x="27"/>
        <item x="98"/>
        <item m="1" x="195"/>
        <item m="1" x="117"/>
        <item m="1" x="132"/>
        <item m="1" x="114"/>
        <item x="48"/>
        <item m="1" x="190"/>
        <item m="1" x="206"/>
        <item m="1" x="173"/>
        <item m="1" x="115"/>
        <item m="1" x="194"/>
        <item m="1" x="168"/>
        <item x="70"/>
        <item m="1" x="198"/>
        <item m="1" x="202"/>
        <item m="1" x="159"/>
        <item x="84"/>
        <item x="15"/>
        <item x="59"/>
        <item x="23"/>
        <item m="1" x="174"/>
        <item m="1" x="237"/>
        <item m="1" x="236"/>
        <item m="1" x="238"/>
        <item m="1" x="106"/>
        <item m="1" x="156"/>
        <item m="1" x="137"/>
        <item m="1" x="189"/>
        <item m="1" x="186"/>
        <item m="1" x="130"/>
        <item m="1" x="146"/>
        <item m="1" x="111"/>
        <item m="1" x="162"/>
        <item x="53"/>
        <item m="1" x="123"/>
        <item x="80"/>
        <item x="79"/>
        <item x="20"/>
        <item m="1" x="203"/>
        <item m="1" x="204"/>
        <item m="1" x="175"/>
        <item m="1" x="179"/>
        <item m="1" x="205"/>
        <item x="26"/>
        <item x="4"/>
        <item m="1" x="104"/>
        <item m="1" x="176"/>
        <item x="25"/>
        <item m="1" x="136"/>
        <item x="21"/>
        <item x="19"/>
        <item x="46"/>
        <item x="45"/>
        <item m="1" x="103"/>
        <item m="1" x="181"/>
        <item m="1" x="180"/>
        <item m="1" x="183"/>
        <item m="1" x="161"/>
        <item m="1" x="131"/>
        <item m="1" x="142"/>
        <item m="1" x="214"/>
        <item m="1" x="127"/>
        <item x="28"/>
        <item x="6"/>
        <item m="1" x="129"/>
        <item m="1" x="109"/>
        <item x="85"/>
        <item x="43"/>
        <item x="77"/>
        <item m="1" x="201"/>
        <item x="2"/>
        <item m="1" x="152"/>
        <item x="44"/>
        <item m="1" x="170"/>
        <item m="1" x="107"/>
        <item x="71"/>
        <item x="3"/>
        <item m="1" x="154"/>
        <item m="1" x="182"/>
        <item x="5"/>
        <item m="1" x="101"/>
        <item x="68"/>
        <item m="1" x="108"/>
        <item m="1" x="153"/>
        <item m="1" x="125"/>
        <item x="66"/>
        <item x="50"/>
        <item m="1" x="143"/>
        <item m="1" x="128"/>
        <item x="97"/>
        <item m="1" x="149"/>
        <item x="72"/>
        <item x="65"/>
        <item x="52"/>
        <item m="1" x="100"/>
        <item m="1" x="120"/>
        <item x="63"/>
        <item m="1" x="157"/>
        <item x="41"/>
        <item x="12"/>
        <item x="75"/>
        <item m="1" x="105"/>
        <item x="64"/>
        <item m="1" x="150"/>
        <item x="83"/>
        <item x="11"/>
        <item m="1" x="102"/>
        <item x="1"/>
        <item m="1" x="118"/>
        <item x="61"/>
        <item x="16"/>
        <item m="1" x="99"/>
        <item m="1" x="124"/>
        <item x="7"/>
        <item x="30"/>
        <item x="32"/>
        <item m="1" x="139"/>
        <item m="1" x="119"/>
        <item x="73"/>
        <item x="74"/>
        <item x="22"/>
        <item x="13"/>
        <item x="82"/>
        <item x="31"/>
        <item x="37"/>
        <item x="51"/>
        <item m="1" x="126"/>
        <item x="54"/>
        <item x="69"/>
        <item x="17"/>
        <item x="60"/>
        <item x="33"/>
        <item x="35"/>
        <item x="38"/>
        <item x="81"/>
        <item x="92"/>
        <item x="29"/>
        <item x="34"/>
        <item x="36"/>
        <item x="42"/>
        <item x="24"/>
        <item x="55"/>
        <item x="94"/>
        <item m="1" x="112"/>
        <item x="89"/>
        <item x="56"/>
        <item x="62"/>
        <item x="76"/>
        <item x="86"/>
        <item x="87"/>
        <item x="88"/>
        <item x="90"/>
        <item x="91"/>
        <item x="9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m="1" x="5"/>
        <item x="2"/>
        <item h="1" x="1"/>
        <item h="1" x="0"/>
        <item h="1" x="4"/>
        <item h="1" x="3"/>
        <item t="default"/>
      </items>
    </pivotField>
    <pivotField showAll="0"/>
    <pivotField showAll="0" defaultSubtotal="0"/>
    <pivotField showAll="0" defaultSubtotal="0"/>
    <pivotField showAll="0" defaultSubtotal="0">
      <items count="129">
        <item x="125"/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7"/>
        <item x="128"/>
      </items>
    </pivotField>
  </pivotFields>
  <rowFields count="1">
    <field x="3"/>
  </rowFields>
  <rowItems count="6">
    <i>
      <x v="7"/>
    </i>
    <i>
      <x v="9"/>
    </i>
    <i>
      <x v="11"/>
    </i>
    <i>
      <x v="13"/>
    </i>
    <i>
      <x v="14"/>
    </i>
    <i>
      <x v="15"/>
    </i>
  </rowItems>
  <colItems count="1">
    <i/>
  </colItems>
  <pageFields count="1">
    <pageField fld="28" hier="-1"/>
  </pageFields>
  <dataFields count="1">
    <dataField name="Kilos" fld="21" baseField="0" baseItem="0" numFmtId="170"/>
  </dataFields>
  <formats count="2">
    <format dxfId="178">
      <pivotArea outline="0" collapsedLevelsAreSubtotals="1" fieldPosition="0"/>
    </format>
    <format dxfId="17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E34C09-2B0D-40CE-9AAC-3A431A841F3C}" name="TablaDinámica3" cacheId="158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8">
  <location ref="A3:B4" firstHeaderRow="1" firstDataRow="1" firstDataCol="1" rowPageCount="1" colPageCount="1"/>
  <pivotFields count="33">
    <pivotField showAll="0"/>
    <pivotField showAll="0">
      <items count="8">
        <item x="5"/>
        <item x="4"/>
        <item x="1"/>
        <item x="3"/>
        <item x="2"/>
        <item x="0"/>
        <item x="6"/>
        <item t="default"/>
      </items>
    </pivotField>
    <pivotField showAll="0">
      <items count="6">
        <item x="3"/>
        <item x="2"/>
        <item x="0"/>
        <item x="1"/>
        <item x="4"/>
        <item t="default"/>
      </items>
    </pivotField>
    <pivotField showAll="0">
      <items count="21">
        <item x="18"/>
        <item x="17"/>
        <item x="12"/>
        <item x="10"/>
        <item x="7"/>
        <item x="15"/>
        <item x="2"/>
        <item x="13"/>
        <item x="9"/>
        <item x="8"/>
        <item x="14"/>
        <item x="16"/>
        <item x="0"/>
        <item x="11"/>
        <item x="1"/>
        <item x="5"/>
        <item x="6"/>
        <item x="4"/>
        <item x="3"/>
        <item x="19"/>
        <item t="default"/>
      </items>
    </pivotField>
    <pivotField showAll="0"/>
    <pivotField axis="axisRow" showAll="0">
      <items count="6">
        <item h="1" x="0"/>
        <item x="2"/>
        <item h="1" x="3"/>
        <item h="1" x="4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46">
        <item m="1" x="244"/>
        <item m="1" x="242"/>
        <item m="1" x="239"/>
        <item m="1" x="243"/>
        <item m="1" x="233"/>
        <item m="1" x="240"/>
        <item m="1" x="241"/>
        <item m="1" x="227"/>
        <item m="1" x="226"/>
        <item m="1" x="232"/>
        <item m="1" x="235"/>
        <item m="1" x="230"/>
        <item m="1" x="234"/>
        <item m="1" x="225"/>
        <item m="1" x="231"/>
        <item m="1" x="229"/>
        <item m="1" x="222"/>
        <item m="1" x="223"/>
        <item m="1" x="224"/>
        <item m="1" x="221"/>
        <item m="1" x="212"/>
        <item m="1" x="216"/>
        <item m="1" x="215"/>
        <item m="1" x="211"/>
        <item m="1" x="200"/>
        <item m="1" x="220"/>
        <item m="1" x="199"/>
        <item m="1" x="191"/>
        <item m="1" x="193"/>
        <item m="1" x="213"/>
        <item m="1" x="192"/>
        <item m="1" x="210"/>
        <item m="1" x="197"/>
        <item m="1" x="196"/>
        <item m="1" x="187"/>
        <item m="1" x="188"/>
        <item m="1" x="207"/>
        <item m="1" x="172"/>
        <item m="1" x="178"/>
        <item m="1" x="177"/>
        <item m="1" x="171"/>
        <item m="1" x="184"/>
        <item m="1" x="185"/>
        <item m="1" x="167"/>
        <item m="1" x="169"/>
        <item m="1" x="158"/>
        <item m="1" x="166"/>
        <item m="1" x="164"/>
        <item m="1" x="147"/>
        <item m="1" x="165"/>
        <item m="1" x="163"/>
        <item m="1" x="148"/>
        <item m="1" x="141"/>
        <item m="1" x="144"/>
        <item m="1" x="145"/>
        <item m="1" x="138"/>
        <item m="1" x="151"/>
        <item m="1" x="155"/>
        <item m="1" x="133"/>
        <item m="1" x="134"/>
        <item m="1" x="135"/>
        <item m="1" x="122"/>
        <item m="1" x="121"/>
        <item m="1" x="116"/>
        <item m="1" x="110"/>
        <item x="96"/>
        <item m="1" x="113"/>
        <item x="10"/>
        <item x="9"/>
        <item x="0"/>
        <item x="8"/>
        <item x="67"/>
        <item x="95"/>
        <item x="47"/>
        <item x="78"/>
        <item x="57"/>
        <item m="1" x="209"/>
        <item x="14"/>
        <item m="1" x="208"/>
        <item m="1" x="228"/>
        <item x="58"/>
        <item m="1" x="140"/>
        <item x="18"/>
        <item x="39"/>
        <item m="1" x="160"/>
        <item x="40"/>
        <item x="49"/>
        <item m="1" x="217"/>
        <item m="1" x="219"/>
        <item m="1" x="218"/>
        <item x="27"/>
        <item x="98"/>
        <item m="1" x="195"/>
        <item m="1" x="117"/>
        <item m="1" x="132"/>
        <item m="1" x="114"/>
        <item x="48"/>
        <item m="1" x="190"/>
        <item m="1" x="206"/>
        <item m="1" x="173"/>
        <item m="1" x="115"/>
        <item m="1" x="194"/>
        <item m="1" x="168"/>
        <item x="70"/>
        <item m="1" x="198"/>
        <item m="1" x="202"/>
        <item m="1" x="159"/>
        <item x="84"/>
        <item x="15"/>
        <item x="59"/>
        <item x="23"/>
        <item m="1" x="174"/>
        <item m="1" x="237"/>
        <item m="1" x="236"/>
        <item m="1" x="238"/>
        <item m="1" x="106"/>
        <item m="1" x="156"/>
        <item m="1" x="137"/>
        <item m="1" x="189"/>
        <item m="1" x="186"/>
        <item m="1" x="130"/>
        <item m="1" x="146"/>
        <item m="1" x="111"/>
        <item m="1" x="162"/>
        <item x="53"/>
        <item m="1" x="123"/>
        <item x="80"/>
        <item x="79"/>
        <item x="20"/>
        <item m="1" x="203"/>
        <item m="1" x="204"/>
        <item m="1" x="175"/>
        <item m="1" x="179"/>
        <item m="1" x="205"/>
        <item x="26"/>
        <item x="4"/>
        <item m="1" x="104"/>
        <item m="1" x="176"/>
        <item x="25"/>
        <item m="1" x="136"/>
        <item x="21"/>
        <item x="19"/>
        <item x="46"/>
        <item x="45"/>
        <item m="1" x="103"/>
        <item m="1" x="181"/>
        <item m="1" x="180"/>
        <item m="1" x="183"/>
        <item m="1" x="161"/>
        <item m="1" x="131"/>
        <item m="1" x="142"/>
        <item m="1" x="214"/>
        <item m="1" x="127"/>
        <item x="28"/>
        <item x="6"/>
        <item m="1" x="129"/>
        <item m="1" x="109"/>
        <item x="85"/>
        <item x="43"/>
        <item x="77"/>
        <item m="1" x="201"/>
        <item x="2"/>
        <item m="1" x="152"/>
        <item x="44"/>
        <item m="1" x="170"/>
        <item m="1" x="107"/>
        <item x="71"/>
        <item x="3"/>
        <item m="1" x="154"/>
        <item m="1" x="182"/>
        <item x="5"/>
        <item m="1" x="101"/>
        <item x="68"/>
        <item m="1" x="108"/>
        <item m="1" x="153"/>
        <item m="1" x="125"/>
        <item x="66"/>
        <item x="50"/>
        <item m="1" x="143"/>
        <item m="1" x="128"/>
        <item x="97"/>
        <item m="1" x="149"/>
        <item x="72"/>
        <item x="65"/>
        <item x="52"/>
        <item m="1" x="100"/>
        <item m="1" x="120"/>
        <item x="63"/>
        <item m="1" x="157"/>
        <item x="41"/>
        <item x="12"/>
        <item x="75"/>
        <item m="1" x="105"/>
        <item x="64"/>
        <item m="1" x="150"/>
        <item x="83"/>
        <item x="11"/>
        <item m="1" x="102"/>
        <item x="1"/>
        <item m="1" x="118"/>
        <item x="61"/>
        <item x="16"/>
        <item m="1" x="99"/>
        <item m="1" x="124"/>
        <item x="7"/>
        <item x="30"/>
        <item x="32"/>
        <item m="1" x="139"/>
        <item m="1" x="119"/>
        <item x="73"/>
        <item x="74"/>
        <item x="22"/>
        <item x="13"/>
        <item x="82"/>
        <item x="31"/>
        <item x="37"/>
        <item x="51"/>
        <item m="1" x="126"/>
        <item x="54"/>
        <item x="69"/>
        <item x="17"/>
        <item x="60"/>
        <item x="33"/>
        <item x="35"/>
        <item x="38"/>
        <item x="81"/>
        <item x="92"/>
        <item x="29"/>
        <item x="34"/>
        <item x="36"/>
        <item x="42"/>
        <item x="24"/>
        <item x="55"/>
        <item x="94"/>
        <item m="1" x="112"/>
        <item x="89"/>
        <item x="56"/>
        <item x="62"/>
        <item x="76"/>
        <item x="86"/>
        <item x="87"/>
        <item x="88"/>
        <item x="90"/>
        <item x="91"/>
        <item x="9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m="1" x="5"/>
        <item x="2"/>
        <item h="1" x="1"/>
        <item h="1" x="0"/>
        <item h="1" x="4"/>
        <item h="1" x="3"/>
        <item t="default"/>
      </items>
    </pivotField>
    <pivotField showAll="0"/>
    <pivotField showAll="0" defaultSubtotal="0"/>
    <pivotField showAll="0" defaultSubtotal="0"/>
    <pivotField showAll="0" defaultSubtotal="0">
      <items count="129">
        <item x="125"/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7"/>
        <item x="128"/>
      </items>
    </pivotField>
  </pivotFields>
  <rowFields count="1">
    <field x="5"/>
  </rowFields>
  <rowItems count="1">
    <i>
      <x v="1"/>
    </i>
  </rowItems>
  <colItems count="1">
    <i/>
  </colItems>
  <pageFields count="1">
    <pageField fld="28" hier="-1"/>
  </pageFields>
  <dataFields count="1">
    <dataField name="Kilos" fld="21" baseField="0" baseItem="0"/>
  </dataFields>
  <formats count="3">
    <format dxfId="181">
      <pivotArea outline="0" collapsedLevelsAreSubtotals="1" fieldPosition="0"/>
    </format>
    <format dxfId="180">
      <pivotArea dataOnly="0" labelOnly="1" outline="0" fieldPosition="0">
        <references count="1">
          <reference field="28" count="0"/>
        </references>
      </pivotArea>
    </format>
    <format dxfId="17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5FEC0-687C-422C-84C8-CDF76FA73B3D}" name="TablaDinámica5" cacheId="158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21">
  <location ref="A12:B14" firstHeaderRow="1" firstDataRow="1" firstDataCol="1" rowPageCount="1" colPageCount="1"/>
  <pivotFields count="33">
    <pivotField showAll="0"/>
    <pivotField showAll="0">
      <items count="8">
        <item x="5"/>
        <item x="4"/>
        <item x="1"/>
        <item x="3"/>
        <item x="2"/>
        <item x="0"/>
        <item x="6"/>
        <item t="default"/>
      </items>
    </pivotField>
    <pivotField axis="axisRow" showAll="0">
      <items count="6">
        <item x="0"/>
        <item x="1"/>
        <item x="4"/>
        <item x="3"/>
        <item x="2"/>
        <item t="default"/>
      </items>
    </pivotField>
    <pivotField showAll="0">
      <items count="21">
        <item x="18"/>
        <item x="17"/>
        <item x="12"/>
        <item x="10"/>
        <item x="7"/>
        <item x="15"/>
        <item x="2"/>
        <item x="13"/>
        <item x="9"/>
        <item x="8"/>
        <item x="14"/>
        <item x="16"/>
        <item x="0"/>
        <item x="11"/>
        <item x="1"/>
        <item x="5"/>
        <item x="6"/>
        <item x="4"/>
        <item x="3"/>
        <item x="19"/>
        <item t="default"/>
      </items>
    </pivotField>
    <pivotField showAll="0"/>
    <pivotField showAll="0">
      <items count="6">
        <item h="1" x="1"/>
        <item h="1" x="0"/>
        <item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46">
        <item m="1" x="244"/>
        <item m="1" x="242"/>
        <item m="1" x="239"/>
        <item m="1" x="243"/>
        <item m="1" x="233"/>
        <item m="1" x="240"/>
        <item m="1" x="241"/>
        <item m="1" x="227"/>
        <item m="1" x="226"/>
        <item m="1" x="232"/>
        <item m="1" x="235"/>
        <item m="1" x="230"/>
        <item m="1" x="234"/>
        <item m="1" x="225"/>
        <item m="1" x="231"/>
        <item m="1" x="229"/>
        <item m="1" x="222"/>
        <item m="1" x="223"/>
        <item m="1" x="224"/>
        <item m="1" x="221"/>
        <item m="1" x="212"/>
        <item m="1" x="216"/>
        <item m="1" x="215"/>
        <item m="1" x="211"/>
        <item m="1" x="200"/>
        <item m="1" x="220"/>
        <item m="1" x="199"/>
        <item m="1" x="191"/>
        <item m="1" x="193"/>
        <item m="1" x="213"/>
        <item m="1" x="192"/>
        <item m="1" x="210"/>
        <item m="1" x="197"/>
        <item m="1" x="196"/>
        <item m="1" x="187"/>
        <item m="1" x="188"/>
        <item m="1" x="207"/>
        <item m="1" x="172"/>
        <item m="1" x="178"/>
        <item m="1" x="177"/>
        <item m="1" x="171"/>
        <item m="1" x="184"/>
        <item m="1" x="185"/>
        <item m="1" x="167"/>
        <item m="1" x="169"/>
        <item m="1" x="158"/>
        <item m="1" x="166"/>
        <item m="1" x="164"/>
        <item m="1" x="147"/>
        <item m="1" x="165"/>
        <item m="1" x="163"/>
        <item m="1" x="148"/>
        <item m="1" x="141"/>
        <item m="1" x="144"/>
        <item m="1" x="145"/>
        <item m="1" x="138"/>
        <item m="1" x="151"/>
        <item m="1" x="155"/>
        <item m="1" x="133"/>
        <item m="1" x="134"/>
        <item m="1" x="135"/>
        <item m="1" x="122"/>
        <item m="1" x="121"/>
        <item m="1" x="116"/>
        <item m="1" x="110"/>
        <item x="96"/>
        <item m="1" x="113"/>
        <item x="10"/>
        <item x="9"/>
        <item x="0"/>
        <item x="8"/>
        <item x="67"/>
        <item x="95"/>
        <item x="47"/>
        <item x="78"/>
        <item x="57"/>
        <item m="1" x="209"/>
        <item x="14"/>
        <item m="1" x="208"/>
        <item m="1" x="228"/>
        <item x="58"/>
        <item m="1" x="140"/>
        <item x="18"/>
        <item x="39"/>
        <item m="1" x="160"/>
        <item x="40"/>
        <item x="49"/>
        <item m="1" x="217"/>
        <item m="1" x="219"/>
        <item m="1" x="218"/>
        <item x="27"/>
        <item x="98"/>
        <item m="1" x="195"/>
        <item m="1" x="117"/>
        <item m="1" x="132"/>
        <item m="1" x="114"/>
        <item x="48"/>
        <item m="1" x="190"/>
        <item m="1" x="206"/>
        <item m="1" x="173"/>
        <item m="1" x="115"/>
        <item m="1" x="194"/>
        <item m="1" x="168"/>
        <item x="70"/>
        <item m="1" x="198"/>
        <item m="1" x="202"/>
        <item m="1" x="159"/>
        <item x="84"/>
        <item x="15"/>
        <item x="59"/>
        <item x="23"/>
        <item m="1" x="174"/>
        <item m="1" x="237"/>
        <item m="1" x="236"/>
        <item m="1" x="238"/>
        <item m="1" x="106"/>
        <item m="1" x="156"/>
        <item m="1" x="137"/>
        <item m="1" x="189"/>
        <item m="1" x="186"/>
        <item m="1" x="130"/>
        <item m="1" x="146"/>
        <item m="1" x="111"/>
        <item m="1" x="162"/>
        <item x="53"/>
        <item m="1" x="123"/>
        <item x="80"/>
        <item x="79"/>
        <item x="20"/>
        <item m="1" x="203"/>
        <item m="1" x="204"/>
        <item m="1" x="175"/>
        <item m="1" x="179"/>
        <item m="1" x="205"/>
        <item x="26"/>
        <item x="4"/>
        <item m="1" x="104"/>
        <item m="1" x="176"/>
        <item x="25"/>
        <item m="1" x="136"/>
        <item x="21"/>
        <item x="19"/>
        <item x="46"/>
        <item x="45"/>
        <item m="1" x="103"/>
        <item m="1" x="181"/>
        <item m="1" x="180"/>
        <item m="1" x="183"/>
        <item m="1" x="161"/>
        <item m="1" x="131"/>
        <item m="1" x="142"/>
        <item m="1" x="214"/>
        <item m="1" x="127"/>
        <item x="28"/>
        <item x="6"/>
        <item m="1" x="129"/>
        <item m="1" x="109"/>
        <item x="85"/>
        <item x="43"/>
        <item x="77"/>
        <item m="1" x="201"/>
        <item x="2"/>
        <item m="1" x="152"/>
        <item x="44"/>
        <item m="1" x="170"/>
        <item m="1" x="107"/>
        <item x="71"/>
        <item x="3"/>
        <item m="1" x="154"/>
        <item m="1" x="182"/>
        <item x="5"/>
        <item m="1" x="101"/>
        <item x="68"/>
        <item m="1" x="108"/>
        <item m="1" x="153"/>
        <item m="1" x="125"/>
        <item x="66"/>
        <item x="50"/>
        <item m="1" x="143"/>
        <item m="1" x="128"/>
        <item x="97"/>
        <item m="1" x="149"/>
        <item x="72"/>
        <item x="65"/>
        <item x="52"/>
        <item m="1" x="100"/>
        <item m="1" x="120"/>
        <item x="63"/>
        <item m="1" x="157"/>
        <item x="41"/>
        <item x="12"/>
        <item x="75"/>
        <item m="1" x="105"/>
        <item x="64"/>
        <item m="1" x="150"/>
        <item x="83"/>
        <item x="11"/>
        <item m="1" x="102"/>
        <item x="1"/>
        <item m="1" x="118"/>
        <item x="61"/>
        <item x="16"/>
        <item m="1" x="99"/>
        <item m="1" x="124"/>
        <item x="7"/>
        <item x="30"/>
        <item x="32"/>
        <item m="1" x="139"/>
        <item m="1" x="119"/>
        <item x="73"/>
        <item x="74"/>
        <item x="22"/>
        <item x="13"/>
        <item x="82"/>
        <item x="31"/>
        <item x="37"/>
        <item x="51"/>
        <item m="1" x="126"/>
        <item x="54"/>
        <item x="69"/>
        <item x="17"/>
        <item x="60"/>
        <item x="33"/>
        <item x="35"/>
        <item x="38"/>
        <item x="81"/>
        <item x="92"/>
        <item x="29"/>
        <item x="34"/>
        <item x="36"/>
        <item x="42"/>
        <item x="24"/>
        <item x="55"/>
        <item x="94"/>
        <item m="1" x="112"/>
        <item x="89"/>
        <item x="56"/>
        <item x="62"/>
        <item x="76"/>
        <item x="86"/>
        <item x="87"/>
        <item x="88"/>
        <item x="90"/>
        <item x="91"/>
        <item x="9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m="1" x="5"/>
        <item x="2"/>
        <item h="1" x="1"/>
        <item h="1" x="0"/>
        <item h="1" x="4"/>
        <item h="1" x="3"/>
        <item t="default"/>
      </items>
    </pivotField>
    <pivotField showAll="0"/>
    <pivotField showAll="0" defaultSubtotal="0"/>
    <pivotField showAll="0" defaultSubtotal="0"/>
    <pivotField showAll="0" defaultSubtotal="0">
      <items count="129">
        <item x="125"/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7"/>
        <item x="128"/>
      </items>
    </pivotField>
  </pivotFields>
  <rowFields count="1">
    <field x="2"/>
  </rowFields>
  <rowItems count="2">
    <i>
      <x/>
    </i>
    <i>
      <x v="1"/>
    </i>
  </rowItems>
  <colItems count="1">
    <i/>
  </colItems>
  <pageFields count="1">
    <pageField fld="28" hier="-1"/>
  </pageFields>
  <dataFields count="1">
    <dataField name="Kilos" fld="21" baseField="0" baseItem="0"/>
  </dataFields>
  <formats count="2">
    <format dxfId="183">
      <pivotArea outline="0" collapsedLevelsAreSubtotals="1" fieldPosition="0"/>
    </format>
    <format dxfId="18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B23B5-6F07-4712-8D8B-DBD9F0C04AA2}" name="TablaDinámica3" cacheId="159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B3:F151" firstHeaderRow="1" firstDataRow="1" firstDataCol="4" rowPageCount="1" colPageCount="1"/>
  <pivotFields count="28">
    <pivotField compact="0" outline="0" showAll="0" defaultSubtotal="0"/>
    <pivotField axis="axisRow" compact="0" outline="0" showAll="0" defaultSubtotal="0">
      <items count="5">
        <item x="2"/>
        <item x="3"/>
        <item x="0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2"/>
        <item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oducto" axis="axisRow" compact="0" outline="0" showAll="0" defaultSubtotal="0">
      <items count="226">
        <item x="216"/>
        <item x="92"/>
        <item x="0"/>
        <item x="1"/>
        <item x="219"/>
        <item x="195"/>
        <item x="2"/>
        <item x="199"/>
        <item x="3"/>
        <item x="4"/>
        <item x="37"/>
        <item x="113"/>
        <item x="160"/>
        <item x="156"/>
        <item x="136"/>
        <item x="54"/>
        <item x="175"/>
        <item x="39"/>
        <item x="186"/>
        <item x="5"/>
        <item x="6"/>
        <item x="55"/>
        <item x="71"/>
        <item x="114"/>
        <item x="155"/>
        <item x="65"/>
        <item x="7"/>
        <item x="147"/>
        <item x="115"/>
        <item x="116"/>
        <item x="142"/>
        <item x="8"/>
        <item x="81"/>
        <item x="53"/>
        <item x="117"/>
        <item x="192"/>
        <item x="146"/>
        <item x="43"/>
        <item x="210"/>
        <item x="162"/>
        <item x="177"/>
        <item x="137"/>
        <item x="157"/>
        <item x="86"/>
        <item x="203"/>
        <item x="217"/>
        <item x="106"/>
        <item x="197"/>
        <item x="63"/>
        <item x="182"/>
        <item x="105"/>
        <item x="79"/>
        <item x="70"/>
        <item x="57"/>
        <item x="9"/>
        <item x="103"/>
        <item x="194"/>
        <item x="152"/>
        <item x="187"/>
        <item x="83"/>
        <item x="94"/>
        <item x="102"/>
        <item x="82"/>
        <item x="74"/>
        <item x="91"/>
        <item x="66"/>
        <item x="144"/>
        <item x="143"/>
        <item x="161"/>
        <item x="10"/>
        <item x="11"/>
        <item x="12"/>
        <item x="80"/>
        <item x="64"/>
        <item x="100"/>
        <item x="51"/>
        <item x="145"/>
        <item x="52"/>
        <item x="170"/>
        <item x="180"/>
        <item x="42"/>
        <item x="151"/>
        <item x="140"/>
        <item x="183"/>
        <item x="13"/>
        <item x="95"/>
        <item x="141"/>
        <item x="58"/>
        <item x="207"/>
        <item x="169"/>
        <item x="40"/>
        <item x="67"/>
        <item x="41"/>
        <item x="84"/>
        <item x="88"/>
        <item x="211"/>
        <item x="109"/>
        <item x="167"/>
        <item x="72"/>
        <item x="76"/>
        <item x="118"/>
        <item x="119"/>
        <item x="120"/>
        <item x="73"/>
        <item x="68"/>
        <item x="98"/>
        <item x="112"/>
        <item x="153"/>
        <item x="201"/>
        <item x="202"/>
        <item x="89"/>
        <item x="101"/>
        <item x="150"/>
        <item x="138"/>
        <item x="110"/>
        <item x="107"/>
        <item x="208"/>
        <item x="218"/>
        <item x="121"/>
        <item x="148"/>
        <item x="85"/>
        <item x="14"/>
        <item x="122"/>
        <item x="123"/>
        <item x="90"/>
        <item x="149"/>
        <item x="87"/>
        <item x="124"/>
        <item x="125"/>
        <item x="126"/>
        <item x="127"/>
        <item x="128"/>
        <item x="129"/>
        <item x="15"/>
        <item x="99"/>
        <item x="16"/>
        <item x="130"/>
        <item x="131"/>
        <item x="132"/>
        <item x="133"/>
        <item x="134"/>
        <item x="135"/>
        <item x="188"/>
        <item x="77"/>
        <item x="18"/>
        <item x="19"/>
        <item x="20"/>
        <item x="189"/>
        <item x="104"/>
        <item x="61"/>
        <item x="21"/>
        <item x="38"/>
        <item x="22"/>
        <item x="23"/>
        <item x="24"/>
        <item x="93"/>
        <item x="25"/>
        <item x="75"/>
        <item x="26"/>
        <item x="158"/>
        <item x="139"/>
        <item x="163"/>
        <item x="165"/>
        <item x="185"/>
        <item x="27"/>
        <item x="60"/>
        <item x="154"/>
        <item x="28"/>
        <item x="29"/>
        <item x="30"/>
        <item x="96"/>
        <item x="31"/>
        <item x="59"/>
        <item x="32"/>
        <item x="33"/>
        <item x="34"/>
        <item x="69"/>
        <item x="35"/>
        <item x="36"/>
        <item x="44"/>
        <item x="97"/>
        <item x="111"/>
        <item x="190"/>
        <item x="159"/>
        <item x="221"/>
        <item x="172"/>
        <item x="45"/>
        <item x="46"/>
        <item x="62"/>
        <item x="47"/>
        <item x="56"/>
        <item x="108"/>
        <item x="48"/>
        <item x="49"/>
        <item x="50"/>
        <item x="164"/>
        <item x="225"/>
        <item x="166"/>
        <item x="168"/>
        <item x="193"/>
        <item x="78"/>
        <item x="17"/>
        <item x="171"/>
        <item x="181"/>
        <item x="173"/>
        <item x="174"/>
        <item x="176"/>
        <item x="191"/>
        <item x="178"/>
        <item x="179"/>
        <item x="184"/>
        <item x="196"/>
        <item x="198"/>
        <item x="204"/>
        <item x="200"/>
        <item x="205"/>
        <item x="206"/>
        <item x="209"/>
        <item x="220"/>
        <item x="212"/>
        <item x="213"/>
        <item x="214"/>
        <item x="215"/>
        <item x="222"/>
        <item x="223"/>
        <item x="2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20">
        <item x="84"/>
        <item m="1" x="219"/>
        <item m="1" x="218"/>
        <item m="1" x="217"/>
        <item m="1" x="216"/>
        <item m="1" x="212"/>
        <item m="1" x="213"/>
        <item m="1" x="211"/>
        <item m="1" x="199"/>
        <item m="1" x="191"/>
        <item m="1" x="193"/>
        <item m="1" x="214"/>
        <item m="1" x="192"/>
        <item m="1" x="210"/>
        <item m="1" x="194"/>
        <item m="1" x="197"/>
        <item m="1" x="196"/>
        <item m="1" x="195"/>
        <item m="1" x="187"/>
        <item m="1" x="188"/>
        <item m="1" x="207"/>
        <item m="1" x="198"/>
        <item m="1" x="174"/>
        <item m="1" x="173"/>
        <item m="1" x="177"/>
        <item m="1" x="176"/>
        <item m="1" x="171"/>
        <item m="1" x="184"/>
        <item m="1" x="185"/>
        <item m="1" x="167"/>
        <item m="1" x="169"/>
        <item m="1" x="168"/>
        <item m="1" x="156"/>
        <item m="1" x="166"/>
        <item m="1" x="164"/>
        <item m="1" x="160"/>
        <item m="1" x="161"/>
        <item m="1" x="158"/>
        <item m="1" x="163"/>
        <item m="1" x="147"/>
        <item m="1" x="165"/>
        <item m="1" x="162"/>
        <item m="1" x="144"/>
        <item m="1" x="146"/>
        <item m="1" x="138"/>
        <item m="1" x="151"/>
        <item m="1" x="153"/>
        <item m="1" x="133"/>
        <item m="1" x="136"/>
        <item m="1" x="137"/>
        <item m="1" x="134"/>
        <item m="1" x="135"/>
        <item m="1" x="122"/>
        <item m="1" x="116"/>
        <item m="1" x="110"/>
        <item m="1" x="117"/>
        <item m="1" x="132"/>
        <item m="1" x="114"/>
        <item x="96"/>
        <item x="70"/>
        <item m="1" x="113"/>
        <item m="1" x="111"/>
        <item x="79"/>
        <item x="53"/>
        <item x="20"/>
        <item m="1" x="123"/>
        <item x="80"/>
        <item x="25"/>
        <item x="4"/>
        <item x="21"/>
        <item m="1" x="107"/>
        <item x="45"/>
        <item x="19"/>
        <item x="46"/>
        <item x="47"/>
        <item x="78"/>
        <item x="57"/>
        <item m="1" x="209"/>
        <item m="1" x="208"/>
        <item x="15"/>
        <item m="1" x="140"/>
        <item x="39"/>
        <item x="23"/>
        <item m="1" x="159"/>
        <item x="40"/>
        <item x="49"/>
        <item m="1" x="190"/>
        <item m="1" x="206"/>
        <item m="1" x="172"/>
        <item m="1" x="202"/>
        <item m="1" x="203"/>
        <item m="1" x="130"/>
        <item m="1" x="189"/>
        <item m="1" x="204"/>
        <item m="1" x="205"/>
        <item x="26"/>
        <item m="1" x="108"/>
        <item m="1" x="186"/>
        <item m="1" x="175"/>
        <item m="1" x="179"/>
        <item m="1" x="178"/>
        <item m="1" x="180"/>
        <item m="1" x="131"/>
        <item m="1" x="181"/>
        <item m="1" x="183"/>
        <item x="27"/>
        <item x="98"/>
        <item m="1" x="141"/>
        <item m="1" x="142"/>
        <item m="1" x="215"/>
        <item m="1" x="127"/>
        <item x="28"/>
        <item x="6"/>
        <item m="1" x="129"/>
        <item x="9"/>
        <item m="1" x="102"/>
        <item m="1" x="145"/>
        <item x="85"/>
        <item x="43"/>
        <item m="1" x="200"/>
        <item x="77"/>
        <item m="1" x="201"/>
        <item m="1" x="115"/>
        <item x="2"/>
        <item x="0"/>
        <item m="1" x="148"/>
        <item m="1" x="170"/>
        <item x="44"/>
        <item m="1" x="152"/>
        <item m="1" x="100"/>
        <item x="71"/>
        <item x="3"/>
        <item m="1" x="154"/>
        <item m="1" x="182"/>
        <item x="5"/>
        <item x="10"/>
        <item m="1" x="105"/>
        <item x="68"/>
        <item x="8"/>
        <item m="1" x="101"/>
        <item m="1" x="157"/>
        <item m="1" x="125"/>
        <item x="66"/>
        <item x="50"/>
        <item x="67"/>
        <item m="1" x="143"/>
        <item x="95"/>
        <item m="1" x="128"/>
        <item x="97"/>
        <item m="1" x="149"/>
        <item m="1" x="121"/>
        <item x="72"/>
        <item x="65"/>
        <item m="1" x="104"/>
        <item x="52"/>
        <item x="41"/>
        <item x="12"/>
        <item x="63"/>
        <item m="1" x="120"/>
        <item m="1" x="155"/>
        <item x="75"/>
        <item m="1" x="106"/>
        <item m="1" x="99"/>
        <item x="14"/>
        <item x="48"/>
        <item x="64"/>
        <item m="1" x="150"/>
        <item x="61"/>
        <item x="83"/>
        <item m="1" x="118"/>
        <item x="16"/>
        <item m="1" x="103"/>
        <item x="59"/>
        <item m="1" x="124"/>
        <item x="1"/>
        <item x="7"/>
        <item x="30"/>
        <item x="32"/>
        <item m="1" x="139"/>
        <item x="11"/>
        <item m="1" x="119"/>
        <item x="73"/>
        <item x="74"/>
        <item x="22"/>
        <item x="13"/>
        <item x="82"/>
        <item x="31"/>
        <item x="37"/>
        <item x="51"/>
        <item x="58"/>
        <item m="1" x="126"/>
        <item x="54"/>
        <item x="69"/>
        <item x="17"/>
        <item x="60"/>
        <item x="33"/>
        <item x="18"/>
        <item x="35"/>
        <item x="38"/>
        <item x="81"/>
        <item x="92"/>
        <item x="29"/>
        <item x="34"/>
        <item x="36"/>
        <item x="42"/>
        <item x="24"/>
        <item x="55"/>
        <item x="94"/>
        <item m="1" x="112"/>
        <item x="89"/>
        <item x="56"/>
        <item x="62"/>
        <item m="1" x="109"/>
        <item x="76"/>
        <item x="90"/>
        <item x="86"/>
        <item x="87"/>
        <item x="88"/>
        <item x="91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6">
        <item x="3"/>
        <item h="1" m="1" x="5"/>
        <item x="2"/>
        <item h="1" x="1"/>
        <item h="1" x="0"/>
        <item h="1" x="4"/>
      </items>
    </pivotField>
    <pivotField compact="0" outline="0" showAll="0" defaultSubtotal="0"/>
    <pivotField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compact="0" outline="0" subtotalTop="0" showAll="0" defaultSubtotal="0">
      <items count="6">
        <item sd="0" x="1"/>
        <item sd="0" x="2"/>
        <item sd="0" x="3"/>
        <item sd="0" x="4"/>
        <item x="0"/>
        <item x="5"/>
      </items>
    </pivotField>
    <pivotField compact="0" outline="0" subtotalTop="0" showAll="0" defaultSubtotal="0">
      <items count="129">
        <item sd="0" x="125"/>
        <item sd="0"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7"/>
        <item x="128"/>
      </items>
    </pivotField>
  </pivotFields>
  <rowFields count="4">
    <field x="1"/>
    <field x="2"/>
    <field x="3"/>
    <field x="12"/>
  </rowFields>
  <rowItems count="148">
    <i>
      <x/>
      <x v="1"/>
      <x v="38"/>
      <x v="69"/>
    </i>
    <i r="2">
      <x v="40"/>
      <x v="64"/>
    </i>
    <i r="2">
      <x v="41"/>
      <x v="63"/>
    </i>
    <i r="2">
      <x v="42"/>
      <x v="63"/>
    </i>
    <i r="3">
      <x v="135"/>
    </i>
    <i r="2">
      <x v="45"/>
      <x v="135"/>
    </i>
    <i r="2">
      <x v="51"/>
      <x v="63"/>
    </i>
    <i r="2">
      <x v="57"/>
      <x v="66"/>
    </i>
    <i r="2">
      <x v="66"/>
      <x v="63"/>
    </i>
    <i r="2">
      <x v="80"/>
      <x v="135"/>
    </i>
    <i r="2">
      <x v="97"/>
      <x v="68"/>
    </i>
    <i r="2">
      <x v="101"/>
      <x v="135"/>
    </i>
    <i r="2">
      <x v="110"/>
      <x v="71"/>
    </i>
    <i r="3">
      <x v="142"/>
    </i>
    <i r="3">
      <x v="155"/>
    </i>
    <i r="2">
      <x v="117"/>
      <x v="64"/>
    </i>
    <i r="3">
      <x v="155"/>
    </i>
    <i r="2">
      <x v="122"/>
      <x v="63"/>
    </i>
    <i r="2">
      <x v="124"/>
      <x v="63"/>
    </i>
    <i r="2">
      <x v="125"/>
      <x v="155"/>
    </i>
    <i r="2">
      <x v="161"/>
      <x v="155"/>
    </i>
    <i r="2">
      <x v="220"/>
      <x v="66"/>
    </i>
    <i r="2">
      <x v="224"/>
      <x v="135"/>
    </i>
    <i r="2">
      <x v="225"/>
      <x v="135"/>
    </i>
    <i>
      <x v="1"/>
      <x/>
      <x v="15"/>
      <x v="135"/>
    </i>
    <i r="2">
      <x v="16"/>
      <x v="63"/>
    </i>
    <i r="2">
      <x v="17"/>
      <x v="58"/>
    </i>
    <i r="3">
      <x v="135"/>
    </i>
    <i r="2">
      <x v="18"/>
      <x v="63"/>
    </i>
    <i r="2">
      <x v="19"/>
      <x v="135"/>
    </i>
    <i r="2">
      <x v="27"/>
      <x v="63"/>
    </i>
    <i r="3">
      <x v="135"/>
    </i>
    <i r="2">
      <x v="39"/>
      <x v="68"/>
    </i>
    <i r="2">
      <x v="41"/>
      <x v="63"/>
    </i>
    <i r="2">
      <x v="43"/>
      <x v="142"/>
    </i>
    <i r="2">
      <x v="54"/>
      <x v="155"/>
    </i>
    <i r="2">
      <x v="66"/>
      <x v="63"/>
    </i>
    <i r="2">
      <x v="67"/>
      <x v="58"/>
    </i>
    <i r="2">
      <x v="68"/>
      <x v="135"/>
    </i>
    <i r="2">
      <x v="80"/>
      <x v="58"/>
    </i>
    <i r="2">
      <x v="83"/>
      <x v="135"/>
    </i>
    <i r="2">
      <x v="84"/>
      <x v="135"/>
    </i>
    <i r="2">
      <x v="85"/>
      <x v="135"/>
    </i>
    <i r="2">
      <x v="117"/>
      <x v="155"/>
    </i>
    <i r="2">
      <x v="119"/>
      <x v="62"/>
    </i>
    <i r="2">
      <x v="122"/>
      <x v="63"/>
    </i>
    <i r="2">
      <x v="128"/>
      <x v="58"/>
    </i>
    <i r="2">
      <x v="129"/>
      <x v="135"/>
    </i>
    <i r="2">
      <x v="132"/>
      <x v="148"/>
    </i>
    <i r="2">
      <x v="136"/>
      <x v="135"/>
    </i>
    <i r="2">
      <x v="142"/>
      <x v="58"/>
    </i>
    <i r="2">
      <x v="143"/>
      <x v="142"/>
    </i>
    <i r="2">
      <x v="163"/>
      <x v="62"/>
    </i>
    <i r="2">
      <x v="202"/>
      <x v="58"/>
    </i>
    <i>
      <x v="2"/>
      <x/>
      <x v="6"/>
      <x v="68"/>
    </i>
    <i r="2">
      <x v="9"/>
      <x v="68"/>
    </i>
    <i r="2">
      <x v="10"/>
      <x v="68"/>
    </i>
    <i r="2">
      <x v="16"/>
      <x v="63"/>
    </i>
    <i r="3">
      <x v="135"/>
    </i>
    <i r="2">
      <x v="17"/>
      <x v="135"/>
    </i>
    <i r="2">
      <x v="18"/>
      <x v="63"/>
    </i>
    <i r="3">
      <x v="135"/>
    </i>
    <i r="2">
      <x v="20"/>
      <x v="135"/>
    </i>
    <i r="2">
      <x v="25"/>
      <x v="64"/>
    </i>
    <i r="3">
      <x v="67"/>
    </i>
    <i r="3">
      <x v="68"/>
    </i>
    <i r="2">
      <x v="27"/>
      <x v="135"/>
    </i>
    <i r="2">
      <x v="28"/>
      <x v="63"/>
    </i>
    <i r="3">
      <x v="135"/>
    </i>
    <i r="3">
      <x v="155"/>
    </i>
    <i r="2">
      <x v="30"/>
      <x v="66"/>
    </i>
    <i r="3">
      <x v="67"/>
    </i>
    <i r="3">
      <x v="71"/>
    </i>
    <i r="3">
      <x v="135"/>
    </i>
    <i r="3">
      <x v="142"/>
    </i>
    <i r="2">
      <x v="39"/>
      <x v="68"/>
    </i>
    <i r="2">
      <x v="40"/>
      <x v="64"/>
    </i>
    <i r="2">
      <x v="41"/>
      <x v="63"/>
    </i>
    <i r="2">
      <x v="42"/>
      <x v="63"/>
    </i>
    <i r="3">
      <x v="142"/>
    </i>
    <i r="2">
      <x v="44"/>
      <x v="68"/>
    </i>
    <i r="2">
      <x v="48"/>
      <x v="142"/>
    </i>
    <i r="2">
      <x v="49"/>
      <x v="142"/>
    </i>
    <i r="2">
      <x v="51"/>
      <x v="63"/>
    </i>
    <i r="2">
      <x v="52"/>
      <x v="135"/>
    </i>
    <i r="2">
      <x v="53"/>
      <x v="63"/>
    </i>
    <i r="2">
      <x v="56"/>
      <x v="67"/>
    </i>
    <i r="3">
      <x v="69"/>
    </i>
    <i r="2">
      <x v="57"/>
      <x v="69"/>
    </i>
    <i r="2">
      <x v="62"/>
      <x v="68"/>
    </i>
    <i r="2">
      <x v="64"/>
      <x v="63"/>
    </i>
    <i r="2">
      <x v="69"/>
      <x v="64"/>
    </i>
    <i r="3">
      <x v="69"/>
    </i>
    <i r="2">
      <x v="71"/>
      <x v="67"/>
    </i>
    <i r="3">
      <x v="135"/>
    </i>
    <i r="2">
      <x v="75"/>
      <x v="63"/>
    </i>
    <i r="2">
      <x v="80"/>
      <x v="63"/>
    </i>
    <i r="2">
      <x v="83"/>
      <x v="135"/>
    </i>
    <i r="3">
      <x v="142"/>
    </i>
    <i r="2">
      <x v="85"/>
      <x v="135"/>
    </i>
    <i r="3">
      <x v="142"/>
    </i>
    <i r="2">
      <x v="98"/>
      <x v="59"/>
    </i>
    <i r="3">
      <x v="68"/>
    </i>
    <i r="2">
      <x v="100"/>
      <x v="62"/>
    </i>
    <i r="2">
      <x v="110"/>
      <x v="155"/>
    </i>
    <i r="2">
      <x v="111"/>
      <x v="67"/>
    </i>
    <i r="2">
      <x v="112"/>
      <x v="135"/>
    </i>
    <i r="2">
      <x v="113"/>
      <x v="135"/>
    </i>
    <i r="2">
      <x v="114"/>
      <x v="135"/>
    </i>
    <i r="2">
      <x v="115"/>
      <x v="155"/>
    </i>
    <i r="2">
      <x v="119"/>
      <x v="63"/>
    </i>
    <i r="3">
      <x v="68"/>
    </i>
    <i r="3">
      <x v="135"/>
    </i>
    <i r="2">
      <x v="124"/>
      <x v="63"/>
    </i>
    <i r="2">
      <x v="125"/>
      <x v="155"/>
    </i>
    <i r="2">
      <x v="129"/>
      <x v="135"/>
    </i>
    <i r="3">
      <x v="155"/>
    </i>
    <i r="2">
      <x v="131"/>
      <x v="62"/>
    </i>
    <i r="3">
      <x v="135"/>
    </i>
    <i r="2">
      <x v="136"/>
      <x v="135"/>
    </i>
    <i r="2">
      <x v="138"/>
      <x v="142"/>
    </i>
    <i r="2">
      <x v="140"/>
      <x v="71"/>
    </i>
    <i r="3">
      <x v="135"/>
    </i>
    <i r="3">
      <x v="155"/>
    </i>
    <i r="2">
      <x v="141"/>
      <x v="64"/>
    </i>
    <i r="3">
      <x v="142"/>
    </i>
    <i r="2">
      <x v="142"/>
      <x v="135"/>
    </i>
    <i r="2">
      <x v="143"/>
      <x v="142"/>
    </i>
    <i r="2">
      <x v="147"/>
      <x v="155"/>
    </i>
    <i r="2">
      <x v="148"/>
      <x v="71"/>
    </i>
    <i r="2">
      <x v="150"/>
      <x v="155"/>
    </i>
    <i r="2">
      <x v="153"/>
      <x v="68"/>
    </i>
    <i r="3">
      <x v="71"/>
    </i>
    <i r="2">
      <x v="157"/>
      <x v="135"/>
    </i>
    <i r="2">
      <x v="161"/>
      <x v="155"/>
    </i>
    <i r="2">
      <x v="183"/>
      <x v="142"/>
    </i>
    <i r="2">
      <x v="194"/>
      <x v="67"/>
    </i>
    <i r="2">
      <x v="195"/>
      <x v="62"/>
    </i>
    <i r="3">
      <x v="68"/>
    </i>
    <i r="2">
      <x v="200"/>
      <x v="71"/>
    </i>
    <i r="2">
      <x v="204"/>
      <x v="67"/>
    </i>
    <i r="2">
      <x v="205"/>
      <x v="68"/>
    </i>
    <i r="2">
      <x v="206"/>
      <x v="62"/>
    </i>
    <i r="2">
      <x v="207"/>
      <x v="64"/>
    </i>
    <i r="2">
      <x v="213"/>
      <x v="66"/>
    </i>
    <i r="3">
      <x v="71"/>
    </i>
    <i r="2">
      <x v="220"/>
      <x v="66"/>
    </i>
    <i r="2">
      <x v="221"/>
      <x v="71"/>
    </i>
  </rowItems>
  <colItems count="1">
    <i/>
  </colItems>
  <pageFields count="1">
    <pageField fld="23" item="2" hier="-1"/>
  </pageFields>
  <dataFields count="1">
    <dataField name="Cantidad" fld="15" baseField="3" baseItem="51" numFmtId="49"/>
  </dataFields>
  <formats count="127">
    <format dxfId="174">
      <pivotArea field="3" type="button" dataOnly="0" labelOnly="1" outline="0" axis="axisRow" fieldPosition="2"/>
    </format>
    <format dxfId="173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38"/>
          </reference>
          <reference field="12" count="1" selected="0">
            <x v="4"/>
          </reference>
        </references>
      </pivotArea>
    </format>
    <format dxfId="172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5">
            <x v="45"/>
            <x v="64"/>
            <x v="80"/>
            <x v="108"/>
            <x v="163"/>
          </reference>
          <reference field="12" count="1" selected="0">
            <x v="5"/>
          </reference>
        </references>
      </pivotArea>
    </format>
    <format dxfId="171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2">
            <x v="95"/>
            <x v="124"/>
          </reference>
          <reference field="12" count="1" selected="0">
            <x v="6"/>
          </reference>
        </references>
      </pivotArea>
    </format>
    <format dxfId="170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3">
            <x v="47"/>
            <x v="91"/>
            <x v="97"/>
          </reference>
          <reference field="12" count="1" selected="0">
            <x v="7"/>
          </reference>
        </references>
      </pivotArea>
    </format>
    <format dxfId="169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97"/>
          </reference>
          <reference field="12" count="1" selected="0">
            <x v="9"/>
          </reference>
        </references>
      </pivotArea>
    </format>
    <format dxfId="168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51"/>
          </reference>
          <reference field="12" count="1" selected="0">
            <x v="10"/>
          </reference>
        </references>
      </pivotArea>
    </format>
    <format dxfId="167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159"/>
          </reference>
          <reference field="12" count="1" selected="0">
            <x v="11"/>
          </reference>
        </references>
      </pivotArea>
    </format>
    <format dxfId="166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3">
            <x v="4"/>
            <x v="78"/>
            <x v="155"/>
          </reference>
          <reference field="12" count="1" selected="0">
            <x v="12"/>
          </reference>
        </references>
      </pivotArea>
    </format>
    <format dxfId="165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3">
            <x v="38"/>
            <x v="56"/>
            <x v="182"/>
          </reference>
          <reference field="12" count="1" selected="0">
            <x v="14"/>
          </reference>
        </references>
      </pivotArea>
    </format>
    <format dxfId="164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>
            <x v="163"/>
          </reference>
          <reference field="12" count="1" selected="0">
            <x v="15"/>
          </reference>
        </references>
      </pivotArea>
    </format>
    <format dxfId="163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3">
            <x v="18"/>
            <x v="49"/>
            <x v="143"/>
          </reference>
          <reference field="12" count="1" selected="0">
            <x v="16"/>
          </reference>
        </references>
      </pivotArea>
    </format>
    <format dxfId="162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4">
            <x v="4"/>
            <x v="28"/>
            <x v="123"/>
            <x v="162"/>
          </reference>
          <reference field="12" count="1" selected="0">
            <x v="17"/>
          </reference>
        </references>
      </pivotArea>
    </format>
    <format dxfId="161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6">
            <x v="18"/>
            <x v="57"/>
            <x v="110"/>
            <x v="117"/>
            <x v="161"/>
            <x v="182"/>
          </reference>
          <reference field="12" count="1" selected="0">
            <x v="18"/>
          </reference>
        </references>
      </pivotArea>
    </format>
    <format dxfId="160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3">
            <x v="47"/>
            <x v="143"/>
            <x v="155"/>
          </reference>
          <reference field="12" count="1" selected="0">
            <x v="19"/>
          </reference>
        </references>
      </pivotArea>
    </format>
    <format dxfId="159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68"/>
          </reference>
          <reference field="12" count="1" selected="0">
            <x v="5"/>
          </reference>
        </references>
      </pivotArea>
    </format>
    <format dxfId="158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3">
            <x v="83"/>
            <x v="123"/>
            <x v="128"/>
          </reference>
          <reference field="12" count="1" selected="0">
            <x v="6"/>
          </reference>
        </references>
      </pivotArea>
    </format>
    <format dxfId="157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195"/>
          </reference>
          <reference field="12" count="1" selected="0">
            <x v="7"/>
          </reference>
        </references>
      </pivotArea>
    </format>
    <format dxfId="156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3">
            <x v="12"/>
            <x v="67"/>
            <x v="110"/>
          </reference>
          <reference field="12" count="1" selected="0">
            <x v="8"/>
          </reference>
        </references>
      </pivotArea>
    </format>
    <format dxfId="155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0">
            <x v="20"/>
            <x v="40"/>
            <x v="51"/>
            <x v="53"/>
            <x v="80"/>
            <x v="101"/>
            <x v="129"/>
            <x v="135"/>
            <x v="142"/>
            <x v="143"/>
          </reference>
          <reference field="12" count="1" selected="0">
            <x v="9"/>
          </reference>
        </references>
      </pivotArea>
    </format>
    <format dxfId="154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4"/>
          </reference>
          <reference field="12" count="1" selected="0">
            <x v="12"/>
          </reference>
        </references>
      </pivotArea>
    </format>
    <format dxfId="153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3">
            <x v="18"/>
            <x v="84"/>
            <x v="143"/>
          </reference>
          <reference field="12" count="1" selected="0">
            <x v="16"/>
          </reference>
        </references>
      </pivotArea>
    </format>
    <format dxfId="152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2">
            <x v="74"/>
            <x v="78"/>
          </reference>
          <reference field="12" count="1" selected="0">
            <x v="12"/>
          </reference>
        </references>
      </pivotArea>
    </format>
    <format dxfId="151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88"/>
          </reference>
          <reference field="12" count="1" selected="0">
            <x v="13"/>
          </reference>
        </references>
      </pivotArea>
    </format>
    <format dxfId="150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8"/>
          </reference>
          <reference field="12" count="1" selected="0">
            <x v="14"/>
          </reference>
        </references>
      </pivotArea>
    </format>
    <format dxfId="149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2">
            <x v="23"/>
            <x v="120"/>
          </reference>
          <reference field="12" count="1" selected="0">
            <x v="15"/>
          </reference>
        </references>
      </pivotArea>
    </format>
    <format dxfId="148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2">
            <x v="48"/>
            <x v="49"/>
            <x v="56"/>
            <x v="84"/>
            <x v="85"/>
            <x v="100"/>
            <x v="110"/>
            <x v="124"/>
            <x v="125"/>
            <x v="126"/>
            <x v="131"/>
            <x v="143"/>
          </reference>
          <reference field="12" count="1" selected="0">
            <x v="16"/>
          </reference>
        </references>
      </pivotArea>
    </format>
    <format dxfId="147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2">
            <x v="119"/>
            <x v="123"/>
          </reference>
          <reference field="12" count="1" selected="0">
            <x v="17"/>
          </reference>
        </references>
      </pivotArea>
    </format>
    <format dxfId="146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7">
            <x v="64"/>
            <x v="108"/>
            <x v="109"/>
            <x v="110"/>
            <x v="125"/>
            <x v="126"/>
            <x v="161"/>
          </reference>
          <reference field="12" count="1" selected="0">
            <x v="18"/>
          </reference>
        </references>
      </pivotArea>
    </format>
    <format dxfId="145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2">
            <x v="92"/>
            <x v="98"/>
          </reference>
          <reference field="12" count="1" selected="0">
            <x v="19"/>
          </reference>
        </references>
      </pivotArea>
    </format>
    <format dxfId="144">
      <pivotArea dataOnly="0" labelOnly="1" outline="0" fieldPosition="0">
        <references count="1">
          <reference field="23" count="1">
            <x v="2"/>
          </reference>
        </references>
      </pivotArea>
    </format>
    <format dxfId="143">
      <pivotArea field="2" type="button" dataOnly="0" labelOnly="1" outline="0" axis="axisRow" fieldPosition="1"/>
    </format>
    <format dxfId="142">
      <pivotArea dataOnly="0" labelOnly="1" outline="0" fieldPosition="0">
        <references count="2">
          <reference field="1" count="1" selected="0">
            <x v="0"/>
          </reference>
          <reference field="2" count="1">
            <x v="1"/>
          </reference>
        </references>
      </pivotArea>
    </format>
    <format dxfId="141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field="1" type="button" dataOnly="0" labelOnly="1" outline="0" axis="axisRow" fieldPosition="0"/>
    </format>
    <format dxfId="137">
      <pivotArea field="2" type="button" dataOnly="0" labelOnly="1" outline="0" axis="axisRow" fieldPosition="1"/>
    </format>
    <format dxfId="136">
      <pivotArea field="3" type="button" dataOnly="0" labelOnly="1" outline="0" axis="axisRow" fieldPosition="2"/>
    </format>
    <format dxfId="135">
      <pivotArea field="12" type="button" dataOnly="0" labelOnly="1" outline="0" axis="axisRow" fieldPosition="3"/>
    </format>
    <format dxfId="134">
      <pivotArea dataOnly="0" labelOnly="1" outline="0" fieldPosition="0">
        <references count="1">
          <reference field="1" count="3">
            <x v="0"/>
            <x v="1"/>
            <x v="2"/>
          </reference>
        </references>
      </pivotArea>
    </format>
    <format dxfId="133">
      <pivotArea dataOnly="0" labelOnly="1" outline="0" fieldPosition="0">
        <references count="2">
          <reference field="1" count="1" selected="0">
            <x v="0"/>
          </reference>
          <reference field="2" count="1">
            <x v="1"/>
          </reference>
        </references>
      </pivotArea>
    </format>
    <format dxfId="132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131">
      <pivotArea dataOnly="0" labelOnly="1" outline="0" fieldPosition="0">
        <references count="3">
          <reference field="1" count="1" selected="0">
            <x v="0"/>
          </reference>
          <reference field="2" count="1" selected="0">
            <x v="1"/>
          </reference>
          <reference field="3" count="27">
            <x v="1"/>
            <x v="4"/>
            <x v="13"/>
            <x v="16"/>
            <x v="18"/>
            <x v="38"/>
            <x v="44"/>
            <x v="49"/>
            <x v="51"/>
            <x v="56"/>
            <x v="57"/>
            <x v="78"/>
            <x v="90"/>
            <x v="97"/>
            <x v="110"/>
            <x v="117"/>
            <x v="122"/>
            <x v="123"/>
            <x v="125"/>
            <x v="126"/>
            <x v="135"/>
            <x v="143"/>
            <x v="155"/>
            <x v="159"/>
            <x v="161"/>
            <x v="163"/>
            <x v="182"/>
          </reference>
        </references>
      </pivotArea>
    </format>
    <format dxfId="130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0"/>
          </reference>
          <reference field="3" count="12">
            <x v="15"/>
            <x v="16"/>
            <x v="23"/>
            <x v="41"/>
            <x v="44"/>
            <x v="47"/>
            <x v="54"/>
            <x v="80"/>
            <x v="84"/>
            <x v="95"/>
            <x v="109"/>
            <x v="143"/>
          </reference>
        </references>
      </pivotArea>
    </format>
    <format dxfId="129">
      <pivotArea dataOnly="0" labelOnly="1" outline="0" fieldPosition="0">
        <references count="3">
          <reference field="1" count="1" selected="0">
            <x v="2"/>
          </reference>
          <reference field="2" count="1" selected="0">
            <x v="0"/>
          </reference>
          <reference field="3" count="34">
            <x v="13"/>
            <x v="15"/>
            <x v="23"/>
            <x v="38"/>
            <x v="42"/>
            <x v="48"/>
            <x v="49"/>
            <x v="51"/>
            <x v="56"/>
            <x v="57"/>
            <x v="64"/>
            <x v="71"/>
            <x v="75"/>
            <x v="77"/>
            <x v="84"/>
            <x v="92"/>
            <x v="100"/>
            <x v="102"/>
            <x v="108"/>
            <x v="109"/>
            <x v="110"/>
            <x v="118"/>
            <x v="119"/>
            <x v="120"/>
            <x v="123"/>
            <x v="124"/>
            <x v="125"/>
            <x v="126"/>
            <x v="131"/>
            <x v="139"/>
            <x v="140"/>
            <x v="141"/>
            <x v="143"/>
            <x v="159"/>
          </reference>
        </references>
      </pivotArea>
    </format>
    <format dxfId="128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12" count="1">
            <x v="23"/>
          </reference>
        </references>
      </pivotArea>
    </format>
    <format dxfId="127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4"/>
          </reference>
          <reference field="12" count="3">
            <x v="12"/>
            <x v="17"/>
            <x v="23"/>
          </reference>
        </references>
      </pivotArea>
    </format>
    <format dxfId="126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3"/>
          </reference>
          <reference field="12" count="1">
            <x v="22"/>
          </reference>
        </references>
      </pivotArea>
    </format>
    <format dxfId="125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6"/>
          </reference>
          <reference field="12" count="1">
            <x v="23"/>
          </reference>
        </references>
      </pivotArea>
    </format>
    <format dxfId="124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8"/>
          </reference>
          <reference field="12" count="2">
            <x v="16"/>
            <x v="18"/>
          </reference>
        </references>
      </pivotArea>
    </format>
    <format dxfId="123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38"/>
          </reference>
          <reference field="12" count="1">
            <x v="14"/>
          </reference>
        </references>
      </pivotArea>
    </format>
    <format dxfId="122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44"/>
          </reference>
          <reference field="12" count="1">
            <x v="26"/>
          </reference>
        </references>
      </pivotArea>
    </format>
    <format dxfId="121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49"/>
          </reference>
          <reference field="12" count="1">
            <x v="16"/>
          </reference>
        </references>
      </pivotArea>
    </format>
    <format dxfId="120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51"/>
          </reference>
          <reference field="12" count="1">
            <x v="10"/>
          </reference>
        </references>
      </pivotArea>
    </format>
    <format dxfId="119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56"/>
          </reference>
          <reference field="12" count="1">
            <x v="23"/>
          </reference>
        </references>
      </pivotArea>
    </format>
    <format dxfId="118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57"/>
          </reference>
          <reference field="12" count="2">
            <x v="18"/>
            <x v="25"/>
          </reference>
        </references>
      </pivotArea>
    </format>
    <format dxfId="117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78"/>
          </reference>
          <reference field="12" count="2">
            <x v="12"/>
            <x v="19"/>
          </reference>
        </references>
      </pivotArea>
    </format>
    <format dxfId="116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90"/>
          </reference>
          <reference field="12" count="1">
            <x v="25"/>
          </reference>
        </references>
      </pivotArea>
    </format>
    <format dxfId="115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97"/>
          </reference>
          <reference field="12" count="2">
            <x v="9"/>
            <x v="23"/>
          </reference>
        </references>
      </pivotArea>
    </format>
    <format dxfId="114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10"/>
          </reference>
          <reference field="12" count="1">
            <x v="23"/>
          </reference>
        </references>
      </pivotArea>
    </format>
    <format dxfId="113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17"/>
          </reference>
          <reference field="12" count="1">
            <x v="18"/>
          </reference>
        </references>
      </pivotArea>
    </format>
    <format dxfId="112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22"/>
          </reference>
          <reference field="12" count="1">
            <x v="25"/>
          </reference>
        </references>
      </pivotArea>
    </format>
    <format dxfId="111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23"/>
          </reference>
          <reference field="12" count="1">
            <x v="25"/>
          </reference>
        </references>
      </pivotArea>
    </format>
    <format dxfId="110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25"/>
          </reference>
          <reference field="12" count="1">
            <x v="26"/>
          </reference>
        </references>
      </pivotArea>
    </format>
    <format dxfId="109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26"/>
          </reference>
          <reference field="12" count="1">
            <x v="23"/>
          </reference>
        </references>
      </pivotArea>
    </format>
    <format dxfId="108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35"/>
          </reference>
          <reference field="12" count="1">
            <x v="26"/>
          </reference>
        </references>
      </pivotArea>
    </format>
    <format dxfId="107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43"/>
          </reference>
          <reference field="12" count="2">
            <x v="16"/>
            <x v="19"/>
          </reference>
        </references>
      </pivotArea>
    </format>
    <format dxfId="106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55"/>
          </reference>
          <reference field="12" count="1">
            <x v="21"/>
          </reference>
        </references>
      </pivotArea>
    </format>
    <format dxfId="105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59"/>
          </reference>
          <reference field="12" count="1">
            <x v="25"/>
          </reference>
        </references>
      </pivotArea>
    </format>
    <format dxfId="104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61"/>
          </reference>
          <reference field="12" count="1">
            <x v="25"/>
          </reference>
        </references>
      </pivotArea>
    </format>
    <format dxfId="103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63"/>
          </reference>
          <reference field="12" count="1">
            <x v="15"/>
          </reference>
        </references>
      </pivotArea>
    </format>
    <format dxfId="102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82"/>
          </reference>
          <reference field="12" count="1">
            <x v="14"/>
          </reference>
        </references>
      </pivotArea>
    </format>
    <format dxfId="101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 selected="0">
            <x v="15"/>
          </reference>
          <reference field="12" count="1">
            <x v="18"/>
          </reference>
        </references>
      </pivotArea>
    </format>
    <format dxfId="100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 selected="0">
            <x v="16"/>
          </reference>
          <reference field="12" count="1">
            <x v="23"/>
          </reference>
        </references>
      </pivotArea>
    </format>
    <format dxfId="99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 selected="0">
            <x v="23"/>
          </reference>
          <reference field="12" count="1">
            <x v="15"/>
          </reference>
        </references>
      </pivotArea>
    </format>
    <format dxfId="98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 selected="0">
            <x v="41"/>
          </reference>
          <reference field="12" count="1">
            <x v="18"/>
          </reference>
        </references>
      </pivotArea>
    </format>
    <format dxfId="97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 selected="0">
            <x v="44"/>
          </reference>
          <reference field="12" count="1">
            <x v="12"/>
          </reference>
        </references>
      </pivotArea>
    </format>
    <format dxfId="96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 selected="0">
            <x v="47"/>
          </reference>
          <reference field="12" count="1">
            <x v="10"/>
          </reference>
        </references>
      </pivotArea>
    </format>
    <format dxfId="95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 selected="0">
            <x v="54"/>
          </reference>
          <reference field="12" count="1">
            <x v="19"/>
          </reference>
        </references>
      </pivotArea>
    </format>
    <format dxfId="94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 selected="0">
            <x v="80"/>
          </reference>
          <reference field="12" count="1">
            <x v="9"/>
          </reference>
        </references>
      </pivotArea>
    </format>
    <format dxfId="93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 selected="0">
            <x v="84"/>
          </reference>
          <reference field="12" count="1">
            <x v="15"/>
          </reference>
        </references>
      </pivotArea>
    </format>
    <format dxfId="92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 selected="0">
            <x v="95"/>
          </reference>
          <reference field="12" count="1">
            <x v="18"/>
          </reference>
        </references>
      </pivotArea>
    </format>
    <format dxfId="91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 selected="0">
            <x v="109"/>
          </reference>
          <reference field="12" count="1">
            <x v="18"/>
          </reference>
        </references>
      </pivotArea>
    </format>
    <format dxfId="90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 selected="0">
            <x v="143"/>
          </reference>
          <reference field="12" count="1">
            <x v="15"/>
          </reference>
        </references>
      </pivotArea>
    </format>
    <format dxfId="89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3"/>
          </reference>
          <reference field="12" count="1">
            <x v="22"/>
          </reference>
        </references>
      </pivotArea>
    </format>
    <format dxfId="88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5"/>
          </reference>
          <reference field="12" count="2">
            <x v="23"/>
            <x v="25"/>
          </reference>
        </references>
      </pivotArea>
    </format>
    <format dxfId="87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23"/>
          </reference>
          <reference field="12" count="1">
            <x v="15"/>
          </reference>
        </references>
      </pivotArea>
    </format>
    <format dxfId="86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38"/>
          </reference>
          <reference field="12" count="2">
            <x v="14"/>
            <x v="23"/>
          </reference>
        </references>
      </pivotArea>
    </format>
    <format dxfId="85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42"/>
          </reference>
          <reference field="12" count="1">
            <x v="23"/>
          </reference>
        </references>
      </pivotArea>
    </format>
    <format dxfId="84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48"/>
          </reference>
          <reference field="12" count="1">
            <x v="16"/>
          </reference>
        </references>
      </pivotArea>
    </format>
    <format dxfId="83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49"/>
          </reference>
          <reference field="12" count="1">
            <x v="16"/>
          </reference>
        </references>
      </pivotArea>
    </format>
    <format dxfId="82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51"/>
          </reference>
          <reference field="12" count="1">
            <x v="26"/>
          </reference>
        </references>
      </pivotArea>
    </format>
    <format dxfId="81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56"/>
          </reference>
          <reference field="12" count="1">
            <x v="16"/>
          </reference>
        </references>
      </pivotArea>
    </format>
    <format dxfId="80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57"/>
          </reference>
          <reference field="12" count="1">
            <x v="21"/>
          </reference>
        </references>
      </pivotArea>
    </format>
    <format dxfId="79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64"/>
          </reference>
          <reference field="12" count="1">
            <x v="18"/>
          </reference>
        </references>
      </pivotArea>
    </format>
    <format dxfId="78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71"/>
          </reference>
          <reference field="12" count="1">
            <x v="22"/>
          </reference>
        </references>
      </pivotArea>
    </format>
    <format dxfId="77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75"/>
          </reference>
          <reference field="12" count="1">
            <x v="23"/>
          </reference>
        </references>
      </pivotArea>
    </format>
    <format dxfId="76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77"/>
          </reference>
          <reference field="12" count="1">
            <x v="23"/>
          </reference>
        </references>
      </pivotArea>
    </format>
    <format dxfId="75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84"/>
          </reference>
          <reference field="12" count="1">
            <x v="16"/>
          </reference>
        </references>
      </pivotArea>
    </format>
    <format dxfId="74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92"/>
          </reference>
          <reference field="12" count="1">
            <x v="19"/>
          </reference>
        </references>
      </pivotArea>
    </format>
    <format dxfId="73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00"/>
          </reference>
          <reference field="12" count="3">
            <x v="16"/>
            <x v="22"/>
            <x v="25"/>
          </reference>
        </references>
      </pivotArea>
    </format>
    <format dxfId="72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02"/>
          </reference>
          <reference field="12" count="1">
            <x v="9"/>
          </reference>
        </references>
      </pivotArea>
    </format>
    <format dxfId="71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08"/>
          </reference>
          <reference field="12" count="1">
            <x v="18"/>
          </reference>
        </references>
      </pivotArea>
    </format>
    <format dxfId="70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09"/>
          </reference>
          <reference field="12" count="1">
            <x v="18"/>
          </reference>
        </references>
      </pivotArea>
    </format>
    <format dxfId="69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10"/>
          </reference>
          <reference field="12" count="3">
            <x v="8"/>
            <x v="16"/>
            <x v="18"/>
          </reference>
        </references>
      </pivotArea>
    </format>
    <format dxfId="68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18"/>
          </reference>
          <reference field="12" count="1">
            <x v="9"/>
          </reference>
        </references>
      </pivotArea>
    </format>
    <format dxfId="67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19"/>
          </reference>
          <reference field="12" count="4">
            <x v="17"/>
            <x v="22"/>
            <x v="24"/>
            <x v="25"/>
          </reference>
        </references>
      </pivotArea>
    </format>
    <format dxfId="66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20"/>
          </reference>
          <reference field="12" count="1">
            <x v="15"/>
          </reference>
        </references>
      </pivotArea>
    </format>
    <format dxfId="65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23"/>
          </reference>
          <reference field="12" count="1">
            <x v="25"/>
          </reference>
        </references>
      </pivotArea>
    </format>
    <format dxfId="64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24"/>
          </reference>
          <reference field="12" count="2">
            <x v="16"/>
            <x v="25"/>
          </reference>
        </references>
      </pivotArea>
    </format>
    <format dxfId="63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25"/>
          </reference>
          <reference field="12" count="2">
            <x v="10"/>
            <x v="26"/>
          </reference>
        </references>
      </pivotArea>
    </format>
    <format dxfId="62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26"/>
          </reference>
          <reference field="12" count="4">
            <x v="16"/>
            <x v="18"/>
            <x v="23"/>
            <x v="25"/>
          </reference>
        </references>
      </pivotArea>
    </format>
    <format dxfId="61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31"/>
          </reference>
          <reference field="12" count="2">
            <x v="15"/>
            <x v="16"/>
          </reference>
        </references>
      </pivotArea>
    </format>
    <format dxfId="60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39"/>
          </reference>
          <reference field="12" count="1">
            <x v="26"/>
          </reference>
        </references>
      </pivotArea>
    </format>
    <format dxfId="59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40"/>
          </reference>
          <reference field="12" count="1">
            <x v="26"/>
          </reference>
        </references>
      </pivotArea>
    </format>
    <format dxfId="58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41"/>
          </reference>
          <reference field="12" count="1">
            <x v="26"/>
          </reference>
        </references>
      </pivotArea>
    </format>
    <format dxfId="57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43"/>
          </reference>
          <reference field="12" count="1">
            <x v="16"/>
          </reference>
        </references>
      </pivotArea>
    </format>
    <format dxfId="56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 selected="0">
            <x v="159"/>
          </reference>
          <reference field="12" count="1">
            <x v="25"/>
          </reference>
        </references>
      </pivotArea>
    </format>
    <format dxfId="55">
      <pivotArea dataOnly="0" labelOnly="1" outline="0" axis="axisValues" fieldPosition="0"/>
    </format>
    <format dxfId="54">
      <pivotArea dataOnly="0" labelOnly="1" outline="0" fieldPosition="0">
        <references count="1">
          <reference field="1" count="3">
            <x v="0"/>
            <x v="1"/>
            <x v="2"/>
          </reference>
        </references>
      </pivotArea>
    </format>
    <format dxfId="53">
      <pivotArea dataOnly="0" labelOnly="1" outline="0" fieldPosition="0">
        <references count="2">
          <reference field="1" count="1" selected="0">
            <x v="0"/>
          </reference>
          <reference field="2" count="1">
            <x v="1"/>
          </reference>
        </references>
      </pivotArea>
    </format>
    <format dxfId="52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51">
      <pivotArea dataOnly="0" labelOnly="1" outline="0" fieldPosition="0">
        <references count="3">
          <reference field="1" count="1" selected="0">
            <x v="0"/>
          </reference>
          <reference field="2" count="1" selected="0">
            <x v="1"/>
          </reference>
          <reference field="3" count="29">
            <x v="7"/>
            <x v="8"/>
            <x v="35"/>
            <x v="39"/>
            <x v="41"/>
            <x v="44"/>
            <x v="45"/>
            <x v="48"/>
            <x v="49"/>
            <x v="56"/>
            <x v="64"/>
            <x v="80"/>
            <x v="84"/>
            <x v="85"/>
            <x v="91"/>
            <x v="92"/>
            <x v="93"/>
            <x v="94"/>
            <x v="95"/>
            <x v="109"/>
            <x v="122"/>
            <x v="123"/>
            <x v="124"/>
            <x v="135"/>
            <x v="153"/>
            <x v="161"/>
            <x v="162"/>
            <x v="163"/>
            <x v="195"/>
          </reference>
        </references>
      </pivotArea>
    </format>
    <format dxfId="50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0"/>
          </reference>
          <reference field="3" count="5">
            <x v="29"/>
            <x v="43"/>
            <x v="100"/>
            <x v="122"/>
            <x v="202"/>
          </reference>
        </references>
      </pivotArea>
    </format>
    <format dxfId="49">
      <pivotArea dataOnly="0" labelOnly="1" outline="0" fieldPosition="0">
        <references count="3">
          <reference field="1" count="1" selected="0">
            <x v="2"/>
          </reference>
          <reference field="2" count="1" selected="0">
            <x v="0"/>
          </reference>
          <reference field="3" count="35">
            <x v="11"/>
            <x v="12"/>
            <x v="33"/>
            <x v="34"/>
            <x v="35"/>
            <x v="37"/>
            <x v="38"/>
            <x v="42"/>
            <x v="44"/>
            <x v="48"/>
            <x v="49"/>
            <x v="51"/>
            <x v="53"/>
            <x v="56"/>
            <x v="62"/>
            <x v="64"/>
            <x v="71"/>
            <x v="76"/>
            <x v="85"/>
            <x v="95"/>
            <x v="98"/>
            <x v="100"/>
            <x v="119"/>
            <x v="124"/>
            <x v="125"/>
            <x v="139"/>
            <x v="140"/>
            <x v="141"/>
            <x v="148"/>
            <x v="161"/>
            <x v="162"/>
            <x v="163"/>
            <x v="184"/>
            <x v="195"/>
            <x v="204"/>
          </reference>
        </references>
      </pivotArea>
    </format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0000000-0016-0000-0100-000000000000}" autoFormatId="16" applyNumberFormats="0" applyBorderFormats="0" applyFontFormats="0" applyPatternFormats="0" applyAlignmentFormats="0" applyWidthHeightFormats="0">
  <queryTableRefresh nextId="65">
    <queryTableFields count="61">
      <queryTableField id="1" name="Material" tableColumnId="1"/>
      <queryTableField id="2" name="Texto breve de material" tableColumnId="2"/>
      <queryTableField id="3" name="GrM2" tableColumnId="3"/>
      <queryTableField id="4" name="GrM2_Marca" tableColumnId="4"/>
      <queryTableField id="5" name="GrM3" tableColumnId="5"/>
      <queryTableField id="6" name="GrM3_Familia" tableColumnId="6"/>
      <queryTableField id="7" name="PLM STATUS" tableColumnId="7"/>
      <queryTableField id="8" name="Estado" tableColumnId="8"/>
      <queryTableField id="9" name="Origen" tableColumnId="9"/>
      <queryTableField id="10" name="Planta" tableColumnId="10"/>
      <queryTableField id="11" name="Tipo_Producto" tableColumnId="11"/>
      <queryTableField id="12" name="Tipo_venta" tableColumnId="12"/>
      <queryTableField id="13" name="Unidad_Primaria" tableColumnId="13"/>
      <queryTableField id="14" name="Gramaje" tableColumnId="14"/>
      <queryTableField id="15" name="Estado_Proyec" tableColumnId="15"/>
      <queryTableField id="16" name="Cnsrv" tableColumnId="16"/>
      <queryTableField id="17" name="Categoría" tableColumnId="17"/>
      <queryTableField id="18" name="Plan de Embarque" tableColumnId="18"/>
      <queryTableField id="19" name="Gramaje Base" tableColumnId="19"/>
      <queryTableField id="20" name="% Participación Gramaje Base" tableColumnId="20"/>
      <queryTableField id="21" name="Costo Unitario" tableColumnId="21"/>
      <queryTableField id="22" name="Área" tableColumnId="22"/>
      <queryTableField id="23" name="UND/MINUTO" tableColumnId="23"/>
      <queryTableField id="24" name="OEE" tableColumnId="24"/>
      <queryTableField id="25" name="UND/CUBETA" tableColumnId="25"/>
      <queryTableField id="26" name="CAPACIDAD CUBETAS" tableColumnId="26"/>
      <queryTableField id="27" name="CUBETA/PALLET" tableColumnId="27"/>
      <queryTableField id="28" name="CAPACIDAD PALLET" tableColumnId="28"/>
      <queryTableField id="29" name="KG/BATCH" tableColumnId="29"/>
      <queryTableField id="30" name="UND/BATCH" tableColumnId="30"/>
      <queryTableField id="31" name="MAQUINA" tableColumnId="31"/>
      <queryTableField id="32" name="Familia por base" tableColumnId="32"/>
      <queryTableField id="33" name="Familia por base_SAP" tableColumnId="33"/>
      <queryTableField id="34" name="Días de Maduración" tableColumnId="34"/>
      <queryTableField id="35" name="Factor de Uso Leche" tableColumnId="35"/>
      <queryTableField id="36" name="Tipo de Leche 1" tableColumnId="36"/>
      <queryTableField id="37" name="Tipo de Leche 2" tableColumnId="37"/>
      <queryTableField id="38" name="Tipo de Leche 3" tableColumnId="38"/>
      <queryTableField id="39" name="Factor de Uso Leche 1" tableColumnId="39"/>
      <queryTableField id="40" name="Factor de Uso Leche 2" tableColumnId="40"/>
      <queryTableField id="41" name="Factor de Uso Leche 3" tableColumnId="41"/>
      <queryTableField id="42" name="Factor Uso LECHE EN POLVO" tableColumnId="42"/>
      <queryTableField id="43" name="Generación de Crema 1" tableColumnId="43"/>
      <queryTableField id="44" name="Generación de Crema 2" tableColumnId="44"/>
      <queryTableField id="45" name="Generación de Crema 3" tableColumnId="45"/>
      <queryTableField id="46" name="Pérdida por Descremado 1" tableColumnId="46"/>
      <queryTableField id="47" name="Pérdida por Descremado 2" tableColumnId="47"/>
      <queryTableField id="48" name="Pérdida por Descremado 3" tableColumnId="48"/>
      <queryTableField id="49" name="Factor de Uso Crema 1" tableColumnId="49"/>
      <queryTableField id="50" name="Abreviado" tableColumnId="50"/>
      <queryTableField id="51" name="Peso Empaque" tableColumnId="51"/>
      <queryTableField id="55" name="Estaciones" tableColumnId="55"/>
      <queryTableField id="52" name="ResponsableMarca" tableColumnId="52"/>
      <queryTableField id="56" name="precio_base" tableColumnId="56"/>
      <queryTableField id="58" name="id_TipoMaterial" tableColumnId="57"/>
      <queryTableField id="59" name="id_GrupoMateriales" tableColumnId="58"/>
      <queryTableField id="60" name="Embarque" tableColumnId="59"/>
      <queryTableField id="61" name="ZUR" tableColumnId="60"/>
      <queryTableField id="62" name="Lead Time" tableColumnId="61"/>
      <queryTableField id="63" name="Pedido Mínimo" tableColumnId="62"/>
      <queryTableField id="64" name="Nombre Proveedor" tableColumnId="6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sponsable_de_Marca" xr10:uid="{881B800A-58C4-43FA-9198-BE08440D3CB6}" sourceName="Responsable de Marca">
  <pivotTables>
    <pivotTable tabId="53" name="TablaDinámica2"/>
    <pivotTable tabId="55" name="TablaDinámica3"/>
    <pivotTable tabId="55" name="TablaDinámica5"/>
    <pivotTable tabId="55" name="TablaDinámica6"/>
  </pivotTables>
  <data>
    <tabular pivotCacheId="1703609994">
      <items count="5">
        <i x="0" s="1"/>
        <i x="1" s="1"/>
        <i x="3" s="1" nd="1"/>
        <i x="2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odega" xr10:uid="{C80CFE8C-F005-40AF-AE23-506F0F560356}" sourceName="Bodega">
  <pivotTables>
    <pivotTable tabId="53" name="TablaDinámica2"/>
    <pivotTable tabId="55" name="TablaDinámica3"/>
    <pivotTable tabId="55" name="TablaDinámica5"/>
    <pivotTable tabId="55" name="TablaDinámica6"/>
  </pivotTables>
  <data>
    <tabular pivotCacheId="1703609994">
      <items count="5">
        <i x="0"/>
        <i x="2" s="1"/>
        <i x="3"/>
        <i x="1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9A46F1F0-1433-46CC-9A31-D41F76A0BB6B}" sourceName="MARCA">
  <pivotTables>
    <pivotTable tabId="53" name="TablaDinámica2"/>
    <pivotTable tabId="55" name="TablaDinámica3"/>
    <pivotTable tabId="55" name="TablaDinámica5"/>
    <pivotTable tabId="55" name="TablaDinámica6"/>
  </pivotTables>
  <data>
    <tabular pivotCacheId="1703609994">
      <items count="20">
        <i x="8" s="1"/>
        <i x="0" s="1"/>
        <i x="1" s="1"/>
        <i x="6" s="1"/>
        <i x="4" s="1"/>
        <i x="3" s="1"/>
        <i x="18" s="1" nd="1"/>
        <i x="17" s="1" nd="1"/>
        <i x="12" s="1" nd="1"/>
        <i x="10" s="1" nd="1"/>
        <i x="7" s="1" nd="1"/>
        <i x="15" s="1" nd="1"/>
        <i x="2" s="1" nd="1"/>
        <i x="13" s="1" nd="1"/>
        <i x="9" s="1" nd="1"/>
        <i x="14" s="1" nd="1"/>
        <i x="16" s="1" nd="1"/>
        <i x="11" s="1" nd="1"/>
        <i x="5" s="1" nd="1"/>
        <i x="19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IA" xr10:uid="{3680B15D-4313-4712-A705-9B3E7C6F5379}" sourceName="CATEGORIA">
  <pivotTables>
    <pivotTable tabId="53" name="TablaDinámica2"/>
    <pivotTable tabId="55" name="TablaDinámica3"/>
    <pivotTable tabId="55" name="TablaDinámica5"/>
    <pivotTable tabId="55" name="TablaDinámica6"/>
  </pivotTables>
  <data>
    <tabular pivotCacheId="1703609994">
      <items count="7">
        <i x="1" s="1"/>
        <i x="0" s="1"/>
        <i x="5" s="1" nd="1"/>
        <i x="4" s="1" nd="1"/>
        <i x="3" s="1" nd="1"/>
        <i x="2" s="1" nd="1"/>
        <i x="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1" xr10:uid="{FD548AA3-4591-4225-8065-1523440D6EAF}" sourceName="[Reporte Stock DiarioPRG].[Marca]">
  <pivotTables>
    <pivotTable tabId="56" name="TablaDinámica2"/>
    <pivotTable tabId="56" name="TablaDinámica6"/>
    <pivotTable tabId="56" name="TablaDinámica3"/>
    <pivotTable tabId="56" name="TablaDinámica7"/>
  </pivotTables>
  <data>
    <olap pivotCacheId="77874514">
      <levels count="2">
        <level uniqueName="[Reporte Stock DiarioPRG].[Marca].[(All)]" sourceCaption="(All)" count="0"/>
        <level uniqueName="[Reporte Stock DiarioPRG].[Marca].[Marca]" sourceCaption="Marca" count="19">
          <ranges>
            <range startItem="0">
              <i n="[Reporte Stock DiarioPRG].[Marca].&amp;[ALPINETTE]" c="ALPINETTE"/>
              <i n="[Reporte Stock DiarioPRG].[Marca].&amp;[AREQUIPE ALPINA]" c="AREQUIPE ALPINA"/>
              <i n="[Reporte Stock DiarioPRG].[Marca].&amp;[AVENA ALPINA]" c="AVENA ALPINA"/>
              <i n="[Reporte Stock DiarioPRG].[Marca].&amp;[AVENA FINESSE]" c="AVENA FINESSE"/>
              <i n="[Reporte Stock DiarioPRG].[Marca].&amp;[BON YURT]" c="BON YURT"/>
              <i n="[Reporte Stock DiarioPRG].[Marca].&amp;[CREMA DE LECHE]" c="CREMA DE LECHE"/>
              <i n="[Reporte Stock DiarioPRG].[Marca].&amp;[DULCE LECHE KIOSCO]" c="DULCE LECHE KIOSCO"/>
              <i n="[Reporte Stock DiarioPRG].[Marca].&amp;[KUMIS ALPINA]" c="KUMIS ALPINA"/>
              <i n="[Reporte Stock DiarioPRG].[Marca].&amp;[MANTEQUILLA]" c="MANTEQUILLA"/>
              <i n="[Reporte Stock DiarioPRG].[Marca].&amp;[MULTIMARCA]" c="MULTIMARCA"/>
              <i n="[Reporte Stock DiarioPRG].[Marca].&amp;[Producto semielaborado]" c="Producto semielaborado"/>
              <i n="[Reporte Stock DiarioPRG].[Marca].&amp;[QUESO ESPARCIBLE]" c="QUESO ESPARCIBLE"/>
              <i n="[Reporte Stock DiarioPRG].[Marca].&amp;[QUESO FRESCO KIOSKO]" c="QUESO FRESCO KIOSKO"/>
              <i n="[Reporte Stock DiarioPRG].[Marca].&amp;[QUESO FUNDIDO]" c="QUESO FUNDIDO"/>
              <i n="[Reporte Stock DiarioPRG].[Marca].&amp;[QUESO MOZARELLA KIOSKO]" c="QUESO MOZARELLA KIOSKO"/>
              <i n="[Reporte Stock DiarioPRG].[Marca].&amp;[QUESO SEMIMADURO KIOSKO]" c="QUESO SEMIMADURO KIOSKO"/>
              <i n="[Reporte Stock DiarioPRG].[Marca].&amp;[REGENERIS]" c="REGENERIS"/>
              <i n="[Reporte Stock DiarioPRG].[Marca].&amp;[YOGURT FINESSE]" c="YOGURT FINESSE"/>
              <i n="[Reporte Stock DiarioPRG].[Marca].&amp;[YOGURT KIOSKO]" c="YOGURT KIOSKO"/>
            </range>
          </ranges>
        </level>
      </levels>
      <selections count="1">
        <selection n="[Reporte Stock DiarioPRG].[Marca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entro" xr10:uid="{8530531F-754F-4361-93F1-031C0BCFABF3}" sourceName="[Reporte Stock DiarioPRG].[Centro]">
  <pivotTables>
    <pivotTable tabId="56" name="TablaDinámica2"/>
    <pivotTable tabId="56" name="TablaDinámica6"/>
    <pivotTable tabId="56" name="TablaDinámica3"/>
    <pivotTable tabId="56" name="TablaDinámica7"/>
  </pivotTables>
  <data>
    <olap pivotCacheId="77874514">
      <levels count="2">
        <level uniqueName="[Reporte Stock DiarioPRG].[Centro].[(All)]" sourceCaption="(All)" count="0"/>
        <level uniqueName="[Reporte Stock DiarioPRG].[Centro].[Centro]" sourceCaption="Centro" count="3">
          <ranges>
            <range startItem="0">
              <i n="[Reporte Stock DiarioPRG].[Centro].&amp;[GUAYAQUIL]" c="GUAYAQUIL"/>
              <i n="[Reporte Stock DiarioPRG].[Centro].&amp;[MACHACHI]" c="MACHACHI"/>
              <i n="[Reporte Stock DiarioPRG].[Centro].&amp;[SAN GABRIEL]" c="SAN GABRIEL"/>
            </range>
          </ranges>
        </level>
      </levels>
      <selections count="1">
        <selection n="[Reporte Stock DiarioPRG].[Centr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sponsable de Marca" xr10:uid="{C0F6BA3A-2046-4619-AE09-DADF4A8ADE2A}" cache="SegmentaciónDeDatos_Responsable_de_Marca" caption="Responsable de Marca" style="SlicerStyleLight6" rowHeight="251883"/>
  <slicer name="Bodega" xr10:uid="{5CB92AC8-0E76-4FE6-BAEA-57A2B88FC937}" cache="SegmentaciónDeDatos_Bodega" caption="Bodega" style="SlicerStyleLight6" rowHeight="251883"/>
  <slicer name="MARCA" xr10:uid="{EED55B04-6C49-4C09-8372-C60BAD6DAFC1}" cache="SegmentaciónDeDatos_MARCA" caption="MARCA" style="SlicerStyleLight6" rowHeight="251883"/>
  <slicer name="CATEGORIA" xr10:uid="{B9A277F5-9A76-433C-8D52-70E03EADE556}" cache="SegmentaciónDeDatos_CATEGORIA" caption="CATEGORIA" style="SlicerStyleLight6" rowHeight="251883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 1" xr10:uid="{E18DAF1B-FC3E-4764-959F-64816B037147}" cache="SegmentaciónDeDatos_Marca1" caption="Marca" startItem="10" level="1" style="SlicerStyleLight6" rowHeight="251883"/>
  <slicer name="Centro" xr10:uid="{69848BDF-DC74-4F64-AF31-A0926723EDEA}" cache="SegmentaciónDeDatos_Centro" caption="Centro" level="1" style="SlicerStyleLight6" rowHeight="251883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6D2CFED-8596-444D-AE9F-121BAFE20136}" name="Listado_PT__24" displayName="Listado_PT__24" ref="A2:BI2071" tableType="queryTable" totalsRowShown="0">
  <autoFilter ref="A2:BI2071" xr:uid="{E6D2CFED-8596-444D-AE9F-121BAFE20136}"/>
  <tableColumns count="61">
    <tableColumn id="1" xr3:uid="{DB335585-3B80-49A5-AB26-E617953E470D}" uniqueName="1" name="Material" queryTableFieldId="1" dataDxfId="579"/>
    <tableColumn id="2" xr3:uid="{67D5BBC9-A117-47AC-9337-BD2F5DDDF192}" uniqueName="2" name="Texto breve de material" queryTableFieldId="2" dataDxfId="578"/>
    <tableColumn id="3" xr3:uid="{93BEC831-E2F8-4AB1-BAE5-77E91814DCDF}" uniqueName="3" name="GrM2" queryTableFieldId="3"/>
    <tableColumn id="4" xr3:uid="{E7E01E59-A10E-4E03-9A97-0759EAB607E0}" uniqueName="4" name="GrM2_Marca" queryTableFieldId="4" dataDxfId="577"/>
    <tableColumn id="5" xr3:uid="{0597EC0A-6038-40BC-A715-0E643FAE523B}" uniqueName="5" name="GrM3" queryTableFieldId="5"/>
    <tableColumn id="6" xr3:uid="{631B842A-E0F6-48C0-9FE0-2A42B6F11CF9}" uniqueName="6" name="GrM3_Familia" queryTableFieldId="6" dataDxfId="576"/>
    <tableColumn id="7" xr3:uid="{398EDF7F-0541-493C-B5A5-6D6775A33534}" uniqueName="7" name="PLM STATUS" queryTableFieldId="7" dataDxfId="575"/>
    <tableColumn id="8" xr3:uid="{A4422B4A-1BFE-4D12-863E-3E07962C64C4}" uniqueName="8" name="Estado" queryTableFieldId="8" dataDxfId="574"/>
    <tableColumn id="9" xr3:uid="{A5252F7C-A83B-4AAE-96B4-AAF9C52D90B8}" uniqueName="9" name="Origen" queryTableFieldId="9" dataDxfId="573"/>
    <tableColumn id="10" xr3:uid="{9C8FCAD5-01BB-4A62-9B45-66763026392A}" uniqueName="10" name="Planta" queryTableFieldId="10" dataDxfId="572"/>
    <tableColumn id="11" xr3:uid="{B588B0D7-D7C7-4E9F-B27B-8E887E2500C3}" uniqueName="11" name="Tipo_Producto" queryTableFieldId="11" dataDxfId="571"/>
    <tableColumn id="12" xr3:uid="{8124E636-8C8E-4242-A84F-BAEF1CFAC1F9}" uniqueName="12" name="Tipo_venta" queryTableFieldId="12" dataDxfId="570"/>
    <tableColumn id="13" xr3:uid="{9197CEB0-4166-42EE-B727-EA34041487D2}" uniqueName="13" name="Unidad_Primaria" queryTableFieldId="13" dataDxfId="569"/>
    <tableColumn id="14" xr3:uid="{89944B2F-25E3-4289-B0F1-8874E459AFB5}" uniqueName="14" name="Gramaje" queryTableFieldId="14"/>
    <tableColumn id="15" xr3:uid="{6F3E198E-0D29-4F44-90C2-166091D1CD89}" uniqueName="15" name="Estado_Proyec" queryTableFieldId="15"/>
    <tableColumn id="16" xr3:uid="{F83C3EC3-E00A-471B-87AA-5B563C3D4F56}" uniqueName="16" name="Cnsrv" queryTableFieldId="16"/>
    <tableColumn id="17" xr3:uid="{4D5ADC70-5CBF-4231-9CC4-279C3BAA0E5A}" uniqueName="17" name="Categoría" queryTableFieldId="17" dataDxfId="568"/>
    <tableColumn id="18" xr3:uid="{4D55AAD2-3C1E-4CC4-AE12-737CFE32A945}" uniqueName="18" name="Plan de Embarque" queryTableFieldId="18" dataDxfId="567"/>
    <tableColumn id="19" xr3:uid="{3A430E1D-63F8-4046-93EA-7AC141C48C59}" uniqueName="19" name="Gramaje Base" queryTableFieldId="19"/>
    <tableColumn id="20" xr3:uid="{FAAE1362-2DF3-49D8-A29E-9470B0D498C5}" uniqueName="20" name="% Participación Gramaje Base" queryTableFieldId="20"/>
    <tableColumn id="21" xr3:uid="{F4AF99C3-731A-464F-86FE-C221763F7724}" uniqueName="21" name="Costo Unitario" queryTableFieldId="21" dataDxfId="566" dataCellStyle="Moneda"/>
    <tableColumn id="22" xr3:uid="{49E00920-0C3C-4373-84D0-3783B4588A5F}" uniqueName="22" name="Área" queryTableFieldId="22" dataDxfId="565"/>
    <tableColumn id="23" xr3:uid="{0F798755-FA63-43EE-A845-D69FEF6F29B2}" uniqueName="23" name="UND/MINUTO" queryTableFieldId="23"/>
    <tableColumn id="24" xr3:uid="{025BB47A-9125-49D8-B545-20B03B4C053C}" uniqueName="24" name="OEE" queryTableFieldId="24"/>
    <tableColumn id="25" xr3:uid="{CC1384F3-A024-4E8C-82E8-2F0A88FB3C96}" uniqueName="25" name="UND/CUBETA" queryTableFieldId="25"/>
    <tableColumn id="26" xr3:uid="{794AB22B-0AB6-4BDE-84FC-9FC428FA5CB3}" uniqueName="26" name="CAPACIDAD CUBETAS" queryTableFieldId="26"/>
    <tableColumn id="27" xr3:uid="{7636D854-3BEC-44B3-8DE2-7016B80407A5}" uniqueName="27" name="CUBETA/PALLET" queryTableFieldId="27"/>
    <tableColumn id="28" xr3:uid="{756CBB81-E431-4A4E-9099-9025D0743279}" uniqueName="28" name="CAPACIDAD PALLET" queryTableFieldId="28"/>
    <tableColumn id="29" xr3:uid="{DD1F2BB6-2F02-4E0F-89F6-9AF3263F249E}" uniqueName="29" name="KG/BATCH" queryTableFieldId="29"/>
    <tableColumn id="30" xr3:uid="{5491FCCE-6B73-4E6F-8690-5435F7BB0E9B}" uniqueName="30" name="UND/BATCH" queryTableFieldId="30"/>
    <tableColumn id="31" xr3:uid="{FD1F55AB-14D4-4089-81FD-50482A234184}" uniqueName="31" name="MAQUINA" queryTableFieldId="31" dataDxfId="564"/>
    <tableColumn id="32" xr3:uid="{54BC4A95-38F9-4599-9991-2041AD52A0D8}" uniqueName="32" name="Familia por base" queryTableFieldId="32" dataDxfId="563"/>
    <tableColumn id="33" xr3:uid="{B7AFB656-2450-4190-A94D-96217D7DFFEF}" uniqueName="33" name="Familia por base_SAP" queryTableFieldId="33" dataDxfId="562"/>
    <tableColumn id="34" xr3:uid="{530AE088-1451-46D7-97DA-22641A8835CF}" uniqueName="34" name="Días de Maduración" queryTableFieldId="34"/>
    <tableColumn id="35" xr3:uid="{E18222BB-C1D2-455F-A523-93140B4ADEDC}" uniqueName="35" name="Factor de Uso Leche" queryTableFieldId="35"/>
    <tableColumn id="36" xr3:uid="{8E8CC73D-C327-45F4-8C0E-D4BC837D1382}" uniqueName="36" name="Tipo de Leche 1" queryTableFieldId="36" dataDxfId="561"/>
    <tableColumn id="37" xr3:uid="{D6DA9DAB-FEB9-4963-8CFA-F0C52172E1E7}" uniqueName="37" name="Tipo de Leche 2" queryTableFieldId="37" dataDxfId="560"/>
    <tableColumn id="38" xr3:uid="{882A26BD-8534-4CFE-9799-BA12D7804540}" uniqueName="38" name="Tipo de Leche 3" queryTableFieldId="38" dataDxfId="559"/>
    <tableColumn id="39" xr3:uid="{A138AF05-95F7-46DC-B50D-448A116C1C8A}" uniqueName="39" name="Factor de Uso Leche 1" queryTableFieldId="39"/>
    <tableColumn id="40" xr3:uid="{3B56CAF9-0AE9-4146-8B55-9436C859174C}" uniqueName="40" name="Factor de Uso Leche 2" queryTableFieldId="40"/>
    <tableColumn id="41" xr3:uid="{0D15F113-9904-4B53-A8A0-BE976DADA68A}" uniqueName="41" name="Factor de Uso Leche 3" queryTableFieldId="41"/>
    <tableColumn id="42" xr3:uid="{7717397B-3602-41D3-B474-00733845DDC6}" uniqueName="42" name="Factor Uso LECHE EN POLVO" queryTableFieldId="42"/>
    <tableColumn id="43" xr3:uid="{9D7106D4-8639-4FE6-A354-225B0585E573}" uniqueName="43" name="Generación de Crema 1" queryTableFieldId="43"/>
    <tableColumn id="44" xr3:uid="{58AE3D3C-14DC-4066-910B-8F86730D459D}" uniqueName="44" name="Generación de Crema 2" queryTableFieldId="44"/>
    <tableColumn id="45" xr3:uid="{8774C06D-BC74-4E11-99E2-869778704AB4}" uniqueName="45" name="Generación de Crema 3" queryTableFieldId="45"/>
    <tableColumn id="46" xr3:uid="{4F66B9C1-C786-4896-A514-4D6F1CA82BF4}" uniqueName="46" name="Pérdida por Descremado 1" queryTableFieldId="46"/>
    <tableColumn id="47" xr3:uid="{5FE84047-7180-4F48-8A69-C996B833B41A}" uniqueName="47" name="Pérdida por Descremado 2" queryTableFieldId="47"/>
    <tableColumn id="48" xr3:uid="{94B48460-1958-4AC2-9CF5-1E3E6ECDE489}" uniqueName="48" name="Pérdida por Descremado 3" queryTableFieldId="48"/>
    <tableColumn id="49" xr3:uid="{80FC1C28-3E3C-4563-A9F8-D3A780AC39D8}" uniqueName="49" name="Factor de Uso Crema 1" queryTableFieldId="49"/>
    <tableColumn id="50" xr3:uid="{7EBD57CA-F4FE-4AB3-A70B-59F2225C3E37}" uniqueName="50" name="Abreviado" queryTableFieldId="50" dataDxfId="558"/>
    <tableColumn id="51" xr3:uid="{BB190643-BC2E-4B03-A1BB-7AAAA18BAD64}" uniqueName="51" name="Peso Empaque" queryTableFieldId="51"/>
    <tableColumn id="55" xr3:uid="{2E20AF60-E275-49F7-9F88-B9FB1D8D1D3D}" uniqueName="55" name="Estaciones" queryTableFieldId="55"/>
    <tableColumn id="52" xr3:uid="{2C5FB18C-B2E4-4860-B591-73264C15D500}" uniqueName="52" name="ResponsableMarca" queryTableFieldId="52" dataDxfId="557"/>
    <tableColumn id="56" xr3:uid="{C1B9DBBB-C2AD-4FCF-9E45-2751F1DFE696}" uniqueName="56" name="precio_base" queryTableFieldId="56"/>
    <tableColumn id="57" xr3:uid="{A069F343-6122-45CD-8FCF-51AB405CC443}" uniqueName="57" name="id_TipoMaterial" queryTableFieldId="58" dataDxfId="556"/>
    <tableColumn id="58" xr3:uid="{2364E296-D2F2-46EB-B7C4-864A518C93E7}" uniqueName="58" name="id_GrupoMateriales" queryTableFieldId="59" dataDxfId="555"/>
    <tableColumn id="59" xr3:uid="{5B0B6276-D3E1-4373-AB9A-13FE21375009}" uniqueName="59" name="Embarque" queryTableFieldId="60" dataDxfId="554"/>
    <tableColumn id="60" xr3:uid="{A7941E43-22BC-418B-B8E8-6745E8962D86}" uniqueName="60" name="ZUR" queryTableFieldId="61"/>
    <tableColumn id="61" xr3:uid="{0F75DF53-0DA7-4821-80C3-EDF2A0D20C47}" uniqueName="61" name="Lead Time" queryTableFieldId="62"/>
    <tableColumn id="62" xr3:uid="{FA317893-E924-4A62-9D18-83F9FAB80B80}" uniqueName="62" name="Pedido Mínimo" queryTableFieldId="63"/>
    <tableColumn id="63" xr3:uid="{8B7B0A79-F7B6-4BBE-9295-7BE95048FB06}" uniqueName="63" name="Nombre Proveedor" queryTableFieldId="64" dataDxfId="55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758206-7BCB-4551-9048-E4A74EBB2298}" name="GUAYAQUIL" displayName="GUAYAQUIL" ref="A7:AD805" totalsRowShown="0" headerRowBorderDxfId="552" tableBorderDxfId="551">
  <autoFilter ref="A7:AD805" xr:uid="{DE758206-7BCB-4551-9048-E4A74EBB2298}"/>
  <sortState xmlns:xlrd2="http://schemas.microsoft.com/office/spreadsheetml/2017/richdata2" ref="A8:AD651">
    <sortCondition descending="1" ref="J7:J651"/>
  </sortState>
  <tableColumns count="30">
    <tableColumn id="1" xr3:uid="{EE449B7C-CEA0-4CFB-941F-D602E308F992}" name="PLANTA" dataDxfId="550" dataCellStyle="Normal 2 2">
      <calculatedColumnFormula>+IFERROR(IF(GUAYAQUIL[[#This Row],[CODIGO]]="","",VLOOKUP(GUAYAQUIL[[#This Row],[CODIGO]],MAESTRO!$A:$J,10,FALSE)),"")</calculatedColumnFormula>
    </tableColumn>
    <tableColumn id="2" xr3:uid="{0ABEA9B3-B322-443B-AC35-06650ACDF325}" name="CATEGORIA" dataDxfId="549" dataCellStyle="Normal 2 2">
      <calculatedColumnFormula>+IFERROR(IF(GUAYAQUIL[[#This Row],[CODIGO]]="","",VLOOKUP(GUAYAQUIL[[#This Row],[CODIGO]],MAESTRO!$A:$Q,17,FALSE)),"")</calculatedColumnFormula>
    </tableColumn>
    <tableColumn id="3" xr3:uid="{9293BCF8-D6CE-4908-82B6-C16104190807}" name="Responsable de Marca" dataDxfId="548" dataCellStyle="Normal 2 2">
      <calculatedColumnFormula>+IFERROR(IF(GUAYAQUIL[[#This Row],[CODIGO]]="","",VLOOKUP(GUAYAQUIL[[#This Row],[CODIGO]],MAESTRO!$A:$BA,53,FALSE)),"")</calculatedColumnFormula>
    </tableColumn>
    <tableColumn id="4" xr3:uid="{D0DC31B6-B4DF-4812-90D7-BA69662D0E9C}" name="MARCA" dataDxfId="547" dataCellStyle="Normal 2 2">
      <calculatedColumnFormula>+IFERROR(IF(GUAYAQUIL[[#This Row],[CODIGO]]="","",VLOOKUP(GUAYAQUIL[[#This Row],[CODIGO]],MAESTRO!$A:$D,4,FALSE)),"")</calculatedColumnFormula>
    </tableColumn>
    <tableColumn id="5" xr3:uid="{8EFD819A-0ABC-484A-9530-73F6BDC46B9E}" name="FAMILIA" dataDxfId="546" dataCellStyle="Normal 2 2">
      <calculatedColumnFormula>+IFERROR(IF(GUAYAQUIL[[#This Row],[CODIGO]]="","",VLOOKUP(GUAYAQUIL[[#This Row],[CODIGO]],MAESTRO!$A:$F,6,FALSE)),"")</calculatedColumnFormula>
    </tableColumn>
    <tableColumn id="27" xr3:uid="{6E7885B6-380E-4E6E-87E8-21394799D7F6}" name="SEDE" dataDxfId="545" dataCellStyle="Normal 2 2">
      <calculatedColumnFormula>IF(GUAYAQUIL[[#This Row],[CODIGO]]="","",$K$6)</calculatedColumnFormula>
    </tableColumn>
    <tableColumn id="30" xr3:uid="{1B176D4F-A3C0-46CF-A9B6-9DE8893BE398}" name="CENTRO" dataDxfId="544" dataCellStyle="Normal 2 2">
      <calculatedColumnFormula>IF(GUAYAQUIL[[#This Row],[CODIGO]]="","",7711)</calculatedColumnFormula>
    </tableColumn>
    <tableColumn id="29" xr3:uid="{A520B3AA-4D38-4990-8774-75752E60D095}" name="ALMACEN" dataDxfId="543" dataCellStyle="Normal 2 2">
      <calculatedColumnFormula>IF(GUAYAQUIL[[#This Row],[CODIGO]]="","",1001)</calculatedColumnFormula>
    </tableColumn>
    <tableColumn id="6" xr3:uid="{34C9F7DC-D9F0-4E48-86AD-F45BD252F8C3}" name="CODIGO" dataDxfId="542" dataCellStyle="Normal 2 2"/>
    <tableColumn id="7" xr3:uid="{4A7FF725-7E08-48C1-A57B-EE50E0AAA340}" name="PRODUCTO" dataDxfId="541" dataCellStyle="Normal 2 2">
      <calculatedColumnFormula>IFERROR((VLOOKUP(GUAYAQUIL[[#This Row],[CODIGO]],MAESTRO!A:B,2,FALSE)),"")</calculatedColumnFormula>
    </tableColumn>
    <tableColumn id="8" xr3:uid="{1572559F-9399-41D8-BB60-60E2ADD3B640}" name="Cantidad Ingreso Bodega" dataDxfId="540" dataCellStyle="Normal 2 2"/>
    <tableColumn id="9" xr3:uid="{D4738F21-053F-47A3-A2EC-66658D0715A3}" name="Conversión" dataDxfId="539" dataCellStyle="Normal 2 2">
      <calculatedColumnFormula>+IFERROR(IF(GUAYAQUIL[[#This Row],[CODIGO]]="","",VLOOKUP(GUAYAQUIL[[#This Row],[CODIGO]],MAESTRO!$A:$BF,58,FALSE)),"")</calculatedColumnFormula>
    </tableColumn>
    <tableColumn id="25" xr3:uid="{CC5EF6BB-2DA3-486F-99BE-A60268B26E87}" name="Gramaje" dataDxfId="538">
      <calculatedColumnFormula>+IFERROR(IF(GUAYAQUIL[[#This Row],[CODIGO]]="","",VLOOKUP(GUAYAQUIL[[#This Row],[CODIGO]],MAESTRO!A:N,14,FALSE)),"")</calculatedColumnFormula>
    </tableColumn>
    <tableColumn id="10" xr3:uid="{C0662763-B2D9-4C83-8324-8F3275E1F5DD}" name="VIDA UTIL (Días)" dataDxfId="537" dataCellStyle="Normal 2 2">
      <calculatedColumnFormula>+IFERROR(IF(GUAYAQUIL[[#This Row],[CODIGO]]="","",VLOOKUP(GUAYAQUIL[[#This Row],[CODIGO]],MAESTRO!A:P,16,FALSE)),"")</calculatedColumnFormula>
    </tableColumn>
    <tableColumn id="11" xr3:uid="{093FCDAE-6F79-4392-A185-F26697F9EC2A}" name="Fecha de Ingreso" dataDxfId="536" dataCellStyle="Normal 2 2"/>
    <tableColumn id="12" xr3:uid="{AE83FF3A-09ED-4F39-9A4E-7257E1DAFFDD}" name="Día Ingreso Bodega" dataDxfId="535" dataCellStyle="Normal 2 2">
      <calculatedColumnFormula>+IF(R8="","",TEXT(O8,"dddd"))</calculatedColumnFormula>
    </tableColumn>
    <tableColumn id="13" xr3:uid="{12F30E57-1BBF-47A9-AFD0-793FAFF76BA2}" name="Fecha Elab." dataDxfId="534" dataCellStyle="Normal 2 2">
      <calculatedColumnFormula>IFERROR(IF(GUAYAQUIL[[#This Row],[CODIGO]]="","",IF(GUAYAQUIL[[#This Row],[Fecha Cad]]="","",(GUAYAQUIL[[#This Row],[Fecha Cad]]-GUAYAQUIL[[#This Row],[VIDA UTIL (Días)]]))+1),"")</calculatedColumnFormula>
    </tableColumn>
    <tableColumn id="14" xr3:uid="{8A9ABF61-B95F-461D-B853-84B35B42C106}" name="Fecha Cad" dataDxfId="533" dataCellStyle="Normal 2 2"/>
    <tableColumn id="15" xr3:uid="{5093BA0B-2D4D-4348-B5C8-7EE0A8006303}" name="# Días para Caducar" dataDxfId="532" dataCellStyle="Normal 2 2"/>
    <tableColumn id="16" xr3:uid="{F941980D-C409-4B58-9508-BFD14587904F}" name="V.U. Actual" dataDxfId="531" dataCellStyle="Porcentaje">
      <calculatedColumnFormula>IFERROR(IF(8="","",S8/N8),0)</calculatedColumnFormula>
    </tableColumn>
    <tableColumn id="17" xr3:uid="{E381F3F1-6BCE-4348-A9F7-FE32C4F1EB4F}" name="Stock Actual Unds" dataDxfId="530" dataCellStyle="Millares"/>
    <tableColumn id="26" xr3:uid="{538CEB81-F0E7-453A-B9CD-AEC027AAA05E}" name="Stock Actual Kgs" dataDxfId="529" dataCellStyle="Millares">
      <calculatedColumnFormula>+IFERROR(IF(GUAYAQUIL[[#This Row],[CODIGO]]="","",GUAYAQUIL[[#This Row],[Stock Actual Unds]]*GUAYAQUIL[[#This Row],[Gramaje]]*GUAYAQUIL[[#This Row],[Conversión]]),"")</calculatedColumnFormula>
    </tableColumn>
    <tableColumn id="18" xr3:uid="{DA58F8B2-B797-4D77-B691-05303967DC02}" name="# DÍAS Recepción Producto" dataDxfId="528" dataCellStyle="Millares">
      <calculatedColumnFormula>IFERROR(O8-Q8,0)</calculatedColumnFormula>
    </tableColumn>
    <tableColumn id="19" xr3:uid="{1A99368C-8257-49FE-A865-2C6122311F4A}" name="V.U Recepción Producto" dataDxfId="527" dataCellStyle="Normal 2 2">
      <calculatedColumnFormula>IF(I8="","",1-(W8/N8))</calculatedColumnFormula>
    </tableColumn>
    <tableColumn id="20" xr3:uid="{6C6C8F2A-6CD5-42A9-8224-449364A8E153}" name="COSTO UNIT base" dataDxfId="526" dataCellStyle="Moneda">
      <calculatedColumnFormula>IFERROR(VLOOKUP(GUAYAQUIL[[#This Row],[CODIGO]],MAESTRO!A:BI,21,FALSE),0)</calculatedColumnFormula>
    </tableColumn>
    <tableColumn id="21" xr3:uid="{8AF0184A-B7B2-4F59-A665-D4A2CFEFDBBC}" name="COSTO UNIT Conv" dataDxfId="525" dataCellStyle="Moneda">
      <calculatedColumnFormula>+IFERROR(IF(GUAYAQUIL[[#This Row],[CODIGO]]="","",GUAYAQUIL[[#This Row],[COSTO UNIT base]]*GUAYAQUIL[[#This Row],[Conversión]]),"")</calculatedColumnFormula>
    </tableColumn>
    <tableColumn id="22" xr3:uid="{6C20C432-5CA8-4C56-AA7C-59759E5679F1}" name="COSTO TOTAL" dataDxfId="524" dataCellStyle="Moneda">
      <calculatedColumnFormula>+IFERROR(IF(GUAYAQUIL[[#This Row],[CODIGO]]="","",GUAYAQUIL[[#This Row],[COSTO UNIT Conv]]*GUAYAQUIL[[#This Row],[Stock Actual Kgs]]),"")</calculatedColumnFormula>
    </tableColumn>
    <tableColumn id="23" xr3:uid="{10724196-0195-4B61-B4A2-9E48D793F607}" name="DIAS DE ALMACENAMIENTO" dataDxfId="523" dataCellStyle="Normal 2 2">
      <calculatedColumnFormula>+IFERROR(IF(GUAYAQUIL[[#This Row],[CODIGO]]="","",$J$3-O8),"")</calculatedColumnFormula>
    </tableColumn>
    <tableColumn id="24" xr3:uid="{7BD2E0E2-EA34-488E-BDDB-19F404EFBAFD}" name="STATUS" dataDxfId="522" dataCellStyle="Normal 2 2">
      <calculatedColumnFormula>IF(GUAYAQUIL[[#This Row],[CODIGO]]="","",IF(S8&lt;=0,"CADUCADO",IF(AND(S8&gt;0,S8&lt;=21),"FECHA CORTA",IF(AND(S8&gt;=22,S8&lt;=26),"PROXIMOS FECHA CORTA", "VIGENTE"))))</calculatedColumnFormula>
    </tableColumn>
    <tableColumn id="28" xr3:uid="{A88A45FA-90B4-4210-BDCB-C01FE19D1511}" name="TONELADAS" dataDxfId="521" dataCellStyle="Moneda">
      <calculatedColumnFormula>+IF(GUAYAQUIL[[#This Row],[CODIGO]]="","",GUAYAQUIL[[#This Row],[Stock Actual Unds]]*GUAYAQUIL[[#This Row],[Gramaje]]*GUAYAQUIL[[#This Row],[Conversión]])/1000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0D1B35A-68DD-4AE3-87E5-D0917215C2EB}" name="MACHACHI" displayName="MACHACHI" ref="A7:AD110" totalsRowShown="0" headerRowDxfId="520" headerRowBorderDxfId="519" tableBorderDxfId="518">
  <autoFilter ref="A7:AD110" xr:uid="{20D1B35A-68DD-4AE3-87E5-D0917215C2EB}"/>
  <tableColumns count="30">
    <tableColumn id="1" xr3:uid="{7264CB26-1A11-41A5-A7BD-91B9511B1F70}" name="PLANTA" dataDxfId="517" dataCellStyle="Normal 2 2">
      <calculatedColumnFormula>+IFERROR(IF(MACHACHI[[#This Row],[CODIGO]]="","",VLOOKUP(MACHACHI[[#This Row],[CODIGO]],MAESTRO!$A:$J,10,FALSE)),"")</calculatedColumnFormula>
    </tableColumn>
    <tableColumn id="2" xr3:uid="{AA8D3599-CC17-4C65-AD1B-ED2445581056}" name="CATEGORIA" dataDxfId="516" dataCellStyle="Normal 2 2">
      <calculatedColumnFormula>+IFERROR(IF(MACHACHI[[#This Row],[CODIGO]]="","",VLOOKUP(MACHACHI[[#This Row],[CODIGO]],MAESTRO!$A:$Q,17,FALSE)),"")</calculatedColumnFormula>
    </tableColumn>
    <tableColumn id="3" xr3:uid="{59D6D052-7414-44D2-8C8C-A3582A9D8E7D}" name="Responsable de Marca" dataDxfId="515" dataCellStyle="Normal 2 2">
      <calculatedColumnFormula>+IFERROR(IF(MACHACHI[[#This Row],[CODIGO]]="","",VLOOKUP(MACHACHI[[#This Row],[CODIGO]],MAESTRO!$A:$BA,53,FALSE)),"")</calculatedColumnFormula>
    </tableColumn>
    <tableColumn id="4" xr3:uid="{3DB1D911-17C2-4C96-A6B0-93D918B47059}" name="MARCA" dataDxfId="514" dataCellStyle="Normal 2 2">
      <calculatedColumnFormula>+IFERROR(IF(MACHACHI[[#This Row],[CODIGO]]="","",VLOOKUP(MACHACHI[[#This Row],[CODIGO]],MAESTRO!$A:$D,4,FALSE)),"")</calculatedColumnFormula>
    </tableColumn>
    <tableColumn id="5" xr3:uid="{EE752D5A-67B4-49E7-BE92-C674F3A906C3}" name="FAMILIA" dataDxfId="513" dataCellStyle="Normal 2 2">
      <calculatedColumnFormula>+IFERROR(IF(MACHACHI[[#This Row],[CODIGO]]="","",VLOOKUP(MACHACHI[[#This Row],[CODIGO]],MAESTRO!$A:$F,6,FALSE)),"")</calculatedColumnFormula>
    </tableColumn>
    <tableColumn id="27" xr3:uid="{191B531C-7351-4390-8C45-2E3DCFBFBE2F}" name="CEDE" dataDxfId="512" dataCellStyle="Normal 2 2">
      <calculatedColumnFormula>IF(MACHACHI[[#This Row],[CODIGO]]="","",$K$6)</calculatedColumnFormula>
    </tableColumn>
    <tableColumn id="30" xr3:uid="{09286B21-60F3-4950-AF59-0B4E5969E074}" name="CENTRO" dataDxfId="511" dataCellStyle="Normal 2 2">
      <calculatedColumnFormula>IF(MACHACHI[[#This Row],[CODIGO]]="","",7701)</calculatedColumnFormula>
    </tableColumn>
    <tableColumn id="29" xr3:uid="{DDEE8A21-721A-44B0-A28D-9AE168CD2759}" name="ALMACEN" dataDxfId="510" dataCellStyle="Normal 2 2">
      <calculatedColumnFormula>IF(MACHACHI[[#This Row],[CODIGO]]="","",1080)</calculatedColumnFormula>
    </tableColumn>
    <tableColumn id="6" xr3:uid="{397F00CB-5F05-4332-AE68-41947EB10CE0}" name="CODIGO" dataDxfId="509" dataCellStyle="Normal 2 2"/>
    <tableColumn id="7" xr3:uid="{BA05867E-B48E-48CE-9696-95CEB57BCF11}" name="PRODUCTO" dataDxfId="508" dataCellStyle="Normal 2 2">
      <calculatedColumnFormula>IFERROR((VLOOKUP(MACHACHI[[#This Row],[CODIGO]],MAESTRO!A:B,2,FALSE)),"")</calculatedColumnFormula>
    </tableColumn>
    <tableColumn id="8" xr3:uid="{A1D4632E-C2B6-4D9C-98EE-03964F83C427}" name="Cantidad Ingreso Bodega" dataDxfId="507" dataCellStyle="Normal 2 2"/>
    <tableColumn id="9" xr3:uid="{89624EE2-EF87-4725-BE46-A261449660A1}" name="Conversión" dataDxfId="506" dataCellStyle="Normal 2 2">
      <calculatedColumnFormula>+IFERROR(IF(MACHACHI[[#This Row],[CODIGO]]="","",VLOOKUP(MACHACHI[[#This Row],[CODIGO]],MAESTRO!$A:$BF,58,FALSE)),"")</calculatedColumnFormula>
    </tableColumn>
    <tableColumn id="25" xr3:uid="{8823392D-161B-4C1F-B043-4CB9DCC845C4}" name="Gramaje" dataDxfId="505">
      <calculatedColumnFormula>+IFERROR(IF(MACHACHI[[#This Row],[CODIGO]]="","",VLOOKUP(MACHACHI[[#This Row],[CODIGO]],MAESTRO!A:N,14,FALSE)),"")</calculatedColumnFormula>
    </tableColumn>
    <tableColumn id="10" xr3:uid="{69E30DFB-939F-4CEC-A33E-D464005A0BAD}" name="VIDA UTIL (Días)" dataDxfId="504" dataCellStyle="Normal 2 2">
      <calculatedColumnFormula>+IFERROR(IF(MACHACHI[[#This Row],[CODIGO]]="","",VLOOKUP(MACHACHI[[#This Row],[CODIGO]],MAESTRO!A:P,16,FALSE)),"")</calculatedColumnFormula>
    </tableColumn>
    <tableColumn id="11" xr3:uid="{C894D4EF-5B29-40AE-97E9-E509C7962CA9}" name="Fecha de Ingreso" dataDxfId="503" dataCellStyle="Normal 2 2">
      <calculatedColumnFormula>+IF(MACHACHI[[#This Row],[CODIGO]]="","",MACHACHI[[#This Row],[Fecha Elab.]])</calculatedColumnFormula>
    </tableColumn>
    <tableColumn id="12" xr3:uid="{95BAAF13-3034-4F33-9A65-8C16BE0D0244}" name="Día Ingreso Bodega" dataDxfId="502" dataCellStyle="Normal 2 2">
      <calculatedColumnFormula>+IF(R8="","",TEXT(O8,"dddd"))</calculatedColumnFormula>
    </tableColumn>
    <tableColumn id="13" xr3:uid="{01D9B4DA-902C-4CF7-ABB3-F1CEDF8D8382}" name="Fecha Elab." dataDxfId="501" dataCellStyle="Normal 2 2">
      <calculatedColumnFormula>IFERROR(IF(MACHACHI[[#This Row],[CODIGO]]="","",IF(MACHACHI[[#This Row],[Fecha Cad]]="","",(MACHACHI[[#This Row],[Fecha Cad]]-MACHACHI[[#This Row],[VIDA UTIL (Días)]]))+1),"")</calculatedColumnFormula>
    </tableColumn>
    <tableColumn id="14" xr3:uid="{969ADFD5-01E9-4F73-ADC9-B5E19E1F520C}" name="Fecha Cad" dataDxfId="500" dataCellStyle="Normal 2 2"/>
    <tableColumn id="15" xr3:uid="{CAD788DE-AED1-4398-8D03-E793FD4FF789}" name="# Días para Caducar" dataDxfId="499" dataCellStyle="Normal 2 2">
      <calculatedColumnFormula>+IFERROR(IF(R8="","",R8-$J$3),0)</calculatedColumnFormula>
    </tableColumn>
    <tableColumn id="16" xr3:uid="{6480AC10-F25F-413D-B721-83D6A3149AE8}" name="V.U. Actual" dataDxfId="498" dataCellStyle="Normal 2 2">
      <calculatedColumnFormula>IFERROR(IF(8="","",S8/N8),0)</calculatedColumnFormula>
    </tableColumn>
    <tableColumn id="17" xr3:uid="{8CE4310E-4DB8-498D-B1B0-9901EB9CE8D6}" name="Stock Actual Unds" dataDxfId="497" dataCellStyle="Normal 2 2"/>
    <tableColumn id="26" xr3:uid="{F9F7BC3C-3882-4F00-9F34-A85DEDA46888}" name="Stock Actual Kgs" dataDxfId="496" dataCellStyle="Millares">
      <calculatedColumnFormula>+IFERROR(IF(MACHACHI[[#This Row],[CODIGO]]="","",MACHACHI[[#This Row],[Stock Actual Unds]]*MACHACHI[[#This Row],[Gramaje]]*MACHACHI[[#This Row],[Conversión]]),"")</calculatedColumnFormula>
    </tableColumn>
    <tableColumn id="18" xr3:uid="{0B5808DF-7D2D-451C-A60D-A1ED4B948DE0}" name="# DÍAS Recepción Producto" dataDxfId="495" dataCellStyle="Normal 2 2">
      <calculatedColumnFormula>+IFERROR(IF(I7="","",MACHACHI[[#This Row],[Fecha Elab.]]-MACHACHI[[#This Row],[Fecha de Ingreso]]),"")</calculatedColumnFormula>
    </tableColumn>
    <tableColumn id="19" xr3:uid="{5C048431-4A37-4DB3-B577-B289CD6C8B2C}" name="V.U Recepción Producto" dataDxfId="494" dataCellStyle="Normal 2 2">
      <calculatedColumnFormula>IFERROR(IF(I8="","",1-(W8/N8)),"")</calculatedColumnFormula>
    </tableColumn>
    <tableColumn id="20" xr3:uid="{8A8C3395-CDA3-426B-A329-3C18090D1D13}" name="COSTO UNIT base" dataDxfId="493" dataCellStyle="Moneda">
      <calculatedColumnFormula>+IFERROR(IF(MACHACHI[[#This Row],[CODIGO]]="","",VLOOKUP(MACHACHI[[#This Row],[CODIGO]],MAESTRO!A:BI,21,FALSE)),"")</calculatedColumnFormula>
    </tableColumn>
    <tableColumn id="21" xr3:uid="{A56B4C4C-9850-47B4-BA9A-023D39E55A0F}" name="COSTO UNIT Conv" dataDxfId="492" dataCellStyle="Moneda">
      <calculatedColumnFormula>+IFERROR(IF(MACHACHI[[#This Row],[CODIGO]]="","",Y8*MACHACHI[[#This Row],[Conversión]]),"")</calculatedColumnFormula>
    </tableColumn>
    <tableColumn id="22" xr3:uid="{AA0FD79A-DE2B-4B4D-A7DC-21CAF7C3C8DF}" name="COSTO TOTAL" dataDxfId="491" dataCellStyle="Moneda">
      <calculatedColumnFormula>+IFERROR(IF(MACHACHI[[#This Row],[CODIGO]]="","",MACHACHI[[#This Row],[COSTO UNIT Conv]]*MACHACHI[[#This Row],[Stock Actual Unds]]),"")</calculatedColumnFormula>
    </tableColumn>
    <tableColumn id="23" xr3:uid="{F3F8F308-F25A-47CF-AD9E-15B25217B17B}" name="DIAS DE ALMACENAMIENTO" dataDxfId="490" dataCellStyle="Normal 2 2">
      <calculatedColumnFormula>+IFERROR(IF(MACHACHI[[#This Row],[CODIGO]]="","",$J$3-O8),"")</calculatedColumnFormula>
    </tableColumn>
    <tableColumn id="24" xr3:uid="{84401A0F-9804-486E-BDD6-1E04A089A544}" name="STATUS" dataDxfId="489" dataCellStyle="Normal 2 2">
      <calculatedColumnFormula>IF(MACHACHI[[#This Row],[CODIGO]]="","",IF(S8&lt;=0,"CADUCADO",IF(AND(S8&gt;0,S8&lt;=21),"FECHA CORTA",IF(AND(S8&gt;=22,S8&lt;=26),"PROXIMOS FECHA CORTA", "VIGENTE"))))</calculatedColumnFormula>
    </tableColumn>
    <tableColumn id="28" xr3:uid="{DB72F129-5582-4D60-A332-C5302FEF117E}" name="TONELADAS" dataDxfId="488" dataCellStyle="Moneda">
      <calculatedColumnFormula>+IFERROR(IF(MACHACHI[[#This Row],[CODIGO]]="","",MACHACHI[[#This Row],[Stock Actual Unds]]*MACHACHI[[#This Row],[Gramaje]]*MACHACHI[[#This Row],[Conversión]]),"")/1000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1B3993B-0C2C-4DBA-9F47-C52053DB5940}" name="SNGABRIEL" displayName="SNGABRIEL" ref="A7:AD38" totalsRowShown="0" headerRowDxfId="487" headerRowBorderDxfId="486" tableBorderDxfId="485">
  <autoFilter ref="A7:AD38" xr:uid="{01B3993B-0C2C-4DBA-9F47-C52053DB5940}"/>
  <sortState xmlns:xlrd2="http://schemas.microsoft.com/office/spreadsheetml/2017/richdata2" ref="A8:AD38">
    <sortCondition ref="S7:S38"/>
  </sortState>
  <tableColumns count="30">
    <tableColumn id="1" xr3:uid="{831EB2A5-06F4-48DE-8F78-FFEA5C78CB74}" name="PLANTA" dataDxfId="484" totalsRowDxfId="483" dataCellStyle="Normal 2 2"/>
    <tableColumn id="2" xr3:uid="{AE7EC1C1-E560-4D00-9B96-EDB45596C2A7}" name="CATEGORIA" dataDxfId="482" totalsRowDxfId="481" dataCellStyle="Normal 2 2"/>
    <tableColumn id="3" xr3:uid="{D7DDCD79-4151-433D-BB91-E22CA9AEEDEA}" name="Responsable de Marca" dataDxfId="480" totalsRowDxfId="479" dataCellStyle="Normal 2 2"/>
    <tableColumn id="4" xr3:uid="{6D77FB4F-9CC7-4114-908B-EDC036C2B4E7}" name="MARCA" dataDxfId="478" totalsRowDxfId="477" dataCellStyle="Normal 2 2"/>
    <tableColumn id="5" xr3:uid="{AF7A319E-4CCF-4FB9-86BE-81B112F9531C}" name="FAMILIA" dataDxfId="476" totalsRowDxfId="475" dataCellStyle="Normal 2 2"/>
    <tableColumn id="27" xr3:uid="{73C75355-4B6E-4AEB-A1EC-F5FBC0AEE303}" name="SEDE" dataDxfId="474" totalsRowDxfId="473" dataCellStyle="Normal 2 2">
      <calculatedColumnFormula>IF(GUAYAQUIL[[#This Row],[CODIGO]]="","",$K$6)</calculatedColumnFormula>
    </tableColumn>
    <tableColumn id="30" xr3:uid="{B677034F-C83E-44E1-B024-3C8A669C6903}" name="CENTRO" dataDxfId="472" totalsRowDxfId="471" dataCellStyle="Normal 2 2">
      <calculatedColumnFormula>IF(SNGABRIEL[[#This Row],[CODIGO]]="","",7702)</calculatedColumnFormula>
    </tableColumn>
    <tableColumn id="29" xr3:uid="{703B59A9-807C-4B5A-91A5-B5581035310A}" name="ALMACEN" dataDxfId="470" totalsRowDxfId="469" dataCellStyle="Normal 2 2">
      <calculatedColumnFormula>IF(SNGABRIEL[[#This Row],[CODIGO]]="","",1001)</calculatedColumnFormula>
    </tableColumn>
    <tableColumn id="6" xr3:uid="{A89F98F3-B653-4D94-90B5-35FAFC621E19}" name="CODIGO" dataDxfId="468" totalsRowDxfId="467" dataCellStyle="Normal 2 2"/>
    <tableColumn id="7" xr3:uid="{FF3B1BA0-F5B1-46E2-9B5C-BEF8272D1260}" name="PRODUCTO" dataDxfId="466" totalsRowDxfId="465" dataCellStyle="Normal 2 2">
      <calculatedColumnFormula>IFERROR((VLOOKUP(SNGABRIEL[[#This Row],[CODIGO]],MAESTRO!A:B,2,FALSE)),"")</calculatedColumnFormula>
    </tableColumn>
    <tableColumn id="8" xr3:uid="{9F0B27ED-11E3-447D-8E31-47A5647C9810}" name="Cantidad Ingreso Bodega" dataDxfId="464" totalsRowDxfId="463" dataCellStyle="Millares"/>
    <tableColumn id="9" xr3:uid="{2A6BD4E2-F37C-4799-9A71-5C2BAAD52605}" name="Conversión" dataDxfId="462" totalsRowDxfId="461" dataCellStyle="Normal 2 2">
      <calculatedColumnFormula>+IFERROR(IF(SNGABRIEL[[#This Row],[CODIGO]]="","",VLOOKUP(SNGABRIEL[[#This Row],[CODIGO]],MAESTRO!$A:$BI,58,FALSE)),"")</calculatedColumnFormula>
    </tableColumn>
    <tableColumn id="25" xr3:uid="{B46E52CF-9CE5-49AC-8508-A880DAC51C36}" name="Gramaje" dataDxfId="460">
      <calculatedColumnFormula>IFERROR(IF(SNGABRIEL[[#This Row],[CODIGO]]="","",VLOOKUP(SNGABRIEL[[#This Row],[CODIGO]],MAESTRO!A:N,14,FALSE)),"")</calculatedColumnFormula>
    </tableColumn>
    <tableColumn id="10" xr3:uid="{DF09F8D8-4E34-4FF1-99C0-7E0C932E0D46}" name="VIDA UTIL (Días)" dataDxfId="459" totalsRowDxfId="458" dataCellStyle="Normal 2 2">
      <calculatedColumnFormula>+IFERROR(IF(SNGABRIEL[[#This Row],[CODIGO]]="","",VLOOKUP(SNGABRIEL[[#This Row],[CODIGO]],MAESTRO!A:P,16,FALSE)),"")</calculatedColumnFormula>
    </tableColumn>
    <tableColumn id="11" xr3:uid="{53EDA698-0E43-4CA0-A6A2-87050A656521}" name="Fecha de Ingreso" dataDxfId="457" totalsRowDxfId="456" dataCellStyle="Normal 2 2">
      <calculatedColumnFormula>+IFERROR(IF(SNGABRIEL[[#This Row],[CODIGO]]="","",SNGABRIEL[[#This Row],[Fecha Elab.]]),"")</calculatedColumnFormula>
    </tableColumn>
    <tableColumn id="12" xr3:uid="{21C386D5-F673-4CA1-884B-7FECD310C641}" name="Día Ingreso Bodega" dataDxfId="455" totalsRowDxfId="454" dataCellStyle="Normal 2 2">
      <calculatedColumnFormula>+IF(R8="","",TEXT(O8,"dddd"))</calculatedColumnFormula>
    </tableColumn>
    <tableColumn id="13" xr3:uid="{1FE6E095-9CC2-402C-B668-564300F655B6}" name="Fecha Elab." dataDxfId="453" totalsRowDxfId="452" dataCellStyle="Normal 2 2">
      <calculatedColumnFormula>IFERROR(IF(SNGABRIEL[[#This Row],[CODIGO]]="","",IF(SNGABRIEL[[#This Row],[Fecha Cad]]="","",(SNGABRIEL[[#This Row],[Fecha Cad]]-SNGABRIEL[[#This Row],[VIDA UTIL (Días)]]))+1),"")</calculatedColumnFormula>
    </tableColumn>
    <tableColumn id="14" xr3:uid="{DA79BEC4-F11E-4C82-915A-734500EDB126}" name="Fecha Cad" dataDxfId="451" totalsRowDxfId="450" dataCellStyle="Normal 2 2"/>
    <tableColumn id="15" xr3:uid="{890A7BE8-487B-4E52-912E-E988EA99E721}" name="# Días para Caducar" dataDxfId="449" totalsRowDxfId="448" dataCellStyle="Normal 2 2">
      <calculatedColumnFormula>+IFERROR(IF(R8="","",R8-$J$3),0)</calculatedColumnFormula>
    </tableColumn>
    <tableColumn id="16" xr3:uid="{E2716254-D2AF-4671-8556-3D51238C3B59}" name="V.U. Actual" dataDxfId="447" totalsRowDxfId="446" dataCellStyle="Normal 2 2">
      <calculatedColumnFormula>IFERROR(IF(8="","",S8/N8),0)</calculatedColumnFormula>
    </tableColumn>
    <tableColumn id="17" xr3:uid="{81722239-D9C7-4EB1-89BE-27638BDD8071}" name="Stock Actual Unds" dataDxfId="445" dataCellStyle="Millares"/>
    <tableColumn id="18" xr3:uid="{00D91DDF-4DD0-4C69-BF4F-D19F4E23CA9E}" name="Stock Actual Kgs" dataDxfId="444" totalsRowDxfId="443" dataCellStyle="Normal 2 2">
      <calculatedColumnFormula>+IFERROR(IF(SNGABRIEL[[#This Row],[CODIGO]]="","",SNGABRIEL[[#This Row],[Stock Actual Unds]]*SNGABRIEL[[#This Row],[Gramaje]]*SNGABRIEL[[#This Row],[Conversión]]),"")</calculatedColumnFormula>
    </tableColumn>
    <tableColumn id="19" xr3:uid="{EBC65592-D7E6-40F4-ACCE-A77F510618AD}" name="# DÍAS Recepción Producto" dataDxfId="442" totalsRowDxfId="441" dataCellStyle="Normal 2 2">
      <calculatedColumnFormula>+IFERROR(IF(SNGABRIEL[[#This Row],[CODIGO]]="","",SNGABRIEL[[#This Row],[Fecha de Ingreso]]-SNGABRIEL[[#This Row],[Fecha Elab.]]),"")</calculatedColumnFormula>
    </tableColumn>
    <tableColumn id="20" xr3:uid="{FC2DB97C-41B2-4E2A-A307-0407BB97B61E}" name="V.U Recepción Producto" dataDxfId="440" totalsRowDxfId="439" dataCellStyle="Porcentaje">
      <calculatedColumnFormula>IF(I8="","",1-(W8/N8))</calculatedColumnFormula>
    </tableColumn>
    <tableColumn id="21" xr3:uid="{D5D3F3D0-6EBA-4653-98BC-0599A8173B9E}" name="COSTO UNIT base" dataDxfId="438" totalsRowDxfId="437" dataCellStyle="Moneda">
      <calculatedColumnFormula>IFERROR(VLOOKUP(SNGABRIEL[[#This Row],[CODIGO]],MAESTRO!A:BI,21,FALSE),0)</calculatedColumnFormula>
    </tableColumn>
    <tableColumn id="22" xr3:uid="{522D3BCF-9A47-4F20-8AC4-16B354102698}" name="COSTO UNIT Conv" dataDxfId="436" totalsRowDxfId="435" dataCellStyle="Moneda">
      <calculatedColumnFormula>+IFERROR(IF(SNGABRIEL[[#This Row],[CODIGO]]="","",SNGABRIEL[[#This Row],[COSTO UNIT base]]*SNGABRIEL[[#This Row],[Conversión]]),"")</calculatedColumnFormula>
    </tableColumn>
    <tableColumn id="23" xr3:uid="{8728A807-D1B4-4ED3-86CD-0BA5D1409909}" name="COSTO TOTAL" dataDxfId="434" totalsRowDxfId="433" dataCellStyle="Normal 2 2">
      <calculatedColumnFormula>+IFERROR(IF(SNGABRIEL[[#This Row],[CODIGO]]="","",SNGABRIEL[[#This Row],[COSTO UNIT Conv]]*SNGABRIEL[[#This Row],[Stock Actual Kgs]]),"")</calculatedColumnFormula>
    </tableColumn>
    <tableColumn id="24" xr3:uid="{8B53E0CE-7E8B-4E0C-9C57-A86A01C0E1BE}" name="DIAS DE ALMACENAMIENTO" dataDxfId="432" totalsRowDxfId="431" dataCellStyle="Normal 2 2">
      <calculatedColumnFormula>+IFERROR(IF(SNGABRIEL[[#This Row],[CODIGO]]="","",$J$3-O9),"")</calculatedColumnFormula>
    </tableColumn>
    <tableColumn id="28" xr3:uid="{1EB55296-9290-40B2-9FD8-ADAFC4EB33FD}" name="STATUS" dataDxfId="430" totalsRowDxfId="429" dataCellStyle="Moneda">
      <calculatedColumnFormula>IF(SNGABRIEL[[#This Row],[CODIGO]]="","",IF(S8&lt;=0,"CADUCADO",IF(AND(S8&gt;0,S8&lt;=21),"FECHA CORTA",IF(AND(S8&gt;=22,S8&lt;=26),"PROXIMOS FECHA CORTA", "VIGENTE"))))</calculatedColumnFormula>
    </tableColumn>
    <tableColumn id="26" xr3:uid="{90587582-C097-4B5C-8A0E-E4D9D67D3EED}" name="TONELADAS" dataDxfId="428" totalsRowDxfId="427" dataCellStyle="Moneda">
      <calculatedColumnFormula>+IFERROR(IF(SNGABRIEL[[#This Row],[CODIGO]]="","",SNGABRIEL[[#This Row],[Stock Actual Unds]]*SNGABRIEL[[#This Row],[Gramaje]]*SNGABRIEL[[#This Row],[Conversión]]),"")/1000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7C5C38-401A-42B5-9195-7EBE5356AED5}" name="Tabla573" displayName="Tabla573" ref="A1:A4" totalsRowShown="0" dataDxfId="176" dataCellStyle="Normal 2 2">
  <autoFilter ref="A1:A4" xr:uid="{EBDEE662-0F8B-499A-8221-1B70098F4995}">
    <filterColumn colId="0" hiddenButton="1"/>
  </autoFilter>
  <tableColumns count="1">
    <tableColumn id="1" xr3:uid="{1B0FBCC6-65B9-469D-AF45-04D898E8958F}" name="NombreTablas" dataDxfId="175" dataCellStyle="Normal 2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microsoft.com/office/2007/relationships/slicer" Target="../slicers/slicer2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F3594-15E6-4874-A60A-2BA69E8551B5}">
  <sheetPr codeName="Hoja2">
    <tabColor theme="8" tint="0.59999389629810485"/>
  </sheetPr>
  <dimension ref="A1:BI2071"/>
  <sheetViews>
    <sheetView workbookViewId="0">
      <pane xSplit="4" ySplit="2" topLeftCell="N3" activePane="bottomRight" state="frozen"/>
      <selection pane="topRight" activeCell="E1" sqref="E1"/>
      <selection pane="bottomLeft" activeCell="A3" sqref="A3"/>
      <selection pane="bottomRight" activeCell="A188" sqref="A188"/>
    </sheetView>
  </sheetViews>
  <sheetFormatPr baseColWidth="10" defaultColWidth="11.453125" defaultRowHeight="14.5"/>
  <cols>
    <col min="1" max="1" width="9.90625" bestFit="1" customWidth="1"/>
    <col min="2" max="2" width="42.90625" bestFit="1" customWidth="1"/>
    <col min="3" max="3" width="7.453125" bestFit="1" customWidth="1"/>
    <col min="4" max="4" width="27.36328125" bestFit="1" customWidth="1"/>
    <col min="5" max="5" width="7.453125" bestFit="1" customWidth="1"/>
    <col min="6" max="6" width="41.7265625" bestFit="1" customWidth="1"/>
    <col min="7" max="7" width="13.26953125" bestFit="1" customWidth="1"/>
    <col min="8" max="8" width="8.7265625" bestFit="1" customWidth="1"/>
    <col min="9" max="9" width="14.1796875" bestFit="1" customWidth="1"/>
    <col min="10" max="10" width="20.08984375" bestFit="1" customWidth="1"/>
    <col min="11" max="11" width="17.6328125" bestFit="1" customWidth="1"/>
    <col min="12" max="12" width="12.08984375" bestFit="1" customWidth="1"/>
    <col min="13" max="13" width="17.08984375" bestFit="1" customWidth="1"/>
    <col min="14" max="14" width="10.1796875" bestFit="1" customWidth="1"/>
    <col min="15" max="15" width="15.1796875" bestFit="1" customWidth="1"/>
    <col min="16" max="16" width="7.90625" bestFit="1" customWidth="1"/>
    <col min="17" max="17" width="16.1796875" bestFit="1" customWidth="1"/>
    <col min="18" max="18" width="18.26953125" bestFit="1" customWidth="1"/>
    <col min="19" max="19" width="14.54296875" bestFit="1" customWidth="1"/>
    <col min="20" max="20" width="28.1796875" bestFit="1" customWidth="1"/>
    <col min="21" max="21" width="16.26953125" style="36" bestFit="1" customWidth="1"/>
    <col min="22" max="22" width="12.36328125" bestFit="1" customWidth="1"/>
    <col min="23" max="23" width="14.36328125" bestFit="1" customWidth="1"/>
    <col min="24" max="24" width="8.81640625" bestFit="1" customWidth="1"/>
    <col min="25" max="25" width="14.26953125" bestFit="1" customWidth="1"/>
    <col min="26" max="26" width="21.26953125" bestFit="1" customWidth="1"/>
    <col min="27" max="27" width="16.36328125" bestFit="1" customWidth="1"/>
    <col min="28" max="28" width="19.453125" bestFit="1" customWidth="1"/>
    <col min="29" max="29" width="11.81640625" bestFit="1" customWidth="1"/>
    <col min="30" max="30" width="13.26953125" bestFit="1" customWidth="1"/>
    <col min="31" max="31" width="18.1796875" bestFit="1" customWidth="1"/>
    <col min="32" max="32" width="41.7265625" bestFit="1" customWidth="1"/>
    <col min="33" max="33" width="26.90625" bestFit="1" customWidth="1"/>
    <col min="34" max="34" width="19.6328125" bestFit="1" customWidth="1"/>
    <col min="35" max="35" width="19.81640625" bestFit="1" customWidth="1"/>
    <col min="36" max="36" width="59.26953125" bestFit="1" customWidth="1"/>
    <col min="37" max="37" width="46.6328125" bestFit="1" customWidth="1"/>
    <col min="38" max="38" width="38.90625" bestFit="1" customWidth="1"/>
    <col min="39" max="41" width="21.1796875" bestFit="1" customWidth="1"/>
    <col min="42" max="42" width="26.54296875" bestFit="1" customWidth="1"/>
    <col min="43" max="45" width="22.54296875" bestFit="1" customWidth="1"/>
    <col min="46" max="48" width="25.08984375" bestFit="1" customWidth="1"/>
    <col min="49" max="49" width="21.7265625" bestFit="1" customWidth="1"/>
    <col min="50" max="50" width="21.54296875" bestFit="1" customWidth="1"/>
    <col min="51" max="51" width="15.36328125" bestFit="1" customWidth="1"/>
    <col min="52" max="52" width="12.1796875" bestFit="1" customWidth="1"/>
    <col min="53" max="53" width="25.54296875" bestFit="1" customWidth="1"/>
    <col min="54" max="54" width="13.1796875" bestFit="1" customWidth="1"/>
    <col min="55" max="55" width="15.90625" bestFit="1" customWidth="1"/>
    <col min="56" max="56" width="19.453125" bestFit="1" customWidth="1"/>
    <col min="57" max="57" width="11.6328125" bestFit="1" customWidth="1"/>
    <col min="58" max="58" width="6.54296875" bestFit="1" customWidth="1"/>
    <col min="59" max="59" width="11.54296875" bestFit="1" customWidth="1"/>
    <col min="60" max="60" width="15.54296875" bestFit="1" customWidth="1"/>
    <col min="61" max="61" width="55.26953125" bestFit="1" customWidth="1"/>
  </cols>
  <sheetData>
    <row r="1" spans="1:61">
      <c r="A1" s="164" t="s">
        <v>0</v>
      </c>
      <c r="B1">
        <v>2</v>
      </c>
      <c r="C1">
        <v>3</v>
      </c>
      <c r="D1">
        <v>4</v>
      </c>
      <c r="E1">
        <v>5</v>
      </c>
      <c r="F1" s="164" t="s">
        <v>1</v>
      </c>
      <c r="G1" s="164" t="s">
        <v>2</v>
      </c>
      <c r="H1">
        <v>7</v>
      </c>
      <c r="I1">
        <v>8</v>
      </c>
      <c r="J1">
        <v>9</v>
      </c>
      <c r="K1" s="164" t="s">
        <v>3</v>
      </c>
      <c r="L1">
        <v>10</v>
      </c>
      <c r="M1">
        <v>11</v>
      </c>
      <c r="N1">
        <v>12</v>
      </c>
      <c r="O1">
        <v>13</v>
      </c>
      <c r="P1" s="164" t="s">
        <v>4</v>
      </c>
      <c r="Q1">
        <v>14</v>
      </c>
      <c r="R1">
        <v>15</v>
      </c>
      <c r="S1">
        <v>16</v>
      </c>
      <c r="T1">
        <v>17</v>
      </c>
      <c r="U1" s="164" t="s">
        <v>5</v>
      </c>
      <c r="V1">
        <v>18</v>
      </c>
      <c r="W1">
        <v>19</v>
      </c>
      <c r="X1">
        <v>20</v>
      </c>
      <c r="Y1">
        <v>21</v>
      </c>
      <c r="Z1" s="164" t="s">
        <v>1</v>
      </c>
      <c r="AA1">
        <v>22</v>
      </c>
      <c r="AB1">
        <v>23</v>
      </c>
      <c r="AC1">
        <v>24</v>
      </c>
      <c r="AD1">
        <v>25</v>
      </c>
      <c r="AE1" s="164" t="s">
        <v>6</v>
      </c>
      <c r="AF1">
        <v>26</v>
      </c>
      <c r="AG1">
        <v>27</v>
      </c>
      <c r="AH1">
        <v>28</v>
      </c>
      <c r="AI1">
        <v>29</v>
      </c>
      <c r="AJ1" s="164" t="s">
        <v>7</v>
      </c>
      <c r="AK1">
        <v>30</v>
      </c>
      <c r="AL1">
        <v>31</v>
      </c>
      <c r="AM1">
        <v>32</v>
      </c>
      <c r="AN1">
        <v>33</v>
      </c>
      <c r="AO1" s="164" t="s">
        <v>8</v>
      </c>
      <c r="AP1">
        <v>34</v>
      </c>
      <c r="AQ1">
        <v>35</v>
      </c>
      <c r="AR1">
        <v>36</v>
      </c>
      <c r="AS1">
        <v>37</v>
      </c>
      <c r="AT1" s="164" t="s">
        <v>9</v>
      </c>
      <c r="AU1">
        <v>38</v>
      </c>
      <c r="AV1">
        <v>39</v>
      </c>
      <c r="AW1">
        <v>40</v>
      </c>
      <c r="AX1">
        <v>41</v>
      </c>
      <c r="AY1" s="164" t="s">
        <v>10</v>
      </c>
      <c r="AZ1">
        <v>42</v>
      </c>
      <c r="BA1">
        <v>43</v>
      </c>
      <c r="BB1">
        <v>44</v>
      </c>
      <c r="BC1">
        <v>45</v>
      </c>
      <c r="BD1" s="164" t="s">
        <v>11</v>
      </c>
      <c r="BE1">
        <v>46</v>
      </c>
      <c r="BF1">
        <v>58</v>
      </c>
      <c r="BG1">
        <v>48</v>
      </c>
      <c r="BH1">
        <v>49</v>
      </c>
      <c r="BI1" s="164" t="s">
        <v>12</v>
      </c>
    </row>
    <row r="2" spans="1:61">
      <c r="A2" s="164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s="36" t="s">
        <v>33</v>
      </c>
      <c r="V2" t="s">
        <v>34</v>
      </c>
      <c r="W2" t="s">
        <v>35</v>
      </c>
      <c r="X2" t="s">
        <v>36</v>
      </c>
      <c r="Y2" t="s">
        <v>37</v>
      </c>
      <c r="Z2" t="s">
        <v>38</v>
      </c>
      <c r="AA2" t="s">
        <v>39</v>
      </c>
      <c r="AB2" t="s">
        <v>40</v>
      </c>
      <c r="AC2" t="s">
        <v>41</v>
      </c>
      <c r="AD2" t="s">
        <v>42</v>
      </c>
      <c r="AE2" t="s">
        <v>43</v>
      </c>
      <c r="AF2" t="s">
        <v>44</v>
      </c>
      <c r="AG2" t="s">
        <v>45</v>
      </c>
      <c r="AH2" t="s">
        <v>46</v>
      </c>
      <c r="AI2" t="s">
        <v>47</v>
      </c>
      <c r="AJ2" t="s">
        <v>48</v>
      </c>
      <c r="AK2" t="s">
        <v>49</v>
      </c>
      <c r="AL2" t="s">
        <v>50</v>
      </c>
      <c r="AM2" t="s">
        <v>51</v>
      </c>
      <c r="AN2" t="s">
        <v>52</v>
      </c>
      <c r="AO2" t="s">
        <v>53</v>
      </c>
      <c r="AP2" t="s">
        <v>54</v>
      </c>
      <c r="AQ2" t="s">
        <v>55</v>
      </c>
      <c r="AR2" t="s">
        <v>56</v>
      </c>
      <c r="AS2" t="s">
        <v>57</v>
      </c>
      <c r="AT2" t="s">
        <v>58</v>
      </c>
      <c r="AU2" t="s">
        <v>59</v>
      </c>
      <c r="AV2" t="s">
        <v>60</v>
      </c>
      <c r="AW2" t="s">
        <v>61</v>
      </c>
      <c r="AX2" t="s">
        <v>62</v>
      </c>
      <c r="AY2" t="s">
        <v>63</v>
      </c>
      <c r="AZ2" t="s">
        <v>64</v>
      </c>
      <c r="BA2" t="s">
        <v>65</v>
      </c>
      <c r="BB2" t="s">
        <v>66</v>
      </c>
      <c r="BC2" t="s">
        <v>67</v>
      </c>
      <c r="BD2" t="s">
        <v>68</v>
      </c>
      <c r="BE2" t="s">
        <v>69</v>
      </c>
      <c r="BF2" t="s">
        <v>70</v>
      </c>
      <c r="BG2" t="s">
        <v>71</v>
      </c>
      <c r="BH2" t="s">
        <v>72</v>
      </c>
      <c r="BI2" t="s">
        <v>73</v>
      </c>
    </row>
    <row r="3" spans="1:61">
      <c r="A3" s="164" t="s">
        <v>74</v>
      </c>
      <c r="B3" t="s">
        <v>75</v>
      </c>
      <c r="C3">
        <v>0</v>
      </c>
      <c r="D3" t="s">
        <v>76</v>
      </c>
      <c r="E3">
        <v>0</v>
      </c>
      <c r="F3" t="s">
        <v>77</v>
      </c>
      <c r="G3" t="s">
        <v>78</v>
      </c>
      <c r="H3" t="s">
        <v>79</v>
      </c>
      <c r="I3" t="s">
        <v>80</v>
      </c>
      <c r="J3" t="s">
        <v>81</v>
      </c>
      <c r="K3" t="s">
        <v>82</v>
      </c>
      <c r="L3" t="s">
        <v>83</v>
      </c>
      <c r="M3" t="s">
        <v>84</v>
      </c>
      <c r="N3">
        <v>0.16500000000000001</v>
      </c>
      <c r="O3" t="b">
        <v>1</v>
      </c>
      <c r="P3">
        <v>45</v>
      </c>
      <c r="Q3" t="s">
        <v>85</v>
      </c>
      <c r="R3" t="s">
        <v>86</v>
      </c>
      <c r="S3">
        <v>0.14499999999999999</v>
      </c>
      <c r="T3">
        <v>0.87878787878787867</v>
      </c>
      <c r="U3" s="36">
        <v>0.35993999999999998</v>
      </c>
      <c r="V3" t="s">
        <v>87</v>
      </c>
      <c r="W3">
        <v>150</v>
      </c>
      <c r="X3">
        <v>0.45</v>
      </c>
      <c r="Y3">
        <v>60</v>
      </c>
      <c r="Z3">
        <v>1.6666666666666666E-2</v>
      </c>
      <c r="AA3">
        <v>30</v>
      </c>
      <c r="AB3">
        <v>0</v>
      </c>
      <c r="AC3">
        <v>500</v>
      </c>
      <c r="AD3">
        <v>3448.2758620689656</v>
      </c>
      <c r="AE3" t="s">
        <v>88</v>
      </c>
      <c r="AF3" t="s">
        <v>89</v>
      </c>
      <c r="AG3" t="s">
        <v>90</v>
      </c>
      <c r="AH3">
        <v>0</v>
      </c>
      <c r="AI3">
        <v>1</v>
      </c>
      <c r="AJ3" t="s">
        <v>91</v>
      </c>
      <c r="AK3" t="s">
        <v>92</v>
      </c>
      <c r="AL3" t="s">
        <v>93</v>
      </c>
      <c r="AM3">
        <v>0.33631111111111106</v>
      </c>
      <c r="AN3">
        <v>0.22420740740740738</v>
      </c>
      <c r="AO3">
        <v>0.34752148148148143</v>
      </c>
      <c r="AP3">
        <v>0</v>
      </c>
      <c r="AQ3">
        <v>8.6691086691086688E-2</v>
      </c>
      <c r="AR3">
        <v>2.6666666666666505E-3</v>
      </c>
      <c r="AS3">
        <v>0</v>
      </c>
      <c r="AT3">
        <v>1.0866910866910866</v>
      </c>
      <c r="AU3">
        <v>1.0026666666666666</v>
      </c>
      <c r="AV3">
        <v>1</v>
      </c>
      <c r="AW3">
        <v>0</v>
      </c>
      <c r="AZ3">
        <v>2</v>
      </c>
      <c r="BA3" t="s">
        <v>94</v>
      </c>
      <c r="BB3">
        <v>0.77</v>
      </c>
      <c r="BC3" t="s">
        <v>95</v>
      </c>
      <c r="BD3" t="s">
        <v>96</v>
      </c>
      <c r="BE3" t="s">
        <v>97</v>
      </c>
      <c r="BF3">
        <v>1</v>
      </c>
      <c r="BG3">
        <v>0</v>
      </c>
      <c r="BH3">
        <v>0</v>
      </c>
      <c r="BI3" t="s">
        <v>98</v>
      </c>
    </row>
    <row r="4" spans="1:61">
      <c r="A4" s="164" t="s">
        <v>99</v>
      </c>
      <c r="B4" t="s">
        <v>100</v>
      </c>
      <c r="C4">
        <v>0</v>
      </c>
      <c r="D4" t="s">
        <v>101</v>
      </c>
      <c r="F4" t="s">
        <v>102</v>
      </c>
      <c r="G4" t="s">
        <v>103</v>
      </c>
      <c r="H4" t="s">
        <v>104</v>
      </c>
      <c r="I4" t="s">
        <v>80</v>
      </c>
      <c r="J4" t="s">
        <v>81</v>
      </c>
      <c r="K4" t="s">
        <v>82</v>
      </c>
      <c r="L4" t="s">
        <v>83</v>
      </c>
      <c r="M4" t="s">
        <v>84</v>
      </c>
      <c r="O4" t="b">
        <v>0</v>
      </c>
      <c r="Q4" t="s">
        <v>85</v>
      </c>
      <c r="AI4">
        <v>0</v>
      </c>
      <c r="BB4">
        <v>0</v>
      </c>
      <c r="BC4" t="s">
        <v>95</v>
      </c>
      <c r="BD4" t="s">
        <v>96</v>
      </c>
      <c r="BE4" t="s">
        <v>97</v>
      </c>
      <c r="BF4">
        <v>0</v>
      </c>
      <c r="BG4">
        <v>0</v>
      </c>
      <c r="BH4">
        <v>0</v>
      </c>
      <c r="BI4" t="s">
        <v>98</v>
      </c>
    </row>
    <row r="5" spans="1:61">
      <c r="A5" s="164" t="s">
        <v>105</v>
      </c>
      <c r="B5" t="s">
        <v>106</v>
      </c>
      <c r="C5">
        <v>0</v>
      </c>
      <c r="D5" t="s">
        <v>107</v>
      </c>
      <c r="E5">
        <v>0</v>
      </c>
      <c r="F5" t="s">
        <v>108</v>
      </c>
      <c r="G5" t="s">
        <v>103</v>
      </c>
      <c r="H5" t="s">
        <v>104</v>
      </c>
      <c r="I5" t="s">
        <v>80</v>
      </c>
      <c r="J5" t="s">
        <v>109</v>
      </c>
      <c r="K5" t="s">
        <v>110</v>
      </c>
      <c r="L5" t="s">
        <v>111</v>
      </c>
      <c r="M5" t="s">
        <v>84</v>
      </c>
      <c r="N5">
        <v>0.9</v>
      </c>
      <c r="O5" t="b">
        <v>1</v>
      </c>
      <c r="P5">
        <v>45</v>
      </c>
      <c r="Q5" t="s">
        <v>85</v>
      </c>
      <c r="R5" t="s">
        <v>86</v>
      </c>
      <c r="S5">
        <v>0.9</v>
      </c>
      <c r="T5">
        <v>1</v>
      </c>
      <c r="V5" t="s">
        <v>87</v>
      </c>
      <c r="W5">
        <v>34</v>
      </c>
      <c r="X5">
        <v>0.62562499999999999</v>
      </c>
      <c r="Y5">
        <v>0</v>
      </c>
      <c r="Z5">
        <v>6.6666666666666666E-2</v>
      </c>
      <c r="AA5">
        <v>60</v>
      </c>
      <c r="AB5">
        <v>0</v>
      </c>
      <c r="AC5">
        <v>500</v>
      </c>
      <c r="AD5">
        <v>555.55555555555554</v>
      </c>
      <c r="AE5" t="s">
        <v>112</v>
      </c>
      <c r="AF5" t="s">
        <v>113</v>
      </c>
      <c r="AG5" t="s">
        <v>114</v>
      </c>
      <c r="AH5">
        <v>0</v>
      </c>
      <c r="AI5">
        <v>0</v>
      </c>
      <c r="AJ5" t="s">
        <v>91</v>
      </c>
      <c r="AK5" t="s">
        <v>92</v>
      </c>
      <c r="AL5" t="s">
        <v>93</v>
      </c>
      <c r="AM5">
        <v>0.34043629629629629</v>
      </c>
      <c r="AN5">
        <v>0.22695753086419751</v>
      </c>
      <c r="AO5">
        <v>0.35178417283950614</v>
      </c>
      <c r="AP5">
        <v>0</v>
      </c>
      <c r="AQ5">
        <v>8.6691086691086688E-2</v>
      </c>
      <c r="AR5">
        <v>2.6666666666666505E-3</v>
      </c>
      <c r="AS5">
        <v>0</v>
      </c>
      <c r="AT5">
        <v>1.0866910866910866</v>
      </c>
      <c r="AU5">
        <v>1.0026666666666666</v>
      </c>
      <c r="AV5">
        <v>1</v>
      </c>
      <c r="AY5">
        <v>0</v>
      </c>
      <c r="AZ5">
        <v>4</v>
      </c>
      <c r="BA5" t="s">
        <v>94</v>
      </c>
      <c r="BB5">
        <v>0</v>
      </c>
      <c r="BC5" t="s">
        <v>115</v>
      </c>
      <c r="BD5" t="s">
        <v>116</v>
      </c>
      <c r="BE5" t="s">
        <v>117</v>
      </c>
      <c r="BF5">
        <v>0</v>
      </c>
      <c r="BG5">
        <v>0</v>
      </c>
      <c r="BH5">
        <v>0</v>
      </c>
      <c r="BI5" t="s">
        <v>98</v>
      </c>
    </row>
    <row r="6" spans="1:61">
      <c r="A6" s="164" t="s">
        <v>118</v>
      </c>
      <c r="B6" t="s">
        <v>119</v>
      </c>
      <c r="C6">
        <v>0</v>
      </c>
      <c r="D6" t="s">
        <v>107</v>
      </c>
      <c r="E6">
        <v>0</v>
      </c>
      <c r="F6" t="s">
        <v>120</v>
      </c>
      <c r="G6" t="s">
        <v>78</v>
      </c>
      <c r="H6" t="s">
        <v>79</v>
      </c>
      <c r="I6" t="s">
        <v>80</v>
      </c>
      <c r="J6" t="s">
        <v>81</v>
      </c>
      <c r="K6" t="s">
        <v>82</v>
      </c>
      <c r="L6" t="s">
        <v>83</v>
      </c>
      <c r="M6" t="s">
        <v>84</v>
      </c>
      <c r="N6">
        <v>0.12</v>
      </c>
      <c r="O6" t="b">
        <v>1</v>
      </c>
      <c r="P6">
        <v>45</v>
      </c>
      <c r="Q6" t="s">
        <v>85</v>
      </c>
      <c r="S6">
        <v>0.48</v>
      </c>
      <c r="U6" s="36">
        <v>1.6781600000000001</v>
      </c>
      <c r="V6" t="s">
        <v>87</v>
      </c>
      <c r="AF6" t="s">
        <v>121</v>
      </c>
      <c r="AI6">
        <v>0.9</v>
      </c>
      <c r="AZ6">
        <v>0</v>
      </c>
      <c r="BA6" t="s">
        <v>94</v>
      </c>
      <c r="BB6">
        <v>0</v>
      </c>
      <c r="BC6" t="s">
        <v>95</v>
      </c>
      <c r="BD6" t="s">
        <v>96</v>
      </c>
      <c r="BE6" t="s">
        <v>97</v>
      </c>
      <c r="BF6">
        <v>1</v>
      </c>
      <c r="BG6">
        <v>0</v>
      </c>
      <c r="BH6">
        <v>0</v>
      </c>
      <c r="BI6" t="s">
        <v>98</v>
      </c>
    </row>
    <row r="7" spans="1:61">
      <c r="A7" s="164" t="s">
        <v>122</v>
      </c>
      <c r="B7" t="s">
        <v>123</v>
      </c>
      <c r="C7">
        <v>0</v>
      </c>
      <c r="D7" t="s">
        <v>124</v>
      </c>
      <c r="E7">
        <v>0</v>
      </c>
      <c r="F7" t="s">
        <v>125</v>
      </c>
      <c r="G7" t="s">
        <v>103</v>
      </c>
      <c r="H7" t="s">
        <v>104</v>
      </c>
      <c r="I7" t="s">
        <v>126</v>
      </c>
      <c r="J7" t="s">
        <v>127</v>
      </c>
      <c r="K7" t="s">
        <v>82</v>
      </c>
      <c r="L7" t="s">
        <v>83</v>
      </c>
      <c r="M7" t="s">
        <v>84</v>
      </c>
      <c r="N7">
        <v>0.25</v>
      </c>
      <c r="O7" t="b">
        <v>1</v>
      </c>
      <c r="P7">
        <v>180</v>
      </c>
      <c r="Q7" t="s">
        <v>85</v>
      </c>
      <c r="R7" t="s">
        <v>128</v>
      </c>
      <c r="S7">
        <v>0</v>
      </c>
      <c r="T7">
        <v>1</v>
      </c>
      <c r="V7" t="s">
        <v>87</v>
      </c>
      <c r="W7">
        <v>0</v>
      </c>
      <c r="X7">
        <v>0</v>
      </c>
      <c r="Y7">
        <v>48</v>
      </c>
      <c r="Z7">
        <v>2.0833333333333332E-2</v>
      </c>
      <c r="AA7">
        <v>56</v>
      </c>
      <c r="AB7">
        <v>0</v>
      </c>
      <c r="AC7">
        <v>0</v>
      </c>
      <c r="AD7">
        <v>0</v>
      </c>
      <c r="AG7" t="s">
        <v>129</v>
      </c>
      <c r="AH7">
        <v>0</v>
      </c>
      <c r="AI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t="s">
        <v>130</v>
      </c>
      <c r="AY7">
        <v>0</v>
      </c>
      <c r="AZ7">
        <v>0</v>
      </c>
      <c r="BA7" t="s">
        <v>94</v>
      </c>
      <c r="BB7">
        <v>0</v>
      </c>
      <c r="BC7" t="s">
        <v>95</v>
      </c>
      <c r="BD7" t="s">
        <v>96</v>
      </c>
      <c r="BE7" t="s">
        <v>97</v>
      </c>
      <c r="BF7">
        <v>0</v>
      </c>
      <c r="BG7">
        <v>0</v>
      </c>
      <c r="BH7">
        <v>0</v>
      </c>
      <c r="BI7" t="s">
        <v>98</v>
      </c>
    </row>
    <row r="8" spans="1:61">
      <c r="A8" s="164" t="s">
        <v>131</v>
      </c>
      <c r="B8" t="s">
        <v>132</v>
      </c>
      <c r="C8">
        <v>0</v>
      </c>
      <c r="D8" t="s">
        <v>133</v>
      </c>
      <c r="E8">
        <v>0</v>
      </c>
      <c r="F8" t="s">
        <v>134</v>
      </c>
      <c r="G8" t="s">
        <v>103</v>
      </c>
      <c r="H8" t="s">
        <v>104</v>
      </c>
      <c r="I8" t="s">
        <v>135</v>
      </c>
      <c r="J8" t="s">
        <v>136</v>
      </c>
      <c r="K8" t="s">
        <v>82</v>
      </c>
      <c r="L8" t="s">
        <v>83</v>
      </c>
      <c r="M8" t="s">
        <v>84</v>
      </c>
      <c r="N8">
        <v>0.25</v>
      </c>
      <c r="O8" t="b">
        <v>0</v>
      </c>
      <c r="P8">
        <v>180</v>
      </c>
      <c r="Q8" t="s">
        <v>137</v>
      </c>
      <c r="S8">
        <v>0</v>
      </c>
      <c r="T8">
        <v>1</v>
      </c>
      <c r="V8" t="s">
        <v>87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G8" t="s">
        <v>129</v>
      </c>
      <c r="AH8">
        <v>0</v>
      </c>
      <c r="AI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Y8">
        <v>0</v>
      </c>
      <c r="AZ8">
        <v>3</v>
      </c>
      <c r="BA8" t="s">
        <v>138</v>
      </c>
      <c r="BB8">
        <v>0</v>
      </c>
      <c r="BC8" t="s">
        <v>95</v>
      </c>
      <c r="BD8" t="s">
        <v>139</v>
      </c>
      <c r="BE8" t="s">
        <v>97</v>
      </c>
      <c r="BF8">
        <v>0</v>
      </c>
      <c r="BG8">
        <v>0</v>
      </c>
      <c r="BH8">
        <v>0</v>
      </c>
      <c r="BI8" t="s">
        <v>98</v>
      </c>
    </row>
    <row r="9" spans="1:61">
      <c r="A9" s="164" t="s">
        <v>140</v>
      </c>
      <c r="B9" t="s">
        <v>141</v>
      </c>
      <c r="C9">
        <v>0</v>
      </c>
      <c r="D9" t="s">
        <v>76</v>
      </c>
      <c r="E9">
        <v>0</v>
      </c>
      <c r="F9" t="s">
        <v>142</v>
      </c>
      <c r="G9" t="s">
        <v>103</v>
      </c>
      <c r="H9" t="s">
        <v>104</v>
      </c>
      <c r="I9" t="s">
        <v>80</v>
      </c>
      <c r="J9" t="s">
        <v>81</v>
      </c>
      <c r="K9" t="s">
        <v>82</v>
      </c>
      <c r="L9" t="s">
        <v>83</v>
      </c>
      <c r="M9" t="s">
        <v>84</v>
      </c>
      <c r="N9">
        <v>0.18</v>
      </c>
      <c r="O9" t="b">
        <v>1</v>
      </c>
      <c r="P9">
        <v>45</v>
      </c>
      <c r="Q9" t="s">
        <v>85</v>
      </c>
      <c r="R9" t="s">
        <v>86</v>
      </c>
      <c r="S9">
        <v>0.18</v>
      </c>
      <c r="T9">
        <v>1</v>
      </c>
      <c r="U9" s="36">
        <v>0.3075</v>
      </c>
      <c r="V9" t="s">
        <v>87</v>
      </c>
      <c r="W9">
        <v>125</v>
      </c>
      <c r="X9">
        <v>0.38897500000000002</v>
      </c>
      <c r="Y9">
        <v>108</v>
      </c>
      <c r="Z9">
        <v>9.2592592592592587E-3</v>
      </c>
      <c r="AA9">
        <v>30</v>
      </c>
      <c r="AB9">
        <v>0</v>
      </c>
      <c r="AC9">
        <v>500</v>
      </c>
      <c r="AD9">
        <v>2777.7777777777778</v>
      </c>
      <c r="AE9" t="s">
        <v>143</v>
      </c>
      <c r="AF9" t="s">
        <v>89</v>
      </c>
      <c r="AG9" t="s">
        <v>90</v>
      </c>
      <c r="AH9">
        <v>0</v>
      </c>
      <c r="AI9">
        <v>1</v>
      </c>
      <c r="AJ9" t="s">
        <v>91</v>
      </c>
      <c r="AK9" t="s">
        <v>92</v>
      </c>
      <c r="AL9" t="s">
        <v>93</v>
      </c>
      <c r="AM9">
        <v>0.98220000000000007</v>
      </c>
      <c r="AN9">
        <v>0</v>
      </c>
      <c r="AO9">
        <v>0</v>
      </c>
      <c r="AP9">
        <v>0</v>
      </c>
      <c r="AQ9">
        <v>8.6691086691086688E-2</v>
      </c>
      <c r="AR9">
        <v>2.6666666666666505E-3</v>
      </c>
      <c r="AS9">
        <v>0</v>
      </c>
      <c r="AT9">
        <v>1.0866910866910866</v>
      </c>
      <c r="AU9">
        <v>1.0026666666666666</v>
      </c>
      <c r="AV9">
        <v>1</v>
      </c>
      <c r="AW9">
        <v>0</v>
      </c>
      <c r="AX9" t="s">
        <v>144</v>
      </c>
      <c r="AY9">
        <v>16.5</v>
      </c>
      <c r="AZ9">
        <v>5</v>
      </c>
      <c r="BA9" t="s">
        <v>94</v>
      </c>
      <c r="BB9">
        <v>0.77</v>
      </c>
      <c r="BC9" t="s">
        <v>95</v>
      </c>
      <c r="BD9" t="s">
        <v>96</v>
      </c>
      <c r="BE9" t="s">
        <v>97</v>
      </c>
      <c r="BF9">
        <v>0</v>
      </c>
      <c r="BG9">
        <v>0</v>
      </c>
      <c r="BH9">
        <v>0</v>
      </c>
      <c r="BI9" t="s">
        <v>98</v>
      </c>
    </row>
    <row r="10" spans="1:61">
      <c r="A10" s="164" t="s">
        <v>145</v>
      </c>
      <c r="B10" t="s">
        <v>146</v>
      </c>
      <c r="C10">
        <v>0</v>
      </c>
      <c r="D10" t="s">
        <v>147</v>
      </c>
      <c r="E10">
        <v>0</v>
      </c>
      <c r="F10" t="s">
        <v>148</v>
      </c>
      <c r="G10" t="s">
        <v>78</v>
      </c>
      <c r="H10" t="s">
        <v>79</v>
      </c>
      <c r="I10" t="s">
        <v>80</v>
      </c>
      <c r="J10" t="s">
        <v>81</v>
      </c>
      <c r="K10" t="s">
        <v>82</v>
      </c>
      <c r="L10" t="s">
        <v>83</v>
      </c>
      <c r="M10" t="s">
        <v>84</v>
      </c>
      <c r="N10">
        <v>0.18</v>
      </c>
      <c r="O10" t="b">
        <v>1</v>
      </c>
      <c r="P10">
        <v>45</v>
      </c>
      <c r="Q10" t="s">
        <v>85</v>
      </c>
      <c r="R10" t="s">
        <v>86</v>
      </c>
      <c r="S10">
        <v>0.18</v>
      </c>
      <c r="T10">
        <v>1</v>
      </c>
      <c r="U10" s="36">
        <v>0.28561000000000003</v>
      </c>
      <c r="V10" t="s">
        <v>87</v>
      </c>
      <c r="W10">
        <v>125</v>
      </c>
      <c r="X10">
        <v>0.38897500000000002</v>
      </c>
      <c r="Y10">
        <v>108</v>
      </c>
      <c r="Z10">
        <v>9.2592592592592587E-3</v>
      </c>
      <c r="AA10">
        <v>30</v>
      </c>
      <c r="AB10">
        <v>0</v>
      </c>
      <c r="AC10">
        <v>515</v>
      </c>
      <c r="AD10">
        <v>2861.1111111111113</v>
      </c>
      <c r="AE10" t="s">
        <v>143</v>
      </c>
      <c r="AF10" t="s">
        <v>149</v>
      </c>
      <c r="AG10" t="s">
        <v>150</v>
      </c>
      <c r="AH10">
        <v>0</v>
      </c>
      <c r="AI10">
        <v>1</v>
      </c>
      <c r="AJ10" t="s">
        <v>91</v>
      </c>
      <c r="AK10" t="s">
        <v>92</v>
      </c>
      <c r="AL10" t="s">
        <v>93</v>
      </c>
      <c r="AM10">
        <v>0.96764899999999998</v>
      </c>
      <c r="AN10">
        <v>0</v>
      </c>
      <c r="AO10">
        <v>0</v>
      </c>
      <c r="AP10">
        <v>0</v>
      </c>
      <c r="AQ10">
        <v>8.6691086691086688E-2</v>
      </c>
      <c r="AR10">
        <v>2.6666666666666505E-3</v>
      </c>
      <c r="AS10">
        <v>0</v>
      </c>
      <c r="AT10">
        <v>1.0866910866910866</v>
      </c>
      <c r="AU10">
        <v>1.0026666666666666</v>
      </c>
      <c r="AV10">
        <v>1</v>
      </c>
      <c r="AW10">
        <v>0</v>
      </c>
      <c r="AX10" t="s">
        <v>151</v>
      </c>
      <c r="AY10">
        <v>16.5</v>
      </c>
      <c r="AZ10">
        <v>4</v>
      </c>
      <c r="BA10" t="s">
        <v>94</v>
      </c>
      <c r="BB10">
        <v>0.77</v>
      </c>
      <c r="BC10" t="s">
        <v>95</v>
      </c>
      <c r="BD10" t="s">
        <v>96</v>
      </c>
      <c r="BE10" t="s">
        <v>97</v>
      </c>
      <c r="BF10">
        <v>1</v>
      </c>
      <c r="BG10">
        <v>0</v>
      </c>
      <c r="BH10">
        <v>0</v>
      </c>
      <c r="BI10" t="s">
        <v>98</v>
      </c>
    </row>
    <row r="11" spans="1:61">
      <c r="A11" s="164" t="s">
        <v>152</v>
      </c>
      <c r="B11" t="s">
        <v>153</v>
      </c>
      <c r="C11">
        <v>0</v>
      </c>
      <c r="D11" t="s">
        <v>147</v>
      </c>
      <c r="E11">
        <v>0</v>
      </c>
      <c r="F11" t="s">
        <v>154</v>
      </c>
      <c r="G11" t="s">
        <v>78</v>
      </c>
      <c r="H11" t="s">
        <v>79</v>
      </c>
      <c r="I11" t="s">
        <v>80</v>
      </c>
      <c r="J11" t="s">
        <v>81</v>
      </c>
      <c r="K11" t="s">
        <v>82</v>
      </c>
      <c r="L11" t="s">
        <v>83</v>
      </c>
      <c r="M11" t="s">
        <v>84</v>
      </c>
      <c r="N11">
        <v>1.75</v>
      </c>
      <c r="O11" t="b">
        <v>1</v>
      </c>
      <c r="P11">
        <v>45</v>
      </c>
      <c r="Q11" t="s">
        <v>85</v>
      </c>
      <c r="R11" t="s">
        <v>86</v>
      </c>
      <c r="S11">
        <v>1.75</v>
      </c>
      <c r="T11">
        <v>1</v>
      </c>
      <c r="U11" s="36">
        <v>2.20458</v>
      </c>
      <c r="V11" t="s">
        <v>87</v>
      </c>
      <c r="W11">
        <v>24</v>
      </c>
      <c r="X11">
        <v>0.45019999999999999</v>
      </c>
      <c r="Y11">
        <v>12</v>
      </c>
      <c r="Z11">
        <v>8.3333333333333329E-2</v>
      </c>
      <c r="AA11">
        <v>30</v>
      </c>
      <c r="AB11">
        <v>0</v>
      </c>
      <c r="AC11">
        <v>500</v>
      </c>
      <c r="AD11">
        <v>285.71428571428572</v>
      </c>
      <c r="AE11" t="s">
        <v>155</v>
      </c>
      <c r="AF11" t="s">
        <v>156</v>
      </c>
      <c r="AG11" t="s">
        <v>157</v>
      </c>
      <c r="AH11">
        <v>0</v>
      </c>
      <c r="AI11">
        <v>0.9</v>
      </c>
      <c r="AJ11" t="s">
        <v>91</v>
      </c>
      <c r="AK11" t="s">
        <v>92</v>
      </c>
      <c r="AL11" t="s">
        <v>93</v>
      </c>
      <c r="AM11">
        <v>0.33553925925925926</v>
      </c>
      <c r="AN11">
        <v>0.22369283950617286</v>
      </c>
      <c r="AO11">
        <v>0.34672390123456792</v>
      </c>
      <c r="AP11">
        <v>0</v>
      </c>
      <c r="AQ11">
        <v>8.6691086691086688E-2</v>
      </c>
      <c r="AR11">
        <v>2.6666666666666505E-3</v>
      </c>
      <c r="AS11">
        <v>0</v>
      </c>
      <c r="AT11">
        <v>1.0866910866910866</v>
      </c>
      <c r="AU11">
        <v>1.0026666666666666</v>
      </c>
      <c r="AV11">
        <v>1</v>
      </c>
      <c r="AW11">
        <v>0</v>
      </c>
      <c r="AX11" t="s">
        <v>158</v>
      </c>
      <c r="AY11">
        <v>83.4</v>
      </c>
      <c r="AZ11">
        <v>0</v>
      </c>
      <c r="BA11" t="s">
        <v>94</v>
      </c>
      <c r="BB11">
        <v>4.9400000000000004</v>
      </c>
      <c r="BC11" t="s">
        <v>95</v>
      </c>
      <c r="BD11" t="s">
        <v>96</v>
      </c>
      <c r="BE11" t="s">
        <v>97</v>
      </c>
      <c r="BF11">
        <v>1</v>
      </c>
      <c r="BG11">
        <v>0</v>
      </c>
      <c r="BH11">
        <v>0</v>
      </c>
      <c r="BI11" t="s">
        <v>98</v>
      </c>
    </row>
    <row r="12" spans="1:61">
      <c r="A12" s="164" t="s">
        <v>159</v>
      </c>
      <c r="B12" t="s">
        <v>160</v>
      </c>
      <c r="C12">
        <v>0</v>
      </c>
      <c r="D12" t="s">
        <v>161</v>
      </c>
      <c r="E12">
        <v>0</v>
      </c>
      <c r="F12" t="s">
        <v>162</v>
      </c>
      <c r="G12" t="s">
        <v>78</v>
      </c>
      <c r="H12" t="s">
        <v>79</v>
      </c>
      <c r="I12" t="s">
        <v>80</v>
      </c>
      <c r="J12" t="s">
        <v>163</v>
      </c>
      <c r="K12" t="s">
        <v>82</v>
      </c>
      <c r="L12" t="s">
        <v>83</v>
      </c>
      <c r="M12" t="s">
        <v>84</v>
      </c>
      <c r="N12">
        <v>0.45</v>
      </c>
      <c r="O12" t="b">
        <v>1</v>
      </c>
      <c r="P12">
        <v>35</v>
      </c>
      <c r="Q12" t="s">
        <v>137</v>
      </c>
      <c r="R12" t="s">
        <v>164</v>
      </c>
      <c r="S12">
        <v>0.45</v>
      </c>
      <c r="T12">
        <v>1</v>
      </c>
      <c r="U12" s="36">
        <v>1.1964000000000001</v>
      </c>
      <c r="V12" t="s">
        <v>165</v>
      </c>
      <c r="W12">
        <v>55</v>
      </c>
      <c r="X12">
        <v>0</v>
      </c>
      <c r="Y12">
        <v>45</v>
      </c>
      <c r="Z12">
        <v>0</v>
      </c>
      <c r="AA12">
        <v>35</v>
      </c>
      <c r="AB12">
        <v>0</v>
      </c>
      <c r="AC12">
        <v>0</v>
      </c>
      <c r="AD12">
        <v>400</v>
      </c>
      <c r="AE12" t="s">
        <v>166</v>
      </c>
      <c r="AF12" t="s">
        <v>162</v>
      </c>
      <c r="AG12" t="s">
        <v>129</v>
      </c>
      <c r="AH12">
        <v>0</v>
      </c>
      <c r="AI12">
        <v>2.1</v>
      </c>
      <c r="AJ12" t="s">
        <v>167</v>
      </c>
      <c r="AM12">
        <v>2.11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0.33</v>
      </c>
      <c r="AX12" t="s">
        <v>168</v>
      </c>
      <c r="AY12">
        <v>4.2363</v>
      </c>
      <c r="AZ12">
        <v>7</v>
      </c>
      <c r="BA12" t="s">
        <v>138</v>
      </c>
      <c r="BB12">
        <v>2.39</v>
      </c>
      <c r="BC12" t="s">
        <v>95</v>
      </c>
      <c r="BD12" t="s">
        <v>96</v>
      </c>
      <c r="BE12" t="s">
        <v>97</v>
      </c>
      <c r="BF12">
        <v>1</v>
      </c>
      <c r="BG12">
        <v>0</v>
      </c>
      <c r="BH12">
        <v>0</v>
      </c>
      <c r="BI12" t="s">
        <v>98</v>
      </c>
    </row>
    <row r="13" spans="1:61">
      <c r="A13" s="164" t="s">
        <v>169</v>
      </c>
      <c r="B13" t="s">
        <v>170</v>
      </c>
      <c r="C13">
        <v>0</v>
      </c>
      <c r="D13" t="s">
        <v>161</v>
      </c>
      <c r="E13">
        <v>0</v>
      </c>
      <c r="F13" t="s">
        <v>171</v>
      </c>
      <c r="G13" t="s">
        <v>78</v>
      </c>
      <c r="H13" t="s">
        <v>79</v>
      </c>
      <c r="I13" t="s">
        <v>80</v>
      </c>
      <c r="J13" t="s">
        <v>163</v>
      </c>
      <c r="K13" t="s">
        <v>82</v>
      </c>
      <c r="L13" t="s">
        <v>83</v>
      </c>
      <c r="M13" t="s">
        <v>84</v>
      </c>
      <c r="N13">
        <v>0.45</v>
      </c>
      <c r="O13" t="b">
        <v>1</v>
      </c>
      <c r="P13">
        <v>45</v>
      </c>
      <c r="Q13" t="s">
        <v>137</v>
      </c>
      <c r="R13" t="s">
        <v>164</v>
      </c>
      <c r="S13">
        <v>0.45</v>
      </c>
      <c r="T13">
        <v>1</v>
      </c>
      <c r="U13" s="36">
        <v>2.3185549999999999</v>
      </c>
      <c r="V13" t="s">
        <v>165</v>
      </c>
      <c r="W13">
        <v>55</v>
      </c>
      <c r="X13">
        <v>0</v>
      </c>
      <c r="Y13">
        <v>45</v>
      </c>
      <c r="Z13">
        <v>0</v>
      </c>
      <c r="AA13">
        <v>35</v>
      </c>
      <c r="AB13">
        <v>0</v>
      </c>
      <c r="AC13">
        <v>0</v>
      </c>
      <c r="AD13">
        <v>1500</v>
      </c>
      <c r="AE13" t="s">
        <v>166</v>
      </c>
      <c r="AF13" t="s">
        <v>171</v>
      </c>
      <c r="AG13" t="s">
        <v>129</v>
      </c>
      <c r="AH13">
        <v>0</v>
      </c>
      <c r="AI13">
        <v>8.1</v>
      </c>
      <c r="AJ13" t="s">
        <v>167</v>
      </c>
      <c r="AM13">
        <v>8.2100000000000009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 t="s">
        <v>172</v>
      </c>
      <c r="AY13">
        <v>4.2728999999999999</v>
      </c>
      <c r="AZ13">
        <v>8</v>
      </c>
      <c r="BA13" t="s">
        <v>138</v>
      </c>
      <c r="BB13">
        <v>3.87</v>
      </c>
      <c r="BC13" t="s">
        <v>95</v>
      </c>
      <c r="BD13" t="s">
        <v>96</v>
      </c>
      <c r="BE13" t="s">
        <v>97</v>
      </c>
      <c r="BF13">
        <v>1</v>
      </c>
      <c r="BG13">
        <v>0</v>
      </c>
      <c r="BH13">
        <v>0</v>
      </c>
      <c r="BI13" t="s">
        <v>98</v>
      </c>
    </row>
    <row r="14" spans="1:61">
      <c r="A14" s="164" t="s">
        <v>173</v>
      </c>
      <c r="B14" t="s">
        <v>174</v>
      </c>
      <c r="C14">
        <v>0</v>
      </c>
      <c r="D14" t="s">
        <v>175</v>
      </c>
      <c r="E14">
        <v>0</v>
      </c>
      <c r="F14" t="s">
        <v>176</v>
      </c>
      <c r="G14" t="s">
        <v>78</v>
      </c>
      <c r="H14" t="s">
        <v>79</v>
      </c>
      <c r="I14" t="s">
        <v>80</v>
      </c>
      <c r="J14" t="s">
        <v>163</v>
      </c>
      <c r="K14" t="s">
        <v>82</v>
      </c>
      <c r="L14" t="s">
        <v>83</v>
      </c>
      <c r="M14" t="s">
        <v>84</v>
      </c>
      <c r="N14">
        <v>1.5</v>
      </c>
      <c r="O14" t="b">
        <v>0</v>
      </c>
      <c r="P14">
        <v>30</v>
      </c>
      <c r="Q14" t="s">
        <v>137</v>
      </c>
      <c r="S14">
        <v>1.5</v>
      </c>
      <c r="T14">
        <v>1</v>
      </c>
      <c r="U14" s="36">
        <v>9.0726650000000006</v>
      </c>
      <c r="V14" t="s">
        <v>165</v>
      </c>
      <c r="X14">
        <v>0</v>
      </c>
      <c r="Y14">
        <v>10</v>
      </c>
      <c r="Z14">
        <v>0</v>
      </c>
      <c r="AA14">
        <v>35</v>
      </c>
      <c r="AB14">
        <v>0</v>
      </c>
      <c r="AC14">
        <v>0</v>
      </c>
      <c r="AE14" t="s">
        <v>129</v>
      </c>
      <c r="AF14" t="s">
        <v>176</v>
      </c>
      <c r="AG14" t="s">
        <v>129</v>
      </c>
      <c r="AH14">
        <v>0</v>
      </c>
      <c r="AI14">
        <v>9.5</v>
      </c>
      <c r="AJ14" t="s">
        <v>177</v>
      </c>
      <c r="AM14">
        <v>10.11</v>
      </c>
      <c r="AN14">
        <v>0</v>
      </c>
      <c r="AO14">
        <v>0</v>
      </c>
      <c r="AP14">
        <v>0</v>
      </c>
      <c r="AQ14">
        <v>2.8571428571428564E-2</v>
      </c>
      <c r="AR14">
        <v>0</v>
      </c>
      <c r="AS14">
        <v>0</v>
      </c>
      <c r="AT14">
        <v>1.0285714285714285</v>
      </c>
      <c r="AU14">
        <v>0</v>
      </c>
      <c r="AV14">
        <v>0</v>
      </c>
      <c r="AW14">
        <v>0</v>
      </c>
      <c r="AX14" t="s">
        <v>178</v>
      </c>
      <c r="AY14">
        <v>11.9755</v>
      </c>
      <c r="AZ14">
        <v>0</v>
      </c>
      <c r="BA14" t="s">
        <v>138</v>
      </c>
      <c r="BB14">
        <v>11.46</v>
      </c>
      <c r="BC14" t="s">
        <v>95</v>
      </c>
      <c r="BD14" t="s">
        <v>96</v>
      </c>
      <c r="BE14" t="s">
        <v>97</v>
      </c>
      <c r="BF14">
        <v>1</v>
      </c>
      <c r="BG14">
        <v>0</v>
      </c>
      <c r="BH14">
        <v>0</v>
      </c>
      <c r="BI14" t="s">
        <v>98</v>
      </c>
    </row>
    <row r="15" spans="1:61">
      <c r="A15" s="164" t="s">
        <v>179</v>
      </c>
      <c r="B15" t="s">
        <v>180</v>
      </c>
      <c r="C15">
        <v>0</v>
      </c>
      <c r="D15" t="s">
        <v>181</v>
      </c>
      <c r="E15">
        <v>0</v>
      </c>
      <c r="F15" t="s">
        <v>181</v>
      </c>
      <c r="G15" t="s">
        <v>78</v>
      </c>
      <c r="H15" t="s">
        <v>79</v>
      </c>
      <c r="I15" t="s">
        <v>80</v>
      </c>
      <c r="J15" t="s">
        <v>163</v>
      </c>
      <c r="K15" t="s">
        <v>82</v>
      </c>
      <c r="L15" t="s">
        <v>83</v>
      </c>
      <c r="M15" t="s">
        <v>84</v>
      </c>
      <c r="N15">
        <v>4.4999999999999998E-2</v>
      </c>
      <c r="O15" t="b">
        <v>1</v>
      </c>
      <c r="P15">
        <v>90</v>
      </c>
      <c r="Q15" t="s">
        <v>137</v>
      </c>
      <c r="S15">
        <v>4.4999999999999998E-2</v>
      </c>
      <c r="T15">
        <v>1</v>
      </c>
      <c r="U15" s="36">
        <v>0.14824500000000002</v>
      </c>
      <c r="V15" t="s">
        <v>165</v>
      </c>
      <c r="W15">
        <v>36</v>
      </c>
      <c r="X15">
        <v>0</v>
      </c>
      <c r="Y15">
        <v>300</v>
      </c>
      <c r="Z15">
        <v>3.3333333333333335E-3</v>
      </c>
      <c r="AA15">
        <v>35</v>
      </c>
      <c r="AB15">
        <v>0</v>
      </c>
      <c r="AC15">
        <v>0</v>
      </c>
      <c r="AD15">
        <v>2000</v>
      </c>
      <c r="AE15" t="s">
        <v>182</v>
      </c>
      <c r="AF15" t="s">
        <v>181</v>
      </c>
      <c r="AG15" t="s">
        <v>129</v>
      </c>
      <c r="AH15">
        <v>0</v>
      </c>
      <c r="AI15">
        <v>11</v>
      </c>
      <c r="AM15">
        <v>3.52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t="s">
        <v>183</v>
      </c>
      <c r="AY15">
        <v>3.77</v>
      </c>
      <c r="AZ15">
        <v>7</v>
      </c>
      <c r="BA15" t="s">
        <v>138</v>
      </c>
      <c r="BB15">
        <v>0.56000000000000005</v>
      </c>
      <c r="BC15" t="s">
        <v>95</v>
      </c>
      <c r="BD15" t="s">
        <v>96</v>
      </c>
      <c r="BE15" t="s">
        <v>97</v>
      </c>
      <c r="BF15">
        <v>1</v>
      </c>
      <c r="BG15">
        <v>0</v>
      </c>
      <c r="BH15">
        <v>0</v>
      </c>
      <c r="BI15" t="s">
        <v>98</v>
      </c>
    </row>
    <row r="16" spans="1:61">
      <c r="A16" s="164" t="s">
        <v>184</v>
      </c>
      <c r="B16" t="s">
        <v>185</v>
      </c>
      <c r="C16">
        <v>0</v>
      </c>
      <c r="D16" t="s">
        <v>186</v>
      </c>
      <c r="E16">
        <v>0</v>
      </c>
      <c r="F16" t="s">
        <v>187</v>
      </c>
      <c r="G16" t="s">
        <v>78</v>
      </c>
      <c r="H16" t="s">
        <v>79</v>
      </c>
      <c r="I16" t="s">
        <v>80</v>
      </c>
      <c r="J16" t="s">
        <v>163</v>
      </c>
      <c r="K16" t="s">
        <v>82</v>
      </c>
      <c r="L16" t="s">
        <v>83</v>
      </c>
      <c r="M16" t="s">
        <v>84</v>
      </c>
      <c r="N16">
        <v>4.5999999999999996</v>
      </c>
      <c r="O16" t="b">
        <v>1</v>
      </c>
      <c r="P16">
        <v>90</v>
      </c>
      <c r="Q16" t="s">
        <v>188</v>
      </c>
      <c r="S16">
        <v>4.5999999999999996</v>
      </c>
      <c r="T16">
        <v>1</v>
      </c>
      <c r="U16" s="36">
        <v>12.450799999999999</v>
      </c>
      <c r="V16" t="s">
        <v>189</v>
      </c>
      <c r="W16">
        <v>2</v>
      </c>
      <c r="X16">
        <v>0</v>
      </c>
      <c r="Y16">
        <v>6</v>
      </c>
      <c r="Z16">
        <v>0.16666666666666666</v>
      </c>
      <c r="AA16">
        <v>25</v>
      </c>
      <c r="AB16">
        <v>0</v>
      </c>
      <c r="AC16">
        <v>0</v>
      </c>
      <c r="AD16">
        <v>67</v>
      </c>
      <c r="AE16" t="s">
        <v>190</v>
      </c>
      <c r="AF16" t="s">
        <v>187</v>
      </c>
      <c r="AG16" t="s">
        <v>129</v>
      </c>
      <c r="AH16">
        <v>0</v>
      </c>
      <c r="AI16">
        <v>2.6</v>
      </c>
      <c r="AJ16" t="s">
        <v>167</v>
      </c>
      <c r="AM16">
        <v>3.2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 t="s">
        <v>191</v>
      </c>
      <c r="AY16">
        <v>144.54320000000001</v>
      </c>
      <c r="AZ16">
        <v>6</v>
      </c>
      <c r="BA16" t="s">
        <v>94</v>
      </c>
      <c r="BB16">
        <v>20.32</v>
      </c>
      <c r="BC16" t="s">
        <v>95</v>
      </c>
      <c r="BD16" t="s">
        <v>96</v>
      </c>
      <c r="BE16" t="s">
        <v>97</v>
      </c>
      <c r="BF16">
        <v>1</v>
      </c>
      <c r="BG16">
        <v>0</v>
      </c>
      <c r="BH16">
        <v>0</v>
      </c>
      <c r="BI16" t="s">
        <v>98</v>
      </c>
    </row>
    <row r="17" spans="1:60">
      <c r="A17" s="164" t="s">
        <v>192</v>
      </c>
      <c r="B17" t="s">
        <v>193</v>
      </c>
      <c r="C17">
        <v>0</v>
      </c>
      <c r="D17" t="s">
        <v>194</v>
      </c>
      <c r="E17">
        <v>0</v>
      </c>
      <c r="F17" t="s">
        <v>195</v>
      </c>
      <c r="G17" t="s">
        <v>78</v>
      </c>
      <c r="H17" t="s">
        <v>79</v>
      </c>
      <c r="I17" t="s">
        <v>80</v>
      </c>
      <c r="J17" t="s">
        <v>196</v>
      </c>
      <c r="K17" t="s">
        <v>13</v>
      </c>
      <c r="L17" t="s">
        <v>83</v>
      </c>
      <c r="M17" t="s">
        <v>84</v>
      </c>
      <c r="N17">
        <v>1</v>
      </c>
      <c r="O17" t="b">
        <v>1</v>
      </c>
      <c r="P17">
        <v>0</v>
      </c>
      <c r="BB17">
        <v>0</v>
      </c>
      <c r="BC17" t="s">
        <v>197</v>
      </c>
      <c r="BD17" t="s">
        <v>198</v>
      </c>
      <c r="BE17" t="s">
        <v>117</v>
      </c>
      <c r="BF17">
        <v>0</v>
      </c>
      <c r="BG17">
        <v>0</v>
      </c>
      <c r="BH17">
        <v>0</v>
      </c>
    </row>
    <row r="18" spans="1:60">
      <c r="A18" s="164" t="s">
        <v>199</v>
      </c>
      <c r="B18" t="s">
        <v>200</v>
      </c>
      <c r="C18">
        <v>0</v>
      </c>
      <c r="D18" t="s">
        <v>194</v>
      </c>
      <c r="E18">
        <v>0</v>
      </c>
      <c r="F18" t="s">
        <v>195</v>
      </c>
      <c r="G18" t="s">
        <v>78</v>
      </c>
      <c r="H18" t="s">
        <v>79</v>
      </c>
      <c r="I18" t="s">
        <v>80</v>
      </c>
      <c r="J18" t="s">
        <v>196</v>
      </c>
      <c r="K18" t="s">
        <v>13</v>
      </c>
      <c r="L18" t="s">
        <v>83</v>
      </c>
      <c r="M18" t="s">
        <v>84</v>
      </c>
      <c r="N18">
        <v>1</v>
      </c>
      <c r="O18" t="b">
        <v>1</v>
      </c>
      <c r="P18">
        <v>0</v>
      </c>
      <c r="BB18">
        <v>0</v>
      </c>
      <c r="BC18" t="s">
        <v>197</v>
      </c>
      <c r="BD18" t="s">
        <v>198</v>
      </c>
      <c r="BE18" t="s">
        <v>117</v>
      </c>
      <c r="BF18">
        <v>0</v>
      </c>
      <c r="BG18">
        <v>0</v>
      </c>
      <c r="BH18">
        <v>0</v>
      </c>
    </row>
    <row r="19" spans="1:60">
      <c r="A19" s="164" t="s">
        <v>201</v>
      </c>
      <c r="B19" t="s">
        <v>202</v>
      </c>
      <c r="C19">
        <v>0</v>
      </c>
      <c r="D19" t="s">
        <v>194</v>
      </c>
      <c r="E19">
        <v>0</v>
      </c>
      <c r="F19" t="s">
        <v>195</v>
      </c>
      <c r="G19" t="s">
        <v>78</v>
      </c>
      <c r="H19" t="s">
        <v>79</v>
      </c>
      <c r="I19" t="s">
        <v>80</v>
      </c>
      <c r="J19" t="s">
        <v>196</v>
      </c>
      <c r="K19" t="s">
        <v>13</v>
      </c>
      <c r="L19" t="s">
        <v>83</v>
      </c>
      <c r="M19" t="s">
        <v>84</v>
      </c>
      <c r="N19">
        <v>1</v>
      </c>
      <c r="O19" t="b">
        <v>1</v>
      </c>
      <c r="P19">
        <v>0</v>
      </c>
      <c r="BB19">
        <v>0</v>
      </c>
      <c r="BC19" t="s">
        <v>197</v>
      </c>
      <c r="BD19" t="s">
        <v>198</v>
      </c>
      <c r="BE19" t="s">
        <v>117</v>
      </c>
      <c r="BF19">
        <v>0</v>
      </c>
      <c r="BG19">
        <v>0</v>
      </c>
      <c r="BH19">
        <v>0</v>
      </c>
    </row>
    <row r="20" spans="1:60">
      <c r="A20" s="164" t="s">
        <v>203</v>
      </c>
      <c r="B20" t="s">
        <v>204</v>
      </c>
      <c r="C20">
        <v>0</v>
      </c>
      <c r="D20" t="s">
        <v>194</v>
      </c>
      <c r="E20">
        <v>0</v>
      </c>
      <c r="F20" t="s">
        <v>195</v>
      </c>
      <c r="G20" t="s">
        <v>78</v>
      </c>
      <c r="H20" t="s">
        <v>79</v>
      </c>
      <c r="I20" t="s">
        <v>80</v>
      </c>
      <c r="J20" t="s">
        <v>196</v>
      </c>
      <c r="K20" t="s">
        <v>13</v>
      </c>
      <c r="L20" t="s">
        <v>83</v>
      </c>
      <c r="M20" t="s">
        <v>205</v>
      </c>
      <c r="N20">
        <v>1</v>
      </c>
      <c r="O20" t="b">
        <v>1</v>
      </c>
      <c r="P20">
        <v>0</v>
      </c>
      <c r="BB20">
        <v>0</v>
      </c>
      <c r="BC20" t="s">
        <v>197</v>
      </c>
      <c r="BD20" t="s">
        <v>198</v>
      </c>
      <c r="BE20" t="s">
        <v>117</v>
      </c>
      <c r="BF20">
        <v>0</v>
      </c>
      <c r="BG20">
        <v>0</v>
      </c>
      <c r="BH20">
        <v>0</v>
      </c>
    </row>
    <row r="21" spans="1:60">
      <c r="A21" s="164" t="s">
        <v>206</v>
      </c>
      <c r="B21" t="s">
        <v>207</v>
      </c>
      <c r="C21">
        <v>0</v>
      </c>
      <c r="D21" t="s">
        <v>194</v>
      </c>
      <c r="E21">
        <v>0</v>
      </c>
      <c r="F21" t="s">
        <v>195</v>
      </c>
      <c r="G21" t="s">
        <v>78</v>
      </c>
      <c r="H21" t="s">
        <v>79</v>
      </c>
      <c r="I21" t="s">
        <v>80</v>
      </c>
      <c r="J21" t="s">
        <v>196</v>
      </c>
      <c r="K21" t="s">
        <v>13</v>
      </c>
      <c r="L21" t="s">
        <v>83</v>
      </c>
      <c r="M21" t="s">
        <v>205</v>
      </c>
      <c r="N21">
        <v>1</v>
      </c>
      <c r="O21" t="b">
        <v>1</v>
      </c>
      <c r="P21">
        <v>0</v>
      </c>
      <c r="BB21">
        <v>0</v>
      </c>
      <c r="BC21" t="s">
        <v>197</v>
      </c>
      <c r="BD21" t="s">
        <v>198</v>
      </c>
      <c r="BE21" t="s">
        <v>117</v>
      </c>
      <c r="BF21">
        <v>0</v>
      </c>
      <c r="BG21">
        <v>0</v>
      </c>
      <c r="BH21">
        <v>0</v>
      </c>
    </row>
    <row r="22" spans="1:60">
      <c r="A22" s="164" t="s">
        <v>208</v>
      </c>
      <c r="B22" t="s">
        <v>209</v>
      </c>
      <c r="C22">
        <v>0</v>
      </c>
      <c r="D22" t="s">
        <v>194</v>
      </c>
      <c r="E22">
        <v>0</v>
      </c>
      <c r="F22" t="s">
        <v>195</v>
      </c>
      <c r="G22" t="s">
        <v>78</v>
      </c>
      <c r="H22" t="s">
        <v>79</v>
      </c>
      <c r="I22" t="s">
        <v>80</v>
      </c>
      <c r="J22" t="s">
        <v>196</v>
      </c>
      <c r="K22" t="s">
        <v>13</v>
      </c>
      <c r="L22" t="s">
        <v>83</v>
      </c>
      <c r="M22" t="s">
        <v>205</v>
      </c>
      <c r="N22">
        <v>1</v>
      </c>
      <c r="O22" t="b">
        <v>1</v>
      </c>
      <c r="P22">
        <v>0</v>
      </c>
      <c r="BB22">
        <v>0</v>
      </c>
      <c r="BC22" t="s">
        <v>197</v>
      </c>
      <c r="BD22" t="s">
        <v>198</v>
      </c>
      <c r="BE22" t="s">
        <v>117</v>
      </c>
      <c r="BF22">
        <v>0</v>
      </c>
      <c r="BG22">
        <v>0</v>
      </c>
      <c r="BH22">
        <v>0</v>
      </c>
    </row>
    <row r="23" spans="1:60">
      <c r="A23" s="164" t="s">
        <v>210</v>
      </c>
      <c r="B23" t="s">
        <v>211</v>
      </c>
      <c r="C23">
        <v>0</v>
      </c>
      <c r="D23" t="s">
        <v>194</v>
      </c>
      <c r="E23">
        <v>0</v>
      </c>
      <c r="F23" t="s">
        <v>195</v>
      </c>
      <c r="G23" t="s">
        <v>78</v>
      </c>
      <c r="H23" t="s">
        <v>79</v>
      </c>
      <c r="I23" t="s">
        <v>80</v>
      </c>
      <c r="J23" t="s">
        <v>196</v>
      </c>
      <c r="K23" t="s">
        <v>13</v>
      </c>
      <c r="L23" t="s">
        <v>83</v>
      </c>
      <c r="M23" t="s">
        <v>205</v>
      </c>
      <c r="N23">
        <v>1</v>
      </c>
      <c r="O23" t="b">
        <v>1</v>
      </c>
      <c r="P23">
        <v>0</v>
      </c>
      <c r="BB23">
        <v>0</v>
      </c>
      <c r="BC23" t="s">
        <v>197</v>
      </c>
      <c r="BD23" t="s">
        <v>198</v>
      </c>
      <c r="BE23" t="s">
        <v>117</v>
      </c>
      <c r="BF23">
        <v>0</v>
      </c>
      <c r="BG23">
        <v>0</v>
      </c>
      <c r="BH23">
        <v>0</v>
      </c>
    </row>
    <row r="24" spans="1:60">
      <c r="A24" s="164" t="s">
        <v>212</v>
      </c>
      <c r="B24" t="s">
        <v>213</v>
      </c>
      <c r="C24">
        <v>0</v>
      </c>
      <c r="D24" t="s">
        <v>194</v>
      </c>
      <c r="E24">
        <v>0</v>
      </c>
      <c r="F24" t="s">
        <v>214</v>
      </c>
      <c r="G24" t="s">
        <v>78</v>
      </c>
      <c r="H24" t="s">
        <v>79</v>
      </c>
      <c r="I24" t="s">
        <v>80</v>
      </c>
      <c r="J24" t="s">
        <v>196</v>
      </c>
      <c r="K24" t="s">
        <v>13</v>
      </c>
      <c r="L24" t="s">
        <v>83</v>
      </c>
      <c r="M24" t="s">
        <v>215</v>
      </c>
      <c r="N24">
        <v>1</v>
      </c>
      <c r="O24" t="b">
        <v>1</v>
      </c>
      <c r="P24">
        <v>0</v>
      </c>
      <c r="BB24">
        <v>0</v>
      </c>
      <c r="BC24" t="s">
        <v>197</v>
      </c>
      <c r="BD24" t="s">
        <v>216</v>
      </c>
      <c r="BE24" t="s">
        <v>117</v>
      </c>
      <c r="BF24">
        <v>0</v>
      </c>
      <c r="BG24">
        <v>0</v>
      </c>
      <c r="BH24">
        <v>0</v>
      </c>
    </row>
    <row r="25" spans="1:60">
      <c r="A25" s="164" t="s">
        <v>217</v>
      </c>
      <c r="B25" t="s">
        <v>218</v>
      </c>
      <c r="C25">
        <v>0</v>
      </c>
      <c r="D25" t="s">
        <v>194</v>
      </c>
      <c r="E25">
        <v>0</v>
      </c>
      <c r="F25" t="s">
        <v>195</v>
      </c>
      <c r="G25" t="s">
        <v>78</v>
      </c>
      <c r="H25" t="s">
        <v>79</v>
      </c>
      <c r="I25" t="s">
        <v>80</v>
      </c>
      <c r="J25" t="s">
        <v>196</v>
      </c>
      <c r="K25" t="s">
        <v>13</v>
      </c>
      <c r="L25" t="s">
        <v>83</v>
      </c>
      <c r="M25" t="s">
        <v>205</v>
      </c>
      <c r="N25">
        <v>1</v>
      </c>
      <c r="O25" t="b">
        <v>1</v>
      </c>
      <c r="P25">
        <v>0</v>
      </c>
      <c r="BB25">
        <v>0</v>
      </c>
      <c r="BC25" t="s">
        <v>197</v>
      </c>
      <c r="BD25" t="s">
        <v>198</v>
      </c>
      <c r="BE25" t="s">
        <v>117</v>
      </c>
      <c r="BF25">
        <v>0</v>
      </c>
      <c r="BG25">
        <v>0</v>
      </c>
      <c r="BH25">
        <v>0</v>
      </c>
    </row>
    <row r="26" spans="1:60">
      <c r="A26" s="164" t="s">
        <v>219</v>
      </c>
      <c r="B26" t="s">
        <v>220</v>
      </c>
      <c r="C26">
        <v>0</v>
      </c>
      <c r="D26" t="s">
        <v>194</v>
      </c>
      <c r="E26">
        <v>0</v>
      </c>
      <c r="F26" t="s">
        <v>214</v>
      </c>
      <c r="G26" t="s">
        <v>78</v>
      </c>
      <c r="H26" t="s">
        <v>79</v>
      </c>
      <c r="I26" t="s">
        <v>80</v>
      </c>
      <c r="J26" t="s">
        <v>196</v>
      </c>
      <c r="K26" t="s">
        <v>13</v>
      </c>
      <c r="L26" t="s">
        <v>83</v>
      </c>
      <c r="M26" t="s">
        <v>215</v>
      </c>
      <c r="N26">
        <v>1</v>
      </c>
      <c r="O26" t="b">
        <v>1</v>
      </c>
      <c r="P26">
        <v>0</v>
      </c>
      <c r="BB26">
        <v>0</v>
      </c>
      <c r="BC26" t="s">
        <v>197</v>
      </c>
      <c r="BD26" t="s">
        <v>216</v>
      </c>
      <c r="BE26" t="s">
        <v>117</v>
      </c>
      <c r="BF26">
        <v>0</v>
      </c>
      <c r="BG26">
        <v>0</v>
      </c>
      <c r="BH26">
        <v>0</v>
      </c>
    </row>
    <row r="27" spans="1:60">
      <c r="A27" s="164" t="s">
        <v>221</v>
      </c>
      <c r="B27" t="s">
        <v>222</v>
      </c>
      <c r="C27">
        <v>0</v>
      </c>
      <c r="D27" t="s">
        <v>194</v>
      </c>
      <c r="E27">
        <v>0</v>
      </c>
      <c r="F27" t="s">
        <v>214</v>
      </c>
      <c r="G27" t="s">
        <v>78</v>
      </c>
      <c r="H27" t="s">
        <v>79</v>
      </c>
      <c r="I27" t="s">
        <v>80</v>
      </c>
      <c r="J27" t="s">
        <v>196</v>
      </c>
      <c r="K27" t="s">
        <v>13</v>
      </c>
      <c r="L27" t="s">
        <v>83</v>
      </c>
      <c r="M27" t="s">
        <v>215</v>
      </c>
      <c r="N27">
        <v>1</v>
      </c>
      <c r="O27" t="b">
        <v>1</v>
      </c>
      <c r="P27">
        <v>0</v>
      </c>
      <c r="BB27">
        <v>0</v>
      </c>
      <c r="BC27" t="s">
        <v>197</v>
      </c>
      <c r="BD27" t="s">
        <v>216</v>
      </c>
      <c r="BE27" t="s">
        <v>117</v>
      </c>
      <c r="BF27">
        <v>0</v>
      </c>
      <c r="BG27">
        <v>0</v>
      </c>
      <c r="BH27">
        <v>0</v>
      </c>
    </row>
    <row r="28" spans="1:60">
      <c r="A28" s="164" t="s">
        <v>223</v>
      </c>
      <c r="B28" t="s">
        <v>224</v>
      </c>
      <c r="C28">
        <v>0</v>
      </c>
      <c r="D28" t="s">
        <v>194</v>
      </c>
      <c r="E28">
        <v>0</v>
      </c>
      <c r="F28" t="s">
        <v>214</v>
      </c>
      <c r="G28" t="s">
        <v>78</v>
      </c>
      <c r="H28" t="s">
        <v>79</v>
      </c>
      <c r="I28" t="s">
        <v>80</v>
      </c>
      <c r="J28" t="s">
        <v>196</v>
      </c>
      <c r="K28" t="s">
        <v>13</v>
      </c>
      <c r="L28" t="s">
        <v>83</v>
      </c>
      <c r="M28" t="s">
        <v>84</v>
      </c>
      <c r="N28">
        <v>1</v>
      </c>
      <c r="O28" t="b">
        <v>1</v>
      </c>
      <c r="P28">
        <v>0</v>
      </c>
      <c r="BB28">
        <v>0</v>
      </c>
      <c r="BC28" t="s">
        <v>197</v>
      </c>
      <c r="BD28" t="s">
        <v>216</v>
      </c>
      <c r="BE28" t="s">
        <v>117</v>
      </c>
      <c r="BF28">
        <v>0</v>
      </c>
      <c r="BG28">
        <v>0</v>
      </c>
      <c r="BH28">
        <v>0</v>
      </c>
    </row>
    <row r="29" spans="1:60">
      <c r="A29" s="164" t="s">
        <v>225</v>
      </c>
      <c r="B29" t="s">
        <v>226</v>
      </c>
      <c r="C29">
        <v>0</v>
      </c>
      <c r="D29" t="s">
        <v>194</v>
      </c>
      <c r="E29">
        <v>0</v>
      </c>
      <c r="F29" t="s">
        <v>195</v>
      </c>
      <c r="G29" t="s">
        <v>78</v>
      </c>
      <c r="H29" t="s">
        <v>79</v>
      </c>
      <c r="I29" t="s">
        <v>80</v>
      </c>
      <c r="J29" t="s">
        <v>196</v>
      </c>
      <c r="K29" t="s">
        <v>13</v>
      </c>
      <c r="L29" t="s">
        <v>83</v>
      </c>
      <c r="M29" t="s">
        <v>84</v>
      </c>
      <c r="N29">
        <v>1</v>
      </c>
      <c r="O29" t="b">
        <v>1</v>
      </c>
      <c r="P29">
        <v>0</v>
      </c>
      <c r="BB29">
        <v>0</v>
      </c>
      <c r="BC29" t="s">
        <v>197</v>
      </c>
      <c r="BD29" t="s">
        <v>198</v>
      </c>
      <c r="BE29" t="s">
        <v>117</v>
      </c>
      <c r="BF29">
        <v>0</v>
      </c>
      <c r="BG29">
        <v>0</v>
      </c>
      <c r="BH29">
        <v>0</v>
      </c>
    </row>
    <row r="30" spans="1:60">
      <c r="A30" s="164" t="s">
        <v>227</v>
      </c>
      <c r="B30" t="s">
        <v>228</v>
      </c>
      <c r="C30">
        <v>0</v>
      </c>
      <c r="D30" t="s">
        <v>194</v>
      </c>
      <c r="E30">
        <v>0</v>
      </c>
      <c r="F30" t="s">
        <v>214</v>
      </c>
      <c r="G30" t="s">
        <v>78</v>
      </c>
      <c r="H30" t="s">
        <v>79</v>
      </c>
      <c r="I30" t="s">
        <v>80</v>
      </c>
      <c r="J30" t="s">
        <v>196</v>
      </c>
      <c r="K30" t="s">
        <v>13</v>
      </c>
      <c r="L30" t="s">
        <v>83</v>
      </c>
      <c r="M30" t="s">
        <v>84</v>
      </c>
      <c r="N30">
        <v>1</v>
      </c>
      <c r="O30" t="b">
        <v>1</v>
      </c>
      <c r="P30">
        <v>0</v>
      </c>
      <c r="BB30">
        <v>0</v>
      </c>
      <c r="BC30" t="s">
        <v>197</v>
      </c>
      <c r="BD30" t="s">
        <v>216</v>
      </c>
      <c r="BE30" t="s">
        <v>117</v>
      </c>
      <c r="BF30">
        <v>0</v>
      </c>
      <c r="BG30">
        <v>0</v>
      </c>
      <c r="BH30">
        <v>0</v>
      </c>
    </row>
    <row r="31" spans="1:60">
      <c r="A31" s="164" t="s">
        <v>229</v>
      </c>
      <c r="B31" t="s">
        <v>230</v>
      </c>
      <c r="C31">
        <v>0</v>
      </c>
      <c r="D31" t="s">
        <v>194</v>
      </c>
      <c r="E31">
        <v>0</v>
      </c>
      <c r="F31" t="s">
        <v>195</v>
      </c>
      <c r="G31" t="s">
        <v>78</v>
      </c>
      <c r="H31" t="s">
        <v>79</v>
      </c>
      <c r="I31" t="s">
        <v>80</v>
      </c>
      <c r="J31" t="s">
        <v>196</v>
      </c>
      <c r="K31" t="s">
        <v>13</v>
      </c>
      <c r="L31" t="s">
        <v>83</v>
      </c>
      <c r="M31" t="s">
        <v>215</v>
      </c>
      <c r="N31">
        <v>1</v>
      </c>
      <c r="O31" t="b">
        <v>1</v>
      </c>
      <c r="P31">
        <v>0</v>
      </c>
      <c r="BB31">
        <v>0</v>
      </c>
      <c r="BC31" t="s">
        <v>197</v>
      </c>
      <c r="BD31" t="s">
        <v>198</v>
      </c>
      <c r="BE31" t="s">
        <v>117</v>
      </c>
      <c r="BF31">
        <v>0</v>
      </c>
      <c r="BG31">
        <v>0</v>
      </c>
      <c r="BH31">
        <v>0</v>
      </c>
    </row>
    <row r="32" spans="1:60">
      <c r="A32" s="164" t="s">
        <v>231</v>
      </c>
      <c r="B32" t="s">
        <v>232</v>
      </c>
      <c r="C32">
        <v>0</v>
      </c>
      <c r="D32" t="s">
        <v>194</v>
      </c>
      <c r="E32">
        <v>0</v>
      </c>
      <c r="F32" t="s">
        <v>233</v>
      </c>
      <c r="G32" t="s">
        <v>78</v>
      </c>
      <c r="H32" t="s">
        <v>79</v>
      </c>
      <c r="I32" t="s">
        <v>80</v>
      </c>
      <c r="J32" t="s">
        <v>196</v>
      </c>
      <c r="K32" t="s">
        <v>13</v>
      </c>
      <c r="L32" t="s">
        <v>83</v>
      </c>
      <c r="M32" t="s">
        <v>84</v>
      </c>
      <c r="N32">
        <v>1</v>
      </c>
      <c r="O32" t="b">
        <v>1</v>
      </c>
      <c r="P32">
        <v>0</v>
      </c>
      <c r="BB32">
        <v>0</v>
      </c>
      <c r="BC32" t="s">
        <v>197</v>
      </c>
      <c r="BD32" t="s">
        <v>234</v>
      </c>
      <c r="BE32" t="s">
        <v>117</v>
      </c>
      <c r="BF32">
        <v>0</v>
      </c>
      <c r="BG32">
        <v>0</v>
      </c>
      <c r="BH32">
        <v>0</v>
      </c>
    </row>
    <row r="33" spans="1:61">
      <c r="A33" s="164" t="s">
        <v>235</v>
      </c>
      <c r="B33" t="s">
        <v>236</v>
      </c>
      <c r="C33">
        <v>0</v>
      </c>
      <c r="D33" t="s">
        <v>194</v>
      </c>
      <c r="E33">
        <v>0</v>
      </c>
      <c r="F33" t="s">
        <v>233</v>
      </c>
      <c r="G33" t="s">
        <v>78</v>
      </c>
      <c r="H33" t="s">
        <v>79</v>
      </c>
      <c r="I33" t="s">
        <v>80</v>
      </c>
      <c r="J33" t="s">
        <v>196</v>
      </c>
      <c r="K33" t="s">
        <v>13</v>
      </c>
      <c r="L33" t="s">
        <v>83</v>
      </c>
      <c r="M33" t="s">
        <v>84</v>
      </c>
      <c r="N33">
        <v>1</v>
      </c>
      <c r="O33" t="b">
        <v>1</v>
      </c>
      <c r="P33">
        <v>0</v>
      </c>
      <c r="BB33">
        <v>0</v>
      </c>
      <c r="BC33" t="s">
        <v>197</v>
      </c>
      <c r="BD33" t="s">
        <v>234</v>
      </c>
      <c r="BE33" t="s">
        <v>117</v>
      </c>
      <c r="BF33">
        <v>0</v>
      </c>
      <c r="BG33">
        <v>0</v>
      </c>
      <c r="BH33">
        <v>0</v>
      </c>
    </row>
    <row r="34" spans="1:61">
      <c r="A34" s="164" t="s">
        <v>237</v>
      </c>
      <c r="B34" t="s">
        <v>238</v>
      </c>
      <c r="C34">
        <v>0</v>
      </c>
      <c r="D34" t="s">
        <v>194</v>
      </c>
      <c r="E34">
        <v>0</v>
      </c>
      <c r="F34" t="s">
        <v>214</v>
      </c>
      <c r="G34" t="s">
        <v>78</v>
      </c>
      <c r="H34" t="s">
        <v>79</v>
      </c>
      <c r="I34" t="s">
        <v>80</v>
      </c>
      <c r="J34" t="s">
        <v>196</v>
      </c>
      <c r="K34" t="s">
        <v>13</v>
      </c>
      <c r="L34" t="s">
        <v>83</v>
      </c>
      <c r="M34" t="s">
        <v>215</v>
      </c>
      <c r="N34">
        <v>1</v>
      </c>
      <c r="O34" t="b">
        <v>1</v>
      </c>
      <c r="P34">
        <v>0</v>
      </c>
      <c r="BB34">
        <v>0</v>
      </c>
      <c r="BC34" t="s">
        <v>197</v>
      </c>
      <c r="BD34" t="s">
        <v>216</v>
      </c>
      <c r="BE34" t="s">
        <v>117</v>
      </c>
      <c r="BF34">
        <v>0</v>
      </c>
      <c r="BG34">
        <v>0</v>
      </c>
      <c r="BH34">
        <v>0</v>
      </c>
    </row>
    <row r="35" spans="1:61">
      <c r="A35" s="164" t="s">
        <v>239</v>
      </c>
      <c r="B35" t="s">
        <v>240</v>
      </c>
      <c r="C35">
        <v>0</v>
      </c>
      <c r="D35" t="s">
        <v>194</v>
      </c>
      <c r="E35">
        <v>0</v>
      </c>
      <c r="F35" t="s">
        <v>195</v>
      </c>
      <c r="G35" t="s">
        <v>78</v>
      </c>
      <c r="H35" t="s">
        <v>79</v>
      </c>
      <c r="I35" t="s">
        <v>80</v>
      </c>
      <c r="J35" t="s">
        <v>196</v>
      </c>
      <c r="K35" t="s">
        <v>13</v>
      </c>
      <c r="L35" t="s">
        <v>83</v>
      </c>
      <c r="M35" t="s">
        <v>205</v>
      </c>
      <c r="N35">
        <v>1</v>
      </c>
      <c r="O35" t="b">
        <v>1</v>
      </c>
      <c r="P35">
        <v>0</v>
      </c>
      <c r="BB35">
        <v>0</v>
      </c>
      <c r="BC35" t="s">
        <v>197</v>
      </c>
      <c r="BD35" t="s">
        <v>198</v>
      </c>
      <c r="BE35" t="s">
        <v>117</v>
      </c>
      <c r="BF35">
        <v>0</v>
      </c>
      <c r="BG35">
        <v>0</v>
      </c>
      <c r="BH35">
        <v>0</v>
      </c>
    </row>
    <row r="36" spans="1:61">
      <c r="A36" s="164" t="s">
        <v>241</v>
      </c>
      <c r="B36" t="s">
        <v>242</v>
      </c>
      <c r="C36">
        <v>0</v>
      </c>
      <c r="D36" t="s">
        <v>194</v>
      </c>
      <c r="E36">
        <v>0</v>
      </c>
      <c r="F36" t="s">
        <v>195</v>
      </c>
      <c r="G36" t="s">
        <v>78</v>
      </c>
      <c r="H36" t="s">
        <v>79</v>
      </c>
      <c r="I36" t="s">
        <v>80</v>
      </c>
      <c r="J36" t="s">
        <v>196</v>
      </c>
      <c r="K36" t="s">
        <v>13</v>
      </c>
      <c r="L36" t="s">
        <v>83</v>
      </c>
      <c r="M36" t="s">
        <v>205</v>
      </c>
      <c r="N36">
        <v>1</v>
      </c>
      <c r="O36" t="b">
        <v>1</v>
      </c>
      <c r="P36">
        <v>0</v>
      </c>
      <c r="BB36">
        <v>0</v>
      </c>
      <c r="BC36" t="s">
        <v>197</v>
      </c>
      <c r="BD36" t="s">
        <v>198</v>
      </c>
      <c r="BE36" t="s">
        <v>117</v>
      </c>
      <c r="BF36">
        <v>0</v>
      </c>
      <c r="BG36">
        <v>0</v>
      </c>
      <c r="BH36">
        <v>0</v>
      </c>
    </row>
    <row r="37" spans="1:61">
      <c r="A37" s="164" t="s">
        <v>243</v>
      </c>
      <c r="B37" t="s">
        <v>244</v>
      </c>
      <c r="C37">
        <v>0</v>
      </c>
      <c r="D37" t="s">
        <v>194</v>
      </c>
      <c r="E37">
        <v>0</v>
      </c>
      <c r="F37" t="s">
        <v>195</v>
      </c>
      <c r="G37" t="s">
        <v>78</v>
      </c>
      <c r="H37" t="s">
        <v>79</v>
      </c>
      <c r="I37" t="s">
        <v>80</v>
      </c>
      <c r="J37" t="s">
        <v>196</v>
      </c>
      <c r="K37" t="s">
        <v>13</v>
      </c>
      <c r="L37" t="s">
        <v>83</v>
      </c>
      <c r="M37" t="s">
        <v>205</v>
      </c>
      <c r="N37">
        <v>1</v>
      </c>
      <c r="O37" t="b">
        <v>1</v>
      </c>
      <c r="P37">
        <v>0</v>
      </c>
      <c r="BB37">
        <v>0</v>
      </c>
      <c r="BC37" t="s">
        <v>197</v>
      </c>
      <c r="BD37" t="s">
        <v>198</v>
      </c>
      <c r="BE37" t="s">
        <v>117</v>
      </c>
      <c r="BF37">
        <v>0</v>
      </c>
      <c r="BG37">
        <v>0</v>
      </c>
      <c r="BH37">
        <v>0</v>
      </c>
    </row>
    <row r="38" spans="1:61">
      <c r="A38" s="164" t="s">
        <v>245</v>
      </c>
      <c r="B38" t="s">
        <v>246</v>
      </c>
      <c r="C38">
        <v>0</v>
      </c>
      <c r="D38" t="s">
        <v>194</v>
      </c>
      <c r="E38">
        <v>0</v>
      </c>
      <c r="F38" t="s">
        <v>195</v>
      </c>
      <c r="G38" t="s">
        <v>78</v>
      </c>
      <c r="H38" t="s">
        <v>79</v>
      </c>
      <c r="I38" t="s">
        <v>80</v>
      </c>
      <c r="J38" t="s">
        <v>196</v>
      </c>
      <c r="K38" t="s">
        <v>13</v>
      </c>
      <c r="L38" t="s">
        <v>83</v>
      </c>
      <c r="M38" t="s">
        <v>84</v>
      </c>
      <c r="N38">
        <v>1</v>
      </c>
      <c r="O38" t="b">
        <v>1</v>
      </c>
      <c r="P38">
        <v>0</v>
      </c>
      <c r="BB38">
        <v>0</v>
      </c>
      <c r="BC38" t="s">
        <v>197</v>
      </c>
      <c r="BD38" t="s">
        <v>198</v>
      </c>
      <c r="BE38" t="s">
        <v>117</v>
      </c>
      <c r="BF38">
        <v>0</v>
      </c>
      <c r="BG38">
        <v>0</v>
      </c>
      <c r="BH38">
        <v>0</v>
      </c>
    </row>
    <row r="39" spans="1:61">
      <c r="A39" s="164" t="s">
        <v>247</v>
      </c>
      <c r="B39" t="s">
        <v>248</v>
      </c>
      <c r="C39">
        <v>0</v>
      </c>
      <c r="D39" t="s">
        <v>194</v>
      </c>
      <c r="E39">
        <v>0</v>
      </c>
      <c r="F39" t="s">
        <v>195</v>
      </c>
      <c r="G39" t="s">
        <v>78</v>
      </c>
      <c r="H39" t="s">
        <v>79</v>
      </c>
      <c r="I39" t="s">
        <v>80</v>
      </c>
      <c r="J39" t="s">
        <v>196</v>
      </c>
      <c r="K39" t="s">
        <v>13</v>
      </c>
      <c r="L39" t="s">
        <v>83</v>
      </c>
      <c r="M39" t="s">
        <v>84</v>
      </c>
      <c r="N39">
        <v>1</v>
      </c>
      <c r="O39" t="b">
        <v>1</v>
      </c>
      <c r="P39">
        <v>0</v>
      </c>
      <c r="BB39">
        <v>0</v>
      </c>
      <c r="BC39" t="s">
        <v>197</v>
      </c>
      <c r="BD39" t="s">
        <v>198</v>
      </c>
      <c r="BE39" t="s">
        <v>117</v>
      </c>
      <c r="BF39">
        <v>0</v>
      </c>
      <c r="BG39">
        <v>0</v>
      </c>
      <c r="BH39">
        <v>0</v>
      </c>
    </row>
    <row r="40" spans="1:61">
      <c r="A40" s="164" t="s">
        <v>249</v>
      </c>
      <c r="B40" t="s">
        <v>250</v>
      </c>
      <c r="C40">
        <v>0</v>
      </c>
      <c r="D40" t="s">
        <v>194</v>
      </c>
      <c r="E40">
        <v>0</v>
      </c>
      <c r="F40" t="s">
        <v>195</v>
      </c>
      <c r="G40" t="s">
        <v>78</v>
      </c>
      <c r="H40" t="s">
        <v>79</v>
      </c>
      <c r="I40" t="s">
        <v>80</v>
      </c>
      <c r="J40" t="s">
        <v>196</v>
      </c>
      <c r="K40" t="s">
        <v>13</v>
      </c>
      <c r="L40" t="s">
        <v>83</v>
      </c>
      <c r="M40" t="s">
        <v>205</v>
      </c>
      <c r="N40">
        <v>1</v>
      </c>
      <c r="O40" t="b">
        <v>1</v>
      </c>
      <c r="P40">
        <v>0</v>
      </c>
      <c r="BB40">
        <v>0</v>
      </c>
      <c r="BC40" t="s">
        <v>197</v>
      </c>
      <c r="BD40" t="s">
        <v>198</v>
      </c>
      <c r="BE40" t="s">
        <v>117</v>
      </c>
      <c r="BF40">
        <v>0</v>
      </c>
      <c r="BG40">
        <v>0</v>
      </c>
      <c r="BH40">
        <v>0</v>
      </c>
    </row>
    <row r="41" spans="1:61">
      <c r="A41" s="164" t="s">
        <v>251</v>
      </c>
      <c r="B41" t="s">
        <v>252</v>
      </c>
      <c r="C41">
        <v>0</v>
      </c>
      <c r="D41" t="s">
        <v>194</v>
      </c>
      <c r="E41">
        <v>0</v>
      </c>
      <c r="F41" t="s">
        <v>195</v>
      </c>
      <c r="G41" t="s">
        <v>78</v>
      </c>
      <c r="H41" t="s">
        <v>79</v>
      </c>
      <c r="I41" t="s">
        <v>80</v>
      </c>
      <c r="J41" t="s">
        <v>196</v>
      </c>
      <c r="K41" t="s">
        <v>13</v>
      </c>
      <c r="L41" t="s">
        <v>83</v>
      </c>
      <c r="M41" t="s">
        <v>84</v>
      </c>
      <c r="N41">
        <v>1</v>
      </c>
      <c r="O41" t="b">
        <v>1</v>
      </c>
      <c r="P41">
        <v>0</v>
      </c>
      <c r="BB41">
        <v>0</v>
      </c>
      <c r="BC41" t="s">
        <v>197</v>
      </c>
      <c r="BD41" t="s">
        <v>198</v>
      </c>
      <c r="BE41" t="s">
        <v>117</v>
      </c>
      <c r="BF41">
        <v>0</v>
      </c>
      <c r="BG41">
        <v>0</v>
      </c>
      <c r="BH41">
        <v>0</v>
      </c>
    </row>
    <row r="42" spans="1:61">
      <c r="A42" s="164" t="s">
        <v>253</v>
      </c>
      <c r="B42" t="s">
        <v>254</v>
      </c>
      <c r="C42">
        <v>0</v>
      </c>
      <c r="D42" t="s">
        <v>194</v>
      </c>
      <c r="E42">
        <v>0</v>
      </c>
      <c r="F42" t="s">
        <v>195</v>
      </c>
      <c r="G42" t="s">
        <v>78</v>
      </c>
      <c r="H42" t="s">
        <v>79</v>
      </c>
      <c r="I42" t="s">
        <v>80</v>
      </c>
      <c r="J42" t="s">
        <v>196</v>
      </c>
      <c r="K42" t="s">
        <v>13</v>
      </c>
      <c r="L42" t="s">
        <v>83</v>
      </c>
      <c r="M42" t="s">
        <v>84</v>
      </c>
      <c r="N42">
        <v>1</v>
      </c>
      <c r="O42" t="b">
        <v>1</v>
      </c>
      <c r="P42">
        <v>0</v>
      </c>
      <c r="BB42">
        <v>0</v>
      </c>
      <c r="BC42" t="s">
        <v>197</v>
      </c>
      <c r="BD42" t="s">
        <v>198</v>
      </c>
      <c r="BE42" t="s">
        <v>117</v>
      </c>
      <c r="BF42">
        <v>0</v>
      </c>
      <c r="BG42">
        <v>0</v>
      </c>
      <c r="BH42">
        <v>0</v>
      </c>
    </row>
    <row r="43" spans="1:61">
      <c r="A43" s="164" t="s">
        <v>255</v>
      </c>
      <c r="B43" t="s">
        <v>256</v>
      </c>
      <c r="C43">
        <v>0</v>
      </c>
      <c r="D43" t="s">
        <v>257</v>
      </c>
      <c r="E43">
        <v>0</v>
      </c>
      <c r="F43" t="s">
        <v>258</v>
      </c>
      <c r="G43" t="s">
        <v>78</v>
      </c>
      <c r="H43" t="s">
        <v>79</v>
      </c>
      <c r="I43" t="s">
        <v>80</v>
      </c>
      <c r="J43" t="s">
        <v>196</v>
      </c>
      <c r="K43" t="s">
        <v>13</v>
      </c>
      <c r="L43" t="s">
        <v>83</v>
      </c>
      <c r="M43" t="s">
        <v>205</v>
      </c>
      <c r="N43">
        <v>1</v>
      </c>
      <c r="O43" t="b">
        <v>1</v>
      </c>
      <c r="P43">
        <v>0</v>
      </c>
      <c r="BB43">
        <v>0</v>
      </c>
      <c r="BC43" t="s">
        <v>259</v>
      </c>
      <c r="BD43" t="s">
        <v>260</v>
      </c>
      <c r="BE43" t="s">
        <v>117</v>
      </c>
      <c r="BF43">
        <v>0</v>
      </c>
      <c r="BG43">
        <v>90</v>
      </c>
      <c r="BH43">
        <v>4</v>
      </c>
      <c r="BI43" t="s">
        <v>261</v>
      </c>
    </row>
    <row r="44" spans="1:61">
      <c r="A44" s="164" t="s">
        <v>262</v>
      </c>
      <c r="B44" t="s">
        <v>263</v>
      </c>
      <c r="C44">
        <v>0</v>
      </c>
      <c r="D44" t="s">
        <v>257</v>
      </c>
      <c r="E44">
        <v>0</v>
      </c>
      <c r="F44" t="s">
        <v>264</v>
      </c>
      <c r="G44" t="s">
        <v>78</v>
      </c>
      <c r="H44" t="s">
        <v>79</v>
      </c>
      <c r="I44" t="s">
        <v>80</v>
      </c>
      <c r="J44" t="s">
        <v>196</v>
      </c>
      <c r="K44" t="s">
        <v>13</v>
      </c>
      <c r="L44" t="s">
        <v>83</v>
      </c>
      <c r="M44" t="s">
        <v>205</v>
      </c>
      <c r="N44">
        <v>1</v>
      </c>
      <c r="O44" t="b">
        <v>1</v>
      </c>
      <c r="P44">
        <v>0</v>
      </c>
      <c r="BB44">
        <v>0</v>
      </c>
      <c r="BC44" t="s">
        <v>259</v>
      </c>
      <c r="BD44" t="s">
        <v>265</v>
      </c>
      <c r="BE44" t="s">
        <v>117</v>
      </c>
      <c r="BF44">
        <v>0</v>
      </c>
      <c r="BG44">
        <v>20</v>
      </c>
      <c r="BH44">
        <v>15000</v>
      </c>
      <c r="BI44" t="s">
        <v>266</v>
      </c>
    </row>
    <row r="45" spans="1:61">
      <c r="A45" s="164" t="s">
        <v>267</v>
      </c>
      <c r="B45" t="s">
        <v>268</v>
      </c>
      <c r="C45">
        <v>0</v>
      </c>
      <c r="D45" t="s">
        <v>257</v>
      </c>
      <c r="E45">
        <v>0</v>
      </c>
      <c r="F45" t="s">
        <v>269</v>
      </c>
      <c r="G45" t="s">
        <v>103</v>
      </c>
      <c r="H45" t="s">
        <v>104</v>
      </c>
      <c r="I45" t="s">
        <v>80</v>
      </c>
      <c r="J45" t="s">
        <v>196</v>
      </c>
      <c r="K45" t="s">
        <v>13</v>
      </c>
      <c r="L45" t="s">
        <v>83</v>
      </c>
      <c r="M45" t="s">
        <v>205</v>
      </c>
      <c r="N45">
        <v>1</v>
      </c>
      <c r="O45" t="b">
        <v>0</v>
      </c>
      <c r="P45">
        <v>0</v>
      </c>
      <c r="BB45">
        <v>0</v>
      </c>
      <c r="BC45" t="s">
        <v>259</v>
      </c>
      <c r="BD45" t="s">
        <v>270</v>
      </c>
      <c r="BE45" t="s">
        <v>117</v>
      </c>
      <c r="BF45">
        <v>0</v>
      </c>
      <c r="BG45">
        <v>0</v>
      </c>
      <c r="BH45">
        <v>0</v>
      </c>
    </row>
    <row r="46" spans="1:61">
      <c r="A46" s="164" t="s">
        <v>271</v>
      </c>
      <c r="B46" t="s">
        <v>272</v>
      </c>
      <c r="C46">
        <v>0</v>
      </c>
      <c r="D46" t="s">
        <v>257</v>
      </c>
      <c r="E46">
        <v>0</v>
      </c>
      <c r="F46" t="s">
        <v>269</v>
      </c>
      <c r="G46" t="s">
        <v>103</v>
      </c>
      <c r="H46" t="s">
        <v>104</v>
      </c>
      <c r="I46" t="s">
        <v>80</v>
      </c>
      <c r="J46" t="s">
        <v>196</v>
      </c>
      <c r="K46" t="s">
        <v>13</v>
      </c>
      <c r="L46" t="s">
        <v>83</v>
      </c>
      <c r="M46" t="s">
        <v>205</v>
      </c>
      <c r="N46">
        <v>1</v>
      </c>
      <c r="O46" t="b">
        <v>0</v>
      </c>
      <c r="P46">
        <v>0</v>
      </c>
      <c r="BB46">
        <v>0</v>
      </c>
      <c r="BC46" t="s">
        <v>259</v>
      </c>
      <c r="BD46" t="s">
        <v>270</v>
      </c>
      <c r="BE46" t="s">
        <v>117</v>
      </c>
      <c r="BF46">
        <v>0</v>
      </c>
      <c r="BG46">
        <v>0</v>
      </c>
      <c r="BH46">
        <v>0</v>
      </c>
    </row>
    <row r="47" spans="1:61">
      <c r="A47" s="164" t="s">
        <v>273</v>
      </c>
      <c r="B47" t="s">
        <v>274</v>
      </c>
      <c r="C47">
        <v>0</v>
      </c>
      <c r="D47" t="s">
        <v>257</v>
      </c>
      <c r="E47">
        <v>0</v>
      </c>
      <c r="F47" t="s">
        <v>269</v>
      </c>
      <c r="G47" t="s">
        <v>103</v>
      </c>
      <c r="H47" t="s">
        <v>104</v>
      </c>
      <c r="I47" t="s">
        <v>80</v>
      </c>
      <c r="J47" t="s">
        <v>196</v>
      </c>
      <c r="K47" t="s">
        <v>13</v>
      </c>
      <c r="L47" t="s">
        <v>83</v>
      </c>
      <c r="M47" t="s">
        <v>205</v>
      </c>
      <c r="N47">
        <v>1</v>
      </c>
      <c r="O47" t="b">
        <v>0</v>
      </c>
      <c r="P47">
        <v>0</v>
      </c>
      <c r="BB47">
        <v>0</v>
      </c>
      <c r="BC47" t="s">
        <v>259</v>
      </c>
      <c r="BD47" t="s">
        <v>270</v>
      </c>
      <c r="BE47" t="s">
        <v>117</v>
      </c>
      <c r="BF47">
        <v>0</v>
      </c>
      <c r="BG47">
        <v>0</v>
      </c>
      <c r="BH47">
        <v>0</v>
      </c>
    </row>
    <row r="48" spans="1:61">
      <c r="A48" s="164" t="s">
        <v>275</v>
      </c>
      <c r="B48" t="s">
        <v>276</v>
      </c>
      <c r="C48">
        <v>0</v>
      </c>
      <c r="D48" t="s">
        <v>257</v>
      </c>
      <c r="E48">
        <v>0</v>
      </c>
      <c r="F48" t="s">
        <v>269</v>
      </c>
      <c r="G48" t="s">
        <v>103</v>
      </c>
      <c r="H48" t="s">
        <v>104</v>
      </c>
      <c r="I48" t="s">
        <v>80</v>
      </c>
      <c r="J48" t="s">
        <v>196</v>
      </c>
      <c r="K48" t="s">
        <v>13</v>
      </c>
      <c r="L48" t="s">
        <v>83</v>
      </c>
      <c r="M48" t="s">
        <v>205</v>
      </c>
      <c r="N48">
        <v>1</v>
      </c>
      <c r="O48" t="b">
        <v>0</v>
      </c>
      <c r="P48">
        <v>0</v>
      </c>
      <c r="BB48">
        <v>0</v>
      </c>
      <c r="BC48" t="s">
        <v>259</v>
      </c>
      <c r="BD48" t="s">
        <v>270</v>
      </c>
      <c r="BE48" t="s">
        <v>117</v>
      </c>
      <c r="BF48">
        <v>0</v>
      </c>
      <c r="BG48">
        <v>0</v>
      </c>
      <c r="BH48">
        <v>0</v>
      </c>
    </row>
    <row r="49" spans="1:61">
      <c r="A49" s="164" t="s">
        <v>277</v>
      </c>
      <c r="B49" t="s">
        <v>278</v>
      </c>
      <c r="C49">
        <v>0</v>
      </c>
      <c r="D49" t="s">
        <v>257</v>
      </c>
      <c r="E49">
        <v>0</v>
      </c>
      <c r="F49" t="s">
        <v>269</v>
      </c>
      <c r="G49" t="s">
        <v>103</v>
      </c>
      <c r="H49" t="s">
        <v>104</v>
      </c>
      <c r="I49" t="s">
        <v>80</v>
      </c>
      <c r="J49" t="s">
        <v>196</v>
      </c>
      <c r="K49" t="s">
        <v>13</v>
      </c>
      <c r="L49" t="s">
        <v>83</v>
      </c>
      <c r="M49" t="s">
        <v>205</v>
      </c>
      <c r="N49">
        <v>1</v>
      </c>
      <c r="O49" t="b">
        <v>0</v>
      </c>
      <c r="P49">
        <v>0</v>
      </c>
      <c r="BB49">
        <v>0</v>
      </c>
      <c r="BC49" t="s">
        <v>259</v>
      </c>
      <c r="BD49" t="s">
        <v>270</v>
      </c>
      <c r="BE49" t="s">
        <v>117</v>
      </c>
      <c r="BF49">
        <v>0</v>
      </c>
      <c r="BG49">
        <v>0</v>
      </c>
      <c r="BH49">
        <v>0</v>
      </c>
    </row>
    <row r="50" spans="1:61">
      <c r="A50" s="164" t="s">
        <v>279</v>
      </c>
      <c r="B50" t="s">
        <v>280</v>
      </c>
      <c r="C50">
        <v>0</v>
      </c>
      <c r="D50" t="s">
        <v>257</v>
      </c>
      <c r="E50">
        <v>0</v>
      </c>
      <c r="F50" t="s">
        <v>269</v>
      </c>
      <c r="G50" t="s">
        <v>103</v>
      </c>
      <c r="H50" t="s">
        <v>104</v>
      </c>
      <c r="I50" t="s">
        <v>80</v>
      </c>
      <c r="J50" t="s">
        <v>196</v>
      </c>
      <c r="K50" t="s">
        <v>13</v>
      </c>
      <c r="L50" t="s">
        <v>83</v>
      </c>
      <c r="M50" t="s">
        <v>205</v>
      </c>
      <c r="N50">
        <v>1</v>
      </c>
      <c r="O50" t="b">
        <v>0</v>
      </c>
      <c r="P50">
        <v>0</v>
      </c>
      <c r="BB50">
        <v>0</v>
      </c>
      <c r="BC50" t="s">
        <v>259</v>
      </c>
      <c r="BD50" t="s">
        <v>270</v>
      </c>
      <c r="BE50" t="s">
        <v>117</v>
      </c>
      <c r="BF50">
        <v>0</v>
      </c>
      <c r="BG50">
        <v>0</v>
      </c>
      <c r="BH50">
        <v>0</v>
      </c>
    </row>
    <row r="51" spans="1:61">
      <c r="A51" s="164" t="s">
        <v>281</v>
      </c>
      <c r="B51" t="s">
        <v>282</v>
      </c>
      <c r="C51">
        <v>0</v>
      </c>
      <c r="D51" t="s">
        <v>257</v>
      </c>
      <c r="E51">
        <v>0</v>
      </c>
      <c r="F51" t="s">
        <v>269</v>
      </c>
      <c r="G51" t="s">
        <v>103</v>
      </c>
      <c r="H51" t="s">
        <v>104</v>
      </c>
      <c r="I51" t="s">
        <v>80</v>
      </c>
      <c r="J51" t="s">
        <v>196</v>
      </c>
      <c r="K51" t="s">
        <v>13</v>
      </c>
      <c r="L51" t="s">
        <v>83</v>
      </c>
      <c r="M51" t="s">
        <v>84</v>
      </c>
      <c r="N51">
        <v>1</v>
      </c>
      <c r="O51" t="b">
        <v>0</v>
      </c>
      <c r="P51">
        <v>0</v>
      </c>
      <c r="BB51">
        <v>0</v>
      </c>
      <c r="BC51" t="s">
        <v>259</v>
      </c>
      <c r="BD51" t="s">
        <v>270</v>
      </c>
      <c r="BE51" t="s">
        <v>117</v>
      </c>
      <c r="BF51">
        <v>0</v>
      </c>
      <c r="BG51">
        <v>0</v>
      </c>
      <c r="BH51">
        <v>0</v>
      </c>
    </row>
    <row r="52" spans="1:61">
      <c r="A52" s="164" t="s">
        <v>283</v>
      </c>
      <c r="B52" t="s">
        <v>284</v>
      </c>
      <c r="C52">
        <v>0</v>
      </c>
      <c r="D52" t="s">
        <v>257</v>
      </c>
      <c r="E52">
        <v>0</v>
      </c>
      <c r="F52" t="s">
        <v>269</v>
      </c>
      <c r="G52" t="s">
        <v>103</v>
      </c>
      <c r="H52" t="s">
        <v>104</v>
      </c>
      <c r="I52" t="s">
        <v>80</v>
      </c>
      <c r="J52" t="s">
        <v>196</v>
      </c>
      <c r="K52" t="s">
        <v>13</v>
      </c>
      <c r="L52" t="s">
        <v>83</v>
      </c>
      <c r="M52" t="s">
        <v>205</v>
      </c>
      <c r="N52">
        <v>1</v>
      </c>
      <c r="O52" t="b">
        <v>0</v>
      </c>
      <c r="P52">
        <v>0</v>
      </c>
      <c r="BB52">
        <v>0</v>
      </c>
      <c r="BC52" t="s">
        <v>259</v>
      </c>
      <c r="BD52" t="s">
        <v>270</v>
      </c>
      <c r="BE52" t="s">
        <v>117</v>
      </c>
      <c r="BF52">
        <v>0</v>
      </c>
      <c r="BG52">
        <v>0</v>
      </c>
      <c r="BH52">
        <v>0</v>
      </c>
    </row>
    <row r="53" spans="1:61">
      <c r="A53" s="164" t="s">
        <v>285</v>
      </c>
      <c r="B53" t="s">
        <v>286</v>
      </c>
      <c r="C53">
        <v>0</v>
      </c>
      <c r="D53" t="s">
        <v>257</v>
      </c>
      <c r="E53">
        <v>0</v>
      </c>
      <c r="F53" t="s">
        <v>269</v>
      </c>
      <c r="G53" t="s">
        <v>103</v>
      </c>
      <c r="H53" t="s">
        <v>104</v>
      </c>
      <c r="I53" t="s">
        <v>80</v>
      </c>
      <c r="J53" t="s">
        <v>196</v>
      </c>
      <c r="K53" t="s">
        <v>13</v>
      </c>
      <c r="L53" t="s">
        <v>83</v>
      </c>
      <c r="M53" t="s">
        <v>84</v>
      </c>
      <c r="N53">
        <v>1</v>
      </c>
      <c r="O53" t="b">
        <v>0</v>
      </c>
      <c r="P53">
        <v>0</v>
      </c>
      <c r="BB53">
        <v>0</v>
      </c>
      <c r="BC53" t="s">
        <v>259</v>
      </c>
      <c r="BD53" t="s">
        <v>270</v>
      </c>
      <c r="BE53" t="s">
        <v>117</v>
      </c>
      <c r="BF53">
        <v>0</v>
      </c>
      <c r="BG53">
        <v>0</v>
      </c>
      <c r="BH53">
        <v>0</v>
      </c>
    </row>
    <row r="54" spans="1:61">
      <c r="A54" s="164" t="s">
        <v>287</v>
      </c>
      <c r="B54" t="s">
        <v>288</v>
      </c>
      <c r="C54">
        <v>0</v>
      </c>
      <c r="D54" t="s">
        <v>257</v>
      </c>
      <c r="E54">
        <v>0</v>
      </c>
      <c r="F54" t="s">
        <v>269</v>
      </c>
      <c r="G54" t="s">
        <v>103</v>
      </c>
      <c r="H54" t="s">
        <v>104</v>
      </c>
      <c r="I54" t="s">
        <v>80</v>
      </c>
      <c r="J54" t="s">
        <v>196</v>
      </c>
      <c r="K54" t="s">
        <v>13</v>
      </c>
      <c r="L54" t="s">
        <v>83</v>
      </c>
      <c r="M54" t="s">
        <v>84</v>
      </c>
      <c r="N54">
        <v>1</v>
      </c>
      <c r="O54" t="b">
        <v>0</v>
      </c>
      <c r="P54">
        <v>0</v>
      </c>
      <c r="BB54">
        <v>0</v>
      </c>
      <c r="BC54" t="s">
        <v>259</v>
      </c>
      <c r="BD54" t="s">
        <v>270</v>
      </c>
      <c r="BE54" t="s">
        <v>117</v>
      </c>
      <c r="BF54">
        <v>0</v>
      </c>
      <c r="BG54">
        <v>0</v>
      </c>
      <c r="BH54">
        <v>0</v>
      </c>
    </row>
    <row r="55" spans="1:61">
      <c r="A55" s="164" t="s">
        <v>289</v>
      </c>
      <c r="B55" t="s">
        <v>290</v>
      </c>
      <c r="C55">
        <v>0</v>
      </c>
      <c r="D55" t="s">
        <v>257</v>
      </c>
      <c r="E55">
        <v>0</v>
      </c>
      <c r="F55" t="s">
        <v>269</v>
      </c>
      <c r="G55" t="s">
        <v>103</v>
      </c>
      <c r="H55" t="s">
        <v>104</v>
      </c>
      <c r="I55" t="s">
        <v>80</v>
      </c>
      <c r="J55" t="s">
        <v>196</v>
      </c>
      <c r="K55" t="s">
        <v>13</v>
      </c>
      <c r="L55" t="s">
        <v>83</v>
      </c>
      <c r="M55" t="s">
        <v>84</v>
      </c>
      <c r="N55">
        <v>1</v>
      </c>
      <c r="O55" t="b">
        <v>0</v>
      </c>
      <c r="P55">
        <v>0</v>
      </c>
      <c r="BB55">
        <v>0</v>
      </c>
      <c r="BC55" t="s">
        <v>259</v>
      </c>
      <c r="BD55" t="s">
        <v>270</v>
      </c>
      <c r="BE55" t="s">
        <v>117</v>
      </c>
      <c r="BF55">
        <v>0</v>
      </c>
      <c r="BG55">
        <v>0</v>
      </c>
      <c r="BH55">
        <v>0</v>
      </c>
    </row>
    <row r="56" spans="1:61">
      <c r="A56" s="164" t="s">
        <v>291</v>
      </c>
      <c r="B56" t="s">
        <v>292</v>
      </c>
      <c r="C56">
        <v>0</v>
      </c>
      <c r="D56" t="s">
        <v>257</v>
      </c>
      <c r="E56">
        <v>0</v>
      </c>
      <c r="F56" t="s">
        <v>293</v>
      </c>
      <c r="G56" t="s">
        <v>78</v>
      </c>
      <c r="H56" t="s">
        <v>79</v>
      </c>
      <c r="I56" t="s">
        <v>80</v>
      </c>
      <c r="J56" t="s">
        <v>196</v>
      </c>
      <c r="K56" t="s">
        <v>13</v>
      </c>
      <c r="L56" t="s">
        <v>83</v>
      </c>
      <c r="M56" t="s">
        <v>205</v>
      </c>
      <c r="N56">
        <v>1</v>
      </c>
      <c r="O56" t="b">
        <v>1</v>
      </c>
      <c r="P56">
        <v>0</v>
      </c>
      <c r="BB56">
        <v>0</v>
      </c>
      <c r="BC56" t="s">
        <v>259</v>
      </c>
      <c r="BD56" t="s">
        <v>294</v>
      </c>
      <c r="BE56" t="s">
        <v>117</v>
      </c>
      <c r="BF56">
        <v>0</v>
      </c>
      <c r="BG56">
        <v>10</v>
      </c>
      <c r="BH56">
        <v>150</v>
      </c>
      <c r="BI56" t="s">
        <v>295</v>
      </c>
    </row>
    <row r="57" spans="1:61">
      <c r="A57" s="164" t="s">
        <v>296</v>
      </c>
      <c r="B57" t="s">
        <v>297</v>
      </c>
      <c r="C57">
        <v>0</v>
      </c>
      <c r="D57" t="s">
        <v>257</v>
      </c>
      <c r="E57">
        <v>0</v>
      </c>
      <c r="F57" t="s">
        <v>293</v>
      </c>
      <c r="G57" t="s">
        <v>78</v>
      </c>
      <c r="H57" t="s">
        <v>79</v>
      </c>
      <c r="I57" t="s">
        <v>80</v>
      </c>
      <c r="J57" t="s">
        <v>196</v>
      </c>
      <c r="K57" t="s">
        <v>13</v>
      </c>
      <c r="L57" t="s">
        <v>83</v>
      </c>
      <c r="M57" t="s">
        <v>205</v>
      </c>
      <c r="N57">
        <v>1</v>
      </c>
      <c r="O57" t="b">
        <v>1</v>
      </c>
      <c r="P57">
        <v>0</v>
      </c>
      <c r="BB57">
        <v>0</v>
      </c>
      <c r="BC57" t="s">
        <v>259</v>
      </c>
      <c r="BD57" t="s">
        <v>294</v>
      </c>
      <c r="BE57" t="s">
        <v>117</v>
      </c>
      <c r="BF57">
        <v>0</v>
      </c>
      <c r="BG57">
        <v>10</v>
      </c>
      <c r="BH57">
        <v>150</v>
      </c>
      <c r="BI57" t="s">
        <v>295</v>
      </c>
    </row>
    <row r="58" spans="1:61">
      <c r="A58" s="164" t="s">
        <v>298</v>
      </c>
      <c r="B58" t="s">
        <v>299</v>
      </c>
      <c r="C58">
        <v>0</v>
      </c>
      <c r="D58" t="s">
        <v>257</v>
      </c>
      <c r="E58">
        <v>0</v>
      </c>
      <c r="F58" t="s">
        <v>269</v>
      </c>
      <c r="G58" t="s">
        <v>103</v>
      </c>
      <c r="H58" t="s">
        <v>104</v>
      </c>
      <c r="I58" t="s">
        <v>80</v>
      </c>
      <c r="J58" t="s">
        <v>196</v>
      </c>
      <c r="K58" t="s">
        <v>13</v>
      </c>
      <c r="L58" t="s">
        <v>83</v>
      </c>
      <c r="M58" t="s">
        <v>205</v>
      </c>
      <c r="N58">
        <v>1</v>
      </c>
      <c r="O58" t="b">
        <v>0</v>
      </c>
      <c r="P58">
        <v>0</v>
      </c>
      <c r="BB58">
        <v>0</v>
      </c>
      <c r="BC58" t="s">
        <v>259</v>
      </c>
      <c r="BD58" t="s">
        <v>270</v>
      </c>
      <c r="BE58" t="s">
        <v>117</v>
      </c>
      <c r="BF58">
        <v>0</v>
      </c>
      <c r="BG58">
        <v>0</v>
      </c>
      <c r="BH58">
        <v>0</v>
      </c>
    </row>
    <row r="59" spans="1:61">
      <c r="A59" s="164" t="s">
        <v>300</v>
      </c>
      <c r="B59" t="s">
        <v>301</v>
      </c>
      <c r="C59">
        <v>0</v>
      </c>
      <c r="D59" t="s">
        <v>257</v>
      </c>
      <c r="E59">
        <v>0</v>
      </c>
      <c r="F59" t="s">
        <v>269</v>
      </c>
      <c r="G59" t="s">
        <v>103</v>
      </c>
      <c r="H59" t="s">
        <v>104</v>
      </c>
      <c r="I59" t="s">
        <v>80</v>
      </c>
      <c r="J59" t="s">
        <v>196</v>
      </c>
      <c r="K59" t="s">
        <v>13</v>
      </c>
      <c r="L59" t="s">
        <v>83</v>
      </c>
      <c r="M59" t="s">
        <v>205</v>
      </c>
      <c r="N59">
        <v>1</v>
      </c>
      <c r="O59" t="b">
        <v>0</v>
      </c>
      <c r="P59">
        <v>0</v>
      </c>
      <c r="BB59">
        <v>0</v>
      </c>
      <c r="BC59" t="s">
        <v>259</v>
      </c>
      <c r="BD59" t="s">
        <v>270</v>
      </c>
      <c r="BE59" t="s">
        <v>117</v>
      </c>
      <c r="BF59">
        <v>0</v>
      </c>
      <c r="BG59">
        <v>0</v>
      </c>
      <c r="BH59">
        <v>0</v>
      </c>
    </row>
    <row r="60" spans="1:61">
      <c r="A60" s="164" t="s">
        <v>302</v>
      </c>
      <c r="B60" t="s">
        <v>303</v>
      </c>
      <c r="C60">
        <v>0</v>
      </c>
      <c r="D60" t="s">
        <v>304</v>
      </c>
      <c r="E60">
        <v>0</v>
      </c>
      <c r="F60" t="s">
        <v>305</v>
      </c>
      <c r="G60" t="s">
        <v>78</v>
      </c>
      <c r="H60" t="s">
        <v>79</v>
      </c>
      <c r="I60" t="s">
        <v>80</v>
      </c>
      <c r="J60" t="s">
        <v>196</v>
      </c>
      <c r="K60" t="s">
        <v>13</v>
      </c>
      <c r="L60" t="s">
        <v>83</v>
      </c>
      <c r="M60" t="s">
        <v>84</v>
      </c>
      <c r="N60">
        <v>1</v>
      </c>
      <c r="O60" t="b">
        <v>1</v>
      </c>
      <c r="P60">
        <v>0</v>
      </c>
      <c r="BB60">
        <v>0</v>
      </c>
      <c r="BC60" t="s">
        <v>306</v>
      </c>
      <c r="BD60" t="s">
        <v>307</v>
      </c>
      <c r="BE60" t="s">
        <v>117</v>
      </c>
      <c r="BF60">
        <v>0</v>
      </c>
      <c r="BG60">
        <v>25</v>
      </c>
      <c r="BH60">
        <v>10000</v>
      </c>
      <c r="BI60" t="s">
        <v>308</v>
      </c>
    </row>
    <row r="61" spans="1:61">
      <c r="A61" s="164" t="s">
        <v>309</v>
      </c>
      <c r="B61" t="s">
        <v>310</v>
      </c>
      <c r="C61">
        <v>0</v>
      </c>
      <c r="D61" t="s">
        <v>304</v>
      </c>
      <c r="E61">
        <v>0</v>
      </c>
      <c r="F61" t="s">
        <v>305</v>
      </c>
      <c r="G61" t="s">
        <v>78</v>
      </c>
      <c r="H61" t="s">
        <v>79</v>
      </c>
      <c r="I61" t="s">
        <v>80</v>
      </c>
      <c r="J61" t="s">
        <v>196</v>
      </c>
      <c r="K61" t="s">
        <v>13</v>
      </c>
      <c r="L61" t="s">
        <v>83</v>
      </c>
      <c r="M61" t="s">
        <v>84</v>
      </c>
      <c r="N61">
        <v>1</v>
      </c>
      <c r="O61" t="b">
        <v>1</v>
      </c>
      <c r="P61">
        <v>0</v>
      </c>
      <c r="BB61">
        <v>0</v>
      </c>
      <c r="BC61" t="s">
        <v>306</v>
      </c>
      <c r="BD61" t="s">
        <v>307</v>
      </c>
      <c r="BE61" t="s">
        <v>117</v>
      </c>
      <c r="BF61">
        <v>0</v>
      </c>
      <c r="BG61">
        <v>25</v>
      </c>
      <c r="BH61">
        <v>20000</v>
      </c>
      <c r="BI61" t="s">
        <v>308</v>
      </c>
    </row>
    <row r="62" spans="1:61">
      <c r="A62" s="164" t="s">
        <v>311</v>
      </c>
      <c r="B62" t="s">
        <v>312</v>
      </c>
      <c r="C62">
        <v>0</v>
      </c>
      <c r="D62" t="s">
        <v>304</v>
      </c>
      <c r="E62">
        <v>0</v>
      </c>
      <c r="F62" t="s">
        <v>313</v>
      </c>
      <c r="G62" t="s">
        <v>78</v>
      </c>
      <c r="H62" t="s">
        <v>79</v>
      </c>
      <c r="I62" t="s">
        <v>80</v>
      </c>
      <c r="J62" t="s">
        <v>196</v>
      </c>
      <c r="K62" t="s">
        <v>13</v>
      </c>
      <c r="L62" t="s">
        <v>83</v>
      </c>
      <c r="M62" t="s">
        <v>84</v>
      </c>
      <c r="N62">
        <v>1</v>
      </c>
      <c r="O62" t="b">
        <v>1</v>
      </c>
      <c r="P62">
        <v>0</v>
      </c>
      <c r="BB62">
        <v>0</v>
      </c>
      <c r="BC62" t="s">
        <v>306</v>
      </c>
      <c r="BD62" t="s">
        <v>314</v>
      </c>
      <c r="BE62" t="s">
        <v>117</v>
      </c>
      <c r="BF62">
        <v>0</v>
      </c>
      <c r="BG62">
        <v>45</v>
      </c>
      <c r="BH62">
        <v>25000</v>
      </c>
      <c r="BI62" t="s">
        <v>315</v>
      </c>
    </row>
    <row r="63" spans="1:61">
      <c r="A63" s="164" t="s">
        <v>316</v>
      </c>
      <c r="B63" t="s">
        <v>317</v>
      </c>
      <c r="C63">
        <v>0</v>
      </c>
      <c r="D63" t="s">
        <v>304</v>
      </c>
      <c r="E63">
        <v>0</v>
      </c>
      <c r="F63" t="s">
        <v>313</v>
      </c>
      <c r="G63" t="s">
        <v>78</v>
      </c>
      <c r="H63" t="s">
        <v>79</v>
      </c>
      <c r="I63" t="s">
        <v>80</v>
      </c>
      <c r="J63" t="s">
        <v>196</v>
      </c>
      <c r="K63" t="s">
        <v>13</v>
      </c>
      <c r="L63" t="s">
        <v>83</v>
      </c>
      <c r="M63" t="s">
        <v>205</v>
      </c>
      <c r="N63">
        <v>1</v>
      </c>
      <c r="O63" t="b">
        <v>1</v>
      </c>
      <c r="P63">
        <v>0</v>
      </c>
      <c r="BB63">
        <v>0</v>
      </c>
      <c r="BC63" t="s">
        <v>306</v>
      </c>
      <c r="BD63" t="s">
        <v>314</v>
      </c>
      <c r="BE63" t="s">
        <v>117</v>
      </c>
      <c r="BF63">
        <v>0</v>
      </c>
      <c r="BG63">
        <v>45</v>
      </c>
      <c r="BH63">
        <v>300</v>
      </c>
      <c r="BI63" t="s">
        <v>315</v>
      </c>
    </row>
    <row r="64" spans="1:61">
      <c r="A64" s="164" t="s">
        <v>318</v>
      </c>
      <c r="B64" t="s">
        <v>319</v>
      </c>
      <c r="C64">
        <v>0</v>
      </c>
      <c r="D64" t="s">
        <v>304</v>
      </c>
      <c r="E64">
        <v>0</v>
      </c>
      <c r="F64" t="s">
        <v>269</v>
      </c>
      <c r="G64" t="s">
        <v>103</v>
      </c>
      <c r="H64" t="s">
        <v>104</v>
      </c>
      <c r="I64" t="s">
        <v>80</v>
      </c>
      <c r="J64" t="s">
        <v>196</v>
      </c>
      <c r="K64" t="s">
        <v>13</v>
      </c>
      <c r="L64" t="s">
        <v>83</v>
      </c>
      <c r="M64" t="s">
        <v>84</v>
      </c>
      <c r="N64">
        <v>1</v>
      </c>
      <c r="O64" t="b">
        <v>0</v>
      </c>
      <c r="P64">
        <v>0</v>
      </c>
      <c r="BB64">
        <v>0</v>
      </c>
      <c r="BC64" t="s">
        <v>306</v>
      </c>
      <c r="BD64" t="s">
        <v>270</v>
      </c>
      <c r="BE64" t="s">
        <v>117</v>
      </c>
      <c r="BF64">
        <v>0</v>
      </c>
      <c r="BG64">
        <v>0</v>
      </c>
      <c r="BH64">
        <v>0</v>
      </c>
    </row>
    <row r="65" spans="1:61">
      <c r="A65" s="164" t="s">
        <v>320</v>
      </c>
      <c r="B65" t="s">
        <v>321</v>
      </c>
      <c r="C65">
        <v>0</v>
      </c>
      <c r="D65" t="s">
        <v>304</v>
      </c>
      <c r="E65">
        <v>0</v>
      </c>
      <c r="F65" t="s">
        <v>305</v>
      </c>
      <c r="G65" t="s">
        <v>78</v>
      </c>
      <c r="H65" t="s">
        <v>79</v>
      </c>
      <c r="I65" t="s">
        <v>80</v>
      </c>
      <c r="J65" t="s">
        <v>196</v>
      </c>
      <c r="K65" t="s">
        <v>13</v>
      </c>
      <c r="L65" t="s">
        <v>83</v>
      </c>
      <c r="M65" t="s">
        <v>84</v>
      </c>
      <c r="N65">
        <v>1</v>
      </c>
      <c r="O65" t="b">
        <v>1</v>
      </c>
      <c r="P65">
        <v>0</v>
      </c>
      <c r="BB65">
        <v>0</v>
      </c>
      <c r="BC65" t="s">
        <v>306</v>
      </c>
      <c r="BD65" t="s">
        <v>307</v>
      </c>
      <c r="BE65" t="s">
        <v>117</v>
      </c>
      <c r="BF65">
        <v>0</v>
      </c>
      <c r="BG65">
        <v>20</v>
      </c>
      <c r="BH65">
        <v>30000</v>
      </c>
      <c r="BI65" t="s">
        <v>308</v>
      </c>
    </row>
    <row r="66" spans="1:61">
      <c r="A66" s="164" t="s">
        <v>322</v>
      </c>
      <c r="B66" t="s">
        <v>323</v>
      </c>
      <c r="C66">
        <v>0</v>
      </c>
      <c r="D66" t="s">
        <v>304</v>
      </c>
      <c r="E66">
        <v>0</v>
      </c>
      <c r="F66" t="s">
        <v>269</v>
      </c>
      <c r="G66" t="s">
        <v>103</v>
      </c>
      <c r="H66" t="s">
        <v>104</v>
      </c>
      <c r="I66" t="s">
        <v>80</v>
      </c>
      <c r="J66" t="s">
        <v>196</v>
      </c>
      <c r="K66" t="s">
        <v>13</v>
      </c>
      <c r="L66" t="s">
        <v>83</v>
      </c>
      <c r="M66" t="s">
        <v>84</v>
      </c>
      <c r="N66">
        <v>1</v>
      </c>
      <c r="O66" t="b">
        <v>0</v>
      </c>
      <c r="P66">
        <v>0</v>
      </c>
      <c r="BB66">
        <v>0</v>
      </c>
      <c r="BC66" t="s">
        <v>306</v>
      </c>
      <c r="BD66" t="s">
        <v>270</v>
      </c>
      <c r="BE66" t="s">
        <v>117</v>
      </c>
      <c r="BF66">
        <v>0</v>
      </c>
      <c r="BG66">
        <v>0</v>
      </c>
      <c r="BH66">
        <v>0</v>
      </c>
    </row>
    <row r="67" spans="1:61">
      <c r="A67" s="164" t="s">
        <v>324</v>
      </c>
      <c r="B67" t="s">
        <v>325</v>
      </c>
      <c r="C67">
        <v>0</v>
      </c>
      <c r="D67" t="s">
        <v>304</v>
      </c>
      <c r="E67">
        <v>0</v>
      </c>
      <c r="F67" t="s">
        <v>326</v>
      </c>
      <c r="G67" t="s">
        <v>78</v>
      </c>
      <c r="H67" t="s">
        <v>79</v>
      </c>
      <c r="I67" t="s">
        <v>80</v>
      </c>
      <c r="J67" t="s">
        <v>196</v>
      </c>
      <c r="K67" t="s">
        <v>13</v>
      </c>
      <c r="L67" t="s">
        <v>83</v>
      </c>
      <c r="M67" t="s">
        <v>84</v>
      </c>
      <c r="N67">
        <v>1</v>
      </c>
      <c r="O67" t="b">
        <v>1</v>
      </c>
      <c r="P67">
        <v>0</v>
      </c>
      <c r="BB67">
        <v>0</v>
      </c>
      <c r="BC67" t="s">
        <v>306</v>
      </c>
      <c r="BD67" t="s">
        <v>327</v>
      </c>
      <c r="BE67" t="s">
        <v>117</v>
      </c>
      <c r="BF67">
        <v>0</v>
      </c>
      <c r="BG67">
        <v>30</v>
      </c>
      <c r="BH67">
        <v>30000</v>
      </c>
      <c r="BI67" t="s">
        <v>328</v>
      </c>
    </row>
    <row r="68" spans="1:61">
      <c r="A68" s="164" t="s">
        <v>329</v>
      </c>
      <c r="B68" t="s">
        <v>330</v>
      </c>
      <c r="C68">
        <v>0</v>
      </c>
      <c r="D68" t="s">
        <v>304</v>
      </c>
      <c r="E68">
        <v>0</v>
      </c>
      <c r="F68" t="s">
        <v>331</v>
      </c>
      <c r="G68" t="s">
        <v>78</v>
      </c>
      <c r="H68" t="s">
        <v>79</v>
      </c>
      <c r="I68" t="s">
        <v>80</v>
      </c>
      <c r="J68" t="s">
        <v>196</v>
      </c>
      <c r="K68" t="s">
        <v>13</v>
      </c>
      <c r="L68" t="s">
        <v>83</v>
      </c>
      <c r="M68" t="s">
        <v>84</v>
      </c>
      <c r="N68">
        <v>1</v>
      </c>
      <c r="O68" t="b">
        <v>1</v>
      </c>
      <c r="P68">
        <v>0</v>
      </c>
      <c r="BB68">
        <v>0</v>
      </c>
      <c r="BC68" t="s">
        <v>306</v>
      </c>
      <c r="BD68" t="s">
        <v>332</v>
      </c>
      <c r="BE68" t="s">
        <v>117</v>
      </c>
      <c r="BF68">
        <v>0</v>
      </c>
      <c r="BG68">
        <v>60</v>
      </c>
      <c r="BH68">
        <v>200000</v>
      </c>
      <c r="BI68" t="s">
        <v>333</v>
      </c>
    </row>
    <row r="69" spans="1:61">
      <c r="A69" s="164" t="s">
        <v>334</v>
      </c>
      <c r="B69" t="s">
        <v>335</v>
      </c>
      <c r="C69">
        <v>0</v>
      </c>
      <c r="D69" t="s">
        <v>304</v>
      </c>
      <c r="E69">
        <v>0</v>
      </c>
      <c r="F69" t="s">
        <v>336</v>
      </c>
      <c r="G69" t="s">
        <v>78</v>
      </c>
      <c r="H69" t="s">
        <v>79</v>
      </c>
      <c r="I69" t="s">
        <v>80</v>
      </c>
      <c r="J69" t="s">
        <v>196</v>
      </c>
      <c r="K69" t="s">
        <v>13</v>
      </c>
      <c r="L69" t="s">
        <v>83</v>
      </c>
      <c r="M69" t="s">
        <v>84</v>
      </c>
      <c r="N69">
        <v>1</v>
      </c>
      <c r="O69" t="b">
        <v>1</v>
      </c>
      <c r="P69">
        <v>0</v>
      </c>
      <c r="BB69">
        <v>0</v>
      </c>
      <c r="BC69" t="s">
        <v>306</v>
      </c>
      <c r="BD69" t="s">
        <v>337</v>
      </c>
      <c r="BE69" t="s">
        <v>117</v>
      </c>
      <c r="BF69">
        <v>0</v>
      </c>
      <c r="BG69">
        <v>60</v>
      </c>
      <c r="BH69">
        <v>150000</v>
      </c>
      <c r="BI69" t="s">
        <v>333</v>
      </c>
    </row>
    <row r="70" spans="1:61">
      <c r="A70" s="164" t="s">
        <v>338</v>
      </c>
      <c r="B70" t="s">
        <v>339</v>
      </c>
      <c r="C70">
        <v>0</v>
      </c>
      <c r="D70" t="s">
        <v>304</v>
      </c>
      <c r="E70">
        <v>0</v>
      </c>
      <c r="F70" t="s">
        <v>305</v>
      </c>
      <c r="G70" t="s">
        <v>78</v>
      </c>
      <c r="H70" t="s">
        <v>79</v>
      </c>
      <c r="I70" t="s">
        <v>80</v>
      </c>
      <c r="J70" t="s">
        <v>196</v>
      </c>
      <c r="K70" t="s">
        <v>13</v>
      </c>
      <c r="L70" t="s">
        <v>83</v>
      </c>
      <c r="M70" t="s">
        <v>84</v>
      </c>
      <c r="N70">
        <v>1</v>
      </c>
      <c r="O70" t="b">
        <v>1</v>
      </c>
      <c r="P70">
        <v>0</v>
      </c>
      <c r="BB70">
        <v>0</v>
      </c>
      <c r="BC70" t="s">
        <v>306</v>
      </c>
      <c r="BD70" t="s">
        <v>307</v>
      </c>
      <c r="BE70" t="s">
        <v>117</v>
      </c>
      <c r="BF70">
        <v>0</v>
      </c>
      <c r="BG70">
        <v>25</v>
      </c>
      <c r="BH70">
        <v>10000</v>
      </c>
      <c r="BI70" t="s">
        <v>308</v>
      </c>
    </row>
    <row r="71" spans="1:61">
      <c r="A71" s="164" t="s">
        <v>340</v>
      </c>
      <c r="B71" t="s">
        <v>341</v>
      </c>
      <c r="C71">
        <v>0</v>
      </c>
      <c r="D71" t="s">
        <v>304</v>
      </c>
      <c r="E71">
        <v>0</v>
      </c>
      <c r="F71" t="s">
        <v>342</v>
      </c>
      <c r="G71" t="s">
        <v>78</v>
      </c>
      <c r="H71" t="s">
        <v>79</v>
      </c>
      <c r="I71" t="s">
        <v>80</v>
      </c>
      <c r="J71" t="s">
        <v>196</v>
      </c>
      <c r="K71" t="s">
        <v>13</v>
      </c>
      <c r="L71" t="s">
        <v>83</v>
      </c>
      <c r="M71" t="s">
        <v>84</v>
      </c>
      <c r="N71">
        <v>1</v>
      </c>
      <c r="O71" t="b">
        <v>1</v>
      </c>
      <c r="P71">
        <v>0</v>
      </c>
      <c r="BB71">
        <v>0</v>
      </c>
      <c r="BC71" t="s">
        <v>306</v>
      </c>
      <c r="BD71" t="s">
        <v>343</v>
      </c>
      <c r="BE71" t="s">
        <v>117</v>
      </c>
      <c r="BF71">
        <v>0</v>
      </c>
      <c r="BG71">
        <v>25</v>
      </c>
      <c r="BH71">
        <v>10000</v>
      </c>
      <c r="BI71" t="s">
        <v>344</v>
      </c>
    </row>
    <row r="72" spans="1:61">
      <c r="A72" s="164" t="s">
        <v>345</v>
      </c>
      <c r="B72" t="s">
        <v>346</v>
      </c>
      <c r="C72">
        <v>0</v>
      </c>
      <c r="D72" t="s">
        <v>304</v>
      </c>
      <c r="E72">
        <v>0</v>
      </c>
      <c r="F72" t="s">
        <v>305</v>
      </c>
      <c r="G72" t="s">
        <v>78</v>
      </c>
      <c r="H72" t="s">
        <v>79</v>
      </c>
      <c r="I72" t="s">
        <v>80</v>
      </c>
      <c r="J72" t="s">
        <v>196</v>
      </c>
      <c r="K72" t="s">
        <v>13</v>
      </c>
      <c r="L72" t="s">
        <v>83</v>
      </c>
      <c r="M72" t="s">
        <v>84</v>
      </c>
      <c r="N72">
        <v>1</v>
      </c>
      <c r="O72" t="b">
        <v>1</v>
      </c>
      <c r="P72">
        <v>0</v>
      </c>
      <c r="BB72">
        <v>0</v>
      </c>
      <c r="BC72" t="s">
        <v>306</v>
      </c>
      <c r="BD72" t="s">
        <v>307</v>
      </c>
      <c r="BE72" t="s">
        <v>117</v>
      </c>
      <c r="BF72">
        <v>0</v>
      </c>
      <c r="BG72">
        <v>0</v>
      </c>
      <c r="BH72">
        <v>0</v>
      </c>
    </row>
    <row r="73" spans="1:61">
      <c r="A73" s="164" t="s">
        <v>347</v>
      </c>
      <c r="B73" t="s">
        <v>348</v>
      </c>
      <c r="C73">
        <v>0</v>
      </c>
      <c r="D73" t="s">
        <v>304</v>
      </c>
      <c r="E73">
        <v>0</v>
      </c>
      <c r="F73" t="s">
        <v>349</v>
      </c>
      <c r="G73" t="s">
        <v>78</v>
      </c>
      <c r="H73" t="s">
        <v>79</v>
      </c>
      <c r="I73" t="s">
        <v>80</v>
      </c>
      <c r="J73" t="s">
        <v>196</v>
      </c>
      <c r="K73" t="s">
        <v>13</v>
      </c>
      <c r="L73" t="s">
        <v>83</v>
      </c>
      <c r="M73" t="s">
        <v>84</v>
      </c>
      <c r="N73">
        <v>1</v>
      </c>
      <c r="O73" t="b">
        <v>1</v>
      </c>
      <c r="P73">
        <v>0</v>
      </c>
      <c r="BB73">
        <v>0</v>
      </c>
      <c r="BC73" t="s">
        <v>306</v>
      </c>
      <c r="BD73" t="s">
        <v>350</v>
      </c>
      <c r="BE73" t="s">
        <v>117</v>
      </c>
      <c r="BF73">
        <v>0</v>
      </c>
      <c r="BG73">
        <v>25</v>
      </c>
      <c r="BH73">
        <v>10000</v>
      </c>
      <c r="BI73" t="s">
        <v>344</v>
      </c>
    </row>
    <row r="74" spans="1:61">
      <c r="A74" s="164" t="s">
        <v>351</v>
      </c>
      <c r="B74" t="s">
        <v>352</v>
      </c>
      <c r="C74">
        <v>0</v>
      </c>
      <c r="D74" t="s">
        <v>304</v>
      </c>
      <c r="E74">
        <v>0</v>
      </c>
      <c r="F74" t="s">
        <v>313</v>
      </c>
      <c r="G74" t="s">
        <v>78</v>
      </c>
      <c r="H74" t="s">
        <v>79</v>
      </c>
      <c r="I74" t="s">
        <v>80</v>
      </c>
      <c r="J74" t="s">
        <v>196</v>
      </c>
      <c r="K74" t="s">
        <v>13</v>
      </c>
      <c r="L74" t="s">
        <v>83</v>
      </c>
      <c r="M74" t="s">
        <v>205</v>
      </c>
      <c r="N74">
        <v>1</v>
      </c>
      <c r="O74" t="b">
        <v>1</v>
      </c>
      <c r="P74">
        <v>0</v>
      </c>
      <c r="BB74">
        <v>0</v>
      </c>
      <c r="BC74" t="s">
        <v>306</v>
      </c>
      <c r="BD74" t="s">
        <v>314</v>
      </c>
      <c r="BE74" t="s">
        <v>117</v>
      </c>
      <c r="BF74">
        <v>0</v>
      </c>
      <c r="BG74">
        <v>45</v>
      </c>
      <c r="BH74">
        <v>300</v>
      </c>
      <c r="BI74" t="s">
        <v>315</v>
      </c>
    </row>
    <row r="75" spans="1:61">
      <c r="A75" s="164" t="s">
        <v>353</v>
      </c>
      <c r="B75" t="s">
        <v>354</v>
      </c>
      <c r="C75">
        <v>0</v>
      </c>
      <c r="D75" t="s">
        <v>304</v>
      </c>
      <c r="E75">
        <v>0</v>
      </c>
      <c r="F75" t="s">
        <v>349</v>
      </c>
      <c r="G75" t="s">
        <v>78</v>
      </c>
      <c r="H75" t="s">
        <v>79</v>
      </c>
      <c r="I75" t="s">
        <v>80</v>
      </c>
      <c r="J75" t="s">
        <v>196</v>
      </c>
      <c r="K75" t="s">
        <v>13</v>
      </c>
      <c r="L75" t="s">
        <v>83</v>
      </c>
      <c r="M75" t="s">
        <v>84</v>
      </c>
      <c r="N75">
        <v>1</v>
      </c>
      <c r="O75" t="b">
        <v>1</v>
      </c>
      <c r="P75">
        <v>0</v>
      </c>
      <c r="BB75">
        <v>0</v>
      </c>
      <c r="BC75" t="s">
        <v>306</v>
      </c>
      <c r="BD75" t="s">
        <v>350</v>
      </c>
      <c r="BE75" t="s">
        <v>117</v>
      </c>
      <c r="BF75">
        <v>0</v>
      </c>
      <c r="BG75">
        <v>25</v>
      </c>
      <c r="BH75">
        <v>10000</v>
      </c>
      <c r="BI75" t="s">
        <v>344</v>
      </c>
    </row>
    <row r="76" spans="1:61">
      <c r="A76" s="164" t="s">
        <v>355</v>
      </c>
      <c r="B76" t="s">
        <v>356</v>
      </c>
      <c r="C76">
        <v>0</v>
      </c>
      <c r="D76" t="s">
        <v>304</v>
      </c>
      <c r="E76">
        <v>0</v>
      </c>
      <c r="F76" t="s">
        <v>357</v>
      </c>
      <c r="G76" t="s">
        <v>78</v>
      </c>
      <c r="H76" t="s">
        <v>79</v>
      </c>
      <c r="I76" t="s">
        <v>80</v>
      </c>
      <c r="J76" t="s">
        <v>196</v>
      </c>
      <c r="K76" t="s">
        <v>13</v>
      </c>
      <c r="L76" t="s">
        <v>83</v>
      </c>
      <c r="M76" t="s">
        <v>84</v>
      </c>
      <c r="N76">
        <v>1</v>
      </c>
      <c r="O76" t="b">
        <v>1</v>
      </c>
      <c r="P76">
        <v>0</v>
      </c>
      <c r="BB76">
        <v>0</v>
      </c>
      <c r="BC76" t="s">
        <v>306</v>
      </c>
      <c r="BD76" t="s">
        <v>358</v>
      </c>
      <c r="BE76" t="s">
        <v>117</v>
      </c>
      <c r="BF76">
        <v>0</v>
      </c>
      <c r="BG76">
        <v>30</v>
      </c>
      <c r="BH76">
        <v>500</v>
      </c>
      <c r="BI76" t="s">
        <v>359</v>
      </c>
    </row>
    <row r="77" spans="1:61">
      <c r="A77" s="164" t="s">
        <v>360</v>
      </c>
      <c r="B77" t="s">
        <v>361</v>
      </c>
      <c r="C77">
        <v>0</v>
      </c>
      <c r="D77" t="s">
        <v>304</v>
      </c>
      <c r="E77">
        <v>0</v>
      </c>
      <c r="F77" t="s">
        <v>269</v>
      </c>
      <c r="G77" t="s">
        <v>103</v>
      </c>
      <c r="H77" t="s">
        <v>104</v>
      </c>
      <c r="I77" t="s">
        <v>80</v>
      </c>
      <c r="J77" t="s">
        <v>196</v>
      </c>
      <c r="K77" t="s">
        <v>13</v>
      </c>
      <c r="L77" t="s">
        <v>83</v>
      </c>
      <c r="M77" t="s">
        <v>84</v>
      </c>
      <c r="N77">
        <v>1</v>
      </c>
      <c r="O77" t="b">
        <v>0</v>
      </c>
      <c r="P77">
        <v>0</v>
      </c>
      <c r="BB77">
        <v>0</v>
      </c>
      <c r="BC77" t="s">
        <v>306</v>
      </c>
      <c r="BD77" t="s">
        <v>270</v>
      </c>
      <c r="BE77" t="s">
        <v>117</v>
      </c>
      <c r="BF77">
        <v>0</v>
      </c>
      <c r="BG77">
        <v>0</v>
      </c>
      <c r="BH77">
        <v>0</v>
      </c>
    </row>
    <row r="78" spans="1:61">
      <c r="A78" s="164" t="s">
        <v>362</v>
      </c>
      <c r="B78" t="s">
        <v>363</v>
      </c>
      <c r="C78">
        <v>0</v>
      </c>
      <c r="D78" t="s">
        <v>304</v>
      </c>
      <c r="E78">
        <v>0</v>
      </c>
      <c r="F78" t="s">
        <v>357</v>
      </c>
      <c r="G78" t="s">
        <v>78</v>
      </c>
      <c r="H78" t="s">
        <v>79</v>
      </c>
      <c r="I78" t="s">
        <v>80</v>
      </c>
      <c r="J78" t="s">
        <v>196</v>
      </c>
      <c r="K78" t="s">
        <v>13</v>
      </c>
      <c r="L78" t="s">
        <v>83</v>
      </c>
      <c r="M78" t="s">
        <v>84</v>
      </c>
      <c r="N78">
        <v>1</v>
      </c>
      <c r="O78" t="b">
        <v>1</v>
      </c>
      <c r="P78">
        <v>0</v>
      </c>
      <c r="BB78">
        <v>0</v>
      </c>
      <c r="BC78" t="s">
        <v>306</v>
      </c>
      <c r="BD78" t="s">
        <v>358</v>
      </c>
      <c r="BE78" t="s">
        <v>117</v>
      </c>
      <c r="BF78">
        <v>0</v>
      </c>
      <c r="BG78">
        <v>25</v>
      </c>
      <c r="BH78">
        <v>500</v>
      </c>
      <c r="BI78" t="s">
        <v>359</v>
      </c>
    </row>
    <row r="79" spans="1:61">
      <c r="A79" s="164" t="s">
        <v>364</v>
      </c>
      <c r="B79" t="s">
        <v>365</v>
      </c>
      <c r="C79">
        <v>0</v>
      </c>
      <c r="D79" t="s">
        <v>304</v>
      </c>
      <c r="E79">
        <v>0</v>
      </c>
      <c r="F79" t="s">
        <v>342</v>
      </c>
      <c r="G79" t="s">
        <v>78</v>
      </c>
      <c r="H79" t="s">
        <v>79</v>
      </c>
      <c r="I79" t="s">
        <v>80</v>
      </c>
      <c r="J79" t="s">
        <v>196</v>
      </c>
      <c r="K79" t="s">
        <v>13</v>
      </c>
      <c r="L79" t="s">
        <v>83</v>
      </c>
      <c r="M79" t="s">
        <v>84</v>
      </c>
      <c r="N79">
        <v>1</v>
      </c>
      <c r="O79" t="b">
        <v>1</v>
      </c>
      <c r="P79">
        <v>0</v>
      </c>
      <c r="BB79">
        <v>0</v>
      </c>
      <c r="BC79" t="s">
        <v>306</v>
      </c>
      <c r="BD79" t="s">
        <v>343</v>
      </c>
      <c r="BE79" t="s">
        <v>117</v>
      </c>
      <c r="BF79">
        <v>0</v>
      </c>
      <c r="BG79">
        <v>25</v>
      </c>
      <c r="BH79">
        <v>10000</v>
      </c>
      <c r="BI79" t="s">
        <v>344</v>
      </c>
    </row>
    <row r="80" spans="1:61">
      <c r="A80" s="164" t="s">
        <v>366</v>
      </c>
      <c r="B80" t="s">
        <v>367</v>
      </c>
      <c r="C80">
        <v>0</v>
      </c>
      <c r="D80" t="s">
        <v>304</v>
      </c>
      <c r="E80">
        <v>0</v>
      </c>
      <c r="F80" t="s">
        <v>357</v>
      </c>
      <c r="G80" t="s">
        <v>78</v>
      </c>
      <c r="H80" t="s">
        <v>79</v>
      </c>
      <c r="I80" t="s">
        <v>80</v>
      </c>
      <c r="J80" t="s">
        <v>196</v>
      </c>
      <c r="K80" t="s">
        <v>13</v>
      </c>
      <c r="L80" t="s">
        <v>83</v>
      </c>
      <c r="M80" t="s">
        <v>84</v>
      </c>
      <c r="N80">
        <v>1</v>
      </c>
      <c r="O80" t="b">
        <v>1</v>
      </c>
      <c r="P80">
        <v>0</v>
      </c>
      <c r="BB80">
        <v>0</v>
      </c>
      <c r="BC80" t="s">
        <v>306</v>
      </c>
      <c r="BD80" t="s">
        <v>358</v>
      </c>
      <c r="BE80" t="s">
        <v>117</v>
      </c>
      <c r="BF80">
        <v>0</v>
      </c>
      <c r="BG80">
        <v>30</v>
      </c>
      <c r="BH80">
        <v>500</v>
      </c>
      <c r="BI80" t="s">
        <v>359</v>
      </c>
    </row>
    <row r="81" spans="1:61">
      <c r="A81" s="164" t="s">
        <v>368</v>
      </c>
      <c r="B81" t="s">
        <v>369</v>
      </c>
      <c r="C81">
        <v>0</v>
      </c>
      <c r="D81" t="s">
        <v>304</v>
      </c>
      <c r="E81">
        <v>0</v>
      </c>
      <c r="F81" t="s">
        <v>342</v>
      </c>
      <c r="G81" t="s">
        <v>78</v>
      </c>
      <c r="H81" t="s">
        <v>79</v>
      </c>
      <c r="I81" t="s">
        <v>80</v>
      </c>
      <c r="J81" t="s">
        <v>196</v>
      </c>
      <c r="K81" t="s">
        <v>13</v>
      </c>
      <c r="L81" t="s">
        <v>83</v>
      </c>
      <c r="M81" t="s">
        <v>84</v>
      </c>
      <c r="N81">
        <v>1</v>
      </c>
      <c r="O81" t="b">
        <v>1</v>
      </c>
      <c r="P81">
        <v>0</v>
      </c>
      <c r="BB81">
        <v>0</v>
      </c>
      <c r="BC81" t="s">
        <v>306</v>
      </c>
      <c r="BD81" t="s">
        <v>343</v>
      </c>
      <c r="BE81" t="s">
        <v>117</v>
      </c>
      <c r="BF81">
        <v>0</v>
      </c>
      <c r="BG81">
        <v>25</v>
      </c>
      <c r="BH81">
        <v>10000</v>
      </c>
      <c r="BI81" t="s">
        <v>344</v>
      </c>
    </row>
    <row r="82" spans="1:61">
      <c r="A82" s="164" t="s">
        <v>370</v>
      </c>
      <c r="B82" t="s">
        <v>371</v>
      </c>
      <c r="C82">
        <v>0</v>
      </c>
      <c r="D82" t="s">
        <v>304</v>
      </c>
      <c r="E82">
        <v>0</v>
      </c>
      <c r="F82" t="s">
        <v>269</v>
      </c>
      <c r="G82" t="s">
        <v>103</v>
      </c>
      <c r="H82" t="s">
        <v>104</v>
      </c>
      <c r="I82" t="s">
        <v>80</v>
      </c>
      <c r="J82" t="s">
        <v>196</v>
      </c>
      <c r="K82" t="s">
        <v>13</v>
      </c>
      <c r="L82" t="s">
        <v>83</v>
      </c>
      <c r="M82" t="s">
        <v>84</v>
      </c>
      <c r="N82">
        <v>1</v>
      </c>
      <c r="O82" t="b">
        <v>0</v>
      </c>
      <c r="P82">
        <v>0</v>
      </c>
      <c r="BB82">
        <v>0</v>
      </c>
      <c r="BC82" t="s">
        <v>306</v>
      </c>
      <c r="BD82" t="s">
        <v>270</v>
      </c>
      <c r="BE82" t="s">
        <v>117</v>
      </c>
      <c r="BF82">
        <v>0</v>
      </c>
      <c r="BG82">
        <v>0</v>
      </c>
      <c r="BH82">
        <v>0</v>
      </c>
    </row>
    <row r="83" spans="1:61">
      <c r="A83" s="164" t="s">
        <v>372</v>
      </c>
      <c r="B83" t="s">
        <v>373</v>
      </c>
      <c r="C83">
        <v>0</v>
      </c>
      <c r="D83" t="s">
        <v>304</v>
      </c>
      <c r="E83">
        <v>0</v>
      </c>
      <c r="F83" t="s">
        <v>269</v>
      </c>
      <c r="G83" t="s">
        <v>103</v>
      </c>
      <c r="H83" t="s">
        <v>104</v>
      </c>
      <c r="I83" t="s">
        <v>80</v>
      </c>
      <c r="J83" t="s">
        <v>196</v>
      </c>
      <c r="K83" t="s">
        <v>13</v>
      </c>
      <c r="L83" t="s">
        <v>83</v>
      </c>
      <c r="M83" t="s">
        <v>84</v>
      </c>
      <c r="N83">
        <v>1</v>
      </c>
      <c r="O83" t="b">
        <v>0</v>
      </c>
      <c r="P83">
        <v>0</v>
      </c>
      <c r="BB83">
        <v>0</v>
      </c>
      <c r="BC83" t="s">
        <v>306</v>
      </c>
      <c r="BD83" t="s">
        <v>270</v>
      </c>
      <c r="BE83" t="s">
        <v>117</v>
      </c>
      <c r="BF83">
        <v>0</v>
      </c>
      <c r="BG83">
        <v>0</v>
      </c>
      <c r="BH83">
        <v>0</v>
      </c>
    </row>
    <row r="84" spans="1:61">
      <c r="A84" s="164" t="s">
        <v>374</v>
      </c>
      <c r="B84" t="s">
        <v>375</v>
      </c>
      <c r="C84">
        <v>0</v>
      </c>
      <c r="D84" t="s">
        <v>304</v>
      </c>
      <c r="E84">
        <v>0</v>
      </c>
      <c r="F84" t="s">
        <v>269</v>
      </c>
      <c r="G84" t="s">
        <v>103</v>
      </c>
      <c r="H84" t="s">
        <v>104</v>
      </c>
      <c r="I84" t="s">
        <v>80</v>
      </c>
      <c r="J84" t="s">
        <v>196</v>
      </c>
      <c r="K84" t="s">
        <v>13</v>
      </c>
      <c r="L84" t="s">
        <v>83</v>
      </c>
      <c r="M84" t="s">
        <v>84</v>
      </c>
      <c r="N84">
        <v>1</v>
      </c>
      <c r="O84" t="b">
        <v>0</v>
      </c>
      <c r="P84">
        <v>0</v>
      </c>
      <c r="BB84">
        <v>0</v>
      </c>
      <c r="BC84" t="s">
        <v>306</v>
      </c>
      <c r="BD84" t="s">
        <v>270</v>
      </c>
      <c r="BE84" t="s">
        <v>117</v>
      </c>
      <c r="BF84">
        <v>0</v>
      </c>
      <c r="BG84">
        <v>0</v>
      </c>
      <c r="BH84">
        <v>0</v>
      </c>
    </row>
    <row r="85" spans="1:61">
      <c r="A85" s="164" t="s">
        <v>376</v>
      </c>
      <c r="B85" t="s">
        <v>377</v>
      </c>
      <c r="C85">
        <v>0</v>
      </c>
      <c r="D85" t="s">
        <v>304</v>
      </c>
      <c r="E85">
        <v>0</v>
      </c>
      <c r="F85" t="s">
        <v>357</v>
      </c>
      <c r="G85" t="s">
        <v>78</v>
      </c>
      <c r="H85" t="s">
        <v>79</v>
      </c>
      <c r="I85" t="s">
        <v>80</v>
      </c>
      <c r="J85" t="s">
        <v>196</v>
      </c>
      <c r="K85" t="s">
        <v>13</v>
      </c>
      <c r="L85" t="s">
        <v>83</v>
      </c>
      <c r="M85" t="s">
        <v>84</v>
      </c>
      <c r="N85">
        <v>1</v>
      </c>
      <c r="O85" t="b">
        <v>1</v>
      </c>
      <c r="P85">
        <v>0</v>
      </c>
      <c r="BB85">
        <v>0</v>
      </c>
      <c r="BC85" t="s">
        <v>306</v>
      </c>
      <c r="BD85" t="s">
        <v>358</v>
      </c>
      <c r="BE85" t="s">
        <v>117</v>
      </c>
      <c r="BF85">
        <v>0</v>
      </c>
      <c r="BG85">
        <v>25</v>
      </c>
      <c r="BH85">
        <v>500</v>
      </c>
      <c r="BI85" t="s">
        <v>359</v>
      </c>
    </row>
    <row r="86" spans="1:61">
      <c r="A86" s="164" t="s">
        <v>378</v>
      </c>
      <c r="B86" t="s">
        <v>379</v>
      </c>
      <c r="C86">
        <v>0</v>
      </c>
      <c r="D86" t="s">
        <v>304</v>
      </c>
      <c r="E86">
        <v>0</v>
      </c>
      <c r="F86" t="s">
        <v>313</v>
      </c>
      <c r="G86" t="s">
        <v>78</v>
      </c>
      <c r="H86" t="s">
        <v>79</v>
      </c>
      <c r="I86" t="s">
        <v>80</v>
      </c>
      <c r="J86" t="s">
        <v>196</v>
      </c>
      <c r="K86" t="s">
        <v>13</v>
      </c>
      <c r="L86" t="s">
        <v>83</v>
      </c>
      <c r="M86" t="s">
        <v>84</v>
      </c>
      <c r="N86">
        <v>1</v>
      </c>
      <c r="O86" t="b">
        <v>1</v>
      </c>
      <c r="P86">
        <v>0</v>
      </c>
      <c r="BB86">
        <v>0</v>
      </c>
      <c r="BC86" t="s">
        <v>306</v>
      </c>
      <c r="BD86" t="s">
        <v>314</v>
      </c>
      <c r="BE86" t="s">
        <v>117</v>
      </c>
      <c r="BF86">
        <v>0</v>
      </c>
      <c r="BG86">
        <v>30</v>
      </c>
      <c r="BH86">
        <v>30000</v>
      </c>
      <c r="BI86" t="s">
        <v>328</v>
      </c>
    </row>
    <row r="87" spans="1:61">
      <c r="A87" s="164" t="s">
        <v>380</v>
      </c>
      <c r="B87" t="s">
        <v>381</v>
      </c>
      <c r="C87">
        <v>0</v>
      </c>
      <c r="D87" t="s">
        <v>304</v>
      </c>
      <c r="E87">
        <v>0</v>
      </c>
      <c r="F87" t="s">
        <v>313</v>
      </c>
      <c r="G87" t="s">
        <v>78</v>
      </c>
      <c r="H87" t="s">
        <v>79</v>
      </c>
      <c r="I87" t="s">
        <v>80</v>
      </c>
      <c r="J87" t="s">
        <v>196</v>
      </c>
      <c r="K87" t="s">
        <v>13</v>
      </c>
      <c r="L87" t="s">
        <v>83</v>
      </c>
      <c r="M87" t="s">
        <v>205</v>
      </c>
      <c r="N87">
        <v>1</v>
      </c>
      <c r="O87" t="b">
        <v>1</v>
      </c>
      <c r="P87">
        <v>0</v>
      </c>
      <c r="BB87">
        <v>0</v>
      </c>
      <c r="BC87" t="s">
        <v>306</v>
      </c>
      <c r="BD87" t="s">
        <v>314</v>
      </c>
      <c r="BE87" t="s">
        <v>117</v>
      </c>
      <c r="BF87">
        <v>0</v>
      </c>
      <c r="BG87">
        <v>45</v>
      </c>
      <c r="BH87">
        <v>300</v>
      </c>
      <c r="BI87" t="s">
        <v>315</v>
      </c>
    </row>
    <row r="88" spans="1:61">
      <c r="A88" s="164" t="s">
        <v>382</v>
      </c>
      <c r="B88" t="s">
        <v>383</v>
      </c>
      <c r="C88">
        <v>0</v>
      </c>
      <c r="D88" t="s">
        <v>304</v>
      </c>
      <c r="E88">
        <v>0</v>
      </c>
      <c r="F88" t="s">
        <v>357</v>
      </c>
      <c r="G88" t="s">
        <v>78</v>
      </c>
      <c r="H88" t="s">
        <v>79</v>
      </c>
      <c r="I88" t="s">
        <v>80</v>
      </c>
      <c r="J88" t="s">
        <v>196</v>
      </c>
      <c r="K88" t="s">
        <v>13</v>
      </c>
      <c r="L88" t="s">
        <v>83</v>
      </c>
      <c r="M88" t="s">
        <v>84</v>
      </c>
      <c r="N88">
        <v>1</v>
      </c>
      <c r="O88" t="b">
        <v>1</v>
      </c>
      <c r="P88">
        <v>0</v>
      </c>
      <c r="BB88">
        <v>0</v>
      </c>
      <c r="BC88" t="s">
        <v>306</v>
      </c>
      <c r="BD88" t="s">
        <v>358</v>
      </c>
      <c r="BE88" t="s">
        <v>117</v>
      </c>
      <c r="BF88">
        <v>0</v>
      </c>
      <c r="BG88">
        <v>25</v>
      </c>
      <c r="BH88">
        <v>500</v>
      </c>
      <c r="BI88" t="s">
        <v>359</v>
      </c>
    </row>
    <row r="89" spans="1:61">
      <c r="A89" s="164" t="s">
        <v>384</v>
      </c>
      <c r="B89" t="s">
        <v>385</v>
      </c>
      <c r="C89">
        <v>0</v>
      </c>
      <c r="D89" t="s">
        <v>304</v>
      </c>
      <c r="E89">
        <v>0</v>
      </c>
      <c r="F89" t="s">
        <v>357</v>
      </c>
      <c r="G89" t="s">
        <v>78</v>
      </c>
      <c r="H89" t="s">
        <v>79</v>
      </c>
      <c r="I89" t="s">
        <v>80</v>
      </c>
      <c r="J89" t="s">
        <v>196</v>
      </c>
      <c r="K89" t="s">
        <v>13</v>
      </c>
      <c r="L89" t="s">
        <v>83</v>
      </c>
      <c r="M89" t="s">
        <v>84</v>
      </c>
      <c r="N89">
        <v>1</v>
      </c>
      <c r="O89" t="b">
        <v>1</v>
      </c>
      <c r="P89">
        <v>0</v>
      </c>
      <c r="BB89">
        <v>0</v>
      </c>
      <c r="BC89" t="s">
        <v>306</v>
      </c>
      <c r="BD89" t="s">
        <v>358</v>
      </c>
      <c r="BE89" t="s">
        <v>117</v>
      </c>
      <c r="BF89">
        <v>0</v>
      </c>
      <c r="BG89">
        <v>25</v>
      </c>
      <c r="BH89">
        <v>500</v>
      </c>
      <c r="BI89" t="s">
        <v>359</v>
      </c>
    </row>
    <row r="90" spans="1:61">
      <c r="A90" s="164" t="s">
        <v>386</v>
      </c>
      <c r="B90" t="s">
        <v>387</v>
      </c>
      <c r="C90">
        <v>0</v>
      </c>
      <c r="D90" t="s">
        <v>304</v>
      </c>
      <c r="E90">
        <v>0</v>
      </c>
      <c r="F90" t="s">
        <v>342</v>
      </c>
      <c r="G90" t="s">
        <v>78</v>
      </c>
      <c r="H90" t="s">
        <v>79</v>
      </c>
      <c r="I90" t="s">
        <v>80</v>
      </c>
      <c r="J90" t="s">
        <v>196</v>
      </c>
      <c r="K90" t="s">
        <v>13</v>
      </c>
      <c r="L90" t="s">
        <v>83</v>
      </c>
      <c r="M90" t="s">
        <v>84</v>
      </c>
      <c r="N90">
        <v>1</v>
      </c>
      <c r="O90" t="b">
        <v>1</v>
      </c>
      <c r="P90">
        <v>0</v>
      </c>
      <c r="BB90">
        <v>0</v>
      </c>
      <c r="BC90" t="s">
        <v>306</v>
      </c>
      <c r="BD90" t="s">
        <v>343</v>
      </c>
      <c r="BE90" t="s">
        <v>117</v>
      </c>
      <c r="BF90">
        <v>0</v>
      </c>
      <c r="BG90">
        <v>25</v>
      </c>
      <c r="BH90">
        <v>10000</v>
      </c>
      <c r="BI90" t="s">
        <v>344</v>
      </c>
    </row>
    <row r="91" spans="1:61">
      <c r="A91" s="164" t="s">
        <v>388</v>
      </c>
      <c r="B91" t="s">
        <v>389</v>
      </c>
      <c r="C91">
        <v>0</v>
      </c>
      <c r="D91" t="s">
        <v>304</v>
      </c>
      <c r="E91">
        <v>0</v>
      </c>
      <c r="F91" t="s">
        <v>342</v>
      </c>
      <c r="G91" t="s">
        <v>78</v>
      </c>
      <c r="H91" t="s">
        <v>79</v>
      </c>
      <c r="I91" t="s">
        <v>80</v>
      </c>
      <c r="J91" t="s">
        <v>196</v>
      </c>
      <c r="K91" t="s">
        <v>13</v>
      </c>
      <c r="L91" t="s">
        <v>83</v>
      </c>
      <c r="M91" t="s">
        <v>84</v>
      </c>
      <c r="N91">
        <v>1</v>
      </c>
      <c r="O91" t="b">
        <v>1</v>
      </c>
      <c r="P91">
        <v>0</v>
      </c>
      <c r="BB91">
        <v>0</v>
      </c>
      <c r="BC91" t="s">
        <v>306</v>
      </c>
      <c r="BD91" t="s">
        <v>343</v>
      </c>
      <c r="BE91" t="s">
        <v>117</v>
      </c>
      <c r="BF91">
        <v>0</v>
      </c>
      <c r="BG91">
        <v>25</v>
      </c>
      <c r="BH91">
        <v>10000</v>
      </c>
      <c r="BI91" t="s">
        <v>344</v>
      </c>
    </row>
    <row r="92" spans="1:61">
      <c r="A92" s="164" t="s">
        <v>390</v>
      </c>
      <c r="B92" t="s">
        <v>391</v>
      </c>
      <c r="C92">
        <v>0</v>
      </c>
      <c r="D92" t="s">
        <v>304</v>
      </c>
      <c r="E92">
        <v>0</v>
      </c>
      <c r="F92" t="s">
        <v>342</v>
      </c>
      <c r="G92" t="s">
        <v>78</v>
      </c>
      <c r="H92" t="s">
        <v>79</v>
      </c>
      <c r="I92" t="s">
        <v>80</v>
      </c>
      <c r="J92" t="s">
        <v>196</v>
      </c>
      <c r="K92" t="s">
        <v>13</v>
      </c>
      <c r="L92" t="s">
        <v>83</v>
      </c>
      <c r="M92" t="s">
        <v>84</v>
      </c>
      <c r="N92">
        <v>1</v>
      </c>
      <c r="O92" t="b">
        <v>1</v>
      </c>
      <c r="P92">
        <v>0</v>
      </c>
      <c r="BB92">
        <v>0</v>
      </c>
      <c r="BC92" t="s">
        <v>306</v>
      </c>
      <c r="BD92" t="s">
        <v>343</v>
      </c>
      <c r="BE92" t="s">
        <v>117</v>
      </c>
      <c r="BF92">
        <v>0</v>
      </c>
      <c r="BG92">
        <v>25</v>
      </c>
      <c r="BH92">
        <v>10000</v>
      </c>
      <c r="BI92" t="s">
        <v>344</v>
      </c>
    </row>
    <row r="93" spans="1:61">
      <c r="A93" s="164" t="s">
        <v>392</v>
      </c>
      <c r="B93" t="s">
        <v>393</v>
      </c>
      <c r="C93">
        <v>0</v>
      </c>
      <c r="D93" t="s">
        <v>304</v>
      </c>
      <c r="E93">
        <v>0</v>
      </c>
      <c r="F93" t="s">
        <v>342</v>
      </c>
      <c r="G93" t="s">
        <v>78</v>
      </c>
      <c r="H93" t="s">
        <v>79</v>
      </c>
      <c r="I93" t="s">
        <v>80</v>
      </c>
      <c r="J93" t="s">
        <v>196</v>
      </c>
      <c r="K93" t="s">
        <v>13</v>
      </c>
      <c r="L93" t="s">
        <v>83</v>
      </c>
      <c r="M93" t="s">
        <v>84</v>
      </c>
      <c r="N93">
        <v>1</v>
      </c>
      <c r="O93" t="b">
        <v>1</v>
      </c>
      <c r="P93">
        <v>0</v>
      </c>
      <c r="BB93">
        <v>0</v>
      </c>
      <c r="BC93" t="s">
        <v>306</v>
      </c>
      <c r="BD93" t="s">
        <v>343</v>
      </c>
      <c r="BE93" t="s">
        <v>117</v>
      </c>
      <c r="BF93">
        <v>0</v>
      </c>
      <c r="BG93">
        <v>25</v>
      </c>
      <c r="BH93">
        <v>10000</v>
      </c>
      <c r="BI93" t="s">
        <v>344</v>
      </c>
    </row>
    <row r="94" spans="1:61">
      <c r="A94" s="164" t="s">
        <v>394</v>
      </c>
      <c r="B94" t="s">
        <v>395</v>
      </c>
      <c r="C94">
        <v>0</v>
      </c>
      <c r="D94" t="s">
        <v>304</v>
      </c>
      <c r="E94">
        <v>0</v>
      </c>
      <c r="F94" t="s">
        <v>313</v>
      </c>
      <c r="G94" t="s">
        <v>78</v>
      </c>
      <c r="H94" t="s">
        <v>79</v>
      </c>
      <c r="I94" t="s">
        <v>80</v>
      </c>
      <c r="J94" t="s">
        <v>196</v>
      </c>
      <c r="K94" t="s">
        <v>13</v>
      </c>
      <c r="L94" t="s">
        <v>83</v>
      </c>
      <c r="M94" t="s">
        <v>205</v>
      </c>
      <c r="N94">
        <v>1</v>
      </c>
      <c r="O94" t="b">
        <v>1</v>
      </c>
      <c r="P94">
        <v>0</v>
      </c>
      <c r="BB94">
        <v>0</v>
      </c>
      <c r="BC94" t="s">
        <v>306</v>
      </c>
      <c r="BD94" t="s">
        <v>314</v>
      </c>
      <c r="BE94" t="s">
        <v>117</v>
      </c>
      <c r="BF94">
        <v>0</v>
      </c>
      <c r="BG94">
        <v>45</v>
      </c>
      <c r="BH94">
        <v>300</v>
      </c>
      <c r="BI94" t="s">
        <v>315</v>
      </c>
    </row>
    <row r="95" spans="1:61">
      <c r="A95" s="164" t="s">
        <v>396</v>
      </c>
      <c r="B95" t="s">
        <v>397</v>
      </c>
      <c r="C95">
        <v>0</v>
      </c>
      <c r="D95" t="s">
        <v>304</v>
      </c>
      <c r="E95">
        <v>0</v>
      </c>
      <c r="F95" t="s">
        <v>313</v>
      </c>
      <c r="G95" t="s">
        <v>78</v>
      </c>
      <c r="H95" t="s">
        <v>79</v>
      </c>
      <c r="I95" t="s">
        <v>80</v>
      </c>
      <c r="J95" t="s">
        <v>196</v>
      </c>
      <c r="K95" t="s">
        <v>13</v>
      </c>
      <c r="L95" t="s">
        <v>83</v>
      </c>
      <c r="M95" t="s">
        <v>205</v>
      </c>
      <c r="N95">
        <v>1</v>
      </c>
      <c r="O95" t="b">
        <v>1</v>
      </c>
      <c r="P95">
        <v>0</v>
      </c>
      <c r="BB95">
        <v>0</v>
      </c>
      <c r="BC95" t="s">
        <v>306</v>
      </c>
      <c r="BD95" t="s">
        <v>314</v>
      </c>
      <c r="BE95" t="s">
        <v>117</v>
      </c>
      <c r="BF95">
        <v>0</v>
      </c>
      <c r="BG95">
        <v>45</v>
      </c>
      <c r="BH95">
        <v>300</v>
      </c>
      <c r="BI95" t="s">
        <v>315</v>
      </c>
    </row>
    <row r="96" spans="1:61">
      <c r="A96" s="164" t="s">
        <v>398</v>
      </c>
      <c r="B96" t="s">
        <v>399</v>
      </c>
      <c r="C96">
        <v>0</v>
      </c>
      <c r="D96" t="s">
        <v>304</v>
      </c>
      <c r="E96">
        <v>0</v>
      </c>
      <c r="F96" t="s">
        <v>313</v>
      </c>
      <c r="G96" t="s">
        <v>78</v>
      </c>
      <c r="H96" t="s">
        <v>79</v>
      </c>
      <c r="I96" t="s">
        <v>80</v>
      </c>
      <c r="J96" t="s">
        <v>196</v>
      </c>
      <c r="K96" t="s">
        <v>13</v>
      </c>
      <c r="L96" t="s">
        <v>83</v>
      </c>
      <c r="M96" t="s">
        <v>205</v>
      </c>
      <c r="N96">
        <v>1</v>
      </c>
      <c r="O96" t="b">
        <v>1</v>
      </c>
      <c r="P96">
        <v>0</v>
      </c>
      <c r="BB96">
        <v>0</v>
      </c>
      <c r="BC96" t="s">
        <v>306</v>
      </c>
      <c r="BD96" t="s">
        <v>314</v>
      </c>
      <c r="BE96" t="s">
        <v>117</v>
      </c>
      <c r="BF96">
        <v>0</v>
      </c>
      <c r="BG96">
        <v>45</v>
      </c>
      <c r="BH96">
        <v>300</v>
      </c>
      <c r="BI96" t="s">
        <v>315</v>
      </c>
    </row>
    <row r="97" spans="1:61">
      <c r="A97" s="164" t="s">
        <v>400</v>
      </c>
      <c r="B97" t="s">
        <v>401</v>
      </c>
      <c r="C97">
        <v>0</v>
      </c>
      <c r="D97" t="s">
        <v>304</v>
      </c>
      <c r="E97">
        <v>0</v>
      </c>
      <c r="F97" t="s">
        <v>349</v>
      </c>
      <c r="G97" t="s">
        <v>78</v>
      </c>
      <c r="H97" t="s">
        <v>79</v>
      </c>
      <c r="I97" t="s">
        <v>80</v>
      </c>
      <c r="J97" t="s">
        <v>196</v>
      </c>
      <c r="K97" t="s">
        <v>13</v>
      </c>
      <c r="L97" t="s">
        <v>83</v>
      </c>
      <c r="M97" t="s">
        <v>84</v>
      </c>
      <c r="N97">
        <v>1</v>
      </c>
      <c r="O97" t="b">
        <v>1</v>
      </c>
      <c r="P97">
        <v>0</v>
      </c>
      <c r="BB97">
        <v>0</v>
      </c>
      <c r="BC97" t="s">
        <v>306</v>
      </c>
      <c r="BD97" t="s">
        <v>350</v>
      </c>
      <c r="BE97" t="s">
        <v>117</v>
      </c>
      <c r="BF97">
        <v>0</v>
      </c>
      <c r="BG97">
        <v>25</v>
      </c>
      <c r="BH97">
        <v>10000</v>
      </c>
      <c r="BI97" t="s">
        <v>344</v>
      </c>
    </row>
    <row r="98" spans="1:61">
      <c r="A98" s="164" t="s">
        <v>402</v>
      </c>
      <c r="B98" t="s">
        <v>403</v>
      </c>
      <c r="C98">
        <v>0</v>
      </c>
      <c r="D98" t="s">
        <v>304</v>
      </c>
      <c r="E98">
        <v>0</v>
      </c>
      <c r="F98" t="s">
        <v>342</v>
      </c>
      <c r="G98" t="s">
        <v>78</v>
      </c>
      <c r="H98" t="s">
        <v>79</v>
      </c>
      <c r="I98" t="s">
        <v>80</v>
      </c>
      <c r="J98" t="s">
        <v>196</v>
      </c>
      <c r="K98" t="s">
        <v>13</v>
      </c>
      <c r="L98" t="s">
        <v>83</v>
      </c>
      <c r="M98" t="s">
        <v>84</v>
      </c>
      <c r="N98">
        <v>1</v>
      </c>
      <c r="O98" t="b">
        <v>1</v>
      </c>
      <c r="P98">
        <v>0</v>
      </c>
      <c r="BB98">
        <v>0</v>
      </c>
      <c r="BC98" t="s">
        <v>306</v>
      </c>
      <c r="BD98" t="s">
        <v>343</v>
      </c>
      <c r="BE98" t="s">
        <v>117</v>
      </c>
      <c r="BF98">
        <v>0</v>
      </c>
      <c r="BG98">
        <v>25</v>
      </c>
      <c r="BH98">
        <v>10000</v>
      </c>
      <c r="BI98" t="s">
        <v>344</v>
      </c>
    </row>
    <row r="99" spans="1:61">
      <c r="A99" s="164" t="s">
        <v>404</v>
      </c>
      <c r="B99" t="s">
        <v>405</v>
      </c>
      <c r="C99">
        <v>0</v>
      </c>
      <c r="D99" t="s">
        <v>304</v>
      </c>
      <c r="E99">
        <v>0</v>
      </c>
      <c r="F99" t="s">
        <v>313</v>
      </c>
      <c r="G99" t="s">
        <v>78</v>
      </c>
      <c r="H99" t="s">
        <v>79</v>
      </c>
      <c r="I99" t="s">
        <v>80</v>
      </c>
      <c r="J99" t="s">
        <v>196</v>
      </c>
      <c r="K99" t="s">
        <v>13</v>
      </c>
      <c r="L99" t="s">
        <v>83</v>
      </c>
      <c r="M99" t="s">
        <v>205</v>
      </c>
      <c r="N99">
        <v>1</v>
      </c>
      <c r="O99" t="b">
        <v>1</v>
      </c>
      <c r="P99">
        <v>0</v>
      </c>
      <c r="BB99">
        <v>0</v>
      </c>
      <c r="BC99" t="s">
        <v>306</v>
      </c>
      <c r="BD99" t="s">
        <v>314</v>
      </c>
      <c r="BE99" t="s">
        <v>117</v>
      </c>
      <c r="BF99">
        <v>0</v>
      </c>
      <c r="BG99">
        <v>45</v>
      </c>
      <c r="BH99">
        <v>300</v>
      </c>
      <c r="BI99" t="s">
        <v>315</v>
      </c>
    </row>
    <row r="100" spans="1:61">
      <c r="A100" s="164" t="s">
        <v>406</v>
      </c>
      <c r="B100" t="s">
        <v>407</v>
      </c>
      <c r="C100">
        <v>0</v>
      </c>
      <c r="D100" t="s">
        <v>304</v>
      </c>
      <c r="E100">
        <v>0</v>
      </c>
      <c r="F100" t="s">
        <v>313</v>
      </c>
      <c r="G100" t="s">
        <v>78</v>
      </c>
      <c r="H100" t="s">
        <v>79</v>
      </c>
      <c r="I100" t="s">
        <v>80</v>
      </c>
      <c r="J100" t="s">
        <v>196</v>
      </c>
      <c r="K100" t="s">
        <v>13</v>
      </c>
      <c r="L100" t="s">
        <v>83</v>
      </c>
      <c r="M100" t="s">
        <v>205</v>
      </c>
      <c r="N100">
        <v>1</v>
      </c>
      <c r="O100" t="b">
        <v>1</v>
      </c>
      <c r="P100">
        <v>0</v>
      </c>
      <c r="BB100">
        <v>0</v>
      </c>
      <c r="BC100" t="s">
        <v>306</v>
      </c>
      <c r="BD100" t="s">
        <v>314</v>
      </c>
      <c r="BE100" t="s">
        <v>117</v>
      </c>
      <c r="BF100">
        <v>0</v>
      </c>
      <c r="BG100">
        <v>45</v>
      </c>
      <c r="BH100">
        <v>300</v>
      </c>
      <c r="BI100" t="s">
        <v>315</v>
      </c>
    </row>
    <row r="101" spans="1:61">
      <c r="A101" s="164" t="s">
        <v>408</v>
      </c>
      <c r="B101" t="s">
        <v>409</v>
      </c>
      <c r="C101">
        <v>0</v>
      </c>
      <c r="D101" t="s">
        <v>304</v>
      </c>
      <c r="E101">
        <v>0</v>
      </c>
      <c r="F101" t="s">
        <v>342</v>
      </c>
      <c r="G101" t="s">
        <v>78</v>
      </c>
      <c r="H101" t="s">
        <v>79</v>
      </c>
      <c r="I101" t="s">
        <v>80</v>
      </c>
      <c r="J101" t="s">
        <v>196</v>
      </c>
      <c r="K101" t="s">
        <v>13</v>
      </c>
      <c r="L101" t="s">
        <v>83</v>
      </c>
      <c r="M101" t="s">
        <v>84</v>
      </c>
      <c r="N101">
        <v>1</v>
      </c>
      <c r="O101" t="b">
        <v>1</v>
      </c>
      <c r="P101">
        <v>0</v>
      </c>
      <c r="BB101">
        <v>0</v>
      </c>
      <c r="BC101" t="s">
        <v>306</v>
      </c>
      <c r="BD101" t="s">
        <v>343</v>
      </c>
      <c r="BE101" t="s">
        <v>117</v>
      </c>
      <c r="BF101">
        <v>0</v>
      </c>
      <c r="BG101">
        <v>25</v>
      </c>
      <c r="BH101">
        <v>10000</v>
      </c>
      <c r="BI101" t="s">
        <v>344</v>
      </c>
    </row>
    <row r="102" spans="1:61">
      <c r="A102" s="164" t="s">
        <v>410</v>
      </c>
      <c r="B102" t="s">
        <v>411</v>
      </c>
      <c r="C102">
        <v>0</v>
      </c>
      <c r="D102" t="s">
        <v>304</v>
      </c>
      <c r="E102">
        <v>0</v>
      </c>
      <c r="F102" t="s">
        <v>269</v>
      </c>
      <c r="G102" t="s">
        <v>103</v>
      </c>
      <c r="H102" t="s">
        <v>104</v>
      </c>
      <c r="I102" t="s">
        <v>80</v>
      </c>
      <c r="J102" t="s">
        <v>196</v>
      </c>
      <c r="K102" t="s">
        <v>13</v>
      </c>
      <c r="L102" t="s">
        <v>83</v>
      </c>
      <c r="M102" t="s">
        <v>84</v>
      </c>
      <c r="N102">
        <v>1</v>
      </c>
      <c r="O102" t="b">
        <v>0</v>
      </c>
      <c r="P102">
        <v>0</v>
      </c>
      <c r="BB102">
        <v>0</v>
      </c>
      <c r="BC102" t="s">
        <v>306</v>
      </c>
      <c r="BD102" t="s">
        <v>270</v>
      </c>
      <c r="BE102" t="s">
        <v>117</v>
      </c>
      <c r="BF102">
        <v>0</v>
      </c>
      <c r="BG102">
        <v>0</v>
      </c>
      <c r="BH102">
        <v>0</v>
      </c>
    </row>
    <row r="103" spans="1:61">
      <c r="A103" s="164" t="s">
        <v>412</v>
      </c>
      <c r="B103" t="s">
        <v>413</v>
      </c>
      <c r="C103">
        <v>0</v>
      </c>
      <c r="D103" t="s">
        <v>304</v>
      </c>
      <c r="E103">
        <v>0</v>
      </c>
      <c r="F103" t="s">
        <v>269</v>
      </c>
      <c r="G103" t="s">
        <v>103</v>
      </c>
      <c r="H103" t="s">
        <v>104</v>
      </c>
      <c r="I103" t="s">
        <v>80</v>
      </c>
      <c r="J103" t="s">
        <v>196</v>
      </c>
      <c r="K103" t="s">
        <v>13</v>
      </c>
      <c r="L103" t="s">
        <v>83</v>
      </c>
      <c r="M103" t="s">
        <v>84</v>
      </c>
      <c r="N103">
        <v>1</v>
      </c>
      <c r="O103" t="b">
        <v>0</v>
      </c>
      <c r="P103">
        <v>0</v>
      </c>
      <c r="BB103">
        <v>0</v>
      </c>
      <c r="BC103" t="s">
        <v>306</v>
      </c>
      <c r="BD103" t="s">
        <v>270</v>
      </c>
      <c r="BE103" t="s">
        <v>117</v>
      </c>
      <c r="BF103">
        <v>0</v>
      </c>
      <c r="BG103">
        <v>0</v>
      </c>
      <c r="BH103">
        <v>0</v>
      </c>
    </row>
    <row r="104" spans="1:61">
      <c r="A104" s="164" t="s">
        <v>414</v>
      </c>
      <c r="B104" t="s">
        <v>415</v>
      </c>
      <c r="C104">
        <v>0</v>
      </c>
      <c r="D104" t="s">
        <v>304</v>
      </c>
      <c r="E104">
        <v>0</v>
      </c>
      <c r="F104" t="s">
        <v>357</v>
      </c>
      <c r="G104" t="s">
        <v>78</v>
      </c>
      <c r="H104" t="s">
        <v>79</v>
      </c>
      <c r="I104" t="s">
        <v>80</v>
      </c>
      <c r="J104" t="s">
        <v>196</v>
      </c>
      <c r="K104" t="s">
        <v>13</v>
      </c>
      <c r="L104" t="s">
        <v>83</v>
      </c>
      <c r="M104" t="s">
        <v>84</v>
      </c>
      <c r="N104">
        <v>1</v>
      </c>
      <c r="O104" t="b">
        <v>1</v>
      </c>
      <c r="P104">
        <v>0</v>
      </c>
      <c r="BB104">
        <v>0</v>
      </c>
      <c r="BC104" t="s">
        <v>306</v>
      </c>
      <c r="BD104" t="s">
        <v>358</v>
      </c>
      <c r="BE104" t="s">
        <v>117</v>
      </c>
      <c r="BF104">
        <v>0</v>
      </c>
      <c r="BG104">
        <v>30</v>
      </c>
      <c r="BH104">
        <v>500</v>
      </c>
      <c r="BI104" t="s">
        <v>359</v>
      </c>
    </row>
    <row r="105" spans="1:61">
      <c r="A105" s="164" t="s">
        <v>416</v>
      </c>
      <c r="B105" t="s">
        <v>417</v>
      </c>
      <c r="C105">
        <v>0</v>
      </c>
      <c r="D105" t="s">
        <v>304</v>
      </c>
      <c r="E105">
        <v>0</v>
      </c>
      <c r="F105" t="s">
        <v>269</v>
      </c>
      <c r="G105" t="s">
        <v>103</v>
      </c>
      <c r="H105" t="s">
        <v>104</v>
      </c>
      <c r="I105" t="s">
        <v>80</v>
      </c>
      <c r="J105" t="s">
        <v>196</v>
      </c>
      <c r="K105" t="s">
        <v>13</v>
      </c>
      <c r="L105" t="s">
        <v>83</v>
      </c>
      <c r="M105" t="s">
        <v>84</v>
      </c>
      <c r="N105">
        <v>1</v>
      </c>
      <c r="O105" t="b">
        <v>0</v>
      </c>
      <c r="P105">
        <v>0</v>
      </c>
      <c r="BB105">
        <v>0</v>
      </c>
      <c r="BC105" t="s">
        <v>306</v>
      </c>
      <c r="BD105" t="s">
        <v>270</v>
      </c>
      <c r="BE105" t="s">
        <v>117</v>
      </c>
      <c r="BF105">
        <v>0</v>
      </c>
      <c r="BG105">
        <v>0</v>
      </c>
      <c r="BH105">
        <v>0</v>
      </c>
    </row>
    <row r="106" spans="1:61">
      <c r="A106" s="164" t="s">
        <v>418</v>
      </c>
      <c r="B106" t="s">
        <v>419</v>
      </c>
      <c r="C106">
        <v>0</v>
      </c>
      <c r="D106" t="s">
        <v>304</v>
      </c>
      <c r="E106">
        <v>0</v>
      </c>
      <c r="F106" t="s">
        <v>313</v>
      </c>
      <c r="G106" t="s">
        <v>78</v>
      </c>
      <c r="H106" t="s">
        <v>79</v>
      </c>
      <c r="I106" t="s">
        <v>80</v>
      </c>
      <c r="J106" t="s">
        <v>196</v>
      </c>
      <c r="K106" t="s">
        <v>13</v>
      </c>
      <c r="L106" t="s">
        <v>83</v>
      </c>
      <c r="M106" t="s">
        <v>205</v>
      </c>
      <c r="N106">
        <v>1</v>
      </c>
      <c r="O106" t="b">
        <v>1</v>
      </c>
      <c r="P106">
        <v>0</v>
      </c>
      <c r="BB106">
        <v>0</v>
      </c>
      <c r="BC106" t="s">
        <v>306</v>
      </c>
      <c r="BD106" t="s">
        <v>314</v>
      </c>
      <c r="BE106" t="s">
        <v>117</v>
      </c>
      <c r="BF106">
        <v>0</v>
      </c>
      <c r="BG106">
        <v>45</v>
      </c>
      <c r="BH106">
        <v>300</v>
      </c>
      <c r="BI106" t="s">
        <v>315</v>
      </c>
    </row>
    <row r="107" spans="1:61">
      <c r="A107" s="164" t="s">
        <v>420</v>
      </c>
      <c r="B107" t="s">
        <v>421</v>
      </c>
      <c r="C107">
        <v>0</v>
      </c>
      <c r="D107" t="s">
        <v>304</v>
      </c>
      <c r="E107">
        <v>0</v>
      </c>
      <c r="F107" t="s">
        <v>342</v>
      </c>
      <c r="G107" t="s">
        <v>78</v>
      </c>
      <c r="H107" t="s">
        <v>79</v>
      </c>
      <c r="I107" t="s">
        <v>80</v>
      </c>
      <c r="J107" t="s">
        <v>196</v>
      </c>
      <c r="K107" t="s">
        <v>13</v>
      </c>
      <c r="L107" t="s">
        <v>83</v>
      </c>
      <c r="M107" t="s">
        <v>84</v>
      </c>
      <c r="N107">
        <v>1</v>
      </c>
      <c r="O107" t="b">
        <v>1</v>
      </c>
      <c r="P107">
        <v>0</v>
      </c>
      <c r="BB107">
        <v>0</v>
      </c>
      <c r="BC107" t="s">
        <v>306</v>
      </c>
      <c r="BD107" t="s">
        <v>343</v>
      </c>
      <c r="BE107" t="s">
        <v>117</v>
      </c>
      <c r="BF107">
        <v>0</v>
      </c>
      <c r="BG107">
        <v>25</v>
      </c>
      <c r="BH107">
        <v>10000</v>
      </c>
      <c r="BI107" t="s">
        <v>344</v>
      </c>
    </row>
    <row r="108" spans="1:61">
      <c r="A108" s="164" t="s">
        <v>422</v>
      </c>
      <c r="B108" t="s">
        <v>423</v>
      </c>
      <c r="C108">
        <v>0</v>
      </c>
      <c r="D108" t="s">
        <v>304</v>
      </c>
      <c r="E108">
        <v>0</v>
      </c>
      <c r="F108" t="s">
        <v>349</v>
      </c>
      <c r="G108" t="s">
        <v>78</v>
      </c>
      <c r="H108" t="s">
        <v>79</v>
      </c>
      <c r="I108" t="s">
        <v>80</v>
      </c>
      <c r="J108" t="s">
        <v>196</v>
      </c>
      <c r="K108" t="s">
        <v>13</v>
      </c>
      <c r="L108" t="s">
        <v>83</v>
      </c>
      <c r="M108" t="s">
        <v>84</v>
      </c>
      <c r="N108">
        <v>1</v>
      </c>
      <c r="O108" t="b">
        <v>1</v>
      </c>
      <c r="P108">
        <v>0</v>
      </c>
      <c r="BB108">
        <v>0</v>
      </c>
      <c r="BC108" t="s">
        <v>306</v>
      </c>
      <c r="BD108" t="s">
        <v>350</v>
      </c>
      <c r="BE108" t="s">
        <v>117</v>
      </c>
      <c r="BF108">
        <v>0</v>
      </c>
      <c r="BG108">
        <v>25</v>
      </c>
      <c r="BH108">
        <v>10000</v>
      </c>
      <c r="BI108" t="s">
        <v>344</v>
      </c>
    </row>
    <row r="109" spans="1:61">
      <c r="A109" s="164" t="s">
        <v>424</v>
      </c>
      <c r="B109" t="s">
        <v>425</v>
      </c>
      <c r="C109">
        <v>0</v>
      </c>
      <c r="D109" t="s">
        <v>304</v>
      </c>
      <c r="E109">
        <v>0</v>
      </c>
      <c r="F109" t="s">
        <v>357</v>
      </c>
      <c r="G109" t="s">
        <v>78</v>
      </c>
      <c r="H109" t="s">
        <v>79</v>
      </c>
      <c r="I109" t="s">
        <v>80</v>
      </c>
      <c r="J109" t="s">
        <v>196</v>
      </c>
      <c r="K109" t="s">
        <v>13</v>
      </c>
      <c r="L109" t="s">
        <v>83</v>
      </c>
      <c r="M109" t="s">
        <v>84</v>
      </c>
      <c r="N109">
        <v>1</v>
      </c>
      <c r="O109" t="b">
        <v>1</v>
      </c>
      <c r="P109">
        <v>0</v>
      </c>
      <c r="BB109">
        <v>0</v>
      </c>
      <c r="BC109" t="s">
        <v>306</v>
      </c>
      <c r="BD109" t="s">
        <v>358</v>
      </c>
      <c r="BE109" t="s">
        <v>117</v>
      </c>
      <c r="BF109">
        <v>0</v>
      </c>
      <c r="BG109">
        <v>25</v>
      </c>
      <c r="BH109">
        <v>500</v>
      </c>
      <c r="BI109" t="s">
        <v>359</v>
      </c>
    </row>
    <row r="110" spans="1:61">
      <c r="A110" s="164" t="s">
        <v>426</v>
      </c>
      <c r="B110" t="s">
        <v>427</v>
      </c>
      <c r="C110">
        <v>0</v>
      </c>
      <c r="D110" t="s">
        <v>304</v>
      </c>
      <c r="E110">
        <v>0</v>
      </c>
      <c r="F110" t="s">
        <v>357</v>
      </c>
      <c r="G110" t="s">
        <v>78</v>
      </c>
      <c r="H110" t="s">
        <v>79</v>
      </c>
      <c r="I110" t="s">
        <v>80</v>
      </c>
      <c r="J110" t="s">
        <v>196</v>
      </c>
      <c r="K110" t="s">
        <v>13</v>
      </c>
      <c r="L110" t="s">
        <v>83</v>
      </c>
      <c r="M110" t="s">
        <v>84</v>
      </c>
      <c r="N110">
        <v>1</v>
      </c>
      <c r="O110" t="b">
        <v>1</v>
      </c>
      <c r="P110">
        <v>0</v>
      </c>
      <c r="BB110">
        <v>0</v>
      </c>
      <c r="BC110" t="s">
        <v>306</v>
      </c>
      <c r="BD110" t="s">
        <v>358</v>
      </c>
      <c r="BE110" t="s">
        <v>117</v>
      </c>
      <c r="BF110">
        <v>0</v>
      </c>
      <c r="BG110">
        <v>25</v>
      </c>
      <c r="BH110">
        <v>500</v>
      </c>
      <c r="BI110" t="s">
        <v>359</v>
      </c>
    </row>
    <row r="111" spans="1:61">
      <c r="A111" s="164" t="s">
        <v>428</v>
      </c>
      <c r="B111" t="s">
        <v>429</v>
      </c>
      <c r="C111">
        <v>0</v>
      </c>
      <c r="D111" t="s">
        <v>304</v>
      </c>
      <c r="E111">
        <v>0</v>
      </c>
      <c r="F111" t="s">
        <v>430</v>
      </c>
      <c r="G111" t="s">
        <v>78</v>
      </c>
      <c r="H111" t="s">
        <v>79</v>
      </c>
      <c r="I111" t="s">
        <v>80</v>
      </c>
      <c r="J111" t="s">
        <v>196</v>
      </c>
      <c r="K111" t="s">
        <v>13</v>
      </c>
      <c r="L111" t="s">
        <v>83</v>
      </c>
      <c r="M111" t="s">
        <v>84</v>
      </c>
      <c r="N111">
        <v>1</v>
      </c>
      <c r="O111" t="b">
        <v>1</v>
      </c>
      <c r="P111">
        <v>0</v>
      </c>
      <c r="BB111">
        <v>0</v>
      </c>
      <c r="BC111" t="s">
        <v>306</v>
      </c>
      <c r="BD111" t="s">
        <v>431</v>
      </c>
      <c r="BE111" t="s">
        <v>117</v>
      </c>
      <c r="BF111">
        <v>0</v>
      </c>
      <c r="BG111">
        <v>15</v>
      </c>
      <c r="BH111">
        <v>200</v>
      </c>
      <c r="BI111" t="s">
        <v>432</v>
      </c>
    </row>
    <row r="112" spans="1:61">
      <c r="A112" s="164" t="s">
        <v>433</v>
      </c>
      <c r="B112" t="s">
        <v>434</v>
      </c>
      <c r="C112">
        <v>0</v>
      </c>
      <c r="D112" t="s">
        <v>304</v>
      </c>
      <c r="E112">
        <v>0</v>
      </c>
      <c r="F112" t="s">
        <v>342</v>
      </c>
      <c r="G112" t="s">
        <v>78</v>
      </c>
      <c r="H112" t="s">
        <v>79</v>
      </c>
      <c r="I112" t="s">
        <v>80</v>
      </c>
      <c r="J112" t="s">
        <v>196</v>
      </c>
      <c r="K112" t="s">
        <v>13</v>
      </c>
      <c r="L112" t="s">
        <v>83</v>
      </c>
      <c r="M112" t="s">
        <v>84</v>
      </c>
      <c r="N112">
        <v>1</v>
      </c>
      <c r="O112" t="b">
        <v>1</v>
      </c>
      <c r="P112">
        <v>0</v>
      </c>
      <c r="BB112">
        <v>0</v>
      </c>
      <c r="BC112" t="s">
        <v>306</v>
      </c>
      <c r="BD112" t="s">
        <v>343</v>
      </c>
      <c r="BE112" t="s">
        <v>117</v>
      </c>
      <c r="BF112">
        <v>0</v>
      </c>
      <c r="BG112">
        <v>25</v>
      </c>
      <c r="BH112">
        <v>20000</v>
      </c>
      <c r="BI112" t="s">
        <v>435</v>
      </c>
    </row>
    <row r="113" spans="1:61">
      <c r="A113" s="164" t="s">
        <v>436</v>
      </c>
      <c r="B113" t="s">
        <v>437</v>
      </c>
      <c r="C113">
        <v>0</v>
      </c>
      <c r="D113" t="s">
        <v>304</v>
      </c>
      <c r="E113">
        <v>0</v>
      </c>
      <c r="F113" t="s">
        <v>342</v>
      </c>
      <c r="G113" t="s">
        <v>78</v>
      </c>
      <c r="H113" t="s">
        <v>79</v>
      </c>
      <c r="I113" t="s">
        <v>80</v>
      </c>
      <c r="J113" t="s">
        <v>196</v>
      </c>
      <c r="K113" t="s">
        <v>13</v>
      </c>
      <c r="L113" t="s">
        <v>83</v>
      </c>
      <c r="M113" t="s">
        <v>84</v>
      </c>
      <c r="N113">
        <v>1</v>
      </c>
      <c r="O113" t="b">
        <v>1</v>
      </c>
      <c r="P113">
        <v>0</v>
      </c>
      <c r="BB113">
        <v>0</v>
      </c>
      <c r="BC113" t="s">
        <v>306</v>
      </c>
      <c r="BD113" t="s">
        <v>343</v>
      </c>
      <c r="BE113" t="s">
        <v>117</v>
      </c>
      <c r="BF113">
        <v>0</v>
      </c>
      <c r="BG113">
        <v>25</v>
      </c>
      <c r="BH113">
        <v>10000</v>
      </c>
      <c r="BI113" t="s">
        <v>344</v>
      </c>
    </row>
    <row r="114" spans="1:61">
      <c r="A114" s="164" t="s">
        <v>438</v>
      </c>
      <c r="B114" t="s">
        <v>439</v>
      </c>
      <c r="C114">
        <v>0</v>
      </c>
      <c r="D114" t="s">
        <v>304</v>
      </c>
      <c r="E114">
        <v>0</v>
      </c>
      <c r="F114" t="s">
        <v>305</v>
      </c>
      <c r="G114" t="s">
        <v>78</v>
      </c>
      <c r="H114" t="s">
        <v>79</v>
      </c>
      <c r="I114" t="s">
        <v>80</v>
      </c>
      <c r="J114" t="s">
        <v>196</v>
      </c>
      <c r="K114" t="s">
        <v>13</v>
      </c>
      <c r="L114" t="s">
        <v>83</v>
      </c>
      <c r="M114" t="s">
        <v>84</v>
      </c>
      <c r="N114">
        <v>1</v>
      </c>
      <c r="O114" t="b">
        <v>1</v>
      </c>
      <c r="P114">
        <v>0</v>
      </c>
      <c r="BB114">
        <v>0</v>
      </c>
      <c r="BC114" t="s">
        <v>306</v>
      </c>
      <c r="BD114" t="s">
        <v>307</v>
      </c>
      <c r="BE114" t="s">
        <v>117</v>
      </c>
      <c r="BF114">
        <v>0</v>
      </c>
      <c r="BG114">
        <v>25</v>
      </c>
      <c r="BH114">
        <v>10000</v>
      </c>
      <c r="BI114" t="s">
        <v>308</v>
      </c>
    </row>
    <row r="115" spans="1:61">
      <c r="A115" s="164" t="s">
        <v>440</v>
      </c>
      <c r="B115" t="s">
        <v>441</v>
      </c>
      <c r="C115">
        <v>0</v>
      </c>
      <c r="D115" t="s">
        <v>304</v>
      </c>
      <c r="E115">
        <v>0</v>
      </c>
      <c r="F115" t="s">
        <v>313</v>
      </c>
      <c r="G115" t="s">
        <v>78</v>
      </c>
      <c r="H115" t="s">
        <v>79</v>
      </c>
      <c r="I115" t="s">
        <v>80</v>
      </c>
      <c r="J115" t="s">
        <v>196</v>
      </c>
      <c r="K115" t="s">
        <v>13</v>
      </c>
      <c r="L115" t="s">
        <v>83</v>
      </c>
      <c r="M115" t="s">
        <v>205</v>
      </c>
      <c r="N115">
        <v>1</v>
      </c>
      <c r="O115" t="b">
        <v>1</v>
      </c>
      <c r="P115">
        <v>0</v>
      </c>
      <c r="BB115">
        <v>0</v>
      </c>
      <c r="BC115" t="s">
        <v>306</v>
      </c>
      <c r="BD115" t="s">
        <v>314</v>
      </c>
      <c r="BE115" t="s">
        <v>117</v>
      </c>
      <c r="BF115">
        <v>0</v>
      </c>
      <c r="BG115">
        <v>45</v>
      </c>
      <c r="BH115">
        <v>1000</v>
      </c>
      <c r="BI115" t="s">
        <v>315</v>
      </c>
    </row>
    <row r="116" spans="1:61">
      <c r="A116" s="164" t="s">
        <v>442</v>
      </c>
      <c r="B116" t="s">
        <v>443</v>
      </c>
      <c r="C116">
        <v>0</v>
      </c>
      <c r="D116" t="s">
        <v>304</v>
      </c>
      <c r="E116">
        <v>0</v>
      </c>
      <c r="F116" t="s">
        <v>269</v>
      </c>
      <c r="G116" t="s">
        <v>103</v>
      </c>
      <c r="H116" t="s">
        <v>104</v>
      </c>
      <c r="I116" t="s">
        <v>80</v>
      </c>
      <c r="J116" t="s">
        <v>196</v>
      </c>
      <c r="K116" t="s">
        <v>13</v>
      </c>
      <c r="L116" t="s">
        <v>83</v>
      </c>
      <c r="M116" t="s">
        <v>84</v>
      </c>
      <c r="N116">
        <v>1</v>
      </c>
      <c r="O116" t="b">
        <v>0</v>
      </c>
      <c r="P116">
        <v>0</v>
      </c>
      <c r="BB116">
        <v>0</v>
      </c>
      <c r="BC116" t="s">
        <v>306</v>
      </c>
      <c r="BD116" t="s">
        <v>270</v>
      </c>
      <c r="BE116" t="s">
        <v>117</v>
      </c>
      <c r="BF116">
        <v>0</v>
      </c>
      <c r="BG116">
        <v>0</v>
      </c>
      <c r="BH116">
        <v>0</v>
      </c>
    </row>
    <row r="117" spans="1:61">
      <c r="A117" s="164" t="s">
        <v>444</v>
      </c>
      <c r="B117" t="s">
        <v>445</v>
      </c>
      <c r="C117">
        <v>0</v>
      </c>
      <c r="D117" t="s">
        <v>304</v>
      </c>
      <c r="E117">
        <v>0</v>
      </c>
      <c r="F117" t="s">
        <v>269</v>
      </c>
      <c r="G117" t="s">
        <v>103</v>
      </c>
      <c r="H117" t="s">
        <v>104</v>
      </c>
      <c r="I117" t="s">
        <v>80</v>
      </c>
      <c r="J117" t="s">
        <v>196</v>
      </c>
      <c r="K117" t="s">
        <v>13</v>
      </c>
      <c r="L117" t="s">
        <v>83</v>
      </c>
      <c r="M117" t="s">
        <v>84</v>
      </c>
      <c r="N117">
        <v>1</v>
      </c>
      <c r="O117" t="b">
        <v>0</v>
      </c>
      <c r="P117">
        <v>0</v>
      </c>
      <c r="BB117">
        <v>0</v>
      </c>
      <c r="BC117" t="s">
        <v>306</v>
      </c>
      <c r="BD117" t="s">
        <v>270</v>
      </c>
      <c r="BE117" t="s">
        <v>117</v>
      </c>
      <c r="BF117">
        <v>0</v>
      </c>
      <c r="BG117">
        <v>0</v>
      </c>
      <c r="BH117">
        <v>0</v>
      </c>
    </row>
    <row r="118" spans="1:61">
      <c r="A118" s="164" t="s">
        <v>446</v>
      </c>
      <c r="B118" t="s">
        <v>447</v>
      </c>
      <c r="C118">
        <v>0</v>
      </c>
      <c r="D118" t="s">
        <v>304</v>
      </c>
      <c r="E118">
        <v>0</v>
      </c>
      <c r="F118" t="s">
        <v>305</v>
      </c>
      <c r="G118" t="s">
        <v>78</v>
      </c>
      <c r="H118" t="s">
        <v>79</v>
      </c>
      <c r="I118" t="s">
        <v>80</v>
      </c>
      <c r="J118" t="s">
        <v>196</v>
      </c>
      <c r="K118" t="s">
        <v>13</v>
      </c>
      <c r="L118" t="s">
        <v>83</v>
      </c>
      <c r="M118" t="s">
        <v>84</v>
      </c>
      <c r="N118">
        <v>1</v>
      </c>
      <c r="O118" t="b">
        <v>1</v>
      </c>
      <c r="P118">
        <v>0</v>
      </c>
      <c r="BB118">
        <v>0</v>
      </c>
      <c r="BC118" t="s">
        <v>306</v>
      </c>
      <c r="BD118" t="s">
        <v>307</v>
      </c>
      <c r="BE118" t="s">
        <v>117</v>
      </c>
      <c r="BF118">
        <v>0</v>
      </c>
      <c r="BG118">
        <v>25</v>
      </c>
      <c r="BH118">
        <v>20000</v>
      </c>
      <c r="BI118" t="s">
        <v>308</v>
      </c>
    </row>
    <row r="119" spans="1:61">
      <c r="A119" s="164" t="s">
        <v>448</v>
      </c>
      <c r="B119" t="s">
        <v>449</v>
      </c>
      <c r="C119">
        <v>0</v>
      </c>
      <c r="D119" t="s">
        <v>304</v>
      </c>
      <c r="E119">
        <v>0</v>
      </c>
      <c r="F119" t="s">
        <v>269</v>
      </c>
      <c r="G119" t="s">
        <v>103</v>
      </c>
      <c r="H119" t="s">
        <v>104</v>
      </c>
      <c r="I119" t="s">
        <v>80</v>
      </c>
      <c r="J119" t="s">
        <v>196</v>
      </c>
      <c r="K119" t="s">
        <v>13</v>
      </c>
      <c r="L119" t="s">
        <v>83</v>
      </c>
      <c r="M119" t="s">
        <v>84</v>
      </c>
      <c r="N119">
        <v>1</v>
      </c>
      <c r="O119" t="b">
        <v>0</v>
      </c>
      <c r="P119">
        <v>0</v>
      </c>
      <c r="BB119">
        <v>0</v>
      </c>
      <c r="BC119" t="s">
        <v>306</v>
      </c>
      <c r="BD119" t="s">
        <v>270</v>
      </c>
      <c r="BE119" t="s">
        <v>117</v>
      </c>
      <c r="BF119">
        <v>0</v>
      </c>
      <c r="BG119">
        <v>0</v>
      </c>
      <c r="BH119">
        <v>0</v>
      </c>
    </row>
    <row r="120" spans="1:61">
      <c r="A120" s="164" t="s">
        <v>450</v>
      </c>
      <c r="B120" t="s">
        <v>451</v>
      </c>
      <c r="C120">
        <v>0</v>
      </c>
      <c r="D120" t="s">
        <v>304</v>
      </c>
      <c r="E120">
        <v>0</v>
      </c>
      <c r="F120" t="s">
        <v>342</v>
      </c>
      <c r="G120" t="s">
        <v>78</v>
      </c>
      <c r="H120" t="s">
        <v>79</v>
      </c>
      <c r="I120" t="s">
        <v>80</v>
      </c>
      <c r="J120" t="s">
        <v>196</v>
      </c>
      <c r="K120" t="s">
        <v>13</v>
      </c>
      <c r="L120" t="s">
        <v>83</v>
      </c>
      <c r="M120" t="s">
        <v>84</v>
      </c>
      <c r="N120">
        <v>1</v>
      </c>
      <c r="O120" t="b">
        <v>1</v>
      </c>
      <c r="P120">
        <v>0</v>
      </c>
      <c r="BB120">
        <v>0</v>
      </c>
      <c r="BC120" t="s">
        <v>306</v>
      </c>
      <c r="BD120" t="s">
        <v>343</v>
      </c>
      <c r="BE120" t="s">
        <v>117</v>
      </c>
      <c r="BF120">
        <v>0</v>
      </c>
      <c r="BG120">
        <v>25</v>
      </c>
      <c r="BH120">
        <v>10000</v>
      </c>
      <c r="BI120" t="s">
        <v>344</v>
      </c>
    </row>
    <row r="121" spans="1:61">
      <c r="A121" s="164" t="s">
        <v>452</v>
      </c>
      <c r="B121" t="s">
        <v>453</v>
      </c>
      <c r="C121">
        <v>0</v>
      </c>
      <c r="D121" t="s">
        <v>304</v>
      </c>
      <c r="E121">
        <v>0</v>
      </c>
      <c r="F121" t="s">
        <v>342</v>
      </c>
      <c r="G121" t="s">
        <v>78</v>
      </c>
      <c r="H121" t="s">
        <v>79</v>
      </c>
      <c r="I121" t="s">
        <v>80</v>
      </c>
      <c r="J121" t="s">
        <v>196</v>
      </c>
      <c r="K121" t="s">
        <v>13</v>
      </c>
      <c r="L121" t="s">
        <v>83</v>
      </c>
      <c r="M121" t="s">
        <v>84</v>
      </c>
      <c r="N121">
        <v>1</v>
      </c>
      <c r="O121" t="b">
        <v>1</v>
      </c>
      <c r="P121">
        <v>0</v>
      </c>
      <c r="BB121">
        <v>0</v>
      </c>
      <c r="BC121" t="s">
        <v>306</v>
      </c>
      <c r="BD121" t="s">
        <v>343</v>
      </c>
      <c r="BE121" t="s">
        <v>117</v>
      </c>
      <c r="BF121">
        <v>0</v>
      </c>
      <c r="BG121">
        <v>25</v>
      </c>
      <c r="BH121">
        <v>10000</v>
      </c>
      <c r="BI121" t="s">
        <v>344</v>
      </c>
    </row>
    <row r="122" spans="1:61">
      <c r="A122" s="164" t="s">
        <v>454</v>
      </c>
      <c r="B122" t="s">
        <v>455</v>
      </c>
      <c r="C122">
        <v>0</v>
      </c>
      <c r="D122" t="s">
        <v>304</v>
      </c>
      <c r="E122">
        <v>0</v>
      </c>
      <c r="F122" t="s">
        <v>456</v>
      </c>
      <c r="G122" t="s">
        <v>78</v>
      </c>
      <c r="H122" t="s">
        <v>79</v>
      </c>
      <c r="I122" t="s">
        <v>80</v>
      </c>
      <c r="J122" t="s">
        <v>196</v>
      </c>
      <c r="K122" t="s">
        <v>13</v>
      </c>
      <c r="L122" t="s">
        <v>83</v>
      </c>
      <c r="M122" t="s">
        <v>84</v>
      </c>
      <c r="N122">
        <v>1</v>
      </c>
      <c r="O122" t="b">
        <v>1</v>
      </c>
      <c r="P122">
        <v>0</v>
      </c>
      <c r="BB122">
        <v>0</v>
      </c>
      <c r="BC122" t="s">
        <v>306</v>
      </c>
      <c r="BD122" t="s">
        <v>457</v>
      </c>
      <c r="BE122" t="s">
        <v>117</v>
      </c>
      <c r="BF122">
        <v>0</v>
      </c>
      <c r="BG122">
        <v>120</v>
      </c>
      <c r="BH122">
        <v>1000000</v>
      </c>
      <c r="BI122" t="s">
        <v>458</v>
      </c>
    </row>
    <row r="123" spans="1:61">
      <c r="A123" s="164" t="s">
        <v>459</v>
      </c>
      <c r="B123" t="s">
        <v>460</v>
      </c>
      <c r="C123">
        <v>0</v>
      </c>
      <c r="D123" t="s">
        <v>304</v>
      </c>
      <c r="E123">
        <v>0</v>
      </c>
      <c r="F123" t="s">
        <v>349</v>
      </c>
      <c r="G123" t="s">
        <v>78</v>
      </c>
      <c r="H123" t="s">
        <v>79</v>
      </c>
      <c r="I123" t="s">
        <v>80</v>
      </c>
      <c r="J123" t="s">
        <v>196</v>
      </c>
      <c r="K123" t="s">
        <v>13</v>
      </c>
      <c r="L123" t="s">
        <v>83</v>
      </c>
      <c r="M123" t="s">
        <v>84</v>
      </c>
      <c r="N123">
        <v>1</v>
      </c>
      <c r="O123" t="b">
        <v>1</v>
      </c>
      <c r="P123">
        <v>0</v>
      </c>
      <c r="BB123">
        <v>0</v>
      </c>
      <c r="BC123" t="s">
        <v>306</v>
      </c>
      <c r="BD123" t="s">
        <v>350</v>
      </c>
      <c r="BE123" t="s">
        <v>117</v>
      </c>
      <c r="BF123">
        <v>0</v>
      </c>
      <c r="BG123">
        <v>25</v>
      </c>
      <c r="BH123">
        <v>10000</v>
      </c>
      <c r="BI123" t="s">
        <v>344</v>
      </c>
    </row>
    <row r="124" spans="1:61">
      <c r="A124" s="164" t="s">
        <v>461</v>
      </c>
      <c r="B124" t="s">
        <v>462</v>
      </c>
      <c r="C124">
        <v>0</v>
      </c>
      <c r="D124" t="s">
        <v>304</v>
      </c>
      <c r="E124">
        <v>0</v>
      </c>
      <c r="F124" t="s">
        <v>357</v>
      </c>
      <c r="G124" t="s">
        <v>78</v>
      </c>
      <c r="H124" t="s">
        <v>79</v>
      </c>
      <c r="I124" t="s">
        <v>80</v>
      </c>
      <c r="J124" t="s">
        <v>196</v>
      </c>
      <c r="K124" t="s">
        <v>13</v>
      </c>
      <c r="L124" t="s">
        <v>83</v>
      </c>
      <c r="M124" t="s">
        <v>84</v>
      </c>
      <c r="N124">
        <v>1</v>
      </c>
      <c r="O124" t="b">
        <v>1</v>
      </c>
      <c r="P124">
        <v>0</v>
      </c>
      <c r="BB124">
        <v>0</v>
      </c>
      <c r="BC124" t="s">
        <v>306</v>
      </c>
      <c r="BD124" t="s">
        <v>358</v>
      </c>
      <c r="BE124" t="s">
        <v>117</v>
      </c>
      <c r="BF124">
        <v>0</v>
      </c>
      <c r="BG124">
        <v>25</v>
      </c>
      <c r="BH124">
        <v>500</v>
      </c>
      <c r="BI124" t="s">
        <v>359</v>
      </c>
    </row>
    <row r="125" spans="1:61">
      <c r="A125" s="164" t="s">
        <v>463</v>
      </c>
      <c r="B125" t="s">
        <v>464</v>
      </c>
      <c r="C125">
        <v>0</v>
      </c>
      <c r="D125" t="s">
        <v>304</v>
      </c>
      <c r="E125">
        <v>0</v>
      </c>
      <c r="F125" t="s">
        <v>342</v>
      </c>
      <c r="G125" t="s">
        <v>78</v>
      </c>
      <c r="H125" t="s">
        <v>79</v>
      </c>
      <c r="I125" t="s">
        <v>80</v>
      </c>
      <c r="J125" t="s">
        <v>196</v>
      </c>
      <c r="K125" t="s">
        <v>13</v>
      </c>
      <c r="L125" t="s">
        <v>83</v>
      </c>
      <c r="M125" t="s">
        <v>84</v>
      </c>
      <c r="N125">
        <v>1</v>
      </c>
      <c r="O125" t="b">
        <v>1</v>
      </c>
      <c r="P125">
        <v>0</v>
      </c>
      <c r="BB125">
        <v>0</v>
      </c>
      <c r="BC125" t="s">
        <v>306</v>
      </c>
      <c r="BD125" t="s">
        <v>343</v>
      </c>
      <c r="BE125" t="s">
        <v>117</v>
      </c>
      <c r="BF125">
        <v>0</v>
      </c>
      <c r="BG125">
        <v>25</v>
      </c>
      <c r="BH125">
        <v>10000</v>
      </c>
      <c r="BI125" t="s">
        <v>344</v>
      </c>
    </row>
    <row r="126" spans="1:61">
      <c r="A126" s="164" t="s">
        <v>465</v>
      </c>
      <c r="B126" t="s">
        <v>466</v>
      </c>
      <c r="C126">
        <v>0</v>
      </c>
      <c r="D126" t="s">
        <v>101</v>
      </c>
      <c r="E126">
        <v>0</v>
      </c>
      <c r="F126" t="s">
        <v>102</v>
      </c>
      <c r="G126" t="s">
        <v>103</v>
      </c>
      <c r="H126" t="s">
        <v>104</v>
      </c>
      <c r="I126" t="s">
        <v>80</v>
      </c>
      <c r="J126" t="s">
        <v>467</v>
      </c>
      <c r="K126" t="s">
        <v>468</v>
      </c>
      <c r="L126" t="s">
        <v>111</v>
      </c>
      <c r="M126" t="s">
        <v>84</v>
      </c>
      <c r="N126">
        <v>1.19</v>
      </c>
      <c r="O126" t="b">
        <v>0</v>
      </c>
      <c r="P126">
        <v>45</v>
      </c>
      <c r="Q126" t="s">
        <v>85</v>
      </c>
      <c r="S126">
        <v>0</v>
      </c>
      <c r="T126">
        <v>1</v>
      </c>
      <c r="V126" t="s">
        <v>87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G126" t="s">
        <v>129</v>
      </c>
      <c r="AH126">
        <v>0</v>
      </c>
      <c r="AI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Y126">
        <v>0</v>
      </c>
      <c r="AZ126">
        <v>8</v>
      </c>
      <c r="BA126" t="s">
        <v>94</v>
      </c>
      <c r="BB126">
        <v>0</v>
      </c>
      <c r="BC126" t="s">
        <v>95</v>
      </c>
      <c r="BD126" t="s">
        <v>469</v>
      </c>
      <c r="BE126" t="s">
        <v>97</v>
      </c>
      <c r="BF126">
        <v>0</v>
      </c>
      <c r="BG126">
        <v>0</v>
      </c>
      <c r="BH126">
        <v>0</v>
      </c>
      <c r="BI126" t="s">
        <v>98</v>
      </c>
    </row>
    <row r="127" spans="1:61">
      <c r="A127" s="164" t="s">
        <v>470</v>
      </c>
      <c r="B127" t="s">
        <v>471</v>
      </c>
      <c r="C127">
        <v>0</v>
      </c>
      <c r="D127" t="s">
        <v>147</v>
      </c>
      <c r="E127">
        <v>0</v>
      </c>
      <c r="F127" t="s">
        <v>472</v>
      </c>
      <c r="G127" t="s">
        <v>103</v>
      </c>
      <c r="H127" t="s">
        <v>104</v>
      </c>
      <c r="I127" t="s">
        <v>80</v>
      </c>
      <c r="J127" t="s">
        <v>467</v>
      </c>
      <c r="K127" t="s">
        <v>468</v>
      </c>
      <c r="L127" t="s">
        <v>111</v>
      </c>
      <c r="M127" t="s">
        <v>84</v>
      </c>
      <c r="N127">
        <v>1.08</v>
      </c>
      <c r="O127" t="b">
        <v>0</v>
      </c>
      <c r="P127">
        <v>45</v>
      </c>
      <c r="Q127" t="s">
        <v>85</v>
      </c>
      <c r="S127">
        <v>0</v>
      </c>
      <c r="T127">
        <v>1</v>
      </c>
      <c r="V127" t="s">
        <v>87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G127" t="s">
        <v>129</v>
      </c>
      <c r="AH127">
        <v>0</v>
      </c>
      <c r="AI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Y127">
        <v>0</v>
      </c>
      <c r="AZ127">
        <v>0</v>
      </c>
      <c r="BA127" t="s">
        <v>94</v>
      </c>
      <c r="BB127">
        <v>0</v>
      </c>
      <c r="BC127" t="s">
        <v>95</v>
      </c>
      <c r="BD127" t="s">
        <v>469</v>
      </c>
      <c r="BE127" t="s">
        <v>97</v>
      </c>
      <c r="BF127">
        <v>0</v>
      </c>
      <c r="BG127">
        <v>0</v>
      </c>
      <c r="BH127">
        <v>0</v>
      </c>
      <c r="BI127" t="s">
        <v>98</v>
      </c>
    </row>
    <row r="128" spans="1:61">
      <c r="A128" s="164" t="s">
        <v>473</v>
      </c>
      <c r="B128" t="s">
        <v>474</v>
      </c>
      <c r="C128">
        <v>0</v>
      </c>
      <c r="D128" t="s">
        <v>161</v>
      </c>
      <c r="E128">
        <v>0</v>
      </c>
      <c r="F128" t="s">
        <v>475</v>
      </c>
      <c r="G128" t="s">
        <v>103</v>
      </c>
      <c r="H128" t="s">
        <v>104</v>
      </c>
      <c r="I128" t="s">
        <v>80</v>
      </c>
      <c r="J128" t="s">
        <v>163</v>
      </c>
      <c r="K128" t="s">
        <v>82</v>
      </c>
      <c r="L128" t="s">
        <v>83</v>
      </c>
      <c r="M128" t="s">
        <v>84</v>
      </c>
      <c r="N128">
        <v>0.9</v>
      </c>
      <c r="O128" t="b">
        <v>0</v>
      </c>
      <c r="P128">
        <v>30</v>
      </c>
      <c r="Q128" t="s">
        <v>137</v>
      </c>
      <c r="S128">
        <v>0</v>
      </c>
      <c r="T128">
        <v>1</v>
      </c>
      <c r="U128" s="36">
        <v>4.1783400000000004</v>
      </c>
      <c r="V128" t="s">
        <v>87</v>
      </c>
      <c r="X128">
        <v>0</v>
      </c>
      <c r="Z128">
        <v>5.8823529411764705E-2</v>
      </c>
      <c r="AB128">
        <v>0</v>
      </c>
      <c r="AC128">
        <v>0</v>
      </c>
      <c r="AE128" t="s">
        <v>129</v>
      </c>
      <c r="AF128" t="s">
        <v>475</v>
      </c>
      <c r="AG128" t="s">
        <v>129</v>
      </c>
      <c r="AH128">
        <v>0</v>
      </c>
      <c r="AI128">
        <v>7.7</v>
      </c>
      <c r="AJ128" t="s">
        <v>167</v>
      </c>
      <c r="AM128">
        <v>7.47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 t="s">
        <v>476</v>
      </c>
      <c r="AY128">
        <v>0</v>
      </c>
      <c r="AZ128">
        <v>0</v>
      </c>
      <c r="BA128" t="s">
        <v>138</v>
      </c>
      <c r="BB128">
        <v>0</v>
      </c>
      <c r="BC128" t="s">
        <v>95</v>
      </c>
      <c r="BD128" t="s">
        <v>96</v>
      </c>
      <c r="BE128" t="s">
        <v>97</v>
      </c>
      <c r="BF128">
        <v>0</v>
      </c>
      <c r="BG128">
        <v>0</v>
      </c>
      <c r="BH128">
        <v>0</v>
      </c>
      <c r="BI128" t="s">
        <v>98</v>
      </c>
    </row>
    <row r="129" spans="1:61">
      <c r="A129" s="164" t="s">
        <v>477</v>
      </c>
      <c r="B129" t="s">
        <v>478</v>
      </c>
      <c r="C129">
        <v>0</v>
      </c>
      <c r="D129" t="s">
        <v>479</v>
      </c>
      <c r="E129">
        <v>0</v>
      </c>
      <c r="F129" t="s">
        <v>480</v>
      </c>
      <c r="G129" t="s">
        <v>103</v>
      </c>
      <c r="H129" t="s">
        <v>104</v>
      </c>
      <c r="I129" t="s">
        <v>80</v>
      </c>
      <c r="J129" t="s">
        <v>467</v>
      </c>
      <c r="K129" t="s">
        <v>468</v>
      </c>
      <c r="L129" t="s">
        <v>111</v>
      </c>
      <c r="M129" t="s">
        <v>84</v>
      </c>
      <c r="N129">
        <v>0.28000000000000003</v>
      </c>
      <c r="O129" t="b">
        <v>0</v>
      </c>
      <c r="P129">
        <v>45</v>
      </c>
      <c r="Q129" t="s">
        <v>479</v>
      </c>
      <c r="S129">
        <v>0</v>
      </c>
      <c r="T129">
        <v>1</v>
      </c>
      <c r="V129" t="s">
        <v>87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G129" t="s">
        <v>129</v>
      </c>
      <c r="AH129">
        <v>0</v>
      </c>
      <c r="AI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Y129">
        <v>0</v>
      </c>
      <c r="AZ129">
        <v>0</v>
      </c>
      <c r="BA129" t="s">
        <v>138</v>
      </c>
      <c r="BB129">
        <v>0</v>
      </c>
      <c r="BC129" t="s">
        <v>95</v>
      </c>
      <c r="BD129" t="s">
        <v>469</v>
      </c>
      <c r="BE129" t="s">
        <v>97</v>
      </c>
      <c r="BF129">
        <v>0</v>
      </c>
      <c r="BG129">
        <v>0</v>
      </c>
      <c r="BH129">
        <v>0</v>
      </c>
      <c r="BI129" t="s">
        <v>98</v>
      </c>
    </row>
    <row r="130" spans="1:61">
      <c r="A130" s="164" t="s">
        <v>481</v>
      </c>
      <c r="B130" t="s">
        <v>482</v>
      </c>
      <c r="C130">
        <v>0</v>
      </c>
      <c r="D130" t="s">
        <v>181</v>
      </c>
      <c r="E130">
        <v>0</v>
      </c>
      <c r="F130" t="s">
        <v>181</v>
      </c>
      <c r="G130" t="s">
        <v>78</v>
      </c>
      <c r="H130" t="s">
        <v>79</v>
      </c>
      <c r="I130" t="s">
        <v>80</v>
      </c>
      <c r="J130" t="s">
        <v>163</v>
      </c>
      <c r="K130" t="s">
        <v>82</v>
      </c>
      <c r="L130" t="s">
        <v>83</v>
      </c>
      <c r="M130" t="s">
        <v>84</v>
      </c>
      <c r="N130">
        <v>4.4999999999999998E-2</v>
      </c>
      <c r="O130" t="b">
        <v>1</v>
      </c>
      <c r="P130">
        <v>90</v>
      </c>
      <c r="Q130" t="s">
        <v>137</v>
      </c>
      <c r="S130">
        <v>4.4999999999999998E-2</v>
      </c>
      <c r="T130">
        <v>1</v>
      </c>
      <c r="U130" s="36">
        <v>0.12909999999999999</v>
      </c>
      <c r="V130" t="s">
        <v>165</v>
      </c>
      <c r="W130">
        <v>36</v>
      </c>
      <c r="X130">
        <v>0</v>
      </c>
      <c r="Y130">
        <v>300</v>
      </c>
      <c r="Z130">
        <v>3.3333333333333335E-3</v>
      </c>
      <c r="AA130">
        <v>35</v>
      </c>
      <c r="AB130">
        <v>0</v>
      </c>
      <c r="AC130">
        <v>0</v>
      </c>
      <c r="AD130">
        <v>2000</v>
      </c>
      <c r="AE130" t="s">
        <v>182</v>
      </c>
      <c r="AF130" t="s">
        <v>181</v>
      </c>
      <c r="AG130" t="s">
        <v>129</v>
      </c>
      <c r="AH130">
        <v>0</v>
      </c>
      <c r="AI130">
        <v>11</v>
      </c>
      <c r="AM130">
        <v>3.52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t="s">
        <v>483</v>
      </c>
      <c r="AY130">
        <v>3.77</v>
      </c>
      <c r="AZ130">
        <v>3</v>
      </c>
      <c r="BA130" t="s">
        <v>138</v>
      </c>
      <c r="BB130">
        <v>0.56000000000000005</v>
      </c>
      <c r="BC130" t="s">
        <v>95</v>
      </c>
      <c r="BD130" t="s">
        <v>96</v>
      </c>
      <c r="BE130" t="s">
        <v>97</v>
      </c>
      <c r="BF130">
        <v>1</v>
      </c>
      <c r="BG130">
        <v>0</v>
      </c>
      <c r="BH130">
        <v>0</v>
      </c>
      <c r="BI130" t="s">
        <v>98</v>
      </c>
    </row>
    <row r="131" spans="1:61">
      <c r="A131" s="164" t="s">
        <v>484</v>
      </c>
      <c r="B131" t="s">
        <v>485</v>
      </c>
      <c r="C131">
        <v>0</v>
      </c>
      <c r="D131" t="s">
        <v>486</v>
      </c>
      <c r="E131">
        <v>0</v>
      </c>
      <c r="F131" t="s">
        <v>486</v>
      </c>
      <c r="G131" t="s">
        <v>487</v>
      </c>
      <c r="H131" t="s">
        <v>117</v>
      </c>
      <c r="I131" t="s">
        <v>80</v>
      </c>
      <c r="J131" t="s">
        <v>163</v>
      </c>
      <c r="K131" t="s">
        <v>82</v>
      </c>
      <c r="L131" t="s">
        <v>83</v>
      </c>
      <c r="M131" t="s">
        <v>84</v>
      </c>
      <c r="N131">
        <v>0.15</v>
      </c>
      <c r="O131" t="b">
        <v>1</v>
      </c>
      <c r="P131">
        <v>40</v>
      </c>
      <c r="Q131" t="s">
        <v>137</v>
      </c>
      <c r="R131" t="s">
        <v>164</v>
      </c>
      <c r="S131">
        <v>0.05</v>
      </c>
      <c r="T131">
        <v>1</v>
      </c>
      <c r="V131" t="s">
        <v>165</v>
      </c>
      <c r="X131">
        <v>0</v>
      </c>
      <c r="Z131">
        <v>0</v>
      </c>
      <c r="AB131">
        <v>0</v>
      </c>
      <c r="AC131">
        <v>0</v>
      </c>
      <c r="AE131" t="s">
        <v>129</v>
      </c>
      <c r="AF131" t="s">
        <v>486</v>
      </c>
      <c r="AG131" t="s">
        <v>129</v>
      </c>
      <c r="AH131">
        <v>0</v>
      </c>
      <c r="AI131">
        <v>10.199999999999999</v>
      </c>
      <c r="AJ131" t="s">
        <v>177</v>
      </c>
      <c r="AM131">
        <v>10.11</v>
      </c>
      <c r="AN131">
        <v>0</v>
      </c>
      <c r="AO131">
        <v>0</v>
      </c>
      <c r="AP131">
        <v>0</v>
      </c>
      <c r="AQ131">
        <v>2.8571428571428564E-2</v>
      </c>
      <c r="AR131">
        <v>0</v>
      </c>
      <c r="AS131">
        <v>0</v>
      </c>
      <c r="AT131">
        <v>1.0285714285714285</v>
      </c>
      <c r="AU131">
        <v>0</v>
      </c>
      <c r="AV131">
        <v>0</v>
      </c>
      <c r="AW131">
        <v>0</v>
      </c>
      <c r="AY131">
        <v>2.2258</v>
      </c>
      <c r="AZ131">
        <v>5</v>
      </c>
      <c r="BA131" t="s">
        <v>138</v>
      </c>
      <c r="BB131">
        <v>0</v>
      </c>
      <c r="BC131" t="s">
        <v>488</v>
      </c>
      <c r="BD131" t="s">
        <v>489</v>
      </c>
      <c r="BE131" t="s">
        <v>97</v>
      </c>
      <c r="BF131">
        <v>1</v>
      </c>
      <c r="BG131">
        <v>0</v>
      </c>
      <c r="BH131">
        <v>0</v>
      </c>
      <c r="BI131" t="s">
        <v>98</v>
      </c>
    </row>
    <row r="132" spans="1:61">
      <c r="A132" s="164" t="s">
        <v>490</v>
      </c>
      <c r="B132" t="s">
        <v>491</v>
      </c>
      <c r="C132">
        <v>0</v>
      </c>
      <c r="D132" t="s">
        <v>175</v>
      </c>
      <c r="E132">
        <v>0</v>
      </c>
      <c r="F132" t="s">
        <v>492</v>
      </c>
      <c r="G132" t="s">
        <v>487</v>
      </c>
      <c r="H132" t="s">
        <v>117</v>
      </c>
      <c r="I132" t="s">
        <v>80</v>
      </c>
      <c r="J132" t="s">
        <v>163</v>
      </c>
      <c r="K132" t="s">
        <v>82</v>
      </c>
      <c r="L132" t="s">
        <v>83</v>
      </c>
      <c r="M132" t="s">
        <v>84</v>
      </c>
      <c r="N132">
        <v>0.4</v>
      </c>
      <c r="O132" t="b">
        <v>1</v>
      </c>
      <c r="P132">
        <v>40</v>
      </c>
      <c r="Q132" t="s">
        <v>137</v>
      </c>
      <c r="R132" t="s">
        <v>164</v>
      </c>
      <c r="S132">
        <v>0.7</v>
      </c>
      <c r="T132">
        <v>1</v>
      </c>
      <c r="V132" t="s">
        <v>165</v>
      </c>
      <c r="X132">
        <v>0</v>
      </c>
      <c r="Z132">
        <v>0</v>
      </c>
      <c r="AB132">
        <v>0</v>
      </c>
      <c r="AC132">
        <v>0</v>
      </c>
      <c r="AE132" t="s">
        <v>129</v>
      </c>
      <c r="AF132" t="s">
        <v>492</v>
      </c>
      <c r="AG132" t="s">
        <v>129</v>
      </c>
      <c r="AH132">
        <v>0</v>
      </c>
      <c r="AI132">
        <v>7.8</v>
      </c>
      <c r="AJ132" t="s">
        <v>493</v>
      </c>
      <c r="AM132">
        <v>9.66</v>
      </c>
      <c r="AN132">
        <v>0</v>
      </c>
      <c r="AO132">
        <v>0</v>
      </c>
      <c r="AP132">
        <v>0</v>
      </c>
      <c r="AQ132">
        <v>4.8346055979643761E-2</v>
      </c>
      <c r="AR132">
        <v>0</v>
      </c>
      <c r="AS132">
        <v>0</v>
      </c>
      <c r="AT132">
        <v>1.0483460559796438</v>
      </c>
      <c r="AU132">
        <v>0</v>
      </c>
      <c r="AV132">
        <v>0</v>
      </c>
      <c r="AW132">
        <v>0</v>
      </c>
      <c r="AY132">
        <v>6.8033000000000001</v>
      </c>
      <c r="AZ132">
        <v>0</v>
      </c>
      <c r="BA132" t="s">
        <v>138</v>
      </c>
      <c r="BB132">
        <v>0</v>
      </c>
      <c r="BC132" t="s">
        <v>488</v>
      </c>
      <c r="BD132" t="s">
        <v>489</v>
      </c>
      <c r="BE132" t="s">
        <v>97</v>
      </c>
      <c r="BF132">
        <v>1</v>
      </c>
      <c r="BG132">
        <v>0</v>
      </c>
      <c r="BH132">
        <v>0</v>
      </c>
      <c r="BI132" t="s">
        <v>98</v>
      </c>
    </row>
    <row r="133" spans="1:61">
      <c r="A133" s="164" t="s">
        <v>494</v>
      </c>
      <c r="B133" t="s">
        <v>495</v>
      </c>
      <c r="C133">
        <v>0</v>
      </c>
      <c r="D133" t="s">
        <v>107</v>
      </c>
      <c r="E133">
        <v>0</v>
      </c>
      <c r="F133" t="s">
        <v>496</v>
      </c>
      <c r="G133" t="s">
        <v>103</v>
      </c>
      <c r="H133" t="s">
        <v>104</v>
      </c>
      <c r="I133" t="s">
        <v>80</v>
      </c>
      <c r="J133" t="s">
        <v>81</v>
      </c>
      <c r="K133" t="s">
        <v>468</v>
      </c>
      <c r="L133" t="s">
        <v>111</v>
      </c>
      <c r="M133" t="s">
        <v>84</v>
      </c>
      <c r="N133">
        <v>0.84</v>
      </c>
      <c r="O133" t="b">
        <v>0</v>
      </c>
      <c r="P133">
        <v>45</v>
      </c>
      <c r="Q133" t="s">
        <v>85</v>
      </c>
      <c r="S133">
        <v>0</v>
      </c>
      <c r="T133">
        <v>1</v>
      </c>
      <c r="V133" t="s">
        <v>87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G133" t="s">
        <v>129</v>
      </c>
      <c r="AH133">
        <v>0</v>
      </c>
      <c r="AI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Y133">
        <v>0</v>
      </c>
      <c r="AZ133">
        <v>0</v>
      </c>
      <c r="BA133" t="s">
        <v>94</v>
      </c>
      <c r="BB133">
        <v>0</v>
      </c>
      <c r="BC133" t="s">
        <v>95</v>
      </c>
      <c r="BD133" t="s">
        <v>469</v>
      </c>
      <c r="BE133" t="s">
        <v>97</v>
      </c>
      <c r="BF133">
        <v>0</v>
      </c>
      <c r="BG133">
        <v>0</v>
      </c>
      <c r="BH133">
        <v>0</v>
      </c>
      <c r="BI133" t="s">
        <v>98</v>
      </c>
    </row>
    <row r="134" spans="1:61">
      <c r="A134" s="164" t="s">
        <v>497</v>
      </c>
      <c r="B134" t="s">
        <v>498</v>
      </c>
      <c r="C134">
        <v>0</v>
      </c>
      <c r="D134" t="s">
        <v>107</v>
      </c>
      <c r="E134">
        <v>0</v>
      </c>
      <c r="F134" t="s">
        <v>499</v>
      </c>
      <c r="G134" t="s">
        <v>78</v>
      </c>
      <c r="H134" t="s">
        <v>79</v>
      </c>
      <c r="I134" t="s">
        <v>80</v>
      </c>
      <c r="J134" t="s">
        <v>81</v>
      </c>
      <c r="K134" t="s">
        <v>82</v>
      </c>
      <c r="L134" t="s">
        <v>83</v>
      </c>
      <c r="M134" t="s">
        <v>84</v>
      </c>
      <c r="N134">
        <v>0.12</v>
      </c>
      <c r="O134" t="b">
        <v>1</v>
      </c>
      <c r="P134">
        <v>45</v>
      </c>
      <c r="Q134" t="s">
        <v>85</v>
      </c>
      <c r="R134" t="s">
        <v>86</v>
      </c>
      <c r="S134">
        <v>0.12</v>
      </c>
      <c r="T134">
        <v>1</v>
      </c>
      <c r="U134" s="36">
        <v>0.25665499999999997</v>
      </c>
      <c r="V134" t="s">
        <v>87</v>
      </c>
      <c r="W134">
        <v>260</v>
      </c>
      <c r="X134">
        <v>0.38897500000000002</v>
      </c>
      <c r="Y134">
        <v>182</v>
      </c>
      <c r="Z134">
        <v>5.4945054945054949E-3</v>
      </c>
      <c r="AA134">
        <v>30</v>
      </c>
      <c r="AB134">
        <v>0</v>
      </c>
      <c r="AC134">
        <v>500</v>
      </c>
      <c r="AD134">
        <v>4166.666666666667</v>
      </c>
      <c r="AE134" t="s">
        <v>143</v>
      </c>
      <c r="AF134" t="s">
        <v>113</v>
      </c>
      <c r="AG134" t="s">
        <v>114</v>
      </c>
      <c r="AH134">
        <v>0</v>
      </c>
      <c r="AI134">
        <v>0.9</v>
      </c>
      <c r="AJ134" t="s">
        <v>91</v>
      </c>
      <c r="AK134" t="s">
        <v>92</v>
      </c>
      <c r="AL134" t="s">
        <v>93</v>
      </c>
      <c r="AM134">
        <v>0.34043629629629629</v>
      </c>
      <c r="AN134">
        <v>0.22695753086419751</v>
      </c>
      <c r="AO134">
        <v>0.35178417283950614</v>
      </c>
      <c r="AP134">
        <v>0</v>
      </c>
      <c r="AQ134">
        <v>8.6691086691086688E-2</v>
      </c>
      <c r="AR134">
        <v>2.6666666666666505E-3</v>
      </c>
      <c r="AS134">
        <v>0</v>
      </c>
      <c r="AT134">
        <v>1.0866910866910866</v>
      </c>
      <c r="AU134">
        <v>1.0026666666666666</v>
      </c>
      <c r="AV134">
        <v>1</v>
      </c>
      <c r="AW134">
        <v>0</v>
      </c>
      <c r="AX134" t="s">
        <v>500</v>
      </c>
      <c r="AY134">
        <v>12.5</v>
      </c>
      <c r="AZ134">
        <v>8</v>
      </c>
      <c r="BA134" t="s">
        <v>94</v>
      </c>
      <c r="BB134">
        <v>0.65</v>
      </c>
      <c r="BC134" t="s">
        <v>95</v>
      </c>
      <c r="BD134" t="s">
        <v>96</v>
      </c>
      <c r="BE134" t="s">
        <v>97</v>
      </c>
      <c r="BF134">
        <v>1</v>
      </c>
      <c r="BG134">
        <v>0</v>
      </c>
      <c r="BH134">
        <v>0</v>
      </c>
      <c r="BI134" t="s">
        <v>98</v>
      </c>
    </row>
    <row r="135" spans="1:61">
      <c r="A135" s="164" t="s">
        <v>501</v>
      </c>
      <c r="B135" t="s">
        <v>502</v>
      </c>
      <c r="C135">
        <v>0</v>
      </c>
      <c r="D135" t="s">
        <v>107</v>
      </c>
      <c r="E135">
        <v>0</v>
      </c>
      <c r="F135" t="s">
        <v>499</v>
      </c>
      <c r="G135" t="s">
        <v>78</v>
      </c>
      <c r="H135" t="s">
        <v>79</v>
      </c>
      <c r="I135" t="s">
        <v>80</v>
      </c>
      <c r="J135" t="s">
        <v>81</v>
      </c>
      <c r="K135" t="s">
        <v>82</v>
      </c>
      <c r="L135" t="s">
        <v>83</v>
      </c>
      <c r="M135" t="s">
        <v>84</v>
      </c>
      <c r="N135">
        <v>0.18</v>
      </c>
      <c r="O135" t="b">
        <v>1</v>
      </c>
      <c r="P135">
        <v>45</v>
      </c>
      <c r="Q135" t="s">
        <v>85</v>
      </c>
      <c r="R135" t="s">
        <v>86</v>
      </c>
      <c r="S135">
        <v>0.18</v>
      </c>
      <c r="T135">
        <v>1</v>
      </c>
      <c r="U135" s="36">
        <v>0.32335000000000003</v>
      </c>
      <c r="V135" t="s">
        <v>87</v>
      </c>
      <c r="W135">
        <v>240</v>
      </c>
      <c r="X135">
        <v>0.38897500000000002</v>
      </c>
      <c r="Y135">
        <v>108</v>
      </c>
      <c r="Z135">
        <v>9.2592592592592587E-3</v>
      </c>
      <c r="AA135">
        <v>30</v>
      </c>
      <c r="AB135">
        <v>0</v>
      </c>
      <c r="AC135">
        <v>500</v>
      </c>
      <c r="AD135">
        <v>2777.7777777777778</v>
      </c>
      <c r="AE135" t="s">
        <v>143</v>
      </c>
      <c r="AF135" t="s">
        <v>113</v>
      </c>
      <c r="AG135" t="s">
        <v>114</v>
      </c>
      <c r="AH135">
        <v>0</v>
      </c>
      <c r="AI135">
        <v>0.9</v>
      </c>
      <c r="AJ135" t="s">
        <v>91</v>
      </c>
      <c r="AK135" t="s">
        <v>92</v>
      </c>
      <c r="AL135" t="s">
        <v>93</v>
      </c>
      <c r="AM135">
        <v>0.34043629629629629</v>
      </c>
      <c r="AN135">
        <v>0.22695753086419751</v>
      </c>
      <c r="AO135">
        <v>0.35178417283950614</v>
      </c>
      <c r="AP135">
        <v>0</v>
      </c>
      <c r="AQ135">
        <v>8.6691086691086688E-2</v>
      </c>
      <c r="AR135">
        <v>2.6666666666666505E-3</v>
      </c>
      <c r="AS135">
        <v>0</v>
      </c>
      <c r="AT135">
        <v>1.0866910866910866</v>
      </c>
      <c r="AU135">
        <v>1.0026666666666666</v>
      </c>
      <c r="AV135">
        <v>1</v>
      </c>
      <c r="AW135">
        <v>0</v>
      </c>
      <c r="AX135" t="s">
        <v>503</v>
      </c>
      <c r="AY135">
        <v>16.5</v>
      </c>
      <c r="AZ135">
        <v>0</v>
      </c>
      <c r="BA135" t="s">
        <v>94</v>
      </c>
      <c r="BB135">
        <v>0.78</v>
      </c>
      <c r="BC135" t="s">
        <v>95</v>
      </c>
      <c r="BD135" t="s">
        <v>96</v>
      </c>
      <c r="BE135" t="s">
        <v>97</v>
      </c>
      <c r="BF135">
        <v>1</v>
      </c>
      <c r="BG135">
        <v>0</v>
      </c>
      <c r="BH135">
        <v>0</v>
      </c>
      <c r="BI135" t="s">
        <v>98</v>
      </c>
    </row>
    <row r="136" spans="1:61">
      <c r="A136" s="164" t="s">
        <v>504</v>
      </c>
      <c r="B136" t="s">
        <v>505</v>
      </c>
      <c r="C136">
        <v>0</v>
      </c>
      <c r="D136" t="s">
        <v>107</v>
      </c>
      <c r="E136">
        <v>0</v>
      </c>
      <c r="F136" t="s">
        <v>120</v>
      </c>
      <c r="G136" t="s">
        <v>78</v>
      </c>
      <c r="H136" t="s">
        <v>79</v>
      </c>
      <c r="I136" t="s">
        <v>80</v>
      </c>
      <c r="J136" t="s">
        <v>81</v>
      </c>
      <c r="K136" t="s">
        <v>82</v>
      </c>
      <c r="L136" t="s">
        <v>83</v>
      </c>
      <c r="M136" t="s">
        <v>84</v>
      </c>
      <c r="N136">
        <v>0.12</v>
      </c>
      <c r="O136" t="b">
        <v>1</v>
      </c>
      <c r="P136">
        <v>45</v>
      </c>
      <c r="Q136" t="s">
        <v>85</v>
      </c>
      <c r="S136">
        <v>0.12</v>
      </c>
      <c r="U136" s="36">
        <v>0.40076499999999998</v>
      </c>
      <c r="V136" t="s">
        <v>87</v>
      </c>
      <c r="AF136" t="s">
        <v>121</v>
      </c>
      <c r="AI136">
        <v>0.9</v>
      </c>
      <c r="AZ136">
        <v>0</v>
      </c>
      <c r="BA136" t="s">
        <v>94</v>
      </c>
      <c r="BB136">
        <v>1.1499999999999999</v>
      </c>
      <c r="BC136" t="s">
        <v>95</v>
      </c>
      <c r="BD136" t="s">
        <v>96</v>
      </c>
      <c r="BE136" t="s">
        <v>97</v>
      </c>
      <c r="BF136">
        <v>1</v>
      </c>
      <c r="BG136">
        <v>0</v>
      </c>
      <c r="BH136">
        <v>0</v>
      </c>
      <c r="BI136" t="s">
        <v>98</v>
      </c>
    </row>
    <row r="137" spans="1:61">
      <c r="A137" s="164" t="s">
        <v>506</v>
      </c>
      <c r="B137" t="s">
        <v>507</v>
      </c>
      <c r="C137">
        <v>0</v>
      </c>
      <c r="D137" t="s">
        <v>175</v>
      </c>
      <c r="E137">
        <v>0</v>
      </c>
      <c r="F137" t="s">
        <v>508</v>
      </c>
      <c r="G137" t="s">
        <v>78</v>
      </c>
      <c r="H137" t="s">
        <v>79</v>
      </c>
      <c r="I137" t="s">
        <v>80</v>
      </c>
      <c r="J137" t="s">
        <v>163</v>
      </c>
      <c r="K137" t="s">
        <v>82</v>
      </c>
      <c r="L137" t="s">
        <v>83</v>
      </c>
      <c r="M137" t="s">
        <v>84</v>
      </c>
      <c r="N137">
        <v>0.2</v>
      </c>
      <c r="O137" t="b">
        <v>1</v>
      </c>
      <c r="P137">
        <v>40</v>
      </c>
      <c r="Q137" t="s">
        <v>137</v>
      </c>
      <c r="R137" t="s">
        <v>164</v>
      </c>
      <c r="S137">
        <v>0.2</v>
      </c>
      <c r="T137">
        <v>1</v>
      </c>
      <c r="U137" s="36">
        <v>0.94696000000000002</v>
      </c>
      <c r="V137" t="s">
        <v>165</v>
      </c>
      <c r="W137">
        <v>85</v>
      </c>
      <c r="X137">
        <v>0</v>
      </c>
      <c r="Y137">
        <v>120</v>
      </c>
      <c r="Z137">
        <v>0</v>
      </c>
      <c r="AA137">
        <v>35</v>
      </c>
      <c r="AB137">
        <v>0</v>
      </c>
      <c r="AC137">
        <v>0</v>
      </c>
      <c r="AD137">
        <v>4000</v>
      </c>
      <c r="AE137" t="s">
        <v>166</v>
      </c>
      <c r="AF137" t="s">
        <v>508</v>
      </c>
      <c r="AG137" t="s">
        <v>129</v>
      </c>
      <c r="AH137">
        <v>0</v>
      </c>
      <c r="AI137">
        <v>7.8</v>
      </c>
      <c r="AJ137" t="s">
        <v>167</v>
      </c>
      <c r="AM137">
        <v>8.3000000000000007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 t="s">
        <v>509</v>
      </c>
      <c r="AY137">
        <v>15.860300000000001</v>
      </c>
      <c r="AZ137">
        <v>0</v>
      </c>
      <c r="BA137" t="s">
        <v>138</v>
      </c>
      <c r="BB137">
        <v>2.41</v>
      </c>
      <c r="BC137" t="s">
        <v>95</v>
      </c>
      <c r="BD137" t="s">
        <v>96</v>
      </c>
      <c r="BE137" t="s">
        <v>97</v>
      </c>
      <c r="BF137">
        <v>1</v>
      </c>
      <c r="BG137">
        <v>0</v>
      </c>
      <c r="BH137">
        <v>0</v>
      </c>
      <c r="BI137" t="s">
        <v>98</v>
      </c>
    </row>
    <row r="138" spans="1:61">
      <c r="A138" s="164" t="s">
        <v>510</v>
      </c>
      <c r="B138" t="s">
        <v>511</v>
      </c>
      <c r="C138">
        <v>0</v>
      </c>
      <c r="D138" t="s">
        <v>101</v>
      </c>
      <c r="E138">
        <v>0</v>
      </c>
      <c r="F138" t="s">
        <v>512</v>
      </c>
      <c r="G138" t="s">
        <v>103</v>
      </c>
      <c r="H138" t="s">
        <v>104</v>
      </c>
      <c r="I138" t="s">
        <v>80</v>
      </c>
      <c r="J138" t="s">
        <v>81</v>
      </c>
      <c r="K138" t="s">
        <v>82</v>
      </c>
      <c r="L138" t="s">
        <v>83</v>
      </c>
      <c r="M138" t="s">
        <v>84</v>
      </c>
      <c r="N138">
        <v>0.115</v>
      </c>
      <c r="O138" t="b">
        <v>1</v>
      </c>
      <c r="P138">
        <v>45</v>
      </c>
      <c r="Q138" t="s">
        <v>85</v>
      </c>
      <c r="R138" t="s">
        <v>86</v>
      </c>
      <c r="S138">
        <v>0.115</v>
      </c>
      <c r="U138" s="36">
        <v>0.26810500000000004</v>
      </c>
      <c r="V138" t="s">
        <v>87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F138" t="s">
        <v>513</v>
      </c>
      <c r="AG138" t="s">
        <v>514</v>
      </c>
      <c r="AH138">
        <v>0</v>
      </c>
      <c r="AI138">
        <v>0.8</v>
      </c>
      <c r="AX138" t="s">
        <v>515</v>
      </c>
      <c r="AY138">
        <v>0</v>
      </c>
      <c r="AZ138">
        <v>10</v>
      </c>
      <c r="BA138" t="s">
        <v>94</v>
      </c>
      <c r="BB138">
        <v>0.44</v>
      </c>
      <c r="BC138" t="s">
        <v>95</v>
      </c>
      <c r="BD138" t="s">
        <v>96</v>
      </c>
      <c r="BE138" t="s">
        <v>97</v>
      </c>
      <c r="BF138">
        <v>1</v>
      </c>
      <c r="BG138">
        <v>0</v>
      </c>
      <c r="BH138">
        <v>0</v>
      </c>
      <c r="BI138" t="s">
        <v>98</v>
      </c>
    </row>
    <row r="139" spans="1:61">
      <c r="A139" s="164" t="s">
        <v>516</v>
      </c>
      <c r="B139" t="s">
        <v>517</v>
      </c>
      <c r="C139">
        <v>0</v>
      </c>
      <c r="D139" t="s">
        <v>479</v>
      </c>
      <c r="E139">
        <v>0</v>
      </c>
      <c r="F139" t="s">
        <v>480</v>
      </c>
      <c r="G139" t="s">
        <v>103</v>
      </c>
      <c r="H139" t="s">
        <v>104</v>
      </c>
      <c r="I139" t="s">
        <v>80</v>
      </c>
      <c r="J139" t="s">
        <v>163</v>
      </c>
      <c r="K139" t="s">
        <v>468</v>
      </c>
      <c r="L139" t="s">
        <v>111</v>
      </c>
      <c r="M139" t="s">
        <v>84</v>
      </c>
      <c r="N139">
        <v>0.45</v>
      </c>
      <c r="O139" t="b">
        <v>0</v>
      </c>
      <c r="P139">
        <v>40</v>
      </c>
      <c r="Q139" t="s">
        <v>479</v>
      </c>
      <c r="S139">
        <v>0</v>
      </c>
      <c r="T139">
        <v>1</v>
      </c>
      <c r="V139" t="s">
        <v>468</v>
      </c>
      <c r="X139">
        <v>0</v>
      </c>
      <c r="Z139">
        <v>0</v>
      </c>
      <c r="AB139">
        <v>0</v>
      </c>
      <c r="AC139">
        <v>0</v>
      </c>
      <c r="AE139" t="s">
        <v>129</v>
      </c>
      <c r="AG139" t="s">
        <v>129</v>
      </c>
      <c r="AH139">
        <v>0</v>
      </c>
      <c r="AI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t="s">
        <v>518</v>
      </c>
      <c r="AY139">
        <v>0</v>
      </c>
      <c r="AZ139">
        <v>7</v>
      </c>
      <c r="BA139" t="s">
        <v>138</v>
      </c>
      <c r="BB139">
        <v>0</v>
      </c>
      <c r="BC139" t="s">
        <v>95</v>
      </c>
      <c r="BD139" t="s">
        <v>139</v>
      </c>
      <c r="BE139" t="s">
        <v>97</v>
      </c>
      <c r="BF139">
        <v>0</v>
      </c>
      <c r="BG139">
        <v>0</v>
      </c>
      <c r="BH139">
        <v>0</v>
      </c>
      <c r="BI139" t="s">
        <v>98</v>
      </c>
    </row>
    <row r="140" spans="1:61">
      <c r="A140" s="164" t="s">
        <v>519</v>
      </c>
      <c r="B140" t="s">
        <v>520</v>
      </c>
      <c r="C140">
        <v>0</v>
      </c>
      <c r="D140" t="s">
        <v>479</v>
      </c>
      <c r="E140">
        <v>0</v>
      </c>
      <c r="F140" t="s">
        <v>480</v>
      </c>
      <c r="G140" t="s">
        <v>103</v>
      </c>
      <c r="H140" t="s">
        <v>104</v>
      </c>
      <c r="I140" t="s">
        <v>80</v>
      </c>
      <c r="J140" t="s">
        <v>467</v>
      </c>
      <c r="K140" t="s">
        <v>468</v>
      </c>
      <c r="L140" t="s">
        <v>111</v>
      </c>
      <c r="M140" t="s">
        <v>84</v>
      </c>
      <c r="N140">
        <v>2.7</v>
      </c>
      <c r="O140" t="b">
        <v>0</v>
      </c>
      <c r="P140">
        <v>45</v>
      </c>
      <c r="Q140" t="s">
        <v>479</v>
      </c>
      <c r="S140">
        <v>0</v>
      </c>
      <c r="T140">
        <v>1</v>
      </c>
      <c r="U140" s="36">
        <v>1.93584</v>
      </c>
      <c r="V140" t="s">
        <v>87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G140" t="s">
        <v>129</v>
      </c>
      <c r="AH140">
        <v>0</v>
      </c>
      <c r="AI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Y140">
        <v>0</v>
      </c>
      <c r="AZ140">
        <v>0</v>
      </c>
      <c r="BA140" t="s">
        <v>138</v>
      </c>
      <c r="BB140">
        <v>0</v>
      </c>
      <c r="BC140" t="s">
        <v>95</v>
      </c>
      <c r="BD140" t="s">
        <v>469</v>
      </c>
      <c r="BE140" t="s">
        <v>97</v>
      </c>
      <c r="BF140">
        <v>0</v>
      </c>
      <c r="BG140">
        <v>0</v>
      </c>
      <c r="BH140">
        <v>0</v>
      </c>
      <c r="BI140" t="s">
        <v>98</v>
      </c>
    </row>
    <row r="141" spans="1:61">
      <c r="A141" s="164" t="s">
        <v>521</v>
      </c>
      <c r="B141" t="s">
        <v>522</v>
      </c>
      <c r="C141">
        <v>0</v>
      </c>
      <c r="D141" t="s">
        <v>523</v>
      </c>
      <c r="E141">
        <v>0</v>
      </c>
      <c r="F141" t="s">
        <v>269</v>
      </c>
      <c r="G141" t="s">
        <v>103</v>
      </c>
      <c r="H141" t="s">
        <v>104</v>
      </c>
      <c r="I141" t="s">
        <v>80</v>
      </c>
      <c r="J141" t="s">
        <v>196</v>
      </c>
      <c r="K141" t="s">
        <v>13</v>
      </c>
      <c r="L141" t="s">
        <v>83</v>
      </c>
      <c r="M141" t="s">
        <v>205</v>
      </c>
      <c r="N141">
        <v>1</v>
      </c>
      <c r="O141" t="b">
        <v>0</v>
      </c>
      <c r="P141">
        <v>0</v>
      </c>
      <c r="BB141">
        <v>0</v>
      </c>
      <c r="BC141" t="s">
        <v>524</v>
      </c>
      <c r="BD141" t="s">
        <v>270</v>
      </c>
      <c r="BE141" t="s">
        <v>117</v>
      </c>
      <c r="BF141">
        <v>0</v>
      </c>
      <c r="BG141">
        <v>0</v>
      </c>
      <c r="BH141">
        <v>0</v>
      </c>
    </row>
    <row r="142" spans="1:61">
      <c r="A142" s="164" t="s">
        <v>525</v>
      </c>
      <c r="B142" t="s">
        <v>526</v>
      </c>
      <c r="C142">
        <v>0</v>
      </c>
      <c r="D142" t="s">
        <v>523</v>
      </c>
      <c r="E142">
        <v>0</v>
      </c>
      <c r="F142" t="s">
        <v>269</v>
      </c>
      <c r="G142" t="s">
        <v>103</v>
      </c>
      <c r="H142" t="s">
        <v>104</v>
      </c>
      <c r="I142" t="s">
        <v>80</v>
      </c>
      <c r="J142" t="s">
        <v>196</v>
      </c>
      <c r="K142" t="s">
        <v>13</v>
      </c>
      <c r="L142" t="s">
        <v>83</v>
      </c>
      <c r="M142" t="s">
        <v>205</v>
      </c>
      <c r="N142">
        <v>1</v>
      </c>
      <c r="O142" t="b">
        <v>0</v>
      </c>
      <c r="P142">
        <v>0</v>
      </c>
      <c r="BB142">
        <v>0</v>
      </c>
      <c r="BC142" t="s">
        <v>524</v>
      </c>
      <c r="BD142" t="s">
        <v>270</v>
      </c>
      <c r="BE142" t="s">
        <v>117</v>
      </c>
      <c r="BF142">
        <v>0</v>
      </c>
      <c r="BG142">
        <v>0</v>
      </c>
      <c r="BH142">
        <v>0</v>
      </c>
    </row>
    <row r="143" spans="1:61">
      <c r="A143" s="164" t="s">
        <v>527</v>
      </c>
      <c r="B143" t="s">
        <v>528</v>
      </c>
      <c r="C143">
        <v>0</v>
      </c>
      <c r="D143" t="s">
        <v>523</v>
      </c>
      <c r="E143">
        <v>0</v>
      </c>
      <c r="F143" t="s">
        <v>269</v>
      </c>
      <c r="G143" t="s">
        <v>103</v>
      </c>
      <c r="H143" t="s">
        <v>104</v>
      </c>
      <c r="I143" t="s">
        <v>80</v>
      </c>
      <c r="J143" t="s">
        <v>196</v>
      </c>
      <c r="K143" t="s">
        <v>13</v>
      </c>
      <c r="L143" t="s">
        <v>83</v>
      </c>
      <c r="M143" t="s">
        <v>205</v>
      </c>
      <c r="N143">
        <v>1</v>
      </c>
      <c r="O143" t="b">
        <v>0</v>
      </c>
      <c r="P143">
        <v>0</v>
      </c>
      <c r="BB143">
        <v>0</v>
      </c>
      <c r="BC143" t="s">
        <v>524</v>
      </c>
      <c r="BD143" t="s">
        <v>270</v>
      </c>
      <c r="BE143" t="s">
        <v>117</v>
      </c>
      <c r="BF143">
        <v>0</v>
      </c>
      <c r="BG143">
        <v>0</v>
      </c>
      <c r="BH143">
        <v>0</v>
      </c>
    </row>
    <row r="144" spans="1:61">
      <c r="A144" s="164" t="s">
        <v>529</v>
      </c>
      <c r="B144" t="s">
        <v>530</v>
      </c>
      <c r="C144">
        <v>0</v>
      </c>
      <c r="D144" t="s">
        <v>523</v>
      </c>
      <c r="E144">
        <v>0</v>
      </c>
      <c r="F144" t="s">
        <v>531</v>
      </c>
      <c r="G144" t="s">
        <v>78</v>
      </c>
      <c r="H144" t="s">
        <v>79</v>
      </c>
      <c r="I144" t="s">
        <v>80</v>
      </c>
      <c r="J144" t="s">
        <v>196</v>
      </c>
      <c r="K144" t="s">
        <v>13</v>
      </c>
      <c r="L144" t="s">
        <v>83</v>
      </c>
      <c r="M144" t="s">
        <v>205</v>
      </c>
      <c r="N144">
        <v>1</v>
      </c>
      <c r="O144" t="b">
        <v>1</v>
      </c>
      <c r="P144">
        <v>0</v>
      </c>
      <c r="BB144">
        <v>0</v>
      </c>
      <c r="BC144" t="s">
        <v>524</v>
      </c>
      <c r="BD144" t="s">
        <v>532</v>
      </c>
      <c r="BE144" t="s">
        <v>117</v>
      </c>
      <c r="BF144">
        <v>0</v>
      </c>
      <c r="BG144">
        <v>15</v>
      </c>
      <c r="BH144">
        <v>25</v>
      </c>
      <c r="BI144" t="s">
        <v>533</v>
      </c>
    </row>
    <row r="145" spans="1:61">
      <c r="A145" s="164" t="s">
        <v>534</v>
      </c>
      <c r="B145" t="s">
        <v>535</v>
      </c>
      <c r="C145">
        <v>0</v>
      </c>
      <c r="D145" t="s">
        <v>523</v>
      </c>
      <c r="E145">
        <v>0</v>
      </c>
      <c r="F145" t="s">
        <v>269</v>
      </c>
      <c r="G145" t="s">
        <v>103</v>
      </c>
      <c r="H145" t="s">
        <v>104</v>
      </c>
      <c r="I145" t="s">
        <v>80</v>
      </c>
      <c r="J145" t="s">
        <v>196</v>
      </c>
      <c r="K145" t="s">
        <v>13</v>
      </c>
      <c r="L145" t="s">
        <v>83</v>
      </c>
      <c r="M145" t="s">
        <v>205</v>
      </c>
      <c r="N145">
        <v>1</v>
      </c>
      <c r="O145" t="b">
        <v>0</v>
      </c>
      <c r="P145">
        <v>0</v>
      </c>
      <c r="BB145">
        <v>0</v>
      </c>
      <c r="BC145" t="s">
        <v>524</v>
      </c>
      <c r="BD145" t="s">
        <v>270</v>
      </c>
      <c r="BE145" t="s">
        <v>117</v>
      </c>
      <c r="BF145">
        <v>0</v>
      </c>
      <c r="BG145">
        <v>0</v>
      </c>
      <c r="BH145">
        <v>0</v>
      </c>
    </row>
    <row r="146" spans="1:61">
      <c r="A146" s="164" t="s">
        <v>536</v>
      </c>
      <c r="B146" t="s">
        <v>537</v>
      </c>
      <c r="C146">
        <v>0</v>
      </c>
      <c r="D146" t="s">
        <v>523</v>
      </c>
      <c r="E146">
        <v>0</v>
      </c>
      <c r="F146" t="s">
        <v>538</v>
      </c>
      <c r="G146" t="s">
        <v>78</v>
      </c>
      <c r="H146" t="s">
        <v>79</v>
      </c>
      <c r="I146" t="s">
        <v>80</v>
      </c>
      <c r="J146" t="s">
        <v>196</v>
      </c>
      <c r="K146" t="s">
        <v>13</v>
      </c>
      <c r="L146" t="s">
        <v>83</v>
      </c>
      <c r="M146" t="s">
        <v>205</v>
      </c>
      <c r="N146">
        <v>1</v>
      </c>
      <c r="O146" t="b">
        <v>1</v>
      </c>
      <c r="P146">
        <v>0</v>
      </c>
      <c r="BB146">
        <v>0</v>
      </c>
      <c r="BC146" t="s">
        <v>524</v>
      </c>
      <c r="BD146" t="s">
        <v>539</v>
      </c>
      <c r="BE146" t="s">
        <v>117</v>
      </c>
      <c r="BF146">
        <v>0</v>
      </c>
      <c r="BG146">
        <v>15</v>
      </c>
      <c r="BH146">
        <v>300</v>
      </c>
      <c r="BI146" t="s">
        <v>540</v>
      </c>
    </row>
    <row r="147" spans="1:61">
      <c r="A147" s="164" t="s">
        <v>541</v>
      </c>
      <c r="B147" t="s">
        <v>542</v>
      </c>
      <c r="C147">
        <v>0</v>
      </c>
      <c r="D147" t="s">
        <v>523</v>
      </c>
      <c r="E147">
        <v>0</v>
      </c>
      <c r="F147" t="s">
        <v>531</v>
      </c>
      <c r="G147" t="s">
        <v>78</v>
      </c>
      <c r="H147" t="s">
        <v>79</v>
      </c>
      <c r="I147" t="s">
        <v>80</v>
      </c>
      <c r="J147" t="s">
        <v>196</v>
      </c>
      <c r="K147" t="s">
        <v>13</v>
      </c>
      <c r="L147" t="s">
        <v>83</v>
      </c>
      <c r="M147" t="s">
        <v>205</v>
      </c>
      <c r="N147">
        <v>1</v>
      </c>
      <c r="O147" t="b">
        <v>1</v>
      </c>
      <c r="P147">
        <v>0</v>
      </c>
      <c r="BB147">
        <v>0</v>
      </c>
      <c r="BC147" t="s">
        <v>524</v>
      </c>
      <c r="BD147" t="s">
        <v>532</v>
      </c>
      <c r="BE147" t="s">
        <v>117</v>
      </c>
      <c r="BF147">
        <v>0</v>
      </c>
      <c r="BG147">
        <v>15</v>
      </c>
      <c r="BH147">
        <v>300</v>
      </c>
      <c r="BI147" t="s">
        <v>533</v>
      </c>
    </row>
    <row r="148" spans="1:61">
      <c r="A148" s="164" t="s">
        <v>543</v>
      </c>
      <c r="B148" t="s">
        <v>544</v>
      </c>
      <c r="C148">
        <v>0</v>
      </c>
      <c r="D148" t="s">
        <v>523</v>
      </c>
      <c r="E148">
        <v>0</v>
      </c>
      <c r="F148" t="s">
        <v>538</v>
      </c>
      <c r="G148" t="s">
        <v>78</v>
      </c>
      <c r="H148" t="s">
        <v>79</v>
      </c>
      <c r="I148" t="s">
        <v>80</v>
      </c>
      <c r="J148" t="s">
        <v>196</v>
      </c>
      <c r="K148" t="s">
        <v>13</v>
      </c>
      <c r="L148" t="s">
        <v>83</v>
      </c>
      <c r="M148" t="s">
        <v>205</v>
      </c>
      <c r="N148">
        <v>1</v>
      </c>
      <c r="O148" t="b">
        <v>1</v>
      </c>
      <c r="P148">
        <v>0</v>
      </c>
      <c r="BB148">
        <v>0</v>
      </c>
      <c r="BC148" t="s">
        <v>524</v>
      </c>
      <c r="BD148" t="s">
        <v>539</v>
      </c>
      <c r="BE148" t="s">
        <v>117</v>
      </c>
      <c r="BF148">
        <v>0</v>
      </c>
      <c r="BG148">
        <v>15</v>
      </c>
      <c r="BH148">
        <v>100</v>
      </c>
      <c r="BI148" t="s">
        <v>545</v>
      </c>
    </row>
    <row r="149" spans="1:61">
      <c r="A149" s="164" t="s">
        <v>546</v>
      </c>
      <c r="B149" t="s">
        <v>547</v>
      </c>
      <c r="C149">
        <v>0</v>
      </c>
      <c r="D149" t="s">
        <v>523</v>
      </c>
      <c r="E149">
        <v>0</v>
      </c>
      <c r="F149" t="s">
        <v>538</v>
      </c>
      <c r="G149" t="s">
        <v>78</v>
      </c>
      <c r="H149" t="s">
        <v>79</v>
      </c>
      <c r="I149" t="s">
        <v>80</v>
      </c>
      <c r="J149" t="s">
        <v>196</v>
      </c>
      <c r="K149" t="s">
        <v>13</v>
      </c>
      <c r="L149" t="s">
        <v>83</v>
      </c>
      <c r="M149" t="s">
        <v>548</v>
      </c>
      <c r="N149">
        <v>1</v>
      </c>
      <c r="O149" t="b">
        <v>1</v>
      </c>
      <c r="P149">
        <v>0</v>
      </c>
      <c r="BB149">
        <v>0</v>
      </c>
      <c r="BC149" t="s">
        <v>524</v>
      </c>
      <c r="BD149" t="s">
        <v>539</v>
      </c>
      <c r="BE149" t="s">
        <v>117</v>
      </c>
      <c r="BF149">
        <v>0</v>
      </c>
      <c r="BG149">
        <v>15</v>
      </c>
      <c r="BH149">
        <v>100</v>
      </c>
      <c r="BI149" t="s">
        <v>549</v>
      </c>
    </row>
    <row r="150" spans="1:61">
      <c r="A150" s="164" t="s">
        <v>550</v>
      </c>
      <c r="B150" t="s">
        <v>551</v>
      </c>
      <c r="C150">
        <v>0</v>
      </c>
      <c r="D150" t="s">
        <v>194</v>
      </c>
      <c r="E150">
        <v>0</v>
      </c>
      <c r="F150" t="s">
        <v>552</v>
      </c>
      <c r="G150" t="s">
        <v>78</v>
      </c>
      <c r="H150" t="s">
        <v>79</v>
      </c>
      <c r="I150" t="s">
        <v>80</v>
      </c>
      <c r="J150" t="s">
        <v>196</v>
      </c>
      <c r="K150" t="s">
        <v>13</v>
      </c>
      <c r="L150" t="s">
        <v>83</v>
      </c>
      <c r="M150" t="s">
        <v>205</v>
      </c>
      <c r="N150">
        <v>1</v>
      </c>
      <c r="O150" t="b">
        <v>1</v>
      </c>
      <c r="P150">
        <v>0</v>
      </c>
      <c r="BB150">
        <v>0</v>
      </c>
      <c r="BC150" t="s">
        <v>197</v>
      </c>
      <c r="BD150" t="s">
        <v>553</v>
      </c>
      <c r="BE150" t="s">
        <v>117</v>
      </c>
      <c r="BF150">
        <v>0</v>
      </c>
      <c r="BG150">
        <v>0</v>
      </c>
      <c r="BH150">
        <v>0</v>
      </c>
    </row>
    <row r="151" spans="1:61">
      <c r="A151" s="164" t="s">
        <v>554</v>
      </c>
      <c r="B151" t="s">
        <v>555</v>
      </c>
      <c r="C151">
        <v>0</v>
      </c>
      <c r="D151" t="s">
        <v>194</v>
      </c>
      <c r="E151">
        <v>0</v>
      </c>
      <c r="F151" t="s">
        <v>552</v>
      </c>
      <c r="G151" t="s">
        <v>78</v>
      </c>
      <c r="H151" t="s">
        <v>79</v>
      </c>
      <c r="I151" t="s">
        <v>80</v>
      </c>
      <c r="J151" t="s">
        <v>196</v>
      </c>
      <c r="K151" t="s">
        <v>13</v>
      </c>
      <c r="L151" t="s">
        <v>83</v>
      </c>
      <c r="M151" t="s">
        <v>205</v>
      </c>
      <c r="N151">
        <v>1</v>
      </c>
      <c r="O151" t="b">
        <v>1</v>
      </c>
      <c r="P151">
        <v>0</v>
      </c>
      <c r="BB151">
        <v>0</v>
      </c>
      <c r="BC151" t="s">
        <v>197</v>
      </c>
      <c r="BD151" t="s">
        <v>553</v>
      </c>
      <c r="BE151" t="s">
        <v>117</v>
      </c>
      <c r="BF151">
        <v>0</v>
      </c>
      <c r="BG151">
        <v>0</v>
      </c>
      <c r="BH151">
        <v>0</v>
      </c>
    </row>
    <row r="152" spans="1:61">
      <c r="A152" s="164" t="s">
        <v>556</v>
      </c>
      <c r="B152" t="s">
        <v>557</v>
      </c>
      <c r="C152">
        <v>0</v>
      </c>
      <c r="D152" t="s">
        <v>107</v>
      </c>
      <c r="E152">
        <v>0</v>
      </c>
      <c r="F152" t="s">
        <v>558</v>
      </c>
      <c r="G152" t="s">
        <v>103</v>
      </c>
      <c r="H152" t="s">
        <v>104</v>
      </c>
      <c r="I152" t="s">
        <v>80</v>
      </c>
      <c r="J152" t="s">
        <v>81</v>
      </c>
      <c r="K152" t="s">
        <v>82</v>
      </c>
      <c r="L152" t="s">
        <v>83</v>
      </c>
      <c r="M152" t="s">
        <v>84</v>
      </c>
      <c r="N152">
        <v>0.95</v>
      </c>
      <c r="O152" t="b">
        <v>1</v>
      </c>
      <c r="P152">
        <v>45</v>
      </c>
      <c r="Q152" t="s">
        <v>85</v>
      </c>
      <c r="R152" t="s">
        <v>86</v>
      </c>
      <c r="S152">
        <v>0.95</v>
      </c>
      <c r="T152">
        <v>1</v>
      </c>
      <c r="U152" s="36">
        <v>1.24396</v>
      </c>
      <c r="V152" t="s">
        <v>87</v>
      </c>
      <c r="W152">
        <v>24</v>
      </c>
      <c r="X152">
        <v>0.45019999999999999</v>
      </c>
      <c r="Y152">
        <v>18</v>
      </c>
      <c r="Z152">
        <v>5.5555555555555552E-2</v>
      </c>
      <c r="AA152">
        <v>30</v>
      </c>
      <c r="AB152">
        <v>0</v>
      </c>
      <c r="AC152">
        <v>540</v>
      </c>
      <c r="AD152">
        <v>568.42105263157896</v>
      </c>
      <c r="AE152" t="s">
        <v>155</v>
      </c>
      <c r="AF152" t="s">
        <v>559</v>
      </c>
      <c r="AG152" t="s">
        <v>560</v>
      </c>
      <c r="AH152">
        <v>0</v>
      </c>
      <c r="AI152">
        <v>0.9</v>
      </c>
      <c r="AJ152" t="s">
        <v>91</v>
      </c>
      <c r="AK152" t="s">
        <v>92</v>
      </c>
      <c r="AL152" t="s">
        <v>93</v>
      </c>
      <c r="AM152">
        <v>0.33138777777777773</v>
      </c>
      <c r="AN152">
        <v>0.22092518518518517</v>
      </c>
      <c r="AO152">
        <v>0.34243403703703701</v>
      </c>
      <c r="AP152">
        <v>0</v>
      </c>
      <c r="AQ152">
        <v>8.6691086691086688E-2</v>
      </c>
      <c r="AR152">
        <v>2.6666666666666505E-3</v>
      </c>
      <c r="AS152">
        <v>0</v>
      </c>
      <c r="AT152">
        <v>1.0866910866910866</v>
      </c>
      <c r="AU152">
        <v>1.0026666666666666</v>
      </c>
      <c r="AV152">
        <v>1</v>
      </c>
      <c r="AW152">
        <v>0</v>
      </c>
      <c r="AX152" t="s">
        <v>561</v>
      </c>
      <c r="AY152">
        <v>53.4</v>
      </c>
      <c r="AZ152">
        <v>0</v>
      </c>
      <c r="BA152" t="s">
        <v>94</v>
      </c>
      <c r="BB152">
        <v>3.01</v>
      </c>
      <c r="BC152" t="s">
        <v>95</v>
      </c>
      <c r="BD152" t="s">
        <v>96</v>
      </c>
      <c r="BE152" t="s">
        <v>97</v>
      </c>
      <c r="BF152">
        <v>0</v>
      </c>
      <c r="BG152">
        <v>0</v>
      </c>
      <c r="BH152">
        <v>0</v>
      </c>
      <c r="BI152" t="s">
        <v>98</v>
      </c>
    </row>
    <row r="153" spans="1:61">
      <c r="A153" s="164" t="s">
        <v>562</v>
      </c>
      <c r="B153" t="s">
        <v>563</v>
      </c>
      <c r="C153">
        <v>0</v>
      </c>
      <c r="D153" t="s">
        <v>186</v>
      </c>
      <c r="E153">
        <v>0</v>
      </c>
      <c r="F153" t="s">
        <v>186</v>
      </c>
      <c r="G153" t="s">
        <v>78</v>
      </c>
      <c r="H153" t="s">
        <v>79</v>
      </c>
      <c r="I153" t="s">
        <v>80</v>
      </c>
      <c r="J153" t="s">
        <v>564</v>
      </c>
      <c r="K153" t="s">
        <v>565</v>
      </c>
      <c r="L153" t="s">
        <v>83</v>
      </c>
      <c r="M153" t="s">
        <v>84</v>
      </c>
      <c r="N153">
        <v>0.3</v>
      </c>
      <c r="O153" t="b">
        <v>1</v>
      </c>
      <c r="P153">
        <v>180</v>
      </c>
      <c r="Q153" t="s">
        <v>188</v>
      </c>
      <c r="R153" t="s">
        <v>86</v>
      </c>
      <c r="S153">
        <v>0.3</v>
      </c>
      <c r="T153">
        <v>1</v>
      </c>
      <c r="U153" s="36">
        <v>1.2875100000000002</v>
      </c>
      <c r="V153" t="s">
        <v>468</v>
      </c>
      <c r="X153">
        <v>0</v>
      </c>
      <c r="Y153">
        <v>45</v>
      </c>
      <c r="Z153">
        <v>2.2222222222222223E-2</v>
      </c>
      <c r="AA153">
        <v>30</v>
      </c>
      <c r="AB153">
        <v>0</v>
      </c>
      <c r="AC153">
        <v>0</v>
      </c>
      <c r="AE153" t="s">
        <v>129</v>
      </c>
      <c r="AF153" t="s">
        <v>186</v>
      </c>
      <c r="AG153" t="s">
        <v>129</v>
      </c>
      <c r="AH153">
        <v>0</v>
      </c>
      <c r="AI153">
        <v>2.6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t="s">
        <v>566</v>
      </c>
      <c r="AY153">
        <v>9.1999999999999993</v>
      </c>
      <c r="AZ153">
        <v>0</v>
      </c>
      <c r="BA153" t="s">
        <v>94</v>
      </c>
      <c r="BB153">
        <v>2.56</v>
      </c>
      <c r="BC153" t="s">
        <v>95</v>
      </c>
      <c r="BD153" t="s">
        <v>139</v>
      </c>
      <c r="BE153" t="s">
        <v>97</v>
      </c>
      <c r="BF153">
        <v>1</v>
      </c>
      <c r="BG153">
        <v>0</v>
      </c>
      <c r="BH153">
        <v>0</v>
      </c>
      <c r="BI153" t="s">
        <v>98</v>
      </c>
    </row>
    <row r="154" spans="1:61">
      <c r="A154" s="164" t="s">
        <v>567</v>
      </c>
      <c r="B154" t="s">
        <v>568</v>
      </c>
      <c r="C154">
        <v>0</v>
      </c>
      <c r="D154" t="s">
        <v>175</v>
      </c>
      <c r="E154">
        <v>0</v>
      </c>
      <c r="F154" t="s">
        <v>508</v>
      </c>
      <c r="G154" t="s">
        <v>78</v>
      </c>
      <c r="H154" t="s">
        <v>79</v>
      </c>
      <c r="I154" t="s">
        <v>80</v>
      </c>
      <c r="J154" t="s">
        <v>163</v>
      </c>
      <c r="K154" t="s">
        <v>82</v>
      </c>
      <c r="L154" t="s">
        <v>83</v>
      </c>
      <c r="M154" t="s">
        <v>84</v>
      </c>
      <c r="N154">
        <v>0.7</v>
      </c>
      <c r="O154" t="b">
        <v>1</v>
      </c>
      <c r="P154">
        <v>40</v>
      </c>
      <c r="Q154" t="s">
        <v>137</v>
      </c>
      <c r="R154" t="s">
        <v>164</v>
      </c>
      <c r="S154">
        <v>0.7</v>
      </c>
      <c r="T154">
        <v>1</v>
      </c>
      <c r="U154" s="36">
        <v>3.26932</v>
      </c>
      <c r="V154" t="s">
        <v>165</v>
      </c>
      <c r="W154">
        <v>36</v>
      </c>
      <c r="X154">
        <v>0</v>
      </c>
      <c r="Y154">
        <v>54</v>
      </c>
      <c r="Z154">
        <v>0</v>
      </c>
      <c r="AA154">
        <v>35</v>
      </c>
      <c r="AB154">
        <v>0</v>
      </c>
      <c r="AC154">
        <v>0</v>
      </c>
      <c r="AD154">
        <v>1100</v>
      </c>
      <c r="AE154" t="s">
        <v>166</v>
      </c>
      <c r="AF154" t="s">
        <v>508</v>
      </c>
      <c r="AG154" t="s">
        <v>129</v>
      </c>
      <c r="AH154">
        <v>0</v>
      </c>
      <c r="AI154">
        <v>7.8</v>
      </c>
      <c r="AJ154" t="s">
        <v>167</v>
      </c>
      <c r="AM154">
        <v>8.3000000000000007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 t="s">
        <v>569</v>
      </c>
      <c r="AY154">
        <v>6.8033000000000001</v>
      </c>
      <c r="AZ154">
        <v>7</v>
      </c>
      <c r="BA154" t="s">
        <v>138</v>
      </c>
      <c r="BB154">
        <v>7.1</v>
      </c>
      <c r="BC154" t="s">
        <v>95</v>
      </c>
      <c r="BD154" t="s">
        <v>96</v>
      </c>
      <c r="BE154" t="s">
        <v>97</v>
      </c>
      <c r="BF154">
        <v>1</v>
      </c>
      <c r="BG154">
        <v>0</v>
      </c>
      <c r="BH154">
        <v>0</v>
      </c>
      <c r="BI154" t="s">
        <v>98</v>
      </c>
    </row>
    <row r="155" spans="1:61">
      <c r="A155" s="164" t="s">
        <v>570</v>
      </c>
      <c r="B155" t="s">
        <v>571</v>
      </c>
      <c r="C155">
        <v>0</v>
      </c>
      <c r="D155" t="s">
        <v>194</v>
      </c>
      <c r="E155">
        <v>0</v>
      </c>
      <c r="F155" t="s">
        <v>214</v>
      </c>
      <c r="G155" t="s">
        <v>78</v>
      </c>
      <c r="H155" t="s">
        <v>79</v>
      </c>
      <c r="I155" t="s">
        <v>80</v>
      </c>
      <c r="J155" t="s">
        <v>196</v>
      </c>
      <c r="K155" t="s">
        <v>13</v>
      </c>
      <c r="L155" t="s">
        <v>83</v>
      </c>
      <c r="M155" t="s">
        <v>215</v>
      </c>
      <c r="N155">
        <v>1</v>
      </c>
      <c r="O155" t="b">
        <v>1</v>
      </c>
      <c r="P155">
        <v>0</v>
      </c>
      <c r="BB155">
        <v>0</v>
      </c>
      <c r="BC155" t="s">
        <v>197</v>
      </c>
      <c r="BD155" t="s">
        <v>216</v>
      </c>
      <c r="BE155" t="s">
        <v>117</v>
      </c>
      <c r="BF155">
        <v>0</v>
      </c>
      <c r="BG155">
        <v>0</v>
      </c>
      <c r="BH155">
        <v>0</v>
      </c>
    </row>
    <row r="156" spans="1:61">
      <c r="A156" s="164" t="s">
        <v>572</v>
      </c>
      <c r="B156" t="s">
        <v>573</v>
      </c>
      <c r="C156">
        <v>0</v>
      </c>
      <c r="D156" t="s">
        <v>194</v>
      </c>
      <c r="E156">
        <v>0</v>
      </c>
      <c r="F156" t="s">
        <v>195</v>
      </c>
      <c r="G156" t="s">
        <v>78</v>
      </c>
      <c r="H156" t="s">
        <v>79</v>
      </c>
      <c r="I156" t="s">
        <v>80</v>
      </c>
      <c r="J156" t="s">
        <v>196</v>
      </c>
      <c r="K156" t="s">
        <v>13</v>
      </c>
      <c r="L156" t="s">
        <v>83</v>
      </c>
      <c r="M156" t="s">
        <v>84</v>
      </c>
      <c r="N156">
        <v>1</v>
      </c>
      <c r="O156" t="b">
        <v>1</v>
      </c>
      <c r="P156">
        <v>0</v>
      </c>
      <c r="BB156">
        <v>0</v>
      </c>
      <c r="BC156" t="s">
        <v>197</v>
      </c>
      <c r="BD156" t="s">
        <v>198</v>
      </c>
      <c r="BE156" t="s">
        <v>117</v>
      </c>
      <c r="BF156">
        <v>0</v>
      </c>
      <c r="BG156">
        <v>0</v>
      </c>
      <c r="BH156">
        <v>0</v>
      </c>
    </row>
    <row r="157" spans="1:61">
      <c r="A157" s="164" t="s">
        <v>574</v>
      </c>
      <c r="B157" t="s">
        <v>575</v>
      </c>
      <c r="C157">
        <v>0</v>
      </c>
      <c r="D157" t="s">
        <v>194</v>
      </c>
      <c r="E157">
        <v>0</v>
      </c>
      <c r="F157" t="s">
        <v>195</v>
      </c>
      <c r="G157" t="s">
        <v>78</v>
      </c>
      <c r="H157" t="s">
        <v>79</v>
      </c>
      <c r="I157" t="s">
        <v>80</v>
      </c>
      <c r="J157" t="s">
        <v>196</v>
      </c>
      <c r="K157" t="s">
        <v>13</v>
      </c>
      <c r="L157" t="s">
        <v>83</v>
      </c>
      <c r="M157" t="s">
        <v>84</v>
      </c>
      <c r="N157">
        <v>1</v>
      </c>
      <c r="O157" t="b">
        <v>1</v>
      </c>
      <c r="P157">
        <v>0</v>
      </c>
      <c r="BB157">
        <v>0</v>
      </c>
      <c r="BC157" t="s">
        <v>197</v>
      </c>
      <c r="BD157" t="s">
        <v>198</v>
      </c>
      <c r="BE157" t="s">
        <v>117</v>
      </c>
      <c r="BF157">
        <v>0</v>
      </c>
      <c r="BG157">
        <v>0</v>
      </c>
      <c r="BH157">
        <v>0</v>
      </c>
    </row>
    <row r="158" spans="1:61">
      <c r="A158" s="164" t="s">
        <v>576</v>
      </c>
      <c r="B158" t="s">
        <v>577</v>
      </c>
      <c r="C158">
        <v>0</v>
      </c>
      <c r="D158" t="s">
        <v>304</v>
      </c>
      <c r="E158">
        <v>0</v>
      </c>
      <c r="F158" t="s">
        <v>313</v>
      </c>
      <c r="G158" t="s">
        <v>78</v>
      </c>
      <c r="H158" t="s">
        <v>79</v>
      </c>
      <c r="I158" t="s">
        <v>80</v>
      </c>
      <c r="J158" t="s">
        <v>196</v>
      </c>
      <c r="K158" t="s">
        <v>13</v>
      </c>
      <c r="L158" t="s">
        <v>83</v>
      </c>
      <c r="M158" t="s">
        <v>205</v>
      </c>
      <c r="N158">
        <v>1</v>
      </c>
      <c r="O158" t="b">
        <v>1</v>
      </c>
      <c r="P158">
        <v>0</v>
      </c>
      <c r="BB158">
        <v>0</v>
      </c>
      <c r="BC158" t="s">
        <v>306</v>
      </c>
      <c r="BD158" t="s">
        <v>314</v>
      </c>
      <c r="BE158" t="s">
        <v>117</v>
      </c>
      <c r="BF158">
        <v>0</v>
      </c>
      <c r="BG158">
        <v>45</v>
      </c>
      <c r="BH158">
        <v>300</v>
      </c>
      <c r="BI158" t="s">
        <v>315</v>
      </c>
    </row>
    <row r="159" spans="1:61">
      <c r="A159" s="164" t="s">
        <v>578</v>
      </c>
      <c r="B159" t="s">
        <v>579</v>
      </c>
      <c r="C159">
        <v>0</v>
      </c>
      <c r="D159" t="s">
        <v>304</v>
      </c>
      <c r="E159">
        <v>0</v>
      </c>
      <c r="F159" t="s">
        <v>342</v>
      </c>
      <c r="G159" t="s">
        <v>78</v>
      </c>
      <c r="H159" t="s">
        <v>79</v>
      </c>
      <c r="I159" t="s">
        <v>80</v>
      </c>
      <c r="J159" t="s">
        <v>196</v>
      </c>
      <c r="K159" t="s">
        <v>13</v>
      </c>
      <c r="L159" t="s">
        <v>83</v>
      </c>
      <c r="M159" t="s">
        <v>84</v>
      </c>
      <c r="N159">
        <v>1</v>
      </c>
      <c r="O159" t="b">
        <v>1</v>
      </c>
      <c r="P159">
        <v>0</v>
      </c>
      <c r="BB159">
        <v>0</v>
      </c>
      <c r="BC159" t="s">
        <v>306</v>
      </c>
      <c r="BD159" t="s">
        <v>343</v>
      </c>
      <c r="BE159" t="s">
        <v>117</v>
      </c>
      <c r="BF159">
        <v>0</v>
      </c>
      <c r="BG159">
        <v>25</v>
      </c>
      <c r="BH159">
        <v>10000</v>
      </c>
      <c r="BI159" t="s">
        <v>344</v>
      </c>
    </row>
    <row r="160" spans="1:61">
      <c r="A160" s="164" t="s">
        <v>580</v>
      </c>
      <c r="B160" t="s">
        <v>581</v>
      </c>
      <c r="C160">
        <v>0</v>
      </c>
      <c r="D160" t="s">
        <v>304</v>
      </c>
      <c r="E160">
        <v>0</v>
      </c>
      <c r="F160" t="s">
        <v>305</v>
      </c>
      <c r="G160" t="s">
        <v>78</v>
      </c>
      <c r="H160" t="s">
        <v>79</v>
      </c>
      <c r="I160" t="s">
        <v>80</v>
      </c>
      <c r="J160" t="s">
        <v>196</v>
      </c>
      <c r="K160" t="s">
        <v>13</v>
      </c>
      <c r="L160" t="s">
        <v>83</v>
      </c>
      <c r="M160" t="s">
        <v>84</v>
      </c>
      <c r="N160">
        <v>1</v>
      </c>
      <c r="O160" t="b">
        <v>1</v>
      </c>
      <c r="P160">
        <v>0</v>
      </c>
      <c r="BB160">
        <v>0</v>
      </c>
      <c r="BC160" t="s">
        <v>306</v>
      </c>
      <c r="BD160" t="s">
        <v>307</v>
      </c>
      <c r="BE160" t="s">
        <v>117</v>
      </c>
      <c r="BF160">
        <v>0</v>
      </c>
      <c r="BG160">
        <v>25</v>
      </c>
      <c r="BH160">
        <v>10000</v>
      </c>
      <c r="BI160" t="s">
        <v>308</v>
      </c>
    </row>
    <row r="161" spans="1:61">
      <c r="A161" s="164" t="s">
        <v>582</v>
      </c>
      <c r="B161" t="s">
        <v>583</v>
      </c>
      <c r="C161">
        <v>0</v>
      </c>
      <c r="D161" t="s">
        <v>304</v>
      </c>
      <c r="E161">
        <v>0</v>
      </c>
      <c r="F161" t="s">
        <v>313</v>
      </c>
      <c r="G161" t="s">
        <v>78</v>
      </c>
      <c r="H161" t="s">
        <v>79</v>
      </c>
      <c r="I161" t="s">
        <v>80</v>
      </c>
      <c r="J161" t="s">
        <v>196</v>
      </c>
      <c r="K161" t="s">
        <v>13</v>
      </c>
      <c r="L161" t="s">
        <v>83</v>
      </c>
      <c r="M161" t="s">
        <v>205</v>
      </c>
      <c r="N161">
        <v>1</v>
      </c>
      <c r="O161" t="b">
        <v>1</v>
      </c>
      <c r="P161">
        <v>0</v>
      </c>
      <c r="BB161">
        <v>0</v>
      </c>
      <c r="BC161" t="s">
        <v>306</v>
      </c>
      <c r="BD161" t="s">
        <v>314</v>
      </c>
      <c r="BE161" t="s">
        <v>117</v>
      </c>
      <c r="BF161">
        <v>0</v>
      </c>
      <c r="BG161">
        <v>45</v>
      </c>
      <c r="BH161">
        <v>100</v>
      </c>
      <c r="BI161" t="s">
        <v>584</v>
      </c>
    </row>
    <row r="162" spans="1:61">
      <c r="A162" s="164" t="s">
        <v>585</v>
      </c>
      <c r="B162" t="s">
        <v>586</v>
      </c>
      <c r="C162">
        <v>0</v>
      </c>
      <c r="D162" t="s">
        <v>304</v>
      </c>
      <c r="E162">
        <v>0</v>
      </c>
      <c r="F162" t="s">
        <v>357</v>
      </c>
      <c r="G162" t="s">
        <v>78</v>
      </c>
      <c r="H162" t="s">
        <v>79</v>
      </c>
      <c r="I162" t="s">
        <v>80</v>
      </c>
      <c r="J162" t="s">
        <v>196</v>
      </c>
      <c r="K162" t="s">
        <v>13</v>
      </c>
      <c r="L162" t="s">
        <v>83</v>
      </c>
      <c r="M162" t="s">
        <v>84</v>
      </c>
      <c r="N162">
        <v>1</v>
      </c>
      <c r="O162" t="b">
        <v>1</v>
      </c>
      <c r="P162">
        <v>0</v>
      </c>
      <c r="BB162">
        <v>0</v>
      </c>
      <c r="BC162" t="s">
        <v>306</v>
      </c>
      <c r="BD162" t="s">
        <v>358</v>
      </c>
      <c r="BE162" t="s">
        <v>117</v>
      </c>
      <c r="BF162">
        <v>0</v>
      </c>
      <c r="BG162">
        <v>25</v>
      </c>
      <c r="BH162">
        <v>500</v>
      </c>
      <c r="BI162" t="s">
        <v>359</v>
      </c>
    </row>
    <row r="163" spans="1:61">
      <c r="A163" s="164" t="s">
        <v>587</v>
      </c>
      <c r="B163" t="s">
        <v>588</v>
      </c>
      <c r="C163">
        <v>0</v>
      </c>
      <c r="D163" t="s">
        <v>304</v>
      </c>
      <c r="E163">
        <v>0</v>
      </c>
      <c r="F163" t="s">
        <v>589</v>
      </c>
      <c r="G163" t="s">
        <v>78</v>
      </c>
      <c r="H163" t="s">
        <v>79</v>
      </c>
      <c r="I163" t="s">
        <v>80</v>
      </c>
      <c r="J163" t="s">
        <v>196</v>
      </c>
      <c r="K163" t="s">
        <v>13</v>
      </c>
      <c r="L163" t="s">
        <v>83</v>
      </c>
      <c r="M163" t="s">
        <v>84</v>
      </c>
      <c r="N163">
        <v>1</v>
      </c>
      <c r="O163" t="b">
        <v>1</v>
      </c>
      <c r="P163">
        <v>0</v>
      </c>
      <c r="BB163">
        <v>0</v>
      </c>
      <c r="BC163" t="s">
        <v>306</v>
      </c>
      <c r="BD163" t="s">
        <v>590</v>
      </c>
      <c r="BE163" t="s">
        <v>117</v>
      </c>
      <c r="BF163">
        <v>0</v>
      </c>
      <c r="BG163">
        <v>25</v>
      </c>
      <c r="BH163">
        <v>10000</v>
      </c>
      <c r="BI163" t="s">
        <v>344</v>
      </c>
    </row>
    <row r="164" spans="1:61">
      <c r="A164" s="164" t="s">
        <v>591</v>
      </c>
      <c r="B164" t="s">
        <v>592</v>
      </c>
      <c r="C164">
        <v>0</v>
      </c>
      <c r="D164" t="s">
        <v>304</v>
      </c>
      <c r="E164">
        <v>0</v>
      </c>
      <c r="F164" t="s">
        <v>336</v>
      </c>
      <c r="G164" t="s">
        <v>78</v>
      </c>
      <c r="H164" t="s">
        <v>79</v>
      </c>
      <c r="I164" t="s">
        <v>80</v>
      </c>
      <c r="J164" t="s">
        <v>196</v>
      </c>
      <c r="K164" t="s">
        <v>13</v>
      </c>
      <c r="L164" t="s">
        <v>83</v>
      </c>
      <c r="M164" t="s">
        <v>84</v>
      </c>
      <c r="N164">
        <v>1</v>
      </c>
      <c r="O164" t="b">
        <v>1</v>
      </c>
      <c r="P164">
        <v>0</v>
      </c>
      <c r="BB164">
        <v>0</v>
      </c>
      <c r="BC164" t="s">
        <v>306</v>
      </c>
      <c r="BD164" t="s">
        <v>337</v>
      </c>
      <c r="BE164" t="s">
        <v>117</v>
      </c>
      <c r="BF164">
        <v>0</v>
      </c>
      <c r="BG164">
        <v>30</v>
      </c>
      <c r="BH164">
        <v>30000</v>
      </c>
      <c r="BI164" t="s">
        <v>593</v>
      </c>
    </row>
    <row r="165" spans="1:61">
      <c r="A165" s="164" t="s">
        <v>594</v>
      </c>
      <c r="B165" t="s">
        <v>595</v>
      </c>
      <c r="C165">
        <v>0</v>
      </c>
      <c r="D165" t="s">
        <v>304</v>
      </c>
      <c r="E165">
        <v>0</v>
      </c>
      <c r="F165" t="s">
        <v>336</v>
      </c>
      <c r="G165" t="s">
        <v>78</v>
      </c>
      <c r="H165" t="s">
        <v>79</v>
      </c>
      <c r="I165" t="s">
        <v>80</v>
      </c>
      <c r="J165" t="s">
        <v>196</v>
      </c>
      <c r="K165" t="s">
        <v>13</v>
      </c>
      <c r="L165" t="s">
        <v>83</v>
      </c>
      <c r="M165" t="s">
        <v>84</v>
      </c>
      <c r="N165">
        <v>1</v>
      </c>
      <c r="O165" t="b">
        <v>1</v>
      </c>
      <c r="P165">
        <v>0</v>
      </c>
      <c r="BB165">
        <v>0</v>
      </c>
      <c r="BC165" t="s">
        <v>306</v>
      </c>
      <c r="BD165" t="s">
        <v>337</v>
      </c>
      <c r="BE165" t="s">
        <v>117</v>
      </c>
      <c r="BF165">
        <v>0</v>
      </c>
      <c r="BG165">
        <v>30</v>
      </c>
      <c r="BH165">
        <v>30000</v>
      </c>
      <c r="BI165" t="s">
        <v>593</v>
      </c>
    </row>
    <row r="166" spans="1:61">
      <c r="A166" s="164" t="s">
        <v>596</v>
      </c>
      <c r="B166" t="s">
        <v>597</v>
      </c>
      <c r="C166">
        <v>0</v>
      </c>
      <c r="D166" t="s">
        <v>304</v>
      </c>
      <c r="E166">
        <v>0</v>
      </c>
      <c r="F166" t="s">
        <v>336</v>
      </c>
      <c r="G166" t="s">
        <v>78</v>
      </c>
      <c r="H166" t="s">
        <v>79</v>
      </c>
      <c r="I166" t="s">
        <v>80</v>
      </c>
      <c r="J166" t="s">
        <v>196</v>
      </c>
      <c r="K166" t="s">
        <v>13</v>
      </c>
      <c r="L166" t="s">
        <v>83</v>
      </c>
      <c r="M166" t="s">
        <v>84</v>
      </c>
      <c r="N166">
        <v>1</v>
      </c>
      <c r="O166" t="b">
        <v>1</v>
      </c>
      <c r="P166">
        <v>0</v>
      </c>
      <c r="BB166">
        <v>0</v>
      </c>
      <c r="BC166" t="s">
        <v>306</v>
      </c>
      <c r="BD166" t="s">
        <v>337</v>
      </c>
      <c r="BE166" t="s">
        <v>117</v>
      </c>
      <c r="BF166">
        <v>0</v>
      </c>
      <c r="BG166">
        <v>30</v>
      </c>
      <c r="BH166">
        <v>30000</v>
      </c>
      <c r="BI166" t="s">
        <v>593</v>
      </c>
    </row>
    <row r="167" spans="1:61">
      <c r="A167" s="164" t="s">
        <v>598</v>
      </c>
      <c r="B167" t="s">
        <v>599</v>
      </c>
      <c r="C167">
        <v>0</v>
      </c>
      <c r="D167" t="s">
        <v>304</v>
      </c>
      <c r="E167">
        <v>0</v>
      </c>
      <c r="F167" t="s">
        <v>313</v>
      </c>
      <c r="G167" t="s">
        <v>78</v>
      </c>
      <c r="H167" t="s">
        <v>79</v>
      </c>
      <c r="I167" t="s">
        <v>80</v>
      </c>
      <c r="J167" t="s">
        <v>196</v>
      </c>
      <c r="K167" t="s">
        <v>13</v>
      </c>
      <c r="L167" t="s">
        <v>83</v>
      </c>
      <c r="M167" t="s">
        <v>205</v>
      </c>
      <c r="N167">
        <v>1</v>
      </c>
      <c r="O167" t="b">
        <v>1</v>
      </c>
      <c r="P167">
        <v>0</v>
      </c>
      <c r="BB167">
        <v>0</v>
      </c>
      <c r="BC167" t="s">
        <v>306</v>
      </c>
      <c r="BD167" t="s">
        <v>314</v>
      </c>
      <c r="BE167" t="s">
        <v>117</v>
      </c>
      <c r="BF167">
        <v>0</v>
      </c>
      <c r="BG167">
        <v>45</v>
      </c>
      <c r="BH167">
        <v>300</v>
      </c>
      <c r="BI167" t="s">
        <v>315</v>
      </c>
    </row>
    <row r="168" spans="1:61">
      <c r="A168" s="164" t="s">
        <v>600</v>
      </c>
      <c r="B168" t="s">
        <v>601</v>
      </c>
      <c r="C168">
        <v>0</v>
      </c>
      <c r="D168" t="s">
        <v>304</v>
      </c>
      <c r="E168">
        <v>0</v>
      </c>
      <c r="F168" t="s">
        <v>313</v>
      </c>
      <c r="G168" t="s">
        <v>78</v>
      </c>
      <c r="H168" t="s">
        <v>79</v>
      </c>
      <c r="I168" t="s">
        <v>80</v>
      </c>
      <c r="J168" t="s">
        <v>196</v>
      </c>
      <c r="K168" t="s">
        <v>13</v>
      </c>
      <c r="L168" t="s">
        <v>83</v>
      </c>
      <c r="M168" t="s">
        <v>205</v>
      </c>
      <c r="N168">
        <v>1</v>
      </c>
      <c r="O168" t="b">
        <v>1</v>
      </c>
      <c r="P168">
        <v>0</v>
      </c>
      <c r="BB168">
        <v>0</v>
      </c>
      <c r="BC168" t="s">
        <v>306</v>
      </c>
      <c r="BD168" t="s">
        <v>314</v>
      </c>
      <c r="BE168" t="s">
        <v>117</v>
      </c>
      <c r="BF168">
        <v>0</v>
      </c>
      <c r="BG168">
        <v>45</v>
      </c>
      <c r="BH168">
        <v>300</v>
      </c>
      <c r="BI168" t="s">
        <v>315</v>
      </c>
    </row>
    <row r="169" spans="1:61">
      <c r="A169" s="164" t="s">
        <v>602</v>
      </c>
      <c r="B169" t="s">
        <v>603</v>
      </c>
      <c r="C169">
        <v>0</v>
      </c>
      <c r="D169" t="s">
        <v>304</v>
      </c>
      <c r="E169">
        <v>0</v>
      </c>
      <c r="F169" t="s">
        <v>313</v>
      </c>
      <c r="G169" t="s">
        <v>78</v>
      </c>
      <c r="H169" t="s">
        <v>79</v>
      </c>
      <c r="I169" t="s">
        <v>80</v>
      </c>
      <c r="J169" t="s">
        <v>196</v>
      </c>
      <c r="K169" t="s">
        <v>13</v>
      </c>
      <c r="L169" t="s">
        <v>83</v>
      </c>
      <c r="M169" t="s">
        <v>205</v>
      </c>
      <c r="N169">
        <v>1</v>
      </c>
      <c r="O169" t="b">
        <v>1</v>
      </c>
      <c r="P169">
        <v>0</v>
      </c>
      <c r="BB169">
        <v>0</v>
      </c>
      <c r="BC169" t="s">
        <v>306</v>
      </c>
      <c r="BD169" t="s">
        <v>314</v>
      </c>
      <c r="BE169" t="s">
        <v>117</v>
      </c>
      <c r="BF169">
        <v>0</v>
      </c>
      <c r="BG169">
        <v>45</v>
      </c>
      <c r="BH169">
        <v>300</v>
      </c>
      <c r="BI169" t="s">
        <v>315</v>
      </c>
    </row>
    <row r="170" spans="1:61">
      <c r="A170" s="164" t="s">
        <v>604</v>
      </c>
      <c r="B170" t="s">
        <v>605</v>
      </c>
      <c r="C170">
        <v>0</v>
      </c>
      <c r="D170" t="s">
        <v>304</v>
      </c>
      <c r="E170">
        <v>0</v>
      </c>
      <c r="F170" t="s">
        <v>430</v>
      </c>
      <c r="G170" t="s">
        <v>78</v>
      </c>
      <c r="H170" t="s">
        <v>79</v>
      </c>
      <c r="I170" t="s">
        <v>80</v>
      </c>
      <c r="J170" t="s">
        <v>196</v>
      </c>
      <c r="K170" t="s">
        <v>13</v>
      </c>
      <c r="L170" t="s">
        <v>83</v>
      </c>
      <c r="M170" t="s">
        <v>606</v>
      </c>
      <c r="N170">
        <v>1</v>
      </c>
      <c r="O170" t="b">
        <v>1</v>
      </c>
      <c r="P170">
        <v>0</v>
      </c>
      <c r="BB170">
        <v>0</v>
      </c>
      <c r="BC170" t="s">
        <v>306</v>
      </c>
      <c r="BD170" t="s">
        <v>431</v>
      </c>
      <c r="BE170" t="s">
        <v>117</v>
      </c>
      <c r="BF170">
        <v>0</v>
      </c>
      <c r="BG170">
        <v>15</v>
      </c>
      <c r="BH170">
        <v>2</v>
      </c>
      <c r="BI170" t="s">
        <v>435</v>
      </c>
    </row>
    <row r="171" spans="1:61">
      <c r="A171" s="164" t="s">
        <v>607</v>
      </c>
      <c r="B171" t="s">
        <v>608</v>
      </c>
      <c r="C171">
        <v>0</v>
      </c>
      <c r="D171" t="s">
        <v>304</v>
      </c>
      <c r="E171">
        <v>0</v>
      </c>
      <c r="F171" t="s">
        <v>313</v>
      </c>
      <c r="G171" t="s">
        <v>78</v>
      </c>
      <c r="H171" t="s">
        <v>79</v>
      </c>
      <c r="I171" t="s">
        <v>80</v>
      </c>
      <c r="J171" t="s">
        <v>196</v>
      </c>
      <c r="K171" t="s">
        <v>13</v>
      </c>
      <c r="L171" t="s">
        <v>83</v>
      </c>
      <c r="M171" t="s">
        <v>205</v>
      </c>
      <c r="N171">
        <v>1</v>
      </c>
      <c r="O171" t="b">
        <v>1</v>
      </c>
      <c r="P171">
        <v>0</v>
      </c>
      <c r="BB171">
        <v>0</v>
      </c>
      <c r="BC171" t="s">
        <v>306</v>
      </c>
      <c r="BD171" t="s">
        <v>314</v>
      </c>
      <c r="BE171" t="s">
        <v>117</v>
      </c>
      <c r="BF171">
        <v>0</v>
      </c>
      <c r="BG171">
        <v>45</v>
      </c>
      <c r="BH171">
        <v>300</v>
      </c>
      <c r="BI171" t="s">
        <v>315</v>
      </c>
    </row>
    <row r="172" spans="1:61">
      <c r="A172" s="164" t="s">
        <v>609</v>
      </c>
      <c r="B172" t="s">
        <v>610</v>
      </c>
      <c r="C172">
        <v>0</v>
      </c>
      <c r="D172" t="s">
        <v>304</v>
      </c>
      <c r="E172">
        <v>0</v>
      </c>
      <c r="F172" t="s">
        <v>589</v>
      </c>
      <c r="G172" t="s">
        <v>78</v>
      </c>
      <c r="H172" t="s">
        <v>79</v>
      </c>
      <c r="I172" t="s">
        <v>80</v>
      </c>
      <c r="J172" t="s">
        <v>196</v>
      </c>
      <c r="K172" t="s">
        <v>13</v>
      </c>
      <c r="L172" t="s">
        <v>83</v>
      </c>
      <c r="M172" t="s">
        <v>84</v>
      </c>
      <c r="N172">
        <v>1</v>
      </c>
      <c r="O172" t="b">
        <v>1</v>
      </c>
      <c r="P172">
        <v>0</v>
      </c>
      <c r="BB172">
        <v>0</v>
      </c>
      <c r="BC172" t="s">
        <v>306</v>
      </c>
      <c r="BD172" t="s">
        <v>590</v>
      </c>
      <c r="BE172" t="s">
        <v>117</v>
      </c>
      <c r="BF172">
        <v>0</v>
      </c>
      <c r="BG172">
        <v>25</v>
      </c>
      <c r="BH172">
        <v>10000</v>
      </c>
      <c r="BI172" t="s">
        <v>344</v>
      </c>
    </row>
    <row r="173" spans="1:61">
      <c r="A173" s="164" t="s">
        <v>611</v>
      </c>
      <c r="B173" t="s">
        <v>612</v>
      </c>
      <c r="C173">
        <v>0</v>
      </c>
      <c r="D173" t="s">
        <v>304</v>
      </c>
      <c r="E173">
        <v>0</v>
      </c>
      <c r="F173" t="s">
        <v>336</v>
      </c>
      <c r="G173" t="s">
        <v>78</v>
      </c>
      <c r="H173" t="s">
        <v>79</v>
      </c>
      <c r="I173" t="s">
        <v>80</v>
      </c>
      <c r="J173" t="s">
        <v>196</v>
      </c>
      <c r="K173" t="s">
        <v>13</v>
      </c>
      <c r="L173" t="s">
        <v>83</v>
      </c>
      <c r="M173" t="s">
        <v>84</v>
      </c>
      <c r="N173">
        <v>1</v>
      </c>
      <c r="O173" t="b">
        <v>1</v>
      </c>
      <c r="P173">
        <v>0</v>
      </c>
      <c r="BB173">
        <v>0</v>
      </c>
      <c r="BC173" t="s">
        <v>306</v>
      </c>
      <c r="BD173" t="s">
        <v>337</v>
      </c>
      <c r="BE173" t="s">
        <v>117</v>
      </c>
      <c r="BF173">
        <v>0</v>
      </c>
      <c r="BG173">
        <v>30</v>
      </c>
      <c r="BH173">
        <v>30000</v>
      </c>
      <c r="BI173" t="s">
        <v>593</v>
      </c>
    </row>
    <row r="174" spans="1:61">
      <c r="A174" s="164" t="s">
        <v>613</v>
      </c>
      <c r="B174" t="s">
        <v>614</v>
      </c>
      <c r="C174">
        <v>0</v>
      </c>
      <c r="D174" t="s">
        <v>304</v>
      </c>
      <c r="E174">
        <v>0</v>
      </c>
      <c r="F174" t="s">
        <v>342</v>
      </c>
      <c r="G174" t="s">
        <v>78</v>
      </c>
      <c r="H174" t="s">
        <v>79</v>
      </c>
      <c r="I174" t="s">
        <v>80</v>
      </c>
      <c r="J174" t="s">
        <v>196</v>
      </c>
      <c r="K174" t="s">
        <v>13</v>
      </c>
      <c r="L174" t="s">
        <v>83</v>
      </c>
      <c r="M174" t="s">
        <v>84</v>
      </c>
      <c r="N174">
        <v>1</v>
      </c>
      <c r="O174" t="b">
        <v>1</v>
      </c>
      <c r="P174">
        <v>0</v>
      </c>
      <c r="BB174">
        <v>0</v>
      </c>
      <c r="BC174" t="s">
        <v>306</v>
      </c>
      <c r="BD174" t="s">
        <v>343</v>
      </c>
      <c r="BE174" t="s">
        <v>117</v>
      </c>
      <c r="BF174">
        <v>0</v>
      </c>
      <c r="BG174">
        <v>25</v>
      </c>
      <c r="BH174">
        <v>10000</v>
      </c>
      <c r="BI174" t="s">
        <v>344</v>
      </c>
    </row>
    <row r="175" spans="1:61">
      <c r="A175" s="164" t="s">
        <v>615</v>
      </c>
      <c r="B175" t="s">
        <v>616</v>
      </c>
      <c r="C175">
        <v>0</v>
      </c>
      <c r="D175" t="s">
        <v>304</v>
      </c>
      <c r="E175">
        <v>0</v>
      </c>
      <c r="F175" t="s">
        <v>305</v>
      </c>
      <c r="G175" t="s">
        <v>78</v>
      </c>
      <c r="H175" t="s">
        <v>79</v>
      </c>
      <c r="I175" t="s">
        <v>80</v>
      </c>
      <c r="J175" t="s">
        <v>196</v>
      </c>
      <c r="K175" t="s">
        <v>13</v>
      </c>
      <c r="L175" t="s">
        <v>83</v>
      </c>
      <c r="M175" t="s">
        <v>84</v>
      </c>
      <c r="N175">
        <v>1</v>
      </c>
      <c r="O175" t="b">
        <v>1</v>
      </c>
      <c r="P175">
        <v>0</v>
      </c>
      <c r="BB175">
        <v>0</v>
      </c>
      <c r="BC175" t="s">
        <v>306</v>
      </c>
      <c r="BD175" t="s">
        <v>307</v>
      </c>
      <c r="BE175" t="s">
        <v>117</v>
      </c>
      <c r="BF175">
        <v>0</v>
      </c>
      <c r="BG175">
        <v>25</v>
      </c>
      <c r="BH175">
        <v>20000</v>
      </c>
      <c r="BI175" t="s">
        <v>308</v>
      </c>
    </row>
    <row r="176" spans="1:61">
      <c r="A176" s="164" t="s">
        <v>617</v>
      </c>
      <c r="B176" t="s">
        <v>618</v>
      </c>
      <c r="C176">
        <v>0</v>
      </c>
      <c r="D176" t="s">
        <v>304</v>
      </c>
      <c r="E176">
        <v>0</v>
      </c>
      <c r="F176" t="s">
        <v>269</v>
      </c>
      <c r="G176" t="s">
        <v>103</v>
      </c>
      <c r="H176" t="s">
        <v>104</v>
      </c>
      <c r="I176" t="s">
        <v>80</v>
      </c>
      <c r="J176" t="s">
        <v>196</v>
      </c>
      <c r="K176" t="s">
        <v>13</v>
      </c>
      <c r="L176" t="s">
        <v>83</v>
      </c>
      <c r="M176" t="s">
        <v>84</v>
      </c>
      <c r="N176">
        <v>1</v>
      </c>
      <c r="O176" t="b">
        <v>0</v>
      </c>
      <c r="P176">
        <v>0</v>
      </c>
      <c r="BB176">
        <v>0</v>
      </c>
      <c r="BC176" t="s">
        <v>306</v>
      </c>
      <c r="BD176" t="s">
        <v>270</v>
      </c>
      <c r="BE176" t="s">
        <v>117</v>
      </c>
      <c r="BF176">
        <v>0</v>
      </c>
      <c r="BG176">
        <v>0</v>
      </c>
      <c r="BH176">
        <v>0</v>
      </c>
    </row>
    <row r="177" spans="1:61">
      <c r="A177" s="164" t="s">
        <v>619</v>
      </c>
      <c r="B177" t="s">
        <v>620</v>
      </c>
      <c r="C177">
        <v>0</v>
      </c>
      <c r="D177" t="s">
        <v>304</v>
      </c>
      <c r="E177">
        <v>0</v>
      </c>
      <c r="F177" t="s">
        <v>357</v>
      </c>
      <c r="G177" t="s">
        <v>78</v>
      </c>
      <c r="H177" t="s">
        <v>79</v>
      </c>
      <c r="I177" t="s">
        <v>80</v>
      </c>
      <c r="J177" t="s">
        <v>196</v>
      </c>
      <c r="K177" t="s">
        <v>13</v>
      </c>
      <c r="L177" t="s">
        <v>83</v>
      </c>
      <c r="M177" t="s">
        <v>84</v>
      </c>
      <c r="N177">
        <v>1</v>
      </c>
      <c r="O177" t="b">
        <v>1</v>
      </c>
      <c r="P177">
        <v>0</v>
      </c>
      <c r="BB177">
        <v>0</v>
      </c>
      <c r="BC177" t="s">
        <v>306</v>
      </c>
      <c r="BD177" t="s">
        <v>358</v>
      </c>
      <c r="BE177" t="s">
        <v>117</v>
      </c>
      <c r="BF177">
        <v>0</v>
      </c>
      <c r="BG177">
        <v>25</v>
      </c>
      <c r="BH177">
        <v>500</v>
      </c>
      <c r="BI177" t="s">
        <v>359</v>
      </c>
    </row>
    <row r="178" spans="1:61">
      <c r="A178" s="164" t="s">
        <v>621</v>
      </c>
      <c r="B178" t="s">
        <v>622</v>
      </c>
      <c r="C178">
        <v>0</v>
      </c>
      <c r="D178" t="s">
        <v>304</v>
      </c>
      <c r="E178">
        <v>0</v>
      </c>
      <c r="F178" t="s">
        <v>336</v>
      </c>
      <c r="G178" t="s">
        <v>78</v>
      </c>
      <c r="H178" t="s">
        <v>79</v>
      </c>
      <c r="I178" t="s">
        <v>80</v>
      </c>
      <c r="J178" t="s">
        <v>196</v>
      </c>
      <c r="K178" t="s">
        <v>13</v>
      </c>
      <c r="L178" t="s">
        <v>83</v>
      </c>
      <c r="M178" t="s">
        <v>84</v>
      </c>
      <c r="N178">
        <v>1</v>
      </c>
      <c r="O178" t="b">
        <v>1</v>
      </c>
      <c r="P178">
        <v>0</v>
      </c>
      <c r="BB178">
        <v>0</v>
      </c>
      <c r="BC178" t="s">
        <v>306</v>
      </c>
      <c r="BD178" t="s">
        <v>337</v>
      </c>
      <c r="BE178" t="s">
        <v>117</v>
      </c>
      <c r="BF178">
        <v>0</v>
      </c>
      <c r="BG178">
        <v>30</v>
      </c>
      <c r="BH178">
        <v>30000</v>
      </c>
      <c r="BI178" t="s">
        <v>593</v>
      </c>
    </row>
    <row r="179" spans="1:61">
      <c r="A179" s="164" t="s">
        <v>623</v>
      </c>
      <c r="B179" t="s">
        <v>624</v>
      </c>
      <c r="C179">
        <v>0</v>
      </c>
      <c r="D179" t="s">
        <v>304</v>
      </c>
      <c r="E179">
        <v>0</v>
      </c>
      <c r="F179" t="s">
        <v>313</v>
      </c>
      <c r="G179" t="s">
        <v>78</v>
      </c>
      <c r="H179" t="s">
        <v>79</v>
      </c>
      <c r="I179" t="s">
        <v>80</v>
      </c>
      <c r="J179" t="s">
        <v>196</v>
      </c>
      <c r="K179" t="s">
        <v>13</v>
      </c>
      <c r="L179" t="s">
        <v>83</v>
      </c>
      <c r="M179" t="s">
        <v>205</v>
      </c>
      <c r="N179">
        <v>1</v>
      </c>
      <c r="O179" t="b">
        <v>1</v>
      </c>
      <c r="P179">
        <v>0</v>
      </c>
      <c r="BB179">
        <v>0</v>
      </c>
      <c r="BC179" t="s">
        <v>306</v>
      </c>
      <c r="BD179" t="s">
        <v>314</v>
      </c>
      <c r="BE179" t="s">
        <v>117</v>
      </c>
      <c r="BF179">
        <v>0</v>
      </c>
      <c r="BG179">
        <v>45</v>
      </c>
      <c r="BH179">
        <v>300</v>
      </c>
      <c r="BI179" t="s">
        <v>315</v>
      </c>
    </row>
    <row r="180" spans="1:61">
      <c r="A180" s="164" t="s">
        <v>625</v>
      </c>
      <c r="B180" t="s">
        <v>626</v>
      </c>
      <c r="C180">
        <v>0</v>
      </c>
      <c r="D180" t="s">
        <v>304</v>
      </c>
      <c r="E180">
        <v>0</v>
      </c>
      <c r="F180" t="s">
        <v>357</v>
      </c>
      <c r="G180" t="s">
        <v>78</v>
      </c>
      <c r="H180" t="s">
        <v>79</v>
      </c>
      <c r="I180" t="s">
        <v>80</v>
      </c>
      <c r="J180" t="s">
        <v>196</v>
      </c>
      <c r="K180" t="s">
        <v>13</v>
      </c>
      <c r="L180" t="s">
        <v>83</v>
      </c>
      <c r="M180" t="s">
        <v>84</v>
      </c>
      <c r="N180">
        <v>1</v>
      </c>
      <c r="O180" t="b">
        <v>1</v>
      </c>
      <c r="P180">
        <v>0</v>
      </c>
      <c r="BB180">
        <v>0</v>
      </c>
      <c r="BC180" t="s">
        <v>306</v>
      </c>
      <c r="BD180" t="s">
        <v>358</v>
      </c>
      <c r="BE180" t="s">
        <v>117</v>
      </c>
      <c r="BF180">
        <v>0</v>
      </c>
      <c r="BG180">
        <v>30</v>
      </c>
      <c r="BH180">
        <v>500</v>
      </c>
      <c r="BI180" t="s">
        <v>359</v>
      </c>
    </row>
    <row r="181" spans="1:61">
      <c r="A181" s="164" t="s">
        <v>627</v>
      </c>
      <c r="B181" t="s">
        <v>628</v>
      </c>
      <c r="C181">
        <v>0</v>
      </c>
      <c r="D181" t="s">
        <v>304</v>
      </c>
      <c r="E181">
        <v>0</v>
      </c>
      <c r="F181" t="s">
        <v>357</v>
      </c>
      <c r="G181" t="s">
        <v>78</v>
      </c>
      <c r="H181" t="s">
        <v>79</v>
      </c>
      <c r="I181" t="s">
        <v>80</v>
      </c>
      <c r="J181" t="s">
        <v>196</v>
      </c>
      <c r="K181" t="s">
        <v>13</v>
      </c>
      <c r="L181" t="s">
        <v>83</v>
      </c>
      <c r="M181" t="s">
        <v>84</v>
      </c>
      <c r="N181">
        <v>1</v>
      </c>
      <c r="O181" t="b">
        <v>1</v>
      </c>
      <c r="P181">
        <v>0</v>
      </c>
      <c r="BB181">
        <v>0</v>
      </c>
      <c r="BC181" t="s">
        <v>306</v>
      </c>
      <c r="BD181" t="s">
        <v>358</v>
      </c>
      <c r="BE181" t="s">
        <v>117</v>
      </c>
      <c r="BF181">
        <v>0</v>
      </c>
      <c r="BG181">
        <v>30</v>
      </c>
      <c r="BH181">
        <v>500</v>
      </c>
      <c r="BI181" t="s">
        <v>359</v>
      </c>
    </row>
    <row r="182" spans="1:61">
      <c r="A182" s="164" t="s">
        <v>629</v>
      </c>
      <c r="B182" t="s">
        <v>630</v>
      </c>
      <c r="C182">
        <v>0</v>
      </c>
      <c r="D182" t="s">
        <v>304</v>
      </c>
      <c r="E182">
        <v>0</v>
      </c>
      <c r="F182" t="s">
        <v>342</v>
      </c>
      <c r="G182" t="s">
        <v>78</v>
      </c>
      <c r="H182" t="s">
        <v>79</v>
      </c>
      <c r="I182" t="s">
        <v>80</v>
      </c>
      <c r="J182" t="s">
        <v>196</v>
      </c>
      <c r="K182" t="s">
        <v>13</v>
      </c>
      <c r="L182" t="s">
        <v>83</v>
      </c>
      <c r="M182" t="s">
        <v>84</v>
      </c>
      <c r="N182">
        <v>1</v>
      </c>
      <c r="O182" t="b">
        <v>1</v>
      </c>
      <c r="P182">
        <v>0</v>
      </c>
      <c r="BB182">
        <v>0</v>
      </c>
      <c r="BC182" t="s">
        <v>306</v>
      </c>
      <c r="BD182" t="s">
        <v>343</v>
      </c>
      <c r="BE182" t="s">
        <v>117</v>
      </c>
      <c r="BF182">
        <v>0</v>
      </c>
      <c r="BG182">
        <v>25</v>
      </c>
      <c r="BH182">
        <v>10000</v>
      </c>
      <c r="BI182" t="s">
        <v>344</v>
      </c>
    </row>
    <row r="183" spans="1:61">
      <c r="A183" s="164" t="s">
        <v>631</v>
      </c>
      <c r="B183" t="s">
        <v>632</v>
      </c>
      <c r="C183">
        <v>0</v>
      </c>
      <c r="D183" t="s">
        <v>304</v>
      </c>
      <c r="E183">
        <v>0</v>
      </c>
      <c r="F183" t="s">
        <v>305</v>
      </c>
      <c r="G183" t="s">
        <v>78</v>
      </c>
      <c r="H183" t="s">
        <v>79</v>
      </c>
      <c r="I183" t="s">
        <v>80</v>
      </c>
      <c r="J183" t="s">
        <v>196</v>
      </c>
      <c r="K183" t="s">
        <v>13</v>
      </c>
      <c r="L183" t="s">
        <v>83</v>
      </c>
      <c r="M183" t="s">
        <v>84</v>
      </c>
      <c r="N183">
        <v>1</v>
      </c>
      <c r="O183" t="b">
        <v>1</v>
      </c>
      <c r="P183">
        <v>0</v>
      </c>
      <c r="BB183">
        <v>0</v>
      </c>
      <c r="BC183" t="s">
        <v>306</v>
      </c>
      <c r="BD183" t="s">
        <v>307</v>
      </c>
      <c r="BE183" t="s">
        <v>117</v>
      </c>
      <c r="BF183">
        <v>0</v>
      </c>
      <c r="BG183">
        <v>20</v>
      </c>
      <c r="BH183">
        <v>30000</v>
      </c>
      <c r="BI183" t="s">
        <v>308</v>
      </c>
    </row>
    <row r="184" spans="1:61">
      <c r="A184" s="164" t="s">
        <v>633</v>
      </c>
      <c r="B184" t="s">
        <v>634</v>
      </c>
      <c r="C184">
        <v>0</v>
      </c>
      <c r="D184" t="s">
        <v>304</v>
      </c>
      <c r="E184">
        <v>0</v>
      </c>
      <c r="F184" t="s">
        <v>269</v>
      </c>
      <c r="G184" t="s">
        <v>103</v>
      </c>
      <c r="H184" t="s">
        <v>104</v>
      </c>
      <c r="I184" t="s">
        <v>80</v>
      </c>
      <c r="J184" t="s">
        <v>196</v>
      </c>
      <c r="K184" t="s">
        <v>13</v>
      </c>
      <c r="L184" t="s">
        <v>83</v>
      </c>
      <c r="M184" t="s">
        <v>84</v>
      </c>
      <c r="N184">
        <v>1</v>
      </c>
      <c r="O184" t="b">
        <v>0</v>
      </c>
      <c r="P184">
        <v>0</v>
      </c>
      <c r="BB184">
        <v>0</v>
      </c>
      <c r="BC184" t="s">
        <v>306</v>
      </c>
      <c r="BD184" t="s">
        <v>270</v>
      </c>
      <c r="BE184" t="s">
        <v>117</v>
      </c>
      <c r="BF184">
        <v>0</v>
      </c>
      <c r="BG184">
        <v>0</v>
      </c>
      <c r="BH184">
        <v>0</v>
      </c>
    </row>
    <row r="185" spans="1:61">
      <c r="A185" s="164" t="s">
        <v>635</v>
      </c>
      <c r="B185" t="s">
        <v>636</v>
      </c>
      <c r="C185">
        <v>0</v>
      </c>
      <c r="D185" t="s">
        <v>304</v>
      </c>
      <c r="E185">
        <v>0</v>
      </c>
      <c r="F185" t="s">
        <v>269</v>
      </c>
      <c r="G185" t="s">
        <v>103</v>
      </c>
      <c r="H185" t="s">
        <v>104</v>
      </c>
      <c r="I185" t="s">
        <v>80</v>
      </c>
      <c r="J185" t="s">
        <v>196</v>
      </c>
      <c r="K185" t="s">
        <v>13</v>
      </c>
      <c r="L185" t="s">
        <v>83</v>
      </c>
      <c r="M185" t="s">
        <v>84</v>
      </c>
      <c r="N185">
        <v>1</v>
      </c>
      <c r="O185" t="b">
        <v>0</v>
      </c>
      <c r="P185">
        <v>0</v>
      </c>
      <c r="BB185">
        <v>0</v>
      </c>
      <c r="BC185" t="s">
        <v>306</v>
      </c>
      <c r="BD185" t="s">
        <v>270</v>
      </c>
      <c r="BE185" t="s">
        <v>117</v>
      </c>
      <c r="BF185">
        <v>0</v>
      </c>
      <c r="BG185">
        <v>0</v>
      </c>
      <c r="BH185">
        <v>0</v>
      </c>
    </row>
    <row r="186" spans="1:61">
      <c r="A186" s="164" t="s">
        <v>637</v>
      </c>
      <c r="B186" t="s">
        <v>638</v>
      </c>
      <c r="C186">
        <v>0</v>
      </c>
      <c r="D186" t="s">
        <v>304</v>
      </c>
      <c r="E186">
        <v>0</v>
      </c>
      <c r="F186" t="s">
        <v>269</v>
      </c>
      <c r="G186" t="s">
        <v>103</v>
      </c>
      <c r="H186" t="s">
        <v>104</v>
      </c>
      <c r="I186" t="s">
        <v>80</v>
      </c>
      <c r="J186" t="s">
        <v>196</v>
      </c>
      <c r="K186" t="s">
        <v>13</v>
      </c>
      <c r="L186" t="s">
        <v>83</v>
      </c>
      <c r="M186" t="s">
        <v>84</v>
      </c>
      <c r="N186">
        <v>1</v>
      </c>
      <c r="O186" t="b">
        <v>0</v>
      </c>
      <c r="P186">
        <v>0</v>
      </c>
      <c r="BB186">
        <v>0</v>
      </c>
      <c r="BC186" t="s">
        <v>306</v>
      </c>
      <c r="BD186" t="s">
        <v>270</v>
      </c>
      <c r="BE186" t="s">
        <v>117</v>
      </c>
      <c r="BF186">
        <v>0</v>
      </c>
      <c r="BG186">
        <v>0</v>
      </c>
      <c r="BH186">
        <v>0</v>
      </c>
    </row>
    <row r="187" spans="1:61">
      <c r="A187" s="164" t="s">
        <v>639</v>
      </c>
      <c r="B187" t="s">
        <v>640</v>
      </c>
      <c r="C187">
        <v>0</v>
      </c>
      <c r="D187" t="s">
        <v>304</v>
      </c>
      <c r="E187">
        <v>0</v>
      </c>
      <c r="F187" t="s">
        <v>269</v>
      </c>
      <c r="G187" t="s">
        <v>103</v>
      </c>
      <c r="H187" t="s">
        <v>104</v>
      </c>
      <c r="I187" t="s">
        <v>80</v>
      </c>
      <c r="J187" t="s">
        <v>196</v>
      </c>
      <c r="K187" t="s">
        <v>13</v>
      </c>
      <c r="L187" t="s">
        <v>83</v>
      </c>
      <c r="M187" t="s">
        <v>84</v>
      </c>
      <c r="N187">
        <v>1</v>
      </c>
      <c r="O187" t="b">
        <v>0</v>
      </c>
      <c r="P187">
        <v>0</v>
      </c>
      <c r="BB187">
        <v>0</v>
      </c>
      <c r="BC187" t="s">
        <v>306</v>
      </c>
      <c r="BD187" t="s">
        <v>270</v>
      </c>
      <c r="BE187" t="s">
        <v>117</v>
      </c>
      <c r="BF187">
        <v>0</v>
      </c>
      <c r="BG187">
        <v>0</v>
      </c>
      <c r="BH187">
        <v>0</v>
      </c>
    </row>
    <row r="188" spans="1:61">
      <c r="A188" s="164" t="s">
        <v>641</v>
      </c>
      <c r="B188" t="s">
        <v>642</v>
      </c>
      <c r="C188">
        <v>0</v>
      </c>
      <c r="D188" t="s">
        <v>304</v>
      </c>
      <c r="E188">
        <v>0</v>
      </c>
      <c r="F188" t="s">
        <v>313</v>
      </c>
      <c r="G188" t="s">
        <v>78</v>
      </c>
      <c r="H188" t="s">
        <v>79</v>
      </c>
      <c r="I188" t="s">
        <v>80</v>
      </c>
      <c r="J188" t="s">
        <v>196</v>
      </c>
      <c r="K188" t="s">
        <v>13</v>
      </c>
      <c r="L188" t="s">
        <v>83</v>
      </c>
      <c r="M188" t="s">
        <v>205</v>
      </c>
      <c r="N188">
        <v>1</v>
      </c>
      <c r="O188" t="b">
        <v>1</v>
      </c>
      <c r="P188">
        <v>0</v>
      </c>
      <c r="BB188">
        <v>0</v>
      </c>
      <c r="BC188" t="s">
        <v>306</v>
      </c>
      <c r="BD188" t="s">
        <v>314</v>
      </c>
      <c r="BE188" t="s">
        <v>117</v>
      </c>
      <c r="BF188">
        <v>0</v>
      </c>
      <c r="BG188">
        <v>45</v>
      </c>
      <c r="BH188">
        <v>1000</v>
      </c>
      <c r="BI188" t="s">
        <v>315</v>
      </c>
    </row>
    <row r="189" spans="1:61">
      <c r="A189" s="164" t="s">
        <v>643</v>
      </c>
      <c r="B189" t="s">
        <v>644</v>
      </c>
      <c r="C189">
        <v>0</v>
      </c>
      <c r="D189" t="s">
        <v>304</v>
      </c>
      <c r="E189">
        <v>0</v>
      </c>
      <c r="F189" t="s">
        <v>430</v>
      </c>
      <c r="G189" t="s">
        <v>78</v>
      </c>
      <c r="H189" t="s">
        <v>79</v>
      </c>
      <c r="I189" t="s">
        <v>80</v>
      </c>
      <c r="J189" t="s">
        <v>196</v>
      </c>
      <c r="K189" t="s">
        <v>13</v>
      </c>
      <c r="L189" t="s">
        <v>83</v>
      </c>
      <c r="M189" t="s">
        <v>84</v>
      </c>
      <c r="N189">
        <v>1</v>
      </c>
      <c r="O189" t="b">
        <v>1</v>
      </c>
      <c r="P189">
        <v>0</v>
      </c>
      <c r="BB189">
        <v>0</v>
      </c>
      <c r="BC189" t="s">
        <v>306</v>
      </c>
      <c r="BD189" t="s">
        <v>431</v>
      </c>
      <c r="BE189" t="s">
        <v>117</v>
      </c>
      <c r="BF189">
        <v>0</v>
      </c>
      <c r="BG189">
        <v>15</v>
      </c>
      <c r="BH189">
        <v>10</v>
      </c>
      <c r="BI189" t="s">
        <v>435</v>
      </c>
    </row>
    <row r="190" spans="1:61">
      <c r="A190" s="164" t="s">
        <v>645</v>
      </c>
      <c r="B190" t="s">
        <v>646</v>
      </c>
      <c r="C190">
        <v>0</v>
      </c>
      <c r="D190" t="s">
        <v>304</v>
      </c>
      <c r="E190">
        <v>0</v>
      </c>
      <c r="F190" t="s">
        <v>647</v>
      </c>
      <c r="G190" t="s">
        <v>78</v>
      </c>
      <c r="H190" t="s">
        <v>79</v>
      </c>
      <c r="I190" t="s">
        <v>80</v>
      </c>
      <c r="J190" t="s">
        <v>196</v>
      </c>
      <c r="K190" t="s">
        <v>13</v>
      </c>
      <c r="L190" t="s">
        <v>83</v>
      </c>
      <c r="M190" t="s">
        <v>648</v>
      </c>
      <c r="N190">
        <v>1</v>
      </c>
      <c r="O190" t="b">
        <v>1</v>
      </c>
      <c r="P190">
        <v>0</v>
      </c>
      <c r="BB190">
        <v>0</v>
      </c>
      <c r="BC190" t="s">
        <v>306</v>
      </c>
      <c r="BD190" t="s">
        <v>649</v>
      </c>
      <c r="BE190" t="s">
        <v>117</v>
      </c>
      <c r="BF190">
        <v>0</v>
      </c>
      <c r="BG190">
        <v>5</v>
      </c>
      <c r="BH190">
        <v>42.5</v>
      </c>
      <c r="BI190" t="s">
        <v>650</v>
      </c>
    </row>
    <row r="191" spans="1:61">
      <c r="A191" s="164" t="s">
        <v>651</v>
      </c>
      <c r="B191" t="s">
        <v>652</v>
      </c>
      <c r="C191">
        <v>0</v>
      </c>
      <c r="D191" t="s">
        <v>304</v>
      </c>
      <c r="E191">
        <v>0</v>
      </c>
      <c r="F191" t="s">
        <v>331</v>
      </c>
      <c r="G191" t="s">
        <v>78</v>
      </c>
      <c r="H191" t="s">
        <v>79</v>
      </c>
      <c r="I191" t="s">
        <v>80</v>
      </c>
      <c r="J191" t="s">
        <v>196</v>
      </c>
      <c r="K191" t="s">
        <v>13</v>
      </c>
      <c r="L191" t="s">
        <v>83</v>
      </c>
      <c r="M191" t="s">
        <v>84</v>
      </c>
      <c r="N191">
        <v>1</v>
      </c>
      <c r="O191" t="b">
        <v>1</v>
      </c>
      <c r="P191">
        <v>0</v>
      </c>
      <c r="BB191">
        <v>0</v>
      </c>
      <c r="BC191" t="s">
        <v>306</v>
      </c>
      <c r="BD191" t="s">
        <v>332</v>
      </c>
      <c r="BE191" t="s">
        <v>117</v>
      </c>
      <c r="BF191">
        <v>0</v>
      </c>
      <c r="BG191">
        <v>90</v>
      </c>
      <c r="BH191">
        <v>500000</v>
      </c>
      <c r="BI191" t="s">
        <v>653</v>
      </c>
    </row>
    <row r="192" spans="1:61">
      <c r="A192" s="164" t="s">
        <v>654</v>
      </c>
      <c r="B192" t="s">
        <v>655</v>
      </c>
      <c r="C192">
        <v>0</v>
      </c>
      <c r="D192" t="s">
        <v>304</v>
      </c>
      <c r="E192">
        <v>0</v>
      </c>
      <c r="F192" t="s">
        <v>342</v>
      </c>
      <c r="G192" t="s">
        <v>78</v>
      </c>
      <c r="H192" t="s">
        <v>79</v>
      </c>
      <c r="I192" t="s">
        <v>80</v>
      </c>
      <c r="J192" t="s">
        <v>196</v>
      </c>
      <c r="K192" t="s">
        <v>13</v>
      </c>
      <c r="L192" t="s">
        <v>83</v>
      </c>
      <c r="M192" t="s">
        <v>84</v>
      </c>
      <c r="N192">
        <v>1</v>
      </c>
      <c r="O192" t="b">
        <v>1</v>
      </c>
      <c r="P192">
        <v>0</v>
      </c>
      <c r="BB192">
        <v>0</v>
      </c>
      <c r="BC192" t="s">
        <v>306</v>
      </c>
      <c r="BD192" t="s">
        <v>343</v>
      </c>
      <c r="BE192" t="s">
        <v>117</v>
      </c>
      <c r="BF192">
        <v>0</v>
      </c>
      <c r="BG192">
        <v>25</v>
      </c>
      <c r="BH192">
        <v>10000</v>
      </c>
      <c r="BI192" t="s">
        <v>344</v>
      </c>
    </row>
    <row r="193" spans="1:61">
      <c r="A193" s="164" t="s">
        <v>656</v>
      </c>
      <c r="B193" t="s">
        <v>657</v>
      </c>
      <c r="C193">
        <v>0</v>
      </c>
      <c r="D193" t="s">
        <v>304</v>
      </c>
      <c r="E193">
        <v>0</v>
      </c>
      <c r="F193" t="s">
        <v>342</v>
      </c>
      <c r="G193" t="s">
        <v>78</v>
      </c>
      <c r="H193" t="s">
        <v>79</v>
      </c>
      <c r="I193" t="s">
        <v>80</v>
      </c>
      <c r="J193" t="s">
        <v>196</v>
      </c>
      <c r="K193" t="s">
        <v>13</v>
      </c>
      <c r="L193" t="s">
        <v>83</v>
      </c>
      <c r="M193" t="s">
        <v>84</v>
      </c>
      <c r="N193">
        <v>1</v>
      </c>
      <c r="O193" t="b">
        <v>1</v>
      </c>
      <c r="P193">
        <v>0</v>
      </c>
      <c r="BB193">
        <v>0</v>
      </c>
      <c r="BC193" t="s">
        <v>306</v>
      </c>
      <c r="BD193" t="s">
        <v>343</v>
      </c>
      <c r="BE193" t="s">
        <v>117</v>
      </c>
      <c r="BF193">
        <v>0</v>
      </c>
      <c r="BG193">
        <v>25</v>
      </c>
      <c r="BH193">
        <v>10000</v>
      </c>
      <c r="BI193" t="s">
        <v>344</v>
      </c>
    </row>
    <row r="194" spans="1:61">
      <c r="A194" s="164" t="s">
        <v>658</v>
      </c>
      <c r="B194" t="s">
        <v>659</v>
      </c>
      <c r="C194">
        <v>0</v>
      </c>
      <c r="D194" t="s">
        <v>304</v>
      </c>
      <c r="E194">
        <v>0</v>
      </c>
      <c r="F194" t="s">
        <v>349</v>
      </c>
      <c r="G194" t="s">
        <v>78</v>
      </c>
      <c r="H194" t="s">
        <v>79</v>
      </c>
      <c r="I194" t="s">
        <v>80</v>
      </c>
      <c r="J194" t="s">
        <v>196</v>
      </c>
      <c r="K194" t="s">
        <v>13</v>
      </c>
      <c r="L194" t="s">
        <v>83</v>
      </c>
      <c r="M194" t="s">
        <v>84</v>
      </c>
      <c r="N194">
        <v>1</v>
      </c>
      <c r="O194" t="b">
        <v>1</v>
      </c>
      <c r="P194">
        <v>0</v>
      </c>
      <c r="BB194">
        <v>0</v>
      </c>
      <c r="BC194" t="s">
        <v>306</v>
      </c>
      <c r="BD194" t="s">
        <v>350</v>
      </c>
      <c r="BE194" t="s">
        <v>117</v>
      </c>
      <c r="BF194">
        <v>0</v>
      </c>
      <c r="BG194">
        <v>25</v>
      </c>
      <c r="BH194">
        <v>10000</v>
      </c>
      <c r="BI194" t="s">
        <v>344</v>
      </c>
    </row>
    <row r="195" spans="1:61">
      <c r="A195" s="164" t="s">
        <v>660</v>
      </c>
      <c r="B195" t="s">
        <v>661</v>
      </c>
      <c r="C195">
        <v>0</v>
      </c>
      <c r="D195" t="s">
        <v>304</v>
      </c>
      <c r="E195">
        <v>0</v>
      </c>
      <c r="F195" t="s">
        <v>269</v>
      </c>
      <c r="G195" t="s">
        <v>103</v>
      </c>
      <c r="H195" t="s">
        <v>104</v>
      </c>
      <c r="I195" t="s">
        <v>80</v>
      </c>
      <c r="J195" t="s">
        <v>196</v>
      </c>
      <c r="K195" t="s">
        <v>13</v>
      </c>
      <c r="L195" t="s">
        <v>83</v>
      </c>
      <c r="M195" t="s">
        <v>84</v>
      </c>
      <c r="N195">
        <v>1</v>
      </c>
      <c r="O195" t="b">
        <v>0</v>
      </c>
      <c r="P195">
        <v>0</v>
      </c>
      <c r="BB195">
        <v>0</v>
      </c>
      <c r="BC195" t="s">
        <v>306</v>
      </c>
      <c r="BD195" t="s">
        <v>270</v>
      </c>
      <c r="BE195" t="s">
        <v>117</v>
      </c>
      <c r="BF195">
        <v>0</v>
      </c>
      <c r="BG195">
        <v>0</v>
      </c>
      <c r="BH195">
        <v>0</v>
      </c>
    </row>
    <row r="196" spans="1:61">
      <c r="A196" s="164" t="s">
        <v>662</v>
      </c>
      <c r="B196" t="s">
        <v>663</v>
      </c>
      <c r="C196">
        <v>0</v>
      </c>
      <c r="D196" t="s">
        <v>304</v>
      </c>
      <c r="E196">
        <v>0</v>
      </c>
      <c r="F196" t="s">
        <v>336</v>
      </c>
      <c r="G196" t="s">
        <v>78</v>
      </c>
      <c r="H196" t="s">
        <v>79</v>
      </c>
      <c r="I196" t="s">
        <v>80</v>
      </c>
      <c r="J196" t="s">
        <v>196</v>
      </c>
      <c r="K196" t="s">
        <v>13</v>
      </c>
      <c r="L196" t="s">
        <v>83</v>
      </c>
      <c r="M196" t="s">
        <v>84</v>
      </c>
      <c r="N196">
        <v>1</v>
      </c>
      <c r="O196" t="b">
        <v>1</v>
      </c>
      <c r="P196">
        <v>0</v>
      </c>
      <c r="BB196">
        <v>0</v>
      </c>
      <c r="BC196" t="s">
        <v>306</v>
      </c>
      <c r="BD196" t="s">
        <v>337</v>
      </c>
      <c r="BE196" t="s">
        <v>117</v>
      </c>
      <c r="BF196">
        <v>0</v>
      </c>
      <c r="BG196">
        <v>30</v>
      </c>
      <c r="BH196">
        <v>100000</v>
      </c>
      <c r="BI196" t="s">
        <v>593</v>
      </c>
    </row>
    <row r="197" spans="1:61">
      <c r="A197" s="164" t="s">
        <v>664</v>
      </c>
      <c r="B197" t="s">
        <v>665</v>
      </c>
      <c r="C197">
        <v>0</v>
      </c>
      <c r="D197" t="s">
        <v>304</v>
      </c>
      <c r="E197">
        <v>0</v>
      </c>
      <c r="F197" t="s">
        <v>666</v>
      </c>
      <c r="G197" t="s">
        <v>78</v>
      </c>
      <c r="H197" t="s">
        <v>79</v>
      </c>
      <c r="I197" t="s">
        <v>80</v>
      </c>
      <c r="J197" t="s">
        <v>196</v>
      </c>
      <c r="K197" t="s">
        <v>13</v>
      </c>
      <c r="L197" t="s">
        <v>83</v>
      </c>
      <c r="M197" t="s">
        <v>84</v>
      </c>
      <c r="N197">
        <v>1</v>
      </c>
      <c r="O197" t="b">
        <v>1</v>
      </c>
      <c r="P197">
        <v>0</v>
      </c>
      <c r="BB197">
        <v>0</v>
      </c>
      <c r="BC197" t="s">
        <v>306</v>
      </c>
      <c r="BD197" t="s">
        <v>667</v>
      </c>
      <c r="BE197" t="s">
        <v>117</v>
      </c>
      <c r="BF197">
        <v>0</v>
      </c>
      <c r="BG197">
        <v>45</v>
      </c>
      <c r="BH197">
        <v>60000</v>
      </c>
      <c r="BI197" t="s">
        <v>315</v>
      </c>
    </row>
    <row r="198" spans="1:61">
      <c r="A198" s="164" t="s">
        <v>668</v>
      </c>
      <c r="B198" t="s">
        <v>669</v>
      </c>
      <c r="C198">
        <v>0</v>
      </c>
      <c r="D198" t="s">
        <v>304</v>
      </c>
      <c r="E198">
        <v>0</v>
      </c>
      <c r="F198" t="s">
        <v>670</v>
      </c>
      <c r="G198" t="s">
        <v>78</v>
      </c>
      <c r="H198" t="s">
        <v>79</v>
      </c>
      <c r="I198" t="s">
        <v>80</v>
      </c>
      <c r="J198" t="s">
        <v>196</v>
      </c>
      <c r="K198" t="s">
        <v>13</v>
      </c>
      <c r="L198" t="s">
        <v>83</v>
      </c>
      <c r="M198" t="s">
        <v>205</v>
      </c>
      <c r="N198">
        <v>1</v>
      </c>
      <c r="O198" t="b">
        <v>1</v>
      </c>
      <c r="P198">
        <v>0</v>
      </c>
      <c r="BB198">
        <v>0</v>
      </c>
      <c r="BC198" t="s">
        <v>306</v>
      </c>
      <c r="BD198" t="s">
        <v>671</v>
      </c>
      <c r="BE198" t="s">
        <v>117</v>
      </c>
      <c r="BF198">
        <v>0</v>
      </c>
      <c r="BG198">
        <v>25</v>
      </c>
      <c r="BH198">
        <v>500</v>
      </c>
      <c r="BI198" t="s">
        <v>672</v>
      </c>
    </row>
    <row r="199" spans="1:61">
      <c r="A199" s="164" t="s">
        <v>673</v>
      </c>
      <c r="B199" t="s">
        <v>674</v>
      </c>
      <c r="C199">
        <v>0</v>
      </c>
      <c r="D199" t="s">
        <v>304</v>
      </c>
      <c r="E199">
        <v>0</v>
      </c>
      <c r="F199" t="s">
        <v>670</v>
      </c>
      <c r="G199" t="s">
        <v>78</v>
      </c>
      <c r="H199" t="s">
        <v>79</v>
      </c>
      <c r="I199" t="s">
        <v>80</v>
      </c>
      <c r="J199" t="s">
        <v>196</v>
      </c>
      <c r="K199" t="s">
        <v>13</v>
      </c>
      <c r="L199" t="s">
        <v>83</v>
      </c>
      <c r="M199" t="s">
        <v>205</v>
      </c>
      <c r="N199">
        <v>1</v>
      </c>
      <c r="O199" t="b">
        <v>1</v>
      </c>
      <c r="P199">
        <v>0</v>
      </c>
      <c r="BB199">
        <v>0</v>
      </c>
      <c r="BC199" t="s">
        <v>306</v>
      </c>
      <c r="BD199" t="s">
        <v>671</v>
      </c>
      <c r="BE199" t="s">
        <v>117</v>
      </c>
      <c r="BF199">
        <v>0</v>
      </c>
      <c r="BG199">
        <v>25</v>
      </c>
      <c r="BH199">
        <v>500</v>
      </c>
      <c r="BI199" t="s">
        <v>672</v>
      </c>
    </row>
    <row r="200" spans="1:61">
      <c r="A200" s="164" t="s">
        <v>675</v>
      </c>
      <c r="B200" t="s">
        <v>676</v>
      </c>
      <c r="C200">
        <v>0</v>
      </c>
      <c r="D200" t="s">
        <v>186</v>
      </c>
      <c r="E200">
        <v>0</v>
      </c>
      <c r="F200" t="s">
        <v>186</v>
      </c>
      <c r="G200" t="s">
        <v>78</v>
      </c>
      <c r="H200" t="s">
        <v>79</v>
      </c>
      <c r="I200" t="s">
        <v>80</v>
      </c>
      <c r="J200" t="s">
        <v>163</v>
      </c>
      <c r="K200" t="s">
        <v>82</v>
      </c>
      <c r="L200" t="s">
        <v>83</v>
      </c>
      <c r="M200" t="s">
        <v>84</v>
      </c>
      <c r="N200">
        <v>0.25</v>
      </c>
      <c r="O200" t="b">
        <v>1</v>
      </c>
      <c r="P200">
        <v>180</v>
      </c>
      <c r="Q200" t="s">
        <v>188</v>
      </c>
      <c r="S200">
        <v>0.25</v>
      </c>
      <c r="T200">
        <v>1</v>
      </c>
      <c r="U200" s="36">
        <v>0.78529499999999997</v>
      </c>
      <c r="V200" t="s">
        <v>189</v>
      </c>
      <c r="W200">
        <v>24</v>
      </c>
      <c r="X200">
        <v>0</v>
      </c>
      <c r="Y200">
        <v>54</v>
      </c>
      <c r="Z200">
        <v>1.8518518518518517E-2</v>
      </c>
      <c r="AA200">
        <v>35</v>
      </c>
      <c r="AB200">
        <v>0</v>
      </c>
      <c r="AC200">
        <v>0</v>
      </c>
      <c r="AD200">
        <v>1200</v>
      </c>
      <c r="AE200" t="s">
        <v>677</v>
      </c>
      <c r="AF200" t="s">
        <v>186</v>
      </c>
      <c r="AG200" t="s">
        <v>129</v>
      </c>
      <c r="AH200">
        <v>0</v>
      </c>
      <c r="AI200">
        <v>2.6</v>
      </c>
      <c r="AJ200" t="s">
        <v>167</v>
      </c>
      <c r="AM200">
        <v>3.2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 t="s">
        <v>678</v>
      </c>
      <c r="AY200">
        <v>17.229999999999997</v>
      </c>
      <c r="AZ200">
        <v>0</v>
      </c>
      <c r="BA200" t="s">
        <v>94</v>
      </c>
      <c r="BB200">
        <v>1.57</v>
      </c>
      <c r="BC200" t="s">
        <v>95</v>
      </c>
      <c r="BD200" t="s">
        <v>96</v>
      </c>
      <c r="BE200" t="s">
        <v>97</v>
      </c>
      <c r="BF200">
        <v>1</v>
      </c>
      <c r="BG200">
        <v>0</v>
      </c>
      <c r="BH200">
        <v>0</v>
      </c>
      <c r="BI200" t="s">
        <v>98</v>
      </c>
    </row>
    <row r="201" spans="1:61">
      <c r="A201" s="164" t="s">
        <v>679</v>
      </c>
      <c r="B201" t="s">
        <v>680</v>
      </c>
      <c r="C201">
        <v>0</v>
      </c>
      <c r="D201" t="s">
        <v>186</v>
      </c>
      <c r="E201">
        <v>0</v>
      </c>
      <c r="F201" t="s">
        <v>186</v>
      </c>
      <c r="G201" t="s">
        <v>78</v>
      </c>
      <c r="H201" t="s">
        <v>79</v>
      </c>
      <c r="I201" t="s">
        <v>80</v>
      </c>
      <c r="J201" t="s">
        <v>163</v>
      </c>
      <c r="K201" t="s">
        <v>82</v>
      </c>
      <c r="L201" t="s">
        <v>83</v>
      </c>
      <c r="M201" t="s">
        <v>84</v>
      </c>
      <c r="N201">
        <v>0.5</v>
      </c>
      <c r="O201" t="b">
        <v>1</v>
      </c>
      <c r="P201">
        <v>180</v>
      </c>
      <c r="Q201" t="s">
        <v>188</v>
      </c>
      <c r="S201">
        <v>0.5</v>
      </c>
      <c r="T201">
        <v>1</v>
      </c>
      <c r="U201" s="36">
        <v>1.477565</v>
      </c>
      <c r="V201" t="s">
        <v>189</v>
      </c>
      <c r="W201">
        <v>18</v>
      </c>
      <c r="X201">
        <v>0</v>
      </c>
      <c r="Y201">
        <v>36</v>
      </c>
      <c r="Z201">
        <v>2.7777777777777776E-2</v>
      </c>
      <c r="AA201">
        <v>35</v>
      </c>
      <c r="AB201">
        <v>0</v>
      </c>
      <c r="AC201">
        <v>0</v>
      </c>
      <c r="AD201">
        <v>600</v>
      </c>
      <c r="AE201" t="s">
        <v>677</v>
      </c>
      <c r="AF201" t="s">
        <v>186</v>
      </c>
      <c r="AG201" t="s">
        <v>129</v>
      </c>
      <c r="AH201">
        <v>0</v>
      </c>
      <c r="AI201">
        <v>2.6</v>
      </c>
      <c r="AJ201" t="s">
        <v>167</v>
      </c>
      <c r="AM201">
        <v>3.2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 t="s">
        <v>681</v>
      </c>
      <c r="AY201">
        <v>22.74</v>
      </c>
      <c r="AZ201">
        <v>0</v>
      </c>
      <c r="BA201" t="s">
        <v>94</v>
      </c>
      <c r="BB201">
        <v>2.59</v>
      </c>
      <c r="BC201" t="s">
        <v>95</v>
      </c>
      <c r="BD201" t="s">
        <v>96</v>
      </c>
      <c r="BE201" t="s">
        <v>97</v>
      </c>
      <c r="BF201">
        <v>1</v>
      </c>
      <c r="BG201">
        <v>0</v>
      </c>
      <c r="BH201">
        <v>0</v>
      </c>
      <c r="BI201" t="s">
        <v>98</v>
      </c>
    </row>
    <row r="202" spans="1:61">
      <c r="A202" s="164" t="s">
        <v>682</v>
      </c>
      <c r="B202" t="s">
        <v>683</v>
      </c>
      <c r="C202">
        <v>0</v>
      </c>
      <c r="D202" t="s">
        <v>486</v>
      </c>
      <c r="E202">
        <v>0</v>
      </c>
      <c r="F202" t="s">
        <v>684</v>
      </c>
      <c r="G202" t="s">
        <v>78</v>
      </c>
      <c r="H202" t="s">
        <v>79</v>
      </c>
      <c r="I202" t="s">
        <v>80</v>
      </c>
      <c r="J202" t="s">
        <v>163</v>
      </c>
      <c r="K202" t="s">
        <v>82</v>
      </c>
      <c r="L202" t="s">
        <v>83</v>
      </c>
      <c r="M202" t="s">
        <v>84</v>
      </c>
      <c r="N202">
        <v>0.3</v>
      </c>
      <c r="O202" t="b">
        <v>1</v>
      </c>
      <c r="P202">
        <v>90</v>
      </c>
      <c r="Q202" t="s">
        <v>137</v>
      </c>
      <c r="S202">
        <v>0.3</v>
      </c>
      <c r="T202">
        <v>1</v>
      </c>
      <c r="U202" s="36">
        <v>2.4232300000000002</v>
      </c>
      <c r="V202" t="s">
        <v>165</v>
      </c>
      <c r="X202">
        <v>0</v>
      </c>
      <c r="Y202">
        <v>75</v>
      </c>
      <c r="Z202">
        <v>1.3333333333333334E-2</v>
      </c>
      <c r="AA202">
        <v>35</v>
      </c>
      <c r="AB202">
        <v>0</v>
      </c>
      <c r="AC202">
        <v>0</v>
      </c>
      <c r="AE202" t="s">
        <v>129</v>
      </c>
      <c r="AF202" t="s">
        <v>684</v>
      </c>
      <c r="AG202" t="s">
        <v>129</v>
      </c>
      <c r="AH202">
        <v>0</v>
      </c>
      <c r="AI202">
        <v>10.199999999999999</v>
      </c>
      <c r="AJ202" t="s">
        <v>167</v>
      </c>
      <c r="AM202">
        <v>10.38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 t="s">
        <v>685</v>
      </c>
      <c r="AY202">
        <v>7.3017399999999997</v>
      </c>
      <c r="AZ202">
        <v>2</v>
      </c>
      <c r="BA202" t="s">
        <v>138</v>
      </c>
      <c r="BB202">
        <v>5.29</v>
      </c>
      <c r="BC202" t="s">
        <v>95</v>
      </c>
      <c r="BD202" t="s">
        <v>96</v>
      </c>
      <c r="BE202" t="s">
        <v>97</v>
      </c>
      <c r="BF202">
        <v>1</v>
      </c>
      <c r="BG202">
        <v>0</v>
      </c>
      <c r="BH202">
        <v>0</v>
      </c>
      <c r="BI202" t="s">
        <v>98</v>
      </c>
    </row>
    <row r="203" spans="1:61">
      <c r="A203" s="164" t="s">
        <v>686</v>
      </c>
      <c r="B203" t="s">
        <v>687</v>
      </c>
      <c r="C203">
        <v>0</v>
      </c>
      <c r="D203" t="s">
        <v>175</v>
      </c>
      <c r="E203">
        <v>0</v>
      </c>
      <c r="F203" t="s">
        <v>508</v>
      </c>
      <c r="G203" t="s">
        <v>103</v>
      </c>
      <c r="H203" t="s">
        <v>104</v>
      </c>
      <c r="I203" t="s">
        <v>80</v>
      </c>
      <c r="J203" t="s">
        <v>467</v>
      </c>
      <c r="K203" t="s">
        <v>468</v>
      </c>
      <c r="L203" t="s">
        <v>111</v>
      </c>
      <c r="M203" t="s">
        <v>84</v>
      </c>
      <c r="N203">
        <v>0.39</v>
      </c>
      <c r="O203" t="b">
        <v>0</v>
      </c>
      <c r="P203">
        <v>40</v>
      </c>
      <c r="Q203" t="s">
        <v>479</v>
      </c>
      <c r="S203">
        <v>0.39</v>
      </c>
      <c r="U203" s="36">
        <v>2.1606000000000005</v>
      </c>
      <c r="V203" t="s">
        <v>165</v>
      </c>
      <c r="AI203">
        <v>0</v>
      </c>
      <c r="AZ203">
        <v>0</v>
      </c>
      <c r="BA203" t="s">
        <v>138</v>
      </c>
      <c r="BB203">
        <v>0</v>
      </c>
      <c r="BC203" t="s">
        <v>95</v>
      </c>
      <c r="BD203" t="s">
        <v>469</v>
      </c>
      <c r="BE203" t="s">
        <v>97</v>
      </c>
      <c r="BF203">
        <v>1</v>
      </c>
      <c r="BG203">
        <v>0</v>
      </c>
      <c r="BH203">
        <v>0</v>
      </c>
      <c r="BI203" t="s">
        <v>98</v>
      </c>
    </row>
    <row r="204" spans="1:61">
      <c r="A204" s="164" t="s">
        <v>688</v>
      </c>
      <c r="B204" t="s">
        <v>689</v>
      </c>
      <c r="C204">
        <v>0</v>
      </c>
      <c r="D204" t="s">
        <v>479</v>
      </c>
      <c r="E204">
        <v>0</v>
      </c>
      <c r="F204" t="s">
        <v>480</v>
      </c>
      <c r="G204" t="s">
        <v>78</v>
      </c>
      <c r="H204" t="s">
        <v>79</v>
      </c>
      <c r="I204" t="s">
        <v>80</v>
      </c>
      <c r="J204" t="s">
        <v>467</v>
      </c>
      <c r="K204" t="s">
        <v>468</v>
      </c>
      <c r="L204" t="s">
        <v>111</v>
      </c>
      <c r="M204" t="s">
        <v>84</v>
      </c>
      <c r="N204">
        <v>0.6</v>
      </c>
      <c r="O204" t="b">
        <v>0</v>
      </c>
      <c r="P204">
        <v>60</v>
      </c>
      <c r="Q204" t="s">
        <v>479</v>
      </c>
      <c r="S204">
        <v>0.6</v>
      </c>
      <c r="T204">
        <v>1</v>
      </c>
      <c r="U204" s="36">
        <v>3.4317950000000002</v>
      </c>
      <c r="V204" t="s">
        <v>165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H204">
        <v>0</v>
      </c>
      <c r="AI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Y204">
        <v>0</v>
      </c>
      <c r="AZ204">
        <v>0</v>
      </c>
      <c r="BA204" t="s">
        <v>138</v>
      </c>
      <c r="BB204">
        <v>0</v>
      </c>
      <c r="BC204" t="s">
        <v>95</v>
      </c>
      <c r="BD204" t="s">
        <v>96</v>
      </c>
      <c r="BE204" t="s">
        <v>97</v>
      </c>
      <c r="BF204">
        <v>1</v>
      </c>
      <c r="BG204">
        <v>0</v>
      </c>
      <c r="BH204">
        <v>0</v>
      </c>
      <c r="BI204" t="s">
        <v>98</v>
      </c>
    </row>
    <row r="205" spans="1:61">
      <c r="A205" s="164" t="s">
        <v>690</v>
      </c>
      <c r="B205" t="s">
        <v>691</v>
      </c>
      <c r="C205">
        <v>0</v>
      </c>
      <c r="D205" t="s">
        <v>175</v>
      </c>
      <c r="E205">
        <v>0</v>
      </c>
      <c r="F205" t="s">
        <v>508</v>
      </c>
      <c r="G205" t="s">
        <v>103</v>
      </c>
      <c r="H205" t="s">
        <v>104</v>
      </c>
      <c r="I205" t="s">
        <v>80</v>
      </c>
      <c r="J205" t="s">
        <v>467</v>
      </c>
      <c r="K205" t="s">
        <v>468</v>
      </c>
      <c r="L205" t="s">
        <v>111</v>
      </c>
      <c r="M205" t="s">
        <v>84</v>
      </c>
      <c r="N205">
        <v>0.2</v>
      </c>
      <c r="O205" t="b">
        <v>0</v>
      </c>
      <c r="P205">
        <v>40</v>
      </c>
      <c r="Q205" t="s">
        <v>479</v>
      </c>
      <c r="S205">
        <v>0.39</v>
      </c>
      <c r="U205" s="36">
        <v>0.98099999999999998</v>
      </c>
      <c r="V205" t="s">
        <v>165</v>
      </c>
      <c r="AI205">
        <v>0</v>
      </c>
      <c r="AZ205">
        <v>0</v>
      </c>
      <c r="BA205" t="s">
        <v>138</v>
      </c>
      <c r="BB205">
        <v>0</v>
      </c>
      <c r="BC205" t="s">
        <v>95</v>
      </c>
      <c r="BD205" t="s">
        <v>469</v>
      </c>
      <c r="BE205" t="s">
        <v>97</v>
      </c>
      <c r="BF205">
        <v>1</v>
      </c>
      <c r="BG205">
        <v>0</v>
      </c>
      <c r="BH205">
        <v>0</v>
      </c>
      <c r="BI205" t="s">
        <v>98</v>
      </c>
    </row>
    <row r="206" spans="1:61">
      <c r="A206" s="164" t="s">
        <v>692</v>
      </c>
      <c r="B206" t="s">
        <v>693</v>
      </c>
      <c r="C206">
        <v>0</v>
      </c>
      <c r="D206" t="s">
        <v>107</v>
      </c>
      <c r="E206">
        <v>0</v>
      </c>
      <c r="F206" t="s">
        <v>108</v>
      </c>
      <c r="G206" t="s">
        <v>103</v>
      </c>
      <c r="H206" t="s">
        <v>104</v>
      </c>
      <c r="I206" t="s">
        <v>80</v>
      </c>
      <c r="J206" t="s">
        <v>81</v>
      </c>
      <c r="K206" t="s">
        <v>468</v>
      </c>
      <c r="L206" t="s">
        <v>111</v>
      </c>
      <c r="M206" t="s">
        <v>84</v>
      </c>
      <c r="N206">
        <v>2.7</v>
      </c>
      <c r="O206" t="b">
        <v>0</v>
      </c>
      <c r="P206">
        <v>45</v>
      </c>
      <c r="Q206" t="s">
        <v>85</v>
      </c>
      <c r="S206">
        <v>0</v>
      </c>
      <c r="T206">
        <v>1</v>
      </c>
      <c r="V206" t="s">
        <v>87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G206" t="s">
        <v>129</v>
      </c>
      <c r="AH206">
        <v>0</v>
      </c>
      <c r="AI206">
        <v>0.6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Y206">
        <v>0</v>
      </c>
      <c r="AZ206">
        <v>0</v>
      </c>
      <c r="BA206" t="s">
        <v>94</v>
      </c>
      <c r="BB206">
        <v>0</v>
      </c>
      <c r="BC206" t="s">
        <v>95</v>
      </c>
      <c r="BD206" t="s">
        <v>469</v>
      </c>
      <c r="BE206" t="s">
        <v>97</v>
      </c>
      <c r="BF206">
        <v>0</v>
      </c>
      <c r="BG206">
        <v>0</v>
      </c>
      <c r="BH206">
        <v>0</v>
      </c>
      <c r="BI206" t="s">
        <v>98</v>
      </c>
    </row>
    <row r="207" spans="1:61">
      <c r="A207" s="164" t="s">
        <v>694</v>
      </c>
      <c r="B207" t="s">
        <v>695</v>
      </c>
      <c r="C207">
        <v>0</v>
      </c>
      <c r="D207" t="s">
        <v>107</v>
      </c>
      <c r="E207">
        <v>0</v>
      </c>
      <c r="F207" t="s">
        <v>120</v>
      </c>
      <c r="G207" t="s">
        <v>78</v>
      </c>
      <c r="H207" t="s">
        <v>79</v>
      </c>
      <c r="I207" t="s">
        <v>80</v>
      </c>
      <c r="J207" t="s">
        <v>81</v>
      </c>
      <c r="K207" t="s">
        <v>82</v>
      </c>
      <c r="L207" t="s">
        <v>83</v>
      </c>
      <c r="M207" t="s">
        <v>84</v>
      </c>
      <c r="N207">
        <v>0.4</v>
      </c>
      <c r="O207" t="b">
        <v>1</v>
      </c>
      <c r="P207">
        <v>45</v>
      </c>
      <c r="Q207" t="s">
        <v>85</v>
      </c>
      <c r="S207">
        <v>0.4</v>
      </c>
      <c r="U207" s="36">
        <v>0.79842499999999994</v>
      </c>
      <c r="V207" t="s">
        <v>87</v>
      </c>
      <c r="AF207" t="s">
        <v>121</v>
      </c>
      <c r="AI207">
        <v>0.9</v>
      </c>
      <c r="AZ207">
        <v>0</v>
      </c>
      <c r="BA207" t="s">
        <v>94</v>
      </c>
      <c r="BB207">
        <v>2.89</v>
      </c>
      <c r="BC207" t="s">
        <v>95</v>
      </c>
      <c r="BD207" t="s">
        <v>96</v>
      </c>
      <c r="BE207" t="s">
        <v>97</v>
      </c>
      <c r="BF207">
        <v>1</v>
      </c>
      <c r="BG207">
        <v>0</v>
      </c>
      <c r="BH207">
        <v>0</v>
      </c>
      <c r="BI207" t="s">
        <v>98</v>
      </c>
    </row>
    <row r="208" spans="1:61">
      <c r="A208" s="164" t="s">
        <v>696</v>
      </c>
      <c r="B208" t="s">
        <v>697</v>
      </c>
      <c r="C208">
        <v>0</v>
      </c>
      <c r="D208" t="s">
        <v>194</v>
      </c>
      <c r="E208">
        <v>0</v>
      </c>
      <c r="F208" t="s">
        <v>195</v>
      </c>
      <c r="G208" t="s">
        <v>78</v>
      </c>
      <c r="H208" t="s">
        <v>79</v>
      </c>
      <c r="I208" t="s">
        <v>80</v>
      </c>
      <c r="J208" t="s">
        <v>196</v>
      </c>
      <c r="K208" t="s">
        <v>13</v>
      </c>
      <c r="L208" t="s">
        <v>83</v>
      </c>
      <c r="M208" t="s">
        <v>84</v>
      </c>
      <c r="N208">
        <v>1</v>
      </c>
      <c r="O208" t="b">
        <v>1</v>
      </c>
      <c r="P208">
        <v>0</v>
      </c>
      <c r="BB208">
        <v>0</v>
      </c>
      <c r="BC208" t="s">
        <v>197</v>
      </c>
      <c r="BD208" t="s">
        <v>198</v>
      </c>
      <c r="BE208" t="s">
        <v>117</v>
      </c>
      <c r="BF208">
        <v>0</v>
      </c>
      <c r="BG208">
        <v>0</v>
      </c>
      <c r="BH208">
        <v>0</v>
      </c>
    </row>
    <row r="209" spans="1:60">
      <c r="A209" s="164" t="s">
        <v>698</v>
      </c>
      <c r="B209" t="s">
        <v>699</v>
      </c>
      <c r="C209">
        <v>0</v>
      </c>
      <c r="D209" t="s">
        <v>194</v>
      </c>
      <c r="E209">
        <v>0</v>
      </c>
      <c r="F209" t="s">
        <v>195</v>
      </c>
      <c r="G209" t="s">
        <v>78</v>
      </c>
      <c r="H209" t="s">
        <v>79</v>
      </c>
      <c r="I209" t="s">
        <v>80</v>
      </c>
      <c r="J209" t="s">
        <v>196</v>
      </c>
      <c r="K209" t="s">
        <v>13</v>
      </c>
      <c r="L209" t="s">
        <v>83</v>
      </c>
      <c r="M209" t="s">
        <v>205</v>
      </c>
      <c r="N209">
        <v>1</v>
      </c>
      <c r="O209" t="b">
        <v>1</v>
      </c>
      <c r="P209">
        <v>0</v>
      </c>
      <c r="BB209">
        <v>0</v>
      </c>
      <c r="BC209" t="s">
        <v>197</v>
      </c>
      <c r="BD209" t="s">
        <v>198</v>
      </c>
      <c r="BE209" t="s">
        <v>117</v>
      </c>
      <c r="BF209">
        <v>0</v>
      </c>
      <c r="BG209">
        <v>0</v>
      </c>
      <c r="BH209">
        <v>0</v>
      </c>
    </row>
    <row r="210" spans="1:60">
      <c r="A210" s="164" t="s">
        <v>700</v>
      </c>
      <c r="B210" t="s">
        <v>701</v>
      </c>
      <c r="C210">
        <v>0</v>
      </c>
      <c r="D210" t="s">
        <v>194</v>
      </c>
      <c r="E210">
        <v>0</v>
      </c>
      <c r="F210" t="s">
        <v>195</v>
      </c>
      <c r="G210" t="s">
        <v>78</v>
      </c>
      <c r="H210" t="s">
        <v>79</v>
      </c>
      <c r="I210" t="s">
        <v>80</v>
      </c>
      <c r="J210" t="s">
        <v>196</v>
      </c>
      <c r="K210" t="s">
        <v>13</v>
      </c>
      <c r="L210" t="s">
        <v>83</v>
      </c>
      <c r="M210" t="s">
        <v>84</v>
      </c>
      <c r="N210">
        <v>1</v>
      </c>
      <c r="O210" t="b">
        <v>1</v>
      </c>
      <c r="P210">
        <v>0</v>
      </c>
      <c r="BB210">
        <v>0</v>
      </c>
      <c r="BC210" t="s">
        <v>197</v>
      </c>
      <c r="BD210" t="s">
        <v>198</v>
      </c>
      <c r="BE210" t="s">
        <v>117</v>
      </c>
      <c r="BF210">
        <v>0</v>
      </c>
      <c r="BG210">
        <v>0</v>
      </c>
      <c r="BH210">
        <v>0</v>
      </c>
    </row>
    <row r="211" spans="1:60">
      <c r="A211" s="164" t="s">
        <v>702</v>
      </c>
      <c r="B211" t="s">
        <v>703</v>
      </c>
      <c r="C211">
        <v>0</v>
      </c>
      <c r="D211" t="s">
        <v>194</v>
      </c>
      <c r="E211">
        <v>0</v>
      </c>
      <c r="F211" t="s">
        <v>195</v>
      </c>
      <c r="G211" t="s">
        <v>78</v>
      </c>
      <c r="H211" t="s">
        <v>79</v>
      </c>
      <c r="I211" t="s">
        <v>80</v>
      </c>
      <c r="J211" t="s">
        <v>196</v>
      </c>
      <c r="K211" t="s">
        <v>13</v>
      </c>
      <c r="L211" t="s">
        <v>83</v>
      </c>
      <c r="M211" t="s">
        <v>84</v>
      </c>
      <c r="N211">
        <v>1</v>
      </c>
      <c r="O211" t="b">
        <v>1</v>
      </c>
      <c r="P211">
        <v>0</v>
      </c>
      <c r="BB211">
        <v>0</v>
      </c>
      <c r="BC211" t="s">
        <v>197</v>
      </c>
      <c r="BD211" t="s">
        <v>198</v>
      </c>
      <c r="BE211" t="s">
        <v>117</v>
      </c>
      <c r="BF211">
        <v>0</v>
      </c>
      <c r="BG211">
        <v>0</v>
      </c>
      <c r="BH211">
        <v>0</v>
      </c>
    </row>
    <row r="212" spans="1:60">
      <c r="A212" s="164" t="s">
        <v>704</v>
      </c>
      <c r="B212" t="s">
        <v>705</v>
      </c>
      <c r="C212">
        <v>0</v>
      </c>
      <c r="D212" t="s">
        <v>194</v>
      </c>
      <c r="E212">
        <v>0</v>
      </c>
      <c r="F212" t="s">
        <v>195</v>
      </c>
      <c r="G212" t="s">
        <v>78</v>
      </c>
      <c r="H212" t="s">
        <v>79</v>
      </c>
      <c r="I212" t="s">
        <v>80</v>
      </c>
      <c r="J212" t="s">
        <v>196</v>
      </c>
      <c r="K212" t="s">
        <v>13</v>
      </c>
      <c r="L212" t="s">
        <v>83</v>
      </c>
      <c r="M212" t="s">
        <v>205</v>
      </c>
      <c r="N212">
        <v>1</v>
      </c>
      <c r="O212" t="b">
        <v>1</v>
      </c>
      <c r="P212">
        <v>0</v>
      </c>
      <c r="BB212">
        <v>0</v>
      </c>
      <c r="BC212" t="s">
        <v>197</v>
      </c>
      <c r="BD212" t="s">
        <v>198</v>
      </c>
      <c r="BE212" t="s">
        <v>117</v>
      </c>
      <c r="BF212">
        <v>0</v>
      </c>
      <c r="BG212">
        <v>0</v>
      </c>
      <c r="BH212">
        <v>0</v>
      </c>
    </row>
    <row r="213" spans="1:60">
      <c r="A213" s="164" t="s">
        <v>706</v>
      </c>
      <c r="B213" t="s">
        <v>707</v>
      </c>
      <c r="C213">
        <v>0</v>
      </c>
      <c r="D213" t="s">
        <v>194</v>
      </c>
      <c r="E213">
        <v>0</v>
      </c>
      <c r="F213" t="s">
        <v>195</v>
      </c>
      <c r="G213" t="s">
        <v>78</v>
      </c>
      <c r="H213" t="s">
        <v>79</v>
      </c>
      <c r="I213" t="s">
        <v>80</v>
      </c>
      <c r="J213" t="s">
        <v>196</v>
      </c>
      <c r="K213" t="s">
        <v>13</v>
      </c>
      <c r="L213" t="s">
        <v>83</v>
      </c>
      <c r="M213" t="s">
        <v>215</v>
      </c>
      <c r="N213">
        <v>1</v>
      </c>
      <c r="O213" t="b">
        <v>1</v>
      </c>
      <c r="P213">
        <v>0</v>
      </c>
      <c r="BB213">
        <v>0</v>
      </c>
      <c r="BC213" t="s">
        <v>197</v>
      </c>
      <c r="BD213" t="s">
        <v>198</v>
      </c>
      <c r="BE213" t="s">
        <v>117</v>
      </c>
      <c r="BF213">
        <v>0</v>
      </c>
      <c r="BG213">
        <v>0</v>
      </c>
      <c r="BH213">
        <v>0</v>
      </c>
    </row>
    <row r="214" spans="1:60">
      <c r="A214" s="164" t="s">
        <v>708</v>
      </c>
      <c r="B214" t="s">
        <v>709</v>
      </c>
      <c r="C214">
        <v>0</v>
      </c>
      <c r="D214" t="s">
        <v>194</v>
      </c>
      <c r="E214">
        <v>0</v>
      </c>
      <c r="F214" t="s">
        <v>214</v>
      </c>
      <c r="G214" t="s">
        <v>78</v>
      </c>
      <c r="H214" t="s">
        <v>79</v>
      </c>
      <c r="I214" t="s">
        <v>80</v>
      </c>
      <c r="J214" t="s">
        <v>196</v>
      </c>
      <c r="K214" t="s">
        <v>13</v>
      </c>
      <c r="L214" t="s">
        <v>83</v>
      </c>
      <c r="M214" t="s">
        <v>215</v>
      </c>
      <c r="N214">
        <v>1</v>
      </c>
      <c r="O214" t="b">
        <v>1</v>
      </c>
      <c r="P214">
        <v>0</v>
      </c>
      <c r="BB214">
        <v>0</v>
      </c>
      <c r="BC214" t="s">
        <v>197</v>
      </c>
      <c r="BD214" t="s">
        <v>216</v>
      </c>
      <c r="BE214" t="s">
        <v>117</v>
      </c>
      <c r="BF214">
        <v>0</v>
      </c>
      <c r="BG214">
        <v>0</v>
      </c>
      <c r="BH214">
        <v>0</v>
      </c>
    </row>
    <row r="215" spans="1:60">
      <c r="A215" s="164" t="s">
        <v>710</v>
      </c>
      <c r="B215" t="s">
        <v>711</v>
      </c>
      <c r="C215">
        <v>0</v>
      </c>
      <c r="D215" t="s">
        <v>194</v>
      </c>
      <c r="E215">
        <v>0</v>
      </c>
      <c r="F215" t="s">
        <v>214</v>
      </c>
      <c r="G215" t="s">
        <v>78</v>
      </c>
      <c r="H215" t="s">
        <v>79</v>
      </c>
      <c r="I215" t="s">
        <v>80</v>
      </c>
      <c r="J215" t="s">
        <v>196</v>
      </c>
      <c r="K215" t="s">
        <v>13</v>
      </c>
      <c r="L215" t="s">
        <v>83</v>
      </c>
      <c r="M215" t="s">
        <v>215</v>
      </c>
      <c r="N215">
        <v>1</v>
      </c>
      <c r="O215" t="b">
        <v>1</v>
      </c>
      <c r="P215">
        <v>0</v>
      </c>
      <c r="BB215">
        <v>0</v>
      </c>
      <c r="BC215" t="s">
        <v>197</v>
      </c>
      <c r="BD215" t="s">
        <v>216</v>
      </c>
      <c r="BE215" t="s">
        <v>117</v>
      </c>
      <c r="BF215">
        <v>0</v>
      </c>
      <c r="BG215">
        <v>0</v>
      </c>
      <c r="BH215">
        <v>0</v>
      </c>
    </row>
    <row r="216" spans="1:60">
      <c r="A216" s="164" t="s">
        <v>712</v>
      </c>
      <c r="B216" t="s">
        <v>713</v>
      </c>
      <c r="C216">
        <v>0</v>
      </c>
      <c r="D216" t="s">
        <v>194</v>
      </c>
      <c r="E216">
        <v>0</v>
      </c>
      <c r="F216" t="s">
        <v>195</v>
      </c>
      <c r="G216" t="s">
        <v>78</v>
      </c>
      <c r="H216" t="s">
        <v>79</v>
      </c>
      <c r="I216" t="s">
        <v>80</v>
      </c>
      <c r="J216" t="s">
        <v>196</v>
      </c>
      <c r="K216" t="s">
        <v>13</v>
      </c>
      <c r="L216" t="s">
        <v>83</v>
      </c>
      <c r="M216" t="s">
        <v>205</v>
      </c>
      <c r="N216">
        <v>1</v>
      </c>
      <c r="O216" t="b">
        <v>1</v>
      </c>
      <c r="P216">
        <v>0</v>
      </c>
      <c r="BB216">
        <v>0</v>
      </c>
      <c r="BC216" t="s">
        <v>197</v>
      </c>
      <c r="BD216" t="s">
        <v>198</v>
      </c>
      <c r="BE216" t="s">
        <v>117</v>
      </c>
      <c r="BF216">
        <v>0</v>
      </c>
      <c r="BG216">
        <v>0</v>
      </c>
      <c r="BH216">
        <v>0</v>
      </c>
    </row>
    <row r="217" spans="1:60">
      <c r="A217" s="164" t="s">
        <v>714</v>
      </c>
      <c r="B217" t="s">
        <v>715</v>
      </c>
      <c r="C217">
        <v>0</v>
      </c>
      <c r="D217" t="s">
        <v>194</v>
      </c>
      <c r="E217">
        <v>0</v>
      </c>
      <c r="F217" t="s">
        <v>233</v>
      </c>
      <c r="G217" t="s">
        <v>78</v>
      </c>
      <c r="H217" t="s">
        <v>79</v>
      </c>
      <c r="I217" t="s">
        <v>80</v>
      </c>
      <c r="J217" t="s">
        <v>196</v>
      </c>
      <c r="K217" t="s">
        <v>13</v>
      </c>
      <c r="L217" t="s">
        <v>83</v>
      </c>
      <c r="M217" t="s">
        <v>84</v>
      </c>
      <c r="N217">
        <v>1</v>
      </c>
      <c r="O217" t="b">
        <v>1</v>
      </c>
      <c r="P217">
        <v>0</v>
      </c>
      <c r="BB217">
        <v>0</v>
      </c>
      <c r="BC217" t="s">
        <v>197</v>
      </c>
      <c r="BD217" t="s">
        <v>234</v>
      </c>
      <c r="BE217" t="s">
        <v>117</v>
      </c>
      <c r="BF217">
        <v>0</v>
      </c>
      <c r="BG217">
        <v>0</v>
      </c>
      <c r="BH217">
        <v>0</v>
      </c>
    </row>
    <row r="218" spans="1:60">
      <c r="A218" s="164" t="s">
        <v>716</v>
      </c>
      <c r="B218" t="s">
        <v>717</v>
      </c>
      <c r="C218">
        <v>0</v>
      </c>
      <c r="D218" t="s">
        <v>194</v>
      </c>
      <c r="E218">
        <v>0</v>
      </c>
      <c r="F218" t="s">
        <v>214</v>
      </c>
      <c r="G218" t="s">
        <v>78</v>
      </c>
      <c r="H218" t="s">
        <v>79</v>
      </c>
      <c r="I218" t="s">
        <v>80</v>
      </c>
      <c r="J218" t="s">
        <v>196</v>
      </c>
      <c r="K218" t="s">
        <v>13</v>
      </c>
      <c r="L218" t="s">
        <v>83</v>
      </c>
      <c r="M218" t="s">
        <v>215</v>
      </c>
      <c r="N218">
        <v>1</v>
      </c>
      <c r="O218" t="b">
        <v>1</v>
      </c>
      <c r="P218">
        <v>0</v>
      </c>
      <c r="BB218">
        <v>0</v>
      </c>
      <c r="BC218" t="s">
        <v>197</v>
      </c>
      <c r="BD218" t="s">
        <v>216</v>
      </c>
      <c r="BE218" t="s">
        <v>117</v>
      </c>
      <c r="BF218">
        <v>0</v>
      </c>
      <c r="BG218">
        <v>0</v>
      </c>
      <c r="BH218">
        <v>0</v>
      </c>
    </row>
    <row r="219" spans="1:60">
      <c r="A219" s="164" t="s">
        <v>718</v>
      </c>
      <c r="B219" t="s">
        <v>719</v>
      </c>
      <c r="C219">
        <v>0</v>
      </c>
      <c r="D219" t="s">
        <v>194</v>
      </c>
      <c r="E219">
        <v>0</v>
      </c>
      <c r="F219" t="s">
        <v>214</v>
      </c>
      <c r="G219" t="s">
        <v>78</v>
      </c>
      <c r="H219" t="s">
        <v>79</v>
      </c>
      <c r="I219" t="s">
        <v>80</v>
      </c>
      <c r="J219" t="s">
        <v>196</v>
      </c>
      <c r="K219" t="s">
        <v>13</v>
      </c>
      <c r="L219" t="s">
        <v>83</v>
      </c>
      <c r="M219" t="s">
        <v>215</v>
      </c>
      <c r="N219">
        <v>1</v>
      </c>
      <c r="O219" t="b">
        <v>1</v>
      </c>
      <c r="P219">
        <v>0</v>
      </c>
      <c r="BB219">
        <v>0</v>
      </c>
      <c r="BC219" t="s">
        <v>197</v>
      </c>
      <c r="BD219" t="s">
        <v>216</v>
      </c>
      <c r="BE219" t="s">
        <v>117</v>
      </c>
      <c r="BF219">
        <v>0</v>
      </c>
      <c r="BG219">
        <v>0</v>
      </c>
      <c r="BH219">
        <v>0</v>
      </c>
    </row>
    <row r="220" spans="1:60">
      <c r="A220" s="164" t="s">
        <v>720</v>
      </c>
      <c r="B220" t="s">
        <v>721</v>
      </c>
      <c r="C220">
        <v>0</v>
      </c>
      <c r="D220" t="s">
        <v>194</v>
      </c>
      <c r="E220">
        <v>0</v>
      </c>
      <c r="F220" t="s">
        <v>214</v>
      </c>
      <c r="G220" t="s">
        <v>78</v>
      </c>
      <c r="H220" t="s">
        <v>79</v>
      </c>
      <c r="I220" t="s">
        <v>80</v>
      </c>
      <c r="J220" t="s">
        <v>196</v>
      </c>
      <c r="K220" t="s">
        <v>13</v>
      </c>
      <c r="L220" t="s">
        <v>83</v>
      </c>
      <c r="M220" t="s">
        <v>215</v>
      </c>
      <c r="N220">
        <v>1</v>
      </c>
      <c r="O220" t="b">
        <v>1</v>
      </c>
      <c r="P220">
        <v>0</v>
      </c>
      <c r="BB220">
        <v>0</v>
      </c>
      <c r="BC220" t="s">
        <v>197</v>
      </c>
      <c r="BD220" t="s">
        <v>216</v>
      </c>
      <c r="BE220" t="s">
        <v>117</v>
      </c>
      <c r="BF220">
        <v>0</v>
      </c>
      <c r="BG220">
        <v>0</v>
      </c>
      <c r="BH220">
        <v>0</v>
      </c>
    </row>
    <row r="221" spans="1:60">
      <c r="A221" s="164" t="s">
        <v>722</v>
      </c>
      <c r="B221" t="s">
        <v>723</v>
      </c>
      <c r="C221">
        <v>0</v>
      </c>
      <c r="D221" t="s">
        <v>194</v>
      </c>
      <c r="E221">
        <v>0</v>
      </c>
      <c r="F221" t="s">
        <v>214</v>
      </c>
      <c r="G221" t="s">
        <v>78</v>
      </c>
      <c r="H221" t="s">
        <v>79</v>
      </c>
      <c r="I221" t="s">
        <v>80</v>
      </c>
      <c r="J221" t="s">
        <v>196</v>
      </c>
      <c r="K221" t="s">
        <v>13</v>
      </c>
      <c r="L221" t="s">
        <v>83</v>
      </c>
      <c r="M221" t="s">
        <v>84</v>
      </c>
      <c r="N221">
        <v>1</v>
      </c>
      <c r="O221" t="b">
        <v>1</v>
      </c>
      <c r="P221">
        <v>0</v>
      </c>
      <c r="BB221">
        <v>0</v>
      </c>
      <c r="BC221" t="s">
        <v>197</v>
      </c>
      <c r="BD221" t="s">
        <v>216</v>
      </c>
      <c r="BE221" t="s">
        <v>117</v>
      </c>
      <c r="BF221">
        <v>0</v>
      </c>
      <c r="BG221">
        <v>0</v>
      </c>
      <c r="BH221">
        <v>0</v>
      </c>
    </row>
    <row r="222" spans="1:60">
      <c r="A222" s="164" t="s">
        <v>724</v>
      </c>
      <c r="B222" t="s">
        <v>725</v>
      </c>
      <c r="C222">
        <v>0</v>
      </c>
      <c r="D222" t="s">
        <v>194</v>
      </c>
      <c r="E222">
        <v>0</v>
      </c>
      <c r="F222" t="s">
        <v>195</v>
      </c>
      <c r="G222" t="s">
        <v>78</v>
      </c>
      <c r="H222" t="s">
        <v>79</v>
      </c>
      <c r="I222" t="s">
        <v>80</v>
      </c>
      <c r="J222" t="s">
        <v>196</v>
      </c>
      <c r="K222" t="s">
        <v>13</v>
      </c>
      <c r="L222" t="s">
        <v>83</v>
      </c>
      <c r="M222" t="s">
        <v>205</v>
      </c>
      <c r="N222">
        <v>1</v>
      </c>
      <c r="O222" t="b">
        <v>1</v>
      </c>
      <c r="P222">
        <v>0</v>
      </c>
      <c r="BB222">
        <v>0</v>
      </c>
      <c r="BC222" t="s">
        <v>197</v>
      </c>
      <c r="BD222" t="s">
        <v>198</v>
      </c>
      <c r="BE222" t="s">
        <v>117</v>
      </c>
      <c r="BF222">
        <v>0</v>
      </c>
      <c r="BG222">
        <v>0</v>
      </c>
      <c r="BH222">
        <v>0</v>
      </c>
    </row>
    <row r="223" spans="1:60">
      <c r="A223" s="164" t="s">
        <v>726</v>
      </c>
      <c r="B223" t="s">
        <v>727</v>
      </c>
      <c r="C223">
        <v>0</v>
      </c>
      <c r="D223" t="s">
        <v>194</v>
      </c>
      <c r="E223">
        <v>0</v>
      </c>
      <c r="F223" t="s">
        <v>195</v>
      </c>
      <c r="G223" t="s">
        <v>78</v>
      </c>
      <c r="H223" t="s">
        <v>79</v>
      </c>
      <c r="I223" t="s">
        <v>80</v>
      </c>
      <c r="J223" t="s">
        <v>196</v>
      </c>
      <c r="K223" t="s">
        <v>13</v>
      </c>
      <c r="L223" t="s">
        <v>83</v>
      </c>
      <c r="M223" t="s">
        <v>84</v>
      </c>
      <c r="N223">
        <v>1</v>
      </c>
      <c r="O223" t="b">
        <v>1</v>
      </c>
      <c r="P223">
        <v>0</v>
      </c>
      <c r="BB223">
        <v>0</v>
      </c>
      <c r="BC223" t="s">
        <v>197</v>
      </c>
      <c r="BD223" t="s">
        <v>198</v>
      </c>
      <c r="BE223" t="s">
        <v>117</v>
      </c>
      <c r="BF223">
        <v>0</v>
      </c>
      <c r="BG223">
        <v>0</v>
      </c>
      <c r="BH223">
        <v>0</v>
      </c>
    </row>
    <row r="224" spans="1:60">
      <c r="A224" s="164" t="s">
        <v>728</v>
      </c>
      <c r="B224" t="s">
        <v>729</v>
      </c>
      <c r="C224">
        <v>0</v>
      </c>
      <c r="D224" t="s">
        <v>194</v>
      </c>
      <c r="E224">
        <v>0</v>
      </c>
      <c r="F224" t="s">
        <v>195</v>
      </c>
      <c r="G224" t="s">
        <v>78</v>
      </c>
      <c r="H224" t="s">
        <v>79</v>
      </c>
      <c r="I224" t="s">
        <v>80</v>
      </c>
      <c r="J224" t="s">
        <v>196</v>
      </c>
      <c r="K224" t="s">
        <v>13</v>
      </c>
      <c r="L224" t="s">
        <v>83</v>
      </c>
      <c r="M224" t="s">
        <v>84</v>
      </c>
      <c r="N224">
        <v>1</v>
      </c>
      <c r="O224" t="b">
        <v>1</v>
      </c>
      <c r="P224">
        <v>0</v>
      </c>
      <c r="BB224">
        <v>0</v>
      </c>
      <c r="BC224" t="s">
        <v>197</v>
      </c>
      <c r="BD224" t="s">
        <v>198</v>
      </c>
      <c r="BE224" t="s">
        <v>117</v>
      </c>
      <c r="BF224">
        <v>0</v>
      </c>
      <c r="BG224">
        <v>0</v>
      </c>
      <c r="BH224">
        <v>0</v>
      </c>
    </row>
    <row r="225" spans="1:61">
      <c r="A225" s="164" t="s">
        <v>730</v>
      </c>
      <c r="B225" t="s">
        <v>731</v>
      </c>
      <c r="C225">
        <v>0</v>
      </c>
      <c r="D225" t="s">
        <v>76</v>
      </c>
      <c r="E225">
        <v>0</v>
      </c>
      <c r="F225" t="s">
        <v>77</v>
      </c>
      <c r="G225" t="s">
        <v>78</v>
      </c>
      <c r="H225" t="s">
        <v>79</v>
      </c>
      <c r="I225" t="s">
        <v>80</v>
      </c>
      <c r="J225" t="s">
        <v>81</v>
      </c>
      <c r="K225" t="s">
        <v>82</v>
      </c>
      <c r="L225" t="s">
        <v>83</v>
      </c>
      <c r="M225" t="s">
        <v>84</v>
      </c>
      <c r="N225">
        <v>0.15</v>
      </c>
      <c r="O225" t="b">
        <v>1</v>
      </c>
      <c r="P225">
        <v>45</v>
      </c>
      <c r="Q225" t="s">
        <v>85</v>
      </c>
      <c r="S225">
        <v>0.14499999999999999</v>
      </c>
      <c r="T225">
        <v>0.87878787878787867</v>
      </c>
      <c r="U225" s="36">
        <v>0.20925500000000002</v>
      </c>
      <c r="V225" t="s">
        <v>87</v>
      </c>
      <c r="W225">
        <v>150</v>
      </c>
      <c r="X225">
        <v>0.45</v>
      </c>
      <c r="Y225">
        <v>60</v>
      </c>
      <c r="Z225">
        <v>1.6666666666666666E-2</v>
      </c>
      <c r="AA225">
        <v>30</v>
      </c>
      <c r="AB225">
        <v>0</v>
      </c>
      <c r="AC225">
        <v>500</v>
      </c>
      <c r="AD225">
        <v>3448.2758620689656</v>
      </c>
      <c r="AE225" t="s">
        <v>88</v>
      </c>
      <c r="AF225" t="s">
        <v>89</v>
      </c>
      <c r="AG225" t="s">
        <v>732</v>
      </c>
      <c r="AH225">
        <v>0</v>
      </c>
      <c r="AI225">
        <v>1</v>
      </c>
      <c r="AJ225" t="s">
        <v>91</v>
      </c>
      <c r="AK225" t="s">
        <v>92</v>
      </c>
      <c r="AL225" t="s">
        <v>93</v>
      </c>
      <c r="AM225">
        <v>0.33631111111111106</v>
      </c>
      <c r="AN225">
        <v>0.22420740740740738</v>
      </c>
      <c r="AO225">
        <v>0.34752148148148143</v>
      </c>
      <c r="AP225">
        <v>0</v>
      </c>
      <c r="AQ225">
        <v>8.6691086691086688E-2</v>
      </c>
      <c r="AR225">
        <v>2.6666666666666505E-3</v>
      </c>
      <c r="AS225">
        <v>0</v>
      </c>
      <c r="AT225">
        <v>1.0866910866910866</v>
      </c>
      <c r="AU225">
        <v>1.0026666666666666</v>
      </c>
      <c r="AV225">
        <v>1</v>
      </c>
      <c r="AW225">
        <v>0</v>
      </c>
      <c r="AY225">
        <v>15.98</v>
      </c>
      <c r="AZ225">
        <v>4</v>
      </c>
      <c r="BA225" t="s">
        <v>94</v>
      </c>
      <c r="BB225">
        <v>0</v>
      </c>
      <c r="BC225" t="s">
        <v>95</v>
      </c>
      <c r="BD225" t="s">
        <v>96</v>
      </c>
      <c r="BE225" t="s">
        <v>97</v>
      </c>
      <c r="BF225">
        <v>1</v>
      </c>
      <c r="BG225">
        <v>0</v>
      </c>
      <c r="BH225">
        <v>0</v>
      </c>
      <c r="BI225" t="s">
        <v>98</v>
      </c>
    </row>
    <row r="226" spans="1:61">
      <c r="A226" s="164" t="s">
        <v>733</v>
      </c>
      <c r="B226" t="s">
        <v>734</v>
      </c>
      <c r="C226">
        <v>0</v>
      </c>
      <c r="D226" t="s">
        <v>479</v>
      </c>
      <c r="E226">
        <v>0</v>
      </c>
      <c r="F226" t="s">
        <v>480</v>
      </c>
      <c r="G226" t="s">
        <v>103</v>
      </c>
      <c r="H226" t="s">
        <v>104</v>
      </c>
      <c r="I226" t="s">
        <v>80</v>
      </c>
      <c r="J226" t="s">
        <v>81</v>
      </c>
      <c r="K226" t="s">
        <v>82</v>
      </c>
      <c r="L226" t="s">
        <v>83</v>
      </c>
      <c r="M226" t="s">
        <v>84</v>
      </c>
      <c r="O226" t="b">
        <v>0</v>
      </c>
      <c r="Q226" t="s">
        <v>479</v>
      </c>
      <c r="U226" s="36">
        <v>3.8494200000000003</v>
      </c>
      <c r="AI226">
        <v>0</v>
      </c>
      <c r="BB226">
        <v>0</v>
      </c>
      <c r="BC226" t="s">
        <v>95</v>
      </c>
      <c r="BD226" t="s">
        <v>469</v>
      </c>
      <c r="BE226" t="s">
        <v>97</v>
      </c>
      <c r="BF226">
        <v>1</v>
      </c>
      <c r="BG226">
        <v>0</v>
      </c>
      <c r="BH226">
        <v>0</v>
      </c>
      <c r="BI226" t="s">
        <v>98</v>
      </c>
    </row>
    <row r="227" spans="1:61">
      <c r="A227" s="164" t="s">
        <v>735</v>
      </c>
      <c r="B227" t="s">
        <v>100</v>
      </c>
      <c r="C227">
        <v>0</v>
      </c>
      <c r="D227" t="s">
        <v>101</v>
      </c>
      <c r="E227">
        <v>0</v>
      </c>
      <c r="F227" t="s">
        <v>102</v>
      </c>
      <c r="G227" t="s">
        <v>78</v>
      </c>
      <c r="H227" t="s">
        <v>79</v>
      </c>
      <c r="I227" t="s">
        <v>80</v>
      </c>
      <c r="J227" t="s">
        <v>81</v>
      </c>
      <c r="K227" t="s">
        <v>82</v>
      </c>
      <c r="L227" t="s">
        <v>83</v>
      </c>
      <c r="M227" t="s">
        <v>84</v>
      </c>
      <c r="N227">
        <v>0.158</v>
      </c>
      <c r="O227" t="b">
        <v>1</v>
      </c>
      <c r="P227">
        <v>45</v>
      </c>
      <c r="Q227" t="s">
        <v>85</v>
      </c>
      <c r="R227" t="s">
        <v>86</v>
      </c>
      <c r="S227">
        <v>0.14499999999999999</v>
      </c>
      <c r="T227">
        <v>0.88957055214723912</v>
      </c>
      <c r="U227" s="36">
        <v>0.32181499999999996</v>
      </c>
      <c r="V227" t="s">
        <v>87</v>
      </c>
      <c r="W227">
        <v>150</v>
      </c>
      <c r="X227">
        <v>0.45</v>
      </c>
      <c r="Y227">
        <v>60</v>
      </c>
      <c r="Z227">
        <v>1.6666666666666666E-2</v>
      </c>
      <c r="AA227">
        <v>30</v>
      </c>
      <c r="AB227">
        <v>0</v>
      </c>
      <c r="AC227">
        <v>500</v>
      </c>
      <c r="AD227">
        <v>3448.2758620689656</v>
      </c>
      <c r="AE227" t="s">
        <v>88</v>
      </c>
      <c r="AF227" t="s">
        <v>513</v>
      </c>
      <c r="AG227" t="s">
        <v>514</v>
      </c>
      <c r="AH227">
        <v>0</v>
      </c>
      <c r="AI227">
        <v>0.8</v>
      </c>
      <c r="AJ227" t="s">
        <v>91</v>
      </c>
      <c r="AK227" t="s">
        <v>92</v>
      </c>
      <c r="AL227" t="s">
        <v>93</v>
      </c>
      <c r="AM227">
        <v>0.33631111111111106</v>
      </c>
      <c r="AN227">
        <v>0.22420740740740738</v>
      </c>
      <c r="AO227">
        <v>0.34752148148148143</v>
      </c>
      <c r="AP227">
        <v>0</v>
      </c>
      <c r="AQ227">
        <v>8.6691086691086688E-2</v>
      </c>
      <c r="AR227">
        <v>2.6666666666666505E-3</v>
      </c>
      <c r="AS227">
        <v>0</v>
      </c>
      <c r="AT227">
        <v>1.0866910866910866</v>
      </c>
      <c r="AU227">
        <v>1.0026666666666666</v>
      </c>
      <c r="AV227">
        <v>1</v>
      </c>
      <c r="AW227">
        <v>0</v>
      </c>
      <c r="AZ227">
        <v>6</v>
      </c>
      <c r="BA227" t="s">
        <v>94</v>
      </c>
      <c r="BB227">
        <v>0</v>
      </c>
      <c r="BC227" t="s">
        <v>95</v>
      </c>
      <c r="BD227" t="s">
        <v>96</v>
      </c>
      <c r="BE227" t="s">
        <v>97</v>
      </c>
      <c r="BF227">
        <v>1</v>
      </c>
      <c r="BG227">
        <v>0</v>
      </c>
      <c r="BH227">
        <v>0</v>
      </c>
      <c r="BI227" t="s">
        <v>98</v>
      </c>
    </row>
    <row r="228" spans="1:61">
      <c r="A228" s="164" t="s">
        <v>736</v>
      </c>
      <c r="B228" t="s">
        <v>737</v>
      </c>
      <c r="C228">
        <v>0</v>
      </c>
      <c r="D228" t="s">
        <v>486</v>
      </c>
      <c r="E228">
        <v>0</v>
      </c>
      <c r="F228" t="s">
        <v>738</v>
      </c>
      <c r="G228" t="s">
        <v>78</v>
      </c>
      <c r="H228" t="s">
        <v>79</v>
      </c>
      <c r="I228" t="s">
        <v>80</v>
      </c>
      <c r="J228" t="s">
        <v>163</v>
      </c>
      <c r="K228" t="s">
        <v>82</v>
      </c>
      <c r="L228" t="s">
        <v>83</v>
      </c>
      <c r="M228" t="s">
        <v>205</v>
      </c>
      <c r="N228">
        <v>1</v>
      </c>
      <c r="O228" t="b">
        <v>1</v>
      </c>
      <c r="P228">
        <v>90</v>
      </c>
      <c r="Q228" t="s">
        <v>137</v>
      </c>
      <c r="S228">
        <v>1</v>
      </c>
      <c r="T228">
        <v>1</v>
      </c>
      <c r="U228" s="36">
        <v>7.1118300000000003</v>
      </c>
      <c r="V228" t="s">
        <v>165</v>
      </c>
      <c r="X228">
        <v>0</v>
      </c>
      <c r="Y228">
        <v>27</v>
      </c>
      <c r="Z228">
        <v>0.1</v>
      </c>
      <c r="AA228">
        <v>20</v>
      </c>
      <c r="AB228">
        <v>0</v>
      </c>
      <c r="AC228">
        <v>0</v>
      </c>
      <c r="AE228" t="s">
        <v>129</v>
      </c>
      <c r="AF228" t="s">
        <v>738</v>
      </c>
      <c r="AG228" t="s">
        <v>129</v>
      </c>
      <c r="AH228">
        <v>0</v>
      </c>
      <c r="AI228">
        <v>9.8000000000000007</v>
      </c>
      <c r="AJ228" t="s">
        <v>167</v>
      </c>
      <c r="AM228">
        <v>10.67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 t="s">
        <v>739</v>
      </c>
      <c r="AY228">
        <v>11.78</v>
      </c>
      <c r="AZ228">
        <v>0</v>
      </c>
      <c r="BA228" t="s">
        <v>138</v>
      </c>
      <c r="BB228">
        <v>8.84</v>
      </c>
      <c r="BC228" t="s">
        <v>95</v>
      </c>
      <c r="BD228" t="s">
        <v>96</v>
      </c>
      <c r="BE228" t="s">
        <v>97</v>
      </c>
      <c r="BF228">
        <v>2.7</v>
      </c>
      <c r="BG228">
        <v>0</v>
      </c>
      <c r="BH228">
        <v>0</v>
      </c>
      <c r="BI228" t="s">
        <v>98</v>
      </c>
    </row>
    <row r="229" spans="1:61">
      <c r="A229" s="164" t="s">
        <v>740</v>
      </c>
      <c r="B229" t="s">
        <v>741</v>
      </c>
      <c r="C229">
        <v>0</v>
      </c>
      <c r="D229" t="s">
        <v>107</v>
      </c>
      <c r="E229">
        <v>0</v>
      </c>
      <c r="F229" t="s">
        <v>742</v>
      </c>
      <c r="G229" t="s">
        <v>103</v>
      </c>
      <c r="H229" t="s">
        <v>104</v>
      </c>
      <c r="I229" t="s">
        <v>80</v>
      </c>
      <c r="J229" t="s">
        <v>81</v>
      </c>
      <c r="K229" t="s">
        <v>82</v>
      </c>
      <c r="L229" t="s">
        <v>83</v>
      </c>
      <c r="M229" t="s">
        <v>84</v>
      </c>
      <c r="N229">
        <v>0.18</v>
      </c>
      <c r="O229" t="b">
        <v>0</v>
      </c>
      <c r="P229">
        <v>45</v>
      </c>
      <c r="Q229" t="s">
        <v>85</v>
      </c>
      <c r="S229">
        <v>0.18</v>
      </c>
      <c r="T229">
        <v>1</v>
      </c>
      <c r="U229" s="36">
        <v>0.21914</v>
      </c>
      <c r="V229" t="s">
        <v>87</v>
      </c>
      <c r="W229">
        <v>0</v>
      </c>
      <c r="X229">
        <v>0.38897500000000002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143</v>
      </c>
      <c r="AF229" t="s">
        <v>113</v>
      </c>
      <c r="AG229" t="s">
        <v>129</v>
      </c>
      <c r="AH229">
        <v>0</v>
      </c>
      <c r="AI229">
        <v>0.9</v>
      </c>
      <c r="AJ229" t="s">
        <v>91</v>
      </c>
      <c r="AK229" t="s">
        <v>92</v>
      </c>
      <c r="AL229" t="s">
        <v>93</v>
      </c>
      <c r="AM229">
        <v>0.34043629629629629</v>
      </c>
      <c r="AN229">
        <v>0.22695753086419751</v>
      </c>
      <c r="AO229">
        <v>0.35178417283950614</v>
      </c>
      <c r="AP229">
        <v>0</v>
      </c>
      <c r="AQ229">
        <v>8.6691086691086688E-2</v>
      </c>
      <c r="AR229">
        <v>2.6666666666666505E-3</v>
      </c>
      <c r="AS229">
        <v>0</v>
      </c>
      <c r="AT229">
        <v>1.0866910866910866</v>
      </c>
      <c r="AU229">
        <v>1.0026666666666666</v>
      </c>
      <c r="AV229">
        <v>1</v>
      </c>
      <c r="AW229">
        <v>0</v>
      </c>
      <c r="AY229">
        <v>0</v>
      </c>
      <c r="AZ229">
        <v>3</v>
      </c>
      <c r="BA229" t="s">
        <v>94</v>
      </c>
      <c r="BB229">
        <v>0</v>
      </c>
      <c r="BC229" t="s">
        <v>95</v>
      </c>
      <c r="BD229" t="s">
        <v>96</v>
      </c>
      <c r="BE229" t="s">
        <v>97</v>
      </c>
      <c r="BF229">
        <v>0</v>
      </c>
      <c r="BG229">
        <v>0</v>
      </c>
      <c r="BH229">
        <v>0</v>
      </c>
      <c r="BI229" t="s">
        <v>98</v>
      </c>
    </row>
    <row r="230" spans="1:61">
      <c r="A230" s="164" t="s">
        <v>743</v>
      </c>
      <c r="B230" t="s">
        <v>744</v>
      </c>
      <c r="C230">
        <v>0</v>
      </c>
      <c r="D230" t="s">
        <v>161</v>
      </c>
      <c r="E230">
        <v>0</v>
      </c>
      <c r="F230" t="s">
        <v>745</v>
      </c>
      <c r="G230" t="s">
        <v>103</v>
      </c>
      <c r="H230" t="s">
        <v>104</v>
      </c>
      <c r="I230" t="s">
        <v>80</v>
      </c>
      <c r="J230" t="s">
        <v>163</v>
      </c>
      <c r="K230" t="s">
        <v>82</v>
      </c>
      <c r="L230" t="s">
        <v>83</v>
      </c>
      <c r="M230" t="s">
        <v>84</v>
      </c>
      <c r="N230">
        <v>0.7</v>
      </c>
      <c r="O230" t="b">
        <v>0</v>
      </c>
      <c r="P230">
        <v>30</v>
      </c>
      <c r="Q230" t="s">
        <v>137</v>
      </c>
      <c r="S230">
        <v>0</v>
      </c>
      <c r="T230">
        <v>1</v>
      </c>
      <c r="V230" t="s">
        <v>87</v>
      </c>
      <c r="X230">
        <v>0</v>
      </c>
      <c r="Z230">
        <v>3.7037037037037035E-2</v>
      </c>
      <c r="AB230">
        <v>0</v>
      </c>
      <c r="AC230">
        <v>0</v>
      </c>
      <c r="AE230" t="s">
        <v>129</v>
      </c>
      <c r="AF230" t="s">
        <v>745</v>
      </c>
      <c r="AG230" t="s">
        <v>129</v>
      </c>
      <c r="AH230">
        <v>0</v>
      </c>
      <c r="AI230">
        <v>0</v>
      </c>
      <c r="AJ230" t="s">
        <v>493</v>
      </c>
      <c r="AM230">
        <v>0</v>
      </c>
      <c r="AN230">
        <v>0</v>
      </c>
      <c r="AO230">
        <v>0</v>
      </c>
      <c r="AP230">
        <v>0</v>
      </c>
      <c r="AQ230">
        <v>4.8346055979643761E-2</v>
      </c>
      <c r="AR230">
        <v>0</v>
      </c>
      <c r="AS230">
        <v>0</v>
      </c>
      <c r="AT230">
        <v>1.0483460559796438</v>
      </c>
      <c r="AU230">
        <v>0</v>
      </c>
      <c r="AV230">
        <v>0</v>
      </c>
      <c r="AW230">
        <v>0</v>
      </c>
      <c r="AY230">
        <v>0</v>
      </c>
      <c r="AZ230">
        <v>0</v>
      </c>
      <c r="BA230" t="s">
        <v>138</v>
      </c>
      <c r="BB230">
        <v>0</v>
      </c>
      <c r="BC230" t="s">
        <v>95</v>
      </c>
      <c r="BD230" t="s">
        <v>96</v>
      </c>
      <c r="BE230" t="s">
        <v>97</v>
      </c>
      <c r="BF230">
        <v>0</v>
      </c>
      <c r="BG230">
        <v>0</v>
      </c>
      <c r="BH230">
        <v>0</v>
      </c>
      <c r="BI230" t="s">
        <v>98</v>
      </c>
    </row>
    <row r="231" spans="1:61">
      <c r="A231" s="164" t="s">
        <v>746</v>
      </c>
      <c r="B231" t="s">
        <v>747</v>
      </c>
      <c r="C231">
        <v>0</v>
      </c>
      <c r="D231" t="s">
        <v>748</v>
      </c>
      <c r="E231">
        <v>0</v>
      </c>
      <c r="F231" t="s">
        <v>748</v>
      </c>
      <c r="G231" t="s">
        <v>103</v>
      </c>
      <c r="H231" t="s">
        <v>104</v>
      </c>
      <c r="I231" t="s">
        <v>80</v>
      </c>
      <c r="J231" t="s">
        <v>81</v>
      </c>
      <c r="K231" t="s">
        <v>82</v>
      </c>
      <c r="L231" t="s">
        <v>83</v>
      </c>
      <c r="M231" t="s">
        <v>84</v>
      </c>
      <c r="N231">
        <v>0.16</v>
      </c>
      <c r="O231" t="b">
        <v>1</v>
      </c>
      <c r="P231">
        <v>90</v>
      </c>
      <c r="Q231" t="s">
        <v>188</v>
      </c>
      <c r="R231" t="s">
        <v>86</v>
      </c>
      <c r="S231">
        <v>0.16</v>
      </c>
      <c r="T231">
        <v>1</v>
      </c>
      <c r="V231" t="s">
        <v>87</v>
      </c>
      <c r="W231">
        <v>180</v>
      </c>
      <c r="X231">
        <v>0.45</v>
      </c>
      <c r="Y231">
        <v>43</v>
      </c>
      <c r="Z231">
        <v>2.3255813953488372E-2</v>
      </c>
      <c r="AA231">
        <v>30</v>
      </c>
      <c r="AB231">
        <v>0</v>
      </c>
      <c r="AC231">
        <v>500</v>
      </c>
      <c r="AD231">
        <v>3125</v>
      </c>
      <c r="AE231" t="s">
        <v>88</v>
      </c>
      <c r="AF231" t="s">
        <v>749</v>
      </c>
      <c r="AG231" t="s">
        <v>750</v>
      </c>
      <c r="AH231">
        <v>0</v>
      </c>
      <c r="AI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t="s">
        <v>751</v>
      </c>
      <c r="AY231">
        <v>0</v>
      </c>
      <c r="AZ231">
        <v>7</v>
      </c>
      <c r="BA231" t="s">
        <v>94</v>
      </c>
      <c r="BB231">
        <v>0</v>
      </c>
      <c r="BC231" t="s">
        <v>95</v>
      </c>
      <c r="BD231" t="s">
        <v>96</v>
      </c>
      <c r="BE231" t="s">
        <v>97</v>
      </c>
      <c r="BF231">
        <v>0</v>
      </c>
      <c r="BG231">
        <v>0</v>
      </c>
      <c r="BH231">
        <v>0</v>
      </c>
      <c r="BI231" t="s">
        <v>98</v>
      </c>
    </row>
    <row r="232" spans="1:61">
      <c r="A232" s="164" t="s">
        <v>752</v>
      </c>
      <c r="B232" t="s">
        <v>753</v>
      </c>
      <c r="C232">
        <v>0</v>
      </c>
      <c r="D232" t="s">
        <v>486</v>
      </c>
      <c r="E232">
        <v>0</v>
      </c>
      <c r="F232" t="s">
        <v>754</v>
      </c>
      <c r="G232" t="s">
        <v>78</v>
      </c>
      <c r="H232" t="s">
        <v>79</v>
      </c>
      <c r="I232" t="s">
        <v>80</v>
      </c>
      <c r="J232" t="s">
        <v>163</v>
      </c>
      <c r="K232" t="s">
        <v>82</v>
      </c>
      <c r="L232" t="s">
        <v>83</v>
      </c>
      <c r="M232" t="s">
        <v>84</v>
      </c>
      <c r="N232">
        <v>1</v>
      </c>
      <c r="O232" t="b">
        <v>1</v>
      </c>
      <c r="P232">
        <v>60</v>
      </c>
      <c r="Q232" t="s">
        <v>137</v>
      </c>
      <c r="S232">
        <v>1</v>
      </c>
      <c r="T232">
        <v>1</v>
      </c>
      <c r="U232" s="36">
        <v>7.6642950000000001</v>
      </c>
      <c r="V232" t="s">
        <v>165</v>
      </c>
      <c r="X232">
        <v>0</v>
      </c>
      <c r="Y232">
        <v>30</v>
      </c>
      <c r="Z232">
        <v>3.3333333333333333E-2</v>
      </c>
      <c r="AA232">
        <v>20</v>
      </c>
      <c r="AB232">
        <v>0</v>
      </c>
      <c r="AC232">
        <v>0</v>
      </c>
      <c r="AE232" t="s">
        <v>129</v>
      </c>
      <c r="AF232" t="s">
        <v>754</v>
      </c>
      <c r="AG232" t="s">
        <v>129</v>
      </c>
      <c r="AH232">
        <v>0</v>
      </c>
      <c r="AI232">
        <v>10.199999999999999</v>
      </c>
      <c r="AJ232" t="s">
        <v>167</v>
      </c>
      <c r="AM232">
        <v>11.03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 t="s">
        <v>755</v>
      </c>
      <c r="AY232">
        <v>28.527999999999999</v>
      </c>
      <c r="AZ232">
        <v>7</v>
      </c>
      <c r="BA232" t="s">
        <v>138</v>
      </c>
      <c r="BB232">
        <v>14.38</v>
      </c>
      <c r="BC232" t="s">
        <v>95</v>
      </c>
      <c r="BD232" t="s">
        <v>96</v>
      </c>
      <c r="BE232" t="s">
        <v>97</v>
      </c>
      <c r="BF232">
        <v>1</v>
      </c>
      <c r="BG232">
        <v>0</v>
      </c>
      <c r="BH232">
        <v>0</v>
      </c>
      <c r="BI232" t="s">
        <v>98</v>
      </c>
    </row>
    <row r="233" spans="1:61">
      <c r="A233" s="164" t="s">
        <v>756</v>
      </c>
      <c r="B233" t="s">
        <v>757</v>
      </c>
      <c r="C233">
        <v>0</v>
      </c>
      <c r="D233" t="s">
        <v>175</v>
      </c>
      <c r="E233">
        <v>0</v>
      </c>
      <c r="F233" t="s">
        <v>758</v>
      </c>
      <c r="G233" t="s">
        <v>103</v>
      </c>
      <c r="H233" t="s">
        <v>104</v>
      </c>
      <c r="I233" t="s">
        <v>80</v>
      </c>
      <c r="J233" t="s">
        <v>109</v>
      </c>
      <c r="K233" t="s">
        <v>110</v>
      </c>
      <c r="L233" t="s">
        <v>111</v>
      </c>
      <c r="M233" t="s">
        <v>84</v>
      </c>
      <c r="N233">
        <v>1.4000000000000001</v>
      </c>
      <c r="O233" t="b">
        <v>0</v>
      </c>
      <c r="P233">
        <v>40</v>
      </c>
      <c r="Q233" t="s">
        <v>137</v>
      </c>
      <c r="S233">
        <v>0</v>
      </c>
      <c r="T233">
        <v>0</v>
      </c>
      <c r="V233" t="s">
        <v>165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F233" t="s">
        <v>759</v>
      </c>
      <c r="AH233">
        <v>0</v>
      </c>
      <c r="AI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t="s">
        <v>760</v>
      </c>
      <c r="AY233">
        <v>0</v>
      </c>
      <c r="AZ233">
        <v>0</v>
      </c>
      <c r="BA233" t="s">
        <v>138</v>
      </c>
      <c r="BB233">
        <v>14.46</v>
      </c>
      <c r="BC233" t="s">
        <v>115</v>
      </c>
      <c r="BD233" t="s">
        <v>116</v>
      </c>
      <c r="BE233" t="s">
        <v>117</v>
      </c>
      <c r="BF233">
        <v>0</v>
      </c>
      <c r="BG233">
        <v>0</v>
      </c>
      <c r="BH233">
        <v>0</v>
      </c>
      <c r="BI233" t="s">
        <v>98</v>
      </c>
    </row>
    <row r="234" spans="1:61">
      <c r="A234" s="164" t="s">
        <v>761</v>
      </c>
      <c r="B234" t="s">
        <v>762</v>
      </c>
      <c r="C234">
        <v>0</v>
      </c>
      <c r="D234" t="s">
        <v>175</v>
      </c>
      <c r="E234">
        <v>0</v>
      </c>
      <c r="F234" t="s">
        <v>758</v>
      </c>
      <c r="G234" t="s">
        <v>103</v>
      </c>
      <c r="H234" t="s">
        <v>104</v>
      </c>
      <c r="I234" t="s">
        <v>80</v>
      </c>
      <c r="J234" t="s">
        <v>109</v>
      </c>
      <c r="K234" t="s">
        <v>110</v>
      </c>
      <c r="L234" t="s">
        <v>111</v>
      </c>
      <c r="M234" t="s">
        <v>84</v>
      </c>
      <c r="N234">
        <v>2.0999999999999996</v>
      </c>
      <c r="O234" t="b">
        <v>0</v>
      </c>
      <c r="P234">
        <v>40</v>
      </c>
      <c r="Q234" t="s">
        <v>137</v>
      </c>
      <c r="S234">
        <v>0</v>
      </c>
      <c r="T234">
        <v>0</v>
      </c>
      <c r="V234" t="s">
        <v>165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F234" t="s">
        <v>763</v>
      </c>
      <c r="AH234">
        <v>0</v>
      </c>
      <c r="AI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t="s">
        <v>764</v>
      </c>
      <c r="AY234">
        <v>0</v>
      </c>
      <c r="AZ234">
        <v>0</v>
      </c>
      <c r="BA234" t="s">
        <v>138</v>
      </c>
      <c r="BB234">
        <v>0</v>
      </c>
      <c r="BC234" t="s">
        <v>115</v>
      </c>
      <c r="BD234" t="s">
        <v>116</v>
      </c>
      <c r="BE234" t="s">
        <v>117</v>
      </c>
      <c r="BF234">
        <v>0</v>
      </c>
      <c r="BG234">
        <v>0</v>
      </c>
      <c r="BH234">
        <v>0</v>
      </c>
      <c r="BI234" t="s">
        <v>98</v>
      </c>
    </row>
    <row r="235" spans="1:61">
      <c r="A235" s="164" t="s">
        <v>765</v>
      </c>
      <c r="B235" t="s">
        <v>766</v>
      </c>
      <c r="C235">
        <v>0</v>
      </c>
      <c r="D235" t="s">
        <v>107</v>
      </c>
      <c r="E235">
        <v>0</v>
      </c>
      <c r="F235" t="s">
        <v>767</v>
      </c>
      <c r="G235" t="s">
        <v>78</v>
      </c>
      <c r="H235" t="s">
        <v>79</v>
      </c>
      <c r="I235" t="s">
        <v>80</v>
      </c>
      <c r="J235" t="s">
        <v>81</v>
      </c>
      <c r="K235" t="s">
        <v>82</v>
      </c>
      <c r="L235" t="s">
        <v>83</v>
      </c>
      <c r="M235" t="s">
        <v>84</v>
      </c>
      <c r="N235">
        <v>0.95</v>
      </c>
      <c r="O235" t="b">
        <v>1</v>
      </c>
      <c r="P235">
        <v>45</v>
      </c>
      <c r="Q235" t="s">
        <v>85</v>
      </c>
      <c r="R235" t="s">
        <v>86</v>
      </c>
      <c r="S235">
        <v>0.95</v>
      </c>
      <c r="T235">
        <v>1</v>
      </c>
      <c r="U235" s="36">
        <v>1.062665</v>
      </c>
      <c r="V235" t="s">
        <v>87</v>
      </c>
      <c r="W235">
        <v>24</v>
      </c>
      <c r="X235">
        <v>0.45019999999999999</v>
      </c>
      <c r="Y235">
        <v>18</v>
      </c>
      <c r="Z235">
        <v>5.5555555555555552E-2</v>
      </c>
      <c r="AA235">
        <v>30</v>
      </c>
      <c r="AB235">
        <v>0</v>
      </c>
      <c r="AC235">
        <v>500</v>
      </c>
      <c r="AD235">
        <v>526.31578947368428</v>
      </c>
      <c r="AE235" t="s">
        <v>155</v>
      </c>
      <c r="AF235" t="s">
        <v>768</v>
      </c>
      <c r="AG235" t="s">
        <v>769</v>
      </c>
      <c r="AH235">
        <v>0</v>
      </c>
      <c r="AI235">
        <v>1</v>
      </c>
      <c r="AJ235" t="s">
        <v>91</v>
      </c>
      <c r="AK235" t="s">
        <v>92</v>
      </c>
      <c r="AL235" t="s">
        <v>93</v>
      </c>
      <c r="AM235">
        <v>0</v>
      </c>
      <c r="AN235">
        <v>0</v>
      </c>
      <c r="AO235">
        <v>0.99590000000000001</v>
      </c>
      <c r="AP235">
        <v>0</v>
      </c>
      <c r="AQ235">
        <v>8.6691086691086688E-2</v>
      </c>
      <c r="AR235">
        <v>2.6666666666666505E-3</v>
      </c>
      <c r="AS235">
        <v>0</v>
      </c>
      <c r="AT235">
        <v>1.0866910866910866</v>
      </c>
      <c r="AU235">
        <v>1.0026666666666666</v>
      </c>
      <c r="AV235">
        <v>1</v>
      </c>
      <c r="AW235">
        <v>0</v>
      </c>
      <c r="AX235" t="s">
        <v>770</v>
      </c>
      <c r="AY235">
        <v>53.4</v>
      </c>
      <c r="AZ235">
        <v>0</v>
      </c>
      <c r="BA235" t="s">
        <v>94</v>
      </c>
      <c r="BB235">
        <v>2.87</v>
      </c>
      <c r="BC235" t="s">
        <v>95</v>
      </c>
      <c r="BD235" t="s">
        <v>139</v>
      </c>
      <c r="BE235" t="s">
        <v>97</v>
      </c>
      <c r="BF235">
        <v>1</v>
      </c>
      <c r="BG235">
        <v>0</v>
      </c>
      <c r="BH235">
        <v>0</v>
      </c>
      <c r="BI235" t="s">
        <v>98</v>
      </c>
    </row>
    <row r="236" spans="1:61">
      <c r="A236" s="164" t="s">
        <v>771</v>
      </c>
      <c r="B236" t="s">
        <v>772</v>
      </c>
      <c r="C236">
        <v>0</v>
      </c>
      <c r="D236" t="s">
        <v>147</v>
      </c>
      <c r="E236">
        <v>0</v>
      </c>
      <c r="F236" t="s">
        <v>773</v>
      </c>
      <c r="G236" t="s">
        <v>78</v>
      </c>
      <c r="H236" t="s">
        <v>79</v>
      </c>
      <c r="I236" t="s">
        <v>80</v>
      </c>
      <c r="J236" t="s">
        <v>774</v>
      </c>
      <c r="K236" t="s">
        <v>775</v>
      </c>
      <c r="L236" t="s">
        <v>83</v>
      </c>
      <c r="M236" t="s">
        <v>84</v>
      </c>
      <c r="N236">
        <v>0.9</v>
      </c>
      <c r="O236" t="b">
        <v>1</v>
      </c>
      <c r="P236">
        <v>45</v>
      </c>
      <c r="Q236" t="s">
        <v>85</v>
      </c>
      <c r="R236" t="s">
        <v>86</v>
      </c>
      <c r="S236">
        <v>0.9</v>
      </c>
      <c r="T236">
        <v>1</v>
      </c>
      <c r="U236" s="36">
        <v>1.50911</v>
      </c>
      <c r="V236" t="s">
        <v>87</v>
      </c>
      <c r="W236">
        <v>0</v>
      </c>
      <c r="X236">
        <v>0</v>
      </c>
      <c r="Y236">
        <v>18</v>
      </c>
      <c r="Z236">
        <v>5.5555555555555552E-2</v>
      </c>
      <c r="AA236">
        <v>30</v>
      </c>
      <c r="AB236">
        <v>0</v>
      </c>
      <c r="AC236">
        <v>0</v>
      </c>
      <c r="AD236">
        <v>0</v>
      </c>
      <c r="AG236" t="s">
        <v>129</v>
      </c>
      <c r="AH236">
        <v>0</v>
      </c>
      <c r="AI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t="s">
        <v>776</v>
      </c>
      <c r="AY236">
        <v>6.3</v>
      </c>
      <c r="AZ236">
        <v>0</v>
      </c>
      <c r="BA236" t="s">
        <v>94</v>
      </c>
      <c r="BB236">
        <v>4.16</v>
      </c>
      <c r="BC236" t="s">
        <v>95</v>
      </c>
      <c r="BD236" t="s">
        <v>139</v>
      </c>
      <c r="BE236" t="s">
        <v>97</v>
      </c>
      <c r="BF236">
        <v>1</v>
      </c>
      <c r="BG236">
        <v>0</v>
      </c>
      <c r="BH236">
        <v>0</v>
      </c>
      <c r="BI236" t="s">
        <v>98</v>
      </c>
    </row>
    <row r="237" spans="1:61">
      <c r="A237" s="164" t="s">
        <v>777</v>
      </c>
      <c r="B237" t="s">
        <v>778</v>
      </c>
      <c r="C237">
        <v>0</v>
      </c>
      <c r="D237" t="s">
        <v>175</v>
      </c>
      <c r="E237">
        <v>0</v>
      </c>
      <c r="F237" t="s">
        <v>779</v>
      </c>
      <c r="G237" t="s">
        <v>103</v>
      </c>
      <c r="H237" t="s">
        <v>104</v>
      </c>
      <c r="I237" t="s">
        <v>80</v>
      </c>
      <c r="J237" t="s">
        <v>163</v>
      </c>
      <c r="K237" t="s">
        <v>82</v>
      </c>
      <c r="L237" t="s">
        <v>83</v>
      </c>
      <c r="M237" t="s">
        <v>84</v>
      </c>
      <c r="N237">
        <v>0.6</v>
      </c>
      <c r="O237" t="b">
        <v>0</v>
      </c>
      <c r="P237">
        <v>40</v>
      </c>
      <c r="Q237" t="s">
        <v>137</v>
      </c>
      <c r="S237">
        <v>0</v>
      </c>
      <c r="T237">
        <v>1</v>
      </c>
      <c r="U237" s="36">
        <v>2.8626550000000002</v>
      </c>
      <c r="V237" t="s">
        <v>165</v>
      </c>
      <c r="X237">
        <v>0</v>
      </c>
      <c r="Z237">
        <v>0.02</v>
      </c>
      <c r="AB237">
        <v>0</v>
      </c>
      <c r="AC237">
        <v>0</v>
      </c>
      <c r="AE237" t="s">
        <v>129</v>
      </c>
      <c r="AF237" t="s">
        <v>779</v>
      </c>
      <c r="AG237" t="s">
        <v>129</v>
      </c>
      <c r="AH237">
        <v>0</v>
      </c>
      <c r="AI237">
        <v>7.8</v>
      </c>
      <c r="AJ237" t="s">
        <v>167</v>
      </c>
      <c r="AM237">
        <v>8.3000000000000007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 t="s">
        <v>780</v>
      </c>
      <c r="AY237">
        <v>0</v>
      </c>
      <c r="AZ237">
        <v>0</v>
      </c>
      <c r="BA237" t="s">
        <v>138</v>
      </c>
      <c r="BB237">
        <v>0</v>
      </c>
      <c r="BC237" t="s">
        <v>95</v>
      </c>
      <c r="BD237" t="s">
        <v>96</v>
      </c>
      <c r="BE237" t="s">
        <v>97</v>
      </c>
      <c r="BF237">
        <v>0</v>
      </c>
      <c r="BG237">
        <v>0</v>
      </c>
      <c r="BH237">
        <v>0</v>
      </c>
      <c r="BI237" t="s">
        <v>98</v>
      </c>
    </row>
    <row r="238" spans="1:61">
      <c r="A238" s="164" t="s">
        <v>781</v>
      </c>
      <c r="B238" t="s">
        <v>782</v>
      </c>
      <c r="C238">
        <v>0</v>
      </c>
      <c r="D238" t="s">
        <v>107</v>
      </c>
      <c r="E238">
        <v>0</v>
      </c>
      <c r="F238" t="s">
        <v>783</v>
      </c>
      <c r="G238" t="s">
        <v>103</v>
      </c>
      <c r="H238" t="s">
        <v>104</v>
      </c>
      <c r="I238" t="s">
        <v>80</v>
      </c>
      <c r="J238" t="s">
        <v>81</v>
      </c>
      <c r="K238" t="s">
        <v>82</v>
      </c>
      <c r="L238" t="s">
        <v>83</v>
      </c>
      <c r="M238" t="s">
        <v>84</v>
      </c>
      <c r="N238">
        <v>0.95</v>
      </c>
      <c r="O238" t="b">
        <v>0</v>
      </c>
      <c r="P238">
        <v>45</v>
      </c>
      <c r="Q238" t="s">
        <v>85</v>
      </c>
      <c r="S238">
        <v>0</v>
      </c>
      <c r="T238">
        <v>1</v>
      </c>
      <c r="U238" s="36">
        <v>0.86982999999999999</v>
      </c>
      <c r="V238" t="s">
        <v>87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G238" t="s">
        <v>129</v>
      </c>
      <c r="AH238">
        <v>0</v>
      </c>
      <c r="AI238">
        <v>0.7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Y238">
        <v>0</v>
      </c>
      <c r="AZ238">
        <v>2</v>
      </c>
      <c r="BA238" t="s">
        <v>94</v>
      </c>
      <c r="BB238">
        <v>0</v>
      </c>
      <c r="BC238" t="s">
        <v>95</v>
      </c>
      <c r="BD238" t="s">
        <v>96</v>
      </c>
      <c r="BE238" t="s">
        <v>97</v>
      </c>
      <c r="BF238">
        <v>0</v>
      </c>
      <c r="BG238">
        <v>0</v>
      </c>
      <c r="BH238">
        <v>0</v>
      </c>
      <c r="BI238" t="s">
        <v>98</v>
      </c>
    </row>
    <row r="239" spans="1:61">
      <c r="A239" s="164" t="s">
        <v>784</v>
      </c>
      <c r="B239" t="s">
        <v>785</v>
      </c>
      <c r="C239">
        <v>0</v>
      </c>
      <c r="D239" t="s">
        <v>304</v>
      </c>
      <c r="E239">
        <v>0</v>
      </c>
      <c r="F239" t="s">
        <v>269</v>
      </c>
      <c r="G239" t="s">
        <v>103</v>
      </c>
      <c r="H239" t="s">
        <v>104</v>
      </c>
      <c r="I239" t="s">
        <v>80</v>
      </c>
      <c r="J239" t="s">
        <v>196</v>
      </c>
      <c r="K239" t="s">
        <v>13</v>
      </c>
      <c r="L239" t="s">
        <v>83</v>
      </c>
      <c r="M239" t="s">
        <v>84</v>
      </c>
      <c r="N239">
        <v>1</v>
      </c>
      <c r="O239" t="b">
        <v>0</v>
      </c>
      <c r="P239">
        <v>0</v>
      </c>
      <c r="BB239">
        <v>0</v>
      </c>
      <c r="BC239" t="s">
        <v>306</v>
      </c>
      <c r="BD239" t="s">
        <v>270</v>
      </c>
      <c r="BE239" t="s">
        <v>117</v>
      </c>
      <c r="BF239">
        <v>0</v>
      </c>
      <c r="BG239">
        <v>0</v>
      </c>
      <c r="BH239">
        <v>0</v>
      </c>
    </row>
    <row r="240" spans="1:61">
      <c r="A240" s="164" t="s">
        <v>786</v>
      </c>
      <c r="B240" t="s">
        <v>787</v>
      </c>
      <c r="C240">
        <v>0</v>
      </c>
      <c r="D240" t="s">
        <v>304</v>
      </c>
      <c r="E240">
        <v>0</v>
      </c>
      <c r="F240" t="s">
        <v>269</v>
      </c>
      <c r="G240" t="s">
        <v>103</v>
      </c>
      <c r="H240" t="s">
        <v>104</v>
      </c>
      <c r="I240" t="s">
        <v>80</v>
      </c>
      <c r="J240" t="s">
        <v>196</v>
      </c>
      <c r="K240" t="s">
        <v>13</v>
      </c>
      <c r="L240" t="s">
        <v>83</v>
      </c>
      <c r="M240" t="s">
        <v>84</v>
      </c>
      <c r="N240">
        <v>1</v>
      </c>
      <c r="O240" t="b">
        <v>0</v>
      </c>
      <c r="P240">
        <v>0</v>
      </c>
      <c r="BB240">
        <v>0</v>
      </c>
      <c r="BC240" t="s">
        <v>306</v>
      </c>
      <c r="BD240" t="s">
        <v>270</v>
      </c>
      <c r="BE240" t="s">
        <v>117</v>
      </c>
      <c r="BF240">
        <v>0</v>
      </c>
      <c r="BG240">
        <v>0</v>
      </c>
      <c r="BH240">
        <v>0</v>
      </c>
    </row>
    <row r="241" spans="1:61">
      <c r="A241" s="164" t="s">
        <v>788</v>
      </c>
      <c r="B241" t="s">
        <v>789</v>
      </c>
      <c r="C241">
        <v>0</v>
      </c>
      <c r="D241" t="s">
        <v>304</v>
      </c>
      <c r="E241">
        <v>0</v>
      </c>
      <c r="F241" t="s">
        <v>269</v>
      </c>
      <c r="G241" t="s">
        <v>103</v>
      </c>
      <c r="H241" t="s">
        <v>104</v>
      </c>
      <c r="I241" t="s">
        <v>80</v>
      </c>
      <c r="J241" t="s">
        <v>196</v>
      </c>
      <c r="K241" t="s">
        <v>13</v>
      </c>
      <c r="L241" t="s">
        <v>83</v>
      </c>
      <c r="M241" t="s">
        <v>84</v>
      </c>
      <c r="N241">
        <v>1</v>
      </c>
      <c r="O241" t="b">
        <v>0</v>
      </c>
      <c r="P241">
        <v>0</v>
      </c>
      <c r="BB241">
        <v>0</v>
      </c>
      <c r="BC241" t="s">
        <v>306</v>
      </c>
      <c r="BD241" t="s">
        <v>270</v>
      </c>
      <c r="BE241" t="s">
        <v>117</v>
      </c>
      <c r="BF241">
        <v>0</v>
      </c>
      <c r="BG241">
        <v>0</v>
      </c>
      <c r="BH241">
        <v>0</v>
      </c>
    </row>
    <row r="242" spans="1:61">
      <c r="A242" s="164" t="s">
        <v>790</v>
      </c>
      <c r="B242" t="s">
        <v>791</v>
      </c>
      <c r="C242">
        <v>0</v>
      </c>
      <c r="D242" t="s">
        <v>304</v>
      </c>
      <c r="E242">
        <v>0</v>
      </c>
      <c r="F242" t="s">
        <v>313</v>
      </c>
      <c r="G242" t="s">
        <v>78</v>
      </c>
      <c r="H242" t="s">
        <v>79</v>
      </c>
      <c r="I242" t="s">
        <v>80</v>
      </c>
      <c r="J242" t="s">
        <v>196</v>
      </c>
      <c r="K242" t="s">
        <v>13</v>
      </c>
      <c r="L242" t="s">
        <v>83</v>
      </c>
      <c r="M242" t="s">
        <v>205</v>
      </c>
      <c r="N242">
        <v>1</v>
      </c>
      <c r="O242" t="b">
        <v>1</v>
      </c>
      <c r="P242">
        <v>0</v>
      </c>
      <c r="BB242">
        <v>0</v>
      </c>
      <c r="BC242" t="s">
        <v>306</v>
      </c>
      <c r="BD242" t="s">
        <v>314</v>
      </c>
      <c r="BE242" t="s">
        <v>117</v>
      </c>
      <c r="BF242">
        <v>0</v>
      </c>
      <c r="BG242">
        <v>45</v>
      </c>
      <c r="BH242">
        <v>300</v>
      </c>
      <c r="BI242" t="s">
        <v>315</v>
      </c>
    </row>
    <row r="243" spans="1:61">
      <c r="A243" s="164" t="s">
        <v>792</v>
      </c>
      <c r="B243" t="s">
        <v>793</v>
      </c>
      <c r="C243">
        <v>0</v>
      </c>
      <c r="D243" t="s">
        <v>304</v>
      </c>
      <c r="E243">
        <v>0</v>
      </c>
      <c r="F243" t="s">
        <v>589</v>
      </c>
      <c r="G243" t="s">
        <v>78</v>
      </c>
      <c r="H243" t="s">
        <v>79</v>
      </c>
      <c r="I243" t="s">
        <v>80</v>
      </c>
      <c r="J243" t="s">
        <v>196</v>
      </c>
      <c r="K243" t="s">
        <v>13</v>
      </c>
      <c r="L243" t="s">
        <v>83</v>
      </c>
      <c r="M243" t="s">
        <v>84</v>
      </c>
      <c r="N243">
        <v>1</v>
      </c>
      <c r="O243" t="b">
        <v>1</v>
      </c>
      <c r="P243">
        <v>0</v>
      </c>
      <c r="BB243">
        <v>0</v>
      </c>
      <c r="BC243" t="s">
        <v>306</v>
      </c>
      <c r="BD243" t="s">
        <v>590</v>
      </c>
      <c r="BE243" t="s">
        <v>117</v>
      </c>
      <c r="BF243">
        <v>0</v>
      </c>
      <c r="BG243">
        <v>25</v>
      </c>
      <c r="BH243">
        <v>10000</v>
      </c>
      <c r="BI243" t="s">
        <v>344</v>
      </c>
    </row>
    <row r="244" spans="1:61">
      <c r="A244" s="164" t="s">
        <v>794</v>
      </c>
      <c r="B244" t="s">
        <v>795</v>
      </c>
      <c r="C244">
        <v>0</v>
      </c>
      <c r="D244" t="s">
        <v>304</v>
      </c>
      <c r="E244">
        <v>0</v>
      </c>
      <c r="F244" t="s">
        <v>589</v>
      </c>
      <c r="G244" t="s">
        <v>78</v>
      </c>
      <c r="H244" t="s">
        <v>79</v>
      </c>
      <c r="I244" t="s">
        <v>80</v>
      </c>
      <c r="J244" t="s">
        <v>196</v>
      </c>
      <c r="K244" t="s">
        <v>13</v>
      </c>
      <c r="L244" t="s">
        <v>83</v>
      </c>
      <c r="M244" t="s">
        <v>84</v>
      </c>
      <c r="N244">
        <v>1</v>
      </c>
      <c r="O244" t="b">
        <v>1</v>
      </c>
      <c r="P244">
        <v>0</v>
      </c>
      <c r="BB244">
        <v>0</v>
      </c>
      <c r="BC244" t="s">
        <v>306</v>
      </c>
      <c r="BD244" t="s">
        <v>590</v>
      </c>
      <c r="BE244" t="s">
        <v>117</v>
      </c>
      <c r="BF244">
        <v>0</v>
      </c>
      <c r="BG244">
        <v>25</v>
      </c>
      <c r="BH244">
        <v>10000</v>
      </c>
      <c r="BI244" t="s">
        <v>344</v>
      </c>
    </row>
    <row r="245" spans="1:61">
      <c r="A245" s="164" t="s">
        <v>796</v>
      </c>
      <c r="B245" t="s">
        <v>797</v>
      </c>
      <c r="C245">
        <v>0</v>
      </c>
      <c r="D245" t="s">
        <v>304</v>
      </c>
      <c r="E245">
        <v>0</v>
      </c>
      <c r="F245" t="s">
        <v>336</v>
      </c>
      <c r="G245" t="s">
        <v>78</v>
      </c>
      <c r="H245" t="s">
        <v>79</v>
      </c>
      <c r="I245" t="s">
        <v>80</v>
      </c>
      <c r="J245" t="s">
        <v>196</v>
      </c>
      <c r="K245" t="s">
        <v>13</v>
      </c>
      <c r="L245" t="s">
        <v>83</v>
      </c>
      <c r="M245" t="s">
        <v>84</v>
      </c>
      <c r="N245">
        <v>1</v>
      </c>
      <c r="O245" t="b">
        <v>1</v>
      </c>
      <c r="P245">
        <v>0</v>
      </c>
      <c r="BB245">
        <v>0</v>
      </c>
      <c r="BC245" t="s">
        <v>306</v>
      </c>
      <c r="BD245" t="s">
        <v>337</v>
      </c>
      <c r="BE245" t="s">
        <v>117</v>
      </c>
      <c r="BF245">
        <v>0</v>
      </c>
      <c r="BG245">
        <v>30</v>
      </c>
      <c r="BH245">
        <v>100000</v>
      </c>
      <c r="BI245" t="s">
        <v>593</v>
      </c>
    </row>
    <row r="246" spans="1:61">
      <c r="A246" s="164" t="s">
        <v>798</v>
      </c>
      <c r="B246" t="s">
        <v>799</v>
      </c>
      <c r="C246">
        <v>0</v>
      </c>
      <c r="D246" t="s">
        <v>304</v>
      </c>
      <c r="E246">
        <v>0</v>
      </c>
      <c r="F246" t="s">
        <v>800</v>
      </c>
      <c r="G246" t="s">
        <v>78</v>
      </c>
      <c r="H246" t="s">
        <v>79</v>
      </c>
      <c r="I246" t="s">
        <v>80</v>
      </c>
      <c r="J246" t="s">
        <v>196</v>
      </c>
      <c r="K246" t="s">
        <v>13</v>
      </c>
      <c r="L246" t="s">
        <v>83</v>
      </c>
      <c r="M246" t="s">
        <v>84</v>
      </c>
      <c r="N246">
        <v>1</v>
      </c>
      <c r="O246" t="b">
        <v>1</v>
      </c>
      <c r="P246">
        <v>0</v>
      </c>
      <c r="BB246">
        <v>0</v>
      </c>
      <c r="BC246" t="s">
        <v>306</v>
      </c>
      <c r="BD246" t="s">
        <v>801</v>
      </c>
      <c r="BE246" t="s">
        <v>117</v>
      </c>
      <c r="BF246">
        <v>0</v>
      </c>
      <c r="BG246">
        <v>15</v>
      </c>
      <c r="BH246">
        <v>10000</v>
      </c>
      <c r="BI246" t="s">
        <v>308</v>
      </c>
    </row>
    <row r="247" spans="1:61">
      <c r="A247" s="164" t="s">
        <v>802</v>
      </c>
      <c r="B247" t="s">
        <v>803</v>
      </c>
      <c r="C247">
        <v>0</v>
      </c>
      <c r="D247" t="s">
        <v>304</v>
      </c>
      <c r="E247">
        <v>0</v>
      </c>
      <c r="F247" t="s">
        <v>800</v>
      </c>
      <c r="G247" t="s">
        <v>78</v>
      </c>
      <c r="H247" t="s">
        <v>79</v>
      </c>
      <c r="I247" t="s">
        <v>80</v>
      </c>
      <c r="J247" t="s">
        <v>196</v>
      </c>
      <c r="K247" t="s">
        <v>13</v>
      </c>
      <c r="L247" t="s">
        <v>83</v>
      </c>
      <c r="M247" t="s">
        <v>84</v>
      </c>
      <c r="N247">
        <v>1</v>
      </c>
      <c r="O247" t="b">
        <v>1</v>
      </c>
      <c r="P247">
        <v>0</v>
      </c>
      <c r="BB247">
        <v>0</v>
      </c>
      <c r="BC247" t="s">
        <v>306</v>
      </c>
      <c r="BD247" t="s">
        <v>801</v>
      </c>
      <c r="BE247" t="s">
        <v>117</v>
      </c>
      <c r="BF247">
        <v>0</v>
      </c>
      <c r="BG247">
        <v>15</v>
      </c>
      <c r="BH247">
        <v>10000</v>
      </c>
      <c r="BI247" t="s">
        <v>308</v>
      </c>
    </row>
    <row r="248" spans="1:61">
      <c r="A248" s="164" t="s">
        <v>804</v>
      </c>
      <c r="B248" t="s">
        <v>805</v>
      </c>
      <c r="C248">
        <v>0</v>
      </c>
      <c r="D248" t="s">
        <v>194</v>
      </c>
      <c r="E248">
        <v>0</v>
      </c>
      <c r="F248" t="s">
        <v>195</v>
      </c>
      <c r="G248" t="s">
        <v>78</v>
      </c>
      <c r="H248" t="s">
        <v>79</v>
      </c>
      <c r="I248" t="s">
        <v>80</v>
      </c>
      <c r="J248" t="s">
        <v>196</v>
      </c>
      <c r="K248" t="s">
        <v>13</v>
      </c>
      <c r="L248" t="s">
        <v>83</v>
      </c>
      <c r="M248" t="s">
        <v>205</v>
      </c>
      <c r="N248">
        <v>1</v>
      </c>
      <c r="O248" t="b">
        <v>1</v>
      </c>
      <c r="P248">
        <v>0</v>
      </c>
      <c r="BB248">
        <v>0</v>
      </c>
      <c r="BC248" t="s">
        <v>197</v>
      </c>
      <c r="BD248" t="s">
        <v>198</v>
      </c>
      <c r="BE248" t="s">
        <v>117</v>
      </c>
      <c r="BF248">
        <v>0</v>
      </c>
      <c r="BG248">
        <v>0</v>
      </c>
      <c r="BH248">
        <v>0</v>
      </c>
    </row>
    <row r="249" spans="1:61">
      <c r="A249" s="164" t="s">
        <v>806</v>
      </c>
      <c r="B249" t="s">
        <v>807</v>
      </c>
      <c r="C249">
        <v>0</v>
      </c>
      <c r="D249" t="s">
        <v>194</v>
      </c>
      <c r="E249">
        <v>0</v>
      </c>
      <c r="F249" t="s">
        <v>552</v>
      </c>
      <c r="G249" t="s">
        <v>78</v>
      </c>
      <c r="H249" t="s">
        <v>79</v>
      </c>
      <c r="I249" t="s">
        <v>80</v>
      </c>
      <c r="J249" t="s">
        <v>196</v>
      </c>
      <c r="K249" t="s">
        <v>13</v>
      </c>
      <c r="L249" t="s">
        <v>83</v>
      </c>
      <c r="M249" t="s">
        <v>205</v>
      </c>
      <c r="N249">
        <v>1</v>
      </c>
      <c r="O249" t="b">
        <v>1</v>
      </c>
      <c r="P249">
        <v>0</v>
      </c>
      <c r="BB249">
        <v>0</v>
      </c>
      <c r="BC249" t="s">
        <v>197</v>
      </c>
      <c r="BD249" t="s">
        <v>553</v>
      </c>
      <c r="BE249" t="s">
        <v>117</v>
      </c>
      <c r="BF249">
        <v>0</v>
      </c>
      <c r="BG249">
        <v>0</v>
      </c>
      <c r="BH249">
        <v>0</v>
      </c>
    </row>
    <row r="250" spans="1:61">
      <c r="A250" s="164" t="s">
        <v>808</v>
      </c>
      <c r="B250" t="s">
        <v>809</v>
      </c>
      <c r="C250">
        <v>0</v>
      </c>
      <c r="D250" t="s">
        <v>194</v>
      </c>
      <c r="E250">
        <v>0</v>
      </c>
      <c r="F250" t="s">
        <v>552</v>
      </c>
      <c r="G250" t="s">
        <v>78</v>
      </c>
      <c r="H250" t="s">
        <v>79</v>
      </c>
      <c r="I250" t="s">
        <v>80</v>
      </c>
      <c r="J250" t="s">
        <v>196</v>
      </c>
      <c r="K250" t="s">
        <v>13</v>
      </c>
      <c r="L250" t="s">
        <v>83</v>
      </c>
      <c r="M250" t="s">
        <v>205</v>
      </c>
      <c r="N250">
        <v>1</v>
      </c>
      <c r="O250" t="b">
        <v>1</v>
      </c>
      <c r="P250">
        <v>0</v>
      </c>
      <c r="BB250">
        <v>0</v>
      </c>
      <c r="BC250" t="s">
        <v>197</v>
      </c>
      <c r="BD250" t="s">
        <v>553</v>
      </c>
      <c r="BE250" t="s">
        <v>117</v>
      </c>
      <c r="BF250">
        <v>0</v>
      </c>
      <c r="BG250">
        <v>0</v>
      </c>
      <c r="BH250">
        <v>0</v>
      </c>
    </row>
    <row r="251" spans="1:61">
      <c r="A251" s="164" t="s">
        <v>810</v>
      </c>
      <c r="B251" t="s">
        <v>811</v>
      </c>
      <c r="C251">
        <v>0</v>
      </c>
      <c r="D251" t="s">
        <v>194</v>
      </c>
      <c r="E251">
        <v>0</v>
      </c>
      <c r="F251" t="s">
        <v>552</v>
      </c>
      <c r="G251" t="s">
        <v>78</v>
      </c>
      <c r="H251" t="s">
        <v>79</v>
      </c>
      <c r="I251" t="s">
        <v>80</v>
      </c>
      <c r="J251" t="s">
        <v>196</v>
      </c>
      <c r="K251" t="s">
        <v>13</v>
      </c>
      <c r="L251" t="s">
        <v>83</v>
      </c>
      <c r="M251" t="s">
        <v>205</v>
      </c>
      <c r="N251">
        <v>1</v>
      </c>
      <c r="O251" t="b">
        <v>1</v>
      </c>
      <c r="P251">
        <v>0</v>
      </c>
      <c r="BB251">
        <v>0</v>
      </c>
      <c r="BC251" t="s">
        <v>197</v>
      </c>
      <c r="BD251" t="s">
        <v>553</v>
      </c>
      <c r="BE251" t="s">
        <v>117</v>
      </c>
      <c r="BF251">
        <v>0</v>
      </c>
      <c r="BG251">
        <v>0</v>
      </c>
      <c r="BH251">
        <v>0</v>
      </c>
    </row>
    <row r="252" spans="1:61">
      <c r="A252" s="164" t="s">
        <v>812</v>
      </c>
      <c r="B252" t="s">
        <v>813</v>
      </c>
      <c r="C252">
        <v>0</v>
      </c>
      <c r="D252" t="s">
        <v>194</v>
      </c>
      <c r="E252">
        <v>0</v>
      </c>
      <c r="F252" t="s">
        <v>552</v>
      </c>
      <c r="G252" t="s">
        <v>78</v>
      </c>
      <c r="H252" t="s">
        <v>79</v>
      </c>
      <c r="I252" t="s">
        <v>80</v>
      </c>
      <c r="J252" t="s">
        <v>196</v>
      </c>
      <c r="K252" t="s">
        <v>13</v>
      </c>
      <c r="L252" t="s">
        <v>83</v>
      </c>
      <c r="M252" t="s">
        <v>205</v>
      </c>
      <c r="N252">
        <v>1</v>
      </c>
      <c r="O252" t="b">
        <v>1</v>
      </c>
      <c r="P252">
        <v>0</v>
      </c>
      <c r="BB252">
        <v>0</v>
      </c>
      <c r="BC252" t="s">
        <v>197</v>
      </c>
      <c r="BD252" t="s">
        <v>553</v>
      </c>
      <c r="BE252" t="s">
        <v>117</v>
      </c>
      <c r="BF252">
        <v>0</v>
      </c>
      <c r="BG252">
        <v>0</v>
      </c>
      <c r="BH252">
        <v>0</v>
      </c>
    </row>
    <row r="253" spans="1:61">
      <c r="A253" s="164" t="s">
        <v>814</v>
      </c>
      <c r="B253" t="s">
        <v>815</v>
      </c>
      <c r="C253">
        <v>0</v>
      </c>
      <c r="D253" t="s">
        <v>194</v>
      </c>
      <c r="E253">
        <v>0</v>
      </c>
      <c r="F253" t="s">
        <v>552</v>
      </c>
      <c r="G253" t="s">
        <v>78</v>
      </c>
      <c r="H253" t="s">
        <v>79</v>
      </c>
      <c r="I253" t="s">
        <v>80</v>
      </c>
      <c r="J253" t="s">
        <v>196</v>
      </c>
      <c r="K253" t="s">
        <v>13</v>
      </c>
      <c r="L253" t="s">
        <v>83</v>
      </c>
      <c r="M253" t="s">
        <v>205</v>
      </c>
      <c r="N253">
        <v>1</v>
      </c>
      <c r="O253" t="b">
        <v>1</v>
      </c>
      <c r="P253">
        <v>0</v>
      </c>
      <c r="BB253">
        <v>0</v>
      </c>
      <c r="BC253" t="s">
        <v>197</v>
      </c>
      <c r="BD253" t="s">
        <v>553</v>
      </c>
      <c r="BE253" t="s">
        <v>117</v>
      </c>
      <c r="BF253">
        <v>0</v>
      </c>
      <c r="BG253">
        <v>0</v>
      </c>
      <c r="BH253">
        <v>0</v>
      </c>
    </row>
    <row r="254" spans="1:61">
      <c r="A254" s="164" t="s">
        <v>816</v>
      </c>
      <c r="B254" t="s">
        <v>817</v>
      </c>
      <c r="C254">
        <v>0</v>
      </c>
      <c r="D254" t="s">
        <v>194</v>
      </c>
      <c r="E254">
        <v>0</v>
      </c>
      <c r="F254" t="s">
        <v>195</v>
      </c>
      <c r="G254" t="s">
        <v>78</v>
      </c>
      <c r="H254" t="s">
        <v>79</v>
      </c>
      <c r="I254" t="s">
        <v>80</v>
      </c>
      <c r="J254" t="s">
        <v>196</v>
      </c>
      <c r="K254" t="s">
        <v>13</v>
      </c>
      <c r="L254" t="s">
        <v>83</v>
      </c>
      <c r="M254" t="s">
        <v>84</v>
      </c>
      <c r="N254">
        <v>1</v>
      </c>
      <c r="O254" t="b">
        <v>1</v>
      </c>
      <c r="P254">
        <v>0</v>
      </c>
      <c r="BB254">
        <v>0</v>
      </c>
      <c r="BC254" t="s">
        <v>197</v>
      </c>
      <c r="BD254" t="s">
        <v>198</v>
      </c>
      <c r="BE254" t="s">
        <v>117</v>
      </c>
      <c r="BF254">
        <v>0</v>
      </c>
      <c r="BG254">
        <v>0</v>
      </c>
      <c r="BH254">
        <v>0</v>
      </c>
    </row>
    <row r="255" spans="1:61">
      <c r="A255" s="164" t="s">
        <v>818</v>
      </c>
      <c r="B255" t="s">
        <v>819</v>
      </c>
      <c r="C255">
        <v>0</v>
      </c>
      <c r="D255" t="s">
        <v>194</v>
      </c>
      <c r="E255">
        <v>0</v>
      </c>
      <c r="F255" t="s">
        <v>195</v>
      </c>
      <c r="G255" t="s">
        <v>78</v>
      </c>
      <c r="H255" t="s">
        <v>79</v>
      </c>
      <c r="I255" t="s">
        <v>80</v>
      </c>
      <c r="J255" t="s">
        <v>196</v>
      </c>
      <c r="K255" t="s">
        <v>13</v>
      </c>
      <c r="L255" t="s">
        <v>83</v>
      </c>
      <c r="M255" t="s">
        <v>84</v>
      </c>
      <c r="N255">
        <v>1</v>
      </c>
      <c r="O255" t="b">
        <v>1</v>
      </c>
      <c r="P255">
        <v>0</v>
      </c>
      <c r="BB255">
        <v>0</v>
      </c>
      <c r="BC255" t="s">
        <v>197</v>
      </c>
      <c r="BD255" t="s">
        <v>198</v>
      </c>
      <c r="BE255" t="s">
        <v>117</v>
      </c>
      <c r="BF255">
        <v>0</v>
      </c>
      <c r="BG255">
        <v>0</v>
      </c>
      <c r="BH255">
        <v>0</v>
      </c>
    </row>
    <row r="256" spans="1:61">
      <c r="A256" s="164" t="s">
        <v>820</v>
      </c>
      <c r="B256" t="s">
        <v>821</v>
      </c>
      <c r="C256">
        <v>0</v>
      </c>
      <c r="D256" t="s">
        <v>304</v>
      </c>
      <c r="E256">
        <v>0</v>
      </c>
      <c r="F256" t="s">
        <v>269</v>
      </c>
      <c r="G256" t="s">
        <v>103</v>
      </c>
      <c r="H256" t="s">
        <v>104</v>
      </c>
      <c r="I256" t="s">
        <v>80</v>
      </c>
      <c r="J256" t="s">
        <v>196</v>
      </c>
      <c r="K256" t="s">
        <v>13</v>
      </c>
      <c r="L256" t="s">
        <v>83</v>
      </c>
      <c r="M256" t="s">
        <v>84</v>
      </c>
      <c r="N256">
        <v>1</v>
      </c>
      <c r="O256" t="b">
        <v>0</v>
      </c>
      <c r="P256">
        <v>0</v>
      </c>
      <c r="BB256">
        <v>0</v>
      </c>
      <c r="BC256" t="s">
        <v>306</v>
      </c>
      <c r="BD256" t="s">
        <v>270</v>
      </c>
      <c r="BE256" t="s">
        <v>117</v>
      </c>
      <c r="BF256">
        <v>0</v>
      </c>
      <c r="BG256">
        <v>0</v>
      </c>
      <c r="BH256">
        <v>0</v>
      </c>
    </row>
    <row r="257" spans="1:61">
      <c r="A257" s="164" t="s">
        <v>822</v>
      </c>
      <c r="B257" t="s">
        <v>823</v>
      </c>
      <c r="C257">
        <v>0</v>
      </c>
      <c r="D257" t="s">
        <v>304</v>
      </c>
      <c r="E257">
        <v>0</v>
      </c>
      <c r="F257" t="s">
        <v>342</v>
      </c>
      <c r="G257" t="s">
        <v>78</v>
      </c>
      <c r="H257" t="s">
        <v>79</v>
      </c>
      <c r="I257" t="s">
        <v>80</v>
      </c>
      <c r="J257" t="s">
        <v>196</v>
      </c>
      <c r="K257" t="s">
        <v>13</v>
      </c>
      <c r="L257" t="s">
        <v>83</v>
      </c>
      <c r="M257" t="s">
        <v>84</v>
      </c>
      <c r="N257">
        <v>1</v>
      </c>
      <c r="O257" t="b">
        <v>1</v>
      </c>
      <c r="P257">
        <v>0</v>
      </c>
      <c r="BB257">
        <v>0</v>
      </c>
      <c r="BC257" t="s">
        <v>306</v>
      </c>
      <c r="BD257" t="s">
        <v>343</v>
      </c>
      <c r="BE257" t="s">
        <v>117</v>
      </c>
      <c r="BF257">
        <v>0</v>
      </c>
      <c r="BG257">
        <v>25</v>
      </c>
      <c r="BH257">
        <v>10000</v>
      </c>
      <c r="BI257" t="s">
        <v>344</v>
      </c>
    </row>
    <row r="258" spans="1:61">
      <c r="A258" s="164" t="s">
        <v>824</v>
      </c>
      <c r="B258" t="s">
        <v>825</v>
      </c>
      <c r="C258">
        <v>0</v>
      </c>
      <c r="D258" t="s">
        <v>304</v>
      </c>
      <c r="E258">
        <v>0</v>
      </c>
      <c r="F258" t="s">
        <v>342</v>
      </c>
      <c r="G258" t="s">
        <v>78</v>
      </c>
      <c r="H258" t="s">
        <v>79</v>
      </c>
      <c r="I258" t="s">
        <v>80</v>
      </c>
      <c r="J258" t="s">
        <v>196</v>
      </c>
      <c r="K258" t="s">
        <v>13</v>
      </c>
      <c r="L258" t="s">
        <v>83</v>
      </c>
      <c r="M258" t="s">
        <v>84</v>
      </c>
      <c r="N258">
        <v>1</v>
      </c>
      <c r="O258" t="b">
        <v>1</v>
      </c>
      <c r="P258">
        <v>0</v>
      </c>
      <c r="BB258">
        <v>0</v>
      </c>
      <c r="BC258" t="s">
        <v>306</v>
      </c>
      <c r="BD258" t="s">
        <v>343</v>
      </c>
      <c r="BE258" t="s">
        <v>117</v>
      </c>
      <c r="BF258">
        <v>0</v>
      </c>
      <c r="BG258">
        <v>25</v>
      </c>
      <c r="BH258">
        <v>10000</v>
      </c>
      <c r="BI258" t="s">
        <v>344</v>
      </c>
    </row>
    <row r="259" spans="1:61">
      <c r="A259" s="164" t="s">
        <v>826</v>
      </c>
      <c r="B259" t="s">
        <v>827</v>
      </c>
      <c r="C259">
        <v>0</v>
      </c>
      <c r="D259" t="s">
        <v>304</v>
      </c>
      <c r="E259">
        <v>0</v>
      </c>
      <c r="F259" t="s">
        <v>342</v>
      </c>
      <c r="G259" t="s">
        <v>78</v>
      </c>
      <c r="H259" t="s">
        <v>79</v>
      </c>
      <c r="I259" t="s">
        <v>80</v>
      </c>
      <c r="J259" t="s">
        <v>196</v>
      </c>
      <c r="K259" t="s">
        <v>13</v>
      </c>
      <c r="L259" t="s">
        <v>83</v>
      </c>
      <c r="M259" t="s">
        <v>84</v>
      </c>
      <c r="N259">
        <v>1</v>
      </c>
      <c r="O259" t="b">
        <v>1</v>
      </c>
      <c r="P259">
        <v>0</v>
      </c>
      <c r="BB259">
        <v>0</v>
      </c>
      <c r="BC259" t="s">
        <v>306</v>
      </c>
      <c r="BD259" t="s">
        <v>343</v>
      </c>
      <c r="BE259" t="s">
        <v>117</v>
      </c>
      <c r="BF259">
        <v>0</v>
      </c>
      <c r="BG259">
        <v>25</v>
      </c>
      <c r="BH259">
        <v>10000</v>
      </c>
      <c r="BI259" t="s">
        <v>344</v>
      </c>
    </row>
    <row r="260" spans="1:61">
      <c r="A260" s="164" t="s">
        <v>828</v>
      </c>
      <c r="B260" t="s">
        <v>829</v>
      </c>
      <c r="C260">
        <v>0</v>
      </c>
      <c r="D260" t="s">
        <v>304</v>
      </c>
      <c r="E260">
        <v>0</v>
      </c>
      <c r="F260" t="s">
        <v>342</v>
      </c>
      <c r="G260" t="s">
        <v>78</v>
      </c>
      <c r="H260" t="s">
        <v>79</v>
      </c>
      <c r="I260" t="s">
        <v>80</v>
      </c>
      <c r="J260" t="s">
        <v>196</v>
      </c>
      <c r="K260" t="s">
        <v>13</v>
      </c>
      <c r="L260" t="s">
        <v>83</v>
      </c>
      <c r="M260" t="s">
        <v>84</v>
      </c>
      <c r="N260">
        <v>1</v>
      </c>
      <c r="O260" t="b">
        <v>1</v>
      </c>
      <c r="P260">
        <v>0</v>
      </c>
      <c r="BB260">
        <v>0</v>
      </c>
      <c r="BC260" t="s">
        <v>306</v>
      </c>
      <c r="BD260" t="s">
        <v>343</v>
      </c>
      <c r="BE260" t="s">
        <v>117</v>
      </c>
      <c r="BF260">
        <v>0</v>
      </c>
      <c r="BG260">
        <v>25</v>
      </c>
      <c r="BH260">
        <v>10000</v>
      </c>
      <c r="BI260" t="s">
        <v>344</v>
      </c>
    </row>
    <row r="261" spans="1:61">
      <c r="A261" s="164" t="s">
        <v>830</v>
      </c>
      <c r="B261" t="s">
        <v>831</v>
      </c>
      <c r="C261">
        <v>0</v>
      </c>
      <c r="D261" t="s">
        <v>304</v>
      </c>
      <c r="E261">
        <v>0</v>
      </c>
      <c r="F261" t="s">
        <v>269</v>
      </c>
      <c r="G261" t="s">
        <v>103</v>
      </c>
      <c r="H261" t="s">
        <v>104</v>
      </c>
      <c r="I261" t="s">
        <v>80</v>
      </c>
      <c r="J261" t="s">
        <v>196</v>
      </c>
      <c r="K261" t="s">
        <v>13</v>
      </c>
      <c r="L261" t="s">
        <v>83</v>
      </c>
      <c r="M261" t="s">
        <v>84</v>
      </c>
      <c r="N261">
        <v>1</v>
      </c>
      <c r="O261" t="b">
        <v>0</v>
      </c>
      <c r="P261">
        <v>0</v>
      </c>
      <c r="BB261">
        <v>0</v>
      </c>
      <c r="BC261" t="s">
        <v>306</v>
      </c>
      <c r="BD261" t="s">
        <v>270</v>
      </c>
      <c r="BE261" t="s">
        <v>117</v>
      </c>
      <c r="BF261">
        <v>0</v>
      </c>
      <c r="BG261">
        <v>0</v>
      </c>
      <c r="BH261">
        <v>0</v>
      </c>
    </row>
    <row r="262" spans="1:61">
      <c r="A262" s="164" t="s">
        <v>832</v>
      </c>
      <c r="B262" t="s">
        <v>833</v>
      </c>
      <c r="C262">
        <v>0</v>
      </c>
      <c r="D262" t="s">
        <v>304</v>
      </c>
      <c r="E262">
        <v>0</v>
      </c>
      <c r="F262" t="s">
        <v>349</v>
      </c>
      <c r="G262" t="s">
        <v>78</v>
      </c>
      <c r="H262" t="s">
        <v>79</v>
      </c>
      <c r="I262" t="s">
        <v>80</v>
      </c>
      <c r="J262" t="s">
        <v>196</v>
      </c>
      <c r="K262" t="s">
        <v>13</v>
      </c>
      <c r="L262" t="s">
        <v>83</v>
      </c>
      <c r="M262" t="s">
        <v>84</v>
      </c>
      <c r="N262">
        <v>1</v>
      </c>
      <c r="O262" t="b">
        <v>1</v>
      </c>
      <c r="P262">
        <v>0</v>
      </c>
      <c r="BB262">
        <v>0</v>
      </c>
      <c r="BC262" t="s">
        <v>306</v>
      </c>
      <c r="BD262" t="s">
        <v>350</v>
      </c>
      <c r="BE262" t="s">
        <v>117</v>
      </c>
      <c r="BF262">
        <v>0</v>
      </c>
      <c r="BG262">
        <v>25</v>
      </c>
      <c r="BH262">
        <v>10000</v>
      </c>
      <c r="BI262" t="s">
        <v>344</v>
      </c>
    </row>
    <row r="263" spans="1:61">
      <c r="A263" s="164" t="s">
        <v>834</v>
      </c>
      <c r="B263" t="s">
        <v>835</v>
      </c>
      <c r="C263">
        <v>0</v>
      </c>
      <c r="D263" t="s">
        <v>304</v>
      </c>
      <c r="E263">
        <v>0</v>
      </c>
      <c r="F263" t="s">
        <v>269</v>
      </c>
      <c r="G263" t="s">
        <v>103</v>
      </c>
      <c r="H263" t="s">
        <v>104</v>
      </c>
      <c r="I263" t="s">
        <v>80</v>
      </c>
      <c r="J263" t="s">
        <v>196</v>
      </c>
      <c r="K263" t="s">
        <v>13</v>
      </c>
      <c r="L263" t="s">
        <v>83</v>
      </c>
      <c r="M263" t="s">
        <v>84</v>
      </c>
      <c r="N263">
        <v>1</v>
      </c>
      <c r="O263" t="b">
        <v>0</v>
      </c>
      <c r="P263">
        <v>0</v>
      </c>
      <c r="BB263">
        <v>0</v>
      </c>
      <c r="BC263" t="s">
        <v>306</v>
      </c>
      <c r="BD263" t="s">
        <v>270</v>
      </c>
      <c r="BE263" t="s">
        <v>117</v>
      </c>
      <c r="BF263">
        <v>0</v>
      </c>
      <c r="BG263">
        <v>0</v>
      </c>
      <c r="BH263">
        <v>0</v>
      </c>
    </row>
    <row r="264" spans="1:61">
      <c r="A264" s="164" t="s">
        <v>836</v>
      </c>
      <c r="B264" t="s">
        <v>837</v>
      </c>
      <c r="C264">
        <v>0</v>
      </c>
      <c r="D264" t="s">
        <v>107</v>
      </c>
      <c r="E264">
        <v>0</v>
      </c>
      <c r="F264" t="s">
        <v>108</v>
      </c>
      <c r="G264" t="s">
        <v>78</v>
      </c>
      <c r="H264" t="s">
        <v>79</v>
      </c>
      <c r="I264" t="s">
        <v>80</v>
      </c>
      <c r="J264" t="s">
        <v>81</v>
      </c>
      <c r="K264" t="s">
        <v>82</v>
      </c>
      <c r="L264" t="s">
        <v>83</v>
      </c>
      <c r="M264" t="s">
        <v>84</v>
      </c>
      <c r="N264">
        <v>0.9</v>
      </c>
      <c r="O264" t="b">
        <v>1</v>
      </c>
      <c r="P264">
        <v>45</v>
      </c>
      <c r="Q264" t="s">
        <v>85</v>
      </c>
      <c r="R264" t="s">
        <v>86</v>
      </c>
      <c r="S264">
        <v>0.9</v>
      </c>
      <c r="T264">
        <v>1</v>
      </c>
      <c r="U264" s="36">
        <v>0.73647499999999999</v>
      </c>
      <c r="V264" t="s">
        <v>87</v>
      </c>
      <c r="W264">
        <v>34</v>
      </c>
      <c r="X264">
        <v>0.62562499999999999</v>
      </c>
      <c r="Y264">
        <v>15</v>
      </c>
      <c r="Z264">
        <v>6.6666666666666666E-2</v>
      </c>
      <c r="AA264">
        <v>60</v>
      </c>
      <c r="AB264">
        <v>0</v>
      </c>
      <c r="AC264">
        <v>500</v>
      </c>
      <c r="AD264">
        <v>555.55555555555554</v>
      </c>
      <c r="AE264" t="s">
        <v>112</v>
      </c>
      <c r="AF264" t="s">
        <v>768</v>
      </c>
      <c r="AG264" t="s">
        <v>769</v>
      </c>
      <c r="AH264">
        <v>0</v>
      </c>
      <c r="AI264">
        <v>1</v>
      </c>
      <c r="AJ264" t="s">
        <v>91</v>
      </c>
      <c r="AK264" t="s">
        <v>92</v>
      </c>
      <c r="AL264" t="s">
        <v>93</v>
      </c>
      <c r="AM264">
        <v>0</v>
      </c>
      <c r="AN264">
        <v>0</v>
      </c>
      <c r="AO264">
        <v>0.99590000000000001</v>
      </c>
      <c r="AP264">
        <v>0</v>
      </c>
      <c r="AQ264">
        <v>8.6691086691086688E-2</v>
      </c>
      <c r="AR264">
        <v>2.6666666666666505E-3</v>
      </c>
      <c r="AS264">
        <v>0</v>
      </c>
      <c r="AT264">
        <v>1.0866910866910866</v>
      </c>
      <c r="AU264">
        <v>1.0026666666666666</v>
      </c>
      <c r="AV264">
        <v>1</v>
      </c>
      <c r="AW264">
        <v>0</v>
      </c>
      <c r="AX264" t="s">
        <v>838</v>
      </c>
      <c r="AY264">
        <v>5.34</v>
      </c>
      <c r="AZ264">
        <v>4</v>
      </c>
      <c r="BA264" t="s">
        <v>94</v>
      </c>
      <c r="BB264">
        <v>1.21</v>
      </c>
      <c r="BC264" t="s">
        <v>95</v>
      </c>
      <c r="BD264" t="s">
        <v>96</v>
      </c>
      <c r="BE264" t="s">
        <v>97</v>
      </c>
      <c r="BF264">
        <v>1</v>
      </c>
      <c r="BG264">
        <v>0</v>
      </c>
      <c r="BH264">
        <v>0</v>
      </c>
      <c r="BI264" t="s">
        <v>98</v>
      </c>
    </row>
    <row r="265" spans="1:61">
      <c r="A265" s="164" t="s">
        <v>839</v>
      </c>
      <c r="B265" t="s">
        <v>840</v>
      </c>
      <c r="C265">
        <v>0</v>
      </c>
      <c r="D265" t="s">
        <v>147</v>
      </c>
      <c r="E265">
        <v>0</v>
      </c>
      <c r="F265" t="s">
        <v>472</v>
      </c>
      <c r="G265" t="s">
        <v>78</v>
      </c>
      <c r="H265" t="s">
        <v>79</v>
      </c>
      <c r="I265" t="s">
        <v>80</v>
      </c>
      <c r="J265" t="s">
        <v>774</v>
      </c>
      <c r="K265" t="s">
        <v>775</v>
      </c>
      <c r="L265" t="s">
        <v>83</v>
      </c>
      <c r="M265" t="s">
        <v>84</v>
      </c>
      <c r="N265">
        <v>1.08</v>
      </c>
      <c r="O265" t="b">
        <v>1</v>
      </c>
      <c r="P265">
        <v>45</v>
      </c>
      <c r="Q265" t="s">
        <v>85</v>
      </c>
      <c r="R265" t="s">
        <v>86</v>
      </c>
      <c r="S265">
        <v>1.08</v>
      </c>
      <c r="T265">
        <v>1</v>
      </c>
      <c r="U265" s="36">
        <v>1.89862</v>
      </c>
      <c r="V265" t="s">
        <v>87</v>
      </c>
      <c r="W265">
        <v>0</v>
      </c>
      <c r="X265">
        <v>0</v>
      </c>
      <c r="Y265">
        <v>12</v>
      </c>
      <c r="Z265">
        <v>8.3333333333333329E-2</v>
      </c>
      <c r="AA265">
        <v>30</v>
      </c>
      <c r="AB265">
        <v>0</v>
      </c>
      <c r="AC265">
        <v>0</v>
      </c>
      <c r="AD265">
        <v>0</v>
      </c>
      <c r="AG265" t="s">
        <v>129</v>
      </c>
      <c r="AH265">
        <v>0</v>
      </c>
      <c r="AI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t="s">
        <v>841</v>
      </c>
      <c r="AY265">
        <v>5.9</v>
      </c>
      <c r="AZ265">
        <v>8</v>
      </c>
      <c r="BA265" t="s">
        <v>94</v>
      </c>
      <c r="BB265">
        <v>4.4000000000000004</v>
      </c>
      <c r="BC265" t="s">
        <v>95</v>
      </c>
      <c r="BD265" t="s">
        <v>139</v>
      </c>
      <c r="BE265" t="s">
        <v>97</v>
      </c>
      <c r="BF265">
        <v>1</v>
      </c>
      <c r="BG265">
        <v>0</v>
      </c>
      <c r="BH265">
        <v>0</v>
      </c>
      <c r="BI265" t="s">
        <v>98</v>
      </c>
    </row>
    <row r="266" spans="1:61">
      <c r="A266" s="164" t="s">
        <v>842</v>
      </c>
      <c r="B266" t="s">
        <v>843</v>
      </c>
      <c r="C266">
        <v>0</v>
      </c>
      <c r="D266" t="s">
        <v>175</v>
      </c>
      <c r="E266">
        <v>0</v>
      </c>
      <c r="F266" t="s">
        <v>844</v>
      </c>
      <c r="G266" t="s">
        <v>78</v>
      </c>
      <c r="H266" t="s">
        <v>79</v>
      </c>
      <c r="I266" t="s">
        <v>80</v>
      </c>
      <c r="J266" t="s">
        <v>564</v>
      </c>
      <c r="K266" t="s">
        <v>775</v>
      </c>
      <c r="L266" t="s">
        <v>83</v>
      </c>
      <c r="M266" t="s">
        <v>84</v>
      </c>
      <c r="N266">
        <v>0.3</v>
      </c>
      <c r="O266" t="b">
        <v>1</v>
      </c>
      <c r="P266">
        <v>40</v>
      </c>
      <c r="Q266" t="s">
        <v>137</v>
      </c>
      <c r="R266" t="s">
        <v>86</v>
      </c>
      <c r="S266">
        <v>0.3</v>
      </c>
      <c r="T266">
        <v>1</v>
      </c>
      <c r="U266" s="36">
        <v>1.955125</v>
      </c>
      <c r="V266" t="s">
        <v>468</v>
      </c>
      <c r="X266">
        <v>0</v>
      </c>
      <c r="Y266">
        <v>30</v>
      </c>
      <c r="Z266">
        <v>3.3333333333333333E-2</v>
      </c>
      <c r="AA266">
        <v>30</v>
      </c>
      <c r="AB266">
        <v>0</v>
      </c>
      <c r="AC266">
        <v>0</v>
      </c>
      <c r="AE266" t="s">
        <v>129</v>
      </c>
      <c r="AF266" t="s">
        <v>844</v>
      </c>
      <c r="AG266" t="s">
        <v>129</v>
      </c>
      <c r="AH266">
        <v>0</v>
      </c>
      <c r="AI266">
        <v>9.5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t="s">
        <v>845</v>
      </c>
      <c r="AY266">
        <v>7.6</v>
      </c>
      <c r="AZ266">
        <v>7</v>
      </c>
      <c r="BA266" t="s">
        <v>138</v>
      </c>
      <c r="BB266">
        <v>3.7</v>
      </c>
      <c r="BC266" t="s">
        <v>95</v>
      </c>
      <c r="BD266" t="s">
        <v>139</v>
      </c>
      <c r="BE266" t="s">
        <v>97</v>
      </c>
      <c r="BF266">
        <v>1</v>
      </c>
      <c r="BG266">
        <v>0</v>
      </c>
      <c r="BH266">
        <v>0</v>
      </c>
      <c r="BI266" t="s">
        <v>98</v>
      </c>
    </row>
    <row r="267" spans="1:61">
      <c r="A267" s="164" t="s">
        <v>846</v>
      </c>
      <c r="B267" t="s">
        <v>847</v>
      </c>
      <c r="C267">
        <v>0</v>
      </c>
      <c r="D267" t="s">
        <v>186</v>
      </c>
      <c r="E267">
        <v>0</v>
      </c>
      <c r="F267" t="s">
        <v>186</v>
      </c>
      <c r="G267" t="s">
        <v>78</v>
      </c>
      <c r="H267" t="s">
        <v>79</v>
      </c>
      <c r="I267" t="s">
        <v>80</v>
      </c>
      <c r="J267" t="s">
        <v>848</v>
      </c>
      <c r="K267" t="s">
        <v>565</v>
      </c>
      <c r="L267" t="s">
        <v>83</v>
      </c>
      <c r="M267" t="s">
        <v>84</v>
      </c>
      <c r="N267">
        <v>7.4999999999999997E-2</v>
      </c>
      <c r="O267" t="b">
        <v>1</v>
      </c>
      <c r="P267">
        <v>180</v>
      </c>
      <c r="Q267" t="s">
        <v>188</v>
      </c>
      <c r="R267" t="s">
        <v>128</v>
      </c>
      <c r="S267">
        <v>0.5</v>
      </c>
      <c r="T267">
        <v>0.5</v>
      </c>
      <c r="U267" s="36">
        <v>0.61960000000000004</v>
      </c>
      <c r="V267" t="s">
        <v>189</v>
      </c>
      <c r="X267">
        <v>0</v>
      </c>
      <c r="Y267">
        <v>108</v>
      </c>
      <c r="Z267">
        <v>0</v>
      </c>
      <c r="AA267">
        <v>30</v>
      </c>
      <c r="AB267">
        <v>0</v>
      </c>
      <c r="AC267">
        <v>0</v>
      </c>
      <c r="AE267" t="s">
        <v>129</v>
      </c>
      <c r="AF267" t="s">
        <v>186</v>
      </c>
      <c r="AG267" t="s">
        <v>129</v>
      </c>
      <c r="AH267">
        <v>0</v>
      </c>
      <c r="AI267">
        <v>2.6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t="s">
        <v>849</v>
      </c>
      <c r="AY267">
        <v>28.8</v>
      </c>
      <c r="AZ267">
        <v>8</v>
      </c>
      <c r="BA267" t="s">
        <v>94</v>
      </c>
      <c r="BB267">
        <v>1.33</v>
      </c>
      <c r="BC267" t="s">
        <v>95</v>
      </c>
      <c r="BD267" t="s">
        <v>96</v>
      </c>
      <c r="BE267" t="s">
        <v>97</v>
      </c>
      <c r="BF267">
        <v>1</v>
      </c>
      <c r="BG267">
        <v>0</v>
      </c>
      <c r="BH267">
        <v>0</v>
      </c>
      <c r="BI267" t="s">
        <v>98</v>
      </c>
    </row>
    <row r="268" spans="1:61">
      <c r="A268" s="164" t="s">
        <v>850</v>
      </c>
      <c r="B268" t="s">
        <v>851</v>
      </c>
      <c r="C268">
        <v>0</v>
      </c>
      <c r="D268" t="s">
        <v>186</v>
      </c>
      <c r="E268">
        <v>0</v>
      </c>
      <c r="F268" t="s">
        <v>186</v>
      </c>
      <c r="G268" t="s">
        <v>78</v>
      </c>
      <c r="H268" t="s">
        <v>79</v>
      </c>
      <c r="I268" t="s">
        <v>80</v>
      </c>
      <c r="J268" t="s">
        <v>564</v>
      </c>
      <c r="K268" t="s">
        <v>565</v>
      </c>
      <c r="L268" t="s">
        <v>83</v>
      </c>
      <c r="M268" t="s">
        <v>84</v>
      </c>
      <c r="N268">
        <v>0.3</v>
      </c>
      <c r="O268" t="b">
        <v>1</v>
      </c>
      <c r="P268">
        <v>180</v>
      </c>
      <c r="Q268" t="s">
        <v>188</v>
      </c>
      <c r="R268" t="s">
        <v>128</v>
      </c>
      <c r="S268">
        <v>0.3</v>
      </c>
      <c r="T268">
        <v>1</v>
      </c>
      <c r="U268" s="36">
        <v>2.5274799999999997</v>
      </c>
      <c r="V268" t="s">
        <v>468</v>
      </c>
      <c r="X268">
        <v>0</v>
      </c>
      <c r="Y268">
        <v>30</v>
      </c>
      <c r="Z268">
        <v>0</v>
      </c>
      <c r="AA268">
        <v>30</v>
      </c>
      <c r="AB268">
        <v>0</v>
      </c>
      <c r="AC268">
        <v>0</v>
      </c>
      <c r="AE268" t="s">
        <v>129</v>
      </c>
      <c r="AF268" t="s">
        <v>186</v>
      </c>
      <c r="AG268" t="s">
        <v>129</v>
      </c>
      <c r="AH268">
        <v>0</v>
      </c>
      <c r="AI268">
        <v>2.6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t="s">
        <v>852</v>
      </c>
      <c r="AY268">
        <v>3.1</v>
      </c>
      <c r="AZ268">
        <v>4</v>
      </c>
      <c r="BA268" t="s">
        <v>94</v>
      </c>
      <c r="BB268">
        <v>5.2</v>
      </c>
      <c r="BC268" t="s">
        <v>95</v>
      </c>
      <c r="BD268" t="s">
        <v>139</v>
      </c>
      <c r="BE268" t="s">
        <v>97</v>
      </c>
      <c r="BF268">
        <v>1</v>
      </c>
      <c r="BG268">
        <v>0</v>
      </c>
      <c r="BH268">
        <v>0</v>
      </c>
      <c r="BI268" t="s">
        <v>98</v>
      </c>
    </row>
    <row r="269" spans="1:61">
      <c r="A269" s="164" t="s">
        <v>853</v>
      </c>
      <c r="B269" t="s">
        <v>854</v>
      </c>
      <c r="C269">
        <v>0</v>
      </c>
      <c r="D269" t="s">
        <v>175</v>
      </c>
      <c r="E269">
        <v>0</v>
      </c>
      <c r="F269" t="s">
        <v>508</v>
      </c>
      <c r="G269" t="s">
        <v>103</v>
      </c>
      <c r="H269" t="s">
        <v>104</v>
      </c>
      <c r="I269" t="s">
        <v>80</v>
      </c>
      <c r="J269" t="s">
        <v>163</v>
      </c>
      <c r="K269" t="s">
        <v>468</v>
      </c>
      <c r="L269" t="s">
        <v>111</v>
      </c>
      <c r="M269" t="s">
        <v>84</v>
      </c>
      <c r="N269">
        <v>1.4</v>
      </c>
      <c r="O269" t="b">
        <v>0</v>
      </c>
      <c r="P269">
        <v>40</v>
      </c>
      <c r="Q269" t="s">
        <v>137</v>
      </c>
      <c r="S269">
        <v>0</v>
      </c>
      <c r="T269">
        <v>1</v>
      </c>
      <c r="U269" s="36">
        <v>7.4823000000000004</v>
      </c>
      <c r="V269" t="s">
        <v>87</v>
      </c>
      <c r="X269">
        <v>0</v>
      </c>
      <c r="Z269">
        <v>0</v>
      </c>
      <c r="AB269">
        <v>0</v>
      </c>
      <c r="AC269">
        <v>0</v>
      </c>
      <c r="AE269" t="s">
        <v>129</v>
      </c>
      <c r="AF269" t="s">
        <v>508</v>
      </c>
      <c r="AG269" t="s">
        <v>129</v>
      </c>
      <c r="AH269">
        <v>0</v>
      </c>
      <c r="AI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Y269">
        <v>0</v>
      </c>
      <c r="AZ269">
        <v>0</v>
      </c>
      <c r="BA269" t="s">
        <v>138</v>
      </c>
      <c r="BB269">
        <v>0</v>
      </c>
      <c r="BC269" t="s">
        <v>95</v>
      </c>
      <c r="BD269" t="s">
        <v>469</v>
      </c>
      <c r="BE269" t="s">
        <v>97</v>
      </c>
      <c r="BF269">
        <v>0</v>
      </c>
      <c r="BG269">
        <v>0</v>
      </c>
      <c r="BH269">
        <v>0</v>
      </c>
      <c r="BI269" t="s">
        <v>98</v>
      </c>
    </row>
    <row r="270" spans="1:61">
      <c r="A270" s="164" t="s">
        <v>855</v>
      </c>
      <c r="B270" t="s">
        <v>856</v>
      </c>
      <c r="C270">
        <v>0</v>
      </c>
      <c r="D270" t="s">
        <v>479</v>
      </c>
      <c r="E270">
        <v>0</v>
      </c>
      <c r="F270" t="s">
        <v>857</v>
      </c>
      <c r="G270" t="s">
        <v>103</v>
      </c>
      <c r="H270" t="s">
        <v>104</v>
      </c>
      <c r="I270" t="s">
        <v>80</v>
      </c>
      <c r="J270" t="s">
        <v>467</v>
      </c>
      <c r="K270" t="s">
        <v>468</v>
      </c>
      <c r="L270" t="s">
        <v>111</v>
      </c>
      <c r="M270" t="s">
        <v>84</v>
      </c>
      <c r="N270">
        <v>0.7</v>
      </c>
      <c r="O270" t="b">
        <v>0</v>
      </c>
      <c r="P270">
        <v>40</v>
      </c>
      <c r="Q270" t="s">
        <v>479</v>
      </c>
      <c r="S270">
        <v>0</v>
      </c>
      <c r="T270">
        <v>1</v>
      </c>
      <c r="V270" t="s">
        <v>87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G270" t="s">
        <v>129</v>
      </c>
      <c r="AH270">
        <v>0</v>
      </c>
      <c r="AI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t="s">
        <v>858</v>
      </c>
      <c r="AY270">
        <v>0</v>
      </c>
      <c r="AZ270">
        <v>0</v>
      </c>
      <c r="BA270" t="s">
        <v>138</v>
      </c>
      <c r="BB270">
        <v>0</v>
      </c>
      <c r="BC270" t="s">
        <v>95</v>
      </c>
      <c r="BD270" t="s">
        <v>96</v>
      </c>
      <c r="BE270" t="s">
        <v>97</v>
      </c>
      <c r="BF270">
        <v>0</v>
      </c>
      <c r="BG270">
        <v>0</v>
      </c>
      <c r="BH270">
        <v>0</v>
      </c>
      <c r="BI270" t="s">
        <v>98</v>
      </c>
    </row>
    <row r="271" spans="1:61">
      <c r="A271" s="164" t="s">
        <v>859</v>
      </c>
      <c r="B271" t="s">
        <v>860</v>
      </c>
      <c r="C271">
        <v>0</v>
      </c>
      <c r="D271" t="s">
        <v>186</v>
      </c>
      <c r="E271">
        <v>0</v>
      </c>
      <c r="F271" t="s">
        <v>186</v>
      </c>
      <c r="G271" t="s">
        <v>78</v>
      </c>
      <c r="H271" t="s">
        <v>79</v>
      </c>
      <c r="I271" t="s">
        <v>80</v>
      </c>
      <c r="J271" t="s">
        <v>564</v>
      </c>
      <c r="K271" t="s">
        <v>565</v>
      </c>
      <c r="L271" t="s">
        <v>83</v>
      </c>
      <c r="M271" t="s">
        <v>84</v>
      </c>
      <c r="N271">
        <v>0.9</v>
      </c>
      <c r="O271" t="b">
        <v>1</v>
      </c>
      <c r="P271">
        <v>180</v>
      </c>
      <c r="Q271" t="s">
        <v>188</v>
      </c>
      <c r="R271" t="s">
        <v>86</v>
      </c>
      <c r="S271">
        <v>0.9</v>
      </c>
      <c r="T271">
        <v>1</v>
      </c>
      <c r="U271" s="36">
        <v>3.7820849999999999</v>
      </c>
      <c r="V271" t="s">
        <v>468</v>
      </c>
      <c r="X271">
        <v>0</v>
      </c>
      <c r="Y271">
        <v>15</v>
      </c>
      <c r="Z271">
        <v>6.6666666666666666E-2</v>
      </c>
      <c r="AA271">
        <v>30</v>
      </c>
      <c r="AB271">
        <v>0</v>
      </c>
      <c r="AC271">
        <v>0</v>
      </c>
      <c r="AE271" t="s">
        <v>129</v>
      </c>
      <c r="AF271" t="s">
        <v>186</v>
      </c>
      <c r="AG271" t="s">
        <v>129</v>
      </c>
      <c r="AH271">
        <v>0</v>
      </c>
      <c r="AI271">
        <v>2.6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t="s">
        <v>861</v>
      </c>
      <c r="AY271">
        <v>45.7</v>
      </c>
      <c r="AZ271">
        <v>7</v>
      </c>
      <c r="BA271" t="s">
        <v>94</v>
      </c>
      <c r="BB271">
        <v>7.61</v>
      </c>
      <c r="BC271" t="s">
        <v>95</v>
      </c>
      <c r="BD271" t="s">
        <v>139</v>
      </c>
      <c r="BE271" t="s">
        <v>97</v>
      </c>
      <c r="BF271">
        <v>1</v>
      </c>
      <c r="BG271">
        <v>0</v>
      </c>
      <c r="BH271">
        <v>0</v>
      </c>
      <c r="BI271" t="s">
        <v>98</v>
      </c>
    </row>
    <row r="272" spans="1:61">
      <c r="A272" s="164" t="s">
        <v>862</v>
      </c>
      <c r="B272" t="s">
        <v>863</v>
      </c>
      <c r="C272">
        <v>0</v>
      </c>
      <c r="D272" t="s">
        <v>101</v>
      </c>
      <c r="E272">
        <v>0</v>
      </c>
      <c r="F272" t="s">
        <v>102</v>
      </c>
      <c r="G272" t="s">
        <v>103</v>
      </c>
      <c r="H272" t="s">
        <v>104</v>
      </c>
      <c r="I272" t="s">
        <v>80</v>
      </c>
      <c r="J272" t="s">
        <v>81</v>
      </c>
      <c r="K272" t="s">
        <v>82</v>
      </c>
      <c r="L272" t="s">
        <v>83</v>
      </c>
      <c r="M272" t="s">
        <v>84</v>
      </c>
      <c r="N272">
        <v>1.18</v>
      </c>
      <c r="O272" t="b">
        <v>1</v>
      </c>
      <c r="P272">
        <v>45</v>
      </c>
      <c r="Q272" t="s">
        <v>85</v>
      </c>
      <c r="R272" t="s">
        <v>86</v>
      </c>
      <c r="S272">
        <v>1.05</v>
      </c>
      <c r="T272">
        <v>0.88983050847457634</v>
      </c>
      <c r="V272" t="s">
        <v>87</v>
      </c>
      <c r="W272">
        <v>24</v>
      </c>
      <c r="X272">
        <v>0</v>
      </c>
      <c r="Y272">
        <v>9</v>
      </c>
      <c r="Z272">
        <v>0.1111111111111111</v>
      </c>
      <c r="AA272">
        <v>30</v>
      </c>
      <c r="AB272">
        <v>0</v>
      </c>
      <c r="AC272">
        <v>500</v>
      </c>
      <c r="AD272">
        <v>476.19047619047615</v>
      </c>
      <c r="AE272" t="s">
        <v>864</v>
      </c>
      <c r="AF272" t="s">
        <v>513</v>
      </c>
      <c r="AG272" t="s">
        <v>514</v>
      </c>
      <c r="AH272">
        <v>0</v>
      </c>
      <c r="AI272">
        <v>0.8</v>
      </c>
      <c r="AJ272" t="s">
        <v>91</v>
      </c>
      <c r="AK272" t="s">
        <v>92</v>
      </c>
      <c r="AL272" t="s">
        <v>93</v>
      </c>
      <c r="AM272">
        <v>0.33631111111111106</v>
      </c>
      <c r="AN272">
        <v>0.22420740740740738</v>
      </c>
      <c r="AO272">
        <v>0.34752148148148143</v>
      </c>
      <c r="AP272">
        <v>0</v>
      </c>
      <c r="AQ272">
        <v>8.6691086691086688E-2</v>
      </c>
      <c r="AR272">
        <v>2.6666666666666505E-3</v>
      </c>
      <c r="AS272">
        <v>0</v>
      </c>
      <c r="AT272">
        <v>1.0866910866910866</v>
      </c>
      <c r="AU272">
        <v>1.0026666666666666</v>
      </c>
      <c r="AV272">
        <v>1</v>
      </c>
      <c r="AW272">
        <v>0</v>
      </c>
      <c r="AX272" t="s">
        <v>865</v>
      </c>
      <c r="AY272">
        <v>0</v>
      </c>
      <c r="AZ272">
        <v>7</v>
      </c>
      <c r="BA272" t="s">
        <v>94</v>
      </c>
      <c r="BB272">
        <v>0</v>
      </c>
      <c r="BC272" t="s">
        <v>95</v>
      </c>
      <c r="BD272" t="s">
        <v>139</v>
      </c>
      <c r="BE272" t="s">
        <v>97</v>
      </c>
      <c r="BF272">
        <v>0</v>
      </c>
      <c r="BG272">
        <v>0</v>
      </c>
      <c r="BH272">
        <v>0</v>
      </c>
      <c r="BI272" t="s">
        <v>98</v>
      </c>
    </row>
    <row r="273" spans="1:61">
      <c r="A273" s="164" t="s">
        <v>866</v>
      </c>
      <c r="B273" t="s">
        <v>867</v>
      </c>
      <c r="C273">
        <v>0</v>
      </c>
      <c r="D273" t="s">
        <v>479</v>
      </c>
      <c r="E273">
        <v>0</v>
      </c>
      <c r="F273" t="s">
        <v>480</v>
      </c>
      <c r="G273" t="s">
        <v>103</v>
      </c>
      <c r="H273" t="s">
        <v>104</v>
      </c>
      <c r="I273" t="s">
        <v>80</v>
      </c>
      <c r="J273" t="s">
        <v>467</v>
      </c>
      <c r="K273" t="s">
        <v>468</v>
      </c>
      <c r="L273" t="s">
        <v>111</v>
      </c>
      <c r="M273" t="s">
        <v>84</v>
      </c>
      <c r="N273">
        <v>3.5</v>
      </c>
      <c r="O273" t="b">
        <v>0</v>
      </c>
      <c r="P273">
        <v>45</v>
      </c>
      <c r="Q273" t="s">
        <v>479</v>
      </c>
      <c r="S273">
        <v>3.5</v>
      </c>
      <c r="T273">
        <v>1</v>
      </c>
      <c r="V273" t="s">
        <v>87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H273">
        <v>0</v>
      </c>
      <c r="AI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Y273">
        <v>0</v>
      </c>
      <c r="AZ273">
        <v>5</v>
      </c>
      <c r="BA273" t="s">
        <v>138</v>
      </c>
      <c r="BB273">
        <v>0</v>
      </c>
      <c r="BC273" t="s">
        <v>95</v>
      </c>
      <c r="BD273" t="s">
        <v>139</v>
      </c>
      <c r="BE273" t="s">
        <v>97</v>
      </c>
      <c r="BF273">
        <v>0</v>
      </c>
      <c r="BG273">
        <v>0</v>
      </c>
      <c r="BH273">
        <v>0</v>
      </c>
      <c r="BI273" t="s">
        <v>98</v>
      </c>
    </row>
    <row r="274" spans="1:61">
      <c r="A274" s="164" t="s">
        <v>868</v>
      </c>
      <c r="B274" t="s">
        <v>869</v>
      </c>
      <c r="C274">
        <v>0</v>
      </c>
      <c r="D274" t="s">
        <v>101</v>
      </c>
      <c r="E274">
        <v>0</v>
      </c>
      <c r="F274" t="s">
        <v>102</v>
      </c>
      <c r="G274" t="s">
        <v>78</v>
      </c>
      <c r="H274" t="s">
        <v>79</v>
      </c>
      <c r="I274" t="s">
        <v>80</v>
      </c>
      <c r="J274" t="s">
        <v>81</v>
      </c>
      <c r="K274" t="s">
        <v>82</v>
      </c>
      <c r="L274" t="s">
        <v>83</v>
      </c>
      <c r="M274" t="s">
        <v>84</v>
      </c>
      <c r="N274">
        <v>0.17</v>
      </c>
      <c r="O274" t="b">
        <v>1</v>
      </c>
      <c r="P274">
        <v>45</v>
      </c>
      <c r="Q274" t="s">
        <v>85</v>
      </c>
      <c r="R274" t="s">
        <v>86</v>
      </c>
      <c r="S274">
        <v>0.14499999999999999</v>
      </c>
      <c r="T274">
        <v>0.85294117647058809</v>
      </c>
      <c r="U274" s="36">
        <v>0.38769999999999999</v>
      </c>
      <c r="V274" t="s">
        <v>87</v>
      </c>
      <c r="W274">
        <v>150</v>
      </c>
      <c r="X274">
        <v>0.45</v>
      </c>
      <c r="Y274">
        <v>60</v>
      </c>
      <c r="Z274">
        <v>1.6666666666666666E-2</v>
      </c>
      <c r="AA274">
        <v>30</v>
      </c>
      <c r="AB274">
        <v>0</v>
      </c>
      <c r="AC274">
        <v>500</v>
      </c>
      <c r="AD274">
        <v>3448.2758620689656</v>
      </c>
      <c r="AE274" t="s">
        <v>88</v>
      </c>
      <c r="AF274" t="s">
        <v>513</v>
      </c>
      <c r="AG274" t="s">
        <v>514</v>
      </c>
      <c r="AH274">
        <v>0</v>
      </c>
      <c r="AI274">
        <v>0.8</v>
      </c>
      <c r="AJ274" t="s">
        <v>91</v>
      </c>
      <c r="AK274" t="s">
        <v>92</v>
      </c>
      <c r="AL274" t="s">
        <v>93</v>
      </c>
      <c r="AM274">
        <v>0.33631111111111106</v>
      </c>
      <c r="AN274">
        <v>0.22420740740740738</v>
      </c>
      <c r="AO274">
        <v>0.34752148148148143</v>
      </c>
      <c r="AP274">
        <v>0</v>
      </c>
      <c r="AQ274">
        <v>8.6691086691086688E-2</v>
      </c>
      <c r="AR274">
        <v>2.6666666666666505E-3</v>
      </c>
      <c r="AS274">
        <v>0</v>
      </c>
      <c r="AT274">
        <v>1.0866910866910866</v>
      </c>
      <c r="AU274">
        <v>1.0026666666666666</v>
      </c>
      <c r="AV274">
        <v>1</v>
      </c>
      <c r="AW274">
        <v>0</v>
      </c>
      <c r="AX274" t="s">
        <v>870</v>
      </c>
      <c r="AY274">
        <v>17</v>
      </c>
      <c r="AZ274">
        <v>0</v>
      </c>
      <c r="BA274" t="s">
        <v>94</v>
      </c>
      <c r="BB274">
        <v>0.77</v>
      </c>
      <c r="BC274" t="s">
        <v>95</v>
      </c>
      <c r="BD274" t="s">
        <v>96</v>
      </c>
      <c r="BE274" t="s">
        <v>97</v>
      </c>
      <c r="BF274">
        <v>1</v>
      </c>
      <c r="BG274">
        <v>0</v>
      </c>
      <c r="BH274">
        <v>0</v>
      </c>
      <c r="BI274" t="s">
        <v>98</v>
      </c>
    </row>
    <row r="275" spans="1:61">
      <c r="A275" s="164" t="s">
        <v>871</v>
      </c>
      <c r="B275" t="s">
        <v>872</v>
      </c>
      <c r="C275">
        <v>0</v>
      </c>
      <c r="D275" t="s">
        <v>486</v>
      </c>
      <c r="E275">
        <v>0</v>
      </c>
      <c r="F275" t="s">
        <v>873</v>
      </c>
      <c r="G275" t="s">
        <v>78</v>
      </c>
      <c r="H275" t="s">
        <v>79</v>
      </c>
      <c r="I275" t="s">
        <v>80</v>
      </c>
      <c r="J275" t="s">
        <v>163</v>
      </c>
      <c r="K275" t="s">
        <v>82</v>
      </c>
      <c r="L275" t="s">
        <v>83</v>
      </c>
      <c r="M275" t="s">
        <v>84</v>
      </c>
      <c r="N275">
        <v>0.3</v>
      </c>
      <c r="O275" t="b">
        <v>1</v>
      </c>
      <c r="P275">
        <v>60</v>
      </c>
      <c r="Q275" t="s">
        <v>137</v>
      </c>
      <c r="U275" s="36">
        <v>2.4202900000000001</v>
      </c>
      <c r="V275" t="s">
        <v>165</v>
      </c>
      <c r="X275">
        <v>0</v>
      </c>
      <c r="Y275">
        <v>30</v>
      </c>
      <c r="Z275">
        <v>0</v>
      </c>
      <c r="AA275">
        <v>35</v>
      </c>
      <c r="AB275">
        <v>0</v>
      </c>
      <c r="AC275">
        <v>0</v>
      </c>
      <c r="AE275" t="s">
        <v>129</v>
      </c>
      <c r="AF275" t="s">
        <v>874</v>
      </c>
      <c r="AH275">
        <v>0</v>
      </c>
      <c r="AI275">
        <v>10.199999999999999</v>
      </c>
      <c r="AX275" t="s">
        <v>875</v>
      </c>
      <c r="AY275">
        <v>0</v>
      </c>
      <c r="AZ275">
        <v>2</v>
      </c>
      <c r="BA275" t="s">
        <v>138</v>
      </c>
      <c r="BB275">
        <v>4.8099999999999996</v>
      </c>
      <c r="BC275" t="s">
        <v>95</v>
      </c>
      <c r="BD275" t="s">
        <v>96</v>
      </c>
      <c r="BE275" t="s">
        <v>97</v>
      </c>
      <c r="BF275">
        <v>1</v>
      </c>
      <c r="BG275">
        <v>0</v>
      </c>
      <c r="BH275">
        <v>0</v>
      </c>
      <c r="BI275" t="s">
        <v>98</v>
      </c>
    </row>
    <row r="276" spans="1:61">
      <c r="A276" s="164" t="s">
        <v>876</v>
      </c>
      <c r="B276" t="s">
        <v>877</v>
      </c>
      <c r="C276">
        <v>0</v>
      </c>
      <c r="D276" t="s">
        <v>101</v>
      </c>
      <c r="E276">
        <v>0</v>
      </c>
      <c r="F276" t="s">
        <v>102</v>
      </c>
      <c r="G276" t="s">
        <v>78</v>
      </c>
      <c r="H276" t="s">
        <v>79</v>
      </c>
      <c r="I276" t="s">
        <v>80</v>
      </c>
      <c r="J276" t="s">
        <v>81</v>
      </c>
      <c r="K276" t="s">
        <v>82</v>
      </c>
      <c r="L276" t="s">
        <v>83</v>
      </c>
      <c r="M276" t="s">
        <v>84</v>
      </c>
      <c r="N276">
        <v>0.16500000000000001</v>
      </c>
      <c r="O276" t="b">
        <v>1</v>
      </c>
      <c r="P276">
        <v>45</v>
      </c>
      <c r="Q276" t="s">
        <v>85</v>
      </c>
      <c r="R276" t="s">
        <v>86</v>
      </c>
      <c r="S276">
        <v>0.14499999999999999</v>
      </c>
      <c r="T276">
        <v>0.88957055214723912</v>
      </c>
      <c r="U276" s="36">
        <v>0.32339499999999999</v>
      </c>
      <c r="V276" t="s">
        <v>87</v>
      </c>
      <c r="W276">
        <v>150</v>
      </c>
      <c r="X276">
        <v>0.45</v>
      </c>
      <c r="Y276">
        <v>60</v>
      </c>
      <c r="Z276">
        <v>1.6666666666666666E-2</v>
      </c>
      <c r="AA276">
        <v>30</v>
      </c>
      <c r="AB276">
        <v>0</v>
      </c>
      <c r="AC276">
        <v>500</v>
      </c>
      <c r="AD276">
        <v>3448.2758620689656</v>
      </c>
      <c r="AE276" t="s">
        <v>88</v>
      </c>
      <c r="AF276" t="s">
        <v>513</v>
      </c>
      <c r="AG276" t="s">
        <v>514</v>
      </c>
      <c r="AH276">
        <v>0</v>
      </c>
      <c r="AI276">
        <v>0.8</v>
      </c>
      <c r="AJ276" t="s">
        <v>91</v>
      </c>
      <c r="AK276" t="s">
        <v>92</v>
      </c>
      <c r="AL276" t="s">
        <v>93</v>
      </c>
      <c r="AM276">
        <v>0.33631111111111106</v>
      </c>
      <c r="AN276">
        <v>0.22420740740740738</v>
      </c>
      <c r="AO276">
        <v>0.34752148148148143</v>
      </c>
      <c r="AP276">
        <v>0</v>
      </c>
      <c r="AQ276">
        <v>8.6691086691086688E-2</v>
      </c>
      <c r="AR276">
        <v>2.6666666666666505E-3</v>
      </c>
      <c r="AS276">
        <v>0</v>
      </c>
      <c r="AT276">
        <v>1.0866910866910866</v>
      </c>
      <c r="AU276">
        <v>1.0026666666666666</v>
      </c>
      <c r="AV276">
        <v>1</v>
      </c>
      <c r="AW276">
        <v>0</v>
      </c>
      <c r="AX276" t="s">
        <v>878</v>
      </c>
      <c r="AY276">
        <v>15.98</v>
      </c>
      <c r="AZ276">
        <v>0</v>
      </c>
      <c r="BA276" t="s">
        <v>94</v>
      </c>
      <c r="BB276">
        <v>0.77</v>
      </c>
      <c r="BC276" t="s">
        <v>95</v>
      </c>
      <c r="BD276" t="s">
        <v>96</v>
      </c>
      <c r="BE276" t="s">
        <v>97</v>
      </c>
      <c r="BF276">
        <v>1</v>
      </c>
      <c r="BG276">
        <v>0</v>
      </c>
      <c r="BH276">
        <v>0</v>
      </c>
      <c r="BI276" t="s">
        <v>98</v>
      </c>
    </row>
    <row r="277" spans="1:61">
      <c r="A277" s="164" t="s">
        <v>879</v>
      </c>
      <c r="B277" t="s">
        <v>880</v>
      </c>
      <c r="C277">
        <v>0</v>
      </c>
      <c r="D277" t="s">
        <v>194</v>
      </c>
      <c r="E277">
        <v>0</v>
      </c>
      <c r="F277" t="s">
        <v>195</v>
      </c>
      <c r="G277" t="s">
        <v>78</v>
      </c>
      <c r="H277" t="s">
        <v>79</v>
      </c>
      <c r="I277" t="s">
        <v>80</v>
      </c>
      <c r="J277" t="s">
        <v>196</v>
      </c>
      <c r="K277" t="s">
        <v>13</v>
      </c>
      <c r="L277" t="s">
        <v>83</v>
      </c>
      <c r="M277" t="s">
        <v>84</v>
      </c>
      <c r="N277">
        <v>1</v>
      </c>
      <c r="O277" t="b">
        <v>1</v>
      </c>
      <c r="P277">
        <v>0</v>
      </c>
      <c r="BB277">
        <v>0</v>
      </c>
      <c r="BC277" t="s">
        <v>197</v>
      </c>
      <c r="BD277" t="s">
        <v>198</v>
      </c>
      <c r="BE277" t="s">
        <v>117</v>
      </c>
      <c r="BF277">
        <v>0</v>
      </c>
      <c r="BG277">
        <v>0</v>
      </c>
      <c r="BH277">
        <v>0</v>
      </c>
    </row>
    <row r="278" spans="1:61">
      <c r="A278" s="164" t="s">
        <v>881</v>
      </c>
      <c r="B278" t="s">
        <v>882</v>
      </c>
      <c r="C278">
        <v>0</v>
      </c>
      <c r="D278" t="s">
        <v>194</v>
      </c>
      <c r="E278">
        <v>0</v>
      </c>
      <c r="F278" t="s">
        <v>195</v>
      </c>
      <c r="G278" t="s">
        <v>78</v>
      </c>
      <c r="H278" t="s">
        <v>79</v>
      </c>
      <c r="I278" t="s">
        <v>80</v>
      </c>
      <c r="J278" t="s">
        <v>196</v>
      </c>
      <c r="K278" t="s">
        <v>13</v>
      </c>
      <c r="L278" t="s">
        <v>83</v>
      </c>
      <c r="M278" t="s">
        <v>84</v>
      </c>
      <c r="N278">
        <v>1</v>
      </c>
      <c r="O278" t="b">
        <v>1</v>
      </c>
      <c r="P278">
        <v>0</v>
      </c>
      <c r="BB278">
        <v>0</v>
      </c>
      <c r="BC278" t="s">
        <v>197</v>
      </c>
      <c r="BD278" t="s">
        <v>198</v>
      </c>
      <c r="BE278" t="s">
        <v>117</v>
      </c>
      <c r="BF278">
        <v>0</v>
      </c>
      <c r="BG278">
        <v>0</v>
      </c>
      <c r="BH278">
        <v>0</v>
      </c>
    </row>
    <row r="279" spans="1:61">
      <c r="A279" s="164" t="s">
        <v>883</v>
      </c>
      <c r="B279" t="s">
        <v>884</v>
      </c>
      <c r="C279">
        <v>0</v>
      </c>
      <c r="D279" t="s">
        <v>194</v>
      </c>
      <c r="E279">
        <v>0</v>
      </c>
      <c r="F279" t="s">
        <v>195</v>
      </c>
      <c r="G279" t="s">
        <v>78</v>
      </c>
      <c r="H279" t="s">
        <v>79</v>
      </c>
      <c r="I279" t="s">
        <v>80</v>
      </c>
      <c r="J279" t="s">
        <v>196</v>
      </c>
      <c r="K279" t="s">
        <v>13</v>
      </c>
      <c r="L279" t="s">
        <v>83</v>
      </c>
      <c r="M279" t="s">
        <v>205</v>
      </c>
      <c r="N279">
        <v>1</v>
      </c>
      <c r="O279" t="b">
        <v>1</v>
      </c>
      <c r="P279">
        <v>0</v>
      </c>
      <c r="BB279">
        <v>0</v>
      </c>
      <c r="BC279" t="s">
        <v>197</v>
      </c>
      <c r="BD279" t="s">
        <v>198</v>
      </c>
      <c r="BE279" t="s">
        <v>117</v>
      </c>
      <c r="BF279">
        <v>0</v>
      </c>
      <c r="BG279">
        <v>0</v>
      </c>
      <c r="BH279">
        <v>0</v>
      </c>
    </row>
    <row r="280" spans="1:61">
      <c r="A280" s="164" t="s">
        <v>885</v>
      </c>
      <c r="B280" t="s">
        <v>886</v>
      </c>
      <c r="C280">
        <v>0</v>
      </c>
      <c r="D280" t="s">
        <v>194</v>
      </c>
      <c r="E280">
        <v>0</v>
      </c>
      <c r="F280" t="s">
        <v>195</v>
      </c>
      <c r="G280" t="s">
        <v>78</v>
      </c>
      <c r="H280" t="s">
        <v>79</v>
      </c>
      <c r="I280" t="s">
        <v>80</v>
      </c>
      <c r="J280" t="s">
        <v>196</v>
      </c>
      <c r="K280" t="s">
        <v>13</v>
      </c>
      <c r="L280" t="s">
        <v>83</v>
      </c>
      <c r="M280" t="s">
        <v>84</v>
      </c>
      <c r="N280">
        <v>1</v>
      </c>
      <c r="O280" t="b">
        <v>1</v>
      </c>
      <c r="P280">
        <v>0</v>
      </c>
      <c r="BB280">
        <v>0</v>
      </c>
      <c r="BC280" t="s">
        <v>197</v>
      </c>
      <c r="BD280" t="s">
        <v>198</v>
      </c>
      <c r="BE280" t="s">
        <v>117</v>
      </c>
      <c r="BF280">
        <v>0</v>
      </c>
      <c r="BG280">
        <v>0</v>
      </c>
      <c r="BH280">
        <v>0</v>
      </c>
    </row>
    <row r="281" spans="1:61">
      <c r="A281" s="164" t="s">
        <v>887</v>
      </c>
      <c r="B281" t="s">
        <v>888</v>
      </c>
      <c r="C281">
        <v>0</v>
      </c>
      <c r="D281" t="s">
        <v>194</v>
      </c>
      <c r="E281">
        <v>0</v>
      </c>
      <c r="F281" t="s">
        <v>195</v>
      </c>
      <c r="G281" t="s">
        <v>78</v>
      </c>
      <c r="H281" t="s">
        <v>79</v>
      </c>
      <c r="I281" t="s">
        <v>80</v>
      </c>
      <c r="J281" t="s">
        <v>196</v>
      </c>
      <c r="K281" t="s">
        <v>13</v>
      </c>
      <c r="L281" t="s">
        <v>83</v>
      </c>
      <c r="M281" t="s">
        <v>205</v>
      </c>
      <c r="N281">
        <v>1</v>
      </c>
      <c r="O281" t="b">
        <v>1</v>
      </c>
      <c r="P281">
        <v>0</v>
      </c>
      <c r="BB281">
        <v>0</v>
      </c>
      <c r="BC281" t="s">
        <v>197</v>
      </c>
      <c r="BD281" t="s">
        <v>198</v>
      </c>
      <c r="BE281" t="s">
        <v>117</v>
      </c>
      <c r="BF281">
        <v>0</v>
      </c>
      <c r="BG281">
        <v>0</v>
      </c>
      <c r="BH281">
        <v>0</v>
      </c>
    </row>
    <row r="282" spans="1:61">
      <c r="A282" s="164" t="s">
        <v>889</v>
      </c>
      <c r="B282" t="s">
        <v>769</v>
      </c>
      <c r="C282">
        <v>0</v>
      </c>
      <c r="D282" t="s">
        <v>194</v>
      </c>
      <c r="E282">
        <v>0</v>
      </c>
      <c r="F282" t="s">
        <v>195</v>
      </c>
      <c r="G282" t="s">
        <v>78</v>
      </c>
      <c r="H282" t="s">
        <v>79</v>
      </c>
      <c r="I282" t="s">
        <v>80</v>
      </c>
      <c r="J282" t="s">
        <v>196</v>
      </c>
      <c r="K282" t="s">
        <v>13</v>
      </c>
      <c r="L282" t="s">
        <v>83</v>
      </c>
      <c r="M282" t="s">
        <v>205</v>
      </c>
      <c r="N282">
        <v>1</v>
      </c>
      <c r="O282" t="b">
        <v>1</v>
      </c>
      <c r="P282">
        <v>0</v>
      </c>
      <c r="BB282">
        <v>0</v>
      </c>
      <c r="BC282" t="s">
        <v>197</v>
      </c>
      <c r="BD282" t="s">
        <v>198</v>
      </c>
      <c r="BE282" t="s">
        <v>117</v>
      </c>
      <c r="BF282">
        <v>0</v>
      </c>
      <c r="BG282">
        <v>0</v>
      </c>
      <c r="BH282">
        <v>0</v>
      </c>
    </row>
    <row r="283" spans="1:61">
      <c r="A283" s="164" t="s">
        <v>890</v>
      </c>
      <c r="B283" t="s">
        <v>514</v>
      </c>
      <c r="C283">
        <v>0</v>
      </c>
      <c r="D283" t="s">
        <v>194</v>
      </c>
      <c r="E283">
        <v>0</v>
      </c>
      <c r="F283" t="s">
        <v>195</v>
      </c>
      <c r="G283" t="s">
        <v>78</v>
      </c>
      <c r="H283" t="s">
        <v>79</v>
      </c>
      <c r="I283" t="s">
        <v>80</v>
      </c>
      <c r="J283" t="s">
        <v>196</v>
      </c>
      <c r="K283" t="s">
        <v>13</v>
      </c>
      <c r="L283" t="s">
        <v>83</v>
      </c>
      <c r="M283" t="s">
        <v>205</v>
      </c>
      <c r="N283">
        <v>1</v>
      </c>
      <c r="O283" t="b">
        <v>1</v>
      </c>
      <c r="P283">
        <v>0</v>
      </c>
      <c r="BB283">
        <v>0</v>
      </c>
      <c r="BC283" t="s">
        <v>197</v>
      </c>
      <c r="BD283" t="s">
        <v>198</v>
      </c>
      <c r="BE283" t="s">
        <v>117</v>
      </c>
      <c r="BF283">
        <v>0</v>
      </c>
      <c r="BG283">
        <v>0</v>
      </c>
      <c r="BH283">
        <v>0</v>
      </c>
    </row>
    <row r="284" spans="1:61">
      <c r="A284" s="164" t="s">
        <v>891</v>
      </c>
      <c r="B284" t="s">
        <v>892</v>
      </c>
      <c r="C284">
        <v>0</v>
      </c>
      <c r="D284" t="s">
        <v>194</v>
      </c>
      <c r="E284">
        <v>0</v>
      </c>
      <c r="F284" t="s">
        <v>195</v>
      </c>
      <c r="G284" t="s">
        <v>78</v>
      </c>
      <c r="H284" t="s">
        <v>79</v>
      </c>
      <c r="I284" t="s">
        <v>80</v>
      </c>
      <c r="J284" t="s">
        <v>196</v>
      </c>
      <c r="K284" t="s">
        <v>13</v>
      </c>
      <c r="L284" t="s">
        <v>83</v>
      </c>
      <c r="M284" t="s">
        <v>84</v>
      </c>
      <c r="N284">
        <v>1</v>
      </c>
      <c r="O284" t="b">
        <v>1</v>
      </c>
      <c r="P284">
        <v>0</v>
      </c>
      <c r="BB284">
        <v>0</v>
      </c>
      <c r="BC284" t="s">
        <v>197</v>
      </c>
      <c r="BD284" t="s">
        <v>198</v>
      </c>
      <c r="BE284" t="s">
        <v>117</v>
      </c>
      <c r="BF284">
        <v>0</v>
      </c>
      <c r="BG284">
        <v>0</v>
      </c>
      <c r="BH284">
        <v>0</v>
      </c>
    </row>
    <row r="285" spans="1:61">
      <c r="A285" s="164" t="s">
        <v>893</v>
      </c>
      <c r="B285" t="s">
        <v>894</v>
      </c>
      <c r="C285">
        <v>0</v>
      </c>
      <c r="D285" t="s">
        <v>194</v>
      </c>
      <c r="E285">
        <v>0</v>
      </c>
      <c r="F285" t="s">
        <v>214</v>
      </c>
      <c r="G285" t="s">
        <v>78</v>
      </c>
      <c r="H285" t="s">
        <v>79</v>
      </c>
      <c r="I285" t="s">
        <v>80</v>
      </c>
      <c r="J285" t="s">
        <v>196</v>
      </c>
      <c r="K285" t="s">
        <v>13</v>
      </c>
      <c r="L285" t="s">
        <v>83</v>
      </c>
      <c r="M285" t="s">
        <v>84</v>
      </c>
      <c r="N285">
        <v>1</v>
      </c>
      <c r="O285" t="b">
        <v>1</v>
      </c>
      <c r="P285">
        <v>0</v>
      </c>
      <c r="BB285">
        <v>0</v>
      </c>
      <c r="BC285" t="s">
        <v>197</v>
      </c>
      <c r="BD285" t="s">
        <v>216</v>
      </c>
      <c r="BE285" t="s">
        <v>117</v>
      </c>
      <c r="BF285">
        <v>0</v>
      </c>
      <c r="BG285">
        <v>0</v>
      </c>
      <c r="BH285">
        <v>0</v>
      </c>
    </row>
    <row r="286" spans="1:61">
      <c r="A286" s="164" t="s">
        <v>895</v>
      </c>
      <c r="B286" t="s">
        <v>896</v>
      </c>
      <c r="C286">
        <v>0</v>
      </c>
      <c r="D286" t="s">
        <v>194</v>
      </c>
      <c r="E286">
        <v>0</v>
      </c>
      <c r="F286" t="s">
        <v>195</v>
      </c>
      <c r="G286" t="s">
        <v>78</v>
      </c>
      <c r="H286" t="s">
        <v>79</v>
      </c>
      <c r="I286" t="s">
        <v>80</v>
      </c>
      <c r="J286" t="s">
        <v>196</v>
      </c>
      <c r="K286" t="s">
        <v>13</v>
      </c>
      <c r="L286" t="s">
        <v>83</v>
      </c>
      <c r="M286" t="s">
        <v>84</v>
      </c>
      <c r="N286">
        <v>1</v>
      </c>
      <c r="O286" t="b">
        <v>1</v>
      </c>
      <c r="P286">
        <v>0</v>
      </c>
      <c r="BB286">
        <v>0</v>
      </c>
      <c r="BC286" t="s">
        <v>197</v>
      </c>
      <c r="BD286" t="s">
        <v>198</v>
      </c>
      <c r="BE286" t="s">
        <v>117</v>
      </c>
      <c r="BF286">
        <v>0</v>
      </c>
      <c r="BG286">
        <v>0</v>
      </c>
      <c r="BH286">
        <v>0</v>
      </c>
    </row>
    <row r="287" spans="1:61">
      <c r="A287" s="164" t="s">
        <v>897</v>
      </c>
      <c r="B287" t="s">
        <v>898</v>
      </c>
      <c r="C287">
        <v>0</v>
      </c>
      <c r="D287" t="s">
        <v>194</v>
      </c>
      <c r="E287">
        <v>0</v>
      </c>
      <c r="F287" t="s">
        <v>195</v>
      </c>
      <c r="G287" t="s">
        <v>78</v>
      </c>
      <c r="H287" t="s">
        <v>79</v>
      </c>
      <c r="I287" t="s">
        <v>80</v>
      </c>
      <c r="J287" t="s">
        <v>196</v>
      </c>
      <c r="K287" t="s">
        <v>13</v>
      </c>
      <c r="L287" t="s">
        <v>83</v>
      </c>
      <c r="M287" t="s">
        <v>205</v>
      </c>
      <c r="N287">
        <v>1</v>
      </c>
      <c r="O287" t="b">
        <v>1</v>
      </c>
      <c r="P287">
        <v>0</v>
      </c>
      <c r="BB287">
        <v>0</v>
      </c>
      <c r="BC287" t="s">
        <v>197</v>
      </c>
      <c r="BD287" t="s">
        <v>198</v>
      </c>
      <c r="BE287" t="s">
        <v>117</v>
      </c>
      <c r="BF287">
        <v>0</v>
      </c>
      <c r="BG287">
        <v>0</v>
      </c>
      <c r="BH287">
        <v>0</v>
      </c>
    </row>
    <row r="288" spans="1:61">
      <c r="A288" s="164" t="s">
        <v>899</v>
      </c>
      <c r="B288" t="s">
        <v>900</v>
      </c>
      <c r="C288">
        <v>0</v>
      </c>
      <c r="D288" t="s">
        <v>194</v>
      </c>
      <c r="E288">
        <v>0</v>
      </c>
      <c r="F288" t="s">
        <v>195</v>
      </c>
      <c r="G288" t="s">
        <v>78</v>
      </c>
      <c r="H288" t="s">
        <v>79</v>
      </c>
      <c r="I288" t="s">
        <v>80</v>
      </c>
      <c r="J288" t="s">
        <v>196</v>
      </c>
      <c r="K288" t="s">
        <v>13</v>
      </c>
      <c r="L288" t="s">
        <v>83</v>
      </c>
      <c r="M288" t="s">
        <v>205</v>
      </c>
      <c r="N288">
        <v>1</v>
      </c>
      <c r="O288" t="b">
        <v>1</v>
      </c>
      <c r="P288">
        <v>0</v>
      </c>
      <c r="BB288">
        <v>0</v>
      </c>
      <c r="BC288" t="s">
        <v>197</v>
      </c>
      <c r="BD288" t="s">
        <v>198</v>
      </c>
      <c r="BE288" t="s">
        <v>117</v>
      </c>
      <c r="BF288">
        <v>0</v>
      </c>
      <c r="BG288">
        <v>0</v>
      </c>
      <c r="BH288">
        <v>0</v>
      </c>
    </row>
    <row r="289" spans="1:61">
      <c r="A289" s="164" t="s">
        <v>901</v>
      </c>
      <c r="B289" t="s">
        <v>902</v>
      </c>
      <c r="C289">
        <v>0</v>
      </c>
      <c r="D289" t="s">
        <v>147</v>
      </c>
      <c r="E289">
        <v>0</v>
      </c>
      <c r="F289" t="s">
        <v>773</v>
      </c>
      <c r="G289" t="s">
        <v>103</v>
      </c>
      <c r="H289" t="s">
        <v>104</v>
      </c>
      <c r="I289" t="s">
        <v>80</v>
      </c>
      <c r="J289" t="s">
        <v>109</v>
      </c>
      <c r="K289" t="s">
        <v>110</v>
      </c>
      <c r="L289" t="s">
        <v>111</v>
      </c>
      <c r="M289" t="s">
        <v>84</v>
      </c>
      <c r="N289">
        <v>1.05</v>
      </c>
      <c r="O289" t="b">
        <v>0</v>
      </c>
      <c r="P289">
        <v>45</v>
      </c>
      <c r="Q289" t="s">
        <v>85</v>
      </c>
      <c r="S289">
        <v>0</v>
      </c>
      <c r="T289">
        <v>0</v>
      </c>
      <c r="V289" t="s">
        <v>87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F289" t="s">
        <v>903</v>
      </c>
      <c r="AH289">
        <v>0</v>
      </c>
      <c r="AI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t="s">
        <v>904</v>
      </c>
      <c r="AY289">
        <v>0</v>
      </c>
      <c r="AZ289">
        <v>0</v>
      </c>
      <c r="BA289" t="s">
        <v>94</v>
      </c>
      <c r="BB289">
        <v>0</v>
      </c>
      <c r="BC289" t="s">
        <v>115</v>
      </c>
      <c r="BD289" t="s">
        <v>116</v>
      </c>
      <c r="BE289" t="s">
        <v>117</v>
      </c>
      <c r="BF289">
        <v>0</v>
      </c>
      <c r="BG289">
        <v>0</v>
      </c>
      <c r="BH289">
        <v>0</v>
      </c>
      <c r="BI289" t="s">
        <v>98</v>
      </c>
    </row>
    <row r="290" spans="1:61">
      <c r="A290" s="164" t="s">
        <v>905</v>
      </c>
      <c r="B290" t="s">
        <v>906</v>
      </c>
      <c r="C290">
        <v>0</v>
      </c>
      <c r="D290" t="s">
        <v>101</v>
      </c>
      <c r="E290">
        <v>0</v>
      </c>
      <c r="F290" t="s">
        <v>102</v>
      </c>
      <c r="G290" t="s">
        <v>103</v>
      </c>
      <c r="H290" t="s">
        <v>104</v>
      </c>
      <c r="I290" t="s">
        <v>80</v>
      </c>
      <c r="J290" t="s">
        <v>81</v>
      </c>
      <c r="K290" t="s">
        <v>82</v>
      </c>
      <c r="L290" t="s">
        <v>83</v>
      </c>
      <c r="M290" t="s">
        <v>84</v>
      </c>
      <c r="N290">
        <v>0.16200000000000001</v>
      </c>
      <c r="O290" t="b">
        <v>1</v>
      </c>
      <c r="P290">
        <v>45</v>
      </c>
      <c r="Q290" t="s">
        <v>85</v>
      </c>
      <c r="R290" t="s">
        <v>86</v>
      </c>
      <c r="S290">
        <v>0.16200000000000001</v>
      </c>
      <c r="T290">
        <v>0.87878787878787867</v>
      </c>
      <c r="U290" s="36">
        <v>0.338445</v>
      </c>
      <c r="V290" t="s">
        <v>87</v>
      </c>
      <c r="W290">
        <v>150</v>
      </c>
      <c r="X290">
        <v>0.45</v>
      </c>
      <c r="Y290">
        <v>60</v>
      </c>
      <c r="Z290">
        <v>1.6666666666666666E-2</v>
      </c>
      <c r="AA290">
        <v>30</v>
      </c>
      <c r="AB290">
        <v>0</v>
      </c>
      <c r="AC290">
        <v>500</v>
      </c>
      <c r="AD290">
        <v>3448.2758620689656</v>
      </c>
      <c r="AE290" t="s">
        <v>88</v>
      </c>
      <c r="AF290" t="s">
        <v>513</v>
      </c>
      <c r="AG290" t="s">
        <v>514</v>
      </c>
      <c r="AH290">
        <v>0</v>
      </c>
      <c r="AI290">
        <v>0.8</v>
      </c>
      <c r="AJ290" t="s">
        <v>91</v>
      </c>
      <c r="AK290" t="s">
        <v>92</v>
      </c>
      <c r="AL290" t="s">
        <v>93</v>
      </c>
      <c r="AM290">
        <v>0.33631111111111106</v>
      </c>
      <c r="AN290">
        <v>0.22420740740740738</v>
      </c>
      <c r="AO290">
        <v>0.34752148148148143</v>
      </c>
      <c r="AP290">
        <v>0</v>
      </c>
      <c r="AQ290">
        <v>8.6691086691086688E-2</v>
      </c>
      <c r="AR290">
        <v>2.6666666666666505E-3</v>
      </c>
      <c r="AS290">
        <v>0</v>
      </c>
      <c r="AT290">
        <v>1.0866910866910866</v>
      </c>
      <c r="AU290">
        <v>1.0026666666666666</v>
      </c>
      <c r="AV290">
        <v>1</v>
      </c>
      <c r="AW290">
        <v>0</v>
      </c>
      <c r="AX290" t="s">
        <v>907</v>
      </c>
      <c r="AY290">
        <v>15.98</v>
      </c>
      <c r="AZ290">
        <v>7</v>
      </c>
      <c r="BA290" t="s">
        <v>94</v>
      </c>
      <c r="BB290">
        <v>0.77</v>
      </c>
      <c r="BC290" t="s">
        <v>95</v>
      </c>
      <c r="BD290" t="s">
        <v>96</v>
      </c>
      <c r="BE290" t="s">
        <v>97</v>
      </c>
      <c r="BF290">
        <v>1</v>
      </c>
      <c r="BG290">
        <v>0</v>
      </c>
      <c r="BH290">
        <v>0</v>
      </c>
      <c r="BI290" t="s">
        <v>98</v>
      </c>
    </row>
    <row r="291" spans="1:61">
      <c r="A291" s="164" t="s">
        <v>908</v>
      </c>
      <c r="B291" t="s">
        <v>909</v>
      </c>
      <c r="C291">
        <v>0</v>
      </c>
      <c r="D291" t="s">
        <v>107</v>
      </c>
      <c r="E291">
        <v>0</v>
      </c>
      <c r="F291" t="s">
        <v>910</v>
      </c>
      <c r="G291" t="s">
        <v>103</v>
      </c>
      <c r="H291" t="s">
        <v>104</v>
      </c>
      <c r="I291" t="s">
        <v>80</v>
      </c>
      <c r="J291" t="s">
        <v>81</v>
      </c>
      <c r="K291" t="s">
        <v>82</v>
      </c>
      <c r="L291" t="s">
        <v>83</v>
      </c>
      <c r="M291" t="s">
        <v>84</v>
      </c>
      <c r="N291">
        <v>0.15</v>
      </c>
      <c r="O291" t="b">
        <v>1</v>
      </c>
      <c r="P291">
        <v>45</v>
      </c>
      <c r="Q291" t="s">
        <v>85</v>
      </c>
      <c r="R291" t="s">
        <v>86</v>
      </c>
      <c r="S291">
        <v>0.15</v>
      </c>
      <c r="T291">
        <v>1</v>
      </c>
      <c r="U291" s="36">
        <v>0.21884000000000001</v>
      </c>
      <c r="V291" t="s">
        <v>87</v>
      </c>
      <c r="W291">
        <v>150</v>
      </c>
      <c r="X291">
        <v>0.45</v>
      </c>
      <c r="Y291">
        <v>108</v>
      </c>
      <c r="Z291">
        <v>9.2592592592592587E-3</v>
      </c>
      <c r="AA291">
        <v>30</v>
      </c>
      <c r="AB291">
        <v>0</v>
      </c>
      <c r="AC291">
        <v>540</v>
      </c>
      <c r="AD291">
        <v>3600</v>
      </c>
      <c r="AE291" t="s">
        <v>88</v>
      </c>
      <c r="AF291" t="s">
        <v>559</v>
      </c>
      <c r="AG291" t="s">
        <v>560</v>
      </c>
      <c r="AH291">
        <v>0</v>
      </c>
      <c r="AI291">
        <v>0.9</v>
      </c>
      <c r="AJ291" t="s">
        <v>91</v>
      </c>
      <c r="AK291" t="s">
        <v>92</v>
      </c>
      <c r="AL291" t="s">
        <v>93</v>
      </c>
      <c r="AM291">
        <v>0.33138777777777773</v>
      </c>
      <c r="AN291">
        <v>0.22092518518518517</v>
      </c>
      <c r="AO291">
        <v>0.34243403703703701</v>
      </c>
      <c r="AP291">
        <v>0</v>
      </c>
      <c r="AQ291">
        <v>8.6691086691086688E-2</v>
      </c>
      <c r="AR291">
        <v>2.6666666666666505E-3</v>
      </c>
      <c r="AS291">
        <v>0</v>
      </c>
      <c r="AT291">
        <v>1.0866910866910866</v>
      </c>
      <c r="AU291">
        <v>1.0026666666666666</v>
      </c>
      <c r="AV291">
        <v>1</v>
      </c>
      <c r="AW291">
        <v>0</v>
      </c>
      <c r="AX291" t="s">
        <v>911</v>
      </c>
      <c r="AY291">
        <v>8.9</v>
      </c>
      <c r="AZ291">
        <v>0</v>
      </c>
      <c r="BA291" t="s">
        <v>94</v>
      </c>
      <c r="BB291">
        <v>0.68</v>
      </c>
      <c r="BC291" t="s">
        <v>95</v>
      </c>
      <c r="BD291" t="s">
        <v>96</v>
      </c>
      <c r="BE291" t="s">
        <v>97</v>
      </c>
      <c r="BF291">
        <v>0</v>
      </c>
      <c r="BG291">
        <v>0</v>
      </c>
      <c r="BH291">
        <v>0</v>
      </c>
      <c r="BI291" t="s">
        <v>98</v>
      </c>
    </row>
    <row r="292" spans="1:61">
      <c r="A292" s="164" t="s">
        <v>912</v>
      </c>
      <c r="B292" t="s">
        <v>913</v>
      </c>
      <c r="C292">
        <v>0</v>
      </c>
      <c r="D292" t="s">
        <v>107</v>
      </c>
      <c r="E292">
        <v>0</v>
      </c>
      <c r="F292" t="s">
        <v>910</v>
      </c>
      <c r="G292" t="s">
        <v>103</v>
      </c>
      <c r="H292" t="s">
        <v>104</v>
      </c>
      <c r="I292" t="s">
        <v>80</v>
      </c>
      <c r="J292" t="s">
        <v>81</v>
      </c>
      <c r="K292" t="s">
        <v>82</v>
      </c>
      <c r="L292" t="s">
        <v>83</v>
      </c>
      <c r="M292" t="s">
        <v>84</v>
      </c>
      <c r="N292">
        <v>0.15</v>
      </c>
      <c r="O292" t="b">
        <v>1</v>
      </c>
      <c r="P292">
        <v>45</v>
      </c>
      <c r="Q292" t="s">
        <v>85</v>
      </c>
      <c r="R292" t="s">
        <v>86</v>
      </c>
      <c r="S292">
        <v>0.15</v>
      </c>
      <c r="T292">
        <v>1</v>
      </c>
      <c r="U292" s="36">
        <v>0.23988500000000001</v>
      </c>
      <c r="V292" t="s">
        <v>87</v>
      </c>
      <c r="W292">
        <v>150</v>
      </c>
      <c r="X292">
        <v>0.45</v>
      </c>
      <c r="Y292">
        <v>108</v>
      </c>
      <c r="Z292">
        <v>9.2592592592592587E-3</v>
      </c>
      <c r="AA292">
        <v>30</v>
      </c>
      <c r="AB292">
        <v>0</v>
      </c>
      <c r="AC292">
        <v>540</v>
      </c>
      <c r="AD292">
        <v>3600</v>
      </c>
      <c r="AE292" t="s">
        <v>88</v>
      </c>
      <c r="AF292" t="s">
        <v>559</v>
      </c>
      <c r="AG292" t="s">
        <v>560</v>
      </c>
      <c r="AH292">
        <v>0</v>
      </c>
      <c r="AI292">
        <v>0.9</v>
      </c>
      <c r="AJ292" t="s">
        <v>91</v>
      </c>
      <c r="AK292" t="s">
        <v>92</v>
      </c>
      <c r="AL292" t="s">
        <v>93</v>
      </c>
      <c r="AM292">
        <v>0.33138777777777773</v>
      </c>
      <c r="AN292">
        <v>0.22092518518518517</v>
      </c>
      <c r="AO292">
        <v>0.34243403703703701</v>
      </c>
      <c r="AP292">
        <v>0</v>
      </c>
      <c r="AQ292">
        <v>8.6691086691086688E-2</v>
      </c>
      <c r="AR292">
        <v>2.6666666666666505E-3</v>
      </c>
      <c r="AS292">
        <v>0</v>
      </c>
      <c r="AT292">
        <v>1.0866910866910866</v>
      </c>
      <c r="AU292">
        <v>1.0026666666666666</v>
      </c>
      <c r="AV292">
        <v>1</v>
      </c>
      <c r="AW292">
        <v>0</v>
      </c>
      <c r="AX292" t="s">
        <v>914</v>
      </c>
      <c r="AY292">
        <v>8.9</v>
      </c>
      <c r="AZ292">
        <v>7</v>
      </c>
      <c r="BA292" t="s">
        <v>94</v>
      </c>
      <c r="BB292">
        <v>0.68</v>
      </c>
      <c r="BC292" t="s">
        <v>95</v>
      </c>
      <c r="BD292" t="s">
        <v>96</v>
      </c>
      <c r="BE292" t="s">
        <v>97</v>
      </c>
      <c r="BF292">
        <v>0</v>
      </c>
      <c r="BG292">
        <v>0</v>
      </c>
      <c r="BH292">
        <v>0</v>
      </c>
      <c r="BI292" t="s">
        <v>98</v>
      </c>
    </row>
    <row r="293" spans="1:61">
      <c r="A293" s="164" t="s">
        <v>915</v>
      </c>
      <c r="B293" t="s">
        <v>916</v>
      </c>
      <c r="C293">
        <v>0</v>
      </c>
      <c r="D293" t="s">
        <v>107</v>
      </c>
      <c r="E293">
        <v>0</v>
      </c>
      <c r="F293" t="s">
        <v>910</v>
      </c>
      <c r="G293" t="s">
        <v>103</v>
      </c>
      <c r="H293" t="s">
        <v>104</v>
      </c>
      <c r="I293" t="s">
        <v>80</v>
      </c>
      <c r="J293" t="s">
        <v>81</v>
      </c>
      <c r="K293" t="s">
        <v>82</v>
      </c>
      <c r="L293" t="s">
        <v>83</v>
      </c>
      <c r="M293" t="s">
        <v>84</v>
      </c>
      <c r="N293">
        <v>0.15</v>
      </c>
      <c r="O293" t="b">
        <v>1</v>
      </c>
      <c r="P293">
        <v>45</v>
      </c>
      <c r="Q293" t="s">
        <v>85</v>
      </c>
      <c r="R293" t="s">
        <v>86</v>
      </c>
      <c r="S293">
        <v>0.15</v>
      </c>
      <c r="T293">
        <v>1</v>
      </c>
      <c r="U293" s="36">
        <v>0.23349</v>
      </c>
      <c r="V293" t="s">
        <v>87</v>
      </c>
      <c r="W293">
        <v>150</v>
      </c>
      <c r="X293">
        <v>0.45</v>
      </c>
      <c r="Y293">
        <v>108</v>
      </c>
      <c r="Z293">
        <v>9.2592592592592587E-3</v>
      </c>
      <c r="AA293">
        <v>30</v>
      </c>
      <c r="AB293">
        <v>0</v>
      </c>
      <c r="AC293">
        <v>540</v>
      </c>
      <c r="AD293">
        <v>3600</v>
      </c>
      <c r="AE293" t="s">
        <v>88</v>
      </c>
      <c r="AF293" t="s">
        <v>559</v>
      </c>
      <c r="AG293" t="s">
        <v>560</v>
      </c>
      <c r="AH293">
        <v>0</v>
      </c>
      <c r="AI293">
        <v>0.9</v>
      </c>
      <c r="AJ293" t="s">
        <v>91</v>
      </c>
      <c r="AK293" t="s">
        <v>92</v>
      </c>
      <c r="AL293" t="s">
        <v>93</v>
      </c>
      <c r="AM293">
        <v>0.33138777777777773</v>
      </c>
      <c r="AN293">
        <v>0.22092518518518517</v>
      </c>
      <c r="AO293">
        <v>0.34243403703703701</v>
      </c>
      <c r="AP293">
        <v>0</v>
      </c>
      <c r="AQ293">
        <v>8.6691086691086688E-2</v>
      </c>
      <c r="AR293">
        <v>2.6666666666666505E-3</v>
      </c>
      <c r="AS293">
        <v>0</v>
      </c>
      <c r="AT293">
        <v>1.0866910866910866</v>
      </c>
      <c r="AU293">
        <v>1.0026666666666666</v>
      </c>
      <c r="AV293">
        <v>1</v>
      </c>
      <c r="AW293">
        <v>0</v>
      </c>
      <c r="AX293" t="s">
        <v>917</v>
      </c>
      <c r="AY293">
        <v>0</v>
      </c>
      <c r="AZ293">
        <v>0</v>
      </c>
      <c r="BA293" t="s">
        <v>94</v>
      </c>
      <c r="BB293">
        <v>0</v>
      </c>
      <c r="BC293" t="s">
        <v>95</v>
      </c>
      <c r="BD293" t="s">
        <v>96</v>
      </c>
      <c r="BE293" t="s">
        <v>97</v>
      </c>
      <c r="BF293">
        <v>0</v>
      </c>
      <c r="BG293">
        <v>0</v>
      </c>
      <c r="BH293">
        <v>0</v>
      </c>
      <c r="BI293" t="s">
        <v>98</v>
      </c>
    </row>
    <row r="294" spans="1:61">
      <c r="A294" s="164" t="s">
        <v>918</v>
      </c>
      <c r="B294" t="s">
        <v>919</v>
      </c>
      <c r="C294">
        <v>0</v>
      </c>
      <c r="D294" t="s">
        <v>748</v>
      </c>
      <c r="E294">
        <v>0</v>
      </c>
      <c r="F294" t="s">
        <v>748</v>
      </c>
      <c r="G294" t="s">
        <v>103</v>
      </c>
      <c r="H294" t="s">
        <v>104</v>
      </c>
      <c r="I294" t="s">
        <v>80</v>
      </c>
      <c r="J294" t="s">
        <v>774</v>
      </c>
      <c r="K294" t="s">
        <v>565</v>
      </c>
      <c r="L294" t="s">
        <v>83</v>
      </c>
      <c r="M294" t="s">
        <v>84</v>
      </c>
      <c r="N294">
        <v>0.71599999999999997</v>
      </c>
      <c r="O294" t="b">
        <v>0</v>
      </c>
      <c r="P294">
        <v>90</v>
      </c>
      <c r="Q294" t="s">
        <v>188</v>
      </c>
      <c r="S294">
        <v>0</v>
      </c>
      <c r="T294">
        <v>1</v>
      </c>
      <c r="V294" t="s">
        <v>468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G294" t="s">
        <v>129</v>
      </c>
      <c r="AH294">
        <v>0</v>
      </c>
      <c r="AI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Y294">
        <v>0</v>
      </c>
      <c r="AZ294">
        <v>0</v>
      </c>
      <c r="BA294" t="s">
        <v>94</v>
      </c>
      <c r="BB294">
        <v>0</v>
      </c>
      <c r="BC294" t="s">
        <v>95</v>
      </c>
      <c r="BD294" t="s">
        <v>139</v>
      </c>
      <c r="BE294" t="s">
        <v>97</v>
      </c>
      <c r="BF294">
        <v>0</v>
      </c>
      <c r="BG294">
        <v>0</v>
      </c>
      <c r="BH294">
        <v>0</v>
      </c>
      <c r="BI294" t="s">
        <v>98</v>
      </c>
    </row>
    <row r="295" spans="1:61">
      <c r="A295" s="164" t="s">
        <v>920</v>
      </c>
      <c r="B295" t="s">
        <v>921</v>
      </c>
      <c r="C295">
        <v>0</v>
      </c>
      <c r="D295" t="s">
        <v>107</v>
      </c>
      <c r="E295">
        <v>0</v>
      </c>
      <c r="F295" t="s">
        <v>499</v>
      </c>
      <c r="G295" t="s">
        <v>78</v>
      </c>
      <c r="H295" t="s">
        <v>79</v>
      </c>
      <c r="I295" t="s">
        <v>80</v>
      </c>
      <c r="J295" t="s">
        <v>81</v>
      </c>
      <c r="K295" t="s">
        <v>82</v>
      </c>
      <c r="L295" t="s">
        <v>83</v>
      </c>
      <c r="M295" t="s">
        <v>84</v>
      </c>
      <c r="N295">
        <v>0.18</v>
      </c>
      <c r="O295" t="b">
        <v>1</v>
      </c>
      <c r="P295">
        <v>45</v>
      </c>
      <c r="Q295" t="s">
        <v>85</v>
      </c>
      <c r="U295" s="36">
        <v>0.24857499999999999</v>
      </c>
      <c r="V295" t="s">
        <v>87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F295" t="s">
        <v>113</v>
      </c>
      <c r="AH295">
        <v>0</v>
      </c>
      <c r="AI295">
        <v>0.9</v>
      </c>
      <c r="AX295" t="s">
        <v>922</v>
      </c>
      <c r="AY295">
        <v>0</v>
      </c>
      <c r="AZ295">
        <v>0</v>
      </c>
      <c r="BA295" t="s">
        <v>94</v>
      </c>
      <c r="BB295">
        <v>0.68</v>
      </c>
      <c r="BC295" t="s">
        <v>95</v>
      </c>
      <c r="BD295" t="s">
        <v>96</v>
      </c>
      <c r="BE295" t="s">
        <v>97</v>
      </c>
      <c r="BF295">
        <v>1</v>
      </c>
      <c r="BG295">
        <v>0</v>
      </c>
      <c r="BH295">
        <v>0</v>
      </c>
      <c r="BI295" t="s">
        <v>98</v>
      </c>
    </row>
    <row r="296" spans="1:61">
      <c r="A296" s="164" t="s">
        <v>923</v>
      </c>
      <c r="B296" t="s">
        <v>924</v>
      </c>
      <c r="C296">
        <v>0</v>
      </c>
      <c r="D296" t="s">
        <v>257</v>
      </c>
      <c r="E296">
        <v>0</v>
      </c>
      <c r="F296" t="s">
        <v>925</v>
      </c>
      <c r="G296" t="s">
        <v>78</v>
      </c>
      <c r="H296" t="s">
        <v>79</v>
      </c>
      <c r="I296" t="s">
        <v>80</v>
      </c>
      <c r="J296" t="s">
        <v>196</v>
      </c>
      <c r="K296" t="s">
        <v>13</v>
      </c>
      <c r="L296" t="s">
        <v>83</v>
      </c>
      <c r="M296" t="s">
        <v>205</v>
      </c>
      <c r="N296">
        <v>1</v>
      </c>
      <c r="O296" t="b">
        <v>1</v>
      </c>
      <c r="P296">
        <v>0</v>
      </c>
      <c r="BB296">
        <v>0</v>
      </c>
      <c r="BC296" t="s">
        <v>259</v>
      </c>
      <c r="BD296" t="s">
        <v>926</v>
      </c>
      <c r="BE296" t="s">
        <v>117</v>
      </c>
      <c r="BF296">
        <v>0</v>
      </c>
      <c r="BG296">
        <v>25</v>
      </c>
      <c r="BH296">
        <v>10</v>
      </c>
      <c r="BI296" t="s">
        <v>927</v>
      </c>
    </row>
    <row r="297" spans="1:61">
      <c r="A297" s="164" t="s">
        <v>928</v>
      </c>
      <c r="B297" t="s">
        <v>929</v>
      </c>
      <c r="C297">
        <v>0</v>
      </c>
      <c r="D297" t="s">
        <v>257</v>
      </c>
      <c r="E297">
        <v>0</v>
      </c>
      <c r="F297" t="s">
        <v>930</v>
      </c>
      <c r="G297" t="s">
        <v>78</v>
      </c>
      <c r="H297" t="s">
        <v>79</v>
      </c>
      <c r="I297" t="s">
        <v>80</v>
      </c>
      <c r="J297" t="s">
        <v>196</v>
      </c>
      <c r="K297" t="s">
        <v>13</v>
      </c>
      <c r="L297" t="s">
        <v>83</v>
      </c>
      <c r="M297" t="s">
        <v>205</v>
      </c>
      <c r="N297">
        <v>1</v>
      </c>
      <c r="O297" t="b">
        <v>1</v>
      </c>
      <c r="P297">
        <v>0</v>
      </c>
      <c r="BB297">
        <v>0</v>
      </c>
      <c r="BC297" t="s">
        <v>259</v>
      </c>
      <c r="BD297" t="s">
        <v>931</v>
      </c>
      <c r="BE297" t="s">
        <v>117</v>
      </c>
      <c r="BF297">
        <v>0</v>
      </c>
      <c r="BG297">
        <v>25</v>
      </c>
      <c r="BH297">
        <v>400</v>
      </c>
      <c r="BI297" t="s">
        <v>932</v>
      </c>
    </row>
    <row r="298" spans="1:61">
      <c r="A298" s="164" t="s">
        <v>933</v>
      </c>
      <c r="B298" t="s">
        <v>934</v>
      </c>
      <c r="C298">
        <v>0</v>
      </c>
      <c r="D298" t="s">
        <v>257</v>
      </c>
      <c r="E298">
        <v>0</v>
      </c>
      <c r="F298" t="s">
        <v>269</v>
      </c>
      <c r="G298" t="s">
        <v>103</v>
      </c>
      <c r="H298" t="s">
        <v>104</v>
      </c>
      <c r="I298" t="s">
        <v>80</v>
      </c>
      <c r="J298" t="s">
        <v>196</v>
      </c>
      <c r="K298" t="s">
        <v>13</v>
      </c>
      <c r="L298" t="s">
        <v>83</v>
      </c>
      <c r="M298" t="s">
        <v>548</v>
      </c>
      <c r="N298">
        <v>1</v>
      </c>
      <c r="O298" t="b">
        <v>0</v>
      </c>
      <c r="P298">
        <v>0</v>
      </c>
      <c r="BB298">
        <v>0</v>
      </c>
      <c r="BC298" t="s">
        <v>259</v>
      </c>
      <c r="BD298" t="s">
        <v>270</v>
      </c>
      <c r="BE298" t="s">
        <v>117</v>
      </c>
      <c r="BF298">
        <v>0</v>
      </c>
      <c r="BG298">
        <v>0</v>
      </c>
      <c r="BH298">
        <v>0</v>
      </c>
    </row>
    <row r="299" spans="1:61">
      <c r="A299" s="164" t="s">
        <v>935</v>
      </c>
      <c r="B299" t="s">
        <v>936</v>
      </c>
      <c r="C299">
        <v>0</v>
      </c>
      <c r="D299" t="s">
        <v>257</v>
      </c>
      <c r="E299">
        <v>0</v>
      </c>
      <c r="F299" t="s">
        <v>937</v>
      </c>
      <c r="G299" t="s">
        <v>78</v>
      </c>
      <c r="H299" t="s">
        <v>79</v>
      </c>
      <c r="I299" t="s">
        <v>80</v>
      </c>
      <c r="J299" t="s">
        <v>196</v>
      </c>
      <c r="K299" t="s">
        <v>13</v>
      </c>
      <c r="L299" t="s">
        <v>83</v>
      </c>
      <c r="M299" t="s">
        <v>205</v>
      </c>
      <c r="N299">
        <v>1</v>
      </c>
      <c r="O299" t="b">
        <v>1</v>
      </c>
      <c r="P299">
        <v>0</v>
      </c>
      <c r="BB299">
        <v>0</v>
      </c>
      <c r="BC299" t="s">
        <v>259</v>
      </c>
      <c r="BD299" t="s">
        <v>938</v>
      </c>
      <c r="BE299" t="s">
        <v>117</v>
      </c>
      <c r="BF299">
        <v>0</v>
      </c>
      <c r="BG299">
        <v>8</v>
      </c>
      <c r="BH299">
        <v>2000</v>
      </c>
      <c r="BI299" t="s">
        <v>939</v>
      </c>
    </row>
    <row r="300" spans="1:61">
      <c r="A300" s="164" t="s">
        <v>940</v>
      </c>
      <c r="B300" t="s">
        <v>941</v>
      </c>
      <c r="C300">
        <v>0</v>
      </c>
      <c r="D300" t="s">
        <v>257</v>
      </c>
      <c r="E300">
        <v>0</v>
      </c>
      <c r="F300" t="s">
        <v>258</v>
      </c>
      <c r="G300" t="s">
        <v>78</v>
      </c>
      <c r="H300" t="s">
        <v>79</v>
      </c>
      <c r="I300" t="s">
        <v>80</v>
      </c>
      <c r="J300" t="s">
        <v>196</v>
      </c>
      <c r="K300" t="s">
        <v>13</v>
      </c>
      <c r="L300" t="s">
        <v>83</v>
      </c>
      <c r="M300" t="s">
        <v>942</v>
      </c>
      <c r="N300">
        <v>1</v>
      </c>
      <c r="O300" t="b">
        <v>1</v>
      </c>
      <c r="P300">
        <v>0</v>
      </c>
      <c r="BB300">
        <v>0</v>
      </c>
      <c r="BC300" t="s">
        <v>259</v>
      </c>
      <c r="BD300" t="s">
        <v>260</v>
      </c>
      <c r="BE300" t="s">
        <v>117</v>
      </c>
      <c r="BF300">
        <v>0</v>
      </c>
      <c r="BG300">
        <v>15</v>
      </c>
      <c r="BH300">
        <v>11.023</v>
      </c>
      <c r="BI300" t="s">
        <v>927</v>
      </c>
    </row>
    <row r="301" spans="1:61">
      <c r="A301" s="164" t="s">
        <v>943</v>
      </c>
      <c r="B301" t="s">
        <v>944</v>
      </c>
      <c r="C301">
        <v>0</v>
      </c>
      <c r="D301" t="s">
        <v>257</v>
      </c>
      <c r="E301">
        <v>0</v>
      </c>
      <c r="F301" t="s">
        <v>258</v>
      </c>
      <c r="G301" t="s">
        <v>78</v>
      </c>
      <c r="H301" t="s">
        <v>79</v>
      </c>
      <c r="I301" t="s">
        <v>80</v>
      </c>
      <c r="J301" t="s">
        <v>196</v>
      </c>
      <c r="K301" t="s">
        <v>13</v>
      </c>
      <c r="L301" t="s">
        <v>83</v>
      </c>
      <c r="M301" t="s">
        <v>942</v>
      </c>
      <c r="N301">
        <v>1</v>
      </c>
      <c r="O301" t="b">
        <v>1</v>
      </c>
      <c r="P301">
        <v>0</v>
      </c>
      <c r="BB301">
        <v>0</v>
      </c>
      <c r="BC301" t="s">
        <v>259</v>
      </c>
      <c r="BD301" t="s">
        <v>260</v>
      </c>
      <c r="BE301" t="s">
        <v>117</v>
      </c>
      <c r="BF301">
        <v>0</v>
      </c>
      <c r="BG301">
        <v>15</v>
      </c>
      <c r="BH301">
        <v>8.5890000000000004</v>
      </c>
      <c r="BI301" t="s">
        <v>927</v>
      </c>
    </row>
    <row r="302" spans="1:61">
      <c r="A302" s="164" t="s">
        <v>945</v>
      </c>
      <c r="B302" t="s">
        <v>946</v>
      </c>
      <c r="C302">
        <v>0</v>
      </c>
      <c r="D302" t="s">
        <v>257</v>
      </c>
      <c r="E302">
        <v>0</v>
      </c>
      <c r="F302" t="s">
        <v>258</v>
      </c>
      <c r="G302" t="s">
        <v>78</v>
      </c>
      <c r="H302" t="s">
        <v>79</v>
      </c>
      <c r="I302" t="s">
        <v>80</v>
      </c>
      <c r="J302" t="s">
        <v>196</v>
      </c>
      <c r="K302" t="s">
        <v>13</v>
      </c>
      <c r="L302" t="s">
        <v>83</v>
      </c>
      <c r="M302" t="s">
        <v>205</v>
      </c>
      <c r="N302">
        <v>1</v>
      </c>
      <c r="O302" t="b">
        <v>1</v>
      </c>
      <c r="P302">
        <v>0</v>
      </c>
      <c r="BB302">
        <v>0</v>
      </c>
      <c r="BC302" t="s">
        <v>259</v>
      </c>
      <c r="BD302" t="s">
        <v>260</v>
      </c>
      <c r="BE302" t="s">
        <v>117</v>
      </c>
      <c r="BF302">
        <v>0</v>
      </c>
      <c r="BG302">
        <v>25</v>
      </c>
      <c r="BH302">
        <v>30</v>
      </c>
      <c r="BI302" t="s">
        <v>947</v>
      </c>
    </row>
    <row r="303" spans="1:61">
      <c r="A303" s="164" t="s">
        <v>948</v>
      </c>
      <c r="B303" t="s">
        <v>949</v>
      </c>
      <c r="C303">
        <v>0</v>
      </c>
      <c r="D303" t="s">
        <v>257</v>
      </c>
      <c r="E303">
        <v>0</v>
      </c>
      <c r="F303" t="s">
        <v>950</v>
      </c>
      <c r="G303" t="s">
        <v>78</v>
      </c>
      <c r="H303" t="s">
        <v>79</v>
      </c>
      <c r="I303" t="s">
        <v>80</v>
      </c>
      <c r="J303" t="s">
        <v>196</v>
      </c>
      <c r="K303" t="s">
        <v>13</v>
      </c>
      <c r="L303" t="s">
        <v>83</v>
      </c>
      <c r="M303" t="s">
        <v>205</v>
      </c>
      <c r="N303">
        <v>1</v>
      </c>
      <c r="O303" t="b">
        <v>1</v>
      </c>
      <c r="P303">
        <v>0</v>
      </c>
      <c r="BB303">
        <v>0</v>
      </c>
      <c r="BC303" t="s">
        <v>259</v>
      </c>
      <c r="BD303" t="s">
        <v>951</v>
      </c>
      <c r="BE303" t="s">
        <v>117</v>
      </c>
      <c r="BF303">
        <v>0</v>
      </c>
      <c r="BG303">
        <v>30</v>
      </c>
      <c r="BH303">
        <v>500</v>
      </c>
      <c r="BI303" t="s">
        <v>952</v>
      </c>
    </row>
    <row r="304" spans="1:61">
      <c r="A304" s="164" t="s">
        <v>953</v>
      </c>
      <c r="B304" t="s">
        <v>954</v>
      </c>
      <c r="C304">
        <v>0</v>
      </c>
      <c r="D304" t="s">
        <v>257</v>
      </c>
      <c r="E304">
        <v>0</v>
      </c>
      <c r="F304" t="s">
        <v>955</v>
      </c>
      <c r="G304" t="s">
        <v>78</v>
      </c>
      <c r="H304" t="s">
        <v>79</v>
      </c>
      <c r="I304" t="s">
        <v>80</v>
      </c>
      <c r="J304" t="s">
        <v>196</v>
      </c>
      <c r="K304" t="s">
        <v>13</v>
      </c>
      <c r="L304" t="s">
        <v>83</v>
      </c>
      <c r="M304" t="s">
        <v>84</v>
      </c>
      <c r="N304">
        <v>1</v>
      </c>
      <c r="O304" t="b">
        <v>1</v>
      </c>
      <c r="P304">
        <v>0</v>
      </c>
      <c r="BB304">
        <v>0</v>
      </c>
      <c r="BC304" t="s">
        <v>259</v>
      </c>
      <c r="BD304" t="s">
        <v>956</v>
      </c>
      <c r="BE304" t="s">
        <v>117</v>
      </c>
      <c r="BF304">
        <v>0</v>
      </c>
      <c r="BG304">
        <v>10</v>
      </c>
      <c r="BH304">
        <v>10</v>
      </c>
      <c r="BI304" t="s">
        <v>957</v>
      </c>
    </row>
    <row r="305" spans="1:61">
      <c r="A305" s="164" t="s">
        <v>958</v>
      </c>
      <c r="B305" t="s">
        <v>959</v>
      </c>
      <c r="C305">
        <v>0</v>
      </c>
      <c r="D305" t="s">
        <v>147</v>
      </c>
      <c r="E305">
        <v>0</v>
      </c>
      <c r="F305" t="s">
        <v>472</v>
      </c>
      <c r="G305" t="s">
        <v>103</v>
      </c>
      <c r="H305" t="s">
        <v>104</v>
      </c>
      <c r="I305" t="s">
        <v>80</v>
      </c>
      <c r="J305" t="s">
        <v>81</v>
      </c>
      <c r="K305" t="s">
        <v>468</v>
      </c>
      <c r="L305" t="s">
        <v>111</v>
      </c>
      <c r="M305" t="s">
        <v>84</v>
      </c>
      <c r="N305">
        <v>1.26</v>
      </c>
      <c r="O305" t="b">
        <v>0</v>
      </c>
      <c r="P305">
        <v>45</v>
      </c>
      <c r="Q305" t="s">
        <v>85</v>
      </c>
      <c r="S305">
        <v>0</v>
      </c>
      <c r="T305">
        <v>1</v>
      </c>
      <c r="V305" t="s">
        <v>87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G305" t="s">
        <v>129</v>
      </c>
      <c r="AH305">
        <v>0</v>
      </c>
      <c r="AI305">
        <v>0.9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Y305">
        <v>0</v>
      </c>
      <c r="AZ305">
        <v>7</v>
      </c>
      <c r="BA305" t="s">
        <v>94</v>
      </c>
      <c r="BB305">
        <v>0</v>
      </c>
      <c r="BC305" t="s">
        <v>95</v>
      </c>
      <c r="BD305" t="s">
        <v>469</v>
      </c>
      <c r="BE305" t="s">
        <v>97</v>
      </c>
      <c r="BF305">
        <v>0</v>
      </c>
      <c r="BG305">
        <v>0</v>
      </c>
      <c r="BH305">
        <v>0</v>
      </c>
      <c r="BI305" t="s">
        <v>98</v>
      </c>
    </row>
    <row r="306" spans="1:61">
      <c r="A306" s="164" t="s">
        <v>960</v>
      </c>
      <c r="B306" t="s">
        <v>961</v>
      </c>
      <c r="C306">
        <v>0</v>
      </c>
      <c r="D306" t="s">
        <v>107</v>
      </c>
      <c r="E306">
        <v>0</v>
      </c>
      <c r="F306" t="s">
        <v>499</v>
      </c>
      <c r="G306" t="s">
        <v>78</v>
      </c>
      <c r="H306" t="s">
        <v>79</v>
      </c>
      <c r="I306" t="s">
        <v>80</v>
      </c>
      <c r="J306" t="s">
        <v>774</v>
      </c>
      <c r="K306" t="s">
        <v>775</v>
      </c>
      <c r="L306" t="s">
        <v>83</v>
      </c>
      <c r="M306" t="s">
        <v>84</v>
      </c>
      <c r="N306">
        <v>0.72</v>
      </c>
      <c r="O306" t="b">
        <v>1</v>
      </c>
      <c r="P306">
        <v>45</v>
      </c>
      <c r="Q306" t="s">
        <v>85</v>
      </c>
      <c r="R306" t="s">
        <v>86</v>
      </c>
      <c r="S306">
        <v>0.72</v>
      </c>
      <c r="T306">
        <v>1</v>
      </c>
      <c r="U306" s="36">
        <v>1.6533599999999999</v>
      </c>
      <c r="V306" t="s">
        <v>87</v>
      </c>
      <c r="W306">
        <v>0</v>
      </c>
      <c r="X306">
        <v>0</v>
      </c>
      <c r="Y306">
        <v>22</v>
      </c>
      <c r="Z306">
        <v>4.5454545454545456E-2</v>
      </c>
      <c r="AA306">
        <v>30</v>
      </c>
      <c r="AB306">
        <v>0</v>
      </c>
      <c r="AC306">
        <v>0</v>
      </c>
      <c r="AD306">
        <v>0</v>
      </c>
      <c r="AG306" t="s">
        <v>129</v>
      </c>
      <c r="AH306">
        <v>0</v>
      </c>
      <c r="AI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t="s">
        <v>962</v>
      </c>
      <c r="AY306">
        <v>4.2</v>
      </c>
      <c r="AZ306">
        <v>8</v>
      </c>
      <c r="BA306" t="s">
        <v>94</v>
      </c>
      <c r="BB306">
        <v>3.79</v>
      </c>
      <c r="BC306" t="s">
        <v>95</v>
      </c>
      <c r="BD306" t="s">
        <v>96</v>
      </c>
      <c r="BE306" t="s">
        <v>97</v>
      </c>
      <c r="BF306">
        <v>1</v>
      </c>
      <c r="BG306">
        <v>0</v>
      </c>
      <c r="BH306">
        <v>0</v>
      </c>
      <c r="BI306" t="s">
        <v>98</v>
      </c>
    </row>
    <row r="307" spans="1:61">
      <c r="A307" s="164" t="s">
        <v>963</v>
      </c>
      <c r="B307" t="s">
        <v>964</v>
      </c>
      <c r="C307">
        <v>0</v>
      </c>
      <c r="D307" t="s">
        <v>147</v>
      </c>
      <c r="E307">
        <v>0</v>
      </c>
      <c r="F307" t="s">
        <v>965</v>
      </c>
      <c r="G307" t="s">
        <v>78</v>
      </c>
      <c r="H307" t="s">
        <v>79</v>
      </c>
      <c r="I307" t="s">
        <v>80</v>
      </c>
      <c r="J307" t="s">
        <v>81</v>
      </c>
      <c r="K307" t="s">
        <v>82</v>
      </c>
      <c r="L307" t="s">
        <v>83</v>
      </c>
      <c r="M307" t="s">
        <v>84</v>
      </c>
      <c r="N307">
        <v>1</v>
      </c>
      <c r="O307" t="b">
        <v>1</v>
      </c>
      <c r="P307">
        <v>45</v>
      </c>
      <c r="Q307" t="s">
        <v>85</v>
      </c>
      <c r="R307" t="s">
        <v>86</v>
      </c>
      <c r="S307">
        <v>1</v>
      </c>
      <c r="T307">
        <v>1</v>
      </c>
      <c r="U307" s="36">
        <v>1.5184099999999998</v>
      </c>
      <c r="V307" t="s">
        <v>87</v>
      </c>
      <c r="W307">
        <v>24</v>
      </c>
      <c r="X307">
        <v>0.45019999999999999</v>
      </c>
      <c r="Y307">
        <v>18</v>
      </c>
      <c r="Z307">
        <v>5.5555555555555552E-2</v>
      </c>
      <c r="AA307">
        <v>30</v>
      </c>
      <c r="AB307">
        <v>0</v>
      </c>
      <c r="AC307">
        <v>540</v>
      </c>
      <c r="AD307">
        <v>540</v>
      </c>
      <c r="AE307" t="s">
        <v>155</v>
      </c>
      <c r="AF307" t="s">
        <v>966</v>
      </c>
      <c r="AG307" t="s">
        <v>157</v>
      </c>
      <c r="AH307">
        <v>0</v>
      </c>
      <c r="AI307">
        <v>0.9</v>
      </c>
      <c r="AJ307" t="s">
        <v>91</v>
      </c>
      <c r="AK307" t="s">
        <v>92</v>
      </c>
      <c r="AL307" t="s">
        <v>93</v>
      </c>
      <c r="AM307">
        <v>0.33553925925925926</v>
      </c>
      <c r="AN307">
        <v>0.22369283950617286</v>
      </c>
      <c r="AO307">
        <v>0.34672390123456792</v>
      </c>
      <c r="AP307">
        <v>0</v>
      </c>
      <c r="AQ307">
        <v>8.6691086691086688E-2</v>
      </c>
      <c r="AR307">
        <v>2.6666666666666505E-3</v>
      </c>
      <c r="AS307">
        <v>0</v>
      </c>
      <c r="AT307">
        <v>1.0866910866910866</v>
      </c>
      <c r="AU307">
        <v>1.0026666666666666</v>
      </c>
      <c r="AV307">
        <v>1</v>
      </c>
      <c r="AW307">
        <v>0</v>
      </c>
      <c r="AX307" t="s">
        <v>967</v>
      </c>
      <c r="AY307">
        <v>53.4</v>
      </c>
      <c r="AZ307">
        <v>5</v>
      </c>
      <c r="BA307" t="s">
        <v>94</v>
      </c>
      <c r="BB307">
        <v>3.31</v>
      </c>
      <c r="BC307" t="s">
        <v>95</v>
      </c>
      <c r="BD307" t="s">
        <v>96</v>
      </c>
      <c r="BE307" t="s">
        <v>97</v>
      </c>
      <c r="BF307">
        <v>1</v>
      </c>
      <c r="BG307">
        <v>0</v>
      </c>
      <c r="BH307">
        <v>0</v>
      </c>
      <c r="BI307" t="s">
        <v>98</v>
      </c>
    </row>
    <row r="308" spans="1:61">
      <c r="A308" s="164" t="s">
        <v>968</v>
      </c>
      <c r="B308" t="s">
        <v>969</v>
      </c>
      <c r="C308">
        <v>0</v>
      </c>
      <c r="D308" t="s">
        <v>107</v>
      </c>
      <c r="E308">
        <v>0</v>
      </c>
      <c r="F308" t="s">
        <v>120</v>
      </c>
      <c r="G308" t="s">
        <v>78</v>
      </c>
      <c r="H308" t="s">
        <v>79</v>
      </c>
      <c r="I308" t="s">
        <v>80</v>
      </c>
      <c r="J308" t="s">
        <v>81</v>
      </c>
      <c r="K308" t="s">
        <v>82</v>
      </c>
      <c r="L308" t="s">
        <v>83</v>
      </c>
      <c r="M308" t="s">
        <v>84</v>
      </c>
      <c r="N308">
        <v>0.4</v>
      </c>
      <c r="O308" t="b">
        <v>1</v>
      </c>
      <c r="P308">
        <v>45</v>
      </c>
      <c r="Q308" t="s">
        <v>85</v>
      </c>
      <c r="S308">
        <v>0.4</v>
      </c>
      <c r="U308" s="36">
        <v>0.96938500000000005</v>
      </c>
      <c r="V308" t="s">
        <v>87</v>
      </c>
      <c r="AF308" t="s">
        <v>121</v>
      </c>
      <c r="AI308">
        <v>0.9</v>
      </c>
      <c r="AZ308">
        <v>0</v>
      </c>
      <c r="BA308" t="s">
        <v>94</v>
      </c>
      <c r="BB308">
        <v>2.89</v>
      </c>
      <c r="BC308" t="s">
        <v>95</v>
      </c>
      <c r="BD308" t="s">
        <v>96</v>
      </c>
      <c r="BE308" t="s">
        <v>97</v>
      </c>
      <c r="BF308">
        <v>1</v>
      </c>
      <c r="BG308">
        <v>0</v>
      </c>
      <c r="BH308">
        <v>0</v>
      </c>
      <c r="BI308" t="s">
        <v>98</v>
      </c>
    </row>
    <row r="309" spans="1:61">
      <c r="A309" s="164" t="s">
        <v>970</v>
      </c>
      <c r="B309" t="s">
        <v>971</v>
      </c>
      <c r="C309">
        <v>0</v>
      </c>
      <c r="D309" t="s">
        <v>76</v>
      </c>
      <c r="E309">
        <v>0</v>
      </c>
      <c r="F309" t="s">
        <v>972</v>
      </c>
      <c r="G309" t="s">
        <v>103</v>
      </c>
      <c r="H309" t="s">
        <v>104</v>
      </c>
      <c r="I309" t="s">
        <v>80</v>
      </c>
      <c r="J309" t="s">
        <v>81</v>
      </c>
      <c r="K309" t="s">
        <v>82</v>
      </c>
      <c r="L309" t="s">
        <v>83</v>
      </c>
      <c r="M309" t="s">
        <v>84</v>
      </c>
      <c r="N309">
        <v>1.65</v>
      </c>
      <c r="O309" t="b">
        <v>1</v>
      </c>
      <c r="P309">
        <v>45</v>
      </c>
      <c r="Q309" t="s">
        <v>85</v>
      </c>
      <c r="R309" t="s">
        <v>86</v>
      </c>
      <c r="S309">
        <v>1.65</v>
      </c>
      <c r="T309">
        <v>1</v>
      </c>
      <c r="U309" s="36">
        <v>1.72</v>
      </c>
      <c r="V309" t="s">
        <v>87</v>
      </c>
      <c r="W309">
        <v>24</v>
      </c>
      <c r="X309">
        <v>0.45019999999999999</v>
      </c>
      <c r="Y309">
        <v>12</v>
      </c>
      <c r="Z309">
        <v>8.3333333333333329E-2</v>
      </c>
      <c r="AA309">
        <v>30</v>
      </c>
      <c r="AB309">
        <v>0</v>
      </c>
      <c r="AC309">
        <v>500</v>
      </c>
      <c r="AD309">
        <v>303.03030303030306</v>
      </c>
      <c r="AE309" t="s">
        <v>155</v>
      </c>
      <c r="AF309" t="s">
        <v>89</v>
      </c>
      <c r="AG309" t="s">
        <v>90</v>
      </c>
      <c r="AH309">
        <v>0</v>
      </c>
      <c r="AI309">
        <v>1</v>
      </c>
      <c r="AJ309" t="s">
        <v>91</v>
      </c>
      <c r="AK309" t="s">
        <v>92</v>
      </c>
      <c r="AL309" t="s">
        <v>93</v>
      </c>
      <c r="AM309">
        <v>0.98220000000000007</v>
      </c>
      <c r="AN309">
        <v>0</v>
      </c>
      <c r="AO309">
        <v>0</v>
      </c>
      <c r="AP309">
        <v>0</v>
      </c>
      <c r="AQ309">
        <v>8.6691086691086688E-2</v>
      </c>
      <c r="AR309">
        <v>2.6666666666666505E-3</v>
      </c>
      <c r="AS309">
        <v>0</v>
      </c>
      <c r="AT309">
        <v>1.0866910866910866</v>
      </c>
      <c r="AU309">
        <v>1.0026666666666666</v>
      </c>
      <c r="AV309">
        <v>1</v>
      </c>
      <c r="AW309">
        <v>0</v>
      </c>
      <c r="AX309" t="s">
        <v>973</v>
      </c>
      <c r="AY309">
        <v>89.4</v>
      </c>
      <c r="AZ309">
        <v>0</v>
      </c>
      <c r="BA309" t="s">
        <v>94</v>
      </c>
      <c r="BB309">
        <v>0</v>
      </c>
      <c r="BC309" t="s">
        <v>95</v>
      </c>
      <c r="BD309" t="s">
        <v>96</v>
      </c>
      <c r="BE309" t="s">
        <v>97</v>
      </c>
      <c r="BF309">
        <v>0</v>
      </c>
      <c r="BG309">
        <v>0</v>
      </c>
      <c r="BH309">
        <v>0</v>
      </c>
      <c r="BI309" t="s">
        <v>98</v>
      </c>
    </row>
    <row r="310" spans="1:61">
      <c r="A310" s="164" t="s">
        <v>974</v>
      </c>
      <c r="B310" t="s">
        <v>975</v>
      </c>
      <c r="C310">
        <v>0</v>
      </c>
      <c r="D310" t="s">
        <v>486</v>
      </c>
      <c r="E310">
        <v>0</v>
      </c>
      <c r="F310" t="s">
        <v>976</v>
      </c>
      <c r="G310" t="s">
        <v>78</v>
      </c>
      <c r="H310" t="s">
        <v>79</v>
      </c>
      <c r="I310" t="s">
        <v>80</v>
      </c>
      <c r="J310" t="s">
        <v>163</v>
      </c>
      <c r="K310" t="s">
        <v>82</v>
      </c>
      <c r="L310" t="s">
        <v>83</v>
      </c>
      <c r="M310" t="s">
        <v>84</v>
      </c>
      <c r="N310">
        <v>0.4</v>
      </c>
      <c r="O310" t="b">
        <v>1</v>
      </c>
      <c r="P310">
        <v>90</v>
      </c>
      <c r="Q310" t="s">
        <v>137</v>
      </c>
      <c r="R310" t="s">
        <v>86</v>
      </c>
      <c r="U310" s="36">
        <v>3.1343899999999998</v>
      </c>
      <c r="V310" t="s">
        <v>165</v>
      </c>
      <c r="X310">
        <v>0</v>
      </c>
      <c r="Y310">
        <v>45</v>
      </c>
      <c r="Z310">
        <v>0</v>
      </c>
      <c r="AA310">
        <v>35</v>
      </c>
      <c r="AB310">
        <v>0</v>
      </c>
      <c r="AC310">
        <v>0</v>
      </c>
      <c r="AE310" t="s">
        <v>129</v>
      </c>
      <c r="AF310" t="s">
        <v>976</v>
      </c>
      <c r="AH310">
        <v>0</v>
      </c>
      <c r="AI310">
        <v>10.199999999999999</v>
      </c>
      <c r="AX310" t="s">
        <v>977</v>
      </c>
      <c r="AY310">
        <v>0</v>
      </c>
      <c r="AZ310">
        <v>8</v>
      </c>
      <c r="BA310" t="s">
        <v>138</v>
      </c>
      <c r="BB310">
        <v>6.36</v>
      </c>
      <c r="BC310" t="s">
        <v>95</v>
      </c>
      <c r="BD310" t="s">
        <v>96</v>
      </c>
      <c r="BE310" t="s">
        <v>97</v>
      </c>
      <c r="BF310">
        <v>1</v>
      </c>
      <c r="BG310">
        <v>0</v>
      </c>
      <c r="BH310">
        <v>0</v>
      </c>
      <c r="BI310" t="s">
        <v>98</v>
      </c>
    </row>
    <row r="311" spans="1:61">
      <c r="A311" s="164" t="s">
        <v>978</v>
      </c>
      <c r="B311" t="s">
        <v>979</v>
      </c>
      <c r="C311">
        <v>0</v>
      </c>
      <c r="D311" t="s">
        <v>107</v>
      </c>
      <c r="E311">
        <v>0</v>
      </c>
      <c r="F311" t="s">
        <v>499</v>
      </c>
      <c r="G311" t="s">
        <v>103</v>
      </c>
      <c r="H311" t="s">
        <v>104</v>
      </c>
      <c r="I311" t="s">
        <v>80</v>
      </c>
      <c r="J311" t="s">
        <v>81</v>
      </c>
      <c r="K311" t="s">
        <v>82</v>
      </c>
      <c r="L311" t="s">
        <v>83</v>
      </c>
      <c r="M311" t="s">
        <v>84</v>
      </c>
      <c r="N311">
        <v>0.18</v>
      </c>
      <c r="O311" t="b">
        <v>0</v>
      </c>
      <c r="P311">
        <v>45</v>
      </c>
      <c r="Q311" t="s">
        <v>85</v>
      </c>
      <c r="S311">
        <v>0</v>
      </c>
      <c r="T311">
        <v>1</v>
      </c>
      <c r="U311" s="36">
        <v>0.20555000000000001</v>
      </c>
      <c r="V311" t="s">
        <v>87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G311" t="s">
        <v>129</v>
      </c>
      <c r="AH311">
        <v>0</v>
      </c>
      <c r="AI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t="s">
        <v>980</v>
      </c>
      <c r="AY311">
        <v>0</v>
      </c>
      <c r="AZ311">
        <v>7</v>
      </c>
      <c r="BA311" t="s">
        <v>94</v>
      </c>
      <c r="BB311">
        <v>0</v>
      </c>
      <c r="BC311" t="s">
        <v>95</v>
      </c>
      <c r="BD311" t="s">
        <v>96</v>
      </c>
      <c r="BE311" t="s">
        <v>97</v>
      </c>
      <c r="BF311">
        <v>0</v>
      </c>
      <c r="BG311">
        <v>0</v>
      </c>
      <c r="BH311">
        <v>0</v>
      </c>
      <c r="BI311" t="s">
        <v>98</v>
      </c>
    </row>
    <row r="312" spans="1:61">
      <c r="A312" s="164" t="s">
        <v>981</v>
      </c>
      <c r="B312" t="s">
        <v>982</v>
      </c>
      <c r="C312">
        <v>0</v>
      </c>
      <c r="D312" t="s">
        <v>486</v>
      </c>
      <c r="F312" t="s">
        <v>983</v>
      </c>
      <c r="G312" t="s">
        <v>78</v>
      </c>
      <c r="H312" t="s">
        <v>79</v>
      </c>
      <c r="I312" t="s">
        <v>80</v>
      </c>
      <c r="J312" t="s">
        <v>163</v>
      </c>
      <c r="K312" t="s">
        <v>82</v>
      </c>
      <c r="L312" t="s">
        <v>83</v>
      </c>
      <c r="M312" t="s">
        <v>205</v>
      </c>
      <c r="N312">
        <v>1</v>
      </c>
      <c r="O312" t="b">
        <v>1</v>
      </c>
      <c r="P312">
        <v>90</v>
      </c>
      <c r="Q312" t="s">
        <v>137</v>
      </c>
      <c r="S312">
        <v>1</v>
      </c>
      <c r="U312" s="36">
        <v>6.29115</v>
      </c>
      <c r="V312" t="s">
        <v>165</v>
      </c>
      <c r="Y312">
        <v>30</v>
      </c>
      <c r="AA312">
        <v>35</v>
      </c>
      <c r="AE312" t="s">
        <v>129</v>
      </c>
      <c r="AF312" t="s">
        <v>983</v>
      </c>
      <c r="AI312">
        <v>10.199999999999999</v>
      </c>
      <c r="AZ312">
        <v>0</v>
      </c>
      <c r="BA312" t="s">
        <v>138</v>
      </c>
      <c r="BB312">
        <v>0</v>
      </c>
      <c r="BC312" t="s">
        <v>95</v>
      </c>
      <c r="BD312" t="s">
        <v>96</v>
      </c>
      <c r="BE312" t="s">
        <v>97</v>
      </c>
      <c r="BF312">
        <v>1</v>
      </c>
      <c r="BG312">
        <v>0</v>
      </c>
      <c r="BH312">
        <v>0</v>
      </c>
      <c r="BI312" t="s">
        <v>98</v>
      </c>
    </row>
    <row r="313" spans="1:61">
      <c r="A313" s="164" t="s">
        <v>984</v>
      </c>
      <c r="B313" t="s">
        <v>985</v>
      </c>
      <c r="C313">
        <v>0</v>
      </c>
      <c r="D313" t="s">
        <v>175</v>
      </c>
      <c r="E313">
        <v>0</v>
      </c>
      <c r="F313" t="s">
        <v>986</v>
      </c>
      <c r="G313" t="s">
        <v>78</v>
      </c>
      <c r="H313" t="s">
        <v>79</v>
      </c>
      <c r="I313" t="s">
        <v>80</v>
      </c>
      <c r="J313" t="s">
        <v>163</v>
      </c>
      <c r="K313" t="s">
        <v>82</v>
      </c>
      <c r="L313" t="s">
        <v>83</v>
      </c>
      <c r="M313" t="s">
        <v>84</v>
      </c>
      <c r="N313">
        <v>0.2</v>
      </c>
      <c r="O313" t="b">
        <v>1</v>
      </c>
      <c r="P313">
        <v>40</v>
      </c>
      <c r="Q313" t="s">
        <v>137</v>
      </c>
      <c r="R313" t="s">
        <v>164</v>
      </c>
      <c r="S313">
        <v>0.2</v>
      </c>
      <c r="T313">
        <v>1</v>
      </c>
      <c r="U313" s="36">
        <v>1.11269</v>
      </c>
      <c r="V313" t="s">
        <v>165</v>
      </c>
      <c r="W313">
        <v>85</v>
      </c>
      <c r="X313">
        <v>0</v>
      </c>
      <c r="Y313">
        <v>120</v>
      </c>
      <c r="Z313">
        <v>0</v>
      </c>
      <c r="AA313">
        <v>35</v>
      </c>
      <c r="AB313">
        <v>0</v>
      </c>
      <c r="AC313">
        <v>0</v>
      </c>
      <c r="AD313">
        <v>3000</v>
      </c>
      <c r="AE313" t="s">
        <v>166</v>
      </c>
      <c r="AF313" t="s">
        <v>986</v>
      </c>
      <c r="AG313" t="s">
        <v>129</v>
      </c>
      <c r="AH313">
        <v>0</v>
      </c>
      <c r="AI313">
        <v>9.4</v>
      </c>
      <c r="AJ313" t="s">
        <v>493</v>
      </c>
      <c r="AM313">
        <v>9.66</v>
      </c>
      <c r="AN313">
        <v>0</v>
      </c>
      <c r="AO313">
        <v>0</v>
      </c>
      <c r="AP313">
        <v>0</v>
      </c>
      <c r="AQ313">
        <v>4.8346055979643761E-2</v>
      </c>
      <c r="AR313">
        <v>0</v>
      </c>
      <c r="AS313">
        <v>0</v>
      </c>
      <c r="AT313">
        <v>1.0483460559796438</v>
      </c>
      <c r="AU313">
        <v>0</v>
      </c>
      <c r="AV313">
        <v>0</v>
      </c>
      <c r="AW313">
        <v>0</v>
      </c>
      <c r="AX313" t="s">
        <v>987</v>
      </c>
      <c r="AY313">
        <v>15.860300000000001</v>
      </c>
      <c r="AZ313">
        <v>10</v>
      </c>
      <c r="BA313" t="s">
        <v>138</v>
      </c>
      <c r="BB313">
        <v>2.59</v>
      </c>
      <c r="BC313" t="s">
        <v>95</v>
      </c>
      <c r="BD313" t="s">
        <v>96</v>
      </c>
      <c r="BE313" t="s">
        <v>97</v>
      </c>
      <c r="BF313">
        <v>1</v>
      </c>
      <c r="BG313">
        <v>0</v>
      </c>
      <c r="BH313">
        <v>0</v>
      </c>
      <c r="BI313" t="s">
        <v>98</v>
      </c>
    </row>
    <row r="314" spans="1:61">
      <c r="A314" s="164" t="s">
        <v>988</v>
      </c>
      <c r="B314" t="s">
        <v>989</v>
      </c>
      <c r="C314">
        <v>0</v>
      </c>
      <c r="D314" t="s">
        <v>133</v>
      </c>
      <c r="E314">
        <v>0</v>
      </c>
      <c r="F314" t="s">
        <v>990</v>
      </c>
      <c r="G314" t="s">
        <v>103</v>
      </c>
      <c r="H314" t="s">
        <v>104</v>
      </c>
      <c r="I314" t="s">
        <v>80</v>
      </c>
      <c r="J314" t="s">
        <v>163</v>
      </c>
      <c r="K314" t="s">
        <v>82</v>
      </c>
      <c r="L314" t="s">
        <v>83</v>
      </c>
      <c r="M314" t="s">
        <v>84</v>
      </c>
      <c r="N314">
        <v>0.22</v>
      </c>
      <c r="O314" t="b">
        <v>1</v>
      </c>
      <c r="P314">
        <v>30</v>
      </c>
      <c r="Q314" t="s">
        <v>137</v>
      </c>
      <c r="S314">
        <v>0.22</v>
      </c>
      <c r="T314">
        <v>1</v>
      </c>
      <c r="U314" s="36">
        <v>0.54045500000000002</v>
      </c>
      <c r="V314" t="s">
        <v>991</v>
      </c>
      <c r="X314">
        <v>0</v>
      </c>
      <c r="Y314">
        <v>54</v>
      </c>
      <c r="Z314">
        <v>1.3888888888888888E-2</v>
      </c>
      <c r="AA314">
        <v>35</v>
      </c>
      <c r="AB314">
        <v>0</v>
      </c>
      <c r="AC314">
        <v>0</v>
      </c>
      <c r="AE314" t="s">
        <v>129</v>
      </c>
      <c r="AF314" t="s">
        <v>990</v>
      </c>
      <c r="AG314" t="s">
        <v>129</v>
      </c>
      <c r="AH314">
        <v>0</v>
      </c>
      <c r="AI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992</v>
      </c>
      <c r="AY314">
        <v>16.11</v>
      </c>
      <c r="AZ314">
        <v>0</v>
      </c>
      <c r="BA314" t="s">
        <v>138</v>
      </c>
      <c r="BB314">
        <v>1.84</v>
      </c>
      <c r="BC314" t="s">
        <v>95</v>
      </c>
      <c r="BD314" t="s">
        <v>96</v>
      </c>
      <c r="BE314" t="s">
        <v>97</v>
      </c>
      <c r="BF314">
        <v>0</v>
      </c>
      <c r="BG314">
        <v>0</v>
      </c>
      <c r="BH314">
        <v>0</v>
      </c>
      <c r="BI314" t="s">
        <v>98</v>
      </c>
    </row>
    <row r="315" spans="1:61">
      <c r="A315" s="164" t="s">
        <v>993</v>
      </c>
      <c r="B315" t="s">
        <v>994</v>
      </c>
      <c r="C315">
        <v>0</v>
      </c>
      <c r="D315" t="s">
        <v>133</v>
      </c>
      <c r="E315">
        <v>0</v>
      </c>
      <c r="F315" t="s">
        <v>995</v>
      </c>
      <c r="G315" t="s">
        <v>78</v>
      </c>
      <c r="H315" t="s">
        <v>79</v>
      </c>
      <c r="I315" t="s">
        <v>80</v>
      </c>
      <c r="J315" t="s">
        <v>163</v>
      </c>
      <c r="K315" t="s">
        <v>82</v>
      </c>
      <c r="L315" t="s">
        <v>83</v>
      </c>
      <c r="M315" t="s">
        <v>84</v>
      </c>
      <c r="N315">
        <v>3.5</v>
      </c>
      <c r="O315" t="b">
        <v>1</v>
      </c>
      <c r="P315">
        <v>30</v>
      </c>
      <c r="Q315" t="s">
        <v>137</v>
      </c>
      <c r="S315">
        <v>3.5</v>
      </c>
      <c r="T315">
        <v>1</v>
      </c>
      <c r="U315" s="36">
        <v>6.5987749999999998</v>
      </c>
      <c r="V315" t="s">
        <v>991</v>
      </c>
      <c r="W315">
        <v>3</v>
      </c>
      <c r="X315">
        <v>0</v>
      </c>
      <c r="Y315">
        <v>6</v>
      </c>
      <c r="Z315">
        <v>0.16666666666666666</v>
      </c>
      <c r="AA315">
        <v>25</v>
      </c>
      <c r="AB315">
        <v>0</v>
      </c>
      <c r="AC315">
        <v>0</v>
      </c>
      <c r="AD315">
        <v>140</v>
      </c>
      <c r="AE315" t="s">
        <v>996</v>
      </c>
      <c r="AF315" t="s">
        <v>995</v>
      </c>
      <c r="AG315" t="s">
        <v>129</v>
      </c>
      <c r="AH315">
        <v>0</v>
      </c>
      <c r="AI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 t="s">
        <v>997</v>
      </c>
      <c r="AY315">
        <v>38.01</v>
      </c>
      <c r="AZ315">
        <v>0</v>
      </c>
      <c r="BA315" t="s">
        <v>138</v>
      </c>
      <c r="BB315">
        <v>13.45</v>
      </c>
      <c r="BC315" t="s">
        <v>95</v>
      </c>
      <c r="BD315" t="s">
        <v>96</v>
      </c>
      <c r="BE315" t="s">
        <v>97</v>
      </c>
      <c r="BF315">
        <v>1</v>
      </c>
      <c r="BG315">
        <v>0</v>
      </c>
      <c r="BH315">
        <v>0</v>
      </c>
      <c r="BI315" t="s">
        <v>98</v>
      </c>
    </row>
    <row r="316" spans="1:61">
      <c r="A316" s="164" t="s">
        <v>998</v>
      </c>
      <c r="B316" t="s">
        <v>999</v>
      </c>
      <c r="C316">
        <v>0</v>
      </c>
      <c r="D316" t="s">
        <v>486</v>
      </c>
      <c r="E316">
        <v>0</v>
      </c>
      <c r="F316" t="s">
        <v>983</v>
      </c>
      <c r="G316" t="s">
        <v>78</v>
      </c>
      <c r="H316" t="s">
        <v>79</v>
      </c>
      <c r="I316" t="s">
        <v>80</v>
      </c>
      <c r="J316" t="s">
        <v>163</v>
      </c>
      <c r="K316" t="s">
        <v>82</v>
      </c>
      <c r="L316" t="s">
        <v>83</v>
      </c>
      <c r="M316" t="s">
        <v>205</v>
      </c>
      <c r="N316">
        <v>1</v>
      </c>
      <c r="O316" t="b">
        <v>1</v>
      </c>
      <c r="P316">
        <v>90</v>
      </c>
      <c r="Q316" t="s">
        <v>137</v>
      </c>
      <c r="S316">
        <v>1</v>
      </c>
      <c r="T316">
        <v>1</v>
      </c>
      <c r="U316" s="36">
        <v>6.7587250000000001</v>
      </c>
      <c r="V316" t="s">
        <v>165</v>
      </c>
      <c r="X316">
        <v>0</v>
      </c>
      <c r="Y316">
        <v>27</v>
      </c>
      <c r="Z316">
        <v>0.1</v>
      </c>
      <c r="AA316">
        <v>20</v>
      </c>
      <c r="AB316">
        <v>0</v>
      </c>
      <c r="AC316">
        <v>0</v>
      </c>
      <c r="AE316" t="s">
        <v>129</v>
      </c>
      <c r="AF316" t="s">
        <v>983</v>
      </c>
      <c r="AG316" t="s">
        <v>129</v>
      </c>
      <c r="AH316">
        <v>0</v>
      </c>
      <c r="AI316">
        <v>10.199999999999999</v>
      </c>
      <c r="AJ316" t="s">
        <v>167</v>
      </c>
      <c r="AM316">
        <v>10.38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 t="s">
        <v>1000</v>
      </c>
      <c r="AY316">
        <v>14.76</v>
      </c>
      <c r="AZ316">
        <v>7</v>
      </c>
      <c r="BA316" t="s">
        <v>138</v>
      </c>
      <c r="BB316">
        <v>11.33</v>
      </c>
      <c r="BC316" t="s">
        <v>95</v>
      </c>
      <c r="BD316" t="s">
        <v>96</v>
      </c>
      <c r="BE316" t="s">
        <v>97</v>
      </c>
      <c r="BF316">
        <v>2.5</v>
      </c>
      <c r="BG316">
        <v>0</v>
      </c>
      <c r="BH316">
        <v>0</v>
      </c>
      <c r="BI316" t="s">
        <v>98</v>
      </c>
    </row>
    <row r="317" spans="1:61">
      <c r="A317" s="164" t="s">
        <v>1001</v>
      </c>
      <c r="B317" t="s">
        <v>1002</v>
      </c>
      <c r="C317">
        <v>0</v>
      </c>
      <c r="D317" t="s">
        <v>107</v>
      </c>
      <c r="E317">
        <v>0</v>
      </c>
      <c r="F317" t="s">
        <v>558</v>
      </c>
      <c r="G317" t="s">
        <v>103</v>
      </c>
      <c r="H317" t="s">
        <v>104</v>
      </c>
      <c r="I317" t="s">
        <v>80</v>
      </c>
      <c r="J317" t="s">
        <v>81</v>
      </c>
      <c r="K317" t="s">
        <v>82</v>
      </c>
      <c r="L317" t="s">
        <v>83</v>
      </c>
      <c r="M317" t="s">
        <v>84</v>
      </c>
      <c r="N317">
        <v>1.7</v>
      </c>
      <c r="O317" t="b">
        <v>1</v>
      </c>
      <c r="P317">
        <v>45</v>
      </c>
      <c r="Q317" t="s">
        <v>85</v>
      </c>
      <c r="R317" t="s">
        <v>86</v>
      </c>
      <c r="S317">
        <v>1.7</v>
      </c>
      <c r="T317">
        <v>1</v>
      </c>
      <c r="U317" s="36">
        <v>2.1792850000000001</v>
      </c>
      <c r="V317" t="s">
        <v>87</v>
      </c>
      <c r="W317">
        <v>24</v>
      </c>
      <c r="X317">
        <v>0.45019999999999999</v>
      </c>
      <c r="Y317">
        <v>12</v>
      </c>
      <c r="Z317">
        <v>8.3333333333333329E-2</v>
      </c>
      <c r="AA317">
        <v>30</v>
      </c>
      <c r="AB317">
        <v>0</v>
      </c>
      <c r="AC317">
        <v>540</v>
      </c>
      <c r="AD317">
        <v>317.64705882352939</v>
      </c>
      <c r="AE317" t="s">
        <v>155</v>
      </c>
      <c r="AF317" t="s">
        <v>559</v>
      </c>
      <c r="AG317" t="s">
        <v>560</v>
      </c>
      <c r="AH317">
        <v>0</v>
      </c>
      <c r="AI317">
        <v>0.9</v>
      </c>
      <c r="AJ317" t="s">
        <v>91</v>
      </c>
      <c r="AK317" t="s">
        <v>92</v>
      </c>
      <c r="AL317" t="s">
        <v>93</v>
      </c>
      <c r="AM317">
        <v>0.33138777777777773</v>
      </c>
      <c r="AN317">
        <v>0.22092518518518517</v>
      </c>
      <c r="AO317">
        <v>0.34243403703703701</v>
      </c>
      <c r="AP317">
        <v>0</v>
      </c>
      <c r="AQ317">
        <v>8.6691086691086688E-2</v>
      </c>
      <c r="AR317">
        <v>2.6666666666666505E-3</v>
      </c>
      <c r="AS317">
        <v>0</v>
      </c>
      <c r="AT317">
        <v>1.0866910866910866</v>
      </c>
      <c r="AU317">
        <v>1.0026666666666666</v>
      </c>
      <c r="AV317">
        <v>1</v>
      </c>
      <c r="AW317">
        <v>0</v>
      </c>
      <c r="AX317" t="s">
        <v>1003</v>
      </c>
      <c r="AY317">
        <v>83.4</v>
      </c>
      <c r="AZ317">
        <v>0</v>
      </c>
      <c r="BA317" t="s">
        <v>94</v>
      </c>
      <c r="BB317">
        <v>4.68</v>
      </c>
      <c r="BC317" t="s">
        <v>95</v>
      </c>
      <c r="BD317" t="s">
        <v>96</v>
      </c>
      <c r="BE317" t="s">
        <v>97</v>
      </c>
      <c r="BF317">
        <v>0</v>
      </c>
      <c r="BG317">
        <v>0</v>
      </c>
      <c r="BH317">
        <v>0</v>
      </c>
      <c r="BI317" t="s">
        <v>98</v>
      </c>
    </row>
    <row r="318" spans="1:61">
      <c r="A318" s="164" t="s">
        <v>1004</v>
      </c>
      <c r="B318" t="s">
        <v>1005</v>
      </c>
      <c r="C318">
        <v>0</v>
      </c>
      <c r="D318" t="s">
        <v>101</v>
      </c>
      <c r="E318">
        <v>0</v>
      </c>
      <c r="F318" t="s">
        <v>102</v>
      </c>
      <c r="G318" t="s">
        <v>78</v>
      </c>
      <c r="H318" t="s">
        <v>79</v>
      </c>
      <c r="I318" t="s">
        <v>80</v>
      </c>
      <c r="J318" t="s">
        <v>774</v>
      </c>
      <c r="K318" t="s">
        <v>565</v>
      </c>
      <c r="L318" t="s">
        <v>83</v>
      </c>
      <c r="M318" t="s">
        <v>84</v>
      </c>
      <c r="N318">
        <v>0.66</v>
      </c>
      <c r="O318" t="b">
        <v>1</v>
      </c>
      <c r="P318">
        <v>45</v>
      </c>
      <c r="Q318" t="s">
        <v>85</v>
      </c>
      <c r="R318" t="s">
        <v>86</v>
      </c>
      <c r="S318">
        <v>0.66</v>
      </c>
      <c r="T318">
        <v>1</v>
      </c>
      <c r="U318" s="36">
        <v>1.3975849999999999</v>
      </c>
      <c r="V318" t="s">
        <v>87</v>
      </c>
      <c r="W318">
        <v>0</v>
      </c>
      <c r="X318">
        <v>0</v>
      </c>
      <c r="Y318">
        <v>8</v>
      </c>
      <c r="Z318">
        <v>0.125</v>
      </c>
      <c r="AA318">
        <v>30</v>
      </c>
      <c r="AB318">
        <v>0</v>
      </c>
      <c r="AC318">
        <v>0</v>
      </c>
      <c r="AD318">
        <v>0</v>
      </c>
      <c r="AG318" t="s">
        <v>129</v>
      </c>
      <c r="AH318">
        <v>0</v>
      </c>
      <c r="AI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t="s">
        <v>1006</v>
      </c>
      <c r="AY318">
        <v>5</v>
      </c>
      <c r="AZ318">
        <v>0</v>
      </c>
      <c r="BA318" t="s">
        <v>94</v>
      </c>
      <c r="BB318">
        <v>2.99</v>
      </c>
      <c r="BC318" t="s">
        <v>95</v>
      </c>
      <c r="BD318" t="s">
        <v>139</v>
      </c>
      <c r="BE318" t="s">
        <v>97</v>
      </c>
      <c r="BF318">
        <v>1</v>
      </c>
      <c r="BG318">
        <v>0</v>
      </c>
      <c r="BH318">
        <v>0</v>
      </c>
      <c r="BI318" t="s">
        <v>98</v>
      </c>
    </row>
    <row r="319" spans="1:61">
      <c r="A319" s="164" t="s">
        <v>1007</v>
      </c>
      <c r="B319" t="s">
        <v>1008</v>
      </c>
      <c r="C319">
        <v>0</v>
      </c>
      <c r="D319" t="s">
        <v>257</v>
      </c>
      <c r="E319">
        <v>0</v>
      </c>
      <c r="F319" t="s">
        <v>269</v>
      </c>
      <c r="G319" t="s">
        <v>103</v>
      </c>
      <c r="H319" t="s">
        <v>104</v>
      </c>
      <c r="I319" t="s">
        <v>80</v>
      </c>
      <c r="J319" t="s">
        <v>196</v>
      </c>
      <c r="K319" t="s">
        <v>13</v>
      </c>
      <c r="L319" t="s">
        <v>83</v>
      </c>
      <c r="M319" t="s">
        <v>84</v>
      </c>
      <c r="N319">
        <v>1</v>
      </c>
      <c r="O319" t="b">
        <v>0</v>
      </c>
      <c r="P319">
        <v>0</v>
      </c>
      <c r="BB319">
        <v>0</v>
      </c>
      <c r="BC319" t="s">
        <v>259</v>
      </c>
      <c r="BD319" t="s">
        <v>270</v>
      </c>
      <c r="BE319" t="s">
        <v>117</v>
      </c>
      <c r="BF319">
        <v>0</v>
      </c>
      <c r="BG319">
        <v>0</v>
      </c>
      <c r="BH319">
        <v>0</v>
      </c>
    </row>
    <row r="320" spans="1:61">
      <c r="A320" s="164" t="s">
        <v>1009</v>
      </c>
      <c r="B320" t="s">
        <v>1010</v>
      </c>
      <c r="C320">
        <v>0</v>
      </c>
      <c r="D320" t="s">
        <v>257</v>
      </c>
      <c r="E320">
        <v>0</v>
      </c>
      <c r="F320" t="s">
        <v>269</v>
      </c>
      <c r="G320" t="s">
        <v>103</v>
      </c>
      <c r="H320" t="s">
        <v>104</v>
      </c>
      <c r="I320" t="s">
        <v>80</v>
      </c>
      <c r="J320" t="s">
        <v>196</v>
      </c>
      <c r="K320" t="s">
        <v>13</v>
      </c>
      <c r="L320" t="s">
        <v>83</v>
      </c>
      <c r="M320" t="s">
        <v>84</v>
      </c>
      <c r="N320">
        <v>1</v>
      </c>
      <c r="O320" t="b">
        <v>0</v>
      </c>
      <c r="P320">
        <v>0</v>
      </c>
      <c r="BB320">
        <v>0</v>
      </c>
      <c r="BC320" t="s">
        <v>259</v>
      </c>
      <c r="BD320" t="s">
        <v>270</v>
      </c>
      <c r="BE320" t="s">
        <v>117</v>
      </c>
      <c r="BF320">
        <v>0</v>
      </c>
      <c r="BG320">
        <v>0</v>
      </c>
      <c r="BH320">
        <v>0</v>
      </c>
    </row>
    <row r="321" spans="1:61">
      <c r="A321" s="164" t="s">
        <v>1011</v>
      </c>
      <c r="B321" t="s">
        <v>1012</v>
      </c>
      <c r="C321">
        <v>0</v>
      </c>
      <c r="D321" t="s">
        <v>257</v>
      </c>
      <c r="E321">
        <v>0</v>
      </c>
      <c r="F321" t="s">
        <v>258</v>
      </c>
      <c r="G321" t="s">
        <v>78</v>
      </c>
      <c r="H321" t="s">
        <v>79</v>
      </c>
      <c r="I321" t="s">
        <v>80</v>
      </c>
      <c r="J321" t="s">
        <v>196</v>
      </c>
      <c r="K321" t="s">
        <v>13</v>
      </c>
      <c r="L321" t="s">
        <v>83</v>
      </c>
      <c r="M321" t="s">
        <v>205</v>
      </c>
      <c r="N321">
        <v>1</v>
      </c>
      <c r="O321" t="b">
        <v>1</v>
      </c>
      <c r="P321">
        <v>0</v>
      </c>
      <c r="BB321">
        <v>0</v>
      </c>
      <c r="BC321" t="s">
        <v>259</v>
      </c>
      <c r="BD321" t="s">
        <v>260</v>
      </c>
      <c r="BE321" t="s">
        <v>117</v>
      </c>
      <c r="BF321">
        <v>0</v>
      </c>
      <c r="BG321">
        <v>120</v>
      </c>
      <c r="BH321">
        <v>5</v>
      </c>
      <c r="BI321" t="s">
        <v>947</v>
      </c>
    </row>
    <row r="322" spans="1:61">
      <c r="A322" s="164" t="s">
        <v>1013</v>
      </c>
      <c r="B322" t="s">
        <v>1014</v>
      </c>
      <c r="C322">
        <v>0</v>
      </c>
      <c r="D322" t="s">
        <v>257</v>
      </c>
      <c r="E322">
        <v>0</v>
      </c>
      <c r="F322" t="s">
        <v>293</v>
      </c>
      <c r="G322" t="s">
        <v>78</v>
      </c>
      <c r="H322" t="s">
        <v>79</v>
      </c>
      <c r="I322" t="s">
        <v>80</v>
      </c>
      <c r="J322" t="s">
        <v>196</v>
      </c>
      <c r="K322" t="s">
        <v>13</v>
      </c>
      <c r="L322" t="s">
        <v>83</v>
      </c>
      <c r="M322" t="s">
        <v>205</v>
      </c>
      <c r="N322">
        <v>1</v>
      </c>
      <c r="O322" t="b">
        <v>1</v>
      </c>
      <c r="P322">
        <v>0</v>
      </c>
      <c r="BB322">
        <v>0</v>
      </c>
      <c r="BC322" t="s">
        <v>259</v>
      </c>
      <c r="BD322" t="s">
        <v>294</v>
      </c>
      <c r="BE322" t="s">
        <v>117</v>
      </c>
      <c r="BF322">
        <v>0</v>
      </c>
      <c r="BG322">
        <v>10</v>
      </c>
      <c r="BH322">
        <v>150</v>
      </c>
      <c r="BI322" t="s">
        <v>295</v>
      </c>
    </row>
    <row r="323" spans="1:61">
      <c r="A323" s="164" t="s">
        <v>1015</v>
      </c>
      <c r="B323" t="s">
        <v>1016</v>
      </c>
      <c r="C323">
        <v>0</v>
      </c>
      <c r="D323" t="s">
        <v>257</v>
      </c>
      <c r="E323">
        <v>0</v>
      </c>
      <c r="F323" t="s">
        <v>293</v>
      </c>
      <c r="G323" t="s">
        <v>78</v>
      </c>
      <c r="H323" t="s">
        <v>79</v>
      </c>
      <c r="I323" t="s">
        <v>80</v>
      </c>
      <c r="J323" t="s">
        <v>196</v>
      </c>
      <c r="K323" t="s">
        <v>13</v>
      </c>
      <c r="L323" t="s">
        <v>83</v>
      </c>
      <c r="M323" t="s">
        <v>205</v>
      </c>
      <c r="N323">
        <v>1</v>
      </c>
      <c r="O323" t="b">
        <v>1</v>
      </c>
      <c r="P323">
        <v>0</v>
      </c>
      <c r="BB323">
        <v>0</v>
      </c>
      <c r="BC323" t="s">
        <v>259</v>
      </c>
      <c r="BD323" t="s">
        <v>294</v>
      </c>
      <c r="BE323" t="s">
        <v>117</v>
      </c>
      <c r="BF323">
        <v>0</v>
      </c>
      <c r="BG323">
        <v>10</v>
      </c>
      <c r="BH323">
        <v>150</v>
      </c>
      <c r="BI323" t="s">
        <v>295</v>
      </c>
    </row>
    <row r="324" spans="1:61">
      <c r="A324" s="164" t="s">
        <v>1017</v>
      </c>
      <c r="B324" t="s">
        <v>1018</v>
      </c>
      <c r="C324">
        <v>0</v>
      </c>
      <c r="D324" t="s">
        <v>257</v>
      </c>
      <c r="E324">
        <v>0</v>
      </c>
      <c r="F324" t="s">
        <v>269</v>
      </c>
      <c r="G324" t="s">
        <v>103</v>
      </c>
      <c r="H324" t="s">
        <v>104</v>
      </c>
      <c r="I324" t="s">
        <v>80</v>
      </c>
      <c r="J324" t="s">
        <v>196</v>
      </c>
      <c r="K324" t="s">
        <v>13</v>
      </c>
      <c r="L324" t="s">
        <v>83</v>
      </c>
      <c r="M324" t="s">
        <v>84</v>
      </c>
      <c r="N324">
        <v>1</v>
      </c>
      <c r="O324" t="b">
        <v>0</v>
      </c>
      <c r="P324">
        <v>0</v>
      </c>
      <c r="BB324">
        <v>0</v>
      </c>
      <c r="BC324" t="s">
        <v>259</v>
      </c>
      <c r="BD324" t="s">
        <v>270</v>
      </c>
      <c r="BE324" t="s">
        <v>117</v>
      </c>
      <c r="BF324">
        <v>0</v>
      </c>
      <c r="BG324">
        <v>0</v>
      </c>
      <c r="BH324">
        <v>0</v>
      </c>
    </row>
    <row r="325" spans="1:61">
      <c r="A325" s="164" t="s">
        <v>1019</v>
      </c>
      <c r="B325" t="s">
        <v>1020</v>
      </c>
      <c r="C325">
        <v>0</v>
      </c>
      <c r="D325" t="s">
        <v>257</v>
      </c>
      <c r="E325">
        <v>0</v>
      </c>
      <c r="F325" t="s">
        <v>269</v>
      </c>
      <c r="G325" t="s">
        <v>103</v>
      </c>
      <c r="H325" t="s">
        <v>104</v>
      </c>
      <c r="I325" t="s">
        <v>80</v>
      </c>
      <c r="J325" t="s">
        <v>196</v>
      </c>
      <c r="K325" t="s">
        <v>13</v>
      </c>
      <c r="L325" t="s">
        <v>83</v>
      </c>
      <c r="M325" t="s">
        <v>84</v>
      </c>
      <c r="N325">
        <v>1</v>
      </c>
      <c r="O325" t="b">
        <v>0</v>
      </c>
      <c r="P325">
        <v>0</v>
      </c>
      <c r="BB325">
        <v>0</v>
      </c>
      <c r="BC325" t="s">
        <v>259</v>
      </c>
      <c r="BD325" t="s">
        <v>270</v>
      </c>
      <c r="BE325" t="s">
        <v>117</v>
      </c>
      <c r="BF325">
        <v>0</v>
      </c>
      <c r="BG325">
        <v>0</v>
      </c>
      <c r="BH325">
        <v>0</v>
      </c>
    </row>
    <row r="326" spans="1:61">
      <c r="A326" s="164" t="s">
        <v>1021</v>
      </c>
      <c r="B326" t="s">
        <v>1022</v>
      </c>
      <c r="C326">
        <v>0</v>
      </c>
      <c r="D326" t="s">
        <v>257</v>
      </c>
      <c r="E326">
        <v>0</v>
      </c>
      <c r="F326" t="s">
        <v>269</v>
      </c>
      <c r="G326" t="s">
        <v>103</v>
      </c>
      <c r="H326" t="s">
        <v>104</v>
      </c>
      <c r="I326" t="s">
        <v>80</v>
      </c>
      <c r="J326" t="s">
        <v>196</v>
      </c>
      <c r="K326" t="s">
        <v>13</v>
      </c>
      <c r="L326" t="s">
        <v>83</v>
      </c>
      <c r="M326" t="s">
        <v>205</v>
      </c>
      <c r="N326">
        <v>1</v>
      </c>
      <c r="O326" t="b">
        <v>0</v>
      </c>
      <c r="P326">
        <v>0</v>
      </c>
      <c r="BB326">
        <v>0</v>
      </c>
      <c r="BC326" t="s">
        <v>259</v>
      </c>
      <c r="BD326" t="s">
        <v>270</v>
      </c>
      <c r="BE326" t="s">
        <v>117</v>
      </c>
      <c r="BF326">
        <v>0</v>
      </c>
      <c r="BG326">
        <v>0</v>
      </c>
      <c r="BH326">
        <v>0</v>
      </c>
    </row>
    <row r="327" spans="1:61">
      <c r="A327" s="164" t="s">
        <v>1023</v>
      </c>
      <c r="B327" t="s">
        <v>1024</v>
      </c>
      <c r="C327">
        <v>0</v>
      </c>
      <c r="D327" t="s">
        <v>523</v>
      </c>
      <c r="E327">
        <v>0</v>
      </c>
      <c r="F327" t="s">
        <v>538</v>
      </c>
      <c r="G327" t="s">
        <v>78</v>
      </c>
      <c r="H327" t="s">
        <v>79</v>
      </c>
      <c r="I327" t="s">
        <v>80</v>
      </c>
      <c r="J327" t="s">
        <v>196</v>
      </c>
      <c r="K327" t="s">
        <v>13</v>
      </c>
      <c r="L327" t="s">
        <v>83</v>
      </c>
      <c r="M327" t="s">
        <v>205</v>
      </c>
      <c r="N327">
        <v>1</v>
      </c>
      <c r="O327" t="b">
        <v>1</v>
      </c>
      <c r="P327">
        <v>0</v>
      </c>
      <c r="BB327">
        <v>0</v>
      </c>
      <c r="BC327" t="s">
        <v>524</v>
      </c>
      <c r="BD327" t="s">
        <v>539</v>
      </c>
      <c r="BE327" t="s">
        <v>117</v>
      </c>
      <c r="BF327">
        <v>0</v>
      </c>
      <c r="BG327">
        <v>15</v>
      </c>
      <c r="BH327">
        <v>44</v>
      </c>
      <c r="BI327" t="s">
        <v>545</v>
      </c>
    </row>
    <row r="328" spans="1:61">
      <c r="A328" s="164" t="s">
        <v>1025</v>
      </c>
      <c r="B328" t="s">
        <v>1026</v>
      </c>
      <c r="C328">
        <v>0</v>
      </c>
      <c r="D328" t="s">
        <v>523</v>
      </c>
      <c r="E328">
        <v>0</v>
      </c>
      <c r="F328" t="s">
        <v>538</v>
      </c>
      <c r="G328" t="s">
        <v>78</v>
      </c>
      <c r="H328" t="s">
        <v>79</v>
      </c>
      <c r="I328" t="s">
        <v>80</v>
      </c>
      <c r="J328" t="s">
        <v>196</v>
      </c>
      <c r="K328" t="s">
        <v>13</v>
      </c>
      <c r="L328" t="s">
        <v>83</v>
      </c>
      <c r="M328" t="s">
        <v>205</v>
      </c>
      <c r="N328">
        <v>1</v>
      </c>
      <c r="O328" t="b">
        <v>1</v>
      </c>
      <c r="P328">
        <v>0</v>
      </c>
      <c r="BB328">
        <v>0</v>
      </c>
      <c r="BC328" t="s">
        <v>524</v>
      </c>
      <c r="BD328" t="s">
        <v>539</v>
      </c>
      <c r="BE328" t="s">
        <v>117</v>
      </c>
      <c r="BF328">
        <v>0</v>
      </c>
      <c r="BG328">
        <v>15</v>
      </c>
      <c r="BH328">
        <v>40</v>
      </c>
      <c r="BI328" t="s">
        <v>545</v>
      </c>
    </row>
    <row r="329" spans="1:61">
      <c r="A329" s="164" t="s">
        <v>1027</v>
      </c>
      <c r="B329" t="s">
        <v>1028</v>
      </c>
      <c r="C329">
        <v>0</v>
      </c>
      <c r="D329" t="s">
        <v>523</v>
      </c>
      <c r="E329">
        <v>0</v>
      </c>
      <c r="F329" t="s">
        <v>538</v>
      </c>
      <c r="G329" t="s">
        <v>78</v>
      </c>
      <c r="H329" t="s">
        <v>79</v>
      </c>
      <c r="I329" t="s">
        <v>80</v>
      </c>
      <c r="J329" t="s">
        <v>196</v>
      </c>
      <c r="K329" t="s">
        <v>13</v>
      </c>
      <c r="L329" t="s">
        <v>83</v>
      </c>
      <c r="M329" t="s">
        <v>205</v>
      </c>
      <c r="N329">
        <v>1</v>
      </c>
      <c r="O329" t="b">
        <v>1</v>
      </c>
      <c r="P329">
        <v>0</v>
      </c>
      <c r="BB329">
        <v>0</v>
      </c>
      <c r="BC329" t="s">
        <v>524</v>
      </c>
      <c r="BD329" t="s">
        <v>539</v>
      </c>
      <c r="BE329" t="s">
        <v>117</v>
      </c>
      <c r="BF329">
        <v>0</v>
      </c>
      <c r="BG329">
        <v>15</v>
      </c>
      <c r="BH329">
        <v>2</v>
      </c>
      <c r="BI329" t="s">
        <v>545</v>
      </c>
    </row>
    <row r="330" spans="1:61">
      <c r="A330" s="164" t="s">
        <v>1029</v>
      </c>
      <c r="B330" t="s">
        <v>1030</v>
      </c>
      <c r="C330">
        <v>0</v>
      </c>
      <c r="D330" t="s">
        <v>523</v>
      </c>
      <c r="E330">
        <v>0</v>
      </c>
      <c r="F330" t="s">
        <v>538</v>
      </c>
      <c r="G330" t="s">
        <v>78</v>
      </c>
      <c r="H330" t="s">
        <v>79</v>
      </c>
      <c r="I330" t="s">
        <v>80</v>
      </c>
      <c r="J330" t="s">
        <v>196</v>
      </c>
      <c r="K330" t="s">
        <v>13</v>
      </c>
      <c r="L330" t="s">
        <v>83</v>
      </c>
      <c r="M330" t="s">
        <v>84</v>
      </c>
      <c r="N330">
        <v>1</v>
      </c>
      <c r="O330" t="b">
        <v>1</v>
      </c>
      <c r="P330">
        <v>0</v>
      </c>
      <c r="BB330">
        <v>0</v>
      </c>
      <c r="BC330" t="s">
        <v>524</v>
      </c>
      <c r="BD330" t="s">
        <v>539</v>
      </c>
      <c r="BE330" t="s">
        <v>117</v>
      </c>
      <c r="BF330">
        <v>0</v>
      </c>
      <c r="BG330">
        <v>15</v>
      </c>
      <c r="BH330">
        <v>2</v>
      </c>
      <c r="BI330" t="s">
        <v>545</v>
      </c>
    </row>
    <row r="331" spans="1:61">
      <c r="A331" s="164" t="s">
        <v>1031</v>
      </c>
      <c r="B331" t="s">
        <v>1032</v>
      </c>
      <c r="C331">
        <v>0</v>
      </c>
      <c r="D331" t="s">
        <v>523</v>
      </c>
      <c r="E331">
        <v>0</v>
      </c>
      <c r="F331" t="s">
        <v>269</v>
      </c>
      <c r="G331" t="s">
        <v>103</v>
      </c>
      <c r="H331" t="s">
        <v>104</v>
      </c>
      <c r="I331" t="s">
        <v>80</v>
      </c>
      <c r="J331" t="s">
        <v>196</v>
      </c>
      <c r="K331" t="s">
        <v>13</v>
      </c>
      <c r="L331" t="s">
        <v>83</v>
      </c>
      <c r="M331" t="s">
        <v>205</v>
      </c>
      <c r="N331">
        <v>1</v>
      </c>
      <c r="O331" t="b">
        <v>0</v>
      </c>
      <c r="P331">
        <v>0</v>
      </c>
      <c r="BB331">
        <v>0</v>
      </c>
      <c r="BC331" t="s">
        <v>524</v>
      </c>
      <c r="BD331" t="s">
        <v>270</v>
      </c>
      <c r="BE331" t="s">
        <v>117</v>
      </c>
      <c r="BF331">
        <v>0</v>
      </c>
      <c r="BG331">
        <v>0</v>
      </c>
      <c r="BH331">
        <v>0</v>
      </c>
    </row>
    <row r="332" spans="1:61">
      <c r="A332" s="164" t="s">
        <v>1033</v>
      </c>
      <c r="B332" t="s">
        <v>1034</v>
      </c>
      <c r="C332">
        <v>0</v>
      </c>
      <c r="D332" t="s">
        <v>523</v>
      </c>
      <c r="E332">
        <v>0</v>
      </c>
      <c r="F332" t="s">
        <v>538</v>
      </c>
      <c r="G332" t="s">
        <v>78</v>
      </c>
      <c r="H332" t="s">
        <v>79</v>
      </c>
      <c r="I332" t="s">
        <v>80</v>
      </c>
      <c r="J332" t="s">
        <v>196</v>
      </c>
      <c r="K332" t="s">
        <v>13</v>
      </c>
      <c r="L332" t="s">
        <v>83</v>
      </c>
      <c r="M332" t="s">
        <v>205</v>
      </c>
      <c r="N332">
        <v>1</v>
      </c>
      <c r="O332" t="b">
        <v>1</v>
      </c>
      <c r="P332">
        <v>0</v>
      </c>
      <c r="BB332">
        <v>0</v>
      </c>
      <c r="BC332" t="s">
        <v>524</v>
      </c>
      <c r="BD332" t="s">
        <v>539</v>
      </c>
      <c r="BE332" t="s">
        <v>117</v>
      </c>
      <c r="BF332">
        <v>0</v>
      </c>
      <c r="BG332">
        <v>15</v>
      </c>
      <c r="BH332">
        <v>500</v>
      </c>
      <c r="BI332" t="s">
        <v>1035</v>
      </c>
    </row>
    <row r="333" spans="1:61">
      <c r="A333" s="164" t="s">
        <v>1036</v>
      </c>
      <c r="B333" t="s">
        <v>1037</v>
      </c>
      <c r="C333">
        <v>0</v>
      </c>
      <c r="D333" t="s">
        <v>523</v>
      </c>
      <c r="E333">
        <v>0</v>
      </c>
      <c r="F333" t="s">
        <v>538</v>
      </c>
      <c r="G333" t="s">
        <v>78</v>
      </c>
      <c r="H333" t="s">
        <v>79</v>
      </c>
      <c r="I333" t="s">
        <v>80</v>
      </c>
      <c r="J333" t="s">
        <v>196</v>
      </c>
      <c r="K333" t="s">
        <v>13</v>
      </c>
      <c r="L333" t="s">
        <v>83</v>
      </c>
      <c r="M333" t="s">
        <v>205</v>
      </c>
      <c r="N333">
        <v>1</v>
      </c>
      <c r="O333" t="b">
        <v>1</v>
      </c>
      <c r="P333">
        <v>0</v>
      </c>
      <c r="BB333">
        <v>0</v>
      </c>
      <c r="BC333" t="s">
        <v>524</v>
      </c>
      <c r="BD333" t="s">
        <v>539</v>
      </c>
      <c r="BE333" t="s">
        <v>117</v>
      </c>
      <c r="BF333">
        <v>0</v>
      </c>
      <c r="BG333">
        <v>20</v>
      </c>
      <c r="BH333">
        <v>1000</v>
      </c>
      <c r="BI333" t="s">
        <v>1038</v>
      </c>
    </row>
    <row r="334" spans="1:61">
      <c r="A334" s="164" t="s">
        <v>1039</v>
      </c>
      <c r="B334" t="s">
        <v>1040</v>
      </c>
      <c r="C334">
        <v>0</v>
      </c>
      <c r="D334" t="s">
        <v>523</v>
      </c>
      <c r="E334">
        <v>0</v>
      </c>
      <c r="F334" t="s">
        <v>538</v>
      </c>
      <c r="G334" t="s">
        <v>78</v>
      </c>
      <c r="H334" t="s">
        <v>79</v>
      </c>
      <c r="I334" t="s">
        <v>80</v>
      </c>
      <c r="J334" t="s">
        <v>196</v>
      </c>
      <c r="K334" t="s">
        <v>13</v>
      </c>
      <c r="L334" t="s">
        <v>83</v>
      </c>
      <c r="M334" t="s">
        <v>205</v>
      </c>
      <c r="N334">
        <v>1</v>
      </c>
      <c r="O334" t="b">
        <v>1</v>
      </c>
      <c r="P334">
        <v>0</v>
      </c>
      <c r="BB334">
        <v>0</v>
      </c>
      <c r="BC334" t="s">
        <v>524</v>
      </c>
      <c r="BD334" t="s">
        <v>539</v>
      </c>
      <c r="BE334" t="s">
        <v>117</v>
      </c>
      <c r="BF334">
        <v>0</v>
      </c>
      <c r="BG334">
        <v>15</v>
      </c>
      <c r="BH334">
        <v>50</v>
      </c>
      <c r="BI334" t="s">
        <v>549</v>
      </c>
    </row>
    <row r="335" spans="1:61">
      <c r="A335" s="164" t="s">
        <v>1041</v>
      </c>
      <c r="B335" t="s">
        <v>1042</v>
      </c>
      <c r="C335">
        <v>0</v>
      </c>
      <c r="D335" t="s">
        <v>523</v>
      </c>
      <c r="E335">
        <v>0</v>
      </c>
      <c r="F335" t="s">
        <v>531</v>
      </c>
      <c r="G335" t="s">
        <v>78</v>
      </c>
      <c r="H335" t="s">
        <v>79</v>
      </c>
      <c r="I335" t="s">
        <v>80</v>
      </c>
      <c r="J335" t="s">
        <v>196</v>
      </c>
      <c r="K335" t="s">
        <v>13</v>
      </c>
      <c r="L335" t="s">
        <v>83</v>
      </c>
      <c r="M335" t="s">
        <v>205</v>
      </c>
      <c r="N335">
        <v>1</v>
      </c>
      <c r="O335" t="b">
        <v>1</v>
      </c>
      <c r="P335">
        <v>0</v>
      </c>
      <c r="BB335">
        <v>0</v>
      </c>
      <c r="BC335" t="s">
        <v>524</v>
      </c>
      <c r="BD335" t="s">
        <v>532</v>
      </c>
      <c r="BE335" t="s">
        <v>117</v>
      </c>
      <c r="BF335">
        <v>0</v>
      </c>
      <c r="BG335">
        <v>20</v>
      </c>
      <c r="BH335">
        <v>1000</v>
      </c>
      <c r="BI335" t="s">
        <v>1043</v>
      </c>
    </row>
    <row r="336" spans="1:61">
      <c r="A336" s="164" t="s">
        <v>1044</v>
      </c>
      <c r="B336" t="s">
        <v>1045</v>
      </c>
      <c r="C336">
        <v>0</v>
      </c>
      <c r="D336" t="s">
        <v>304</v>
      </c>
      <c r="E336">
        <v>0</v>
      </c>
      <c r="F336" t="s">
        <v>336</v>
      </c>
      <c r="G336" t="s">
        <v>78</v>
      </c>
      <c r="H336" t="s">
        <v>79</v>
      </c>
      <c r="I336" t="s">
        <v>80</v>
      </c>
      <c r="J336" t="s">
        <v>196</v>
      </c>
      <c r="K336" t="s">
        <v>13</v>
      </c>
      <c r="L336" t="s">
        <v>83</v>
      </c>
      <c r="M336" t="s">
        <v>84</v>
      </c>
      <c r="N336">
        <v>1</v>
      </c>
      <c r="O336" t="b">
        <v>1</v>
      </c>
      <c r="P336">
        <v>0</v>
      </c>
      <c r="BB336">
        <v>0</v>
      </c>
      <c r="BC336" t="s">
        <v>306</v>
      </c>
      <c r="BD336" t="s">
        <v>337</v>
      </c>
      <c r="BE336" t="s">
        <v>117</v>
      </c>
      <c r="BF336">
        <v>0</v>
      </c>
      <c r="BG336">
        <v>30</v>
      </c>
      <c r="BH336">
        <v>30000</v>
      </c>
      <c r="BI336" t="s">
        <v>593</v>
      </c>
    </row>
    <row r="337" spans="1:61">
      <c r="A337" s="164" t="s">
        <v>1046</v>
      </c>
      <c r="B337" t="s">
        <v>1047</v>
      </c>
      <c r="C337">
        <v>0</v>
      </c>
      <c r="D337" t="s">
        <v>304</v>
      </c>
      <c r="E337">
        <v>0</v>
      </c>
      <c r="F337" t="s">
        <v>589</v>
      </c>
      <c r="G337" t="s">
        <v>78</v>
      </c>
      <c r="H337" t="s">
        <v>79</v>
      </c>
      <c r="I337" t="s">
        <v>80</v>
      </c>
      <c r="J337" t="s">
        <v>196</v>
      </c>
      <c r="K337" t="s">
        <v>13</v>
      </c>
      <c r="L337" t="s">
        <v>83</v>
      </c>
      <c r="M337" t="s">
        <v>84</v>
      </c>
      <c r="N337">
        <v>1</v>
      </c>
      <c r="O337" t="b">
        <v>1</v>
      </c>
      <c r="P337">
        <v>0</v>
      </c>
      <c r="BB337">
        <v>0</v>
      </c>
      <c r="BC337" t="s">
        <v>306</v>
      </c>
      <c r="BD337" t="s">
        <v>590</v>
      </c>
      <c r="BE337" t="s">
        <v>117</v>
      </c>
      <c r="BF337">
        <v>0</v>
      </c>
      <c r="BG337">
        <v>25</v>
      </c>
      <c r="BH337">
        <v>10000</v>
      </c>
      <c r="BI337" t="s">
        <v>344</v>
      </c>
    </row>
    <row r="338" spans="1:61">
      <c r="A338" s="164" t="s">
        <v>1048</v>
      </c>
      <c r="B338" t="s">
        <v>1049</v>
      </c>
      <c r="C338">
        <v>0</v>
      </c>
      <c r="D338" t="s">
        <v>304</v>
      </c>
      <c r="E338">
        <v>0</v>
      </c>
      <c r="F338" t="s">
        <v>800</v>
      </c>
      <c r="G338" t="s">
        <v>78</v>
      </c>
      <c r="H338" t="s">
        <v>79</v>
      </c>
      <c r="I338" t="s">
        <v>80</v>
      </c>
      <c r="J338" t="s">
        <v>196</v>
      </c>
      <c r="K338" t="s">
        <v>13</v>
      </c>
      <c r="L338" t="s">
        <v>83</v>
      </c>
      <c r="M338" t="s">
        <v>84</v>
      </c>
      <c r="N338">
        <v>1</v>
      </c>
      <c r="O338" t="b">
        <v>1</v>
      </c>
      <c r="P338">
        <v>0</v>
      </c>
      <c r="BB338">
        <v>0</v>
      </c>
      <c r="BC338" t="s">
        <v>306</v>
      </c>
      <c r="BD338" t="s">
        <v>801</v>
      </c>
      <c r="BE338" t="s">
        <v>117</v>
      </c>
      <c r="BF338">
        <v>0</v>
      </c>
      <c r="BG338">
        <v>15</v>
      </c>
      <c r="BH338">
        <v>10000</v>
      </c>
      <c r="BI338" t="s">
        <v>308</v>
      </c>
    </row>
    <row r="339" spans="1:61">
      <c r="A339" s="164" t="s">
        <v>1050</v>
      </c>
      <c r="B339" t="s">
        <v>1051</v>
      </c>
      <c r="C339">
        <v>0</v>
      </c>
      <c r="D339" t="s">
        <v>304</v>
      </c>
      <c r="E339">
        <v>0</v>
      </c>
      <c r="F339" t="s">
        <v>589</v>
      </c>
      <c r="G339" t="s">
        <v>78</v>
      </c>
      <c r="H339" t="s">
        <v>79</v>
      </c>
      <c r="I339" t="s">
        <v>80</v>
      </c>
      <c r="J339" t="s">
        <v>196</v>
      </c>
      <c r="K339" t="s">
        <v>13</v>
      </c>
      <c r="L339" t="s">
        <v>83</v>
      </c>
      <c r="M339" t="s">
        <v>84</v>
      </c>
      <c r="N339">
        <v>1</v>
      </c>
      <c r="O339" t="b">
        <v>1</v>
      </c>
      <c r="P339">
        <v>0</v>
      </c>
      <c r="BB339">
        <v>0</v>
      </c>
      <c r="BC339" t="s">
        <v>306</v>
      </c>
      <c r="BD339" t="s">
        <v>590</v>
      </c>
      <c r="BE339" t="s">
        <v>117</v>
      </c>
      <c r="BF339">
        <v>0</v>
      </c>
      <c r="BG339">
        <v>25</v>
      </c>
      <c r="BH339">
        <v>10000</v>
      </c>
      <c r="BI339" t="s">
        <v>344</v>
      </c>
    </row>
    <row r="340" spans="1:61">
      <c r="A340" s="164" t="s">
        <v>1052</v>
      </c>
      <c r="B340" t="s">
        <v>1053</v>
      </c>
      <c r="C340">
        <v>0</v>
      </c>
      <c r="D340" t="s">
        <v>304</v>
      </c>
      <c r="E340">
        <v>0</v>
      </c>
      <c r="F340" t="s">
        <v>313</v>
      </c>
      <c r="G340" t="s">
        <v>78</v>
      </c>
      <c r="H340" t="s">
        <v>79</v>
      </c>
      <c r="I340" t="s">
        <v>80</v>
      </c>
      <c r="J340" t="s">
        <v>196</v>
      </c>
      <c r="K340" t="s">
        <v>13</v>
      </c>
      <c r="L340" t="s">
        <v>83</v>
      </c>
      <c r="M340" t="s">
        <v>84</v>
      </c>
      <c r="N340">
        <v>1</v>
      </c>
      <c r="O340" t="b">
        <v>1</v>
      </c>
      <c r="P340">
        <v>0</v>
      </c>
      <c r="BB340">
        <v>0</v>
      </c>
      <c r="BC340" t="s">
        <v>306</v>
      </c>
      <c r="BD340" t="s">
        <v>314</v>
      </c>
      <c r="BE340" t="s">
        <v>117</v>
      </c>
      <c r="BF340">
        <v>0</v>
      </c>
      <c r="BG340">
        <v>25</v>
      </c>
      <c r="BH340">
        <v>1000</v>
      </c>
      <c r="BI340" t="s">
        <v>1054</v>
      </c>
    </row>
    <row r="341" spans="1:61">
      <c r="A341" s="164" t="s">
        <v>1055</v>
      </c>
      <c r="B341" t="s">
        <v>1056</v>
      </c>
      <c r="C341">
        <v>0</v>
      </c>
      <c r="D341" t="s">
        <v>304</v>
      </c>
      <c r="E341">
        <v>0</v>
      </c>
      <c r="F341" t="s">
        <v>269</v>
      </c>
      <c r="G341" t="s">
        <v>103</v>
      </c>
      <c r="H341" t="s">
        <v>104</v>
      </c>
      <c r="I341" t="s">
        <v>80</v>
      </c>
      <c r="J341" t="s">
        <v>196</v>
      </c>
      <c r="K341" t="s">
        <v>13</v>
      </c>
      <c r="L341" t="s">
        <v>83</v>
      </c>
      <c r="M341" t="s">
        <v>84</v>
      </c>
      <c r="N341">
        <v>1</v>
      </c>
      <c r="O341" t="b">
        <v>0</v>
      </c>
      <c r="P341">
        <v>0</v>
      </c>
      <c r="BB341">
        <v>0</v>
      </c>
      <c r="BC341" t="s">
        <v>306</v>
      </c>
      <c r="BD341" t="s">
        <v>270</v>
      </c>
      <c r="BE341" t="s">
        <v>117</v>
      </c>
      <c r="BF341">
        <v>0</v>
      </c>
      <c r="BG341">
        <v>0</v>
      </c>
      <c r="BH341">
        <v>0</v>
      </c>
    </row>
    <row r="342" spans="1:61">
      <c r="A342" s="164" t="s">
        <v>1057</v>
      </c>
      <c r="B342" t="s">
        <v>1058</v>
      </c>
      <c r="C342">
        <v>0</v>
      </c>
      <c r="D342" t="s">
        <v>304</v>
      </c>
      <c r="E342">
        <v>0</v>
      </c>
      <c r="F342" t="s">
        <v>269</v>
      </c>
      <c r="G342" t="s">
        <v>103</v>
      </c>
      <c r="H342" t="s">
        <v>104</v>
      </c>
      <c r="I342" t="s">
        <v>80</v>
      </c>
      <c r="J342" t="s">
        <v>196</v>
      </c>
      <c r="K342" t="s">
        <v>13</v>
      </c>
      <c r="L342" t="s">
        <v>83</v>
      </c>
      <c r="M342" t="s">
        <v>84</v>
      </c>
      <c r="N342">
        <v>1</v>
      </c>
      <c r="O342" t="b">
        <v>0</v>
      </c>
      <c r="P342">
        <v>0</v>
      </c>
      <c r="BB342">
        <v>0</v>
      </c>
      <c r="BC342" t="s">
        <v>306</v>
      </c>
      <c r="BD342" t="s">
        <v>270</v>
      </c>
      <c r="BE342" t="s">
        <v>117</v>
      </c>
      <c r="BF342">
        <v>0</v>
      </c>
      <c r="BG342">
        <v>0</v>
      </c>
      <c r="BH342">
        <v>0</v>
      </c>
    </row>
    <row r="343" spans="1:61">
      <c r="A343" s="164" t="s">
        <v>1059</v>
      </c>
      <c r="B343" t="s">
        <v>1060</v>
      </c>
      <c r="C343">
        <v>0</v>
      </c>
      <c r="D343" t="s">
        <v>304</v>
      </c>
      <c r="E343">
        <v>0</v>
      </c>
      <c r="F343" t="s">
        <v>269</v>
      </c>
      <c r="G343" t="s">
        <v>103</v>
      </c>
      <c r="H343" t="s">
        <v>104</v>
      </c>
      <c r="I343" t="s">
        <v>80</v>
      </c>
      <c r="J343" t="s">
        <v>196</v>
      </c>
      <c r="K343" t="s">
        <v>13</v>
      </c>
      <c r="L343" t="s">
        <v>83</v>
      </c>
      <c r="M343" t="s">
        <v>84</v>
      </c>
      <c r="N343">
        <v>1</v>
      </c>
      <c r="O343" t="b">
        <v>0</v>
      </c>
      <c r="P343">
        <v>0</v>
      </c>
      <c r="BB343">
        <v>0</v>
      </c>
      <c r="BC343" t="s">
        <v>306</v>
      </c>
      <c r="BD343" t="s">
        <v>270</v>
      </c>
      <c r="BE343" t="s">
        <v>117</v>
      </c>
      <c r="BF343">
        <v>0</v>
      </c>
      <c r="BG343">
        <v>0</v>
      </c>
      <c r="BH343">
        <v>0</v>
      </c>
    </row>
    <row r="344" spans="1:61">
      <c r="A344" s="164" t="s">
        <v>1061</v>
      </c>
      <c r="B344" t="s">
        <v>1062</v>
      </c>
      <c r="C344">
        <v>0</v>
      </c>
      <c r="D344" t="s">
        <v>107</v>
      </c>
      <c r="E344">
        <v>0</v>
      </c>
      <c r="F344" t="s">
        <v>767</v>
      </c>
      <c r="G344" t="s">
        <v>103</v>
      </c>
      <c r="H344" t="s">
        <v>104</v>
      </c>
      <c r="I344" t="s">
        <v>80</v>
      </c>
      <c r="J344" t="s">
        <v>81</v>
      </c>
      <c r="K344" t="s">
        <v>82</v>
      </c>
      <c r="L344" t="s">
        <v>83</v>
      </c>
      <c r="M344" t="s">
        <v>84</v>
      </c>
      <c r="N344">
        <v>1</v>
      </c>
      <c r="O344" t="b">
        <v>0</v>
      </c>
      <c r="P344">
        <v>45</v>
      </c>
      <c r="Q344" t="s">
        <v>85</v>
      </c>
      <c r="S344">
        <v>1</v>
      </c>
      <c r="T344">
        <v>1</v>
      </c>
      <c r="U344" s="36">
        <v>1.18615</v>
      </c>
      <c r="V344" t="s">
        <v>87</v>
      </c>
      <c r="W344">
        <v>0</v>
      </c>
      <c r="X344">
        <v>0.45019999999999999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155</v>
      </c>
      <c r="AF344" t="s">
        <v>768</v>
      </c>
      <c r="AG344" t="s">
        <v>129</v>
      </c>
      <c r="AH344">
        <v>0</v>
      </c>
      <c r="AI344">
        <v>1</v>
      </c>
      <c r="AJ344" t="s">
        <v>91</v>
      </c>
      <c r="AK344" t="s">
        <v>92</v>
      </c>
      <c r="AL344" t="s">
        <v>93</v>
      </c>
      <c r="AM344">
        <v>0</v>
      </c>
      <c r="AN344">
        <v>0</v>
      </c>
      <c r="AO344">
        <v>0.99590000000000001</v>
      </c>
      <c r="AP344">
        <v>0</v>
      </c>
      <c r="AQ344">
        <v>8.6691086691086688E-2</v>
      </c>
      <c r="AR344">
        <v>2.6666666666666505E-3</v>
      </c>
      <c r="AS344">
        <v>0</v>
      </c>
      <c r="AT344">
        <v>1.0866910866910866</v>
      </c>
      <c r="AU344">
        <v>1.0026666666666666</v>
      </c>
      <c r="AV344">
        <v>1</v>
      </c>
      <c r="AW344">
        <v>0</v>
      </c>
      <c r="AX344" t="s">
        <v>1063</v>
      </c>
      <c r="AY344">
        <v>0</v>
      </c>
      <c r="AZ344">
        <v>0</v>
      </c>
      <c r="BA344" t="s">
        <v>94</v>
      </c>
      <c r="BB344">
        <v>0</v>
      </c>
      <c r="BC344" t="s">
        <v>95</v>
      </c>
      <c r="BD344" t="s">
        <v>96</v>
      </c>
      <c r="BE344" t="s">
        <v>97</v>
      </c>
      <c r="BF344">
        <v>0</v>
      </c>
      <c r="BG344">
        <v>0</v>
      </c>
      <c r="BH344">
        <v>0</v>
      </c>
      <c r="BI344" t="s">
        <v>98</v>
      </c>
    </row>
    <row r="345" spans="1:61">
      <c r="A345" s="164" t="s">
        <v>1064</v>
      </c>
      <c r="B345" t="s">
        <v>1065</v>
      </c>
      <c r="C345">
        <v>0</v>
      </c>
      <c r="D345" t="s">
        <v>194</v>
      </c>
      <c r="E345">
        <v>0</v>
      </c>
      <c r="F345" t="s">
        <v>195</v>
      </c>
      <c r="G345" t="s">
        <v>78</v>
      </c>
      <c r="H345" t="s">
        <v>79</v>
      </c>
      <c r="I345" t="s">
        <v>80</v>
      </c>
      <c r="J345" t="s">
        <v>196</v>
      </c>
      <c r="K345" t="s">
        <v>13</v>
      </c>
      <c r="L345" t="s">
        <v>83</v>
      </c>
      <c r="M345" t="s">
        <v>205</v>
      </c>
      <c r="N345">
        <v>1</v>
      </c>
      <c r="O345" t="b">
        <v>1</v>
      </c>
      <c r="P345">
        <v>0</v>
      </c>
      <c r="BB345">
        <v>0</v>
      </c>
      <c r="BC345" t="s">
        <v>197</v>
      </c>
      <c r="BD345" t="s">
        <v>198</v>
      </c>
      <c r="BE345" t="s">
        <v>117</v>
      </c>
      <c r="BF345">
        <v>0</v>
      </c>
      <c r="BG345">
        <v>0</v>
      </c>
      <c r="BH345">
        <v>0</v>
      </c>
    </row>
    <row r="346" spans="1:61">
      <c r="A346" s="164" t="s">
        <v>1066</v>
      </c>
      <c r="B346" t="s">
        <v>1067</v>
      </c>
      <c r="C346">
        <v>0</v>
      </c>
      <c r="D346" t="s">
        <v>194</v>
      </c>
      <c r="E346">
        <v>0</v>
      </c>
      <c r="F346" t="s">
        <v>214</v>
      </c>
      <c r="G346" t="s">
        <v>78</v>
      </c>
      <c r="H346" t="s">
        <v>79</v>
      </c>
      <c r="I346" t="s">
        <v>80</v>
      </c>
      <c r="J346" t="s">
        <v>196</v>
      </c>
      <c r="K346" t="s">
        <v>13</v>
      </c>
      <c r="L346" t="s">
        <v>83</v>
      </c>
      <c r="M346" t="s">
        <v>205</v>
      </c>
      <c r="N346">
        <v>1</v>
      </c>
      <c r="O346" t="b">
        <v>1</v>
      </c>
      <c r="P346">
        <v>0</v>
      </c>
      <c r="BB346">
        <v>0</v>
      </c>
      <c r="BC346" t="s">
        <v>197</v>
      </c>
      <c r="BD346" t="s">
        <v>216</v>
      </c>
      <c r="BE346" t="s">
        <v>117</v>
      </c>
      <c r="BF346">
        <v>0</v>
      </c>
      <c r="BG346">
        <v>0</v>
      </c>
      <c r="BH346">
        <v>0</v>
      </c>
    </row>
    <row r="347" spans="1:61">
      <c r="A347" s="164" t="s">
        <v>1068</v>
      </c>
      <c r="B347" t="s">
        <v>1069</v>
      </c>
      <c r="C347">
        <v>0</v>
      </c>
      <c r="D347" t="s">
        <v>194</v>
      </c>
      <c r="E347">
        <v>0</v>
      </c>
      <c r="F347" t="s">
        <v>195</v>
      </c>
      <c r="G347" t="s">
        <v>78</v>
      </c>
      <c r="H347" t="s">
        <v>79</v>
      </c>
      <c r="I347" t="s">
        <v>80</v>
      </c>
      <c r="J347" t="s">
        <v>196</v>
      </c>
      <c r="K347" t="s">
        <v>13</v>
      </c>
      <c r="L347" t="s">
        <v>83</v>
      </c>
      <c r="M347" t="s">
        <v>205</v>
      </c>
      <c r="N347">
        <v>1</v>
      </c>
      <c r="O347" t="b">
        <v>1</v>
      </c>
      <c r="P347">
        <v>0</v>
      </c>
      <c r="BB347">
        <v>0</v>
      </c>
      <c r="BC347" t="s">
        <v>197</v>
      </c>
      <c r="BD347" t="s">
        <v>198</v>
      </c>
      <c r="BE347" t="s">
        <v>117</v>
      </c>
      <c r="BF347">
        <v>0</v>
      </c>
      <c r="BG347">
        <v>0</v>
      </c>
      <c r="BH347">
        <v>0</v>
      </c>
    </row>
    <row r="348" spans="1:61">
      <c r="A348" s="164" t="s">
        <v>1070</v>
      </c>
      <c r="B348" t="s">
        <v>1071</v>
      </c>
      <c r="C348">
        <v>0</v>
      </c>
      <c r="D348" t="s">
        <v>194</v>
      </c>
      <c r="E348">
        <v>0</v>
      </c>
      <c r="F348" t="s">
        <v>195</v>
      </c>
      <c r="G348" t="s">
        <v>78</v>
      </c>
      <c r="H348" t="s">
        <v>79</v>
      </c>
      <c r="I348" t="s">
        <v>80</v>
      </c>
      <c r="J348" t="s">
        <v>196</v>
      </c>
      <c r="K348" t="s">
        <v>13</v>
      </c>
      <c r="L348" t="s">
        <v>83</v>
      </c>
      <c r="M348" t="s">
        <v>205</v>
      </c>
      <c r="N348">
        <v>1</v>
      </c>
      <c r="O348" t="b">
        <v>1</v>
      </c>
      <c r="P348">
        <v>0</v>
      </c>
      <c r="BB348">
        <v>0</v>
      </c>
      <c r="BC348" t="s">
        <v>197</v>
      </c>
      <c r="BD348" t="s">
        <v>198</v>
      </c>
      <c r="BE348" t="s">
        <v>117</v>
      </c>
      <c r="BF348">
        <v>0</v>
      </c>
      <c r="BG348">
        <v>0</v>
      </c>
      <c r="BH348">
        <v>0</v>
      </c>
    </row>
    <row r="349" spans="1:61">
      <c r="A349" s="164" t="s">
        <v>1072</v>
      </c>
      <c r="B349" t="s">
        <v>1073</v>
      </c>
      <c r="C349">
        <v>0</v>
      </c>
      <c r="D349" t="s">
        <v>194</v>
      </c>
      <c r="E349">
        <v>0</v>
      </c>
      <c r="F349" t="s">
        <v>214</v>
      </c>
      <c r="G349" t="s">
        <v>78</v>
      </c>
      <c r="H349" t="s">
        <v>79</v>
      </c>
      <c r="I349" t="s">
        <v>80</v>
      </c>
      <c r="J349" t="s">
        <v>196</v>
      </c>
      <c r="K349" t="s">
        <v>13</v>
      </c>
      <c r="L349" t="s">
        <v>83</v>
      </c>
      <c r="M349" t="s">
        <v>215</v>
      </c>
      <c r="N349">
        <v>1</v>
      </c>
      <c r="O349" t="b">
        <v>1</v>
      </c>
      <c r="P349">
        <v>0</v>
      </c>
      <c r="BB349">
        <v>0</v>
      </c>
      <c r="BC349" t="s">
        <v>197</v>
      </c>
      <c r="BD349" t="s">
        <v>216</v>
      </c>
      <c r="BE349" t="s">
        <v>117</v>
      </c>
      <c r="BF349">
        <v>0</v>
      </c>
      <c r="BG349">
        <v>0</v>
      </c>
      <c r="BH349">
        <v>0</v>
      </c>
    </row>
    <row r="350" spans="1:61">
      <c r="A350" s="164" t="s">
        <v>1074</v>
      </c>
      <c r="B350" t="s">
        <v>1075</v>
      </c>
      <c r="C350">
        <v>0</v>
      </c>
      <c r="D350" t="s">
        <v>194</v>
      </c>
      <c r="E350">
        <v>0</v>
      </c>
      <c r="F350" t="s">
        <v>195</v>
      </c>
      <c r="G350" t="s">
        <v>78</v>
      </c>
      <c r="H350" t="s">
        <v>79</v>
      </c>
      <c r="I350" t="s">
        <v>80</v>
      </c>
      <c r="J350" t="s">
        <v>196</v>
      </c>
      <c r="K350" t="s">
        <v>13</v>
      </c>
      <c r="L350" t="s">
        <v>83</v>
      </c>
      <c r="M350" t="s">
        <v>205</v>
      </c>
      <c r="N350">
        <v>1</v>
      </c>
      <c r="O350" t="b">
        <v>1</v>
      </c>
      <c r="P350">
        <v>0</v>
      </c>
      <c r="BB350">
        <v>0</v>
      </c>
      <c r="BC350" t="s">
        <v>197</v>
      </c>
      <c r="BD350" t="s">
        <v>198</v>
      </c>
      <c r="BE350" t="s">
        <v>117</v>
      </c>
      <c r="BF350">
        <v>0</v>
      </c>
      <c r="BG350">
        <v>0</v>
      </c>
      <c r="BH350">
        <v>0</v>
      </c>
    </row>
    <row r="351" spans="1:61">
      <c r="A351" s="164" t="s">
        <v>1076</v>
      </c>
      <c r="B351" t="s">
        <v>1077</v>
      </c>
      <c r="C351">
        <v>0</v>
      </c>
      <c r="D351" t="s">
        <v>194</v>
      </c>
      <c r="E351">
        <v>0</v>
      </c>
      <c r="F351" t="s">
        <v>195</v>
      </c>
      <c r="G351" t="s">
        <v>78</v>
      </c>
      <c r="H351" t="s">
        <v>79</v>
      </c>
      <c r="I351" t="s">
        <v>80</v>
      </c>
      <c r="J351" t="s">
        <v>196</v>
      </c>
      <c r="K351" t="s">
        <v>13</v>
      </c>
      <c r="L351" t="s">
        <v>83</v>
      </c>
      <c r="M351" t="s">
        <v>205</v>
      </c>
      <c r="N351">
        <v>1</v>
      </c>
      <c r="O351" t="b">
        <v>1</v>
      </c>
      <c r="P351">
        <v>0</v>
      </c>
      <c r="BB351">
        <v>0</v>
      </c>
      <c r="BC351" t="s">
        <v>197</v>
      </c>
      <c r="BD351" t="s">
        <v>198</v>
      </c>
      <c r="BE351" t="s">
        <v>117</v>
      </c>
      <c r="BF351">
        <v>0</v>
      </c>
      <c r="BG351">
        <v>0</v>
      </c>
      <c r="BH351">
        <v>0</v>
      </c>
    </row>
    <row r="352" spans="1:61">
      <c r="A352" s="164" t="s">
        <v>1078</v>
      </c>
      <c r="B352" t="s">
        <v>1079</v>
      </c>
      <c r="C352">
        <v>0</v>
      </c>
      <c r="D352" t="s">
        <v>194</v>
      </c>
      <c r="E352">
        <v>0</v>
      </c>
      <c r="F352" t="s">
        <v>195</v>
      </c>
      <c r="G352" t="s">
        <v>78</v>
      </c>
      <c r="H352" t="s">
        <v>79</v>
      </c>
      <c r="I352" t="s">
        <v>80</v>
      </c>
      <c r="J352" t="s">
        <v>196</v>
      </c>
      <c r="K352" t="s">
        <v>13</v>
      </c>
      <c r="L352" t="s">
        <v>83</v>
      </c>
      <c r="M352" t="s">
        <v>205</v>
      </c>
      <c r="N352">
        <v>1</v>
      </c>
      <c r="O352" t="b">
        <v>1</v>
      </c>
      <c r="P352">
        <v>0</v>
      </c>
      <c r="BB352">
        <v>0</v>
      </c>
      <c r="BC352" t="s">
        <v>197</v>
      </c>
      <c r="BD352" t="s">
        <v>198</v>
      </c>
      <c r="BE352" t="s">
        <v>117</v>
      </c>
      <c r="BF352">
        <v>0</v>
      </c>
      <c r="BG352">
        <v>0</v>
      </c>
      <c r="BH352">
        <v>0</v>
      </c>
    </row>
    <row r="353" spans="1:61">
      <c r="A353" s="164" t="s">
        <v>1080</v>
      </c>
      <c r="B353" t="s">
        <v>1081</v>
      </c>
      <c r="C353">
        <v>0</v>
      </c>
      <c r="D353" t="s">
        <v>194</v>
      </c>
      <c r="E353">
        <v>0</v>
      </c>
      <c r="F353" t="s">
        <v>552</v>
      </c>
      <c r="G353" t="s">
        <v>78</v>
      </c>
      <c r="H353" t="s">
        <v>79</v>
      </c>
      <c r="I353" t="s">
        <v>80</v>
      </c>
      <c r="J353" t="s">
        <v>196</v>
      </c>
      <c r="K353" t="s">
        <v>13</v>
      </c>
      <c r="L353" t="s">
        <v>83</v>
      </c>
      <c r="M353" t="s">
        <v>84</v>
      </c>
      <c r="N353">
        <v>7.0999999999999994E-2</v>
      </c>
      <c r="O353" t="b">
        <v>1</v>
      </c>
      <c r="P353">
        <v>0</v>
      </c>
      <c r="BB353">
        <v>0</v>
      </c>
      <c r="BC353" t="s">
        <v>197</v>
      </c>
      <c r="BD353" t="s">
        <v>553</v>
      </c>
      <c r="BE353" t="s">
        <v>117</v>
      </c>
      <c r="BF353">
        <v>0</v>
      </c>
      <c r="BG353">
        <v>10</v>
      </c>
      <c r="BH353">
        <v>1000</v>
      </c>
      <c r="BI353" t="s">
        <v>1082</v>
      </c>
    </row>
    <row r="354" spans="1:61">
      <c r="A354" s="164" t="s">
        <v>1083</v>
      </c>
      <c r="B354" t="s">
        <v>1084</v>
      </c>
      <c r="C354">
        <v>0</v>
      </c>
      <c r="D354" t="s">
        <v>194</v>
      </c>
      <c r="E354">
        <v>0</v>
      </c>
      <c r="F354" t="s">
        <v>214</v>
      </c>
      <c r="G354" t="s">
        <v>78</v>
      </c>
      <c r="H354" t="s">
        <v>79</v>
      </c>
      <c r="I354" t="s">
        <v>80</v>
      </c>
      <c r="J354" t="s">
        <v>196</v>
      </c>
      <c r="K354" t="s">
        <v>13</v>
      </c>
      <c r="L354" t="s">
        <v>83</v>
      </c>
      <c r="M354" t="s">
        <v>215</v>
      </c>
      <c r="N354">
        <v>1</v>
      </c>
      <c r="O354" t="b">
        <v>1</v>
      </c>
      <c r="P354">
        <v>0</v>
      </c>
      <c r="BB354">
        <v>0</v>
      </c>
      <c r="BC354" t="s">
        <v>197</v>
      </c>
      <c r="BD354" t="s">
        <v>216</v>
      </c>
      <c r="BE354" t="s">
        <v>117</v>
      </c>
      <c r="BF354">
        <v>0</v>
      </c>
      <c r="BG354">
        <v>0</v>
      </c>
      <c r="BH354">
        <v>0</v>
      </c>
    </row>
    <row r="355" spans="1:61">
      <c r="A355" s="164" t="s">
        <v>1085</v>
      </c>
      <c r="B355" t="s">
        <v>1086</v>
      </c>
      <c r="C355">
        <v>0</v>
      </c>
      <c r="D355" t="s">
        <v>194</v>
      </c>
      <c r="E355">
        <v>0</v>
      </c>
      <c r="F355" t="s">
        <v>214</v>
      </c>
      <c r="G355" t="s">
        <v>78</v>
      </c>
      <c r="H355" t="s">
        <v>79</v>
      </c>
      <c r="I355" t="s">
        <v>80</v>
      </c>
      <c r="J355" t="s">
        <v>196</v>
      </c>
      <c r="K355" t="s">
        <v>13</v>
      </c>
      <c r="L355" t="s">
        <v>83</v>
      </c>
      <c r="M355" t="s">
        <v>215</v>
      </c>
      <c r="N355">
        <v>1</v>
      </c>
      <c r="O355" t="b">
        <v>1</v>
      </c>
      <c r="P355">
        <v>0</v>
      </c>
      <c r="BB355">
        <v>0</v>
      </c>
      <c r="BC355" t="s">
        <v>197</v>
      </c>
      <c r="BD355" t="s">
        <v>216</v>
      </c>
      <c r="BE355" t="s">
        <v>117</v>
      </c>
      <c r="BF355">
        <v>0</v>
      </c>
      <c r="BG355">
        <v>0</v>
      </c>
      <c r="BH355">
        <v>0</v>
      </c>
    </row>
    <row r="356" spans="1:61">
      <c r="A356" s="164" t="s">
        <v>1087</v>
      </c>
      <c r="B356" t="s">
        <v>1088</v>
      </c>
      <c r="C356">
        <v>0</v>
      </c>
      <c r="D356" t="s">
        <v>194</v>
      </c>
      <c r="E356">
        <v>0</v>
      </c>
      <c r="F356" t="s">
        <v>195</v>
      </c>
      <c r="G356" t="s">
        <v>78</v>
      </c>
      <c r="H356" t="s">
        <v>79</v>
      </c>
      <c r="I356" t="s">
        <v>80</v>
      </c>
      <c r="J356" t="s">
        <v>196</v>
      </c>
      <c r="K356" t="s">
        <v>13</v>
      </c>
      <c r="L356" t="s">
        <v>83</v>
      </c>
      <c r="M356" t="s">
        <v>84</v>
      </c>
      <c r="N356">
        <v>1</v>
      </c>
      <c r="O356" t="b">
        <v>1</v>
      </c>
      <c r="P356">
        <v>0</v>
      </c>
      <c r="BB356">
        <v>0</v>
      </c>
      <c r="BC356" t="s">
        <v>197</v>
      </c>
      <c r="BD356" t="s">
        <v>198</v>
      </c>
      <c r="BE356" t="s">
        <v>117</v>
      </c>
      <c r="BF356">
        <v>0</v>
      </c>
      <c r="BG356">
        <v>0</v>
      </c>
      <c r="BH356">
        <v>0</v>
      </c>
    </row>
    <row r="357" spans="1:61">
      <c r="A357" s="164" t="s">
        <v>1089</v>
      </c>
      <c r="B357" t="s">
        <v>1090</v>
      </c>
      <c r="C357">
        <v>0</v>
      </c>
      <c r="D357" t="s">
        <v>194</v>
      </c>
      <c r="E357">
        <v>0</v>
      </c>
      <c r="F357" t="s">
        <v>195</v>
      </c>
      <c r="G357" t="s">
        <v>78</v>
      </c>
      <c r="H357" t="s">
        <v>79</v>
      </c>
      <c r="I357" t="s">
        <v>80</v>
      </c>
      <c r="J357" t="s">
        <v>196</v>
      </c>
      <c r="K357" t="s">
        <v>13</v>
      </c>
      <c r="L357" t="s">
        <v>83</v>
      </c>
      <c r="M357" t="s">
        <v>84</v>
      </c>
      <c r="N357">
        <v>1</v>
      </c>
      <c r="O357" t="b">
        <v>1</v>
      </c>
      <c r="P357">
        <v>0</v>
      </c>
      <c r="BB357">
        <v>0</v>
      </c>
      <c r="BC357" t="s">
        <v>197</v>
      </c>
      <c r="BD357" t="s">
        <v>198</v>
      </c>
      <c r="BE357" t="s">
        <v>117</v>
      </c>
      <c r="BF357">
        <v>0</v>
      </c>
      <c r="BG357">
        <v>0</v>
      </c>
      <c r="BH357">
        <v>0</v>
      </c>
    </row>
    <row r="358" spans="1:61">
      <c r="A358" s="164" t="s">
        <v>1091</v>
      </c>
      <c r="B358" t="s">
        <v>1092</v>
      </c>
      <c r="C358">
        <v>0</v>
      </c>
      <c r="D358" t="s">
        <v>194</v>
      </c>
      <c r="E358">
        <v>0</v>
      </c>
      <c r="F358" t="s">
        <v>195</v>
      </c>
      <c r="G358" t="s">
        <v>78</v>
      </c>
      <c r="H358" t="s">
        <v>79</v>
      </c>
      <c r="I358" t="s">
        <v>80</v>
      </c>
      <c r="J358" t="s">
        <v>196</v>
      </c>
      <c r="K358" t="s">
        <v>13</v>
      </c>
      <c r="L358" t="s">
        <v>83</v>
      </c>
      <c r="M358" t="s">
        <v>84</v>
      </c>
      <c r="N358">
        <v>1</v>
      </c>
      <c r="O358" t="b">
        <v>1</v>
      </c>
      <c r="P358">
        <v>0</v>
      </c>
      <c r="BB358">
        <v>0</v>
      </c>
      <c r="BC358" t="s">
        <v>197</v>
      </c>
      <c r="BD358" t="s">
        <v>198</v>
      </c>
      <c r="BE358" t="s">
        <v>117</v>
      </c>
      <c r="BF358">
        <v>0</v>
      </c>
      <c r="BG358">
        <v>0</v>
      </c>
      <c r="BH358">
        <v>0</v>
      </c>
    </row>
    <row r="359" spans="1:61">
      <c r="A359" s="164" t="s">
        <v>1093</v>
      </c>
      <c r="B359" t="s">
        <v>1094</v>
      </c>
      <c r="C359">
        <v>0</v>
      </c>
      <c r="D359" t="s">
        <v>194</v>
      </c>
      <c r="E359">
        <v>0</v>
      </c>
      <c r="F359" t="s">
        <v>195</v>
      </c>
      <c r="G359" t="s">
        <v>78</v>
      </c>
      <c r="H359" t="s">
        <v>79</v>
      </c>
      <c r="I359" t="s">
        <v>80</v>
      </c>
      <c r="J359" t="s">
        <v>196</v>
      </c>
      <c r="K359" t="s">
        <v>13</v>
      </c>
      <c r="L359" t="s">
        <v>83</v>
      </c>
      <c r="M359" t="s">
        <v>84</v>
      </c>
      <c r="N359">
        <v>1</v>
      </c>
      <c r="O359" t="b">
        <v>1</v>
      </c>
      <c r="P359">
        <v>0</v>
      </c>
      <c r="BB359">
        <v>0</v>
      </c>
      <c r="BC359" t="s">
        <v>197</v>
      </c>
      <c r="BD359" t="s">
        <v>198</v>
      </c>
      <c r="BE359" t="s">
        <v>117</v>
      </c>
      <c r="BF359">
        <v>0</v>
      </c>
      <c r="BG359">
        <v>0</v>
      </c>
      <c r="BH359">
        <v>0</v>
      </c>
    </row>
    <row r="360" spans="1:61">
      <c r="A360" s="164" t="s">
        <v>1095</v>
      </c>
      <c r="B360" t="s">
        <v>1096</v>
      </c>
      <c r="C360">
        <v>0</v>
      </c>
      <c r="D360" t="s">
        <v>304</v>
      </c>
      <c r="E360">
        <v>0</v>
      </c>
      <c r="F360" t="s">
        <v>269</v>
      </c>
      <c r="G360" t="s">
        <v>103</v>
      </c>
      <c r="H360" t="s">
        <v>104</v>
      </c>
      <c r="I360" t="s">
        <v>80</v>
      </c>
      <c r="J360" t="s">
        <v>196</v>
      </c>
      <c r="K360" t="s">
        <v>13</v>
      </c>
      <c r="L360" t="s">
        <v>83</v>
      </c>
      <c r="M360" t="s">
        <v>84</v>
      </c>
      <c r="N360">
        <v>1</v>
      </c>
      <c r="O360" t="b">
        <v>0</v>
      </c>
      <c r="P360">
        <v>0</v>
      </c>
      <c r="BB360">
        <v>0</v>
      </c>
      <c r="BC360" t="s">
        <v>306</v>
      </c>
      <c r="BD360" t="s">
        <v>270</v>
      </c>
      <c r="BE360" t="s">
        <v>117</v>
      </c>
      <c r="BF360">
        <v>0</v>
      </c>
      <c r="BG360">
        <v>0</v>
      </c>
      <c r="BH360">
        <v>0</v>
      </c>
    </row>
    <row r="361" spans="1:61">
      <c r="A361" s="164" t="s">
        <v>1097</v>
      </c>
      <c r="B361" t="s">
        <v>1098</v>
      </c>
      <c r="C361">
        <v>0</v>
      </c>
      <c r="D361" t="s">
        <v>304</v>
      </c>
      <c r="E361">
        <v>0</v>
      </c>
      <c r="F361" t="s">
        <v>342</v>
      </c>
      <c r="G361" t="s">
        <v>78</v>
      </c>
      <c r="H361" t="s">
        <v>79</v>
      </c>
      <c r="I361" t="s">
        <v>80</v>
      </c>
      <c r="J361" t="s">
        <v>196</v>
      </c>
      <c r="K361" t="s">
        <v>13</v>
      </c>
      <c r="L361" t="s">
        <v>83</v>
      </c>
      <c r="M361" t="s">
        <v>84</v>
      </c>
      <c r="N361">
        <v>1</v>
      </c>
      <c r="O361" t="b">
        <v>1</v>
      </c>
      <c r="P361">
        <v>0</v>
      </c>
      <c r="BB361">
        <v>0</v>
      </c>
      <c r="BC361" t="s">
        <v>306</v>
      </c>
      <c r="BD361" t="s">
        <v>343</v>
      </c>
      <c r="BE361" t="s">
        <v>117</v>
      </c>
      <c r="BF361">
        <v>0</v>
      </c>
      <c r="BG361">
        <v>25</v>
      </c>
      <c r="BH361">
        <v>10000</v>
      </c>
      <c r="BI361" t="s">
        <v>344</v>
      </c>
    </row>
    <row r="362" spans="1:61">
      <c r="A362" s="164" t="s">
        <v>1099</v>
      </c>
      <c r="B362" t="s">
        <v>1100</v>
      </c>
      <c r="C362">
        <v>0</v>
      </c>
      <c r="D362" t="s">
        <v>304</v>
      </c>
      <c r="E362">
        <v>0</v>
      </c>
      <c r="F362" t="s">
        <v>305</v>
      </c>
      <c r="G362" t="s">
        <v>78</v>
      </c>
      <c r="H362" t="s">
        <v>79</v>
      </c>
      <c r="I362" t="s">
        <v>80</v>
      </c>
      <c r="J362" t="s">
        <v>196</v>
      </c>
      <c r="K362" t="s">
        <v>13</v>
      </c>
      <c r="L362" t="s">
        <v>83</v>
      </c>
      <c r="M362" t="s">
        <v>84</v>
      </c>
      <c r="N362">
        <v>1</v>
      </c>
      <c r="O362" t="b">
        <v>1</v>
      </c>
      <c r="P362">
        <v>0</v>
      </c>
      <c r="BB362">
        <v>0</v>
      </c>
      <c r="BC362" t="s">
        <v>306</v>
      </c>
      <c r="BD362" t="s">
        <v>307</v>
      </c>
      <c r="BE362" t="s">
        <v>117</v>
      </c>
      <c r="BF362">
        <v>0</v>
      </c>
      <c r="BG362">
        <v>25</v>
      </c>
      <c r="BH362">
        <v>10000</v>
      </c>
      <c r="BI362" t="s">
        <v>308</v>
      </c>
    </row>
    <row r="363" spans="1:61">
      <c r="A363" s="164" t="s">
        <v>1101</v>
      </c>
      <c r="B363" t="s">
        <v>1102</v>
      </c>
      <c r="C363">
        <v>0</v>
      </c>
      <c r="D363" t="s">
        <v>304</v>
      </c>
      <c r="E363">
        <v>0</v>
      </c>
      <c r="F363" t="s">
        <v>305</v>
      </c>
      <c r="G363" t="s">
        <v>78</v>
      </c>
      <c r="H363" t="s">
        <v>79</v>
      </c>
      <c r="I363" t="s">
        <v>80</v>
      </c>
      <c r="J363" t="s">
        <v>196</v>
      </c>
      <c r="K363" t="s">
        <v>13</v>
      </c>
      <c r="L363" t="s">
        <v>83</v>
      </c>
      <c r="M363" t="s">
        <v>84</v>
      </c>
      <c r="N363">
        <v>1</v>
      </c>
      <c r="O363" t="b">
        <v>1</v>
      </c>
      <c r="P363">
        <v>0</v>
      </c>
      <c r="BB363">
        <v>0</v>
      </c>
      <c r="BC363" t="s">
        <v>306</v>
      </c>
      <c r="BD363" t="s">
        <v>307</v>
      </c>
      <c r="BE363" t="s">
        <v>117</v>
      </c>
      <c r="BF363">
        <v>0</v>
      </c>
      <c r="BG363">
        <v>25</v>
      </c>
      <c r="BH363">
        <v>10000</v>
      </c>
      <c r="BI363" t="s">
        <v>308</v>
      </c>
    </row>
    <row r="364" spans="1:61">
      <c r="A364" s="164" t="s">
        <v>1103</v>
      </c>
      <c r="B364" t="s">
        <v>1104</v>
      </c>
      <c r="C364">
        <v>0</v>
      </c>
      <c r="D364" t="s">
        <v>304</v>
      </c>
      <c r="E364">
        <v>0</v>
      </c>
      <c r="F364" t="s">
        <v>305</v>
      </c>
      <c r="G364" t="s">
        <v>78</v>
      </c>
      <c r="H364" t="s">
        <v>79</v>
      </c>
      <c r="I364" t="s">
        <v>80</v>
      </c>
      <c r="J364" t="s">
        <v>196</v>
      </c>
      <c r="K364" t="s">
        <v>13</v>
      </c>
      <c r="L364" t="s">
        <v>83</v>
      </c>
      <c r="M364" t="s">
        <v>84</v>
      </c>
      <c r="N364">
        <v>1</v>
      </c>
      <c r="O364" t="b">
        <v>1</v>
      </c>
      <c r="P364">
        <v>0</v>
      </c>
      <c r="BB364">
        <v>0</v>
      </c>
      <c r="BC364" t="s">
        <v>306</v>
      </c>
      <c r="BD364" t="s">
        <v>307</v>
      </c>
      <c r="BE364" t="s">
        <v>117</v>
      </c>
      <c r="BF364">
        <v>0</v>
      </c>
      <c r="BG364">
        <v>25</v>
      </c>
      <c r="BH364">
        <v>10000</v>
      </c>
      <c r="BI364" t="s">
        <v>308</v>
      </c>
    </row>
    <row r="365" spans="1:61">
      <c r="A365" s="164" t="s">
        <v>1105</v>
      </c>
      <c r="B365" t="s">
        <v>1106</v>
      </c>
      <c r="C365">
        <v>0</v>
      </c>
      <c r="D365" t="s">
        <v>304</v>
      </c>
      <c r="E365">
        <v>0</v>
      </c>
      <c r="F365" t="s">
        <v>269</v>
      </c>
      <c r="G365" t="s">
        <v>103</v>
      </c>
      <c r="H365" t="s">
        <v>104</v>
      </c>
      <c r="I365" t="s">
        <v>80</v>
      </c>
      <c r="J365" t="s">
        <v>196</v>
      </c>
      <c r="K365" t="s">
        <v>13</v>
      </c>
      <c r="L365" t="s">
        <v>83</v>
      </c>
      <c r="M365" t="s">
        <v>84</v>
      </c>
      <c r="N365">
        <v>1</v>
      </c>
      <c r="O365" t="b">
        <v>0</v>
      </c>
      <c r="P365">
        <v>0</v>
      </c>
      <c r="BB365">
        <v>0</v>
      </c>
      <c r="BC365" t="s">
        <v>306</v>
      </c>
      <c r="BD365" t="s">
        <v>270</v>
      </c>
      <c r="BE365" t="s">
        <v>117</v>
      </c>
      <c r="BF365">
        <v>0</v>
      </c>
      <c r="BG365">
        <v>0</v>
      </c>
      <c r="BH365">
        <v>0</v>
      </c>
    </row>
    <row r="366" spans="1:61">
      <c r="A366" s="164" t="s">
        <v>1107</v>
      </c>
      <c r="B366" t="s">
        <v>1108</v>
      </c>
      <c r="C366">
        <v>0</v>
      </c>
      <c r="D366" t="s">
        <v>304</v>
      </c>
      <c r="E366">
        <v>0</v>
      </c>
      <c r="F366" t="s">
        <v>305</v>
      </c>
      <c r="G366" t="s">
        <v>78</v>
      </c>
      <c r="H366" t="s">
        <v>79</v>
      </c>
      <c r="I366" t="s">
        <v>80</v>
      </c>
      <c r="J366" t="s">
        <v>196</v>
      </c>
      <c r="K366" t="s">
        <v>13</v>
      </c>
      <c r="L366" t="s">
        <v>83</v>
      </c>
      <c r="M366" t="s">
        <v>84</v>
      </c>
      <c r="N366">
        <v>1</v>
      </c>
      <c r="O366" t="b">
        <v>1</v>
      </c>
      <c r="P366">
        <v>0</v>
      </c>
      <c r="BB366">
        <v>0</v>
      </c>
      <c r="BC366" t="s">
        <v>306</v>
      </c>
      <c r="BD366" t="s">
        <v>307</v>
      </c>
      <c r="BE366" t="s">
        <v>117</v>
      </c>
      <c r="BF366">
        <v>0</v>
      </c>
      <c r="BG366">
        <v>25</v>
      </c>
      <c r="BH366">
        <v>10000</v>
      </c>
      <c r="BI366" t="s">
        <v>308</v>
      </c>
    </row>
    <row r="367" spans="1:61">
      <c r="A367" s="164" t="s">
        <v>1109</v>
      </c>
      <c r="B367" t="s">
        <v>1110</v>
      </c>
      <c r="C367">
        <v>0</v>
      </c>
      <c r="D367" t="s">
        <v>304</v>
      </c>
      <c r="E367">
        <v>0</v>
      </c>
      <c r="F367" t="s">
        <v>305</v>
      </c>
      <c r="G367" t="s">
        <v>78</v>
      </c>
      <c r="H367" t="s">
        <v>79</v>
      </c>
      <c r="I367" t="s">
        <v>80</v>
      </c>
      <c r="J367" t="s">
        <v>196</v>
      </c>
      <c r="K367" t="s">
        <v>13</v>
      </c>
      <c r="L367" t="s">
        <v>83</v>
      </c>
      <c r="M367" t="s">
        <v>84</v>
      </c>
      <c r="N367">
        <v>1</v>
      </c>
      <c r="O367" t="b">
        <v>1</v>
      </c>
      <c r="P367">
        <v>0</v>
      </c>
      <c r="BB367">
        <v>0</v>
      </c>
      <c r="BC367" t="s">
        <v>306</v>
      </c>
      <c r="BD367" t="s">
        <v>307</v>
      </c>
      <c r="BE367" t="s">
        <v>117</v>
      </c>
      <c r="BF367">
        <v>0</v>
      </c>
      <c r="BG367">
        <v>25</v>
      </c>
      <c r="BH367">
        <v>10000</v>
      </c>
      <c r="BI367" t="s">
        <v>308</v>
      </c>
    </row>
    <row r="368" spans="1:61">
      <c r="A368" s="164" t="s">
        <v>1111</v>
      </c>
      <c r="B368" t="s">
        <v>1112</v>
      </c>
      <c r="C368">
        <v>0</v>
      </c>
      <c r="D368" t="s">
        <v>107</v>
      </c>
      <c r="E368">
        <v>0</v>
      </c>
      <c r="F368" t="s">
        <v>783</v>
      </c>
      <c r="G368" t="s">
        <v>103</v>
      </c>
      <c r="H368" t="s">
        <v>104</v>
      </c>
      <c r="I368" t="s">
        <v>80</v>
      </c>
      <c r="J368" t="s">
        <v>81</v>
      </c>
      <c r="K368" t="s">
        <v>82</v>
      </c>
      <c r="L368" t="s">
        <v>83</v>
      </c>
      <c r="M368" t="s">
        <v>84</v>
      </c>
      <c r="N368">
        <v>0.95</v>
      </c>
      <c r="O368" t="b">
        <v>1</v>
      </c>
      <c r="P368">
        <v>45</v>
      </c>
      <c r="Q368" t="s">
        <v>85</v>
      </c>
      <c r="R368" t="s">
        <v>86</v>
      </c>
      <c r="S368">
        <v>0.95</v>
      </c>
      <c r="T368">
        <v>1</v>
      </c>
      <c r="U368" s="36">
        <v>0.98774000000000006</v>
      </c>
      <c r="V368" t="s">
        <v>87</v>
      </c>
      <c r="W368">
        <v>24</v>
      </c>
      <c r="X368">
        <v>0.45019999999999999</v>
      </c>
      <c r="Y368">
        <v>18</v>
      </c>
      <c r="Z368">
        <v>5.5555555555555552E-2</v>
      </c>
      <c r="AA368">
        <v>30</v>
      </c>
      <c r="AB368">
        <v>0</v>
      </c>
      <c r="AC368">
        <v>500</v>
      </c>
      <c r="AD368">
        <v>526.31578947368428</v>
      </c>
      <c r="AE368" t="s">
        <v>155</v>
      </c>
      <c r="AF368" t="s">
        <v>113</v>
      </c>
      <c r="AG368" t="s">
        <v>114</v>
      </c>
      <c r="AH368">
        <v>0</v>
      </c>
      <c r="AI368">
        <v>0.9</v>
      </c>
      <c r="AJ368" t="s">
        <v>91</v>
      </c>
      <c r="AK368" t="s">
        <v>92</v>
      </c>
      <c r="AL368" t="s">
        <v>93</v>
      </c>
      <c r="AM368">
        <v>0.34043629629629629</v>
      </c>
      <c r="AN368">
        <v>0.22695753086419751</v>
      </c>
      <c r="AO368">
        <v>0.35178417283950614</v>
      </c>
      <c r="AP368">
        <v>0</v>
      </c>
      <c r="AQ368">
        <v>8.6691086691086688E-2</v>
      </c>
      <c r="AR368">
        <v>2.6666666666666505E-3</v>
      </c>
      <c r="AS368">
        <v>0</v>
      </c>
      <c r="AT368">
        <v>1.0866910866910866</v>
      </c>
      <c r="AU368">
        <v>1.0026666666666666</v>
      </c>
      <c r="AV368">
        <v>1</v>
      </c>
      <c r="AW368">
        <v>0</v>
      </c>
      <c r="AX368" t="s">
        <v>1113</v>
      </c>
      <c r="AY368">
        <v>53.4</v>
      </c>
      <c r="AZ368">
        <v>5</v>
      </c>
      <c r="BA368" t="s">
        <v>94</v>
      </c>
      <c r="BB368">
        <v>2.87</v>
      </c>
      <c r="BC368" t="s">
        <v>95</v>
      </c>
      <c r="BD368" t="s">
        <v>96</v>
      </c>
      <c r="BE368" t="s">
        <v>97</v>
      </c>
      <c r="BF368">
        <v>0</v>
      </c>
      <c r="BG368">
        <v>0</v>
      </c>
      <c r="BH368">
        <v>0</v>
      </c>
      <c r="BI368" t="s">
        <v>98</v>
      </c>
    </row>
    <row r="369" spans="1:61">
      <c r="A369" s="164" t="s">
        <v>1114</v>
      </c>
      <c r="B369" t="s">
        <v>1115</v>
      </c>
      <c r="C369">
        <v>0</v>
      </c>
      <c r="D369" t="s">
        <v>107</v>
      </c>
      <c r="E369">
        <v>0</v>
      </c>
      <c r="F369" t="s">
        <v>1116</v>
      </c>
      <c r="G369" t="s">
        <v>78</v>
      </c>
      <c r="H369" t="s">
        <v>79</v>
      </c>
      <c r="I369" t="s">
        <v>80</v>
      </c>
      <c r="J369" t="s">
        <v>81</v>
      </c>
      <c r="K369" t="s">
        <v>82</v>
      </c>
      <c r="L369" t="s">
        <v>83</v>
      </c>
      <c r="M369" t="s">
        <v>84</v>
      </c>
      <c r="N369">
        <v>0.15</v>
      </c>
      <c r="O369" t="b">
        <v>1</v>
      </c>
      <c r="P369">
        <v>45</v>
      </c>
      <c r="Q369" t="s">
        <v>85</v>
      </c>
      <c r="R369" t="s">
        <v>86</v>
      </c>
      <c r="S369">
        <v>0.15</v>
      </c>
      <c r="T369">
        <v>1</v>
      </c>
      <c r="U369" s="36">
        <v>0.11998</v>
      </c>
      <c r="V369" t="s">
        <v>87</v>
      </c>
      <c r="W369">
        <v>34</v>
      </c>
      <c r="X369">
        <v>0.62562499999999999</v>
      </c>
      <c r="Y369">
        <v>15</v>
      </c>
      <c r="Z369">
        <v>6.6666666666666666E-2</v>
      </c>
      <c r="AA369">
        <v>60</v>
      </c>
      <c r="AB369">
        <v>0</v>
      </c>
      <c r="AC369">
        <v>500</v>
      </c>
      <c r="AD369">
        <v>555.55555555555554</v>
      </c>
      <c r="AE369" t="s">
        <v>112</v>
      </c>
      <c r="AF369" t="s">
        <v>1117</v>
      </c>
      <c r="AG369" t="s">
        <v>114</v>
      </c>
      <c r="AH369">
        <v>0</v>
      </c>
      <c r="AI369">
        <v>0.6</v>
      </c>
      <c r="AJ369" t="s">
        <v>91</v>
      </c>
      <c r="AK369" t="s">
        <v>92</v>
      </c>
      <c r="AL369" t="s">
        <v>93</v>
      </c>
      <c r="AM369">
        <v>0.34043629629629629</v>
      </c>
      <c r="AN369">
        <v>0.22695753086419751</v>
      </c>
      <c r="AO369">
        <v>0.35178417283950614</v>
      </c>
      <c r="AP369">
        <v>0</v>
      </c>
      <c r="AQ369">
        <v>8.6691086691086688E-2</v>
      </c>
      <c r="AR369">
        <v>2.6666666666666505E-3</v>
      </c>
      <c r="AS369">
        <v>0</v>
      </c>
      <c r="AT369">
        <v>1.0866910866910866</v>
      </c>
      <c r="AU369">
        <v>1.0026666666666666</v>
      </c>
      <c r="AV369">
        <v>1</v>
      </c>
      <c r="AW369">
        <v>0</v>
      </c>
      <c r="AX369" t="s">
        <v>1118</v>
      </c>
      <c r="AY369">
        <v>5.34</v>
      </c>
      <c r="AZ369">
        <v>0</v>
      </c>
      <c r="BA369" t="s">
        <v>94</v>
      </c>
      <c r="BB369">
        <v>0.18</v>
      </c>
      <c r="BC369" t="s">
        <v>95</v>
      </c>
      <c r="BD369" t="s">
        <v>96</v>
      </c>
      <c r="BE369" t="s">
        <v>97</v>
      </c>
      <c r="BF369">
        <v>1</v>
      </c>
      <c r="BG369">
        <v>0</v>
      </c>
      <c r="BH369">
        <v>0</v>
      </c>
      <c r="BI369" t="s">
        <v>98</v>
      </c>
    </row>
    <row r="370" spans="1:61">
      <c r="A370" s="164" t="s">
        <v>1119</v>
      </c>
      <c r="B370" t="s">
        <v>1120</v>
      </c>
      <c r="C370">
        <v>0</v>
      </c>
      <c r="D370" t="s">
        <v>486</v>
      </c>
      <c r="E370">
        <v>0</v>
      </c>
      <c r="F370" t="s">
        <v>1121</v>
      </c>
      <c r="G370" t="s">
        <v>78</v>
      </c>
      <c r="H370" t="s">
        <v>79</v>
      </c>
      <c r="I370" t="s">
        <v>80</v>
      </c>
      <c r="J370" t="s">
        <v>163</v>
      </c>
      <c r="K370" t="s">
        <v>82</v>
      </c>
      <c r="L370" t="s">
        <v>83</v>
      </c>
      <c r="M370" t="s">
        <v>84</v>
      </c>
      <c r="N370">
        <v>0.2</v>
      </c>
      <c r="O370" t="b">
        <v>1</v>
      </c>
      <c r="P370">
        <v>60</v>
      </c>
      <c r="Q370" t="s">
        <v>137</v>
      </c>
      <c r="U370" s="36">
        <v>1.5206200000000001</v>
      </c>
      <c r="V370" t="s">
        <v>165</v>
      </c>
      <c r="X370">
        <v>0</v>
      </c>
      <c r="Y370">
        <v>120</v>
      </c>
      <c r="Z370">
        <v>0</v>
      </c>
      <c r="AA370">
        <v>35</v>
      </c>
      <c r="AB370">
        <v>0</v>
      </c>
      <c r="AC370">
        <v>0</v>
      </c>
      <c r="AE370" t="s">
        <v>129</v>
      </c>
      <c r="AF370" t="s">
        <v>1121</v>
      </c>
      <c r="AH370">
        <v>0</v>
      </c>
      <c r="AI370">
        <v>9.1999999999999993</v>
      </c>
      <c r="AX370" t="s">
        <v>1122</v>
      </c>
      <c r="AY370">
        <v>0</v>
      </c>
      <c r="AZ370">
        <v>3</v>
      </c>
      <c r="BA370" t="s">
        <v>138</v>
      </c>
      <c r="BB370">
        <v>3.65</v>
      </c>
      <c r="BC370" t="s">
        <v>95</v>
      </c>
      <c r="BD370" t="s">
        <v>96</v>
      </c>
      <c r="BE370" t="s">
        <v>97</v>
      </c>
      <c r="BF370">
        <v>1</v>
      </c>
      <c r="BG370">
        <v>0</v>
      </c>
      <c r="BH370">
        <v>0</v>
      </c>
      <c r="BI370" t="s">
        <v>98</v>
      </c>
    </row>
    <row r="371" spans="1:61">
      <c r="A371" s="164" t="s">
        <v>1123</v>
      </c>
      <c r="B371" t="s">
        <v>1124</v>
      </c>
      <c r="C371">
        <v>0</v>
      </c>
      <c r="D371" t="s">
        <v>1125</v>
      </c>
      <c r="E371">
        <v>0</v>
      </c>
      <c r="F371" t="s">
        <v>1125</v>
      </c>
      <c r="G371" t="s">
        <v>78</v>
      </c>
      <c r="H371" t="s">
        <v>79</v>
      </c>
      <c r="I371" t="s">
        <v>126</v>
      </c>
      <c r="J371" t="s">
        <v>127</v>
      </c>
      <c r="K371" t="s">
        <v>82</v>
      </c>
      <c r="L371" t="s">
        <v>83</v>
      </c>
      <c r="M371" t="s">
        <v>84</v>
      </c>
      <c r="N371">
        <v>0.14000000000000001</v>
      </c>
      <c r="O371" t="b">
        <v>1</v>
      </c>
      <c r="P371">
        <v>60</v>
      </c>
      <c r="Q371" t="s">
        <v>188</v>
      </c>
      <c r="R371" t="s">
        <v>1126</v>
      </c>
      <c r="S371">
        <v>0</v>
      </c>
      <c r="T371">
        <v>1</v>
      </c>
      <c r="U371" s="36">
        <v>0.46937499999999999</v>
      </c>
      <c r="V371" t="s">
        <v>87</v>
      </c>
      <c r="W371">
        <v>0</v>
      </c>
      <c r="X371">
        <v>0</v>
      </c>
      <c r="Y371">
        <v>30</v>
      </c>
      <c r="Z371">
        <v>3.3333333333333333E-2</v>
      </c>
      <c r="AA371">
        <v>0</v>
      </c>
      <c r="AB371">
        <v>0</v>
      </c>
      <c r="AC371">
        <v>0</v>
      </c>
      <c r="AD371">
        <v>0</v>
      </c>
      <c r="AG371" t="s">
        <v>129</v>
      </c>
      <c r="AH371">
        <v>0</v>
      </c>
      <c r="AI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 t="s">
        <v>1127</v>
      </c>
      <c r="AY371">
        <v>9.6</v>
      </c>
      <c r="AZ371">
        <v>0</v>
      </c>
      <c r="BA371" t="s">
        <v>94</v>
      </c>
      <c r="BB371">
        <v>1.18</v>
      </c>
      <c r="BC371" t="s">
        <v>1128</v>
      </c>
      <c r="BD371" t="s">
        <v>1129</v>
      </c>
      <c r="BE371" t="s">
        <v>97</v>
      </c>
      <c r="BF371">
        <v>1</v>
      </c>
      <c r="BG371">
        <v>0</v>
      </c>
      <c r="BH371">
        <v>0</v>
      </c>
      <c r="BI371" t="s">
        <v>98</v>
      </c>
    </row>
    <row r="372" spans="1:61">
      <c r="A372" s="164" t="s">
        <v>1130</v>
      </c>
      <c r="B372" t="s">
        <v>1131</v>
      </c>
      <c r="C372">
        <v>0</v>
      </c>
      <c r="D372" t="s">
        <v>1125</v>
      </c>
      <c r="E372">
        <v>0</v>
      </c>
      <c r="F372" t="s">
        <v>1125</v>
      </c>
      <c r="G372" t="s">
        <v>78</v>
      </c>
      <c r="H372" t="s">
        <v>79</v>
      </c>
      <c r="I372" t="s">
        <v>126</v>
      </c>
      <c r="J372" t="s">
        <v>127</v>
      </c>
      <c r="K372" t="s">
        <v>82</v>
      </c>
      <c r="L372" t="s">
        <v>83</v>
      </c>
      <c r="M372" t="s">
        <v>84</v>
      </c>
      <c r="N372">
        <v>0.14000000000000001</v>
      </c>
      <c r="O372" t="b">
        <v>1</v>
      </c>
      <c r="P372">
        <v>60</v>
      </c>
      <c r="Q372" t="s">
        <v>188</v>
      </c>
      <c r="R372" t="s">
        <v>1126</v>
      </c>
      <c r="S372">
        <v>0</v>
      </c>
      <c r="T372">
        <v>1</v>
      </c>
      <c r="U372" s="36">
        <v>0.48814500000000005</v>
      </c>
      <c r="V372" t="s">
        <v>87</v>
      </c>
      <c r="W372">
        <v>0</v>
      </c>
      <c r="X372">
        <v>0</v>
      </c>
      <c r="Y372">
        <v>30</v>
      </c>
      <c r="Z372">
        <v>3.3333333333333333E-2</v>
      </c>
      <c r="AA372">
        <v>0</v>
      </c>
      <c r="AB372">
        <v>0</v>
      </c>
      <c r="AC372">
        <v>0</v>
      </c>
      <c r="AD372">
        <v>0</v>
      </c>
      <c r="AG372" t="s">
        <v>129</v>
      </c>
      <c r="AH372">
        <v>0</v>
      </c>
      <c r="AI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 t="s">
        <v>1132</v>
      </c>
      <c r="AY372">
        <v>9.6</v>
      </c>
      <c r="AZ372">
        <v>2</v>
      </c>
      <c r="BA372" t="s">
        <v>94</v>
      </c>
      <c r="BB372">
        <v>1.18</v>
      </c>
      <c r="BC372" t="s">
        <v>1128</v>
      </c>
      <c r="BD372" t="s">
        <v>1129</v>
      </c>
      <c r="BE372" t="s">
        <v>97</v>
      </c>
      <c r="BF372">
        <v>1</v>
      </c>
      <c r="BG372">
        <v>0</v>
      </c>
      <c r="BH372">
        <v>0</v>
      </c>
      <c r="BI372" t="s">
        <v>98</v>
      </c>
    </row>
    <row r="373" spans="1:61">
      <c r="A373" s="164" t="s">
        <v>1133</v>
      </c>
      <c r="B373" t="s">
        <v>1134</v>
      </c>
      <c r="C373">
        <v>0</v>
      </c>
      <c r="D373" t="s">
        <v>107</v>
      </c>
      <c r="E373">
        <v>0</v>
      </c>
      <c r="F373" t="s">
        <v>910</v>
      </c>
      <c r="G373" t="s">
        <v>103</v>
      </c>
      <c r="H373" t="s">
        <v>104</v>
      </c>
      <c r="I373" t="s">
        <v>80</v>
      </c>
      <c r="J373" t="s">
        <v>774</v>
      </c>
      <c r="K373" t="s">
        <v>775</v>
      </c>
      <c r="L373" t="s">
        <v>83</v>
      </c>
      <c r="M373" t="s">
        <v>84</v>
      </c>
      <c r="N373">
        <v>0.9</v>
      </c>
      <c r="O373" t="b">
        <v>0</v>
      </c>
      <c r="P373">
        <v>45</v>
      </c>
      <c r="Q373" t="s">
        <v>85</v>
      </c>
      <c r="R373" t="s">
        <v>86</v>
      </c>
      <c r="S373">
        <v>0</v>
      </c>
      <c r="T373">
        <v>1</v>
      </c>
      <c r="U373" s="36">
        <v>1.3898900000000001</v>
      </c>
      <c r="V373" t="s">
        <v>87</v>
      </c>
      <c r="W373">
        <v>0</v>
      </c>
      <c r="X373">
        <v>0</v>
      </c>
      <c r="Y373">
        <v>18</v>
      </c>
      <c r="Z373">
        <v>5.5555555555555552E-2</v>
      </c>
      <c r="AA373">
        <v>30</v>
      </c>
      <c r="AB373">
        <v>0</v>
      </c>
      <c r="AC373">
        <v>0</v>
      </c>
      <c r="AD373">
        <v>0</v>
      </c>
      <c r="AG373" t="s">
        <v>129</v>
      </c>
      <c r="AH373">
        <v>0</v>
      </c>
      <c r="AI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 t="s">
        <v>1135</v>
      </c>
      <c r="AY373">
        <v>0</v>
      </c>
      <c r="AZ373">
        <v>0</v>
      </c>
      <c r="BA373" t="s">
        <v>94</v>
      </c>
      <c r="BB373">
        <v>0</v>
      </c>
      <c r="BC373" t="s">
        <v>95</v>
      </c>
      <c r="BD373" t="s">
        <v>139</v>
      </c>
      <c r="BE373" t="s">
        <v>97</v>
      </c>
      <c r="BF373">
        <v>0</v>
      </c>
      <c r="BG373">
        <v>0</v>
      </c>
      <c r="BH373">
        <v>0</v>
      </c>
      <c r="BI373" t="s">
        <v>98</v>
      </c>
    </row>
    <row r="374" spans="1:61">
      <c r="A374" s="164" t="s">
        <v>1136</v>
      </c>
      <c r="B374" t="s">
        <v>1137</v>
      </c>
      <c r="C374">
        <v>0</v>
      </c>
      <c r="D374" t="s">
        <v>486</v>
      </c>
      <c r="E374">
        <v>0</v>
      </c>
      <c r="F374" t="s">
        <v>1138</v>
      </c>
      <c r="G374" t="s">
        <v>103</v>
      </c>
      <c r="H374" t="s">
        <v>104</v>
      </c>
      <c r="I374" t="s">
        <v>80</v>
      </c>
      <c r="J374" t="s">
        <v>163</v>
      </c>
      <c r="K374" t="s">
        <v>82</v>
      </c>
      <c r="L374" t="s">
        <v>83</v>
      </c>
      <c r="M374" t="s">
        <v>84</v>
      </c>
      <c r="N374">
        <v>0.06</v>
      </c>
      <c r="O374" t="b">
        <v>0</v>
      </c>
      <c r="P374">
        <v>60</v>
      </c>
      <c r="Q374" t="s">
        <v>137</v>
      </c>
      <c r="S374">
        <v>0</v>
      </c>
      <c r="T374">
        <v>1</v>
      </c>
      <c r="U374" s="36">
        <v>0.48343999999999998</v>
      </c>
      <c r="V374" t="s">
        <v>165</v>
      </c>
      <c r="X374">
        <v>0</v>
      </c>
      <c r="Z374">
        <v>0</v>
      </c>
      <c r="AB374">
        <v>0</v>
      </c>
      <c r="AC374">
        <v>0</v>
      </c>
      <c r="AE374" t="s">
        <v>129</v>
      </c>
      <c r="AF374" t="s">
        <v>1138</v>
      </c>
      <c r="AG374" t="s">
        <v>129</v>
      </c>
      <c r="AH374">
        <v>0</v>
      </c>
      <c r="AI374">
        <v>9.9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 t="s">
        <v>1139</v>
      </c>
      <c r="AY374">
        <v>0</v>
      </c>
      <c r="AZ374">
        <v>4</v>
      </c>
      <c r="BA374" t="s">
        <v>138</v>
      </c>
      <c r="BB374">
        <v>0</v>
      </c>
      <c r="BC374" t="s">
        <v>95</v>
      </c>
      <c r="BD374" t="s">
        <v>96</v>
      </c>
      <c r="BE374" t="s">
        <v>97</v>
      </c>
      <c r="BF374">
        <v>0</v>
      </c>
      <c r="BG374">
        <v>0</v>
      </c>
      <c r="BH374">
        <v>0</v>
      </c>
      <c r="BI374" t="s">
        <v>98</v>
      </c>
    </row>
    <row r="375" spans="1:61">
      <c r="A375" s="164" t="s">
        <v>1140</v>
      </c>
      <c r="B375" t="s">
        <v>1141</v>
      </c>
      <c r="C375">
        <v>0</v>
      </c>
      <c r="D375" t="s">
        <v>304</v>
      </c>
      <c r="E375">
        <v>0</v>
      </c>
      <c r="F375" t="s">
        <v>269</v>
      </c>
      <c r="G375" t="s">
        <v>103</v>
      </c>
      <c r="H375" t="s">
        <v>104</v>
      </c>
      <c r="I375" t="s">
        <v>80</v>
      </c>
      <c r="J375" t="s">
        <v>196</v>
      </c>
      <c r="K375" t="s">
        <v>13</v>
      </c>
      <c r="L375" t="s">
        <v>83</v>
      </c>
      <c r="M375" t="s">
        <v>84</v>
      </c>
      <c r="N375">
        <v>1</v>
      </c>
      <c r="O375" t="b">
        <v>0</v>
      </c>
      <c r="P375">
        <v>0</v>
      </c>
      <c r="BB375">
        <v>0</v>
      </c>
      <c r="BC375" t="s">
        <v>306</v>
      </c>
      <c r="BD375" t="s">
        <v>270</v>
      </c>
      <c r="BE375" t="s">
        <v>117</v>
      </c>
      <c r="BF375">
        <v>0</v>
      </c>
      <c r="BG375">
        <v>0</v>
      </c>
      <c r="BH375">
        <v>0</v>
      </c>
    </row>
    <row r="376" spans="1:61">
      <c r="A376" s="164" t="s">
        <v>1142</v>
      </c>
      <c r="B376" t="s">
        <v>1143</v>
      </c>
      <c r="C376">
        <v>0</v>
      </c>
      <c r="D376" t="s">
        <v>304</v>
      </c>
      <c r="E376">
        <v>0</v>
      </c>
      <c r="F376" t="s">
        <v>269</v>
      </c>
      <c r="G376" t="s">
        <v>103</v>
      </c>
      <c r="H376" t="s">
        <v>104</v>
      </c>
      <c r="I376" t="s">
        <v>80</v>
      </c>
      <c r="J376" t="s">
        <v>196</v>
      </c>
      <c r="K376" t="s">
        <v>13</v>
      </c>
      <c r="L376" t="s">
        <v>83</v>
      </c>
      <c r="M376" t="s">
        <v>84</v>
      </c>
      <c r="N376">
        <v>1</v>
      </c>
      <c r="O376" t="b">
        <v>0</v>
      </c>
      <c r="P376">
        <v>0</v>
      </c>
      <c r="BB376">
        <v>0</v>
      </c>
      <c r="BC376" t="s">
        <v>306</v>
      </c>
      <c r="BD376" t="s">
        <v>270</v>
      </c>
      <c r="BE376" t="s">
        <v>117</v>
      </c>
      <c r="BF376">
        <v>0</v>
      </c>
      <c r="BG376">
        <v>0</v>
      </c>
      <c r="BH376">
        <v>0</v>
      </c>
    </row>
    <row r="377" spans="1:61">
      <c r="A377" s="164" t="s">
        <v>1144</v>
      </c>
      <c r="B377" t="s">
        <v>1145</v>
      </c>
      <c r="C377">
        <v>0</v>
      </c>
      <c r="D377" t="s">
        <v>304</v>
      </c>
      <c r="E377">
        <v>0</v>
      </c>
      <c r="F377" t="s">
        <v>269</v>
      </c>
      <c r="G377" t="s">
        <v>103</v>
      </c>
      <c r="H377" t="s">
        <v>104</v>
      </c>
      <c r="I377" t="s">
        <v>80</v>
      </c>
      <c r="J377" t="s">
        <v>196</v>
      </c>
      <c r="K377" t="s">
        <v>13</v>
      </c>
      <c r="L377" t="s">
        <v>83</v>
      </c>
      <c r="M377" t="s">
        <v>84</v>
      </c>
      <c r="N377">
        <v>1</v>
      </c>
      <c r="O377" t="b">
        <v>0</v>
      </c>
      <c r="P377">
        <v>0</v>
      </c>
      <c r="BB377">
        <v>0</v>
      </c>
      <c r="BC377" t="s">
        <v>306</v>
      </c>
      <c r="BD377" t="s">
        <v>270</v>
      </c>
      <c r="BE377" t="s">
        <v>117</v>
      </c>
      <c r="BF377">
        <v>0</v>
      </c>
      <c r="BG377">
        <v>0</v>
      </c>
      <c r="BH377">
        <v>0</v>
      </c>
    </row>
    <row r="378" spans="1:61">
      <c r="A378" s="164" t="s">
        <v>1146</v>
      </c>
      <c r="B378" t="s">
        <v>1147</v>
      </c>
      <c r="C378">
        <v>0</v>
      </c>
      <c r="D378" t="s">
        <v>304</v>
      </c>
      <c r="E378">
        <v>0</v>
      </c>
      <c r="F378" t="s">
        <v>269</v>
      </c>
      <c r="G378" t="s">
        <v>103</v>
      </c>
      <c r="H378" t="s">
        <v>104</v>
      </c>
      <c r="I378" t="s">
        <v>80</v>
      </c>
      <c r="J378" t="s">
        <v>196</v>
      </c>
      <c r="K378" t="s">
        <v>13</v>
      </c>
      <c r="L378" t="s">
        <v>83</v>
      </c>
      <c r="M378" t="s">
        <v>84</v>
      </c>
      <c r="N378">
        <v>1</v>
      </c>
      <c r="O378" t="b">
        <v>0</v>
      </c>
      <c r="P378">
        <v>0</v>
      </c>
      <c r="BB378">
        <v>0</v>
      </c>
      <c r="BC378" t="s">
        <v>306</v>
      </c>
      <c r="BD378" t="s">
        <v>270</v>
      </c>
      <c r="BE378" t="s">
        <v>117</v>
      </c>
      <c r="BF378">
        <v>0</v>
      </c>
      <c r="BG378">
        <v>0</v>
      </c>
      <c r="BH378">
        <v>0</v>
      </c>
    </row>
    <row r="379" spans="1:61">
      <c r="A379" s="164" t="s">
        <v>1148</v>
      </c>
      <c r="B379" t="s">
        <v>1149</v>
      </c>
      <c r="C379">
        <v>0</v>
      </c>
      <c r="D379" t="s">
        <v>304</v>
      </c>
      <c r="E379">
        <v>0</v>
      </c>
      <c r="F379" t="s">
        <v>269</v>
      </c>
      <c r="G379" t="s">
        <v>103</v>
      </c>
      <c r="H379" t="s">
        <v>104</v>
      </c>
      <c r="I379" t="s">
        <v>80</v>
      </c>
      <c r="J379" t="s">
        <v>196</v>
      </c>
      <c r="K379" t="s">
        <v>13</v>
      </c>
      <c r="L379" t="s">
        <v>83</v>
      </c>
      <c r="M379" t="s">
        <v>84</v>
      </c>
      <c r="N379">
        <v>1</v>
      </c>
      <c r="O379" t="b">
        <v>0</v>
      </c>
      <c r="P379">
        <v>0</v>
      </c>
      <c r="BB379">
        <v>0</v>
      </c>
      <c r="BC379" t="s">
        <v>306</v>
      </c>
      <c r="BD379" t="s">
        <v>270</v>
      </c>
      <c r="BE379" t="s">
        <v>117</v>
      </c>
      <c r="BF379">
        <v>0</v>
      </c>
      <c r="BG379">
        <v>0</v>
      </c>
      <c r="BH379">
        <v>0</v>
      </c>
    </row>
    <row r="380" spans="1:61">
      <c r="A380" s="164" t="s">
        <v>1150</v>
      </c>
      <c r="B380" t="s">
        <v>1151</v>
      </c>
      <c r="C380">
        <v>0</v>
      </c>
      <c r="D380" t="s">
        <v>304</v>
      </c>
      <c r="E380">
        <v>0</v>
      </c>
      <c r="F380" t="s">
        <v>342</v>
      </c>
      <c r="G380" t="s">
        <v>78</v>
      </c>
      <c r="H380" t="s">
        <v>79</v>
      </c>
      <c r="I380" t="s">
        <v>80</v>
      </c>
      <c r="J380" t="s">
        <v>196</v>
      </c>
      <c r="K380" t="s">
        <v>13</v>
      </c>
      <c r="L380" t="s">
        <v>83</v>
      </c>
      <c r="M380" t="s">
        <v>84</v>
      </c>
      <c r="N380">
        <v>1</v>
      </c>
      <c r="O380" t="b">
        <v>1</v>
      </c>
      <c r="P380">
        <v>0</v>
      </c>
      <c r="BB380">
        <v>0</v>
      </c>
      <c r="BC380" t="s">
        <v>306</v>
      </c>
      <c r="BD380" t="s">
        <v>343</v>
      </c>
      <c r="BE380" t="s">
        <v>117</v>
      </c>
      <c r="BF380">
        <v>0</v>
      </c>
      <c r="BG380">
        <v>25</v>
      </c>
      <c r="BH380">
        <v>10000</v>
      </c>
      <c r="BI380" t="s">
        <v>344</v>
      </c>
    </row>
    <row r="381" spans="1:61">
      <c r="A381" s="164" t="s">
        <v>1152</v>
      </c>
      <c r="B381" t="s">
        <v>1153</v>
      </c>
      <c r="C381">
        <v>0</v>
      </c>
      <c r="D381" t="s">
        <v>304</v>
      </c>
      <c r="E381">
        <v>0</v>
      </c>
      <c r="F381" t="s">
        <v>342</v>
      </c>
      <c r="G381" t="s">
        <v>78</v>
      </c>
      <c r="H381" t="s">
        <v>79</v>
      </c>
      <c r="I381" t="s">
        <v>80</v>
      </c>
      <c r="J381" t="s">
        <v>196</v>
      </c>
      <c r="K381" t="s">
        <v>13</v>
      </c>
      <c r="L381" t="s">
        <v>83</v>
      </c>
      <c r="M381" t="s">
        <v>84</v>
      </c>
      <c r="N381">
        <v>1</v>
      </c>
      <c r="O381" t="b">
        <v>1</v>
      </c>
      <c r="P381">
        <v>0</v>
      </c>
      <c r="BB381">
        <v>0</v>
      </c>
      <c r="BC381" t="s">
        <v>306</v>
      </c>
      <c r="BD381" t="s">
        <v>343</v>
      </c>
      <c r="BE381" t="s">
        <v>117</v>
      </c>
      <c r="BF381">
        <v>0</v>
      </c>
      <c r="BG381">
        <v>25</v>
      </c>
      <c r="BH381">
        <v>10000</v>
      </c>
      <c r="BI381" t="s">
        <v>344</v>
      </c>
    </row>
    <row r="382" spans="1:61">
      <c r="A382" s="164" t="s">
        <v>1154</v>
      </c>
      <c r="B382" t="s">
        <v>1155</v>
      </c>
      <c r="C382">
        <v>0</v>
      </c>
      <c r="D382" t="s">
        <v>304</v>
      </c>
      <c r="E382">
        <v>0</v>
      </c>
      <c r="F382" t="s">
        <v>313</v>
      </c>
      <c r="G382" t="s">
        <v>78</v>
      </c>
      <c r="H382" t="s">
        <v>79</v>
      </c>
      <c r="I382" t="s">
        <v>80</v>
      </c>
      <c r="J382" t="s">
        <v>196</v>
      </c>
      <c r="K382" t="s">
        <v>13</v>
      </c>
      <c r="L382" t="s">
        <v>83</v>
      </c>
      <c r="M382" t="s">
        <v>205</v>
      </c>
      <c r="N382">
        <v>1</v>
      </c>
      <c r="O382" t="b">
        <v>1</v>
      </c>
      <c r="P382">
        <v>0</v>
      </c>
      <c r="BB382">
        <v>0</v>
      </c>
      <c r="BC382" t="s">
        <v>306</v>
      </c>
      <c r="BD382" t="s">
        <v>314</v>
      </c>
      <c r="BE382" t="s">
        <v>117</v>
      </c>
      <c r="BF382">
        <v>0</v>
      </c>
      <c r="BG382">
        <v>45</v>
      </c>
      <c r="BH382">
        <v>300</v>
      </c>
      <c r="BI382" t="s">
        <v>315</v>
      </c>
    </row>
    <row r="383" spans="1:61">
      <c r="A383" s="164" t="s">
        <v>1156</v>
      </c>
      <c r="B383" t="s">
        <v>1157</v>
      </c>
      <c r="C383">
        <v>0</v>
      </c>
      <c r="D383" t="s">
        <v>147</v>
      </c>
      <c r="E383">
        <v>0</v>
      </c>
      <c r="F383" t="s">
        <v>1158</v>
      </c>
      <c r="G383" t="s">
        <v>78</v>
      </c>
      <c r="H383" t="s">
        <v>79</v>
      </c>
      <c r="I383" t="s">
        <v>80</v>
      </c>
      <c r="J383" t="s">
        <v>81</v>
      </c>
      <c r="K383" t="s">
        <v>82</v>
      </c>
      <c r="L383" t="s">
        <v>83</v>
      </c>
      <c r="M383" t="s">
        <v>84</v>
      </c>
      <c r="N383">
        <v>0.18</v>
      </c>
      <c r="O383" t="b">
        <v>1</v>
      </c>
      <c r="P383">
        <v>45</v>
      </c>
      <c r="Q383" t="s">
        <v>85</v>
      </c>
      <c r="R383" t="s">
        <v>86</v>
      </c>
      <c r="S383">
        <v>0.18</v>
      </c>
      <c r="T383">
        <v>1</v>
      </c>
      <c r="U383" s="36">
        <v>0.28275</v>
      </c>
      <c r="V383" t="s">
        <v>87</v>
      </c>
      <c r="W383">
        <v>125</v>
      </c>
      <c r="X383">
        <v>0.38897500000000002</v>
      </c>
      <c r="Y383">
        <v>108</v>
      </c>
      <c r="Z383">
        <v>9.2592592592592587E-3</v>
      </c>
      <c r="AA383">
        <v>30</v>
      </c>
      <c r="AB383">
        <v>0</v>
      </c>
      <c r="AC383">
        <v>540</v>
      </c>
      <c r="AD383">
        <v>3000</v>
      </c>
      <c r="AE383" t="s">
        <v>143</v>
      </c>
      <c r="AF383" t="s">
        <v>1159</v>
      </c>
      <c r="AG383" t="s">
        <v>1160</v>
      </c>
      <c r="AH383">
        <v>0</v>
      </c>
      <c r="AI383">
        <v>0.9</v>
      </c>
      <c r="AJ383" t="s">
        <v>91</v>
      </c>
      <c r="AK383" t="s">
        <v>92</v>
      </c>
      <c r="AL383" t="s">
        <v>93</v>
      </c>
      <c r="AM383">
        <v>0.35588148148148147</v>
      </c>
      <c r="AN383">
        <v>0.23725432098765428</v>
      </c>
      <c r="AO383">
        <v>0.36774419753086418</v>
      </c>
      <c r="AP383">
        <v>0</v>
      </c>
      <c r="AQ383">
        <v>8.6691086691086688E-2</v>
      </c>
      <c r="AR383">
        <v>2.6666666666666505E-3</v>
      </c>
      <c r="AS383">
        <v>0</v>
      </c>
      <c r="AT383">
        <v>1.0866910866910866</v>
      </c>
      <c r="AU383">
        <v>1.0026666666666666</v>
      </c>
      <c r="AV383">
        <v>1</v>
      </c>
      <c r="AW383">
        <v>0</v>
      </c>
      <c r="AX383" t="s">
        <v>1161</v>
      </c>
      <c r="AY383">
        <v>16.5</v>
      </c>
      <c r="AZ383">
        <v>0</v>
      </c>
      <c r="BA383" t="s">
        <v>94</v>
      </c>
      <c r="BB383">
        <v>0.77</v>
      </c>
      <c r="BC383" t="s">
        <v>95</v>
      </c>
      <c r="BD383" t="s">
        <v>96</v>
      </c>
      <c r="BE383" t="s">
        <v>97</v>
      </c>
      <c r="BF383">
        <v>1</v>
      </c>
      <c r="BG383">
        <v>0</v>
      </c>
      <c r="BH383">
        <v>0</v>
      </c>
      <c r="BI383" t="s">
        <v>98</v>
      </c>
    </row>
    <row r="384" spans="1:61">
      <c r="A384" s="164" t="s">
        <v>1162</v>
      </c>
      <c r="B384" t="s">
        <v>1163</v>
      </c>
      <c r="C384">
        <v>0</v>
      </c>
      <c r="D384" t="s">
        <v>147</v>
      </c>
      <c r="E384">
        <v>0</v>
      </c>
      <c r="F384" t="s">
        <v>965</v>
      </c>
      <c r="G384" t="s">
        <v>103</v>
      </c>
      <c r="H384" t="s">
        <v>104</v>
      </c>
      <c r="I384" t="s">
        <v>80</v>
      </c>
      <c r="J384" t="s">
        <v>81</v>
      </c>
      <c r="K384" t="s">
        <v>82</v>
      </c>
      <c r="L384" t="s">
        <v>83</v>
      </c>
      <c r="M384" t="s">
        <v>84</v>
      </c>
      <c r="N384">
        <v>1.75</v>
      </c>
      <c r="O384" t="b">
        <v>1</v>
      </c>
      <c r="P384">
        <v>45</v>
      </c>
      <c r="Q384" t="s">
        <v>85</v>
      </c>
      <c r="R384" t="s">
        <v>86</v>
      </c>
      <c r="S384">
        <v>1.75</v>
      </c>
      <c r="T384">
        <v>1</v>
      </c>
      <c r="U384" s="36">
        <v>2.0850749999999998</v>
      </c>
      <c r="V384" t="s">
        <v>87</v>
      </c>
      <c r="W384">
        <v>24</v>
      </c>
      <c r="X384">
        <v>0.45019999999999999</v>
      </c>
      <c r="Y384">
        <v>12</v>
      </c>
      <c r="Z384">
        <v>8.3333333333333329E-2</v>
      </c>
      <c r="AA384">
        <v>30</v>
      </c>
      <c r="AB384">
        <v>0</v>
      </c>
      <c r="AC384">
        <v>540</v>
      </c>
      <c r="AD384">
        <v>308.57142857142856</v>
      </c>
      <c r="AE384" t="s">
        <v>155</v>
      </c>
      <c r="AF384" t="s">
        <v>1159</v>
      </c>
      <c r="AG384" t="s">
        <v>1160</v>
      </c>
      <c r="AH384">
        <v>0</v>
      </c>
      <c r="AI384">
        <v>0.9</v>
      </c>
      <c r="AJ384" t="s">
        <v>91</v>
      </c>
      <c r="AK384" t="s">
        <v>92</v>
      </c>
      <c r="AL384" t="s">
        <v>93</v>
      </c>
      <c r="AM384">
        <v>0.35588148148148147</v>
      </c>
      <c r="AN384">
        <v>0.23725432098765428</v>
      </c>
      <c r="AO384">
        <v>0.36774419753086418</v>
      </c>
      <c r="AP384">
        <v>0</v>
      </c>
      <c r="AQ384">
        <v>8.6691086691086688E-2</v>
      </c>
      <c r="AR384">
        <v>2.6666666666666505E-3</v>
      </c>
      <c r="AS384">
        <v>0</v>
      </c>
      <c r="AT384">
        <v>1.0866910866910866</v>
      </c>
      <c r="AU384">
        <v>1.0026666666666666</v>
      </c>
      <c r="AV384">
        <v>1</v>
      </c>
      <c r="AW384">
        <v>0</v>
      </c>
      <c r="AX384" t="s">
        <v>1164</v>
      </c>
      <c r="AY384">
        <v>0</v>
      </c>
      <c r="AZ384">
        <v>0</v>
      </c>
      <c r="BA384" t="s">
        <v>94</v>
      </c>
      <c r="BB384">
        <v>0</v>
      </c>
      <c r="BC384" t="s">
        <v>95</v>
      </c>
      <c r="BD384" t="s">
        <v>96</v>
      </c>
      <c r="BE384" t="s">
        <v>97</v>
      </c>
      <c r="BF384">
        <v>0</v>
      </c>
      <c r="BG384">
        <v>0</v>
      </c>
      <c r="BH384">
        <v>0</v>
      </c>
      <c r="BI384" t="s">
        <v>98</v>
      </c>
    </row>
    <row r="385" spans="1:61">
      <c r="A385" s="164" t="s">
        <v>1165</v>
      </c>
      <c r="B385" t="s">
        <v>1166</v>
      </c>
      <c r="C385">
        <v>0</v>
      </c>
      <c r="D385" t="s">
        <v>107</v>
      </c>
      <c r="E385">
        <v>0</v>
      </c>
      <c r="F385" t="s">
        <v>558</v>
      </c>
      <c r="G385" t="s">
        <v>103</v>
      </c>
      <c r="H385" t="s">
        <v>104</v>
      </c>
      <c r="I385" t="s">
        <v>80</v>
      </c>
      <c r="J385" t="s">
        <v>81</v>
      </c>
      <c r="K385" t="s">
        <v>82</v>
      </c>
      <c r="L385" t="s">
        <v>83</v>
      </c>
      <c r="M385" t="s">
        <v>84</v>
      </c>
      <c r="N385">
        <v>0.95</v>
      </c>
      <c r="O385" t="b">
        <v>1</v>
      </c>
      <c r="P385">
        <v>45</v>
      </c>
      <c r="Q385" t="s">
        <v>85</v>
      </c>
      <c r="R385" t="s">
        <v>86</v>
      </c>
      <c r="S385">
        <v>0.95</v>
      </c>
      <c r="T385">
        <v>1</v>
      </c>
      <c r="U385" s="36">
        <v>1.24125</v>
      </c>
      <c r="V385" t="s">
        <v>87</v>
      </c>
      <c r="W385">
        <v>24</v>
      </c>
      <c r="X385">
        <v>0.45019999999999999</v>
      </c>
      <c r="Y385">
        <v>18</v>
      </c>
      <c r="Z385">
        <v>5.5555555555555552E-2</v>
      </c>
      <c r="AA385">
        <v>30</v>
      </c>
      <c r="AB385">
        <v>0</v>
      </c>
      <c r="AC385">
        <v>540</v>
      </c>
      <c r="AD385">
        <v>568.42105263157896</v>
      </c>
      <c r="AE385" t="s">
        <v>155</v>
      </c>
      <c r="AF385" t="s">
        <v>559</v>
      </c>
      <c r="AG385" t="s">
        <v>560</v>
      </c>
      <c r="AH385">
        <v>0</v>
      </c>
      <c r="AI385">
        <v>0.9</v>
      </c>
      <c r="AJ385" t="s">
        <v>91</v>
      </c>
      <c r="AK385" t="s">
        <v>92</v>
      </c>
      <c r="AL385" t="s">
        <v>93</v>
      </c>
      <c r="AM385">
        <v>0.33138777777777773</v>
      </c>
      <c r="AN385">
        <v>0.22092518518518517</v>
      </c>
      <c r="AO385">
        <v>0.34243403703703701</v>
      </c>
      <c r="AP385">
        <v>0</v>
      </c>
      <c r="AQ385">
        <v>8.6691086691086688E-2</v>
      </c>
      <c r="AR385">
        <v>2.6666666666666505E-3</v>
      </c>
      <c r="AS385">
        <v>0</v>
      </c>
      <c r="AT385">
        <v>1.0866910866910866</v>
      </c>
      <c r="AU385">
        <v>1.0026666666666666</v>
      </c>
      <c r="AV385">
        <v>1</v>
      </c>
      <c r="AW385">
        <v>0</v>
      </c>
      <c r="AX385" t="s">
        <v>1167</v>
      </c>
      <c r="AY385">
        <v>53.4</v>
      </c>
      <c r="AZ385">
        <v>0</v>
      </c>
      <c r="BA385" t="s">
        <v>94</v>
      </c>
      <c r="BB385">
        <v>3.01</v>
      </c>
      <c r="BC385" t="s">
        <v>95</v>
      </c>
      <c r="BD385" t="s">
        <v>96</v>
      </c>
      <c r="BE385" t="s">
        <v>97</v>
      </c>
      <c r="BF385">
        <v>0</v>
      </c>
      <c r="BG385">
        <v>0</v>
      </c>
      <c r="BH385">
        <v>0</v>
      </c>
      <c r="BI385" t="s">
        <v>98</v>
      </c>
    </row>
    <row r="386" spans="1:61">
      <c r="A386" s="164" t="s">
        <v>1168</v>
      </c>
      <c r="B386" t="s">
        <v>1169</v>
      </c>
      <c r="C386">
        <v>0</v>
      </c>
      <c r="D386" t="s">
        <v>479</v>
      </c>
      <c r="E386">
        <v>0</v>
      </c>
      <c r="F386" t="s">
        <v>480</v>
      </c>
      <c r="G386" t="s">
        <v>103</v>
      </c>
      <c r="H386" t="s">
        <v>104</v>
      </c>
      <c r="I386" t="s">
        <v>80</v>
      </c>
      <c r="J386" t="s">
        <v>467</v>
      </c>
      <c r="K386" t="s">
        <v>468</v>
      </c>
      <c r="L386" t="s">
        <v>111</v>
      </c>
      <c r="M386" t="s">
        <v>84</v>
      </c>
      <c r="N386">
        <v>1.5</v>
      </c>
      <c r="O386" t="b">
        <v>0</v>
      </c>
      <c r="P386">
        <v>180</v>
      </c>
      <c r="Q386" t="s">
        <v>479</v>
      </c>
      <c r="S386">
        <v>0</v>
      </c>
      <c r="T386">
        <v>1</v>
      </c>
      <c r="U386" s="36">
        <v>1.4782200000000001</v>
      </c>
      <c r="V386" t="s">
        <v>468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G386" t="s">
        <v>129</v>
      </c>
      <c r="AH386">
        <v>0</v>
      </c>
      <c r="AI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Y386">
        <v>0</v>
      </c>
      <c r="AZ386">
        <v>0</v>
      </c>
      <c r="BA386" t="s">
        <v>138</v>
      </c>
      <c r="BB386">
        <v>0</v>
      </c>
      <c r="BC386" t="s">
        <v>95</v>
      </c>
      <c r="BD386" t="s">
        <v>469</v>
      </c>
      <c r="BE386" t="s">
        <v>97</v>
      </c>
      <c r="BF386">
        <v>0</v>
      </c>
      <c r="BG386">
        <v>0</v>
      </c>
      <c r="BH386">
        <v>0</v>
      </c>
      <c r="BI386" t="s">
        <v>98</v>
      </c>
    </row>
    <row r="387" spans="1:61">
      <c r="A387" s="164" t="s">
        <v>1170</v>
      </c>
      <c r="B387" t="s">
        <v>1171</v>
      </c>
      <c r="C387">
        <v>0</v>
      </c>
      <c r="D387" t="s">
        <v>486</v>
      </c>
      <c r="E387">
        <v>0</v>
      </c>
      <c r="F387" t="s">
        <v>1172</v>
      </c>
      <c r="G387" t="s">
        <v>78</v>
      </c>
      <c r="H387" t="s">
        <v>79</v>
      </c>
      <c r="I387" t="s">
        <v>80</v>
      </c>
      <c r="J387" t="s">
        <v>163</v>
      </c>
      <c r="K387" t="s">
        <v>82</v>
      </c>
      <c r="L387" t="s">
        <v>83</v>
      </c>
      <c r="M387" t="s">
        <v>84</v>
      </c>
      <c r="N387">
        <v>0.45</v>
      </c>
      <c r="O387" t="b">
        <v>1</v>
      </c>
      <c r="P387">
        <v>90</v>
      </c>
      <c r="Q387" t="s">
        <v>137</v>
      </c>
      <c r="R387" t="s">
        <v>86</v>
      </c>
      <c r="U387" s="36">
        <v>3.27454</v>
      </c>
      <c r="V387" t="s">
        <v>165</v>
      </c>
      <c r="X387">
        <v>0</v>
      </c>
      <c r="Y387">
        <v>36</v>
      </c>
      <c r="Z387">
        <v>0</v>
      </c>
      <c r="AA387">
        <v>35</v>
      </c>
      <c r="AB387">
        <v>0</v>
      </c>
      <c r="AC387">
        <v>0</v>
      </c>
      <c r="AE387" t="s">
        <v>129</v>
      </c>
      <c r="AF387" t="s">
        <v>1172</v>
      </c>
      <c r="AH387">
        <v>0</v>
      </c>
      <c r="AI387">
        <v>8.6</v>
      </c>
      <c r="AX387" t="s">
        <v>1173</v>
      </c>
      <c r="AY387">
        <v>0</v>
      </c>
      <c r="AZ387">
        <v>0</v>
      </c>
      <c r="BA387" t="s">
        <v>138</v>
      </c>
      <c r="BB387">
        <v>6.1</v>
      </c>
      <c r="BC387" t="s">
        <v>95</v>
      </c>
      <c r="BD387" t="s">
        <v>96</v>
      </c>
      <c r="BE387" t="s">
        <v>97</v>
      </c>
      <c r="BF387">
        <v>1</v>
      </c>
      <c r="BG387">
        <v>0</v>
      </c>
      <c r="BH387">
        <v>0</v>
      </c>
      <c r="BI387" t="s">
        <v>98</v>
      </c>
    </row>
    <row r="388" spans="1:61">
      <c r="A388" s="164" t="s">
        <v>1174</v>
      </c>
      <c r="B388" t="s">
        <v>1175</v>
      </c>
      <c r="C388">
        <v>0</v>
      </c>
      <c r="D388" t="s">
        <v>107</v>
      </c>
      <c r="E388">
        <v>0</v>
      </c>
      <c r="F388" t="s">
        <v>1116</v>
      </c>
      <c r="G388" t="s">
        <v>78</v>
      </c>
      <c r="H388" t="s">
        <v>79</v>
      </c>
      <c r="I388" t="s">
        <v>80</v>
      </c>
      <c r="J388" t="s">
        <v>81</v>
      </c>
      <c r="K388" t="s">
        <v>82</v>
      </c>
      <c r="L388" t="s">
        <v>83</v>
      </c>
      <c r="M388" t="s">
        <v>84</v>
      </c>
      <c r="N388">
        <v>0.15</v>
      </c>
      <c r="O388" t="b">
        <v>1</v>
      </c>
      <c r="P388">
        <v>45</v>
      </c>
      <c r="Q388" t="s">
        <v>85</v>
      </c>
      <c r="R388" t="s">
        <v>86</v>
      </c>
      <c r="S388">
        <v>0.15</v>
      </c>
      <c r="T388">
        <v>1</v>
      </c>
      <c r="U388" s="36">
        <v>0.12071999999999999</v>
      </c>
      <c r="V388" t="s">
        <v>87</v>
      </c>
      <c r="W388">
        <v>34</v>
      </c>
      <c r="X388">
        <v>0.62562499999999999</v>
      </c>
      <c r="Y388">
        <v>15</v>
      </c>
      <c r="Z388">
        <v>6.6666666666666666E-2</v>
      </c>
      <c r="AA388">
        <v>60</v>
      </c>
      <c r="AB388">
        <v>0</v>
      </c>
      <c r="AC388">
        <v>500</v>
      </c>
      <c r="AD388">
        <v>555.55555555555554</v>
      </c>
      <c r="AE388" t="s">
        <v>112</v>
      </c>
      <c r="AF388" t="s">
        <v>1117</v>
      </c>
      <c r="AG388" t="s">
        <v>114</v>
      </c>
      <c r="AH388">
        <v>0</v>
      </c>
      <c r="AI388">
        <v>0.6</v>
      </c>
      <c r="AJ388" t="s">
        <v>91</v>
      </c>
      <c r="AK388" t="s">
        <v>92</v>
      </c>
      <c r="AL388" t="s">
        <v>93</v>
      </c>
      <c r="AM388">
        <v>0.34043629629629629</v>
      </c>
      <c r="AN388">
        <v>0.22695753086419751</v>
      </c>
      <c r="AO388">
        <v>0.35178417283950614</v>
      </c>
      <c r="AP388">
        <v>0</v>
      </c>
      <c r="AQ388">
        <v>8.6691086691086688E-2</v>
      </c>
      <c r="AR388">
        <v>2.6666666666666505E-3</v>
      </c>
      <c r="AS388">
        <v>0</v>
      </c>
      <c r="AT388">
        <v>1.0866910866910866</v>
      </c>
      <c r="AU388">
        <v>1.0026666666666666</v>
      </c>
      <c r="AV388">
        <v>1</v>
      </c>
      <c r="AW388">
        <v>0</v>
      </c>
      <c r="AX388" t="s">
        <v>1118</v>
      </c>
      <c r="AY388">
        <v>5.34</v>
      </c>
      <c r="AZ388">
        <v>0</v>
      </c>
      <c r="BA388" t="s">
        <v>94</v>
      </c>
      <c r="BB388">
        <v>0.18</v>
      </c>
      <c r="BC388" t="s">
        <v>95</v>
      </c>
      <c r="BD388" t="s">
        <v>96</v>
      </c>
      <c r="BE388" t="s">
        <v>97</v>
      </c>
      <c r="BF388">
        <v>1</v>
      </c>
      <c r="BG388">
        <v>0</v>
      </c>
      <c r="BH388">
        <v>0</v>
      </c>
      <c r="BI388" t="s">
        <v>98</v>
      </c>
    </row>
    <row r="389" spans="1:61">
      <c r="A389" s="164" t="s">
        <v>1176</v>
      </c>
      <c r="B389" t="s">
        <v>1177</v>
      </c>
      <c r="C389">
        <v>0</v>
      </c>
      <c r="D389" t="s">
        <v>486</v>
      </c>
      <c r="E389">
        <v>0</v>
      </c>
      <c r="F389" t="s">
        <v>1178</v>
      </c>
      <c r="G389" t="s">
        <v>78</v>
      </c>
      <c r="H389" t="s">
        <v>79</v>
      </c>
      <c r="I389" t="s">
        <v>80</v>
      </c>
      <c r="J389" t="s">
        <v>163</v>
      </c>
      <c r="K389" t="s">
        <v>82</v>
      </c>
      <c r="L389" t="s">
        <v>83</v>
      </c>
      <c r="M389" t="s">
        <v>84</v>
      </c>
      <c r="N389">
        <v>0.3</v>
      </c>
      <c r="O389" t="b">
        <v>1</v>
      </c>
      <c r="P389">
        <v>60</v>
      </c>
      <c r="Q389" t="s">
        <v>137</v>
      </c>
      <c r="S389">
        <v>0.3</v>
      </c>
      <c r="T389">
        <v>1</v>
      </c>
      <c r="U389" s="36">
        <v>1.9980950000000002</v>
      </c>
      <c r="V389" t="s">
        <v>165</v>
      </c>
      <c r="X389">
        <v>0</v>
      </c>
      <c r="Y389">
        <v>75</v>
      </c>
      <c r="Z389">
        <v>1.3333333333333334E-2</v>
      </c>
      <c r="AA389">
        <v>35</v>
      </c>
      <c r="AB389">
        <v>0</v>
      </c>
      <c r="AC389">
        <v>0</v>
      </c>
      <c r="AE389" t="s">
        <v>129</v>
      </c>
      <c r="AF389" t="s">
        <v>1178</v>
      </c>
      <c r="AG389" t="s">
        <v>129</v>
      </c>
      <c r="AH389">
        <v>0</v>
      </c>
      <c r="AI389">
        <v>11</v>
      </c>
      <c r="AM389">
        <v>9.4599999999999991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 t="s">
        <v>1179</v>
      </c>
      <c r="AY389">
        <v>7.3017399999999997</v>
      </c>
      <c r="AZ389">
        <v>0</v>
      </c>
      <c r="BA389" t="s">
        <v>138</v>
      </c>
      <c r="BB389">
        <v>4.66</v>
      </c>
      <c r="BC389" t="s">
        <v>95</v>
      </c>
      <c r="BD389" t="s">
        <v>96</v>
      </c>
      <c r="BE389" t="s">
        <v>97</v>
      </c>
      <c r="BF389">
        <v>1</v>
      </c>
      <c r="BG389">
        <v>0</v>
      </c>
      <c r="BH389">
        <v>0</v>
      </c>
      <c r="BI389" t="s">
        <v>98</v>
      </c>
    </row>
    <row r="390" spans="1:61">
      <c r="A390" s="164" t="s">
        <v>1180</v>
      </c>
      <c r="B390" t="s">
        <v>1181</v>
      </c>
      <c r="C390">
        <v>0</v>
      </c>
      <c r="D390" t="s">
        <v>107</v>
      </c>
      <c r="E390">
        <v>0</v>
      </c>
      <c r="F390" t="s">
        <v>120</v>
      </c>
      <c r="G390" t="s">
        <v>78</v>
      </c>
      <c r="H390" t="s">
        <v>79</v>
      </c>
      <c r="I390" t="s">
        <v>80</v>
      </c>
      <c r="J390" t="s">
        <v>81</v>
      </c>
      <c r="K390" t="s">
        <v>82</v>
      </c>
      <c r="L390" t="s">
        <v>83</v>
      </c>
      <c r="M390" t="s">
        <v>84</v>
      </c>
      <c r="N390">
        <v>0.12</v>
      </c>
      <c r="O390" t="b">
        <v>1</v>
      </c>
      <c r="P390">
        <v>45</v>
      </c>
      <c r="Q390" t="s">
        <v>85</v>
      </c>
      <c r="S390">
        <v>0.12</v>
      </c>
      <c r="U390" s="36">
        <v>0.32286000000000004</v>
      </c>
      <c r="V390" t="s">
        <v>87</v>
      </c>
      <c r="AF390" t="s">
        <v>121</v>
      </c>
      <c r="AI390">
        <v>0.9</v>
      </c>
      <c r="AZ390">
        <v>0</v>
      </c>
      <c r="BA390" t="s">
        <v>94</v>
      </c>
      <c r="BB390">
        <v>1.1499999999999999</v>
      </c>
      <c r="BC390" t="s">
        <v>95</v>
      </c>
      <c r="BD390" t="s">
        <v>96</v>
      </c>
      <c r="BE390" t="s">
        <v>97</v>
      </c>
      <c r="BF390">
        <v>1</v>
      </c>
      <c r="BG390">
        <v>0</v>
      </c>
      <c r="BH390">
        <v>0</v>
      </c>
      <c r="BI390" t="s">
        <v>98</v>
      </c>
    </row>
    <row r="391" spans="1:61">
      <c r="A391" s="164" t="s">
        <v>1182</v>
      </c>
      <c r="B391" t="s">
        <v>1183</v>
      </c>
      <c r="C391">
        <v>0</v>
      </c>
      <c r="D391" t="s">
        <v>181</v>
      </c>
      <c r="E391">
        <v>0</v>
      </c>
      <c r="F391" t="s">
        <v>181</v>
      </c>
      <c r="G391" t="s">
        <v>103</v>
      </c>
      <c r="H391" t="s">
        <v>104</v>
      </c>
      <c r="I391" t="s">
        <v>80</v>
      </c>
      <c r="J391" t="s">
        <v>163</v>
      </c>
      <c r="K391" t="s">
        <v>82</v>
      </c>
      <c r="L391" t="s">
        <v>83</v>
      </c>
      <c r="M391" t="s">
        <v>84</v>
      </c>
      <c r="N391">
        <v>0.24</v>
      </c>
      <c r="O391" t="b">
        <v>1</v>
      </c>
      <c r="P391">
        <v>90</v>
      </c>
      <c r="Q391" t="s">
        <v>137</v>
      </c>
      <c r="S391">
        <v>0.24</v>
      </c>
      <c r="T391">
        <v>1</v>
      </c>
      <c r="U391" s="36">
        <v>1.6086550000000002</v>
      </c>
      <c r="V391" t="s">
        <v>165</v>
      </c>
      <c r="X391">
        <v>0</v>
      </c>
      <c r="Y391">
        <v>54</v>
      </c>
      <c r="Z391">
        <v>1.8518518518518517E-2</v>
      </c>
      <c r="AA391">
        <v>35</v>
      </c>
      <c r="AB391">
        <v>0</v>
      </c>
      <c r="AC391">
        <v>0</v>
      </c>
      <c r="AE391" t="s">
        <v>129</v>
      </c>
      <c r="AF391" t="s">
        <v>181</v>
      </c>
      <c r="AG391" t="s">
        <v>129</v>
      </c>
      <c r="AH391">
        <v>0</v>
      </c>
      <c r="AI391">
        <v>11</v>
      </c>
      <c r="AM391">
        <v>3.52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 t="s">
        <v>1184</v>
      </c>
      <c r="AY391">
        <v>15.95</v>
      </c>
      <c r="AZ391">
        <v>7</v>
      </c>
      <c r="BA391" t="s">
        <v>138</v>
      </c>
      <c r="BB391">
        <v>2.4</v>
      </c>
      <c r="BC391" t="s">
        <v>95</v>
      </c>
      <c r="BD391" t="s">
        <v>96</v>
      </c>
      <c r="BE391" t="s">
        <v>97</v>
      </c>
      <c r="BF391">
        <v>0</v>
      </c>
      <c r="BG391">
        <v>0</v>
      </c>
      <c r="BH391">
        <v>0</v>
      </c>
      <c r="BI391" t="s">
        <v>98</v>
      </c>
    </row>
    <row r="392" spans="1:61">
      <c r="A392" s="164" t="s">
        <v>1185</v>
      </c>
      <c r="B392" t="s">
        <v>1186</v>
      </c>
      <c r="C392">
        <v>0</v>
      </c>
      <c r="D392" t="s">
        <v>1125</v>
      </c>
      <c r="E392">
        <v>0</v>
      </c>
      <c r="F392" t="s">
        <v>1125</v>
      </c>
      <c r="G392" t="s">
        <v>103</v>
      </c>
      <c r="H392" t="s">
        <v>104</v>
      </c>
      <c r="I392" t="s">
        <v>126</v>
      </c>
      <c r="J392" t="s">
        <v>127</v>
      </c>
      <c r="K392" t="s">
        <v>82</v>
      </c>
      <c r="L392" t="s">
        <v>83</v>
      </c>
      <c r="M392" t="s">
        <v>84</v>
      </c>
      <c r="N392">
        <v>0.14000000000000001</v>
      </c>
      <c r="O392" t="b">
        <v>0</v>
      </c>
      <c r="P392">
        <v>60</v>
      </c>
      <c r="Q392" t="s">
        <v>188</v>
      </c>
      <c r="S392">
        <v>0</v>
      </c>
      <c r="T392">
        <v>1</v>
      </c>
      <c r="V392" t="s">
        <v>87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G392" t="s">
        <v>129</v>
      </c>
      <c r="AH392">
        <v>0</v>
      </c>
      <c r="AI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Y392">
        <v>0</v>
      </c>
      <c r="AZ392">
        <v>5</v>
      </c>
      <c r="BA392" t="s">
        <v>94</v>
      </c>
      <c r="BB392">
        <v>0</v>
      </c>
      <c r="BC392" t="s">
        <v>95</v>
      </c>
      <c r="BD392" t="s">
        <v>1187</v>
      </c>
      <c r="BE392" t="s">
        <v>97</v>
      </c>
      <c r="BF392">
        <v>0</v>
      </c>
      <c r="BG392">
        <v>0</v>
      </c>
      <c r="BH392">
        <v>0</v>
      </c>
      <c r="BI392" t="s">
        <v>98</v>
      </c>
    </row>
    <row r="393" spans="1:61">
      <c r="A393" s="164" t="s">
        <v>1188</v>
      </c>
      <c r="B393" t="s">
        <v>1189</v>
      </c>
      <c r="C393">
        <v>0</v>
      </c>
      <c r="D393" t="s">
        <v>1125</v>
      </c>
      <c r="E393">
        <v>0</v>
      </c>
      <c r="F393" t="s">
        <v>1125</v>
      </c>
      <c r="G393" t="s">
        <v>103</v>
      </c>
      <c r="H393" t="s">
        <v>104</v>
      </c>
      <c r="I393" t="s">
        <v>126</v>
      </c>
      <c r="J393" t="s">
        <v>127</v>
      </c>
      <c r="K393" t="s">
        <v>82</v>
      </c>
      <c r="L393" t="s">
        <v>83</v>
      </c>
      <c r="M393" t="s">
        <v>84</v>
      </c>
      <c r="N393">
        <v>0.14000000000000001</v>
      </c>
      <c r="O393" t="b">
        <v>0</v>
      </c>
      <c r="P393">
        <v>60</v>
      </c>
      <c r="Q393" t="s">
        <v>188</v>
      </c>
      <c r="S393">
        <v>0</v>
      </c>
      <c r="T393">
        <v>1</v>
      </c>
      <c r="V393" t="s">
        <v>87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G393" t="s">
        <v>129</v>
      </c>
      <c r="AH393">
        <v>0</v>
      </c>
      <c r="AI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 t="s">
        <v>1190</v>
      </c>
      <c r="AY393">
        <v>0</v>
      </c>
      <c r="AZ393">
        <v>0</v>
      </c>
      <c r="BA393" t="s">
        <v>94</v>
      </c>
      <c r="BB393">
        <v>0</v>
      </c>
      <c r="BC393" t="s">
        <v>95</v>
      </c>
      <c r="BD393" t="s">
        <v>1187</v>
      </c>
      <c r="BE393" t="s">
        <v>97</v>
      </c>
      <c r="BF393">
        <v>0</v>
      </c>
      <c r="BG393">
        <v>0</v>
      </c>
      <c r="BH393">
        <v>0</v>
      </c>
      <c r="BI393" t="s">
        <v>98</v>
      </c>
    </row>
    <row r="394" spans="1:61">
      <c r="A394" s="164" t="s">
        <v>1191</v>
      </c>
      <c r="B394" t="s">
        <v>1192</v>
      </c>
      <c r="C394">
        <v>0</v>
      </c>
      <c r="D394" t="s">
        <v>76</v>
      </c>
      <c r="E394">
        <v>0</v>
      </c>
      <c r="F394" t="s">
        <v>142</v>
      </c>
      <c r="G394" t="s">
        <v>78</v>
      </c>
      <c r="H394" t="s">
        <v>79</v>
      </c>
      <c r="I394" t="s">
        <v>80</v>
      </c>
      <c r="J394" t="s">
        <v>81</v>
      </c>
      <c r="K394" t="s">
        <v>82</v>
      </c>
      <c r="L394" t="s">
        <v>83</v>
      </c>
      <c r="M394" t="s">
        <v>84</v>
      </c>
      <c r="N394">
        <v>0.18</v>
      </c>
      <c r="O394" t="b">
        <v>1</v>
      </c>
      <c r="P394">
        <v>45</v>
      </c>
      <c r="Q394" t="s">
        <v>85</v>
      </c>
      <c r="R394" t="s">
        <v>86</v>
      </c>
      <c r="U394" s="36">
        <v>0.286325</v>
      </c>
      <c r="V394" t="s">
        <v>87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F394" t="s">
        <v>89</v>
      </c>
      <c r="AH394">
        <v>0</v>
      </c>
      <c r="AI394">
        <v>1</v>
      </c>
      <c r="AX394" t="s">
        <v>1193</v>
      </c>
      <c r="AY394">
        <v>0</v>
      </c>
      <c r="AZ394">
        <v>0</v>
      </c>
      <c r="BA394" t="s">
        <v>94</v>
      </c>
      <c r="BB394">
        <v>0.76</v>
      </c>
      <c r="BC394" t="s">
        <v>95</v>
      </c>
      <c r="BD394" t="s">
        <v>96</v>
      </c>
      <c r="BE394" t="s">
        <v>97</v>
      </c>
      <c r="BF394">
        <v>1</v>
      </c>
      <c r="BG394">
        <v>0</v>
      </c>
      <c r="BH394">
        <v>0</v>
      </c>
      <c r="BI394" t="s">
        <v>98</v>
      </c>
    </row>
    <row r="395" spans="1:61">
      <c r="A395" s="164" t="s">
        <v>1194</v>
      </c>
      <c r="B395" t="s">
        <v>1195</v>
      </c>
      <c r="C395">
        <v>0</v>
      </c>
      <c r="D395" t="s">
        <v>147</v>
      </c>
      <c r="E395">
        <v>0</v>
      </c>
      <c r="F395" t="s">
        <v>1158</v>
      </c>
      <c r="G395" t="s">
        <v>103</v>
      </c>
      <c r="H395" t="s">
        <v>104</v>
      </c>
      <c r="I395" t="s">
        <v>80</v>
      </c>
      <c r="J395" t="s">
        <v>81</v>
      </c>
      <c r="K395" t="s">
        <v>468</v>
      </c>
      <c r="L395" t="s">
        <v>111</v>
      </c>
      <c r="M395" t="s">
        <v>84</v>
      </c>
      <c r="N395">
        <v>1.26</v>
      </c>
      <c r="O395" t="b">
        <v>0</v>
      </c>
      <c r="P395">
        <v>45</v>
      </c>
      <c r="Q395" t="s">
        <v>85</v>
      </c>
      <c r="S395">
        <v>0</v>
      </c>
      <c r="T395">
        <v>1</v>
      </c>
      <c r="V395" t="s">
        <v>87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G395" t="s">
        <v>129</v>
      </c>
      <c r="AH395">
        <v>0</v>
      </c>
      <c r="AI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Y395">
        <v>0</v>
      </c>
      <c r="AZ395">
        <v>8</v>
      </c>
      <c r="BA395" t="s">
        <v>94</v>
      </c>
      <c r="BB395">
        <v>0</v>
      </c>
      <c r="BC395" t="s">
        <v>95</v>
      </c>
      <c r="BD395" t="s">
        <v>469</v>
      </c>
      <c r="BE395" t="s">
        <v>97</v>
      </c>
      <c r="BF395">
        <v>0</v>
      </c>
      <c r="BG395">
        <v>0</v>
      </c>
      <c r="BH395">
        <v>0</v>
      </c>
      <c r="BI395" t="s">
        <v>98</v>
      </c>
    </row>
    <row r="396" spans="1:61">
      <c r="A396" s="164" t="s">
        <v>1196</v>
      </c>
      <c r="B396" t="s">
        <v>1197</v>
      </c>
      <c r="C396">
        <v>0</v>
      </c>
      <c r="D396" t="s">
        <v>486</v>
      </c>
      <c r="E396">
        <v>0</v>
      </c>
      <c r="F396" t="s">
        <v>1198</v>
      </c>
      <c r="G396" t="s">
        <v>103</v>
      </c>
      <c r="H396" t="s">
        <v>104</v>
      </c>
      <c r="I396" t="s">
        <v>80</v>
      </c>
      <c r="J396" t="s">
        <v>163</v>
      </c>
      <c r="K396" t="s">
        <v>82</v>
      </c>
      <c r="L396" t="s">
        <v>83</v>
      </c>
      <c r="M396" t="s">
        <v>84</v>
      </c>
      <c r="N396">
        <v>0.35</v>
      </c>
      <c r="O396" t="b">
        <v>0</v>
      </c>
      <c r="P396">
        <v>60</v>
      </c>
      <c r="Q396" t="s">
        <v>137</v>
      </c>
      <c r="S396">
        <v>0</v>
      </c>
      <c r="T396">
        <v>1</v>
      </c>
      <c r="U396" s="36">
        <v>2.29</v>
      </c>
      <c r="V396" t="s">
        <v>165</v>
      </c>
      <c r="X396">
        <v>0</v>
      </c>
      <c r="Z396">
        <v>2.7777777777777776E-2</v>
      </c>
      <c r="AB396">
        <v>0</v>
      </c>
      <c r="AC396">
        <v>0</v>
      </c>
      <c r="AE396" t="s">
        <v>129</v>
      </c>
      <c r="AF396" t="s">
        <v>1198</v>
      </c>
      <c r="AG396" t="s">
        <v>129</v>
      </c>
      <c r="AH396">
        <v>0</v>
      </c>
      <c r="AI396">
        <v>10.199999999999999</v>
      </c>
      <c r="AJ396" t="s">
        <v>167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Y396">
        <v>0</v>
      </c>
      <c r="AZ396">
        <v>4</v>
      </c>
      <c r="BA396" t="s">
        <v>138</v>
      </c>
      <c r="BB396">
        <v>0</v>
      </c>
      <c r="BC396" t="s">
        <v>95</v>
      </c>
      <c r="BD396" t="s">
        <v>96</v>
      </c>
      <c r="BE396" t="s">
        <v>97</v>
      </c>
      <c r="BF396">
        <v>0</v>
      </c>
      <c r="BG396">
        <v>0</v>
      </c>
      <c r="BH396">
        <v>0</v>
      </c>
      <c r="BI396" t="s">
        <v>98</v>
      </c>
    </row>
    <row r="397" spans="1:61">
      <c r="A397" s="164" t="s">
        <v>1199</v>
      </c>
      <c r="B397" t="s">
        <v>1200</v>
      </c>
      <c r="C397">
        <v>0</v>
      </c>
      <c r="D397" t="s">
        <v>101</v>
      </c>
      <c r="E397">
        <v>0</v>
      </c>
      <c r="F397" t="s">
        <v>512</v>
      </c>
      <c r="G397" t="s">
        <v>103</v>
      </c>
      <c r="H397" t="s">
        <v>104</v>
      </c>
      <c r="I397" t="s">
        <v>80</v>
      </c>
      <c r="J397" t="s">
        <v>81</v>
      </c>
      <c r="K397" t="s">
        <v>82</v>
      </c>
      <c r="L397" t="s">
        <v>83</v>
      </c>
      <c r="M397" t="s">
        <v>84</v>
      </c>
      <c r="N397">
        <v>0.13</v>
      </c>
      <c r="O397" t="b">
        <v>1</v>
      </c>
      <c r="P397">
        <v>45</v>
      </c>
      <c r="Q397" t="s">
        <v>85</v>
      </c>
      <c r="R397" t="s">
        <v>86</v>
      </c>
      <c r="S397">
        <v>0.1</v>
      </c>
      <c r="T397">
        <v>0.76923076923076927</v>
      </c>
      <c r="U397" s="36">
        <v>0.28902</v>
      </c>
      <c r="V397" t="s">
        <v>87</v>
      </c>
      <c r="W397">
        <v>150</v>
      </c>
      <c r="X397">
        <v>0.45</v>
      </c>
      <c r="Y397">
        <v>65</v>
      </c>
      <c r="Z397">
        <v>1.2500000000000001E-2</v>
      </c>
      <c r="AA397">
        <v>30</v>
      </c>
      <c r="AB397">
        <v>0</v>
      </c>
      <c r="AC397">
        <v>500</v>
      </c>
      <c r="AD397">
        <v>5000</v>
      </c>
      <c r="AE397" t="s">
        <v>88</v>
      </c>
      <c r="AF397" t="s">
        <v>513</v>
      </c>
      <c r="AG397" t="s">
        <v>514</v>
      </c>
      <c r="AH397">
        <v>0</v>
      </c>
      <c r="AI397">
        <v>0.8</v>
      </c>
      <c r="AJ397" t="s">
        <v>91</v>
      </c>
      <c r="AK397" t="s">
        <v>92</v>
      </c>
      <c r="AL397" t="s">
        <v>93</v>
      </c>
      <c r="AM397">
        <v>0.33631111111111106</v>
      </c>
      <c r="AN397">
        <v>0.22420740740740738</v>
      </c>
      <c r="AO397">
        <v>0.34752148148148143</v>
      </c>
      <c r="AP397">
        <v>0</v>
      </c>
      <c r="AQ397">
        <v>8.6691086691086688E-2</v>
      </c>
      <c r="AR397">
        <v>2.6666666666666505E-3</v>
      </c>
      <c r="AS397">
        <v>0</v>
      </c>
      <c r="AT397">
        <v>1.0866910866910866</v>
      </c>
      <c r="AU397">
        <v>1.0026666666666666</v>
      </c>
      <c r="AV397">
        <v>1</v>
      </c>
      <c r="AW397">
        <v>0</v>
      </c>
      <c r="AX397" t="s">
        <v>1201</v>
      </c>
      <c r="AY397">
        <v>15.98</v>
      </c>
      <c r="AZ397">
        <v>0</v>
      </c>
      <c r="BA397" t="s">
        <v>94</v>
      </c>
      <c r="BB397">
        <v>0.44</v>
      </c>
      <c r="BC397" t="s">
        <v>95</v>
      </c>
      <c r="BD397" t="s">
        <v>96</v>
      </c>
      <c r="BE397" t="s">
        <v>97</v>
      </c>
      <c r="BF397">
        <v>1</v>
      </c>
      <c r="BG397">
        <v>0</v>
      </c>
      <c r="BH397">
        <v>0</v>
      </c>
      <c r="BI397" t="s">
        <v>98</v>
      </c>
    </row>
    <row r="398" spans="1:61">
      <c r="A398" s="164" t="s">
        <v>1202</v>
      </c>
      <c r="B398" t="s">
        <v>1203</v>
      </c>
      <c r="C398">
        <v>0</v>
      </c>
      <c r="D398" t="s">
        <v>748</v>
      </c>
      <c r="E398">
        <v>0</v>
      </c>
      <c r="F398" t="s">
        <v>748</v>
      </c>
      <c r="G398" t="s">
        <v>103</v>
      </c>
      <c r="H398" t="s">
        <v>104</v>
      </c>
      <c r="I398" t="s">
        <v>80</v>
      </c>
      <c r="J398" t="s">
        <v>81</v>
      </c>
      <c r="K398" t="s">
        <v>82</v>
      </c>
      <c r="L398" t="s">
        <v>83</v>
      </c>
      <c r="M398" t="s">
        <v>84</v>
      </c>
      <c r="N398">
        <v>0.16</v>
      </c>
      <c r="O398" t="b">
        <v>1</v>
      </c>
      <c r="P398">
        <v>90</v>
      </c>
      <c r="Q398" t="s">
        <v>188</v>
      </c>
      <c r="R398" t="s">
        <v>86</v>
      </c>
      <c r="S398">
        <v>0.16</v>
      </c>
      <c r="T398">
        <v>1</v>
      </c>
      <c r="V398" t="s">
        <v>87</v>
      </c>
      <c r="W398">
        <v>180</v>
      </c>
      <c r="X398">
        <v>0.45</v>
      </c>
      <c r="Y398">
        <v>43</v>
      </c>
      <c r="Z398">
        <v>2.3255813953488372E-2</v>
      </c>
      <c r="AA398">
        <v>30</v>
      </c>
      <c r="AB398">
        <v>0</v>
      </c>
      <c r="AC398">
        <v>500</v>
      </c>
      <c r="AD398">
        <v>3125</v>
      </c>
      <c r="AE398" t="s">
        <v>88</v>
      </c>
      <c r="AF398" t="s">
        <v>749</v>
      </c>
      <c r="AG398" t="s">
        <v>750</v>
      </c>
      <c r="AH398">
        <v>0</v>
      </c>
      <c r="AI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 t="s">
        <v>1204</v>
      </c>
      <c r="AY398">
        <v>0</v>
      </c>
      <c r="AZ398">
        <v>2</v>
      </c>
      <c r="BA398" t="s">
        <v>94</v>
      </c>
      <c r="BB398">
        <v>0</v>
      </c>
      <c r="BC398" t="s">
        <v>95</v>
      </c>
      <c r="BD398" t="s">
        <v>96</v>
      </c>
      <c r="BE398" t="s">
        <v>97</v>
      </c>
      <c r="BF398">
        <v>0</v>
      </c>
      <c r="BG398">
        <v>0</v>
      </c>
      <c r="BH398">
        <v>0</v>
      </c>
      <c r="BI398" t="s">
        <v>98</v>
      </c>
    </row>
    <row r="399" spans="1:61">
      <c r="A399" s="164" t="s">
        <v>1205</v>
      </c>
      <c r="B399" t="s">
        <v>1206</v>
      </c>
      <c r="C399">
        <v>0</v>
      </c>
      <c r="D399" t="s">
        <v>107</v>
      </c>
      <c r="E399">
        <v>0</v>
      </c>
      <c r="F399" t="s">
        <v>1207</v>
      </c>
      <c r="G399" t="s">
        <v>103</v>
      </c>
      <c r="H399" t="s">
        <v>104</v>
      </c>
      <c r="I399" t="s">
        <v>80</v>
      </c>
      <c r="J399" t="s">
        <v>81</v>
      </c>
      <c r="K399" t="s">
        <v>82</v>
      </c>
      <c r="L399" t="s">
        <v>83</v>
      </c>
      <c r="M399" t="s">
        <v>84</v>
      </c>
      <c r="N399">
        <v>0.12</v>
      </c>
      <c r="O399" t="b">
        <v>0</v>
      </c>
      <c r="P399">
        <v>45</v>
      </c>
      <c r="Q399" t="s">
        <v>85</v>
      </c>
      <c r="S399">
        <v>0</v>
      </c>
      <c r="T399">
        <v>1</v>
      </c>
      <c r="U399" s="36">
        <v>0.22289500000000001</v>
      </c>
      <c r="V399" t="s">
        <v>87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G399" t="s">
        <v>129</v>
      </c>
      <c r="AH399">
        <v>0</v>
      </c>
      <c r="AI399">
        <v>0.7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Y399">
        <v>0</v>
      </c>
      <c r="AZ399">
        <v>2</v>
      </c>
      <c r="BA399" t="s">
        <v>94</v>
      </c>
      <c r="BB399">
        <v>0</v>
      </c>
      <c r="BC399" t="s">
        <v>95</v>
      </c>
      <c r="BD399" t="s">
        <v>96</v>
      </c>
      <c r="BE399" t="s">
        <v>97</v>
      </c>
      <c r="BF399">
        <v>0</v>
      </c>
      <c r="BG399">
        <v>0</v>
      </c>
      <c r="BH399">
        <v>0</v>
      </c>
      <c r="BI399" t="s">
        <v>98</v>
      </c>
    </row>
    <row r="400" spans="1:61">
      <c r="A400" s="164" t="s">
        <v>1208</v>
      </c>
      <c r="B400" t="s">
        <v>1209</v>
      </c>
      <c r="C400">
        <v>0</v>
      </c>
      <c r="D400" t="s">
        <v>76</v>
      </c>
      <c r="E400">
        <v>0</v>
      </c>
      <c r="F400" t="s">
        <v>972</v>
      </c>
      <c r="G400" t="s">
        <v>103</v>
      </c>
      <c r="H400" t="s">
        <v>104</v>
      </c>
      <c r="I400" t="s">
        <v>80</v>
      </c>
      <c r="J400" t="s">
        <v>81</v>
      </c>
      <c r="K400" t="s">
        <v>82</v>
      </c>
      <c r="L400" t="s">
        <v>83</v>
      </c>
      <c r="M400" t="s">
        <v>84</v>
      </c>
      <c r="N400">
        <v>0.95</v>
      </c>
      <c r="O400" t="b">
        <v>0</v>
      </c>
      <c r="P400">
        <v>45</v>
      </c>
      <c r="Q400" t="s">
        <v>85</v>
      </c>
      <c r="S400">
        <v>0.95</v>
      </c>
      <c r="T400">
        <v>1</v>
      </c>
      <c r="U400" s="36">
        <v>1.09232</v>
      </c>
      <c r="V400" t="s">
        <v>87</v>
      </c>
      <c r="W400">
        <v>0</v>
      </c>
      <c r="X400">
        <v>0.45019999999999999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t="s">
        <v>155</v>
      </c>
      <c r="AF400" t="s">
        <v>89</v>
      </c>
      <c r="AG400" t="s">
        <v>129</v>
      </c>
      <c r="AH400">
        <v>0</v>
      </c>
      <c r="AI400">
        <v>1</v>
      </c>
      <c r="AJ400" t="s">
        <v>91</v>
      </c>
      <c r="AK400" t="s">
        <v>92</v>
      </c>
      <c r="AL400" t="s">
        <v>93</v>
      </c>
      <c r="AM400">
        <v>0.98220000000000007</v>
      </c>
      <c r="AN400">
        <v>0</v>
      </c>
      <c r="AO400">
        <v>0</v>
      </c>
      <c r="AP400">
        <v>0</v>
      </c>
      <c r="AQ400">
        <v>8.6691086691086688E-2</v>
      </c>
      <c r="AR400">
        <v>2.6666666666666505E-3</v>
      </c>
      <c r="AS400">
        <v>0</v>
      </c>
      <c r="AT400">
        <v>1.0866910866910866</v>
      </c>
      <c r="AU400">
        <v>1.0026666666666666</v>
      </c>
      <c r="AV400">
        <v>1</v>
      </c>
      <c r="AW400">
        <v>0</v>
      </c>
      <c r="AY400">
        <v>0</v>
      </c>
      <c r="AZ400">
        <v>10</v>
      </c>
      <c r="BA400" t="s">
        <v>94</v>
      </c>
      <c r="BB400">
        <v>0</v>
      </c>
      <c r="BC400" t="s">
        <v>95</v>
      </c>
      <c r="BD400" t="s">
        <v>96</v>
      </c>
      <c r="BE400" t="s">
        <v>97</v>
      </c>
      <c r="BF400">
        <v>0</v>
      </c>
      <c r="BG400">
        <v>0</v>
      </c>
      <c r="BH400">
        <v>0</v>
      </c>
      <c r="BI400" t="s">
        <v>98</v>
      </c>
    </row>
    <row r="401" spans="1:61">
      <c r="A401" s="164" t="s">
        <v>1210</v>
      </c>
      <c r="B401" t="s">
        <v>1211</v>
      </c>
      <c r="C401">
        <v>0</v>
      </c>
      <c r="D401" t="s">
        <v>1212</v>
      </c>
      <c r="E401">
        <v>0</v>
      </c>
      <c r="F401" t="s">
        <v>1213</v>
      </c>
      <c r="G401" t="s">
        <v>103</v>
      </c>
      <c r="H401" t="s">
        <v>104</v>
      </c>
      <c r="I401" t="s">
        <v>80</v>
      </c>
      <c r="J401" t="s">
        <v>81</v>
      </c>
      <c r="K401" t="s">
        <v>82</v>
      </c>
      <c r="L401" t="s">
        <v>83</v>
      </c>
      <c r="M401" t="s">
        <v>84</v>
      </c>
      <c r="N401">
        <v>0.18</v>
      </c>
      <c r="O401" t="b">
        <v>1</v>
      </c>
      <c r="P401">
        <v>45</v>
      </c>
      <c r="Q401" t="s">
        <v>85</v>
      </c>
      <c r="R401" t="s">
        <v>86</v>
      </c>
      <c r="S401">
        <v>0.18</v>
      </c>
      <c r="T401">
        <v>1</v>
      </c>
      <c r="V401" t="s">
        <v>87</v>
      </c>
      <c r="W401">
        <v>125</v>
      </c>
      <c r="X401">
        <v>0.38897500000000002</v>
      </c>
      <c r="Y401">
        <v>108</v>
      </c>
      <c r="Z401">
        <v>9.2592592592592587E-3</v>
      </c>
      <c r="AA401">
        <v>30</v>
      </c>
      <c r="AB401">
        <v>0</v>
      </c>
      <c r="AC401">
        <v>500</v>
      </c>
      <c r="AD401">
        <v>2777.7777777777778</v>
      </c>
      <c r="AE401" t="s">
        <v>143</v>
      </c>
      <c r="AF401" t="s">
        <v>1214</v>
      </c>
      <c r="AG401" t="s">
        <v>1215</v>
      </c>
      <c r="AH401">
        <v>0</v>
      </c>
      <c r="AI401">
        <v>0.9</v>
      </c>
      <c r="AJ401" t="s">
        <v>91</v>
      </c>
      <c r="AK401" t="s">
        <v>92</v>
      </c>
      <c r="AL401" t="s">
        <v>93</v>
      </c>
      <c r="AM401">
        <v>0.442662</v>
      </c>
      <c r="AN401">
        <v>0</v>
      </c>
      <c r="AO401">
        <v>0.44267499999999999</v>
      </c>
      <c r="AP401">
        <v>0</v>
      </c>
      <c r="AQ401">
        <v>8.6691086691086688E-2</v>
      </c>
      <c r="AR401">
        <v>2.6666666666666505E-3</v>
      </c>
      <c r="AS401">
        <v>0</v>
      </c>
      <c r="AT401">
        <v>1.0866910866910866</v>
      </c>
      <c r="AU401">
        <v>1.0026666666666666</v>
      </c>
      <c r="AV401">
        <v>1</v>
      </c>
      <c r="AW401">
        <v>0</v>
      </c>
      <c r="AX401" t="s">
        <v>1216</v>
      </c>
      <c r="AY401">
        <v>0</v>
      </c>
      <c r="AZ401">
        <v>0</v>
      </c>
      <c r="BA401" t="s">
        <v>94</v>
      </c>
      <c r="BB401">
        <v>0</v>
      </c>
      <c r="BC401" t="s">
        <v>95</v>
      </c>
      <c r="BD401" t="s">
        <v>96</v>
      </c>
      <c r="BE401" t="s">
        <v>97</v>
      </c>
      <c r="BF401">
        <v>0</v>
      </c>
      <c r="BG401">
        <v>0</v>
      </c>
      <c r="BH401">
        <v>0</v>
      </c>
      <c r="BI401" t="s">
        <v>98</v>
      </c>
    </row>
    <row r="402" spans="1:61">
      <c r="A402" s="164" t="s">
        <v>1217</v>
      </c>
      <c r="B402" t="s">
        <v>1218</v>
      </c>
      <c r="C402">
        <v>0</v>
      </c>
      <c r="D402" t="s">
        <v>486</v>
      </c>
      <c r="E402">
        <v>0</v>
      </c>
      <c r="F402" t="s">
        <v>1219</v>
      </c>
      <c r="G402" t="s">
        <v>78</v>
      </c>
      <c r="H402" t="s">
        <v>79</v>
      </c>
      <c r="I402" t="s">
        <v>80</v>
      </c>
      <c r="J402" t="s">
        <v>163</v>
      </c>
      <c r="K402" t="s">
        <v>82</v>
      </c>
      <c r="L402" t="s">
        <v>83</v>
      </c>
      <c r="M402" t="s">
        <v>84</v>
      </c>
      <c r="N402">
        <v>0.3</v>
      </c>
      <c r="O402" t="b">
        <v>1</v>
      </c>
      <c r="P402">
        <v>60</v>
      </c>
      <c r="Q402" t="s">
        <v>137</v>
      </c>
      <c r="S402">
        <v>0.3</v>
      </c>
      <c r="T402">
        <v>1</v>
      </c>
      <c r="U402" s="36">
        <v>2.3023199999999999</v>
      </c>
      <c r="V402" t="s">
        <v>165</v>
      </c>
      <c r="X402">
        <v>0</v>
      </c>
      <c r="Y402">
        <v>30</v>
      </c>
      <c r="Z402">
        <v>3.3333333333333333E-2</v>
      </c>
      <c r="AA402">
        <v>35</v>
      </c>
      <c r="AB402">
        <v>0</v>
      </c>
      <c r="AC402">
        <v>0</v>
      </c>
      <c r="AE402" t="s">
        <v>129</v>
      </c>
      <c r="AF402" t="s">
        <v>1219</v>
      </c>
      <c r="AG402" t="s">
        <v>129</v>
      </c>
      <c r="AH402">
        <v>0</v>
      </c>
      <c r="AI402">
        <v>10.199999999999999</v>
      </c>
      <c r="AJ402" t="s">
        <v>167</v>
      </c>
      <c r="AM402">
        <v>10.38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 t="s">
        <v>1220</v>
      </c>
      <c r="AY402">
        <v>10.15</v>
      </c>
      <c r="AZ402">
        <v>0</v>
      </c>
      <c r="BA402" t="s">
        <v>138</v>
      </c>
      <c r="BB402">
        <v>4.71</v>
      </c>
      <c r="BC402" t="s">
        <v>95</v>
      </c>
      <c r="BD402" t="s">
        <v>96</v>
      </c>
      <c r="BE402" t="s">
        <v>97</v>
      </c>
      <c r="BF402">
        <v>1</v>
      </c>
      <c r="BG402">
        <v>0</v>
      </c>
      <c r="BH402">
        <v>0</v>
      </c>
      <c r="BI402" t="s">
        <v>98</v>
      </c>
    </row>
    <row r="403" spans="1:61">
      <c r="A403" s="164" t="s">
        <v>1221</v>
      </c>
      <c r="B403" t="s">
        <v>1222</v>
      </c>
      <c r="C403">
        <v>0</v>
      </c>
      <c r="D403" t="s">
        <v>486</v>
      </c>
      <c r="F403" t="s">
        <v>1223</v>
      </c>
      <c r="G403" t="s">
        <v>78</v>
      </c>
      <c r="H403" t="s">
        <v>79</v>
      </c>
      <c r="I403" t="s">
        <v>80</v>
      </c>
      <c r="J403" t="s">
        <v>163</v>
      </c>
      <c r="K403" t="s">
        <v>82</v>
      </c>
      <c r="L403" t="s">
        <v>83</v>
      </c>
      <c r="M403" t="s">
        <v>205</v>
      </c>
      <c r="N403">
        <v>1</v>
      </c>
      <c r="O403" t="b">
        <v>1</v>
      </c>
      <c r="P403">
        <v>45</v>
      </c>
      <c r="Q403" t="s">
        <v>137</v>
      </c>
      <c r="S403">
        <v>1</v>
      </c>
      <c r="U403" s="36">
        <v>6.5915400000000002</v>
      </c>
      <c r="V403" t="s">
        <v>165</v>
      </c>
      <c r="Y403">
        <v>30</v>
      </c>
      <c r="AA403">
        <v>35</v>
      </c>
      <c r="AE403" t="s">
        <v>129</v>
      </c>
      <c r="AF403" t="s">
        <v>1224</v>
      </c>
      <c r="AI403">
        <v>9.5</v>
      </c>
      <c r="AZ403">
        <v>0</v>
      </c>
      <c r="BA403" t="s">
        <v>138</v>
      </c>
      <c r="BB403">
        <v>0</v>
      </c>
      <c r="BC403" t="s">
        <v>95</v>
      </c>
      <c r="BD403" t="s">
        <v>96</v>
      </c>
      <c r="BE403" t="s">
        <v>97</v>
      </c>
      <c r="BF403">
        <v>1</v>
      </c>
      <c r="BG403">
        <v>0</v>
      </c>
      <c r="BH403">
        <v>0</v>
      </c>
      <c r="BI403" t="s">
        <v>98</v>
      </c>
    </row>
    <row r="404" spans="1:61">
      <c r="A404" s="164" t="s">
        <v>1225</v>
      </c>
      <c r="B404" t="s">
        <v>1226</v>
      </c>
      <c r="C404">
        <v>0</v>
      </c>
      <c r="D404" t="s">
        <v>76</v>
      </c>
      <c r="E404">
        <v>0</v>
      </c>
      <c r="F404" t="s">
        <v>972</v>
      </c>
      <c r="G404" t="s">
        <v>103</v>
      </c>
      <c r="H404" t="s">
        <v>104</v>
      </c>
      <c r="I404" t="s">
        <v>80</v>
      </c>
      <c r="J404" t="s">
        <v>81</v>
      </c>
      <c r="K404" t="s">
        <v>82</v>
      </c>
      <c r="L404" t="s">
        <v>83</v>
      </c>
      <c r="M404" t="s">
        <v>84</v>
      </c>
      <c r="N404">
        <v>0.95</v>
      </c>
      <c r="O404" t="b">
        <v>1</v>
      </c>
      <c r="P404">
        <v>45</v>
      </c>
      <c r="Q404" t="s">
        <v>85</v>
      </c>
      <c r="R404" t="s">
        <v>86</v>
      </c>
      <c r="S404">
        <v>0.95</v>
      </c>
      <c r="T404">
        <v>1</v>
      </c>
      <c r="U404" s="36">
        <v>1.4129999999999998</v>
      </c>
      <c r="V404" t="s">
        <v>87</v>
      </c>
      <c r="W404">
        <v>24</v>
      </c>
      <c r="X404">
        <v>0.45019999999999999</v>
      </c>
      <c r="Y404">
        <v>18</v>
      </c>
      <c r="Z404">
        <v>5.5555555555555552E-2</v>
      </c>
      <c r="AA404">
        <v>30</v>
      </c>
      <c r="AB404">
        <v>0</v>
      </c>
      <c r="AC404">
        <v>500</v>
      </c>
      <c r="AD404">
        <v>526.31578947368428</v>
      </c>
      <c r="AE404" t="s">
        <v>155</v>
      </c>
      <c r="AF404" t="s">
        <v>89</v>
      </c>
      <c r="AG404" t="s">
        <v>90</v>
      </c>
      <c r="AH404">
        <v>0</v>
      </c>
      <c r="AI404">
        <v>1</v>
      </c>
      <c r="AJ404" t="s">
        <v>91</v>
      </c>
      <c r="AK404" t="s">
        <v>92</v>
      </c>
      <c r="AL404" t="s">
        <v>93</v>
      </c>
      <c r="AM404">
        <v>0.98220000000000007</v>
      </c>
      <c r="AN404">
        <v>0</v>
      </c>
      <c r="AO404">
        <v>0</v>
      </c>
      <c r="AP404">
        <v>0</v>
      </c>
      <c r="AQ404">
        <v>8.6691086691086688E-2</v>
      </c>
      <c r="AR404">
        <v>2.6666666666666505E-3</v>
      </c>
      <c r="AS404">
        <v>0</v>
      </c>
      <c r="AT404">
        <v>1.0866910866910866</v>
      </c>
      <c r="AU404">
        <v>1.0026666666666666</v>
      </c>
      <c r="AV404">
        <v>1</v>
      </c>
      <c r="AW404">
        <v>0</v>
      </c>
      <c r="AX404" t="s">
        <v>1227</v>
      </c>
      <c r="AY404">
        <v>53.4</v>
      </c>
      <c r="AZ404">
        <v>1</v>
      </c>
      <c r="BA404" t="s">
        <v>94</v>
      </c>
      <c r="BB404">
        <v>3.17</v>
      </c>
      <c r="BC404" t="s">
        <v>95</v>
      </c>
      <c r="BD404" t="s">
        <v>96</v>
      </c>
      <c r="BE404" t="s">
        <v>97</v>
      </c>
      <c r="BF404">
        <v>0</v>
      </c>
      <c r="BG404">
        <v>0</v>
      </c>
      <c r="BH404">
        <v>0</v>
      </c>
      <c r="BI404" t="s">
        <v>98</v>
      </c>
    </row>
    <row r="405" spans="1:61">
      <c r="A405" s="164" t="s">
        <v>1228</v>
      </c>
      <c r="B405" t="s">
        <v>1229</v>
      </c>
      <c r="C405">
        <v>0</v>
      </c>
      <c r="D405" t="s">
        <v>175</v>
      </c>
      <c r="E405">
        <v>0</v>
      </c>
      <c r="F405" t="s">
        <v>844</v>
      </c>
      <c r="G405" t="s">
        <v>78</v>
      </c>
      <c r="H405" t="s">
        <v>79</v>
      </c>
      <c r="I405" t="s">
        <v>80</v>
      </c>
      <c r="J405" t="s">
        <v>163</v>
      </c>
      <c r="K405" t="s">
        <v>82</v>
      </c>
      <c r="L405" t="s">
        <v>83</v>
      </c>
      <c r="M405" t="s">
        <v>84</v>
      </c>
      <c r="N405">
        <v>1.4</v>
      </c>
      <c r="O405" t="b">
        <v>1</v>
      </c>
      <c r="P405">
        <v>40</v>
      </c>
      <c r="Q405" t="s">
        <v>137</v>
      </c>
      <c r="R405" t="s">
        <v>164</v>
      </c>
      <c r="S405">
        <v>3.5000000000000003E-2</v>
      </c>
      <c r="T405">
        <v>1</v>
      </c>
      <c r="U405" s="36">
        <v>7.3991449999999999</v>
      </c>
      <c r="V405" t="s">
        <v>165</v>
      </c>
      <c r="X405">
        <v>0</v>
      </c>
      <c r="Y405">
        <v>6</v>
      </c>
      <c r="Z405">
        <v>0</v>
      </c>
      <c r="AA405">
        <v>35</v>
      </c>
      <c r="AB405">
        <v>0</v>
      </c>
      <c r="AC405">
        <v>0</v>
      </c>
      <c r="AE405" t="s">
        <v>129</v>
      </c>
      <c r="AF405" t="s">
        <v>844</v>
      </c>
      <c r="AG405" t="s">
        <v>129</v>
      </c>
      <c r="AH405">
        <v>0</v>
      </c>
      <c r="AI405">
        <v>9.4</v>
      </c>
      <c r="AJ405" t="s">
        <v>493</v>
      </c>
      <c r="AM405">
        <v>9.66</v>
      </c>
      <c r="AN405">
        <v>0</v>
      </c>
      <c r="AO405">
        <v>0</v>
      </c>
      <c r="AP405">
        <v>0</v>
      </c>
      <c r="AQ405">
        <v>4.8346055979643761E-2</v>
      </c>
      <c r="AR405">
        <v>0</v>
      </c>
      <c r="AS405">
        <v>0</v>
      </c>
      <c r="AT405">
        <v>1.0483460559796438</v>
      </c>
      <c r="AU405">
        <v>0</v>
      </c>
      <c r="AV405">
        <v>0</v>
      </c>
      <c r="AW405">
        <v>0</v>
      </c>
      <c r="AX405" t="s">
        <v>1230</v>
      </c>
      <c r="AY405">
        <v>2.2183000000000002</v>
      </c>
      <c r="AZ405">
        <v>0</v>
      </c>
      <c r="BA405" t="s">
        <v>138</v>
      </c>
      <c r="BB405">
        <v>12.18</v>
      </c>
      <c r="BC405" t="s">
        <v>95</v>
      </c>
      <c r="BD405" t="s">
        <v>96</v>
      </c>
      <c r="BE405" t="s">
        <v>97</v>
      </c>
      <c r="BF405">
        <v>1</v>
      </c>
      <c r="BG405">
        <v>0</v>
      </c>
      <c r="BH405">
        <v>0</v>
      </c>
      <c r="BI405" t="s">
        <v>98</v>
      </c>
    </row>
    <row r="406" spans="1:61">
      <c r="A406" s="164" t="s">
        <v>1231</v>
      </c>
      <c r="B406" t="s">
        <v>1232</v>
      </c>
      <c r="C406">
        <v>0</v>
      </c>
      <c r="D406" t="s">
        <v>107</v>
      </c>
      <c r="E406">
        <v>0</v>
      </c>
      <c r="F406" t="s">
        <v>558</v>
      </c>
      <c r="G406" t="s">
        <v>103</v>
      </c>
      <c r="H406" t="s">
        <v>104</v>
      </c>
      <c r="I406" t="s">
        <v>80</v>
      </c>
      <c r="J406" t="s">
        <v>81</v>
      </c>
      <c r="K406" t="s">
        <v>82</v>
      </c>
      <c r="L406" t="s">
        <v>83</v>
      </c>
      <c r="M406" t="s">
        <v>84</v>
      </c>
      <c r="N406">
        <v>1.7</v>
      </c>
      <c r="O406" t="b">
        <v>1</v>
      </c>
      <c r="P406">
        <v>45</v>
      </c>
      <c r="Q406" t="s">
        <v>85</v>
      </c>
      <c r="R406" t="s">
        <v>86</v>
      </c>
      <c r="S406">
        <v>1.7</v>
      </c>
      <c r="T406">
        <v>1</v>
      </c>
      <c r="U406" s="36">
        <v>2.1136399999999997</v>
      </c>
      <c r="V406" t="s">
        <v>87</v>
      </c>
      <c r="W406">
        <v>24</v>
      </c>
      <c r="X406">
        <v>0.45019999999999999</v>
      </c>
      <c r="Y406">
        <v>12</v>
      </c>
      <c r="Z406">
        <v>8.3333333333333329E-2</v>
      </c>
      <c r="AA406">
        <v>30</v>
      </c>
      <c r="AB406">
        <v>0</v>
      </c>
      <c r="AC406">
        <v>540</v>
      </c>
      <c r="AD406">
        <v>317.64705882352939</v>
      </c>
      <c r="AE406" t="s">
        <v>155</v>
      </c>
      <c r="AF406" t="s">
        <v>559</v>
      </c>
      <c r="AG406" t="s">
        <v>560</v>
      </c>
      <c r="AH406">
        <v>0</v>
      </c>
      <c r="AI406">
        <v>0.9</v>
      </c>
      <c r="AJ406" t="s">
        <v>91</v>
      </c>
      <c r="AK406" t="s">
        <v>92</v>
      </c>
      <c r="AL406" t="s">
        <v>93</v>
      </c>
      <c r="AM406">
        <v>0.33138777777777773</v>
      </c>
      <c r="AN406">
        <v>0.22092518518518517</v>
      </c>
      <c r="AO406">
        <v>0.34243403703703701</v>
      </c>
      <c r="AP406">
        <v>0</v>
      </c>
      <c r="AQ406">
        <v>8.6691086691086688E-2</v>
      </c>
      <c r="AR406">
        <v>2.6666666666666505E-3</v>
      </c>
      <c r="AS406">
        <v>0</v>
      </c>
      <c r="AT406">
        <v>1.0866910866910866</v>
      </c>
      <c r="AU406">
        <v>1.0026666666666666</v>
      </c>
      <c r="AV406">
        <v>1</v>
      </c>
      <c r="AW406">
        <v>0</v>
      </c>
      <c r="AX406" t="s">
        <v>1233</v>
      </c>
      <c r="AY406">
        <v>83.4</v>
      </c>
      <c r="AZ406">
        <v>5</v>
      </c>
      <c r="BA406" t="s">
        <v>94</v>
      </c>
      <c r="BB406">
        <v>4.68</v>
      </c>
      <c r="BC406" t="s">
        <v>95</v>
      </c>
      <c r="BD406" t="s">
        <v>96</v>
      </c>
      <c r="BE406" t="s">
        <v>97</v>
      </c>
      <c r="BF406">
        <v>0</v>
      </c>
      <c r="BG406">
        <v>0</v>
      </c>
      <c r="BH406">
        <v>0</v>
      </c>
      <c r="BI406" t="s">
        <v>98</v>
      </c>
    </row>
    <row r="407" spans="1:61">
      <c r="A407" s="164" t="s">
        <v>1234</v>
      </c>
      <c r="B407" t="s">
        <v>1235</v>
      </c>
      <c r="C407">
        <v>0</v>
      </c>
      <c r="D407" t="s">
        <v>107</v>
      </c>
      <c r="E407">
        <v>0</v>
      </c>
      <c r="F407" t="s">
        <v>558</v>
      </c>
      <c r="G407" t="s">
        <v>103</v>
      </c>
      <c r="H407" t="s">
        <v>104</v>
      </c>
      <c r="I407" t="s">
        <v>80</v>
      </c>
      <c r="J407" t="s">
        <v>81</v>
      </c>
      <c r="K407" t="s">
        <v>82</v>
      </c>
      <c r="L407" t="s">
        <v>83</v>
      </c>
      <c r="M407" t="s">
        <v>84</v>
      </c>
      <c r="N407">
        <v>1.7</v>
      </c>
      <c r="O407" t="b">
        <v>1</v>
      </c>
      <c r="P407">
        <v>45</v>
      </c>
      <c r="Q407" t="s">
        <v>85</v>
      </c>
      <c r="R407" t="s">
        <v>86</v>
      </c>
      <c r="S407">
        <v>1.7</v>
      </c>
      <c r="T407">
        <v>1</v>
      </c>
      <c r="U407" s="36">
        <v>1.72478</v>
      </c>
      <c r="V407" t="s">
        <v>87</v>
      </c>
      <c r="W407">
        <v>24</v>
      </c>
      <c r="X407">
        <v>0.45019999999999999</v>
      </c>
      <c r="Y407">
        <v>12</v>
      </c>
      <c r="Z407">
        <v>8.3333333333333329E-2</v>
      </c>
      <c r="AA407">
        <v>30</v>
      </c>
      <c r="AB407">
        <v>0</v>
      </c>
      <c r="AC407">
        <v>540</v>
      </c>
      <c r="AD407">
        <v>317.64705882352939</v>
      </c>
      <c r="AE407" t="s">
        <v>155</v>
      </c>
      <c r="AF407" t="s">
        <v>559</v>
      </c>
      <c r="AG407" t="s">
        <v>560</v>
      </c>
      <c r="AH407">
        <v>0</v>
      </c>
      <c r="AI407">
        <v>0.9</v>
      </c>
      <c r="AJ407" t="s">
        <v>91</v>
      </c>
      <c r="AK407" t="s">
        <v>92</v>
      </c>
      <c r="AL407" t="s">
        <v>93</v>
      </c>
      <c r="AM407">
        <v>0.33138777777777773</v>
      </c>
      <c r="AN407">
        <v>0.22092518518518517</v>
      </c>
      <c r="AO407">
        <v>0.34243403703703701</v>
      </c>
      <c r="AP407">
        <v>0</v>
      </c>
      <c r="AQ407">
        <v>8.6691086691086688E-2</v>
      </c>
      <c r="AR407">
        <v>2.6666666666666505E-3</v>
      </c>
      <c r="AS407">
        <v>0</v>
      </c>
      <c r="AT407">
        <v>1.0866910866910866</v>
      </c>
      <c r="AU407">
        <v>1.0026666666666666</v>
      </c>
      <c r="AV407">
        <v>1</v>
      </c>
      <c r="AW407">
        <v>0</v>
      </c>
      <c r="AX407" t="s">
        <v>1236</v>
      </c>
      <c r="AY407">
        <v>83.4</v>
      </c>
      <c r="AZ407">
        <v>2</v>
      </c>
      <c r="BA407" t="s">
        <v>94</v>
      </c>
      <c r="BB407">
        <v>4.68</v>
      </c>
      <c r="BC407" t="s">
        <v>95</v>
      </c>
      <c r="BD407" t="s">
        <v>96</v>
      </c>
      <c r="BE407" t="s">
        <v>97</v>
      </c>
      <c r="BF407">
        <v>0</v>
      </c>
      <c r="BG407">
        <v>0</v>
      </c>
      <c r="BH407">
        <v>0</v>
      </c>
      <c r="BI407" t="s">
        <v>98</v>
      </c>
    </row>
    <row r="408" spans="1:61">
      <c r="A408" s="164" t="s">
        <v>1237</v>
      </c>
      <c r="B408" t="s">
        <v>1238</v>
      </c>
      <c r="C408">
        <v>0</v>
      </c>
      <c r="D408" t="s">
        <v>101</v>
      </c>
      <c r="E408">
        <v>0</v>
      </c>
      <c r="F408" t="s">
        <v>102</v>
      </c>
      <c r="G408" t="s">
        <v>78</v>
      </c>
      <c r="H408" t="s">
        <v>79</v>
      </c>
      <c r="I408" t="s">
        <v>80</v>
      </c>
      <c r="J408" t="s">
        <v>774</v>
      </c>
      <c r="K408" t="s">
        <v>565</v>
      </c>
      <c r="L408" t="s">
        <v>83</v>
      </c>
      <c r="M408" t="s">
        <v>84</v>
      </c>
      <c r="N408">
        <v>0.68</v>
      </c>
      <c r="O408" t="b">
        <v>1</v>
      </c>
      <c r="P408">
        <v>45</v>
      </c>
      <c r="Q408" t="s">
        <v>85</v>
      </c>
      <c r="R408" t="s">
        <v>86</v>
      </c>
      <c r="S408">
        <v>0.68</v>
      </c>
      <c r="T408">
        <v>1</v>
      </c>
      <c r="U408" s="36">
        <v>1.3252700000000002</v>
      </c>
      <c r="V408" t="s">
        <v>87</v>
      </c>
      <c r="W408">
        <v>0</v>
      </c>
      <c r="X408">
        <v>0</v>
      </c>
      <c r="Y408">
        <v>8</v>
      </c>
      <c r="Z408">
        <v>0.125</v>
      </c>
      <c r="AA408">
        <v>30</v>
      </c>
      <c r="AB408">
        <v>0</v>
      </c>
      <c r="AC408">
        <v>0</v>
      </c>
      <c r="AD408">
        <v>0</v>
      </c>
      <c r="AG408" t="s">
        <v>129</v>
      </c>
      <c r="AH408">
        <v>0</v>
      </c>
      <c r="AI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 t="s">
        <v>1239</v>
      </c>
      <c r="AY408">
        <v>5.0999999999999996</v>
      </c>
      <c r="AZ408">
        <v>0</v>
      </c>
      <c r="BA408" t="s">
        <v>94</v>
      </c>
      <c r="BB408">
        <v>2.86</v>
      </c>
      <c r="BC408" t="s">
        <v>95</v>
      </c>
      <c r="BD408" t="s">
        <v>139</v>
      </c>
      <c r="BE408" t="s">
        <v>97</v>
      </c>
      <c r="BF408">
        <v>1</v>
      </c>
      <c r="BG408">
        <v>0</v>
      </c>
      <c r="BH408">
        <v>0</v>
      </c>
      <c r="BI408" t="s">
        <v>98</v>
      </c>
    </row>
    <row r="409" spans="1:61">
      <c r="A409" s="164" t="s">
        <v>1240</v>
      </c>
      <c r="B409" t="s">
        <v>1241</v>
      </c>
      <c r="C409">
        <v>0</v>
      </c>
      <c r="D409" t="s">
        <v>107</v>
      </c>
      <c r="E409">
        <v>0</v>
      </c>
      <c r="F409" t="s">
        <v>1207</v>
      </c>
      <c r="G409" t="s">
        <v>1242</v>
      </c>
      <c r="H409" t="s">
        <v>117</v>
      </c>
      <c r="I409" t="s">
        <v>80</v>
      </c>
      <c r="J409" t="s">
        <v>81</v>
      </c>
      <c r="K409" t="s">
        <v>82</v>
      </c>
      <c r="L409" t="s">
        <v>83</v>
      </c>
      <c r="M409" t="s">
        <v>84</v>
      </c>
      <c r="N409">
        <v>0.18</v>
      </c>
      <c r="O409" t="b">
        <v>1</v>
      </c>
      <c r="P409">
        <v>45</v>
      </c>
      <c r="Q409" t="s">
        <v>85</v>
      </c>
      <c r="V409" t="s">
        <v>87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G409" t="s">
        <v>129</v>
      </c>
      <c r="AH409">
        <v>0</v>
      </c>
      <c r="AI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 t="s">
        <v>1243</v>
      </c>
      <c r="AY409">
        <v>0</v>
      </c>
      <c r="AZ409">
        <v>0</v>
      </c>
      <c r="BA409" t="s">
        <v>94</v>
      </c>
      <c r="BB409">
        <v>0</v>
      </c>
      <c r="BC409" t="s">
        <v>488</v>
      </c>
      <c r="BD409" t="s">
        <v>489</v>
      </c>
      <c r="BE409" t="s">
        <v>97</v>
      </c>
      <c r="BF409">
        <v>0</v>
      </c>
      <c r="BG409">
        <v>0</v>
      </c>
      <c r="BH409">
        <v>0</v>
      </c>
      <c r="BI409" t="s">
        <v>98</v>
      </c>
    </row>
    <row r="410" spans="1:61">
      <c r="A410" s="164" t="s">
        <v>1244</v>
      </c>
      <c r="B410" t="s">
        <v>1245</v>
      </c>
      <c r="C410">
        <v>0</v>
      </c>
      <c r="D410" t="s">
        <v>107</v>
      </c>
      <c r="E410">
        <v>0</v>
      </c>
      <c r="F410" t="s">
        <v>120</v>
      </c>
      <c r="G410" t="s">
        <v>78</v>
      </c>
      <c r="H410" t="s">
        <v>79</v>
      </c>
      <c r="I410" t="s">
        <v>80</v>
      </c>
      <c r="J410" t="s">
        <v>81</v>
      </c>
      <c r="K410" t="s">
        <v>82</v>
      </c>
      <c r="L410" t="s">
        <v>83</v>
      </c>
      <c r="M410" t="s">
        <v>84</v>
      </c>
      <c r="N410">
        <v>0.4</v>
      </c>
      <c r="O410" t="b">
        <v>1</v>
      </c>
      <c r="P410">
        <v>45</v>
      </c>
      <c r="Q410" t="s">
        <v>85</v>
      </c>
      <c r="S410">
        <v>0.4</v>
      </c>
      <c r="U410" s="36">
        <v>1.0693199999999998</v>
      </c>
      <c r="V410" t="s">
        <v>87</v>
      </c>
      <c r="AF410" t="s">
        <v>121</v>
      </c>
      <c r="AI410">
        <v>0.9</v>
      </c>
      <c r="AZ410">
        <v>0</v>
      </c>
      <c r="BA410" t="s">
        <v>94</v>
      </c>
      <c r="BB410">
        <v>2.89</v>
      </c>
      <c r="BC410" t="s">
        <v>95</v>
      </c>
      <c r="BD410" t="s">
        <v>96</v>
      </c>
      <c r="BE410" t="s">
        <v>97</v>
      </c>
      <c r="BF410">
        <v>1</v>
      </c>
      <c r="BG410">
        <v>0</v>
      </c>
      <c r="BH410">
        <v>0</v>
      </c>
      <c r="BI410" t="s">
        <v>98</v>
      </c>
    </row>
    <row r="411" spans="1:61">
      <c r="A411" s="164" t="s">
        <v>1246</v>
      </c>
      <c r="B411" t="s">
        <v>1247</v>
      </c>
      <c r="C411">
        <v>0</v>
      </c>
      <c r="D411" t="s">
        <v>486</v>
      </c>
      <c r="E411">
        <v>0</v>
      </c>
      <c r="F411" t="s">
        <v>1248</v>
      </c>
      <c r="G411" t="s">
        <v>78</v>
      </c>
      <c r="H411" t="s">
        <v>79</v>
      </c>
      <c r="I411" t="s">
        <v>80</v>
      </c>
      <c r="J411" t="s">
        <v>163</v>
      </c>
      <c r="K411" t="s">
        <v>82</v>
      </c>
      <c r="L411" t="s">
        <v>83</v>
      </c>
      <c r="M411" t="s">
        <v>84</v>
      </c>
      <c r="N411">
        <v>0.3</v>
      </c>
      <c r="O411" t="b">
        <v>1</v>
      </c>
      <c r="P411">
        <v>90</v>
      </c>
      <c r="Q411" t="s">
        <v>137</v>
      </c>
      <c r="S411">
        <v>0.3</v>
      </c>
      <c r="T411">
        <v>1</v>
      </c>
      <c r="U411" s="36">
        <v>2.93831</v>
      </c>
      <c r="V411" t="s">
        <v>165</v>
      </c>
      <c r="X411">
        <v>0</v>
      </c>
      <c r="Y411">
        <v>10</v>
      </c>
      <c r="Z411">
        <v>0.1</v>
      </c>
      <c r="AA411">
        <v>35</v>
      </c>
      <c r="AB411">
        <v>0</v>
      </c>
      <c r="AC411">
        <v>0</v>
      </c>
      <c r="AE411" t="s">
        <v>129</v>
      </c>
      <c r="AF411" t="s">
        <v>1248</v>
      </c>
      <c r="AG411" t="s">
        <v>129</v>
      </c>
      <c r="AH411">
        <v>0</v>
      </c>
      <c r="AI411">
        <v>13.4</v>
      </c>
      <c r="AJ411" t="s">
        <v>177</v>
      </c>
      <c r="AM411">
        <v>13.87</v>
      </c>
      <c r="AN411">
        <v>0</v>
      </c>
      <c r="AO411">
        <v>0</v>
      </c>
      <c r="AP411">
        <v>0</v>
      </c>
      <c r="AQ411">
        <v>2.8571428571428564E-2</v>
      </c>
      <c r="AR411">
        <v>0</v>
      </c>
      <c r="AS411">
        <v>0</v>
      </c>
      <c r="AT411">
        <v>1.0285714285714285</v>
      </c>
      <c r="AU411">
        <v>0</v>
      </c>
      <c r="AV411">
        <v>0</v>
      </c>
      <c r="AW411">
        <v>0</v>
      </c>
      <c r="AX411" t="s">
        <v>1249</v>
      </c>
      <c r="AY411">
        <v>24.505500000000001</v>
      </c>
      <c r="AZ411">
        <v>0</v>
      </c>
      <c r="BA411" t="s">
        <v>138</v>
      </c>
      <c r="BB411">
        <v>7.86</v>
      </c>
      <c r="BC411" t="s">
        <v>95</v>
      </c>
      <c r="BD411" t="s">
        <v>96</v>
      </c>
      <c r="BE411" t="s">
        <v>97</v>
      </c>
      <c r="BF411">
        <v>1</v>
      </c>
      <c r="BG411">
        <v>0</v>
      </c>
      <c r="BH411">
        <v>0</v>
      </c>
      <c r="BI411" t="s">
        <v>98</v>
      </c>
    </row>
    <row r="412" spans="1:61">
      <c r="A412" s="164" t="s">
        <v>1250</v>
      </c>
      <c r="B412" t="s">
        <v>1251</v>
      </c>
      <c r="C412">
        <v>0</v>
      </c>
      <c r="D412" t="s">
        <v>194</v>
      </c>
      <c r="E412">
        <v>0</v>
      </c>
      <c r="F412" t="s">
        <v>195</v>
      </c>
      <c r="G412" t="s">
        <v>78</v>
      </c>
      <c r="H412" t="s">
        <v>79</v>
      </c>
      <c r="I412" t="s">
        <v>80</v>
      </c>
      <c r="J412" t="s">
        <v>196</v>
      </c>
      <c r="K412" t="s">
        <v>13</v>
      </c>
      <c r="L412" t="s">
        <v>83</v>
      </c>
      <c r="M412" t="s">
        <v>84</v>
      </c>
      <c r="N412">
        <v>1</v>
      </c>
      <c r="O412" t="b">
        <v>1</v>
      </c>
      <c r="P412">
        <v>0</v>
      </c>
      <c r="BB412">
        <v>0</v>
      </c>
      <c r="BC412" t="s">
        <v>197</v>
      </c>
      <c r="BD412" t="s">
        <v>198</v>
      </c>
      <c r="BE412" t="s">
        <v>117</v>
      </c>
      <c r="BF412">
        <v>0</v>
      </c>
      <c r="BG412">
        <v>0</v>
      </c>
      <c r="BH412">
        <v>0</v>
      </c>
    </row>
    <row r="413" spans="1:61">
      <c r="A413" s="164" t="s">
        <v>1252</v>
      </c>
      <c r="B413" t="s">
        <v>1253</v>
      </c>
      <c r="C413">
        <v>0</v>
      </c>
      <c r="D413" t="s">
        <v>194</v>
      </c>
      <c r="E413">
        <v>0</v>
      </c>
      <c r="F413" t="s">
        <v>195</v>
      </c>
      <c r="G413" t="s">
        <v>78</v>
      </c>
      <c r="H413" t="s">
        <v>79</v>
      </c>
      <c r="I413" t="s">
        <v>80</v>
      </c>
      <c r="J413" t="s">
        <v>196</v>
      </c>
      <c r="K413" t="s">
        <v>13</v>
      </c>
      <c r="L413" t="s">
        <v>83</v>
      </c>
      <c r="M413" t="s">
        <v>84</v>
      </c>
      <c r="N413">
        <v>1</v>
      </c>
      <c r="O413" t="b">
        <v>1</v>
      </c>
      <c r="P413">
        <v>0</v>
      </c>
      <c r="BB413">
        <v>0</v>
      </c>
      <c r="BC413" t="s">
        <v>197</v>
      </c>
      <c r="BD413" t="s">
        <v>198</v>
      </c>
      <c r="BE413" t="s">
        <v>117</v>
      </c>
      <c r="BF413">
        <v>0</v>
      </c>
      <c r="BG413">
        <v>0</v>
      </c>
      <c r="BH413">
        <v>0</v>
      </c>
    </row>
    <row r="414" spans="1:61">
      <c r="A414" s="164" t="s">
        <v>1254</v>
      </c>
      <c r="B414" t="s">
        <v>1255</v>
      </c>
      <c r="C414">
        <v>0</v>
      </c>
      <c r="D414" t="s">
        <v>194</v>
      </c>
      <c r="E414">
        <v>0</v>
      </c>
      <c r="F414" t="s">
        <v>195</v>
      </c>
      <c r="G414" t="s">
        <v>78</v>
      </c>
      <c r="H414" t="s">
        <v>79</v>
      </c>
      <c r="I414" t="s">
        <v>80</v>
      </c>
      <c r="J414" t="s">
        <v>196</v>
      </c>
      <c r="K414" t="s">
        <v>13</v>
      </c>
      <c r="L414" t="s">
        <v>83</v>
      </c>
      <c r="M414" t="s">
        <v>84</v>
      </c>
      <c r="N414">
        <v>1</v>
      </c>
      <c r="O414" t="b">
        <v>1</v>
      </c>
      <c r="P414">
        <v>0</v>
      </c>
      <c r="BB414">
        <v>0</v>
      </c>
      <c r="BC414" t="s">
        <v>197</v>
      </c>
      <c r="BD414" t="s">
        <v>198</v>
      </c>
      <c r="BE414" t="s">
        <v>117</v>
      </c>
      <c r="BF414">
        <v>0</v>
      </c>
      <c r="BG414">
        <v>0</v>
      </c>
      <c r="BH414">
        <v>0</v>
      </c>
    </row>
    <row r="415" spans="1:61">
      <c r="A415" s="164" t="s">
        <v>1256</v>
      </c>
      <c r="B415" t="s">
        <v>1257</v>
      </c>
      <c r="C415">
        <v>0</v>
      </c>
      <c r="D415" t="s">
        <v>194</v>
      </c>
      <c r="E415">
        <v>0</v>
      </c>
      <c r="F415" t="s">
        <v>195</v>
      </c>
      <c r="G415" t="s">
        <v>78</v>
      </c>
      <c r="H415" t="s">
        <v>79</v>
      </c>
      <c r="I415" t="s">
        <v>80</v>
      </c>
      <c r="J415" t="s">
        <v>196</v>
      </c>
      <c r="K415" t="s">
        <v>13</v>
      </c>
      <c r="L415" t="s">
        <v>83</v>
      </c>
      <c r="M415" t="s">
        <v>84</v>
      </c>
      <c r="N415">
        <v>1</v>
      </c>
      <c r="O415" t="b">
        <v>1</v>
      </c>
      <c r="P415">
        <v>0</v>
      </c>
      <c r="BB415">
        <v>0</v>
      </c>
      <c r="BC415" t="s">
        <v>197</v>
      </c>
      <c r="BD415" t="s">
        <v>198</v>
      </c>
      <c r="BE415" t="s">
        <v>117</v>
      </c>
      <c r="BF415">
        <v>0</v>
      </c>
      <c r="BG415">
        <v>0</v>
      </c>
      <c r="BH415">
        <v>0</v>
      </c>
    </row>
    <row r="416" spans="1:61">
      <c r="A416" s="164" t="s">
        <v>1258</v>
      </c>
      <c r="B416" t="s">
        <v>1259</v>
      </c>
      <c r="C416">
        <v>0</v>
      </c>
      <c r="D416" t="s">
        <v>194</v>
      </c>
      <c r="E416">
        <v>0</v>
      </c>
      <c r="F416" t="s">
        <v>195</v>
      </c>
      <c r="G416" t="s">
        <v>78</v>
      </c>
      <c r="H416" t="s">
        <v>79</v>
      </c>
      <c r="I416" t="s">
        <v>80</v>
      </c>
      <c r="J416" t="s">
        <v>196</v>
      </c>
      <c r="K416" t="s">
        <v>13</v>
      </c>
      <c r="L416" t="s">
        <v>83</v>
      </c>
      <c r="M416" t="s">
        <v>205</v>
      </c>
      <c r="N416">
        <v>1</v>
      </c>
      <c r="O416" t="b">
        <v>1</v>
      </c>
      <c r="P416">
        <v>0</v>
      </c>
      <c r="BB416">
        <v>0</v>
      </c>
      <c r="BC416" t="s">
        <v>197</v>
      </c>
      <c r="BD416" t="s">
        <v>198</v>
      </c>
      <c r="BE416" t="s">
        <v>117</v>
      </c>
      <c r="BF416">
        <v>0</v>
      </c>
      <c r="BG416">
        <v>0</v>
      </c>
      <c r="BH416">
        <v>0</v>
      </c>
    </row>
    <row r="417" spans="1:60">
      <c r="A417" s="164" t="s">
        <v>1260</v>
      </c>
      <c r="B417" t="s">
        <v>1261</v>
      </c>
      <c r="C417">
        <v>0</v>
      </c>
      <c r="D417" t="s">
        <v>194</v>
      </c>
      <c r="E417">
        <v>0</v>
      </c>
      <c r="F417" t="s">
        <v>195</v>
      </c>
      <c r="G417" t="s">
        <v>78</v>
      </c>
      <c r="H417" t="s">
        <v>79</v>
      </c>
      <c r="I417" t="s">
        <v>80</v>
      </c>
      <c r="J417" t="s">
        <v>196</v>
      </c>
      <c r="K417" t="s">
        <v>13</v>
      </c>
      <c r="L417" t="s">
        <v>83</v>
      </c>
      <c r="M417" t="s">
        <v>205</v>
      </c>
      <c r="N417">
        <v>1</v>
      </c>
      <c r="O417" t="b">
        <v>1</v>
      </c>
      <c r="P417">
        <v>0</v>
      </c>
      <c r="BB417">
        <v>0</v>
      </c>
      <c r="BC417" t="s">
        <v>197</v>
      </c>
      <c r="BD417" t="s">
        <v>198</v>
      </c>
      <c r="BE417" t="s">
        <v>117</v>
      </c>
      <c r="BF417">
        <v>0</v>
      </c>
      <c r="BG417">
        <v>0</v>
      </c>
      <c r="BH417">
        <v>0</v>
      </c>
    </row>
    <row r="418" spans="1:60">
      <c r="A418" s="164" t="s">
        <v>1262</v>
      </c>
      <c r="B418" t="s">
        <v>1263</v>
      </c>
      <c r="C418">
        <v>0</v>
      </c>
      <c r="D418" t="s">
        <v>194</v>
      </c>
      <c r="E418">
        <v>0</v>
      </c>
      <c r="F418" t="s">
        <v>1264</v>
      </c>
      <c r="G418" t="s">
        <v>78</v>
      </c>
      <c r="H418" t="s">
        <v>79</v>
      </c>
      <c r="I418" t="s">
        <v>80</v>
      </c>
      <c r="J418" t="s">
        <v>196</v>
      </c>
      <c r="K418" t="s">
        <v>13</v>
      </c>
      <c r="L418" t="s">
        <v>83</v>
      </c>
      <c r="M418" t="s">
        <v>84</v>
      </c>
      <c r="N418">
        <v>1</v>
      </c>
      <c r="O418" t="b">
        <v>1</v>
      </c>
      <c r="P418">
        <v>0</v>
      </c>
      <c r="BB418">
        <v>0</v>
      </c>
      <c r="BC418" t="s">
        <v>197</v>
      </c>
      <c r="BD418" t="s">
        <v>1265</v>
      </c>
      <c r="BE418" t="s">
        <v>117</v>
      </c>
      <c r="BF418">
        <v>0</v>
      </c>
      <c r="BG418">
        <v>0</v>
      </c>
      <c r="BH418">
        <v>0</v>
      </c>
    </row>
    <row r="419" spans="1:60">
      <c r="A419" s="164" t="s">
        <v>1266</v>
      </c>
      <c r="B419" t="s">
        <v>1267</v>
      </c>
      <c r="C419">
        <v>0</v>
      </c>
      <c r="D419" t="s">
        <v>194</v>
      </c>
      <c r="E419">
        <v>0</v>
      </c>
      <c r="F419" t="s">
        <v>214</v>
      </c>
      <c r="G419" t="s">
        <v>78</v>
      </c>
      <c r="H419" t="s">
        <v>79</v>
      </c>
      <c r="I419" t="s">
        <v>80</v>
      </c>
      <c r="J419" t="s">
        <v>196</v>
      </c>
      <c r="K419" t="s">
        <v>13</v>
      </c>
      <c r="L419" t="s">
        <v>83</v>
      </c>
      <c r="M419" t="s">
        <v>84</v>
      </c>
      <c r="N419">
        <v>1</v>
      </c>
      <c r="O419" t="b">
        <v>1</v>
      </c>
      <c r="P419">
        <v>0</v>
      </c>
      <c r="BB419">
        <v>0</v>
      </c>
      <c r="BC419" t="s">
        <v>197</v>
      </c>
      <c r="BD419" t="s">
        <v>216</v>
      </c>
      <c r="BE419" t="s">
        <v>117</v>
      </c>
      <c r="BF419">
        <v>0</v>
      </c>
      <c r="BG419">
        <v>0</v>
      </c>
      <c r="BH419">
        <v>0</v>
      </c>
    </row>
    <row r="420" spans="1:60">
      <c r="A420" s="164" t="s">
        <v>1268</v>
      </c>
      <c r="B420" t="s">
        <v>1269</v>
      </c>
      <c r="C420">
        <v>0</v>
      </c>
      <c r="D420" t="s">
        <v>194</v>
      </c>
      <c r="E420">
        <v>0</v>
      </c>
      <c r="F420" t="s">
        <v>195</v>
      </c>
      <c r="G420" t="s">
        <v>78</v>
      </c>
      <c r="H420" t="s">
        <v>79</v>
      </c>
      <c r="I420" t="s">
        <v>80</v>
      </c>
      <c r="J420" t="s">
        <v>196</v>
      </c>
      <c r="K420" t="s">
        <v>13</v>
      </c>
      <c r="L420" t="s">
        <v>83</v>
      </c>
      <c r="M420" t="s">
        <v>84</v>
      </c>
      <c r="N420">
        <v>1</v>
      </c>
      <c r="O420" t="b">
        <v>1</v>
      </c>
      <c r="P420">
        <v>0</v>
      </c>
      <c r="BB420">
        <v>0</v>
      </c>
      <c r="BC420" t="s">
        <v>197</v>
      </c>
      <c r="BD420" t="s">
        <v>198</v>
      </c>
      <c r="BE420" t="s">
        <v>117</v>
      </c>
      <c r="BF420">
        <v>0</v>
      </c>
      <c r="BG420">
        <v>0</v>
      </c>
      <c r="BH420">
        <v>0</v>
      </c>
    </row>
    <row r="421" spans="1:60">
      <c r="A421" s="164" t="s">
        <v>1270</v>
      </c>
      <c r="B421" t="s">
        <v>1271</v>
      </c>
      <c r="C421">
        <v>0</v>
      </c>
      <c r="D421" t="s">
        <v>194</v>
      </c>
      <c r="E421">
        <v>0</v>
      </c>
      <c r="F421" t="s">
        <v>195</v>
      </c>
      <c r="G421" t="s">
        <v>78</v>
      </c>
      <c r="H421" t="s">
        <v>79</v>
      </c>
      <c r="I421" t="s">
        <v>80</v>
      </c>
      <c r="J421" t="s">
        <v>196</v>
      </c>
      <c r="K421" t="s">
        <v>13</v>
      </c>
      <c r="L421" t="s">
        <v>83</v>
      </c>
      <c r="M421" t="s">
        <v>84</v>
      </c>
      <c r="N421">
        <v>1</v>
      </c>
      <c r="O421" t="b">
        <v>1</v>
      </c>
      <c r="P421">
        <v>0</v>
      </c>
      <c r="BB421">
        <v>0</v>
      </c>
      <c r="BC421" t="s">
        <v>197</v>
      </c>
      <c r="BD421" t="s">
        <v>198</v>
      </c>
      <c r="BE421" t="s">
        <v>117</v>
      </c>
      <c r="BF421">
        <v>0</v>
      </c>
      <c r="BG421">
        <v>0</v>
      </c>
      <c r="BH421">
        <v>0</v>
      </c>
    </row>
    <row r="422" spans="1:60">
      <c r="A422" s="164" t="s">
        <v>1272</v>
      </c>
      <c r="B422" t="s">
        <v>1273</v>
      </c>
      <c r="C422">
        <v>0</v>
      </c>
      <c r="D422" t="s">
        <v>194</v>
      </c>
      <c r="E422">
        <v>0</v>
      </c>
      <c r="F422" t="s">
        <v>195</v>
      </c>
      <c r="G422" t="s">
        <v>78</v>
      </c>
      <c r="H422" t="s">
        <v>79</v>
      </c>
      <c r="I422" t="s">
        <v>80</v>
      </c>
      <c r="J422" t="s">
        <v>196</v>
      </c>
      <c r="K422" t="s">
        <v>13</v>
      </c>
      <c r="L422" t="s">
        <v>83</v>
      </c>
      <c r="M422" t="s">
        <v>84</v>
      </c>
      <c r="N422">
        <v>1</v>
      </c>
      <c r="O422" t="b">
        <v>1</v>
      </c>
      <c r="P422">
        <v>0</v>
      </c>
      <c r="BB422">
        <v>0</v>
      </c>
      <c r="BC422" t="s">
        <v>197</v>
      </c>
      <c r="BD422" t="s">
        <v>198</v>
      </c>
      <c r="BE422" t="s">
        <v>117</v>
      </c>
      <c r="BF422">
        <v>0</v>
      </c>
      <c r="BG422">
        <v>0</v>
      </c>
      <c r="BH422">
        <v>0</v>
      </c>
    </row>
    <row r="423" spans="1:60">
      <c r="A423" s="164" t="s">
        <v>1274</v>
      </c>
      <c r="B423" t="s">
        <v>1275</v>
      </c>
      <c r="C423">
        <v>0</v>
      </c>
      <c r="D423" t="s">
        <v>194</v>
      </c>
      <c r="E423">
        <v>0</v>
      </c>
      <c r="F423" t="s">
        <v>195</v>
      </c>
      <c r="G423" t="s">
        <v>78</v>
      </c>
      <c r="H423" t="s">
        <v>79</v>
      </c>
      <c r="I423" t="s">
        <v>80</v>
      </c>
      <c r="J423" t="s">
        <v>196</v>
      </c>
      <c r="K423" t="s">
        <v>13</v>
      </c>
      <c r="L423" t="s">
        <v>83</v>
      </c>
      <c r="M423" t="s">
        <v>84</v>
      </c>
      <c r="N423">
        <v>1</v>
      </c>
      <c r="O423" t="b">
        <v>1</v>
      </c>
      <c r="P423">
        <v>0</v>
      </c>
      <c r="BB423">
        <v>0</v>
      </c>
      <c r="BC423" t="s">
        <v>197</v>
      </c>
      <c r="BD423" t="s">
        <v>198</v>
      </c>
      <c r="BE423" t="s">
        <v>117</v>
      </c>
      <c r="BF423">
        <v>0</v>
      </c>
      <c r="BG423">
        <v>0</v>
      </c>
      <c r="BH423">
        <v>0</v>
      </c>
    </row>
    <row r="424" spans="1:60">
      <c r="A424" s="164" t="s">
        <v>1276</v>
      </c>
      <c r="B424" t="s">
        <v>1277</v>
      </c>
      <c r="C424">
        <v>0</v>
      </c>
      <c r="D424" t="s">
        <v>194</v>
      </c>
      <c r="E424">
        <v>0</v>
      </c>
      <c r="F424" t="s">
        <v>214</v>
      </c>
      <c r="G424" t="s">
        <v>78</v>
      </c>
      <c r="H424" t="s">
        <v>79</v>
      </c>
      <c r="I424" t="s">
        <v>80</v>
      </c>
      <c r="J424" t="s">
        <v>196</v>
      </c>
      <c r="K424" t="s">
        <v>13</v>
      </c>
      <c r="L424" t="s">
        <v>83</v>
      </c>
      <c r="M424" t="s">
        <v>215</v>
      </c>
      <c r="N424">
        <v>1</v>
      </c>
      <c r="O424" t="b">
        <v>1</v>
      </c>
      <c r="P424">
        <v>0</v>
      </c>
      <c r="BB424">
        <v>0</v>
      </c>
      <c r="BC424" t="s">
        <v>197</v>
      </c>
      <c r="BD424" t="s">
        <v>216</v>
      </c>
      <c r="BE424" t="s">
        <v>117</v>
      </c>
      <c r="BF424">
        <v>0</v>
      </c>
      <c r="BG424">
        <v>0</v>
      </c>
      <c r="BH424">
        <v>0</v>
      </c>
    </row>
    <row r="425" spans="1:60">
      <c r="A425" s="164" t="s">
        <v>1278</v>
      </c>
      <c r="B425" t="s">
        <v>1279</v>
      </c>
      <c r="C425">
        <v>0</v>
      </c>
      <c r="D425" t="s">
        <v>194</v>
      </c>
      <c r="E425">
        <v>0</v>
      </c>
      <c r="F425" t="s">
        <v>233</v>
      </c>
      <c r="G425" t="s">
        <v>78</v>
      </c>
      <c r="H425" t="s">
        <v>79</v>
      </c>
      <c r="I425" t="s">
        <v>80</v>
      </c>
      <c r="J425" t="s">
        <v>196</v>
      </c>
      <c r="K425" t="s">
        <v>13</v>
      </c>
      <c r="L425" t="s">
        <v>83</v>
      </c>
      <c r="M425" t="s">
        <v>84</v>
      </c>
      <c r="N425">
        <v>1</v>
      </c>
      <c r="O425" t="b">
        <v>1</v>
      </c>
      <c r="P425">
        <v>0</v>
      </c>
      <c r="BB425">
        <v>0</v>
      </c>
      <c r="BC425" t="s">
        <v>197</v>
      </c>
      <c r="BD425" t="s">
        <v>234</v>
      </c>
      <c r="BE425" t="s">
        <v>117</v>
      </c>
      <c r="BF425">
        <v>0</v>
      </c>
      <c r="BG425">
        <v>0</v>
      </c>
      <c r="BH425">
        <v>0</v>
      </c>
    </row>
    <row r="426" spans="1:60">
      <c r="A426" s="164" t="s">
        <v>1280</v>
      </c>
      <c r="B426" t="s">
        <v>1281</v>
      </c>
      <c r="C426">
        <v>0</v>
      </c>
      <c r="D426" t="s">
        <v>194</v>
      </c>
      <c r="E426">
        <v>0</v>
      </c>
      <c r="F426" t="s">
        <v>233</v>
      </c>
      <c r="G426" t="s">
        <v>78</v>
      </c>
      <c r="H426" t="s">
        <v>79</v>
      </c>
      <c r="I426" t="s">
        <v>80</v>
      </c>
      <c r="J426" t="s">
        <v>196</v>
      </c>
      <c r="K426" t="s">
        <v>13</v>
      </c>
      <c r="L426" t="s">
        <v>83</v>
      </c>
      <c r="M426" t="s">
        <v>84</v>
      </c>
      <c r="N426">
        <v>1</v>
      </c>
      <c r="O426" t="b">
        <v>1</v>
      </c>
      <c r="P426">
        <v>0</v>
      </c>
      <c r="BB426">
        <v>0</v>
      </c>
      <c r="BC426" t="s">
        <v>197</v>
      </c>
      <c r="BD426" t="s">
        <v>234</v>
      </c>
      <c r="BE426" t="s">
        <v>117</v>
      </c>
      <c r="BF426">
        <v>0</v>
      </c>
      <c r="BG426">
        <v>0</v>
      </c>
      <c r="BH426">
        <v>0</v>
      </c>
    </row>
    <row r="427" spans="1:60">
      <c r="A427" s="164" t="s">
        <v>1282</v>
      </c>
      <c r="B427" t="s">
        <v>1283</v>
      </c>
      <c r="C427">
        <v>0</v>
      </c>
      <c r="D427" t="s">
        <v>194</v>
      </c>
      <c r="E427">
        <v>0</v>
      </c>
      <c r="F427" t="s">
        <v>233</v>
      </c>
      <c r="G427" t="s">
        <v>78</v>
      </c>
      <c r="H427" t="s">
        <v>79</v>
      </c>
      <c r="I427" t="s">
        <v>80</v>
      </c>
      <c r="J427" t="s">
        <v>196</v>
      </c>
      <c r="K427" t="s">
        <v>13</v>
      </c>
      <c r="L427" t="s">
        <v>83</v>
      </c>
      <c r="M427" t="s">
        <v>84</v>
      </c>
      <c r="N427">
        <v>1</v>
      </c>
      <c r="O427" t="b">
        <v>1</v>
      </c>
      <c r="P427">
        <v>0</v>
      </c>
      <c r="BB427">
        <v>0</v>
      </c>
      <c r="BC427" t="s">
        <v>197</v>
      </c>
      <c r="BD427" t="s">
        <v>234</v>
      </c>
      <c r="BE427" t="s">
        <v>117</v>
      </c>
      <c r="BF427">
        <v>0</v>
      </c>
      <c r="BG427">
        <v>0</v>
      </c>
      <c r="BH427">
        <v>0</v>
      </c>
    </row>
    <row r="428" spans="1:60">
      <c r="A428" s="164" t="s">
        <v>1284</v>
      </c>
      <c r="B428" t="s">
        <v>1285</v>
      </c>
      <c r="C428">
        <v>0</v>
      </c>
      <c r="D428" t="s">
        <v>194</v>
      </c>
      <c r="E428">
        <v>0</v>
      </c>
      <c r="F428" t="s">
        <v>233</v>
      </c>
      <c r="G428" t="s">
        <v>78</v>
      </c>
      <c r="H428" t="s">
        <v>79</v>
      </c>
      <c r="I428" t="s">
        <v>80</v>
      </c>
      <c r="J428" t="s">
        <v>196</v>
      </c>
      <c r="K428" t="s">
        <v>13</v>
      </c>
      <c r="L428" t="s">
        <v>83</v>
      </c>
      <c r="M428" t="s">
        <v>84</v>
      </c>
      <c r="N428">
        <v>1</v>
      </c>
      <c r="O428" t="b">
        <v>1</v>
      </c>
      <c r="P428">
        <v>0</v>
      </c>
      <c r="BB428">
        <v>0</v>
      </c>
      <c r="BC428" t="s">
        <v>197</v>
      </c>
      <c r="BD428" t="s">
        <v>234</v>
      </c>
      <c r="BE428" t="s">
        <v>117</v>
      </c>
      <c r="BF428">
        <v>0</v>
      </c>
      <c r="BG428">
        <v>0</v>
      </c>
      <c r="BH428">
        <v>0</v>
      </c>
    </row>
    <row r="429" spans="1:60">
      <c r="A429" s="164" t="s">
        <v>1286</v>
      </c>
      <c r="B429" t="s">
        <v>1287</v>
      </c>
      <c r="C429">
        <v>0</v>
      </c>
      <c r="D429" t="s">
        <v>194</v>
      </c>
      <c r="E429">
        <v>0</v>
      </c>
      <c r="F429" t="s">
        <v>195</v>
      </c>
      <c r="G429" t="s">
        <v>78</v>
      </c>
      <c r="H429" t="s">
        <v>79</v>
      </c>
      <c r="I429" t="s">
        <v>80</v>
      </c>
      <c r="J429" t="s">
        <v>196</v>
      </c>
      <c r="K429" t="s">
        <v>13</v>
      </c>
      <c r="L429" t="s">
        <v>83</v>
      </c>
      <c r="M429" t="s">
        <v>84</v>
      </c>
      <c r="N429">
        <v>1</v>
      </c>
      <c r="O429" t="b">
        <v>1</v>
      </c>
      <c r="P429">
        <v>0</v>
      </c>
      <c r="BB429">
        <v>0</v>
      </c>
      <c r="BC429" t="s">
        <v>197</v>
      </c>
      <c r="BD429" t="s">
        <v>198</v>
      </c>
      <c r="BE429" t="s">
        <v>117</v>
      </c>
      <c r="BF429">
        <v>0</v>
      </c>
      <c r="BG429">
        <v>0</v>
      </c>
      <c r="BH429">
        <v>0</v>
      </c>
    </row>
    <row r="430" spans="1:60">
      <c r="A430" s="164" t="s">
        <v>1288</v>
      </c>
      <c r="B430" t="s">
        <v>1289</v>
      </c>
      <c r="C430">
        <v>0</v>
      </c>
      <c r="D430" t="s">
        <v>194</v>
      </c>
      <c r="E430">
        <v>0</v>
      </c>
      <c r="F430" t="s">
        <v>214</v>
      </c>
      <c r="G430" t="s">
        <v>78</v>
      </c>
      <c r="H430" t="s">
        <v>79</v>
      </c>
      <c r="I430" t="s">
        <v>80</v>
      </c>
      <c r="J430" t="s">
        <v>196</v>
      </c>
      <c r="K430" t="s">
        <v>13</v>
      </c>
      <c r="L430" t="s">
        <v>83</v>
      </c>
      <c r="M430" t="s">
        <v>215</v>
      </c>
      <c r="N430">
        <v>1</v>
      </c>
      <c r="O430" t="b">
        <v>1</v>
      </c>
      <c r="P430">
        <v>0</v>
      </c>
      <c r="BB430">
        <v>0</v>
      </c>
      <c r="BC430" t="s">
        <v>197</v>
      </c>
      <c r="BD430" t="s">
        <v>216</v>
      </c>
      <c r="BE430" t="s">
        <v>117</v>
      </c>
      <c r="BF430">
        <v>0</v>
      </c>
      <c r="BG430">
        <v>0</v>
      </c>
      <c r="BH430">
        <v>0</v>
      </c>
    </row>
    <row r="431" spans="1:60">
      <c r="A431" s="164" t="s">
        <v>1290</v>
      </c>
      <c r="B431" t="s">
        <v>1291</v>
      </c>
      <c r="C431">
        <v>0</v>
      </c>
      <c r="D431" t="s">
        <v>194</v>
      </c>
      <c r="E431">
        <v>0</v>
      </c>
      <c r="F431" t="s">
        <v>195</v>
      </c>
      <c r="G431" t="s">
        <v>78</v>
      </c>
      <c r="H431" t="s">
        <v>79</v>
      </c>
      <c r="I431" t="s">
        <v>80</v>
      </c>
      <c r="J431" t="s">
        <v>196</v>
      </c>
      <c r="K431" t="s">
        <v>13</v>
      </c>
      <c r="L431" t="s">
        <v>83</v>
      </c>
      <c r="M431" t="s">
        <v>205</v>
      </c>
      <c r="N431">
        <v>1</v>
      </c>
      <c r="O431" t="b">
        <v>1</v>
      </c>
      <c r="P431">
        <v>0</v>
      </c>
      <c r="BB431">
        <v>0</v>
      </c>
      <c r="BC431" t="s">
        <v>197</v>
      </c>
      <c r="BD431" t="s">
        <v>198</v>
      </c>
      <c r="BE431" t="s">
        <v>117</v>
      </c>
      <c r="BF431">
        <v>0</v>
      </c>
      <c r="BG431">
        <v>0</v>
      </c>
      <c r="BH431">
        <v>0</v>
      </c>
    </row>
    <row r="432" spans="1:60">
      <c r="A432" s="164" t="s">
        <v>1292</v>
      </c>
      <c r="B432" t="s">
        <v>1293</v>
      </c>
      <c r="C432">
        <v>0</v>
      </c>
      <c r="D432" t="s">
        <v>194</v>
      </c>
      <c r="E432">
        <v>0</v>
      </c>
      <c r="F432" t="s">
        <v>195</v>
      </c>
      <c r="G432" t="s">
        <v>78</v>
      </c>
      <c r="H432" t="s">
        <v>79</v>
      </c>
      <c r="I432" t="s">
        <v>80</v>
      </c>
      <c r="J432" t="s">
        <v>196</v>
      </c>
      <c r="K432" t="s">
        <v>13</v>
      </c>
      <c r="L432" t="s">
        <v>83</v>
      </c>
      <c r="M432" t="s">
        <v>205</v>
      </c>
      <c r="N432">
        <v>1</v>
      </c>
      <c r="O432" t="b">
        <v>1</v>
      </c>
      <c r="P432">
        <v>0</v>
      </c>
      <c r="BB432">
        <v>0</v>
      </c>
      <c r="BC432" t="s">
        <v>197</v>
      </c>
      <c r="BD432" t="s">
        <v>198</v>
      </c>
      <c r="BE432" t="s">
        <v>117</v>
      </c>
      <c r="BF432">
        <v>0</v>
      </c>
      <c r="BG432">
        <v>0</v>
      </c>
      <c r="BH432">
        <v>0</v>
      </c>
    </row>
    <row r="433" spans="1:61">
      <c r="A433" s="164" t="s">
        <v>1294</v>
      </c>
      <c r="B433" t="s">
        <v>1295</v>
      </c>
      <c r="C433">
        <v>0</v>
      </c>
      <c r="D433" t="s">
        <v>194</v>
      </c>
      <c r="E433">
        <v>0</v>
      </c>
      <c r="F433" t="s">
        <v>195</v>
      </c>
      <c r="G433" t="s">
        <v>78</v>
      </c>
      <c r="H433" t="s">
        <v>79</v>
      </c>
      <c r="I433" t="s">
        <v>80</v>
      </c>
      <c r="J433" t="s">
        <v>196</v>
      </c>
      <c r="K433" t="s">
        <v>13</v>
      </c>
      <c r="L433" t="s">
        <v>83</v>
      </c>
      <c r="M433" t="s">
        <v>205</v>
      </c>
      <c r="N433">
        <v>1</v>
      </c>
      <c r="O433" t="b">
        <v>1</v>
      </c>
      <c r="P433">
        <v>0</v>
      </c>
      <c r="BB433">
        <v>0</v>
      </c>
      <c r="BC433" t="s">
        <v>197</v>
      </c>
      <c r="BD433" t="s">
        <v>198</v>
      </c>
      <c r="BE433" t="s">
        <v>117</v>
      </c>
      <c r="BF433">
        <v>0</v>
      </c>
      <c r="BG433">
        <v>0</v>
      </c>
      <c r="BH433">
        <v>0</v>
      </c>
    </row>
    <row r="434" spans="1:61">
      <c r="A434" s="164" t="s">
        <v>1296</v>
      </c>
      <c r="B434" t="s">
        <v>1297</v>
      </c>
      <c r="C434">
        <v>0</v>
      </c>
      <c r="D434" t="s">
        <v>194</v>
      </c>
      <c r="E434">
        <v>0</v>
      </c>
      <c r="F434" t="s">
        <v>195</v>
      </c>
      <c r="G434" t="s">
        <v>78</v>
      </c>
      <c r="H434" t="s">
        <v>79</v>
      </c>
      <c r="I434" t="s">
        <v>80</v>
      </c>
      <c r="J434" t="s">
        <v>196</v>
      </c>
      <c r="K434" t="s">
        <v>13</v>
      </c>
      <c r="L434" t="s">
        <v>83</v>
      </c>
      <c r="M434" t="s">
        <v>84</v>
      </c>
      <c r="N434">
        <v>1</v>
      </c>
      <c r="O434" t="b">
        <v>1</v>
      </c>
      <c r="P434">
        <v>0</v>
      </c>
      <c r="BB434">
        <v>0</v>
      </c>
      <c r="BC434" t="s">
        <v>197</v>
      </c>
      <c r="BD434" t="s">
        <v>198</v>
      </c>
      <c r="BE434" t="s">
        <v>117</v>
      </c>
      <c r="BF434">
        <v>0</v>
      </c>
      <c r="BG434">
        <v>0</v>
      </c>
      <c r="BH434">
        <v>0</v>
      </c>
    </row>
    <row r="435" spans="1:61">
      <c r="A435" s="164" t="s">
        <v>1298</v>
      </c>
      <c r="B435" t="s">
        <v>1299</v>
      </c>
      <c r="C435">
        <v>0</v>
      </c>
      <c r="D435" t="s">
        <v>194</v>
      </c>
      <c r="E435">
        <v>0</v>
      </c>
      <c r="F435" t="s">
        <v>195</v>
      </c>
      <c r="G435" t="s">
        <v>78</v>
      </c>
      <c r="H435" t="s">
        <v>79</v>
      </c>
      <c r="I435" t="s">
        <v>80</v>
      </c>
      <c r="J435" t="s">
        <v>196</v>
      </c>
      <c r="K435" t="s">
        <v>13</v>
      </c>
      <c r="L435" t="s">
        <v>83</v>
      </c>
      <c r="M435" t="s">
        <v>84</v>
      </c>
      <c r="N435">
        <v>1</v>
      </c>
      <c r="O435" t="b">
        <v>1</v>
      </c>
      <c r="P435">
        <v>0</v>
      </c>
      <c r="BB435">
        <v>0</v>
      </c>
      <c r="BC435" t="s">
        <v>197</v>
      </c>
      <c r="BD435" t="s">
        <v>198</v>
      </c>
      <c r="BE435" t="s">
        <v>117</v>
      </c>
      <c r="BF435">
        <v>0</v>
      </c>
      <c r="BG435">
        <v>0</v>
      </c>
      <c r="BH435">
        <v>0</v>
      </c>
    </row>
    <row r="436" spans="1:61">
      <c r="A436" s="164" t="s">
        <v>1300</v>
      </c>
      <c r="B436" t="s">
        <v>1301</v>
      </c>
      <c r="C436">
        <v>0</v>
      </c>
      <c r="D436" t="s">
        <v>194</v>
      </c>
      <c r="E436">
        <v>0</v>
      </c>
      <c r="F436" t="s">
        <v>195</v>
      </c>
      <c r="G436" t="s">
        <v>78</v>
      </c>
      <c r="H436" t="s">
        <v>79</v>
      </c>
      <c r="I436" t="s">
        <v>80</v>
      </c>
      <c r="J436" t="s">
        <v>196</v>
      </c>
      <c r="K436" t="s">
        <v>13</v>
      </c>
      <c r="L436" t="s">
        <v>83</v>
      </c>
      <c r="M436" t="s">
        <v>84</v>
      </c>
      <c r="N436">
        <v>1</v>
      </c>
      <c r="O436" t="b">
        <v>1</v>
      </c>
      <c r="P436">
        <v>0</v>
      </c>
      <c r="BB436">
        <v>0</v>
      </c>
      <c r="BC436" t="s">
        <v>197</v>
      </c>
      <c r="BD436" t="s">
        <v>198</v>
      </c>
      <c r="BE436" t="s">
        <v>117</v>
      </c>
      <c r="BF436">
        <v>0</v>
      </c>
      <c r="BG436">
        <v>0</v>
      </c>
      <c r="BH436">
        <v>0</v>
      </c>
    </row>
    <row r="437" spans="1:61">
      <c r="A437" s="164" t="s">
        <v>1302</v>
      </c>
      <c r="B437" t="s">
        <v>1303</v>
      </c>
      <c r="C437">
        <v>0</v>
      </c>
      <c r="D437" t="s">
        <v>257</v>
      </c>
      <c r="E437">
        <v>0</v>
      </c>
      <c r="F437" t="s">
        <v>258</v>
      </c>
      <c r="G437" t="s">
        <v>78</v>
      </c>
      <c r="H437" t="s">
        <v>79</v>
      </c>
      <c r="I437" t="s">
        <v>80</v>
      </c>
      <c r="J437" t="s">
        <v>196</v>
      </c>
      <c r="K437" t="s">
        <v>13</v>
      </c>
      <c r="L437" t="s">
        <v>83</v>
      </c>
      <c r="M437" t="s">
        <v>205</v>
      </c>
      <c r="N437">
        <v>1</v>
      </c>
      <c r="O437" t="b">
        <v>1</v>
      </c>
      <c r="P437">
        <v>0</v>
      </c>
      <c r="BB437">
        <v>0</v>
      </c>
      <c r="BC437" t="s">
        <v>259</v>
      </c>
      <c r="BD437" t="s">
        <v>260</v>
      </c>
      <c r="BE437" t="s">
        <v>117</v>
      </c>
      <c r="BF437">
        <v>0</v>
      </c>
      <c r="BG437">
        <v>45</v>
      </c>
      <c r="BH437">
        <v>15</v>
      </c>
      <c r="BI437" t="s">
        <v>1304</v>
      </c>
    </row>
    <row r="438" spans="1:61">
      <c r="A438" s="164" t="s">
        <v>1305</v>
      </c>
      <c r="B438" t="s">
        <v>1306</v>
      </c>
      <c r="C438">
        <v>0</v>
      </c>
      <c r="D438" t="s">
        <v>257</v>
      </c>
      <c r="E438">
        <v>0</v>
      </c>
      <c r="F438" t="s">
        <v>269</v>
      </c>
      <c r="G438" t="s">
        <v>78</v>
      </c>
      <c r="H438" t="s">
        <v>79</v>
      </c>
      <c r="I438" t="s">
        <v>80</v>
      </c>
      <c r="J438" t="s">
        <v>196</v>
      </c>
      <c r="K438" t="s">
        <v>13</v>
      </c>
      <c r="L438" t="s">
        <v>83</v>
      </c>
      <c r="M438" t="s">
        <v>205</v>
      </c>
      <c r="N438">
        <v>1</v>
      </c>
      <c r="O438" t="b">
        <v>1</v>
      </c>
      <c r="P438">
        <v>0</v>
      </c>
      <c r="BB438">
        <v>0</v>
      </c>
      <c r="BC438" t="s">
        <v>259</v>
      </c>
      <c r="BD438" t="s">
        <v>270</v>
      </c>
      <c r="BE438" t="s">
        <v>117</v>
      </c>
      <c r="BF438">
        <v>0</v>
      </c>
      <c r="BG438">
        <v>20</v>
      </c>
      <c r="BH438">
        <v>1000</v>
      </c>
      <c r="BI438" t="s">
        <v>1043</v>
      </c>
    </row>
    <row r="439" spans="1:61">
      <c r="A439" s="164" t="s">
        <v>1307</v>
      </c>
      <c r="B439" t="s">
        <v>1308</v>
      </c>
      <c r="C439">
        <v>0</v>
      </c>
      <c r="D439" t="s">
        <v>257</v>
      </c>
      <c r="E439">
        <v>0</v>
      </c>
      <c r="F439" t="s">
        <v>925</v>
      </c>
      <c r="G439" t="s">
        <v>78</v>
      </c>
      <c r="H439" t="s">
        <v>79</v>
      </c>
      <c r="I439" t="s">
        <v>80</v>
      </c>
      <c r="J439" t="s">
        <v>196</v>
      </c>
      <c r="K439" t="s">
        <v>13</v>
      </c>
      <c r="L439" t="s">
        <v>83</v>
      </c>
      <c r="M439" t="s">
        <v>205</v>
      </c>
      <c r="N439">
        <v>1</v>
      </c>
      <c r="O439" t="b">
        <v>1</v>
      </c>
      <c r="P439">
        <v>0</v>
      </c>
      <c r="BB439">
        <v>0</v>
      </c>
      <c r="BC439" t="s">
        <v>259</v>
      </c>
      <c r="BD439" t="s">
        <v>926</v>
      </c>
      <c r="BE439" t="s">
        <v>117</v>
      </c>
      <c r="BF439">
        <v>0</v>
      </c>
      <c r="BG439">
        <v>45</v>
      </c>
      <c r="BH439">
        <v>150</v>
      </c>
      <c r="BI439" t="s">
        <v>1309</v>
      </c>
    </row>
    <row r="440" spans="1:61">
      <c r="A440" s="164" t="s">
        <v>1310</v>
      </c>
      <c r="B440" t="s">
        <v>1311</v>
      </c>
      <c r="C440">
        <v>0</v>
      </c>
      <c r="D440" t="s">
        <v>257</v>
      </c>
      <c r="E440">
        <v>0</v>
      </c>
      <c r="F440" t="s">
        <v>293</v>
      </c>
      <c r="G440" t="s">
        <v>78</v>
      </c>
      <c r="H440" t="s">
        <v>79</v>
      </c>
      <c r="I440" t="s">
        <v>80</v>
      </c>
      <c r="J440" t="s">
        <v>196</v>
      </c>
      <c r="K440" t="s">
        <v>13</v>
      </c>
      <c r="L440" t="s">
        <v>83</v>
      </c>
      <c r="M440" t="s">
        <v>205</v>
      </c>
      <c r="N440">
        <v>1</v>
      </c>
      <c r="O440" t="b">
        <v>1</v>
      </c>
      <c r="P440">
        <v>0</v>
      </c>
      <c r="BB440">
        <v>0</v>
      </c>
      <c r="BC440" t="s">
        <v>259</v>
      </c>
      <c r="BD440" t="s">
        <v>294</v>
      </c>
      <c r="BE440" t="s">
        <v>117</v>
      </c>
      <c r="BF440">
        <v>0</v>
      </c>
      <c r="BG440">
        <v>10</v>
      </c>
      <c r="BH440">
        <v>150</v>
      </c>
      <c r="BI440" t="s">
        <v>295</v>
      </c>
    </row>
    <row r="441" spans="1:61">
      <c r="A441" s="164" t="s">
        <v>1312</v>
      </c>
      <c r="B441" t="s">
        <v>1313</v>
      </c>
      <c r="C441">
        <v>0</v>
      </c>
      <c r="D441" t="s">
        <v>257</v>
      </c>
      <c r="E441">
        <v>0</v>
      </c>
      <c r="F441" t="s">
        <v>930</v>
      </c>
      <c r="G441" t="s">
        <v>78</v>
      </c>
      <c r="H441" t="s">
        <v>79</v>
      </c>
      <c r="I441" t="s">
        <v>80</v>
      </c>
      <c r="J441" t="s">
        <v>196</v>
      </c>
      <c r="K441" t="s">
        <v>13</v>
      </c>
      <c r="L441" t="s">
        <v>83</v>
      </c>
      <c r="M441" t="s">
        <v>205</v>
      </c>
      <c r="N441">
        <v>1</v>
      </c>
      <c r="O441" t="b">
        <v>1</v>
      </c>
      <c r="P441">
        <v>0</v>
      </c>
      <c r="BB441">
        <v>0</v>
      </c>
      <c r="BC441" t="s">
        <v>259</v>
      </c>
      <c r="BD441" t="s">
        <v>931</v>
      </c>
      <c r="BE441" t="s">
        <v>117</v>
      </c>
      <c r="BF441">
        <v>0</v>
      </c>
      <c r="BG441">
        <v>25</v>
      </c>
      <c r="BH441">
        <v>400</v>
      </c>
      <c r="BI441" t="s">
        <v>1314</v>
      </c>
    </row>
    <row r="442" spans="1:61">
      <c r="A442" s="164" t="s">
        <v>1315</v>
      </c>
      <c r="B442" t="s">
        <v>1316</v>
      </c>
      <c r="C442">
        <v>0</v>
      </c>
      <c r="D442" t="s">
        <v>257</v>
      </c>
      <c r="E442">
        <v>0</v>
      </c>
      <c r="F442" t="s">
        <v>293</v>
      </c>
      <c r="G442" t="s">
        <v>78</v>
      </c>
      <c r="H442" t="s">
        <v>79</v>
      </c>
      <c r="I442" t="s">
        <v>80</v>
      </c>
      <c r="J442" t="s">
        <v>196</v>
      </c>
      <c r="K442" t="s">
        <v>13</v>
      </c>
      <c r="L442" t="s">
        <v>83</v>
      </c>
      <c r="M442" t="s">
        <v>205</v>
      </c>
      <c r="N442">
        <v>1</v>
      </c>
      <c r="O442" t="b">
        <v>1</v>
      </c>
      <c r="P442">
        <v>0</v>
      </c>
      <c r="BB442">
        <v>0</v>
      </c>
      <c r="BC442" t="s">
        <v>259</v>
      </c>
      <c r="BD442" t="s">
        <v>294</v>
      </c>
      <c r="BE442" t="s">
        <v>117</v>
      </c>
      <c r="BF442">
        <v>0</v>
      </c>
      <c r="BG442">
        <v>10</v>
      </c>
      <c r="BH442">
        <v>150</v>
      </c>
      <c r="BI442" t="s">
        <v>295</v>
      </c>
    </row>
    <row r="443" spans="1:61">
      <c r="A443" s="164" t="s">
        <v>1317</v>
      </c>
      <c r="B443" t="s">
        <v>1318</v>
      </c>
      <c r="C443">
        <v>0</v>
      </c>
      <c r="D443" t="s">
        <v>257</v>
      </c>
      <c r="E443">
        <v>0</v>
      </c>
      <c r="F443" t="s">
        <v>930</v>
      </c>
      <c r="G443" t="s">
        <v>78</v>
      </c>
      <c r="H443" t="s">
        <v>79</v>
      </c>
      <c r="I443" t="s">
        <v>80</v>
      </c>
      <c r="J443" t="s">
        <v>196</v>
      </c>
      <c r="K443" t="s">
        <v>13</v>
      </c>
      <c r="L443" t="s">
        <v>83</v>
      </c>
      <c r="M443" t="s">
        <v>205</v>
      </c>
      <c r="N443">
        <v>1</v>
      </c>
      <c r="O443" t="b">
        <v>1</v>
      </c>
      <c r="P443">
        <v>0</v>
      </c>
      <c r="BB443">
        <v>0</v>
      </c>
      <c r="BC443" t="s">
        <v>259</v>
      </c>
      <c r="BD443" t="s">
        <v>931</v>
      </c>
      <c r="BE443" t="s">
        <v>117</v>
      </c>
      <c r="BF443">
        <v>0</v>
      </c>
      <c r="BG443">
        <v>15</v>
      </c>
      <c r="BH443">
        <v>500</v>
      </c>
      <c r="BI443" t="s">
        <v>1319</v>
      </c>
    </row>
    <row r="444" spans="1:61">
      <c r="A444" s="164" t="s">
        <v>1320</v>
      </c>
      <c r="B444" t="s">
        <v>1321</v>
      </c>
      <c r="C444">
        <v>0</v>
      </c>
      <c r="D444" t="s">
        <v>257</v>
      </c>
      <c r="E444">
        <v>0</v>
      </c>
      <c r="F444" t="s">
        <v>269</v>
      </c>
      <c r="G444" t="s">
        <v>103</v>
      </c>
      <c r="H444" t="s">
        <v>104</v>
      </c>
      <c r="I444" t="s">
        <v>80</v>
      </c>
      <c r="J444" t="s">
        <v>196</v>
      </c>
      <c r="K444" t="s">
        <v>13</v>
      </c>
      <c r="L444" t="s">
        <v>83</v>
      </c>
      <c r="M444" t="s">
        <v>205</v>
      </c>
      <c r="N444">
        <v>1</v>
      </c>
      <c r="O444" t="b">
        <v>0</v>
      </c>
      <c r="P444">
        <v>0</v>
      </c>
      <c r="BB444">
        <v>0</v>
      </c>
      <c r="BC444" t="s">
        <v>259</v>
      </c>
      <c r="BD444" t="s">
        <v>270</v>
      </c>
      <c r="BE444" t="s">
        <v>117</v>
      </c>
      <c r="BF444">
        <v>0</v>
      </c>
      <c r="BG444">
        <v>0</v>
      </c>
      <c r="BH444">
        <v>0</v>
      </c>
    </row>
    <row r="445" spans="1:61">
      <c r="A445" s="164" t="s">
        <v>1322</v>
      </c>
      <c r="B445" t="s">
        <v>1323</v>
      </c>
      <c r="C445">
        <v>0</v>
      </c>
      <c r="D445" t="s">
        <v>257</v>
      </c>
      <c r="E445">
        <v>0</v>
      </c>
      <c r="F445" t="s">
        <v>955</v>
      </c>
      <c r="G445" t="s">
        <v>78</v>
      </c>
      <c r="H445" t="s">
        <v>79</v>
      </c>
      <c r="I445" t="s">
        <v>80</v>
      </c>
      <c r="J445" t="s">
        <v>196</v>
      </c>
      <c r="K445" t="s">
        <v>13</v>
      </c>
      <c r="L445" t="s">
        <v>83</v>
      </c>
      <c r="M445" t="s">
        <v>84</v>
      </c>
      <c r="N445">
        <v>1</v>
      </c>
      <c r="O445" t="b">
        <v>1</v>
      </c>
      <c r="P445">
        <v>0</v>
      </c>
      <c r="BB445">
        <v>0</v>
      </c>
      <c r="BC445" t="s">
        <v>259</v>
      </c>
      <c r="BD445" t="s">
        <v>956</v>
      </c>
      <c r="BE445" t="s">
        <v>117</v>
      </c>
      <c r="BF445">
        <v>0</v>
      </c>
      <c r="BG445">
        <v>10</v>
      </c>
      <c r="BH445">
        <v>10</v>
      </c>
      <c r="BI445" t="s">
        <v>1324</v>
      </c>
    </row>
    <row r="446" spans="1:61">
      <c r="A446" s="164" t="s">
        <v>1325</v>
      </c>
      <c r="B446" t="s">
        <v>1326</v>
      </c>
      <c r="C446">
        <v>0</v>
      </c>
      <c r="D446" t="s">
        <v>257</v>
      </c>
      <c r="E446">
        <v>0</v>
      </c>
      <c r="F446" t="s">
        <v>925</v>
      </c>
      <c r="G446" t="s">
        <v>78</v>
      </c>
      <c r="H446" t="s">
        <v>79</v>
      </c>
      <c r="I446" t="s">
        <v>80</v>
      </c>
      <c r="J446" t="s">
        <v>196</v>
      </c>
      <c r="K446" t="s">
        <v>13</v>
      </c>
      <c r="L446" t="s">
        <v>83</v>
      </c>
      <c r="M446" t="s">
        <v>215</v>
      </c>
      <c r="N446">
        <v>1</v>
      </c>
      <c r="O446" t="b">
        <v>1</v>
      </c>
      <c r="P446">
        <v>0</v>
      </c>
      <c r="BB446">
        <v>0</v>
      </c>
      <c r="BC446" t="s">
        <v>259</v>
      </c>
      <c r="BD446" t="s">
        <v>926</v>
      </c>
      <c r="BE446" t="s">
        <v>117</v>
      </c>
      <c r="BF446">
        <v>0</v>
      </c>
      <c r="BG446">
        <v>15</v>
      </c>
      <c r="BH446">
        <v>1000</v>
      </c>
      <c r="BI446" t="s">
        <v>1327</v>
      </c>
    </row>
    <row r="447" spans="1:61">
      <c r="A447" s="164" t="s">
        <v>1328</v>
      </c>
      <c r="B447" t="s">
        <v>1329</v>
      </c>
      <c r="C447">
        <v>0</v>
      </c>
      <c r="D447" t="s">
        <v>257</v>
      </c>
      <c r="E447">
        <v>0</v>
      </c>
      <c r="F447" t="s">
        <v>269</v>
      </c>
      <c r="G447" t="s">
        <v>103</v>
      </c>
      <c r="H447" t="s">
        <v>104</v>
      </c>
      <c r="I447" t="s">
        <v>80</v>
      </c>
      <c r="J447" t="s">
        <v>196</v>
      </c>
      <c r="K447" t="s">
        <v>13</v>
      </c>
      <c r="L447" t="s">
        <v>83</v>
      </c>
      <c r="M447" t="s">
        <v>205</v>
      </c>
      <c r="N447">
        <v>1</v>
      </c>
      <c r="O447" t="b">
        <v>0</v>
      </c>
      <c r="P447">
        <v>0</v>
      </c>
      <c r="BB447">
        <v>0</v>
      </c>
      <c r="BC447" t="s">
        <v>259</v>
      </c>
      <c r="BD447" t="s">
        <v>270</v>
      </c>
      <c r="BE447" t="s">
        <v>117</v>
      </c>
      <c r="BF447">
        <v>0</v>
      </c>
      <c r="BG447">
        <v>0</v>
      </c>
      <c r="BH447">
        <v>0</v>
      </c>
    </row>
    <row r="448" spans="1:61">
      <c r="A448" s="164" t="s">
        <v>1330</v>
      </c>
      <c r="B448" t="s">
        <v>1331</v>
      </c>
      <c r="C448">
        <v>0</v>
      </c>
      <c r="D448" t="s">
        <v>257</v>
      </c>
      <c r="E448">
        <v>0</v>
      </c>
      <c r="F448" t="s">
        <v>269</v>
      </c>
      <c r="G448" t="s">
        <v>103</v>
      </c>
      <c r="H448" t="s">
        <v>104</v>
      </c>
      <c r="I448" t="s">
        <v>80</v>
      </c>
      <c r="J448" t="s">
        <v>196</v>
      </c>
      <c r="K448" t="s">
        <v>13</v>
      </c>
      <c r="L448" t="s">
        <v>83</v>
      </c>
      <c r="M448" t="s">
        <v>84</v>
      </c>
      <c r="N448">
        <v>1</v>
      </c>
      <c r="O448" t="b">
        <v>0</v>
      </c>
      <c r="P448">
        <v>0</v>
      </c>
      <c r="BB448">
        <v>0</v>
      </c>
      <c r="BC448" t="s">
        <v>259</v>
      </c>
      <c r="BD448" t="s">
        <v>270</v>
      </c>
      <c r="BE448" t="s">
        <v>117</v>
      </c>
      <c r="BF448">
        <v>0</v>
      </c>
      <c r="BG448">
        <v>0</v>
      </c>
      <c r="BH448">
        <v>0</v>
      </c>
    </row>
    <row r="449" spans="1:61">
      <c r="A449" s="164" t="s">
        <v>1332</v>
      </c>
      <c r="B449" t="s">
        <v>1333</v>
      </c>
      <c r="C449">
        <v>0</v>
      </c>
      <c r="D449" t="s">
        <v>257</v>
      </c>
      <c r="E449">
        <v>0</v>
      </c>
      <c r="F449" t="s">
        <v>930</v>
      </c>
      <c r="G449" t="s">
        <v>78</v>
      </c>
      <c r="H449" t="s">
        <v>79</v>
      </c>
      <c r="I449" t="s">
        <v>80</v>
      </c>
      <c r="J449" t="s">
        <v>196</v>
      </c>
      <c r="K449" t="s">
        <v>13</v>
      </c>
      <c r="L449" t="s">
        <v>83</v>
      </c>
      <c r="M449" t="s">
        <v>205</v>
      </c>
      <c r="N449">
        <v>1</v>
      </c>
      <c r="O449" t="b">
        <v>1</v>
      </c>
      <c r="P449">
        <v>0</v>
      </c>
      <c r="BB449">
        <v>0</v>
      </c>
      <c r="BC449" t="s">
        <v>259</v>
      </c>
      <c r="BD449" t="s">
        <v>931</v>
      </c>
      <c r="BE449" t="s">
        <v>117</v>
      </c>
      <c r="BF449">
        <v>0</v>
      </c>
      <c r="BG449">
        <v>40</v>
      </c>
      <c r="BH449">
        <v>200</v>
      </c>
      <c r="BI449" t="s">
        <v>1334</v>
      </c>
    </row>
    <row r="450" spans="1:61">
      <c r="A450" s="164" t="s">
        <v>1335</v>
      </c>
      <c r="B450" t="s">
        <v>1336</v>
      </c>
      <c r="C450">
        <v>0</v>
      </c>
      <c r="D450" t="s">
        <v>257</v>
      </c>
      <c r="E450">
        <v>0</v>
      </c>
      <c r="F450" t="s">
        <v>269</v>
      </c>
      <c r="G450" t="s">
        <v>103</v>
      </c>
      <c r="H450" t="s">
        <v>104</v>
      </c>
      <c r="I450" t="s">
        <v>80</v>
      </c>
      <c r="J450" t="s">
        <v>196</v>
      </c>
      <c r="K450" t="s">
        <v>13</v>
      </c>
      <c r="L450" t="s">
        <v>83</v>
      </c>
      <c r="M450" t="s">
        <v>84</v>
      </c>
      <c r="N450">
        <v>1</v>
      </c>
      <c r="O450" t="b">
        <v>0</v>
      </c>
      <c r="P450">
        <v>0</v>
      </c>
      <c r="BB450">
        <v>0</v>
      </c>
      <c r="BC450" t="s">
        <v>259</v>
      </c>
      <c r="BD450" t="s">
        <v>270</v>
      </c>
      <c r="BE450" t="s">
        <v>117</v>
      </c>
      <c r="BF450">
        <v>0</v>
      </c>
      <c r="BG450">
        <v>0</v>
      </c>
      <c r="BH450">
        <v>0</v>
      </c>
    </row>
    <row r="451" spans="1:61">
      <c r="A451" s="164" t="s">
        <v>1337</v>
      </c>
      <c r="B451" t="s">
        <v>1338</v>
      </c>
      <c r="C451">
        <v>0</v>
      </c>
      <c r="D451" t="s">
        <v>257</v>
      </c>
      <c r="E451">
        <v>0</v>
      </c>
      <c r="F451" t="s">
        <v>925</v>
      </c>
      <c r="G451" t="s">
        <v>78</v>
      </c>
      <c r="H451" t="s">
        <v>79</v>
      </c>
      <c r="I451" t="s">
        <v>80</v>
      </c>
      <c r="J451" t="s">
        <v>196</v>
      </c>
      <c r="K451" t="s">
        <v>13</v>
      </c>
      <c r="L451" t="s">
        <v>83</v>
      </c>
      <c r="M451" t="s">
        <v>205</v>
      </c>
      <c r="N451">
        <v>1</v>
      </c>
      <c r="O451" t="b">
        <v>1</v>
      </c>
      <c r="P451">
        <v>0</v>
      </c>
      <c r="BB451">
        <v>0</v>
      </c>
      <c r="BC451" t="s">
        <v>259</v>
      </c>
      <c r="BD451" t="s">
        <v>926</v>
      </c>
      <c r="BE451" t="s">
        <v>117</v>
      </c>
      <c r="BF451">
        <v>0</v>
      </c>
      <c r="BG451">
        <v>20</v>
      </c>
      <c r="BH451">
        <v>2</v>
      </c>
      <c r="BI451" t="s">
        <v>1339</v>
      </c>
    </row>
    <row r="452" spans="1:61">
      <c r="A452" s="164" t="s">
        <v>1340</v>
      </c>
      <c r="B452" t="s">
        <v>1341</v>
      </c>
      <c r="C452">
        <v>0</v>
      </c>
      <c r="D452" t="s">
        <v>257</v>
      </c>
      <c r="E452">
        <v>0</v>
      </c>
      <c r="F452" t="s">
        <v>925</v>
      </c>
      <c r="G452" t="s">
        <v>78</v>
      </c>
      <c r="H452" t="s">
        <v>79</v>
      </c>
      <c r="I452" t="s">
        <v>80</v>
      </c>
      <c r="J452" t="s">
        <v>196</v>
      </c>
      <c r="K452" t="s">
        <v>13</v>
      </c>
      <c r="L452" t="s">
        <v>83</v>
      </c>
      <c r="M452" t="s">
        <v>205</v>
      </c>
      <c r="N452">
        <v>1</v>
      </c>
      <c r="O452" t="b">
        <v>1</v>
      </c>
      <c r="P452">
        <v>0</v>
      </c>
      <c r="BB452">
        <v>0</v>
      </c>
      <c r="BC452" t="s">
        <v>259</v>
      </c>
      <c r="BD452" t="s">
        <v>926</v>
      </c>
      <c r="BE452" t="s">
        <v>117</v>
      </c>
      <c r="BF452">
        <v>0</v>
      </c>
      <c r="BG452">
        <v>20</v>
      </c>
      <c r="BH452">
        <v>2</v>
      </c>
      <c r="BI452" t="s">
        <v>1339</v>
      </c>
    </row>
    <row r="453" spans="1:61">
      <c r="A453" s="164" t="s">
        <v>1342</v>
      </c>
      <c r="B453" t="s">
        <v>1343</v>
      </c>
      <c r="C453">
        <v>0</v>
      </c>
      <c r="D453" t="s">
        <v>257</v>
      </c>
      <c r="E453">
        <v>0</v>
      </c>
      <c r="F453" t="s">
        <v>925</v>
      </c>
      <c r="G453" t="s">
        <v>78</v>
      </c>
      <c r="H453" t="s">
        <v>79</v>
      </c>
      <c r="I453" t="s">
        <v>80</v>
      </c>
      <c r="J453" t="s">
        <v>196</v>
      </c>
      <c r="K453" t="s">
        <v>13</v>
      </c>
      <c r="L453" t="s">
        <v>83</v>
      </c>
      <c r="M453" t="s">
        <v>205</v>
      </c>
      <c r="N453">
        <v>1</v>
      </c>
      <c r="O453" t="b">
        <v>1</v>
      </c>
      <c r="P453">
        <v>0</v>
      </c>
      <c r="BB453">
        <v>0</v>
      </c>
      <c r="BC453" t="s">
        <v>259</v>
      </c>
      <c r="BD453" t="s">
        <v>926</v>
      </c>
      <c r="BE453" t="s">
        <v>117</v>
      </c>
      <c r="BF453">
        <v>0</v>
      </c>
      <c r="BG453">
        <v>25</v>
      </c>
      <c r="BH453">
        <v>500</v>
      </c>
      <c r="BI453" t="s">
        <v>1344</v>
      </c>
    </row>
    <row r="454" spans="1:61">
      <c r="A454" s="164" t="s">
        <v>1345</v>
      </c>
      <c r="B454" t="s">
        <v>1346</v>
      </c>
      <c r="C454">
        <v>0</v>
      </c>
      <c r="D454" t="s">
        <v>257</v>
      </c>
      <c r="E454">
        <v>0</v>
      </c>
      <c r="F454" t="s">
        <v>955</v>
      </c>
      <c r="G454" t="s">
        <v>78</v>
      </c>
      <c r="H454" t="s">
        <v>79</v>
      </c>
      <c r="I454" t="s">
        <v>80</v>
      </c>
      <c r="J454" t="s">
        <v>196</v>
      </c>
      <c r="K454" t="s">
        <v>13</v>
      </c>
      <c r="L454" t="s">
        <v>83</v>
      </c>
      <c r="M454" t="s">
        <v>84</v>
      </c>
      <c r="N454">
        <v>1</v>
      </c>
      <c r="O454" t="b">
        <v>1</v>
      </c>
      <c r="P454">
        <v>0</v>
      </c>
      <c r="BB454">
        <v>0</v>
      </c>
      <c r="BC454" t="s">
        <v>259</v>
      </c>
      <c r="BD454" t="s">
        <v>956</v>
      </c>
      <c r="BE454" t="s">
        <v>117</v>
      </c>
      <c r="BF454">
        <v>0</v>
      </c>
      <c r="BG454">
        <v>50</v>
      </c>
      <c r="BH454">
        <v>50</v>
      </c>
      <c r="BI454" t="s">
        <v>1347</v>
      </c>
    </row>
    <row r="455" spans="1:61">
      <c r="A455" s="164" t="s">
        <v>1348</v>
      </c>
      <c r="B455" t="s">
        <v>1349</v>
      </c>
      <c r="C455">
        <v>0</v>
      </c>
      <c r="D455" t="s">
        <v>304</v>
      </c>
      <c r="E455">
        <v>0</v>
      </c>
      <c r="F455" t="s">
        <v>342</v>
      </c>
      <c r="G455" t="s">
        <v>78</v>
      </c>
      <c r="H455" t="s">
        <v>79</v>
      </c>
      <c r="I455" t="s">
        <v>80</v>
      </c>
      <c r="J455" t="s">
        <v>196</v>
      </c>
      <c r="K455" t="s">
        <v>13</v>
      </c>
      <c r="L455" t="s">
        <v>83</v>
      </c>
      <c r="M455" t="s">
        <v>84</v>
      </c>
      <c r="N455">
        <v>1</v>
      </c>
      <c r="O455" t="b">
        <v>1</v>
      </c>
      <c r="P455">
        <v>0</v>
      </c>
      <c r="BB455">
        <v>0</v>
      </c>
      <c r="BC455" t="s">
        <v>306</v>
      </c>
      <c r="BD455" t="s">
        <v>343</v>
      </c>
      <c r="BE455" t="s">
        <v>117</v>
      </c>
      <c r="BF455">
        <v>0</v>
      </c>
      <c r="BG455">
        <v>25</v>
      </c>
      <c r="BH455">
        <v>10000</v>
      </c>
      <c r="BI455" t="s">
        <v>344</v>
      </c>
    </row>
    <row r="456" spans="1:61">
      <c r="A456" s="164" t="s">
        <v>1350</v>
      </c>
      <c r="B456" t="s">
        <v>1351</v>
      </c>
      <c r="C456">
        <v>0</v>
      </c>
      <c r="D456" t="s">
        <v>304</v>
      </c>
      <c r="E456">
        <v>0</v>
      </c>
      <c r="F456" t="s">
        <v>342</v>
      </c>
      <c r="G456" t="s">
        <v>78</v>
      </c>
      <c r="H456" t="s">
        <v>79</v>
      </c>
      <c r="I456" t="s">
        <v>80</v>
      </c>
      <c r="J456" t="s">
        <v>196</v>
      </c>
      <c r="K456" t="s">
        <v>13</v>
      </c>
      <c r="L456" t="s">
        <v>83</v>
      </c>
      <c r="M456" t="s">
        <v>84</v>
      </c>
      <c r="N456">
        <v>1</v>
      </c>
      <c r="O456" t="b">
        <v>1</v>
      </c>
      <c r="P456">
        <v>0</v>
      </c>
      <c r="BB456">
        <v>0</v>
      </c>
      <c r="BC456" t="s">
        <v>306</v>
      </c>
      <c r="BD456" t="s">
        <v>343</v>
      </c>
      <c r="BE456" t="s">
        <v>117</v>
      </c>
      <c r="BF456">
        <v>0</v>
      </c>
      <c r="BG456">
        <v>25</v>
      </c>
      <c r="BH456">
        <v>10000</v>
      </c>
      <c r="BI456" t="s">
        <v>344</v>
      </c>
    </row>
    <row r="457" spans="1:61">
      <c r="A457" s="164" t="s">
        <v>1352</v>
      </c>
      <c r="B457" t="s">
        <v>1353</v>
      </c>
      <c r="C457">
        <v>0</v>
      </c>
      <c r="D457" t="s">
        <v>304</v>
      </c>
      <c r="E457">
        <v>0</v>
      </c>
      <c r="F457" t="s">
        <v>589</v>
      </c>
      <c r="G457" t="s">
        <v>78</v>
      </c>
      <c r="H457" t="s">
        <v>79</v>
      </c>
      <c r="I457" t="s">
        <v>80</v>
      </c>
      <c r="J457" t="s">
        <v>196</v>
      </c>
      <c r="K457" t="s">
        <v>13</v>
      </c>
      <c r="L457" t="s">
        <v>83</v>
      </c>
      <c r="M457" t="s">
        <v>84</v>
      </c>
      <c r="N457">
        <v>1</v>
      </c>
      <c r="O457" t="b">
        <v>1</v>
      </c>
      <c r="P457">
        <v>0</v>
      </c>
      <c r="BB457">
        <v>0</v>
      </c>
      <c r="BC457" t="s">
        <v>306</v>
      </c>
      <c r="BD457" t="s">
        <v>590</v>
      </c>
      <c r="BE457" t="s">
        <v>117</v>
      </c>
      <c r="BF457">
        <v>0</v>
      </c>
      <c r="BG457">
        <v>25</v>
      </c>
      <c r="BH457">
        <v>10000</v>
      </c>
      <c r="BI457" t="s">
        <v>344</v>
      </c>
    </row>
    <row r="458" spans="1:61">
      <c r="A458" s="164" t="s">
        <v>1354</v>
      </c>
      <c r="B458" t="s">
        <v>1355</v>
      </c>
      <c r="C458">
        <v>0</v>
      </c>
      <c r="D458" t="s">
        <v>304</v>
      </c>
      <c r="E458">
        <v>0</v>
      </c>
      <c r="F458" t="s">
        <v>269</v>
      </c>
      <c r="G458" t="s">
        <v>103</v>
      </c>
      <c r="H458" t="s">
        <v>104</v>
      </c>
      <c r="I458" t="s">
        <v>80</v>
      </c>
      <c r="J458" t="s">
        <v>196</v>
      </c>
      <c r="K458" t="s">
        <v>13</v>
      </c>
      <c r="L458" t="s">
        <v>83</v>
      </c>
      <c r="M458" t="s">
        <v>84</v>
      </c>
      <c r="N458">
        <v>1</v>
      </c>
      <c r="O458" t="b">
        <v>0</v>
      </c>
      <c r="P458">
        <v>0</v>
      </c>
      <c r="BB458">
        <v>0</v>
      </c>
      <c r="BC458" t="s">
        <v>306</v>
      </c>
      <c r="BD458" t="s">
        <v>270</v>
      </c>
      <c r="BE458" t="s">
        <v>117</v>
      </c>
      <c r="BF458">
        <v>0</v>
      </c>
      <c r="BG458">
        <v>0</v>
      </c>
      <c r="BH458">
        <v>0</v>
      </c>
    </row>
    <row r="459" spans="1:61">
      <c r="A459" s="164" t="s">
        <v>1356</v>
      </c>
      <c r="B459" t="s">
        <v>1357</v>
      </c>
      <c r="C459">
        <v>0</v>
      </c>
      <c r="D459" t="s">
        <v>304</v>
      </c>
      <c r="E459">
        <v>0</v>
      </c>
      <c r="F459" t="s">
        <v>305</v>
      </c>
      <c r="G459" t="s">
        <v>78</v>
      </c>
      <c r="H459" t="s">
        <v>79</v>
      </c>
      <c r="I459" t="s">
        <v>80</v>
      </c>
      <c r="J459" t="s">
        <v>196</v>
      </c>
      <c r="K459" t="s">
        <v>13</v>
      </c>
      <c r="L459" t="s">
        <v>83</v>
      </c>
      <c r="M459" t="s">
        <v>84</v>
      </c>
      <c r="N459">
        <v>1</v>
      </c>
      <c r="O459" t="b">
        <v>1</v>
      </c>
      <c r="P459">
        <v>0</v>
      </c>
      <c r="BB459">
        <v>0</v>
      </c>
      <c r="BC459" t="s">
        <v>306</v>
      </c>
      <c r="BD459" t="s">
        <v>307</v>
      </c>
      <c r="BE459" t="s">
        <v>117</v>
      </c>
      <c r="BF459">
        <v>0</v>
      </c>
      <c r="BG459">
        <v>20</v>
      </c>
      <c r="BH459">
        <v>2000</v>
      </c>
      <c r="BI459" t="s">
        <v>308</v>
      </c>
    </row>
    <row r="460" spans="1:61">
      <c r="A460" s="164" t="s">
        <v>1358</v>
      </c>
      <c r="B460" t="s">
        <v>1359</v>
      </c>
      <c r="C460">
        <v>0</v>
      </c>
      <c r="D460" t="s">
        <v>304</v>
      </c>
      <c r="E460">
        <v>0</v>
      </c>
      <c r="F460" t="s">
        <v>336</v>
      </c>
      <c r="G460" t="s">
        <v>78</v>
      </c>
      <c r="H460" t="s">
        <v>79</v>
      </c>
      <c r="I460" t="s">
        <v>80</v>
      </c>
      <c r="J460" t="s">
        <v>196</v>
      </c>
      <c r="K460" t="s">
        <v>13</v>
      </c>
      <c r="L460" t="s">
        <v>83</v>
      </c>
      <c r="M460" t="s">
        <v>84</v>
      </c>
      <c r="N460">
        <v>1</v>
      </c>
      <c r="O460" t="b">
        <v>1</v>
      </c>
      <c r="P460">
        <v>0</v>
      </c>
      <c r="BB460">
        <v>0</v>
      </c>
      <c r="BC460" t="s">
        <v>306</v>
      </c>
      <c r="BD460" t="s">
        <v>337</v>
      </c>
      <c r="BE460" t="s">
        <v>117</v>
      </c>
      <c r="BF460">
        <v>0</v>
      </c>
      <c r="BG460">
        <v>30</v>
      </c>
      <c r="BH460">
        <v>30000</v>
      </c>
      <c r="BI460" t="s">
        <v>328</v>
      </c>
    </row>
    <row r="461" spans="1:61">
      <c r="A461" s="164" t="s">
        <v>1360</v>
      </c>
      <c r="B461" t="s">
        <v>1361</v>
      </c>
      <c r="C461">
        <v>0</v>
      </c>
      <c r="D461" t="s">
        <v>304</v>
      </c>
      <c r="E461">
        <v>0</v>
      </c>
      <c r="F461" t="s">
        <v>357</v>
      </c>
      <c r="G461" t="s">
        <v>78</v>
      </c>
      <c r="H461" t="s">
        <v>79</v>
      </c>
      <c r="I461" t="s">
        <v>80</v>
      </c>
      <c r="J461" t="s">
        <v>196</v>
      </c>
      <c r="K461" t="s">
        <v>13</v>
      </c>
      <c r="L461" t="s">
        <v>83</v>
      </c>
      <c r="M461" t="s">
        <v>84</v>
      </c>
      <c r="N461">
        <v>1</v>
      </c>
      <c r="O461" t="b">
        <v>1</v>
      </c>
      <c r="P461">
        <v>0</v>
      </c>
      <c r="BB461">
        <v>0</v>
      </c>
      <c r="BC461" t="s">
        <v>306</v>
      </c>
      <c r="BD461" t="s">
        <v>358</v>
      </c>
      <c r="BE461" t="s">
        <v>117</v>
      </c>
      <c r="BF461">
        <v>0</v>
      </c>
      <c r="BG461">
        <v>25</v>
      </c>
      <c r="BH461">
        <v>500</v>
      </c>
      <c r="BI461" t="s">
        <v>359</v>
      </c>
    </row>
    <row r="462" spans="1:61">
      <c r="A462" s="164" t="s">
        <v>1362</v>
      </c>
      <c r="B462" t="s">
        <v>1363</v>
      </c>
      <c r="C462">
        <v>0</v>
      </c>
      <c r="D462" t="s">
        <v>304</v>
      </c>
      <c r="E462">
        <v>0</v>
      </c>
      <c r="F462" t="s">
        <v>1364</v>
      </c>
      <c r="G462" t="s">
        <v>78</v>
      </c>
      <c r="H462" t="s">
        <v>79</v>
      </c>
      <c r="I462" t="s">
        <v>80</v>
      </c>
      <c r="J462" t="s">
        <v>196</v>
      </c>
      <c r="K462" t="s">
        <v>13</v>
      </c>
      <c r="L462" t="s">
        <v>83</v>
      </c>
      <c r="M462" t="s">
        <v>84</v>
      </c>
      <c r="N462">
        <v>1</v>
      </c>
      <c r="O462" t="b">
        <v>1</v>
      </c>
      <c r="P462">
        <v>0</v>
      </c>
      <c r="BB462">
        <v>0</v>
      </c>
      <c r="BC462" t="s">
        <v>306</v>
      </c>
      <c r="BD462" t="s">
        <v>1365</v>
      </c>
      <c r="BE462" t="s">
        <v>117</v>
      </c>
      <c r="BF462">
        <v>0</v>
      </c>
      <c r="BG462">
        <v>15</v>
      </c>
      <c r="BH462">
        <v>1000</v>
      </c>
      <c r="BI462" t="s">
        <v>1366</v>
      </c>
    </row>
    <row r="463" spans="1:61">
      <c r="A463" s="164" t="s">
        <v>1367</v>
      </c>
      <c r="B463" t="s">
        <v>1368</v>
      </c>
      <c r="C463">
        <v>0</v>
      </c>
      <c r="D463" t="s">
        <v>304</v>
      </c>
      <c r="E463">
        <v>0</v>
      </c>
      <c r="F463" t="s">
        <v>349</v>
      </c>
      <c r="G463" t="s">
        <v>78</v>
      </c>
      <c r="H463" t="s">
        <v>79</v>
      </c>
      <c r="I463" t="s">
        <v>80</v>
      </c>
      <c r="J463" t="s">
        <v>196</v>
      </c>
      <c r="K463" t="s">
        <v>13</v>
      </c>
      <c r="L463" t="s">
        <v>83</v>
      </c>
      <c r="M463" t="s">
        <v>84</v>
      </c>
      <c r="N463">
        <v>1</v>
      </c>
      <c r="O463" t="b">
        <v>1</v>
      </c>
      <c r="P463">
        <v>0</v>
      </c>
      <c r="BB463">
        <v>0</v>
      </c>
      <c r="BC463" t="s">
        <v>306</v>
      </c>
      <c r="BD463" t="s">
        <v>350</v>
      </c>
      <c r="BE463" t="s">
        <v>117</v>
      </c>
      <c r="BF463">
        <v>0</v>
      </c>
      <c r="BG463">
        <v>25</v>
      </c>
      <c r="BH463">
        <v>10000</v>
      </c>
      <c r="BI463" t="s">
        <v>344</v>
      </c>
    </row>
    <row r="464" spans="1:61">
      <c r="A464" s="164" t="s">
        <v>1369</v>
      </c>
      <c r="B464" t="s">
        <v>1370</v>
      </c>
      <c r="C464">
        <v>0</v>
      </c>
      <c r="D464" t="s">
        <v>304</v>
      </c>
      <c r="E464">
        <v>0</v>
      </c>
      <c r="F464" t="s">
        <v>349</v>
      </c>
      <c r="G464" t="s">
        <v>78</v>
      </c>
      <c r="H464" t="s">
        <v>79</v>
      </c>
      <c r="I464" t="s">
        <v>80</v>
      </c>
      <c r="J464" t="s">
        <v>196</v>
      </c>
      <c r="K464" t="s">
        <v>13</v>
      </c>
      <c r="L464" t="s">
        <v>83</v>
      </c>
      <c r="M464" t="s">
        <v>84</v>
      </c>
      <c r="N464">
        <v>1</v>
      </c>
      <c r="O464" t="b">
        <v>1</v>
      </c>
      <c r="P464">
        <v>0</v>
      </c>
      <c r="BB464">
        <v>0</v>
      </c>
      <c r="BC464" t="s">
        <v>306</v>
      </c>
      <c r="BD464" t="s">
        <v>350</v>
      </c>
      <c r="BE464" t="s">
        <v>117</v>
      </c>
      <c r="BF464">
        <v>0</v>
      </c>
      <c r="BG464">
        <v>25</v>
      </c>
      <c r="BH464">
        <v>10000</v>
      </c>
      <c r="BI464" t="s">
        <v>344</v>
      </c>
    </row>
    <row r="465" spans="1:61">
      <c r="A465" s="164" t="s">
        <v>1371</v>
      </c>
      <c r="B465" t="s">
        <v>1372</v>
      </c>
      <c r="C465">
        <v>0</v>
      </c>
      <c r="D465" t="s">
        <v>304</v>
      </c>
      <c r="E465">
        <v>0</v>
      </c>
      <c r="F465" t="s">
        <v>342</v>
      </c>
      <c r="G465" t="s">
        <v>78</v>
      </c>
      <c r="H465" t="s">
        <v>79</v>
      </c>
      <c r="I465" t="s">
        <v>80</v>
      </c>
      <c r="J465" t="s">
        <v>196</v>
      </c>
      <c r="K465" t="s">
        <v>13</v>
      </c>
      <c r="L465" t="s">
        <v>83</v>
      </c>
      <c r="M465" t="s">
        <v>84</v>
      </c>
      <c r="N465">
        <v>1</v>
      </c>
      <c r="O465" t="b">
        <v>1</v>
      </c>
      <c r="P465">
        <v>0</v>
      </c>
      <c r="BB465">
        <v>0</v>
      </c>
      <c r="BC465" t="s">
        <v>306</v>
      </c>
      <c r="BD465" t="s">
        <v>343</v>
      </c>
      <c r="BE465" t="s">
        <v>117</v>
      </c>
      <c r="BF465">
        <v>0</v>
      </c>
      <c r="BG465">
        <v>25</v>
      </c>
      <c r="BH465">
        <v>10000</v>
      </c>
      <c r="BI465" t="s">
        <v>344</v>
      </c>
    </row>
    <row r="466" spans="1:61">
      <c r="A466" s="164" t="s">
        <v>1373</v>
      </c>
      <c r="B466" t="s">
        <v>1374</v>
      </c>
      <c r="C466">
        <v>0</v>
      </c>
      <c r="D466" t="s">
        <v>304</v>
      </c>
      <c r="E466">
        <v>0</v>
      </c>
      <c r="F466" t="s">
        <v>269</v>
      </c>
      <c r="G466" t="s">
        <v>103</v>
      </c>
      <c r="H466" t="s">
        <v>104</v>
      </c>
      <c r="I466" t="s">
        <v>80</v>
      </c>
      <c r="J466" t="s">
        <v>196</v>
      </c>
      <c r="K466" t="s">
        <v>13</v>
      </c>
      <c r="L466" t="s">
        <v>83</v>
      </c>
      <c r="M466" t="s">
        <v>84</v>
      </c>
      <c r="N466">
        <v>1</v>
      </c>
      <c r="O466" t="b">
        <v>0</v>
      </c>
      <c r="P466">
        <v>0</v>
      </c>
      <c r="BB466">
        <v>0</v>
      </c>
      <c r="BC466" t="s">
        <v>306</v>
      </c>
      <c r="BD466" t="s">
        <v>270</v>
      </c>
      <c r="BE466" t="s">
        <v>117</v>
      </c>
      <c r="BF466">
        <v>0</v>
      </c>
      <c r="BG466">
        <v>0</v>
      </c>
      <c r="BH466">
        <v>0</v>
      </c>
    </row>
    <row r="467" spans="1:61">
      <c r="A467" s="164" t="s">
        <v>1375</v>
      </c>
      <c r="B467" t="s">
        <v>1376</v>
      </c>
      <c r="C467">
        <v>0</v>
      </c>
      <c r="D467" t="s">
        <v>304</v>
      </c>
      <c r="E467">
        <v>0</v>
      </c>
      <c r="F467" t="s">
        <v>305</v>
      </c>
      <c r="G467" t="s">
        <v>78</v>
      </c>
      <c r="H467" t="s">
        <v>79</v>
      </c>
      <c r="I467" t="s">
        <v>80</v>
      </c>
      <c r="J467" t="s">
        <v>196</v>
      </c>
      <c r="K467" t="s">
        <v>13</v>
      </c>
      <c r="L467" t="s">
        <v>83</v>
      </c>
      <c r="M467" t="s">
        <v>84</v>
      </c>
      <c r="N467">
        <v>1</v>
      </c>
      <c r="O467" t="b">
        <v>1</v>
      </c>
      <c r="P467">
        <v>0</v>
      </c>
      <c r="BB467">
        <v>0</v>
      </c>
      <c r="BC467" t="s">
        <v>306</v>
      </c>
      <c r="BD467" t="s">
        <v>307</v>
      </c>
      <c r="BE467" t="s">
        <v>117</v>
      </c>
      <c r="BF467">
        <v>0</v>
      </c>
      <c r="BG467">
        <v>25</v>
      </c>
      <c r="BH467">
        <v>20000</v>
      </c>
      <c r="BI467" t="s">
        <v>308</v>
      </c>
    </row>
    <row r="468" spans="1:61">
      <c r="A468" s="164" t="s">
        <v>1377</v>
      </c>
      <c r="B468" t="s">
        <v>1378</v>
      </c>
      <c r="C468">
        <v>0</v>
      </c>
      <c r="D468" t="s">
        <v>304</v>
      </c>
      <c r="E468">
        <v>0</v>
      </c>
      <c r="F468" t="s">
        <v>269</v>
      </c>
      <c r="G468" t="s">
        <v>103</v>
      </c>
      <c r="H468" t="s">
        <v>104</v>
      </c>
      <c r="I468" t="s">
        <v>80</v>
      </c>
      <c r="J468" t="s">
        <v>196</v>
      </c>
      <c r="K468" t="s">
        <v>13</v>
      </c>
      <c r="L468" t="s">
        <v>83</v>
      </c>
      <c r="M468" t="s">
        <v>84</v>
      </c>
      <c r="N468">
        <v>1</v>
      </c>
      <c r="O468" t="b">
        <v>0</v>
      </c>
      <c r="P468">
        <v>0</v>
      </c>
      <c r="BB468">
        <v>0</v>
      </c>
      <c r="BC468" t="s">
        <v>306</v>
      </c>
      <c r="BD468" t="s">
        <v>270</v>
      </c>
      <c r="BE468" t="s">
        <v>117</v>
      </c>
      <c r="BF468">
        <v>0</v>
      </c>
      <c r="BG468">
        <v>0</v>
      </c>
      <c r="BH468">
        <v>0</v>
      </c>
    </row>
    <row r="469" spans="1:61">
      <c r="A469" s="164" t="s">
        <v>1379</v>
      </c>
      <c r="B469" t="s">
        <v>1380</v>
      </c>
      <c r="C469">
        <v>0</v>
      </c>
      <c r="D469" t="s">
        <v>304</v>
      </c>
      <c r="E469">
        <v>0</v>
      </c>
      <c r="F469" t="s">
        <v>342</v>
      </c>
      <c r="G469" t="s">
        <v>78</v>
      </c>
      <c r="H469" t="s">
        <v>79</v>
      </c>
      <c r="I469" t="s">
        <v>80</v>
      </c>
      <c r="J469" t="s">
        <v>196</v>
      </c>
      <c r="K469" t="s">
        <v>13</v>
      </c>
      <c r="L469" t="s">
        <v>83</v>
      </c>
      <c r="M469" t="s">
        <v>84</v>
      </c>
      <c r="N469">
        <v>1</v>
      </c>
      <c r="O469" t="b">
        <v>1</v>
      </c>
      <c r="P469">
        <v>0</v>
      </c>
      <c r="BB469">
        <v>0</v>
      </c>
      <c r="BC469" t="s">
        <v>306</v>
      </c>
      <c r="BD469" t="s">
        <v>343</v>
      </c>
      <c r="BE469" t="s">
        <v>117</v>
      </c>
      <c r="BF469">
        <v>0</v>
      </c>
      <c r="BG469">
        <v>25</v>
      </c>
      <c r="BH469">
        <v>10000</v>
      </c>
      <c r="BI469" t="s">
        <v>344</v>
      </c>
    </row>
    <row r="470" spans="1:61">
      <c r="A470" s="164" t="s">
        <v>1381</v>
      </c>
      <c r="B470" t="s">
        <v>1382</v>
      </c>
      <c r="C470">
        <v>0</v>
      </c>
      <c r="D470" t="s">
        <v>304</v>
      </c>
      <c r="E470">
        <v>0</v>
      </c>
      <c r="F470" t="s">
        <v>269</v>
      </c>
      <c r="G470" t="s">
        <v>103</v>
      </c>
      <c r="H470" t="s">
        <v>104</v>
      </c>
      <c r="I470" t="s">
        <v>80</v>
      </c>
      <c r="J470" t="s">
        <v>196</v>
      </c>
      <c r="K470" t="s">
        <v>13</v>
      </c>
      <c r="L470" t="s">
        <v>83</v>
      </c>
      <c r="M470" t="s">
        <v>84</v>
      </c>
      <c r="N470">
        <v>1</v>
      </c>
      <c r="O470" t="b">
        <v>0</v>
      </c>
      <c r="P470">
        <v>0</v>
      </c>
      <c r="BB470">
        <v>0</v>
      </c>
      <c r="BC470" t="s">
        <v>306</v>
      </c>
      <c r="BD470" t="s">
        <v>270</v>
      </c>
      <c r="BE470" t="s">
        <v>117</v>
      </c>
      <c r="BF470">
        <v>0</v>
      </c>
      <c r="BG470">
        <v>0</v>
      </c>
      <c r="BH470">
        <v>0</v>
      </c>
    </row>
    <row r="471" spans="1:61">
      <c r="A471" s="164" t="s">
        <v>1383</v>
      </c>
      <c r="B471" t="s">
        <v>1384</v>
      </c>
      <c r="C471">
        <v>0</v>
      </c>
      <c r="D471" t="s">
        <v>304</v>
      </c>
      <c r="E471">
        <v>0</v>
      </c>
      <c r="F471" t="s">
        <v>357</v>
      </c>
      <c r="G471" t="s">
        <v>78</v>
      </c>
      <c r="H471" t="s">
        <v>79</v>
      </c>
      <c r="I471" t="s">
        <v>80</v>
      </c>
      <c r="J471" t="s">
        <v>196</v>
      </c>
      <c r="K471" t="s">
        <v>13</v>
      </c>
      <c r="L471" t="s">
        <v>83</v>
      </c>
      <c r="M471" t="s">
        <v>84</v>
      </c>
      <c r="N471">
        <v>1</v>
      </c>
      <c r="O471" t="b">
        <v>1</v>
      </c>
      <c r="P471">
        <v>0</v>
      </c>
      <c r="BB471">
        <v>0</v>
      </c>
      <c r="BC471" t="s">
        <v>306</v>
      </c>
      <c r="BD471" t="s">
        <v>358</v>
      </c>
      <c r="BE471" t="s">
        <v>117</v>
      </c>
      <c r="BF471">
        <v>0</v>
      </c>
      <c r="BG471">
        <v>25</v>
      </c>
      <c r="BH471">
        <v>500</v>
      </c>
      <c r="BI471" t="s">
        <v>359</v>
      </c>
    </row>
    <row r="472" spans="1:61">
      <c r="A472" s="164" t="s">
        <v>1385</v>
      </c>
      <c r="B472" t="s">
        <v>1386</v>
      </c>
      <c r="C472">
        <v>0</v>
      </c>
      <c r="D472" t="s">
        <v>304</v>
      </c>
      <c r="E472">
        <v>0</v>
      </c>
      <c r="F472" t="s">
        <v>342</v>
      </c>
      <c r="G472" t="s">
        <v>78</v>
      </c>
      <c r="H472" t="s">
        <v>79</v>
      </c>
      <c r="I472" t="s">
        <v>80</v>
      </c>
      <c r="J472" t="s">
        <v>196</v>
      </c>
      <c r="K472" t="s">
        <v>13</v>
      </c>
      <c r="L472" t="s">
        <v>83</v>
      </c>
      <c r="M472" t="s">
        <v>84</v>
      </c>
      <c r="N472">
        <v>1</v>
      </c>
      <c r="O472" t="b">
        <v>1</v>
      </c>
      <c r="P472">
        <v>0</v>
      </c>
      <c r="BB472">
        <v>0</v>
      </c>
      <c r="BC472" t="s">
        <v>306</v>
      </c>
      <c r="BD472" t="s">
        <v>343</v>
      </c>
      <c r="BE472" t="s">
        <v>117</v>
      </c>
      <c r="BF472">
        <v>0</v>
      </c>
      <c r="BG472">
        <v>25</v>
      </c>
      <c r="BH472">
        <v>10000</v>
      </c>
      <c r="BI472" t="s">
        <v>344</v>
      </c>
    </row>
    <row r="473" spans="1:61">
      <c r="A473" s="164" t="s">
        <v>1387</v>
      </c>
      <c r="B473" t="s">
        <v>1388</v>
      </c>
      <c r="C473">
        <v>0</v>
      </c>
      <c r="D473" t="s">
        <v>304</v>
      </c>
      <c r="E473">
        <v>0</v>
      </c>
      <c r="F473" t="s">
        <v>342</v>
      </c>
      <c r="G473" t="s">
        <v>78</v>
      </c>
      <c r="H473" t="s">
        <v>79</v>
      </c>
      <c r="I473" t="s">
        <v>80</v>
      </c>
      <c r="J473" t="s">
        <v>196</v>
      </c>
      <c r="K473" t="s">
        <v>13</v>
      </c>
      <c r="L473" t="s">
        <v>83</v>
      </c>
      <c r="M473" t="s">
        <v>84</v>
      </c>
      <c r="N473">
        <v>1</v>
      </c>
      <c r="O473" t="b">
        <v>1</v>
      </c>
      <c r="P473">
        <v>0</v>
      </c>
      <c r="BB473">
        <v>0</v>
      </c>
      <c r="BC473" t="s">
        <v>306</v>
      </c>
      <c r="BD473" t="s">
        <v>343</v>
      </c>
      <c r="BE473" t="s">
        <v>117</v>
      </c>
      <c r="BF473">
        <v>0</v>
      </c>
      <c r="BG473">
        <v>25</v>
      </c>
      <c r="BH473">
        <v>10000</v>
      </c>
      <c r="BI473" t="s">
        <v>344</v>
      </c>
    </row>
    <row r="474" spans="1:61">
      <c r="A474" s="164" t="s">
        <v>1389</v>
      </c>
      <c r="B474" t="s">
        <v>1390</v>
      </c>
      <c r="C474">
        <v>0</v>
      </c>
      <c r="D474" t="s">
        <v>304</v>
      </c>
      <c r="E474">
        <v>0</v>
      </c>
      <c r="F474" t="s">
        <v>305</v>
      </c>
      <c r="G474" t="s">
        <v>78</v>
      </c>
      <c r="H474" t="s">
        <v>79</v>
      </c>
      <c r="I474" t="s">
        <v>80</v>
      </c>
      <c r="J474" t="s">
        <v>196</v>
      </c>
      <c r="K474" t="s">
        <v>13</v>
      </c>
      <c r="L474" t="s">
        <v>83</v>
      </c>
      <c r="M474" t="s">
        <v>84</v>
      </c>
      <c r="N474">
        <v>1</v>
      </c>
      <c r="O474" t="b">
        <v>1</v>
      </c>
      <c r="P474">
        <v>0</v>
      </c>
      <c r="BB474">
        <v>0</v>
      </c>
      <c r="BC474" t="s">
        <v>306</v>
      </c>
      <c r="BD474" t="s">
        <v>307</v>
      </c>
      <c r="BE474" t="s">
        <v>117</v>
      </c>
      <c r="BF474">
        <v>0</v>
      </c>
      <c r="BG474">
        <v>25</v>
      </c>
      <c r="BH474">
        <v>10000</v>
      </c>
      <c r="BI474" t="s">
        <v>308</v>
      </c>
    </row>
    <row r="475" spans="1:61">
      <c r="A475" s="164" t="s">
        <v>1391</v>
      </c>
      <c r="B475" t="s">
        <v>1392</v>
      </c>
      <c r="C475">
        <v>0</v>
      </c>
      <c r="D475" t="s">
        <v>304</v>
      </c>
      <c r="E475">
        <v>0</v>
      </c>
      <c r="F475" t="s">
        <v>313</v>
      </c>
      <c r="G475" t="s">
        <v>78</v>
      </c>
      <c r="H475" t="s">
        <v>79</v>
      </c>
      <c r="I475" t="s">
        <v>80</v>
      </c>
      <c r="J475" t="s">
        <v>196</v>
      </c>
      <c r="K475" t="s">
        <v>13</v>
      </c>
      <c r="L475" t="s">
        <v>83</v>
      </c>
      <c r="M475" t="s">
        <v>205</v>
      </c>
      <c r="N475">
        <v>1</v>
      </c>
      <c r="O475" t="b">
        <v>1</v>
      </c>
      <c r="P475">
        <v>0</v>
      </c>
      <c r="BB475">
        <v>0</v>
      </c>
      <c r="BC475" t="s">
        <v>306</v>
      </c>
      <c r="BD475" t="s">
        <v>314</v>
      </c>
      <c r="BE475" t="s">
        <v>117</v>
      </c>
      <c r="BF475">
        <v>0</v>
      </c>
      <c r="BG475">
        <v>45</v>
      </c>
      <c r="BH475">
        <v>300</v>
      </c>
      <c r="BI475" t="s">
        <v>315</v>
      </c>
    </row>
    <row r="476" spans="1:61">
      <c r="A476" s="164" t="s">
        <v>1393</v>
      </c>
      <c r="B476" t="s">
        <v>1394</v>
      </c>
      <c r="C476">
        <v>0</v>
      </c>
      <c r="D476" t="s">
        <v>304</v>
      </c>
      <c r="E476">
        <v>0</v>
      </c>
      <c r="F476" t="s">
        <v>305</v>
      </c>
      <c r="G476" t="s">
        <v>78</v>
      </c>
      <c r="H476" t="s">
        <v>79</v>
      </c>
      <c r="I476" t="s">
        <v>80</v>
      </c>
      <c r="J476" t="s">
        <v>196</v>
      </c>
      <c r="K476" t="s">
        <v>13</v>
      </c>
      <c r="L476" t="s">
        <v>83</v>
      </c>
      <c r="M476" t="s">
        <v>84</v>
      </c>
      <c r="N476">
        <v>1</v>
      </c>
      <c r="O476" t="b">
        <v>1</v>
      </c>
      <c r="P476">
        <v>0</v>
      </c>
      <c r="BB476">
        <v>0</v>
      </c>
      <c r="BC476" t="s">
        <v>306</v>
      </c>
      <c r="BD476" t="s">
        <v>307</v>
      </c>
      <c r="BE476" t="s">
        <v>117</v>
      </c>
      <c r="BF476">
        <v>0</v>
      </c>
      <c r="BG476">
        <v>25</v>
      </c>
      <c r="BH476">
        <v>10000</v>
      </c>
      <c r="BI476" t="s">
        <v>308</v>
      </c>
    </row>
    <row r="477" spans="1:61">
      <c r="A477" s="164" t="s">
        <v>1395</v>
      </c>
      <c r="B477" t="s">
        <v>1396</v>
      </c>
      <c r="C477">
        <v>0</v>
      </c>
      <c r="D477" t="s">
        <v>304</v>
      </c>
      <c r="E477">
        <v>0</v>
      </c>
      <c r="F477" t="s">
        <v>305</v>
      </c>
      <c r="G477" t="s">
        <v>78</v>
      </c>
      <c r="H477" t="s">
        <v>79</v>
      </c>
      <c r="I477" t="s">
        <v>80</v>
      </c>
      <c r="J477" t="s">
        <v>196</v>
      </c>
      <c r="K477" t="s">
        <v>13</v>
      </c>
      <c r="L477" t="s">
        <v>83</v>
      </c>
      <c r="M477" t="s">
        <v>84</v>
      </c>
      <c r="N477">
        <v>1</v>
      </c>
      <c r="O477" t="b">
        <v>1</v>
      </c>
      <c r="P477">
        <v>0</v>
      </c>
      <c r="BB477">
        <v>0</v>
      </c>
      <c r="BC477" t="s">
        <v>306</v>
      </c>
      <c r="BD477" t="s">
        <v>307</v>
      </c>
      <c r="BE477" t="s">
        <v>117</v>
      </c>
      <c r="BF477">
        <v>0</v>
      </c>
      <c r="BG477">
        <v>25</v>
      </c>
      <c r="BH477">
        <v>10000</v>
      </c>
      <c r="BI477" t="s">
        <v>308</v>
      </c>
    </row>
    <row r="478" spans="1:61">
      <c r="A478" s="164" t="s">
        <v>1397</v>
      </c>
      <c r="B478" t="s">
        <v>1398</v>
      </c>
      <c r="C478">
        <v>0</v>
      </c>
      <c r="D478" t="s">
        <v>304</v>
      </c>
      <c r="E478">
        <v>0</v>
      </c>
      <c r="F478" t="s">
        <v>305</v>
      </c>
      <c r="G478" t="s">
        <v>78</v>
      </c>
      <c r="H478" t="s">
        <v>79</v>
      </c>
      <c r="I478" t="s">
        <v>80</v>
      </c>
      <c r="J478" t="s">
        <v>196</v>
      </c>
      <c r="K478" t="s">
        <v>13</v>
      </c>
      <c r="L478" t="s">
        <v>83</v>
      </c>
      <c r="M478" t="s">
        <v>84</v>
      </c>
      <c r="N478">
        <v>1</v>
      </c>
      <c r="O478" t="b">
        <v>1</v>
      </c>
      <c r="P478">
        <v>0</v>
      </c>
      <c r="BB478">
        <v>0</v>
      </c>
      <c r="BC478" t="s">
        <v>306</v>
      </c>
      <c r="BD478" t="s">
        <v>307</v>
      </c>
      <c r="BE478" t="s">
        <v>117</v>
      </c>
      <c r="BF478">
        <v>0</v>
      </c>
      <c r="BG478">
        <v>25</v>
      </c>
      <c r="BH478">
        <v>10000</v>
      </c>
      <c r="BI478" t="s">
        <v>308</v>
      </c>
    </row>
    <row r="479" spans="1:61">
      <c r="A479" s="164" t="s">
        <v>1399</v>
      </c>
      <c r="B479" t="s">
        <v>1400</v>
      </c>
      <c r="C479">
        <v>0</v>
      </c>
      <c r="D479" t="s">
        <v>304</v>
      </c>
      <c r="E479">
        <v>0</v>
      </c>
      <c r="F479" t="s">
        <v>331</v>
      </c>
      <c r="G479" t="s">
        <v>78</v>
      </c>
      <c r="H479" t="s">
        <v>79</v>
      </c>
      <c r="I479" t="s">
        <v>80</v>
      </c>
      <c r="J479" t="s">
        <v>196</v>
      </c>
      <c r="K479" t="s">
        <v>13</v>
      </c>
      <c r="L479" t="s">
        <v>83</v>
      </c>
      <c r="M479" t="s">
        <v>84</v>
      </c>
      <c r="N479">
        <v>1</v>
      </c>
      <c r="O479" t="b">
        <v>1</v>
      </c>
      <c r="P479">
        <v>0</v>
      </c>
      <c r="BB479">
        <v>0</v>
      </c>
      <c r="BC479" t="s">
        <v>306</v>
      </c>
      <c r="BD479" t="s">
        <v>332</v>
      </c>
      <c r="BE479" t="s">
        <v>117</v>
      </c>
      <c r="BF479">
        <v>0</v>
      </c>
      <c r="BG479">
        <v>60</v>
      </c>
      <c r="BH479">
        <v>200000</v>
      </c>
      <c r="BI479" t="s">
        <v>333</v>
      </c>
    </row>
    <row r="480" spans="1:61">
      <c r="A480" s="165" t="s">
        <v>1401</v>
      </c>
      <c r="B480" t="s">
        <v>1402</v>
      </c>
      <c r="C480">
        <v>0</v>
      </c>
      <c r="D480" t="s">
        <v>304</v>
      </c>
      <c r="E480">
        <v>0</v>
      </c>
      <c r="F480" t="s">
        <v>269</v>
      </c>
      <c r="G480" t="s">
        <v>103</v>
      </c>
      <c r="H480" t="s">
        <v>104</v>
      </c>
      <c r="I480" t="s">
        <v>80</v>
      </c>
      <c r="J480" t="s">
        <v>196</v>
      </c>
      <c r="K480" t="s">
        <v>13</v>
      </c>
      <c r="L480" t="s">
        <v>83</v>
      </c>
      <c r="M480" t="s">
        <v>84</v>
      </c>
      <c r="N480">
        <v>1</v>
      </c>
      <c r="O480" t="b">
        <v>0</v>
      </c>
      <c r="P480">
        <v>0</v>
      </c>
      <c r="BB480">
        <v>0</v>
      </c>
      <c r="BC480" t="s">
        <v>306</v>
      </c>
      <c r="BD480" t="s">
        <v>270</v>
      </c>
      <c r="BE480" t="s">
        <v>117</v>
      </c>
      <c r="BF480">
        <v>0</v>
      </c>
      <c r="BG480">
        <v>0</v>
      </c>
      <c r="BH480">
        <v>0</v>
      </c>
    </row>
    <row r="481" spans="1:61">
      <c r="A481" s="164" t="s">
        <v>1403</v>
      </c>
      <c r="B481" t="s">
        <v>1404</v>
      </c>
      <c r="C481">
        <v>0</v>
      </c>
      <c r="D481" t="s">
        <v>304</v>
      </c>
      <c r="E481">
        <v>0</v>
      </c>
      <c r="F481" t="s">
        <v>269</v>
      </c>
      <c r="G481" t="s">
        <v>103</v>
      </c>
      <c r="H481" t="s">
        <v>104</v>
      </c>
      <c r="I481" t="s">
        <v>80</v>
      </c>
      <c r="J481" t="s">
        <v>196</v>
      </c>
      <c r="K481" t="s">
        <v>13</v>
      </c>
      <c r="L481" t="s">
        <v>83</v>
      </c>
      <c r="M481" t="s">
        <v>84</v>
      </c>
      <c r="N481">
        <v>1</v>
      </c>
      <c r="O481" t="b">
        <v>0</v>
      </c>
      <c r="P481">
        <v>0</v>
      </c>
      <c r="BB481">
        <v>0</v>
      </c>
      <c r="BC481" t="s">
        <v>306</v>
      </c>
      <c r="BD481" t="s">
        <v>270</v>
      </c>
      <c r="BE481" t="s">
        <v>117</v>
      </c>
      <c r="BF481">
        <v>0</v>
      </c>
      <c r="BG481">
        <v>0</v>
      </c>
      <c r="BH481">
        <v>0</v>
      </c>
    </row>
    <row r="482" spans="1:61">
      <c r="A482" s="164" t="s">
        <v>1405</v>
      </c>
      <c r="B482" t="s">
        <v>1406</v>
      </c>
      <c r="C482">
        <v>0</v>
      </c>
      <c r="D482" t="s">
        <v>304</v>
      </c>
      <c r="E482">
        <v>0</v>
      </c>
      <c r="F482" t="s">
        <v>269</v>
      </c>
      <c r="G482" t="s">
        <v>103</v>
      </c>
      <c r="H482" t="s">
        <v>104</v>
      </c>
      <c r="I482" t="s">
        <v>80</v>
      </c>
      <c r="J482" t="s">
        <v>196</v>
      </c>
      <c r="K482" t="s">
        <v>13</v>
      </c>
      <c r="L482" t="s">
        <v>83</v>
      </c>
      <c r="M482" t="s">
        <v>84</v>
      </c>
      <c r="N482">
        <v>1</v>
      </c>
      <c r="O482" t="b">
        <v>0</v>
      </c>
      <c r="P482">
        <v>0</v>
      </c>
      <c r="BB482">
        <v>0</v>
      </c>
      <c r="BC482" t="s">
        <v>306</v>
      </c>
      <c r="BD482" t="s">
        <v>270</v>
      </c>
      <c r="BE482" t="s">
        <v>117</v>
      </c>
      <c r="BF482">
        <v>0</v>
      </c>
      <c r="BG482">
        <v>0</v>
      </c>
      <c r="BH482">
        <v>0</v>
      </c>
    </row>
    <row r="483" spans="1:61">
      <c r="A483" s="164" t="s">
        <v>1407</v>
      </c>
      <c r="B483" t="s">
        <v>1408</v>
      </c>
      <c r="C483">
        <v>0</v>
      </c>
      <c r="D483" t="s">
        <v>304</v>
      </c>
      <c r="E483">
        <v>0</v>
      </c>
      <c r="F483" t="s">
        <v>269</v>
      </c>
      <c r="G483" t="s">
        <v>103</v>
      </c>
      <c r="H483" t="s">
        <v>104</v>
      </c>
      <c r="I483" t="s">
        <v>80</v>
      </c>
      <c r="J483" t="s">
        <v>196</v>
      </c>
      <c r="K483" t="s">
        <v>13</v>
      </c>
      <c r="L483" t="s">
        <v>83</v>
      </c>
      <c r="M483" t="s">
        <v>84</v>
      </c>
      <c r="N483">
        <v>1</v>
      </c>
      <c r="O483" t="b">
        <v>0</v>
      </c>
      <c r="P483">
        <v>0</v>
      </c>
      <c r="BB483">
        <v>0</v>
      </c>
      <c r="BC483" t="s">
        <v>306</v>
      </c>
      <c r="BD483" t="s">
        <v>270</v>
      </c>
      <c r="BE483" t="s">
        <v>117</v>
      </c>
      <c r="BF483">
        <v>0</v>
      </c>
      <c r="BG483">
        <v>0</v>
      </c>
      <c r="BH483">
        <v>0</v>
      </c>
    </row>
    <row r="484" spans="1:61">
      <c r="A484" s="164" t="s">
        <v>1409</v>
      </c>
      <c r="B484" t="s">
        <v>1410</v>
      </c>
      <c r="C484">
        <v>0</v>
      </c>
      <c r="D484" t="s">
        <v>304</v>
      </c>
      <c r="E484">
        <v>0</v>
      </c>
      <c r="F484" t="s">
        <v>269</v>
      </c>
      <c r="G484" t="s">
        <v>103</v>
      </c>
      <c r="H484" t="s">
        <v>104</v>
      </c>
      <c r="I484" t="s">
        <v>80</v>
      </c>
      <c r="J484" t="s">
        <v>196</v>
      </c>
      <c r="K484" t="s">
        <v>13</v>
      </c>
      <c r="L484" t="s">
        <v>83</v>
      </c>
      <c r="M484" t="s">
        <v>84</v>
      </c>
      <c r="N484">
        <v>1</v>
      </c>
      <c r="O484" t="b">
        <v>0</v>
      </c>
      <c r="P484">
        <v>0</v>
      </c>
      <c r="BB484">
        <v>0</v>
      </c>
      <c r="BC484" t="s">
        <v>306</v>
      </c>
      <c r="BD484" t="s">
        <v>270</v>
      </c>
      <c r="BE484" t="s">
        <v>117</v>
      </c>
      <c r="BF484">
        <v>0</v>
      </c>
      <c r="BG484">
        <v>0</v>
      </c>
      <c r="BH484">
        <v>0</v>
      </c>
    </row>
    <row r="485" spans="1:61">
      <c r="A485" s="164" t="s">
        <v>1411</v>
      </c>
      <c r="B485" t="s">
        <v>1412</v>
      </c>
      <c r="C485">
        <v>0</v>
      </c>
      <c r="D485" t="s">
        <v>304</v>
      </c>
      <c r="E485">
        <v>0</v>
      </c>
      <c r="F485" t="s">
        <v>269</v>
      </c>
      <c r="G485" t="s">
        <v>103</v>
      </c>
      <c r="H485" t="s">
        <v>104</v>
      </c>
      <c r="I485" t="s">
        <v>80</v>
      </c>
      <c r="J485" t="s">
        <v>196</v>
      </c>
      <c r="K485" t="s">
        <v>13</v>
      </c>
      <c r="L485" t="s">
        <v>83</v>
      </c>
      <c r="M485" t="s">
        <v>84</v>
      </c>
      <c r="N485">
        <v>1</v>
      </c>
      <c r="O485" t="b">
        <v>0</v>
      </c>
      <c r="P485">
        <v>0</v>
      </c>
      <c r="BB485">
        <v>0</v>
      </c>
      <c r="BC485" t="s">
        <v>306</v>
      </c>
      <c r="BD485" t="s">
        <v>270</v>
      </c>
      <c r="BE485" t="s">
        <v>117</v>
      </c>
      <c r="BF485">
        <v>0</v>
      </c>
      <c r="BG485">
        <v>0</v>
      </c>
      <c r="BH485">
        <v>0</v>
      </c>
    </row>
    <row r="486" spans="1:61">
      <c r="A486" s="164" t="s">
        <v>1413</v>
      </c>
      <c r="B486" t="s">
        <v>1414</v>
      </c>
      <c r="C486">
        <v>0</v>
      </c>
      <c r="D486" t="s">
        <v>304</v>
      </c>
      <c r="E486">
        <v>0</v>
      </c>
      <c r="F486" t="s">
        <v>269</v>
      </c>
      <c r="G486" t="s">
        <v>103</v>
      </c>
      <c r="H486" t="s">
        <v>104</v>
      </c>
      <c r="I486" t="s">
        <v>80</v>
      </c>
      <c r="J486" t="s">
        <v>196</v>
      </c>
      <c r="K486" t="s">
        <v>13</v>
      </c>
      <c r="L486" t="s">
        <v>83</v>
      </c>
      <c r="M486" t="s">
        <v>84</v>
      </c>
      <c r="N486">
        <v>1</v>
      </c>
      <c r="O486" t="b">
        <v>0</v>
      </c>
      <c r="P486">
        <v>0</v>
      </c>
      <c r="BB486">
        <v>0</v>
      </c>
      <c r="BC486" t="s">
        <v>306</v>
      </c>
      <c r="BD486" t="s">
        <v>270</v>
      </c>
      <c r="BE486" t="s">
        <v>117</v>
      </c>
      <c r="BF486">
        <v>0</v>
      </c>
      <c r="BG486">
        <v>0</v>
      </c>
      <c r="BH486">
        <v>0</v>
      </c>
    </row>
    <row r="487" spans="1:61">
      <c r="A487" s="164" t="s">
        <v>1415</v>
      </c>
      <c r="B487" t="s">
        <v>1416</v>
      </c>
      <c r="C487">
        <v>0</v>
      </c>
      <c r="D487" t="s">
        <v>304</v>
      </c>
      <c r="E487">
        <v>0</v>
      </c>
      <c r="F487" t="s">
        <v>342</v>
      </c>
      <c r="G487" t="s">
        <v>78</v>
      </c>
      <c r="H487" t="s">
        <v>79</v>
      </c>
      <c r="I487" t="s">
        <v>80</v>
      </c>
      <c r="J487" t="s">
        <v>196</v>
      </c>
      <c r="K487" t="s">
        <v>13</v>
      </c>
      <c r="L487" t="s">
        <v>83</v>
      </c>
      <c r="M487" t="s">
        <v>84</v>
      </c>
      <c r="N487">
        <v>1</v>
      </c>
      <c r="O487" t="b">
        <v>1</v>
      </c>
      <c r="P487">
        <v>0</v>
      </c>
      <c r="BB487">
        <v>0</v>
      </c>
      <c r="BC487" t="s">
        <v>306</v>
      </c>
      <c r="BD487" t="s">
        <v>343</v>
      </c>
      <c r="BE487" t="s">
        <v>117</v>
      </c>
      <c r="BF487">
        <v>0</v>
      </c>
      <c r="BG487">
        <v>25</v>
      </c>
      <c r="BH487">
        <v>10000</v>
      </c>
      <c r="BI487" t="s">
        <v>344</v>
      </c>
    </row>
    <row r="488" spans="1:61">
      <c r="A488" s="164" t="s">
        <v>1417</v>
      </c>
      <c r="B488" t="s">
        <v>1418</v>
      </c>
      <c r="C488">
        <v>0</v>
      </c>
      <c r="D488" t="s">
        <v>304</v>
      </c>
      <c r="E488">
        <v>0</v>
      </c>
      <c r="F488" t="s">
        <v>313</v>
      </c>
      <c r="G488" t="s">
        <v>78</v>
      </c>
      <c r="H488" t="s">
        <v>79</v>
      </c>
      <c r="I488" t="s">
        <v>80</v>
      </c>
      <c r="J488" t="s">
        <v>196</v>
      </c>
      <c r="K488" t="s">
        <v>13</v>
      </c>
      <c r="L488" t="s">
        <v>83</v>
      </c>
      <c r="M488" t="s">
        <v>205</v>
      </c>
      <c r="N488">
        <v>1</v>
      </c>
      <c r="O488" t="b">
        <v>1</v>
      </c>
      <c r="P488">
        <v>0</v>
      </c>
      <c r="BB488">
        <v>0</v>
      </c>
      <c r="BC488" t="s">
        <v>306</v>
      </c>
      <c r="BD488" t="s">
        <v>314</v>
      </c>
      <c r="BE488" t="s">
        <v>117</v>
      </c>
      <c r="BF488">
        <v>0</v>
      </c>
      <c r="BG488">
        <v>120</v>
      </c>
      <c r="BH488">
        <v>1000</v>
      </c>
      <c r="BI488" t="s">
        <v>1419</v>
      </c>
    </row>
    <row r="489" spans="1:61">
      <c r="A489" s="164" t="s">
        <v>1420</v>
      </c>
      <c r="B489" t="s">
        <v>1421</v>
      </c>
      <c r="C489">
        <v>0</v>
      </c>
      <c r="D489" t="s">
        <v>304</v>
      </c>
      <c r="E489">
        <v>0</v>
      </c>
      <c r="F489" t="s">
        <v>313</v>
      </c>
      <c r="G489" t="s">
        <v>78</v>
      </c>
      <c r="H489" t="s">
        <v>79</v>
      </c>
      <c r="I489" t="s">
        <v>80</v>
      </c>
      <c r="J489" t="s">
        <v>196</v>
      </c>
      <c r="K489" t="s">
        <v>13</v>
      </c>
      <c r="L489" t="s">
        <v>83</v>
      </c>
      <c r="M489" t="s">
        <v>205</v>
      </c>
      <c r="N489">
        <v>1</v>
      </c>
      <c r="O489" t="b">
        <v>1</v>
      </c>
      <c r="P489">
        <v>0</v>
      </c>
      <c r="BB489">
        <v>0</v>
      </c>
      <c r="BC489" t="s">
        <v>306</v>
      </c>
      <c r="BD489" t="s">
        <v>314</v>
      </c>
      <c r="BE489" t="s">
        <v>117</v>
      </c>
      <c r="BF489">
        <v>0</v>
      </c>
      <c r="BG489">
        <v>120</v>
      </c>
      <c r="BH489">
        <v>1000</v>
      </c>
      <c r="BI489" t="s">
        <v>1419</v>
      </c>
    </row>
    <row r="490" spans="1:61">
      <c r="A490" s="164" t="s">
        <v>1422</v>
      </c>
      <c r="B490" t="s">
        <v>1423</v>
      </c>
      <c r="C490">
        <v>0</v>
      </c>
      <c r="D490" t="s">
        <v>304</v>
      </c>
      <c r="E490">
        <v>0</v>
      </c>
      <c r="F490" t="s">
        <v>269</v>
      </c>
      <c r="G490" t="s">
        <v>103</v>
      </c>
      <c r="H490" t="s">
        <v>104</v>
      </c>
      <c r="I490" t="s">
        <v>80</v>
      </c>
      <c r="J490" t="s">
        <v>196</v>
      </c>
      <c r="K490" t="s">
        <v>13</v>
      </c>
      <c r="L490" t="s">
        <v>83</v>
      </c>
      <c r="M490" t="s">
        <v>84</v>
      </c>
      <c r="N490">
        <v>1</v>
      </c>
      <c r="O490" t="b">
        <v>0</v>
      </c>
      <c r="P490">
        <v>0</v>
      </c>
      <c r="BB490">
        <v>0</v>
      </c>
      <c r="BC490" t="s">
        <v>306</v>
      </c>
      <c r="BD490" t="s">
        <v>270</v>
      </c>
      <c r="BE490" t="s">
        <v>117</v>
      </c>
      <c r="BF490">
        <v>0</v>
      </c>
      <c r="BG490">
        <v>0</v>
      </c>
      <c r="BH490">
        <v>0</v>
      </c>
    </row>
    <row r="491" spans="1:61">
      <c r="A491" s="164" t="s">
        <v>1424</v>
      </c>
      <c r="B491" t="s">
        <v>1425</v>
      </c>
      <c r="C491">
        <v>0</v>
      </c>
      <c r="D491" t="s">
        <v>304</v>
      </c>
      <c r="E491">
        <v>0</v>
      </c>
      <c r="F491" t="s">
        <v>342</v>
      </c>
      <c r="G491" t="s">
        <v>78</v>
      </c>
      <c r="H491" t="s">
        <v>79</v>
      </c>
      <c r="I491" t="s">
        <v>80</v>
      </c>
      <c r="J491" t="s">
        <v>196</v>
      </c>
      <c r="K491" t="s">
        <v>13</v>
      </c>
      <c r="L491" t="s">
        <v>83</v>
      </c>
      <c r="M491" t="s">
        <v>84</v>
      </c>
      <c r="N491">
        <v>1</v>
      </c>
      <c r="O491" t="b">
        <v>1</v>
      </c>
      <c r="P491">
        <v>0</v>
      </c>
      <c r="BB491">
        <v>0</v>
      </c>
      <c r="BC491" t="s">
        <v>306</v>
      </c>
      <c r="BD491" t="s">
        <v>343</v>
      </c>
      <c r="BE491" t="s">
        <v>117</v>
      </c>
      <c r="BF491">
        <v>0</v>
      </c>
      <c r="BG491">
        <v>25</v>
      </c>
      <c r="BH491">
        <v>10000</v>
      </c>
      <c r="BI491" t="s">
        <v>344</v>
      </c>
    </row>
    <row r="492" spans="1:61">
      <c r="A492" s="164" t="s">
        <v>1426</v>
      </c>
      <c r="B492" t="s">
        <v>1427</v>
      </c>
      <c r="C492">
        <v>0</v>
      </c>
      <c r="D492" t="s">
        <v>304</v>
      </c>
      <c r="E492">
        <v>0</v>
      </c>
      <c r="F492" t="s">
        <v>342</v>
      </c>
      <c r="G492" t="s">
        <v>78</v>
      </c>
      <c r="H492" t="s">
        <v>79</v>
      </c>
      <c r="I492" t="s">
        <v>80</v>
      </c>
      <c r="J492" t="s">
        <v>196</v>
      </c>
      <c r="K492" t="s">
        <v>13</v>
      </c>
      <c r="L492" t="s">
        <v>83</v>
      </c>
      <c r="M492" t="s">
        <v>84</v>
      </c>
      <c r="N492">
        <v>1</v>
      </c>
      <c r="O492" t="b">
        <v>1</v>
      </c>
      <c r="P492">
        <v>0</v>
      </c>
      <c r="BB492">
        <v>0</v>
      </c>
      <c r="BC492" t="s">
        <v>306</v>
      </c>
      <c r="BD492" t="s">
        <v>343</v>
      </c>
      <c r="BE492" t="s">
        <v>117</v>
      </c>
      <c r="BF492">
        <v>0</v>
      </c>
      <c r="BG492">
        <v>25</v>
      </c>
      <c r="BH492">
        <v>10000</v>
      </c>
      <c r="BI492" t="s">
        <v>344</v>
      </c>
    </row>
    <row r="493" spans="1:61">
      <c r="A493" s="164" t="s">
        <v>1428</v>
      </c>
      <c r="B493" t="s">
        <v>1429</v>
      </c>
      <c r="C493">
        <v>0</v>
      </c>
      <c r="D493" t="s">
        <v>304</v>
      </c>
      <c r="E493">
        <v>0</v>
      </c>
      <c r="F493" t="s">
        <v>269</v>
      </c>
      <c r="G493" t="s">
        <v>103</v>
      </c>
      <c r="H493" t="s">
        <v>104</v>
      </c>
      <c r="I493" t="s">
        <v>80</v>
      </c>
      <c r="J493" t="s">
        <v>196</v>
      </c>
      <c r="K493" t="s">
        <v>13</v>
      </c>
      <c r="L493" t="s">
        <v>83</v>
      </c>
      <c r="M493" t="s">
        <v>84</v>
      </c>
      <c r="N493">
        <v>1</v>
      </c>
      <c r="O493" t="b">
        <v>0</v>
      </c>
      <c r="P493">
        <v>0</v>
      </c>
      <c r="BB493">
        <v>0</v>
      </c>
      <c r="BC493" t="s">
        <v>306</v>
      </c>
      <c r="BD493" t="s">
        <v>270</v>
      </c>
      <c r="BE493" t="s">
        <v>117</v>
      </c>
      <c r="BF493">
        <v>0</v>
      </c>
      <c r="BG493">
        <v>0</v>
      </c>
      <c r="BH493">
        <v>0</v>
      </c>
    </row>
    <row r="494" spans="1:61">
      <c r="A494" s="164" t="s">
        <v>1430</v>
      </c>
      <c r="B494" t="s">
        <v>1431</v>
      </c>
      <c r="C494">
        <v>0</v>
      </c>
      <c r="D494" t="s">
        <v>304</v>
      </c>
      <c r="E494">
        <v>0</v>
      </c>
      <c r="F494" t="s">
        <v>269</v>
      </c>
      <c r="G494" t="s">
        <v>103</v>
      </c>
      <c r="H494" t="s">
        <v>104</v>
      </c>
      <c r="I494" t="s">
        <v>80</v>
      </c>
      <c r="J494" t="s">
        <v>196</v>
      </c>
      <c r="K494" t="s">
        <v>13</v>
      </c>
      <c r="L494" t="s">
        <v>83</v>
      </c>
      <c r="M494" t="s">
        <v>84</v>
      </c>
      <c r="N494">
        <v>1</v>
      </c>
      <c r="O494" t="b">
        <v>0</v>
      </c>
      <c r="P494">
        <v>0</v>
      </c>
      <c r="BB494">
        <v>0</v>
      </c>
      <c r="BC494" t="s">
        <v>306</v>
      </c>
      <c r="BD494" t="s">
        <v>270</v>
      </c>
      <c r="BE494" t="s">
        <v>117</v>
      </c>
      <c r="BF494">
        <v>0</v>
      </c>
      <c r="BG494">
        <v>0</v>
      </c>
      <c r="BH494">
        <v>0</v>
      </c>
    </row>
    <row r="495" spans="1:61">
      <c r="A495" s="164" t="s">
        <v>1432</v>
      </c>
      <c r="B495" t="s">
        <v>1433</v>
      </c>
      <c r="C495">
        <v>0</v>
      </c>
      <c r="D495" t="s">
        <v>304</v>
      </c>
      <c r="E495">
        <v>0</v>
      </c>
      <c r="F495" t="s">
        <v>269</v>
      </c>
      <c r="G495" t="s">
        <v>103</v>
      </c>
      <c r="H495" t="s">
        <v>104</v>
      </c>
      <c r="I495" t="s">
        <v>80</v>
      </c>
      <c r="J495" t="s">
        <v>196</v>
      </c>
      <c r="K495" t="s">
        <v>13</v>
      </c>
      <c r="L495" t="s">
        <v>83</v>
      </c>
      <c r="M495" t="s">
        <v>84</v>
      </c>
      <c r="N495">
        <v>1</v>
      </c>
      <c r="O495" t="b">
        <v>0</v>
      </c>
      <c r="P495">
        <v>0</v>
      </c>
      <c r="BB495">
        <v>0</v>
      </c>
      <c r="BC495" t="s">
        <v>306</v>
      </c>
      <c r="BD495" t="s">
        <v>270</v>
      </c>
      <c r="BE495" t="s">
        <v>117</v>
      </c>
      <c r="BF495">
        <v>0</v>
      </c>
      <c r="BG495">
        <v>0</v>
      </c>
      <c r="BH495">
        <v>0</v>
      </c>
    </row>
    <row r="496" spans="1:61">
      <c r="A496" s="164" t="s">
        <v>1434</v>
      </c>
      <c r="B496" t="s">
        <v>1435</v>
      </c>
      <c r="C496">
        <v>0</v>
      </c>
      <c r="D496" t="s">
        <v>304</v>
      </c>
      <c r="E496">
        <v>0</v>
      </c>
      <c r="F496" t="s">
        <v>342</v>
      </c>
      <c r="G496" t="s">
        <v>78</v>
      </c>
      <c r="H496" t="s">
        <v>79</v>
      </c>
      <c r="I496" t="s">
        <v>80</v>
      </c>
      <c r="J496" t="s">
        <v>196</v>
      </c>
      <c r="K496" t="s">
        <v>13</v>
      </c>
      <c r="L496" t="s">
        <v>83</v>
      </c>
      <c r="M496" t="s">
        <v>84</v>
      </c>
      <c r="N496">
        <v>1</v>
      </c>
      <c r="O496" t="b">
        <v>1</v>
      </c>
      <c r="P496">
        <v>0</v>
      </c>
      <c r="BB496">
        <v>0</v>
      </c>
      <c r="BC496" t="s">
        <v>306</v>
      </c>
      <c r="BD496" t="s">
        <v>343</v>
      </c>
      <c r="BE496" t="s">
        <v>117</v>
      </c>
      <c r="BF496">
        <v>0</v>
      </c>
      <c r="BG496">
        <v>25</v>
      </c>
      <c r="BH496">
        <v>10000</v>
      </c>
      <c r="BI496" t="s">
        <v>344</v>
      </c>
    </row>
    <row r="497" spans="1:61">
      <c r="A497" s="164" t="s">
        <v>1436</v>
      </c>
      <c r="B497" t="s">
        <v>1437</v>
      </c>
      <c r="C497">
        <v>0</v>
      </c>
      <c r="D497" t="s">
        <v>304</v>
      </c>
      <c r="E497">
        <v>0</v>
      </c>
      <c r="F497" t="s">
        <v>269</v>
      </c>
      <c r="G497" t="s">
        <v>103</v>
      </c>
      <c r="H497" t="s">
        <v>104</v>
      </c>
      <c r="I497" t="s">
        <v>80</v>
      </c>
      <c r="J497" t="s">
        <v>196</v>
      </c>
      <c r="K497" t="s">
        <v>13</v>
      </c>
      <c r="L497" t="s">
        <v>83</v>
      </c>
      <c r="M497" t="s">
        <v>84</v>
      </c>
      <c r="N497">
        <v>1</v>
      </c>
      <c r="O497" t="b">
        <v>0</v>
      </c>
      <c r="P497">
        <v>0</v>
      </c>
      <c r="BB497">
        <v>0</v>
      </c>
      <c r="BC497" t="s">
        <v>306</v>
      </c>
      <c r="BD497" t="s">
        <v>270</v>
      </c>
      <c r="BE497" t="s">
        <v>117</v>
      </c>
      <c r="BF497">
        <v>0</v>
      </c>
      <c r="BG497">
        <v>0</v>
      </c>
      <c r="BH497">
        <v>0</v>
      </c>
    </row>
    <row r="498" spans="1:61">
      <c r="A498" s="164" t="s">
        <v>1438</v>
      </c>
      <c r="B498" t="s">
        <v>1439</v>
      </c>
      <c r="C498">
        <v>0</v>
      </c>
      <c r="D498" t="s">
        <v>304</v>
      </c>
      <c r="E498">
        <v>0</v>
      </c>
      <c r="F498" t="s">
        <v>349</v>
      </c>
      <c r="G498" t="s">
        <v>78</v>
      </c>
      <c r="H498" t="s">
        <v>79</v>
      </c>
      <c r="I498" t="s">
        <v>80</v>
      </c>
      <c r="J498" t="s">
        <v>196</v>
      </c>
      <c r="K498" t="s">
        <v>13</v>
      </c>
      <c r="L498" t="s">
        <v>83</v>
      </c>
      <c r="M498" t="s">
        <v>84</v>
      </c>
      <c r="N498">
        <v>1</v>
      </c>
      <c r="O498" t="b">
        <v>1</v>
      </c>
      <c r="P498">
        <v>0</v>
      </c>
      <c r="BB498">
        <v>0</v>
      </c>
      <c r="BC498" t="s">
        <v>306</v>
      </c>
      <c r="BD498" t="s">
        <v>350</v>
      </c>
      <c r="BE498" t="s">
        <v>117</v>
      </c>
      <c r="BF498">
        <v>0</v>
      </c>
      <c r="BG498">
        <v>25</v>
      </c>
      <c r="BH498">
        <v>10000</v>
      </c>
      <c r="BI498" t="s">
        <v>344</v>
      </c>
    </row>
    <row r="499" spans="1:61">
      <c r="A499" s="164" t="s">
        <v>1440</v>
      </c>
      <c r="B499" t="s">
        <v>1441</v>
      </c>
      <c r="C499">
        <v>0</v>
      </c>
      <c r="D499" t="s">
        <v>304</v>
      </c>
      <c r="E499">
        <v>0</v>
      </c>
      <c r="F499" t="s">
        <v>349</v>
      </c>
      <c r="G499" t="s">
        <v>78</v>
      </c>
      <c r="H499" t="s">
        <v>79</v>
      </c>
      <c r="I499" t="s">
        <v>80</v>
      </c>
      <c r="J499" t="s">
        <v>196</v>
      </c>
      <c r="K499" t="s">
        <v>13</v>
      </c>
      <c r="L499" t="s">
        <v>83</v>
      </c>
      <c r="M499" t="s">
        <v>84</v>
      </c>
      <c r="N499">
        <v>1</v>
      </c>
      <c r="O499" t="b">
        <v>1</v>
      </c>
      <c r="P499">
        <v>0</v>
      </c>
      <c r="BB499">
        <v>0</v>
      </c>
      <c r="BC499" t="s">
        <v>306</v>
      </c>
      <c r="BD499" t="s">
        <v>350</v>
      </c>
      <c r="BE499" t="s">
        <v>117</v>
      </c>
      <c r="BF499">
        <v>0</v>
      </c>
      <c r="BG499">
        <v>25</v>
      </c>
      <c r="BH499">
        <v>10000</v>
      </c>
      <c r="BI499" t="s">
        <v>344</v>
      </c>
    </row>
    <row r="500" spans="1:61">
      <c r="A500" s="164" t="s">
        <v>1442</v>
      </c>
      <c r="B500" t="s">
        <v>1443</v>
      </c>
      <c r="C500">
        <v>0</v>
      </c>
      <c r="D500" t="s">
        <v>304</v>
      </c>
      <c r="E500">
        <v>0</v>
      </c>
      <c r="F500" t="s">
        <v>269</v>
      </c>
      <c r="G500" t="s">
        <v>103</v>
      </c>
      <c r="H500" t="s">
        <v>104</v>
      </c>
      <c r="I500" t="s">
        <v>80</v>
      </c>
      <c r="J500" t="s">
        <v>196</v>
      </c>
      <c r="K500" t="s">
        <v>13</v>
      </c>
      <c r="L500" t="s">
        <v>83</v>
      </c>
      <c r="M500" t="s">
        <v>84</v>
      </c>
      <c r="N500">
        <v>1</v>
      </c>
      <c r="O500" t="b">
        <v>0</v>
      </c>
      <c r="P500">
        <v>0</v>
      </c>
      <c r="BB500">
        <v>0</v>
      </c>
      <c r="BC500" t="s">
        <v>306</v>
      </c>
      <c r="BD500" t="s">
        <v>270</v>
      </c>
      <c r="BE500" t="s">
        <v>117</v>
      </c>
      <c r="BF500">
        <v>0</v>
      </c>
      <c r="BG500">
        <v>0</v>
      </c>
      <c r="BH500">
        <v>0</v>
      </c>
    </row>
    <row r="501" spans="1:61">
      <c r="A501" s="164" t="s">
        <v>1444</v>
      </c>
      <c r="B501" t="s">
        <v>1445</v>
      </c>
      <c r="C501">
        <v>0</v>
      </c>
      <c r="D501" t="s">
        <v>304</v>
      </c>
      <c r="E501">
        <v>0</v>
      </c>
      <c r="F501" t="s">
        <v>342</v>
      </c>
      <c r="G501" t="s">
        <v>78</v>
      </c>
      <c r="H501" t="s">
        <v>79</v>
      </c>
      <c r="I501" t="s">
        <v>80</v>
      </c>
      <c r="J501" t="s">
        <v>196</v>
      </c>
      <c r="K501" t="s">
        <v>13</v>
      </c>
      <c r="L501" t="s">
        <v>83</v>
      </c>
      <c r="M501" t="s">
        <v>84</v>
      </c>
      <c r="N501">
        <v>1</v>
      </c>
      <c r="O501" t="b">
        <v>1</v>
      </c>
      <c r="P501">
        <v>0</v>
      </c>
      <c r="BB501">
        <v>0</v>
      </c>
      <c r="BC501" t="s">
        <v>306</v>
      </c>
      <c r="BD501" t="s">
        <v>343</v>
      </c>
      <c r="BE501" t="s">
        <v>117</v>
      </c>
      <c r="BF501">
        <v>0</v>
      </c>
      <c r="BG501">
        <v>25</v>
      </c>
      <c r="BH501">
        <v>10000</v>
      </c>
      <c r="BI501" t="s">
        <v>344</v>
      </c>
    </row>
    <row r="502" spans="1:61">
      <c r="A502" s="164" t="s">
        <v>1446</v>
      </c>
      <c r="B502" t="s">
        <v>638</v>
      </c>
      <c r="C502">
        <v>0</v>
      </c>
      <c r="D502" t="s">
        <v>304</v>
      </c>
      <c r="E502">
        <v>0</v>
      </c>
      <c r="F502" t="s">
        <v>269</v>
      </c>
      <c r="G502" t="s">
        <v>103</v>
      </c>
      <c r="H502" t="s">
        <v>104</v>
      </c>
      <c r="I502" t="s">
        <v>80</v>
      </c>
      <c r="J502" t="s">
        <v>196</v>
      </c>
      <c r="K502" t="s">
        <v>13</v>
      </c>
      <c r="L502" t="s">
        <v>83</v>
      </c>
      <c r="M502" t="s">
        <v>84</v>
      </c>
      <c r="N502">
        <v>1</v>
      </c>
      <c r="O502" t="b">
        <v>0</v>
      </c>
      <c r="P502">
        <v>0</v>
      </c>
      <c r="BB502">
        <v>0</v>
      </c>
      <c r="BC502" t="s">
        <v>306</v>
      </c>
      <c r="BD502" t="s">
        <v>270</v>
      </c>
      <c r="BE502" t="s">
        <v>117</v>
      </c>
      <c r="BF502">
        <v>0</v>
      </c>
      <c r="BG502">
        <v>0</v>
      </c>
      <c r="BH502">
        <v>0</v>
      </c>
    </row>
    <row r="503" spans="1:61">
      <c r="A503" s="164" t="s">
        <v>1447</v>
      </c>
      <c r="B503" t="s">
        <v>1448</v>
      </c>
      <c r="C503">
        <v>0</v>
      </c>
      <c r="D503" t="s">
        <v>304</v>
      </c>
      <c r="E503">
        <v>0</v>
      </c>
      <c r="F503" t="s">
        <v>269</v>
      </c>
      <c r="G503" t="s">
        <v>103</v>
      </c>
      <c r="H503" t="s">
        <v>104</v>
      </c>
      <c r="I503" t="s">
        <v>80</v>
      </c>
      <c r="J503" t="s">
        <v>196</v>
      </c>
      <c r="K503" t="s">
        <v>13</v>
      </c>
      <c r="L503" t="s">
        <v>83</v>
      </c>
      <c r="M503" t="s">
        <v>84</v>
      </c>
      <c r="N503">
        <v>1</v>
      </c>
      <c r="O503" t="b">
        <v>0</v>
      </c>
      <c r="P503">
        <v>0</v>
      </c>
      <c r="BB503">
        <v>0</v>
      </c>
      <c r="BC503" t="s">
        <v>306</v>
      </c>
      <c r="BD503" t="s">
        <v>270</v>
      </c>
      <c r="BE503" t="s">
        <v>117</v>
      </c>
      <c r="BF503">
        <v>0</v>
      </c>
      <c r="BG503">
        <v>0</v>
      </c>
      <c r="BH503">
        <v>0</v>
      </c>
    </row>
    <row r="504" spans="1:61">
      <c r="A504" s="164" t="s">
        <v>1449</v>
      </c>
      <c r="B504" t="s">
        <v>1450</v>
      </c>
      <c r="C504">
        <v>0</v>
      </c>
      <c r="D504" t="s">
        <v>304</v>
      </c>
      <c r="E504">
        <v>0</v>
      </c>
      <c r="F504" t="s">
        <v>305</v>
      </c>
      <c r="G504" t="s">
        <v>78</v>
      </c>
      <c r="H504" t="s">
        <v>79</v>
      </c>
      <c r="I504" t="s">
        <v>80</v>
      </c>
      <c r="J504" t="s">
        <v>196</v>
      </c>
      <c r="K504" t="s">
        <v>13</v>
      </c>
      <c r="L504" t="s">
        <v>83</v>
      </c>
      <c r="M504" t="s">
        <v>84</v>
      </c>
      <c r="N504">
        <v>1</v>
      </c>
      <c r="O504" t="b">
        <v>1</v>
      </c>
      <c r="P504">
        <v>0</v>
      </c>
      <c r="BB504">
        <v>0</v>
      </c>
      <c r="BC504" t="s">
        <v>306</v>
      </c>
      <c r="BD504" t="s">
        <v>307</v>
      </c>
      <c r="BE504" t="s">
        <v>117</v>
      </c>
      <c r="BF504">
        <v>0</v>
      </c>
      <c r="BG504">
        <v>25</v>
      </c>
      <c r="BH504">
        <v>20000</v>
      </c>
      <c r="BI504" t="s">
        <v>308</v>
      </c>
    </row>
    <row r="505" spans="1:61">
      <c r="A505" s="164" t="s">
        <v>1451</v>
      </c>
      <c r="B505" t="s">
        <v>1452</v>
      </c>
      <c r="C505">
        <v>0</v>
      </c>
      <c r="D505" t="s">
        <v>304</v>
      </c>
      <c r="E505">
        <v>0</v>
      </c>
      <c r="F505" t="s">
        <v>305</v>
      </c>
      <c r="G505" t="s">
        <v>78</v>
      </c>
      <c r="H505" t="s">
        <v>79</v>
      </c>
      <c r="I505" t="s">
        <v>80</v>
      </c>
      <c r="J505" t="s">
        <v>196</v>
      </c>
      <c r="K505" t="s">
        <v>13</v>
      </c>
      <c r="L505" t="s">
        <v>83</v>
      </c>
      <c r="M505" t="s">
        <v>84</v>
      </c>
      <c r="N505">
        <v>1</v>
      </c>
      <c r="O505" t="b">
        <v>1</v>
      </c>
      <c r="P505">
        <v>0</v>
      </c>
      <c r="BB505">
        <v>0</v>
      </c>
      <c r="BC505" t="s">
        <v>306</v>
      </c>
      <c r="BD505" t="s">
        <v>307</v>
      </c>
      <c r="BE505" t="s">
        <v>117</v>
      </c>
      <c r="BF505">
        <v>0</v>
      </c>
      <c r="BG505">
        <v>20</v>
      </c>
      <c r="BH505">
        <v>30000</v>
      </c>
      <c r="BI505" t="s">
        <v>308</v>
      </c>
    </row>
    <row r="506" spans="1:61">
      <c r="A506" s="164" t="s">
        <v>1453</v>
      </c>
      <c r="B506" t="s">
        <v>1454</v>
      </c>
      <c r="C506">
        <v>0</v>
      </c>
      <c r="D506" t="s">
        <v>304</v>
      </c>
      <c r="E506">
        <v>0</v>
      </c>
      <c r="F506" t="s">
        <v>269</v>
      </c>
      <c r="G506" t="s">
        <v>103</v>
      </c>
      <c r="H506" t="s">
        <v>104</v>
      </c>
      <c r="I506" t="s">
        <v>80</v>
      </c>
      <c r="J506" t="s">
        <v>196</v>
      </c>
      <c r="K506" t="s">
        <v>13</v>
      </c>
      <c r="L506" t="s">
        <v>83</v>
      </c>
      <c r="M506" t="s">
        <v>84</v>
      </c>
      <c r="N506">
        <v>1</v>
      </c>
      <c r="O506" t="b">
        <v>0</v>
      </c>
      <c r="P506">
        <v>0</v>
      </c>
      <c r="BB506">
        <v>0</v>
      </c>
      <c r="BC506" t="s">
        <v>306</v>
      </c>
      <c r="BD506" t="s">
        <v>270</v>
      </c>
      <c r="BE506" t="s">
        <v>117</v>
      </c>
      <c r="BF506">
        <v>0</v>
      </c>
      <c r="BG506">
        <v>0</v>
      </c>
      <c r="BH506">
        <v>0</v>
      </c>
    </row>
    <row r="507" spans="1:61">
      <c r="A507" s="164" t="s">
        <v>1455</v>
      </c>
      <c r="B507" t="s">
        <v>1456</v>
      </c>
      <c r="C507">
        <v>0</v>
      </c>
      <c r="D507" t="s">
        <v>304</v>
      </c>
      <c r="E507">
        <v>0</v>
      </c>
      <c r="F507" t="s">
        <v>269</v>
      </c>
      <c r="G507" t="s">
        <v>103</v>
      </c>
      <c r="H507" t="s">
        <v>104</v>
      </c>
      <c r="I507" t="s">
        <v>80</v>
      </c>
      <c r="J507" t="s">
        <v>196</v>
      </c>
      <c r="K507" t="s">
        <v>13</v>
      </c>
      <c r="L507" t="s">
        <v>83</v>
      </c>
      <c r="M507" t="s">
        <v>84</v>
      </c>
      <c r="N507">
        <v>1</v>
      </c>
      <c r="O507" t="b">
        <v>0</v>
      </c>
      <c r="P507">
        <v>0</v>
      </c>
      <c r="BB507">
        <v>0</v>
      </c>
      <c r="BC507" t="s">
        <v>306</v>
      </c>
      <c r="BD507" t="s">
        <v>270</v>
      </c>
      <c r="BE507" t="s">
        <v>117</v>
      </c>
      <c r="BF507">
        <v>0</v>
      </c>
      <c r="BG507">
        <v>0</v>
      </c>
      <c r="BH507">
        <v>0</v>
      </c>
    </row>
    <row r="508" spans="1:61">
      <c r="A508" s="164" t="s">
        <v>1457</v>
      </c>
      <c r="B508" t="s">
        <v>1458</v>
      </c>
      <c r="C508">
        <v>0</v>
      </c>
      <c r="D508" t="s">
        <v>304</v>
      </c>
      <c r="E508">
        <v>0</v>
      </c>
      <c r="F508" t="s">
        <v>313</v>
      </c>
      <c r="G508" t="s">
        <v>78</v>
      </c>
      <c r="H508" t="s">
        <v>79</v>
      </c>
      <c r="I508" t="s">
        <v>80</v>
      </c>
      <c r="J508" t="s">
        <v>196</v>
      </c>
      <c r="K508" t="s">
        <v>13</v>
      </c>
      <c r="L508" t="s">
        <v>83</v>
      </c>
      <c r="M508" t="s">
        <v>205</v>
      </c>
      <c r="N508">
        <v>1</v>
      </c>
      <c r="O508" t="b">
        <v>1</v>
      </c>
      <c r="P508">
        <v>0</v>
      </c>
      <c r="BB508">
        <v>0</v>
      </c>
      <c r="BC508" t="s">
        <v>306</v>
      </c>
      <c r="BD508" t="s">
        <v>314</v>
      </c>
      <c r="BE508" t="s">
        <v>117</v>
      </c>
      <c r="BF508">
        <v>0</v>
      </c>
      <c r="BG508">
        <v>45</v>
      </c>
      <c r="BH508">
        <v>300</v>
      </c>
      <c r="BI508" t="s">
        <v>315</v>
      </c>
    </row>
    <row r="509" spans="1:61">
      <c r="A509" s="164" t="s">
        <v>1459</v>
      </c>
      <c r="B509" t="s">
        <v>1460</v>
      </c>
      <c r="C509">
        <v>0</v>
      </c>
      <c r="D509" t="s">
        <v>304</v>
      </c>
      <c r="E509">
        <v>0</v>
      </c>
      <c r="F509" t="s">
        <v>305</v>
      </c>
      <c r="G509" t="s">
        <v>78</v>
      </c>
      <c r="H509" t="s">
        <v>79</v>
      </c>
      <c r="I509" t="s">
        <v>80</v>
      </c>
      <c r="J509" t="s">
        <v>196</v>
      </c>
      <c r="K509" t="s">
        <v>13</v>
      </c>
      <c r="L509" t="s">
        <v>83</v>
      </c>
      <c r="M509" t="s">
        <v>84</v>
      </c>
      <c r="N509">
        <v>1</v>
      </c>
      <c r="O509" t="b">
        <v>1</v>
      </c>
      <c r="P509">
        <v>0</v>
      </c>
      <c r="BB509">
        <v>0</v>
      </c>
      <c r="BC509" t="s">
        <v>306</v>
      </c>
      <c r="BD509" t="s">
        <v>307</v>
      </c>
      <c r="BE509" t="s">
        <v>117</v>
      </c>
      <c r="BF509">
        <v>0</v>
      </c>
      <c r="BG509">
        <v>25</v>
      </c>
      <c r="BH509">
        <v>10000</v>
      </c>
      <c r="BI509" t="s">
        <v>308</v>
      </c>
    </row>
    <row r="510" spans="1:61">
      <c r="A510" s="164" t="s">
        <v>1461</v>
      </c>
      <c r="B510" t="s">
        <v>1462</v>
      </c>
      <c r="C510">
        <v>0</v>
      </c>
      <c r="D510" t="s">
        <v>304</v>
      </c>
      <c r="E510">
        <v>0</v>
      </c>
      <c r="F510" t="s">
        <v>305</v>
      </c>
      <c r="G510" t="s">
        <v>78</v>
      </c>
      <c r="H510" t="s">
        <v>79</v>
      </c>
      <c r="I510" t="s">
        <v>80</v>
      </c>
      <c r="J510" t="s">
        <v>196</v>
      </c>
      <c r="K510" t="s">
        <v>13</v>
      </c>
      <c r="L510" t="s">
        <v>83</v>
      </c>
      <c r="M510" t="s">
        <v>84</v>
      </c>
      <c r="N510">
        <v>1</v>
      </c>
      <c r="O510" t="b">
        <v>1</v>
      </c>
      <c r="P510">
        <v>0</v>
      </c>
      <c r="BB510">
        <v>0</v>
      </c>
      <c r="BC510" t="s">
        <v>306</v>
      </c>
      <c r="BD510" t="s">
        <v>307</v>
      </c>
      <c r="BE510" t="s">
        <v>117</v>
      </c>
      <c r="BF510">
        <v>0</v>
      </c>
      <c r="BG510">
        <v>25</v>
      </c>
      <c r="BH510">
        <v>20000</v>
      </c>
      <c r="BI510" t="s">
        <v>308</v>
      </c>
    </row>
    <row r="511" spans="1:61">
      <c r="A511" s="164" t="s">
        <v>1463</v>
      </c>
      <c r="B511" t="s">
        <v>1464</v>
      </c>
      <c r="C511">
        <v>0</v>
      </c>
      <c r="D511" t="s">
        <v>304</v>
      </c>
      <c r="E511">
        <v>0</v>
      </c>
      <c r="F511" t="s">
        <v>305</v>
      </c>
      <c r="G511" t="s">
        <v>78</v>
      </c>
      <c r="H511" t="s">
        <v>79</v>
      </c>
      <c r="I511" t="s">
        <v>80</v>
      </c>
      <c r="J511" t="s">
        <v>196</v>
      </c>
      <c r="K511" t="s">
        <v>13</v>
      </c>
      <c r="L511" t="s">
        <v>83</v>
      </c>
      <c r="M511" t="s">
        <v>84</v>
      </c>
      <c r="N511">
        <v>1</v>
      </c>
      <c r="O511" t="b">
        <v>1</v>
      </c>
      <c r="P511">
        <v>0</v>
      </c>
      <c r="BB511">
        <v>0</v>
      </c>
      <c r="BC511" t="s">
        <v>306</v>
      </c>
      <c r="BD511" t="s">
        <v>307</v>
      </c>
      <c r="BE511" t="s">
        <v>117</v>
      </c>
      <c r="BF511">
        <v>0</v>
      </c>
      <c r="BG511">
        <v>25</v>
      </c>
      <c r="BH511">
        <v>10000</v>
      </c>
      <c r="BI511" t="s">
        <v>308</v>
      </c>
    </row>
    <row r="512" spans="1:61">
      <c r="A512" s="164" t="s">
        <v>1465</v>
      </c>
      <c r="B512" t="s">
        <v>1466</v>
      </c>
      <c r="C512">
        <v>0</v>
      </c>
      <c r="D512" t="s">
        <v>304</v>
      </c>
      <c r="E512">
        <v>0</v>
      </c>
      <c r="F512" t="s">
        <v>305</v>
      </c>
      <c r="G512" t="s">
        <v>78</v>
      </c>
      <c r="H512" t="s">
        <v>79</v>
      </c>
      <c r="I512" t="s">
        <v>80</v>
      </c>
      <c r="J512" t="s">
        <v>196</v>
      </c>
      <c r="K512" t="s">
        <v>13</v>
      </c>
      <c r="L512" t="s">
        <v>83</v>
      </c>
      <c r="M512" t="s">
        <v>84</v>
      </c>
      <c r="N512">
        <v>1</v>
      </c>
      <c r="O512" t="b">
        <v>1</v>
      </c>
      <c r="P512">
        <v>0</v>
      </c>
      <c r="BB512">
        <v>0</v>
      </c>
      <c r="BC512" t="s">
        <v>306</v>
      </c>
      <c r="BD512" t="s">
        <v>307</v>
      </c>
      <c r="BE512" t="s">
        <v>117</v>
      </c>
      <c r="BF512">
        <v>0</v>
      </c>
      <c r="BG512">
        <v>25</v>
      </c>
      <c r="BH512">
        <v>10000</v>
      </c>
      <c r="BI512" t="s">
        <v>308</v>
      </c>
    </row>
    <row r="513" spans="1:61">
      <c r="A513" s="164" t="s">
        <v>1467</v>
      </c>
      <c r="B513" t="s">
        <v>1468</v>
      </c>
      <c r="C513">
        <v>0</v>
      </c>
      <c r="D513" t="s">
        <v>304</v>
      </c>
      <c r="E513">
        <v>0</v>
      </c>
      <c r="F513" t="s">
        <v>269</v>
      </c>
      <c r="G513" t="s">
        <v>103</v>
      </c>
      <c r="H513" t="s">
        <v>104</v>
      </c>
      <c r="I513" t="s">
        <v>80</v>
      </c>
      <c r="J513" t="s">
        <v>196</v>
      </c>
      <c r="K513" t="s">
        <v>13</v>
      </c>
      <c r="L513" t="s">
        <v>83</v>
      </c>
      <c r="M513" t="s">
        <v>84</v>
      </c>
      <c r="N513">
        <v>1</v>
      </c>
      <c r="O513" t="b">
        <v>0</v>
      </c>
      <c r="P513">
        <v>0</v>
      </c>
      <c r="BB513">
        <v>0</v>
      </c>
      <c r="BC513" t="s">
        <v>306</v>
      </c>
      <c r="BD513" t="s">
        <v>270</v>
      </c>
      <c r="BE513" t="s">
        <v>117</v>
      </c>
      <c r="BF513">
        <v>0</v>
      </c>
      <c r="BG513">
        <v>0</v>
      </c>
      <c r="BH513">
        <v>0</v>
      </c>
    </row>
    <row r="514" spans="1:61">
      <c r="A514" s="164" t="s">
        <v>1469</v>
      </c>
      <c r="B514" t="s">
        <v>1470</v>
      </c>
      <c r="C514">
        <v>0</v>
      </c>
      <c r="D514" t="s">
        <v>304</v>
      </c>
      <c r="E514">
        <v>0</v>
      </c>
      <c r="F514" t="s">
        <v>269</v>
      </c>
      <c r="G514" t="s">
        <v>103</v>
      </c>
      <c r="H514" t="s">
        <v>104</v>
      </c>
      <c r="I514" t="s">
        <v>80</v>
      </c>
      <c r="J514" t="s">
        <v>196</v>
      </c>
      <c r="K514" t="s">
        <v>13</v>
      </c>
      <c r="L514" t="s">
        <v>83</v>
      </c>
      <c r="M514" t="s">
        <v>84</v>
      </c>
      <c r="N514">
        <v>1</v>
      </c>
      <c r="O514" t="b">
        <v>0</v>
      </c>
      <c r="P514">
        <v>0</v>
      </c>
      <c r="BB514">
        <v>0</v>
      </c>
      <c r="BC514" t="s">
        <v>306</v>
      </c>
      <c r="BD514" t="s">
        <v>270</v>
      </c>
      <c r="BE514" t="s">
        <v>117</v>
      </c>
      <c r="BF514">
        <v>0</v>
      </c>
      <c r="BG514">
        <v>0</v>
      </c>
      <c r="BH514">
        <v>0</v>
      </c>
    </row>
    <row r="515" spans="1:61">
      <c r="A515" s="164" t="s">
        <v>1471</v>
      </c>
      <c r="B515" t="s">
        <v>1472</v>
      </c>
      <c r="C515">
        <v>0</v>
      </c>
      <c r="D515" t="s">
        <v>304</v>
      </c>
      <c r="E515">
        <v>0</v>
      </c>
      <c r="F515" t="s">
        <v>342</v>
      </c>
      <c r="G515" t="s">
        <v>78</v>
      </c>
      <c r="H515" t="s">
        <v>79</v>
      </c>
      <c r="I515" t="s">
        <v>80</v>
      </c>
      <c r="J515" t="s">
        <v>196</v>
      </c>
      <c r="K515" t="s">
        <v>13</v>
      </c>
      <c r="L515" t="s">
        <v>83</v>
      </c>
      <c r="M515" t="s">
        <v>84</v>
      </c>
      <c r="N515">
        <v>1</v>
      </c>
      <c r="O515" t="b">
        <v>1</v>
      </c>
      <c r="P515">
        <v>0</v>
      </c>
      <c r="BB515">
        <v>0</v>
      </c>
      <c r="BC515" t="s">
        <v>306</v>
      </c>
      <c r="BD515" t="s">
        <v>343</v>
      </c>
      <c r="BE515" t="s">
        <v>117</v>
      </c>
      <c r="BF515">
        <v>0</v>
      </c>
      <c r="BG515">
        <v>25</v>
      </c>
      <c r="BH515">
        <v>10000</v>
      </c>
      <c r="BI515" t="s">
        <v>344</v>
      </c>
    </row>
    <row r="516" spans="1:61">
      <c r="A516" s="164" t="s">
        <v>1473</v>
      </c>
      <c r="B516" t="s">
        <v>1474</v>
      </c>
      <c r="C516">
        <v>0</v>
      </c>
      <c r="D516" t="s">
        <v>304</v>
      </c>
      <c r="E516">
        <v>0</v>
      </c>
      <c r="F516" t="s">
        <v>305</v>
      </c>
      <c r="G516" t="s">
        <v>78</v>
      </c>
      <c r="H516" t="s">
        <v>79</v>
      </c>
      <c r="I516" t="s">
        <v>80</v>
      </c>
      <c r="J516" t="s">
        <v>196</v>
      </c>
      <c r="K516" t="s">
        <v>13</v>
      </c>
      <c r="L516" t="s">
        <v>83</v>
      </c>
      <c r="M516" t="s">
        <v>84</v>
      </c>
      <c r="N516">
        <v>1</v>
      </c>
      <c r="O516" t="b">
        <v>1</v>
      </c>
      <c r="P516">
        <v>0</v>
      </c>
      <c r="BB516">
        <v>0</v>
      </c>
      <c r="BC516" t="s">
        <v>306</v>
      </c>
      <c r="BD516" t="s">
        <v>307</v>
      </c>
      <c r="BE516" t="s">
        <v>117</v>
      </c>
      <c r="BF516">
        <v>0</v>
      </c>
      <c r="BG516">
        <v>20</v>
      </c>
      <c r="BH516">
        <v>30000</v>
      </c>
      <c r="BI516" t="s">
        <v>308</v>
      </c>
    </row>
    <row r="517" spans="1:61">
      <c r="A517" s="164" t="s">
        <v>1475</v>
      </c>
      <c r="B517" t="s">
        <v>1476</v>
      </c>
      <c r="C517">
        <v>0</v>
      </c>
      <c r="D517" t="s">
        <v>304</v>
      </c>
      <c r="E517">
        <v>0</v>
      </c>
      <c r="F517" t="s">
        <v>269</v>
      </c>
      <c r="G517" t="s">
        <v>103</v>
      </c>
      <c r="H517" t="s">
        <v>104</v>
      </c>
      <c r="I517" t="s">
        <v>80</v>
      </c>
      <c r="J517" t="s">
        <v>196</v>
      </c>
      <c r="K517" t="s">
        <v>13</v>
      </c>
      <c r="L517" t="s">
        <v>83</v>
      </c>
      <c r="M517" t="s">
        <v>84</v>
      </c>
      <c r="N517">
        <v>1</v>
      </c>
      <c r="O517" t="b">
        <v>0</v>
      </c>
      <c r="P517">
        <v>0</v>
      </c>
      <c r="BB517">
        <v>0</v>
      </c>
      <c r="BC517" t="s">
        <v>306</v>
      </c>
      <c r="BD517" t="s">
        <v>270</v>
      </c>
      <c r="BE517" t="s">
        <v>117</v>
      </c>
      <c r="BF517">
        <v>0</v>
      </c>
      <c r="BG517">
        <v>0</v>
      </c>
      <c r="BH517">
        <v>0</v>
      </c>
    </row>
    <row r="518" spans="1:61">
      <c r="A518" s="164" t="s">
        <v>1477</v>
      </c>
      <c r="B518" t="s">
        <v>1478</v>
      </c>
      <c r="C518">
        <v>0</v>
      </c>
      <c r="D518" t="s">
        <v>304</v>
      </c>
      <c r="E518">
        <v>0</v>
      </c>
      <c r="F518" t="s">
        <v>342</v>
      </c>
      <c r="G518" t="s">
        <v>78</v>
      </c>
      <c r="H518" t="s">
        <v>79</v>
      </c>
      <c r="I518" t="s">
        <v>80</v>
      </c>
      <c r="J518" t="s">
        <v>196</v>
      </c>
      <c r="K518" t="s">
        <v>13</v>
      </c>
      <c r="L518" t="s">
        <v>83</v>
      </c>
      <c r="M518" t="s">
        <v>84</v>
      </c>
      <c r="N518">
        <v>1</v>
      </c>
      <c r="O518" t="b">
        <v>1</v>
      </c>
      <c r="P518">
        <v>0</v>
      </c>
      <c r="BB518">
        <v>0</v>
      </c>
      <c r="BC518" t="s">
        <v>306</v>
      </c>
      <c r="BD518" t="s">
        <v>343</v>
      </c>
      <c r="BE518" t="s">
        <v>117</v>
      </c>
      <c r="BF518">
        <v>0</v>
      </c>
      <c r="BG518">
        <v>25</v>
      </c>
      <c r="BH518">
        <v>10000</v>
      </c>
      <c r="BI518" t="s">
        <v>344</v>
      </c>
    </row>
    <row r="519" spans="1:61">
      <c r="A519" s="164" t="s">
        <v>1479</v>
      </c>
      <c r="B519" t="s">
        <v>1480</v>
      </c>
      <c r="C519">
        <v>0</v>
      </c>
      <c r="D519" t="s">
        <v>304</v>
      </c>
      <c r="E519">
        <v>0</v>
      </c>
      <c r="F519" t="s">
        <v>342</v>
      </c>
      <c r="G519" t="s">
        <v>78</v>
      </c>
      <c r="H519" t="s">
        <v>79</v>
      </c>
      <c r="I519" t="s">
        <v>80</v>
      </c>
      <c r="J519" t="s">
        <v>196</v>
      </c>
      <c r="K519" t="s">
        <v>13</v>
      </c>
      <c r="L519" t="s">
        <v>83</v>
      </c>
      <c r="M519" t="s">
        <v>84</v>
      </c>
      <c r="N519">
        <v>1</v>
      </c>
      <c r="O519" t="b">
        <v>1</v>
      </c>
      <c r="P519">
        <v>0</v>
      </c>
      <c r="BB519">
        <v>0</v>
      </c>
      <c r="BC519" t="s">
        <v>306</v>
      </c>
      <c r="BD519" t="s">
        <v>343</v>
      </c>
      <c r="BE519" t="s">
        <v>117</v>
      </c>
      <c r="BF519">
        <v>0</v>
      </c>
      <c r="BG519">
        <v>25</v>
      </c>
      <c r="BH519">
        <v>10000</v>
      </c>
      <c r="BI519" t="s">
        <v>344</v>
      </c>
    </row>
    <row r="520" spans="1:61">
      <c r="A520" s="164" t="s">
        <v>1481</v>
      </c>
      <c r="B520" t="s">
        <v>1482</v>
      </c>
      <c r="C520">
        <v>0</v>
      </c>
      <c r="D520" t="s">
        <v>304</v>
      </c>
      <c r="E520">
        <v>0</v>
      </c>
      <c r="F520" t="s">
        <v>357</v>
      </c>
      <c r="G520" t="s">
        <v>78</v>
      </c>
      <c r="H520" t="s">
        <v>79</v>
      </c>
      <c r="I520" t="s">
        <v>80</v>
      </c>
      <c r="J520" t="s">
        <v>196</v>
      </c>
      <c r="K520" t="s">
        <v>13</v>
      </c>
      <c r="L520" t="s">
        <v>83</v>
      </c>
      <c r="M520" t="s">
        <v>84</v>
      </c>
      <c r="N520">
        <v>1</v>
      </c>
      <c r="O520" t="b">
        <v>1</v>
      </c>
      <c r="P520">
        <v>0</v>
      </c>
      <c r="BB520">
        <v>0</v>
      </c>
      <c r="BC520" t="s">
        <v>306</v>
      </c>
      <c r="BD520" t="s">
        <v>358</v>
      </c>
      <c r="BE520" t="s">
        <v>117</v>
      </c>
      <c r="BF520">
        <v>0</v>
      </c>
      <c r="BG520">
        <v>25</v>
      </c>
      <c r="BH520">
        <v>500</v>
      </c>
      <c r="BI520" t="s">
        <v>359</v>
      </c>
    </row>
    <row r="521" spans="1:61">
      <c r="A521" s="164" t="s">
        <v>1483</v>
      </c>
      <c r="B521" t="s">
        <v>1484</v>
      </c>
      <c r="C521">
        <v>0</v>
      </c>
      <c r="D521" t="s">
        <v>304</v>
      </c>
      <c r="E521">
        <v>0</v>
      </c>
      <c r="F521" t="s">
        <v>313</v>
      </c>
      <c r="G521" t="s">
        <v>78</v>
      </c>
      <c r="H521" t="s">
        <v>79</v>
      </c>
      <c r="I521" t="s">
        <v>80</v>
      </c>
      <c r="J521" t="s">
        <v>196</v>
      </c>
      <c r="K521" t="s">
        <v>13</v>
      </c>
      <c r="L521" t="s">
        <v>83</v>
      </c>
      <c r="M521" t="s">
        <v>205</v>
      </c>
      <c r="N521">
        <v>1</v>
      </c>
      <c r="O521" t="b">
        <v>1</v>
      </c>
      <c r="P521">
        <v>0</v>
      </c>
      <c r="BB521">
        <v>0</v>
      </c>
      <c r="BC521" t="s">
        <v>306</v>
      </c>
      <c r="BD521" t="s">
        <v>314</v>
      </c>
      <c r="BE521" t="s">
        <v>117</v>
      </c>
      <c r="BF521">
        <v>0</v>
      </c>
      <c r="BG521">
        <v>45</v>
      </c>
      <c r="BH521">
        <v>1000</v>
      </c>
      <c r="BI521" t="s">
        <v>315</v>
      </c>
    </row>
    <row r="522" spans="1:61">
      <c r="A522" s="164" t="s">
        <v>1485</v>
      </c>
      <c r="B522" t="s">
        <v>1486</v>
      </c>
      <c r="C522">
        <v>0</v>
      </c>
      <c r="D522" t="s">
        <v>304</v>
      </c>
      <c r="E522">
        <v>0</v>
      </c>
      <c r="F522" t="s">
        <v>800</v>
      </c>
      <c r="G522" t="s">
        <v>78</v>
      </c>
      <c r="H522" t="s">
        <v>79</v>
      </c>
      <c r="I522" t="s">
        <v>80</v>
      </c>
      <c r="J522" t="s">
        <v>196</v>
      </c>
      <c r="K522" t="s">
        <v>13</v>
      </c>
      <c r="L522" t="s">
        <v>83</v>
      </c>
      <c r="M522" t="s">
        <v>84</v>
      </c>
      <c r="N522">
        <v>1</v>
      </c>
      <c r="O522" t="b">
        <v>1</v>
      </c>
      <c r="P522">
        <v>0</v>
      </c>
      <c r="BB522">
        <v>0</v>
      </c>
      <c r="BC522" t="s">
        <v>306</v>
      </c>
      <c r="BD522" t="s">
        <v>801</v>
      </c>
      <c r="BE522" t="s">
        <v>117</v>
      </c>
      <c r="BF522">
        <v>0</v>
      </c>
      <c r="BG522">
        <v>15</v>
      </c>
      <c r="BH522">
        <v>10000</v>
      </c>
      <c r="BI522" t="s">
        <v>308</v>
      </c>
    </row>
    <row r="523" spans="1:61">
      <c r="A523" s="164" t="s">
        <v>1487</v>
      </c>
      <c r="B523" t="s">
        <v>1488</v>
      </c>
      <c r="C523">
        <v>0</v>
      </c>
      <c r="D523" t="s">
        <v>304</v>
      </c>
      <c r="E523">
        <v>0</v>
      </c>
      <c r="F523" t="s">
        <v>305</v>
      </c>
      <c r="G523" t="s">
        <v>78</v>
      </c>
      <c r="H523" t="s">
        <v>79</v>
      </c>
      <c r="I523" t="s">
        <v>80</v>
      </c>
      <c r="J523" t="s">
        <v>196</v>
      </c>
      <c r="K523" t="s">
        <v>13</v>
      </c>
      <c r="L523" t="s">
        <v>83</v>
      </c>
      <c r="M523" t="s">
        <v>84</v>
      </c>
      <c r="N523">
        <v>1</v>
      </c>
      <c r="O523" t="b">
        <v>1</v>
      </c>
      <c r="P523">
        <v>0</v>
      </c>
      <c r="BB523">
        <v>0</v>
      </c>
      <c r="BC523" t="s">
        <v>306</v>
      </c>
      <c r="BD523" t="s">
        <v>307</v>
      </c>
      <c r="BE523" t="s">
        <v>117</v>
      </c>
      <c r="BF523">
        <v>0</v>
      </c>
      <c r="BG523">
        <v>20</v>
      </c>
      <c r="BH523">
        <v>30000</v>
      </c>
      <c r="BI523" t="s">
        <v>308</v>
      </c>
    </row>
    <row r="524" spans="1:61">
      <c r="A524" s="164" t="s">
        <v>1489</v>
      </c>
      <c r="B524" t="s">
        <v>1490</v>
      </c>
      <c r="C524">
        <v>0</v>
      </c>
      <c r="D524" t="s">
        <v>304</v>
      </c>
      <c r="E524">
        <v>0</v>
      </c>
      <c r="F524" t="s">
        <v>269</v>
      </c>
      <c r="G524" t="s">
        <v>103</v>
      </c>
      <c r="H524" t="s">
        <v>104</v>
      </c>
      <c r="I524" t="s">
        <v>80</v>
      </c>
      <c r="J524" t="s">
        <v>196</v>
      </c>
      <c r="K524" t="s">
        <v>13</v>
      </c>
      <c r="L524" t="s">
        <v>83</v>
      </c>
      <c r="M524" t="s">
        <v>84</v>
      </c>
      <c r="N524">
        <v>1</v>
      </c>
      <c r="O524" t="b">
        <v>0</v>
      </c>
      <c r="P524">
        <v>0</v>
      </c>
      <c r="BB524">
        <v>0</v>
      </c>
      <c r="BC524" t="s">
        <v>306</v>
      </c>
      <c r="BD524" t="s">
        <v>270</v>
      </c>
      <c r="BE524" t="s">
        <v>117</v>
      </c>
      <c r="BF524">
        <v>0</v>
      </c>
      <c r="BG524">
        <v>0</v>
      </c>
      <c r="BH524">
        <v>0</v>
      </c>
    </row>
    <row r="525" spans="1:61">
      <c r="A525" s="164" t="s">
        <v>1491</v>
      </c>
      <c r="B525" t="s">
        <v>1492</v>
      </c>
      <c r="C525">
        <v>0</v>
      </c>
      <c r="D525" t="s">
        <v>304</v>
      </c>
      <c r="E525">
        <v>0</v>
      </c>
      <c r="F525" t="s">
        <v>305</v>
      </c>
      <c r="G525" t="s">
        <v>78</v>
      </c>
      <c r="H525" t="s">
        <v>79</v>
      </c>
      <c r="I525" t="s">
        <v>80</v>
      </c>
      <c r="J525" t="s">
        <v>196</v>
      </c>
      <c r="K525" t="s">
        <v>13</v>
      </c>
      <c r="L525" t="s">
        <v>83</v>
      </c>
      <c r="M525" t="s">
        <v>84</v>
      </c>
      <c r="N525">
        <v>1</v>
      </c>
      <c r="O525" t="b">
        <v>1</v>
      </c>
      <c r="P525">
        <v>0</v>
      </c>
      <c r="BB525">
        <v>0</v>
      </c>
      <c r="BC525" t="s">
        <v>306</v>
      </c>
      <c r="BD525" t="s">
        <v>307</v>
      </c>
      <c r="BE525" t="s">
        <v>117</v>
      </c>
      <c r="BF525">
        <v>0</v>
      </c>
      <c r="BG525">
        <v>25</v>
      </c>
      <c r="BH525">
        <v>10000</v>
      </c>
      <c r="BI525" t="s">
        <v>308</v>
      </c>
    </row>
    <row r="526" spans="1:61">
      <c r="A526" s="164" t="s">
        <v>1493</v>
      </c>
      <c r="B526" t="s">
        <v>1494</v>
      </c>
      <c r="C526">
        <v>0</v>
      </c>
      <c r="D526" t="s">
        <v>304</v>
      </c>
      <c r="E526">
        <v>0</v>
      </c>
      <c r="F526" t="s">
        <v>305</v>
      </c>
      <c r="G526" t="s">
        <v>78</v>
      </c>
      <c r="H526" t="s">
        <v>79</v>
      </c>
      <c r="I526" t="s">
        <v>80</v>
      </c>
      <c r="J526" t="s">
        <v>196</v>
      </c>
      <c r="K526" t="s">
        <v>13</v>
      </c>
      <c r="L526" t="s">
        <v>83</v>
      </c>
      <c r="M526" t="s">
        <v>84</v>
      </c>
      <c r="N526">
        <v>1</v>
      </c>
      <c r="O526" t="b">
        <v>1</v>
      </c>
      <c r="P526">
        <v>0</v>
      </c>
      <c r="BB526">
        <v>0</v>
      </c>
      <c r="BC526" t="s">
        <v>306</v>
      </c>
      <c r="BD526" t="s">
        <v>307</v>
      </c>
      <c r="BE526" t="s">
        <v>117</v>
      </c>
      <c r="BF526">
        <v>0</v>
      </c>
      <c r="BG526">
        <v>25</v>
      </c>
      <c r="BH526">
        <v>10000</v>
      </c>
      <c r="BI526" t="s">
        <v>308</v>
      </c>
    </row>
    <row r="527" spans="1:61">
      <c r="A527" s="164" t="s">
        <v>1495</v>
      </c>
      <c r="B527" t="s">
        <v>1496</v>
      </c>
      <c r="C527">
        <v>0</v>
      </c>
      <c r="D527" t="s">
        <v>304</v>
      </c>
      <c r="E527">
        <v>0</v>
      </c>
      <c r="F527" t="s">
        <v>305</v>
      </c>
      <c r="G527" t="s">
        <v>78</v>
      </c>
      <c r="H527" t="s">
        <v>79</v>
      </c>
      <c r="I527" t="s">
        <v>80</v>
      </c>
      <c r="J527" t="s">
        <v>196</v>
      </c>
      <c r="K527" t="s">
        <v>13</v>
      </c>
      <c r="L527" t="s">
        <v>83</v>
      </c>
      <c r="M527" t="s">
        <v>84</v>
      </c>
      <c r="N527">
        <v>1</v>
      </c>
      <c r="O527" t="b">
        <v>1</v>
      </c>
      <c r="P527">
        <v>0</v>
      </c>
      <c r="BB527">
        <v>0</v>
      </c>
      <c r="BC527" t="s">
        <v>306</v>
      </c>
      <c r="BD527" t="s">
        <v>307</v>
      </c>
      <c r="BE527" t="s">
        <v>117</v>
      </c>
      <c r="BF527">
        <v>0</v>
      </c>
      <c r="BG527">
        <v>25</v>
      </c>
      <c r="BH527">
        <v>10000</v>
      </c>
      <c r="BI527" t="s">
        <v>308</v>
      </c>
    </row>
    <row r="528" spans="1:61">
      <c r="A528" s="164" t="s">
        <v>1497</v>
      </c>
      <c r="B528" t="s">
        <v>1498</v>
      </c>
      <c r="C528">
        <v>0</v>
      </c>
      <c r="D528" t="s">
        <v>304</v>
      </c>
      <c r="E528">
        <v>0</v>
      </c>
      <c r="F528" t="s">
        <v>269</v>
      </c>
      <c r="G528" t="s">
        <v>103</v>
      </c>
      <c r="H528" t="s">
        <v>104</v>
      </c>
      <c r="I528" t="s">
        <v>80</v>
      </c>
      <c r="J528" t="s">
        <v>196</v>
      </c>
      <c r="K528" t="s">
        <v>13</v>
      </c>
      <c r="L528" t="s">
        <v>83</v>
      </c>
      <c r="M528" t="s">
        <v>84</v>
      </c>
      <c r="N528">
        <v>1</v>
      </c>
      <c r="O528" t="b">
        <v>0</v>
      </c>
      <c r="P528">
        <v>0</v>
      </c>
      <c r="BB528">
        <v>0</v>
      </c>
      <c r="BC528" t="s">
        <v>306</v>
      </c>
      <c r="BD528" t="s">
        <v>270</v>
      </c>
      <c r="BE528" t="s">
        <v>117</v>
      </c>
      <c r="BF528">
        <v>0</v>
      </c>
      <c r="BG528">
        <v>0</v>
      </c>
      <c r="BH528">
        <v>0</v>
      </c>
    </row>
    <row r="529" spans="1:61">
      <c r="A529" s="164" t="s">
        <v>1499</v>
      </c>
      <c r="B529" t="s">
        <v>1500</v>
      </c>
      <c r="C529">
        <v>0</v>
      </c>
      <c r="D529" t="s">
        <v>304</v>
      </c>
      <c r="E529">
        <v>0</v>
      </c>
      <c r="F529" t="s">
        <v>269</v>
      </c>
      <c r="G529" t="s">
        <v>103</v>
      </c>
      <c r="H529" t="s">
        <v>104</v>
      </c>
      <c r="I529" t="s">
        <v>80</v>
      </c>
      <c r="J529" t="s">
        <v>196</v>
      </c>
      <c r="K529" t="s">
        <v>13</v>
      </c>
      <c r="L529" t="s">
        <v>83</v>
      </c>
      <c r="M529" t="s">
        <v>84</v>
      </c>
      <c r="N529">
        <v>1</v>
      </c>
      <c r="O529" t="b">
        <v>0</v>
      </c>
      <c r="P529">
        <v>0</v>
      </c>
      <c r="BB529">
        <v>0</v>
      </c>
      <c r="BC529" t="s">
        <v>306</v>
      </c>
      <c r="BD529" t="s">
        <v>270</v>
      </c>
      <c r="BE529" t="s">
        <v>117</v>
      </c>
      <c r="BF529">
        <v>0</v>
      </c>
      <c r="BG529">
        <v>0</v>
      </c>
      <c r="BH529">
        <v>0</v>
      </c>
    </row>
    <row r="530" spans="1:61">
      <c r="A530" s="164" t="s">
        <v>1501</v>
      </c>
      <c r="B530" t="s">
        <v>1502</v>
      </c>
      <c r="C530">
        <v>0</v>
      </c>
      <c r="D530" t="s">
        <v>304</v>
      </c>
      <c r="E530">
        <v>0</v>
      </c>
      <c r="F530" t="s">
        <v>666</v>
      </c>
      <c r="G530" t="s">
        <v>78</v>
      </c>
      <c r="H530" t="s">
        <v>79</v>
      </c>
      <c r="I530" t="s">
        <v>80</v>
      </c>
      <c r="J530" t="s">
        <v>196</v>
      </c>
      <c r="K530" t="s">
        <v>13</v>
      </c>
      <c r="L530" t="s">
        <v>83</v>
      </c>
      <c r="M530" t="s">
        <v>84</v>
      </c>
      <c r="N530">
        <v>1</v>
      </c>
      <c r="O530" t="b">
        <v>1</v>
      </c>
      <c r="P530">
        <v>0</v>
      </c>
      <c r="BB530">
        <v>0</v>
      </c>
      <c r="BC530" t="s">
        <v>306</v>
      </c>
      <c r="BD530" t="s">
        <v>667</v>
      </c>
      <c r="BE530" t="s">
        <v>117</v>
      </c>
      <c r="BF530">
        <v>0</v>
      </c>
      <c r="BG530">
        <v>45</v>
      </c>
      <c r="BH530">
        <v>70000</v>
      </c>
      <c r="BI530" t="s">
        <v>315</v>
      </c>
    </row>
    <row r="531" spans="1:61">
      <c r="A531" s="164" t="s">
        <v>1503</v>
      </c>
      <c r="B531" t="s">
        <v>1504</v>
      </c>
      <c r="C531">
        <v>0</v>
      </c>
      <c r="D531" t="s">
        <v>304</v>
      </c>
      <c r="E531">
        <v>0</v>
      </c>
      <c r="F531" t="s">
        <v>305</v>
      </c>
      <c r="G531" t="s">
        <v>78</v>
      </c>
      <c r="H531" t="s">
        <v>79</v>
      </c>
      <c r="I531" t="s">
        <v>80</v>
      </c>
      <c r="J531" t="s">
        <v>196</v>
      </c>
      <c r="K531" t="s">
        <v>13</v>
      </c>
      <c r="L531" t="s">
        <v>83</v>
      </c>
      <c r="M531" t="s">
        <v>84</v>
      </c>
      <c r="N531">
        <v>1</v>
      </c>
      <c r="O531" t="b">
        <v>1</v>
      </c>
      <c r="P531">
        <v>0</v>
      </c>
      <c r="BB531">
        <v>0</v>
      </c>
      <c r="BC531" t="s">
        <v>306</v>
      </c>
      <c r="BD531" t="s">
        <v>307</v>
      </c>
      <c r="BE531" t="s">
        <v>117</v>
      </c>
      <c r="BF531">
        <v>0</v>
      </c>
      <c r="BG531">
        <v>25</v>
      </c>
      <c r="BH531">
        <v>10000</v>
      </c>
      <c r="BI531" t="s">
        <v>308</v>
      </c>
    </row>
    <row r="532" spans="1:61">
      <c r="A532" s="164" t="s">
        <v>1505</v>
      </c>
      <c r="B532" t="s">
        <v>1506</v>
      </c>
      <c r="C532">
        <v>0</v>
      </c>
      <c r="D532" t="s">
        <v>304</v>
      </c>
      <c r="E532">
        <v>0</v>
      </c>
      <c r="F532" t="s">
        <v>1507</v>
      </c>
      <c r="G532" t="s">
        <v>78</v>
      </c>
      <c r="H532" t="s">
        <v>79</v>
      </c>
      <c r="I532" t="s">
        <v>80</v>
      </c>
      <c r="J532" t="s">
        <v>196</v>
      </c>
      <c r="K532" t="s">
        <v>13</v>
      </c>
      <c r="L532" t="s">
        <v>83</v>
      </c>
      <c r="M532" t="s">
        <v>84</v>
      </c>
      <c r="N532">
        <v>1</v>
      </c>
      <c r="O532" t="b">
        <v>1</v>
      </c>
      <c r="P532">
        <v>0</v>
      </c>
      <c r="BB532">
        <v>0</v>
      </c>
      <c r="BC532" t="s">
        <v>306</v>
      </c>
      <c r="BD532" t="s">
        <v>1508</v>
      </c>
      <c r="BE532" t="s">
        <v>117</v>
      </c>
      <c r="BF532">
        <v>0</v>
      </c>
      <c r="BG532">
        <v>60</v>
      </c>
      <c r="BH532">
        <v>50000</v>
      </c>
      <c r="BI532" t="s">
        <v>1509</v>
      </c>
    </row>
    <row r="533" spans="1:61">
      <c r="A533" s="164" t="s">
        <v>1510</v>
      </c>
      <c r="B533" t="s">
        <v>1511</v>
      </c>
      <c r="C533">
        <v>0</v>
      </c>
      <c r="D533" t="s">
        <v>304</v>
      </c>
      <c r="E533">
        <v>0</v>
      </c>
      <c r="F533" t="s">
        <v>336</v>
      </c>
      <c r="G533" t="s">
        <v>78</v>
      </c>
      <c r="H533" t="s">
        <v>79</v>
      </c>
      <c r="I533" t="s">
        <v>80</v>
      </c>
      <c r="J533" t="s">
        <v>196</v>
      </c>
      <c r="K533" t="s">
        <v>13</v>
      </c>
      <c r="L533" t="s">
        <v>83</v>
      </c>
      <c r="M533" t="s">
        <v>84</v>
      </c>
      <c r="N533">
        <v>1</v>
      </c>
      <c r="O533" t="b">
        <v>1</v>
      </c>
      <c r="P533">
        <v>0</v>
      </c>
      <c r="BB533">
        <v>0</v>
      </c>
      <c r="BC533" t="s">
        <v>306</v>
      </c>
      <c r="BD533" t="s">
        <v>337</v>
      </c>
      <c r="BE533" t="s">
        <v>117</v>
      </c>
      <c r="BF533">
        <v>0</v>
      </c>
      <c r="BG533">
        <v>30</v>
      </c>
      <c r="BH533">
        <v>30000</v>
      </c>
      <c r="BI533" t="s">
        <v>593</v>
      </c>
    </row>
    <row r="534" spans="1:61">
      <c r="A534" s="164" t="s">
        <v>1512</v>
      </c>
      <c r="B534" t="s">
        <v>1513</v>
      </c>
      <c r="C534">
        <v>0</v>
      </c>
      <c r="D534" t="s">
        <v>304</v>
      </c>
      <c r="E534">
        <v>0</v>
      </c>
      <c r="F534" t="s">
        <v>342</v>
      </c>
      <c r="G534" t="s">
        <v>78</v>
      </c>
      <c r="H534" t="s">
        <v>79</v>
      </c>
      <c r="I534" t="s">
        <v>80</v>
      </c>
      <c r="J534" t="s">
        <v>196</v>
      </c>
      <c r="K534" t="s">
        <v>13</v>
      </c>
      <c r="L534" t="s">
        <v>83</v>
      </c>
      <c r="M534" t="s">
        <v>84</v>
      </c>
      <c r="N534">
        <v>1</v>
      </c>
      <c r="O534" t="b">
        <v>1</v>
      </c>
      <c r="P534">
        <v>0</v>
      </c>
      <c r="BB534">
        <v>0</v>
      </c>
      <c r="BC534" t="s">
        <v>306</v>
      </c>
      <c r="BD534" t="s">
        <v>343</v>
      </c>
      <c r="BE534" t="s">
        <v>117</v>
      </c>
      <c r="BF534">
        <v>0</v>
      </c>
      <c r="BG534">
        <v>25</v>
      </c>
      <c r="BH534">
        <v>10000</v>
      </c>
      <c r="BI534" t="s">
        <v>344</v>
      </c>
    </row>
    <row r="535" spans="1:61">
      <c r="A535" s="164" t="s">
        <v>1514</v>
      </c>
      <c r="B535" t="s">
        <v>1515</v>
      </c>
      <c r="C535">
        <v>0</v>
      </c>
      <c r="D535" t="s">
        <v>304</v>
      </c>
      <c r="E535">
        <v>0</v>
      </c>
      <c r="F535" t="s">
        <v>342</v>
      </c>
      <c r="G535" t="s">
        <v>78</v>
      </c>
      <c r="H535" t="s">
        <v>79</v>
      </c>
      <c r="I535" t="s">
        <v>80</v>
      </c>
      <c r="J535" t="s">
        <v>196</v>
      </c>
      <c r="K535" t="s">
        <v>13</v>
      </c>
      <c r="L535" t="s">
        <v>83</v>
      </c>
      <c r="M535" t="s">
        <v>84</v>
      </c>
      <c r="N535">
        <v>1</v>
      </c>
      <c r="O535" t="b">
        <v>1</v>
      </c>
      <c r="P535">
        <v>0</v>
      </c>
      <c r="BB535">
        <v>0</v>
      </c>
      <c r="BC535" t="s">
        <v>306</v>
      </c>
      <c r="BD535" t="s">
        <v>343</v>
      </c>
      <c r="BE535" t="s">
        <v>117</v>
      </c>
      <c r="BF535">
        <v>0</v>
      </c>
      <c r="BG535">
        <v>25</v>
      </c>
      <c r="BH535">
        <v>10000</v>
      </c>
      <c r="BI535" t="s">
        <v>344</v>
      </c>
    </row>
    <row r="536" spans="1:61">
      <c r="A536" s="164" t="s">
        <v>1516</v>
      </c>
      <c r="B536" t="s">
        <v>1517</v>
      </c>
      <c r="C536">
        <v>0</v>
      </c>
      <c r="D536" t="s">
        <v>304</v>
      </c>
      <c r="E536">
        <v>0</v>
      </c>
      <c r="F536" t="s">
        <v>342</v>
      </c>
      <c r="G536" t="s">
        <v>78</v>
      </c>
      <c r="H536" t="s">
        <v>79</v>
      </c>
      <c r="I536" t="s">
        <v>80</v>
      </c>
      <c r="J536" t="s">
        <v>196</v>
      </c>
      <c r="K536" t="s">
        <v>13</v>
      </c>
      <c r="L536" t="s">
        <v>83</v>
      </c>
      <c r="M536" t="s">
        <v>84</v>
      </c>
      <c r="N536">
        <v>1</v>
      </c>
      <c r="O536" t="b">
        <v>1</v>
      </c>
      <c r="P536">
        <v>0</v>
      </c>
      <c r="BB536">
        <v>0</v>
      </c>
      <c r="BC536" t="s">
        <v>306</v>
      </c>
      <c r="BD536" t="s">
        <v>343</v>
      </c>
      <c r="BE536" t="s">
        <v>117</v>
      </c>
      <c r="BF536">
        <v>0</v>
      </c>
      <c r="BG536">
        <v>25</v>
      </c>
      <c r="BH536">
        <v>10000</v>
      </c>
      <c r="BI536" t="s">
        <v>344</v>
      </c>
    </row>
    <row r="537" spans="1:61">
      <c r="A537" s="164" t="s">
        <v>1518</v>
      </c>
      <c r="B537" t="s">
        <v>1519</v>
      </c>
      <c r="C537">
        <v>0</v>
      </c>
      <c r="D537" t="s">
        <v>304</v>
      </c>
      <c r="E537">
        <v>0</v>
      </c>
      <c r="F537" t="s">
        <v>342</v>
      </c>
      <c r="G537" t="s">
        <v>78</v>
      </c>
      <c r="H537" t="s">
        <v>79</v>
      </c>
      <c r="I537" t="s">
        <v>80</v>
      </c>
      <c r="J537" t="s">
        <v>196</v>
      </c>
      <c r="K537" t="s">
        <v>13</v>
      </c>
      <c r="L537" t="s">
        <v>83</v>
      </c>
      <c r="M537" t="s">
        <v>84</v>
      </c>
      <c r="N537">
        <v>1</v>
      </c>
      <c r="O537" t="b">
        <v>1</v>
      </c>
      <c r="P537">
        <v>0</v>
      </c>
      <c r="BB537">
        <v>0</v>
      </c>
      <c r="BC537" t="s">
        <v>306</v>
      </c>
      <c r="BD537" t="s">
        <v>343</v>
      </c>
      <c r="BE537" t="s">
        <v>117</v>
      </c>
      <c r="BF537">
        <v>0</v>
      </c>
      <c r="BG537">
        <v>25</v>
      </c>
      <c r="BH537">
        <v>10000</v>
      </c>
      <c r="BI537" t="s">
        <v>344</v>
      </c>
    </row>
    <row r="538" spans="1:61">
      <c r="A538" s="164" t="s">
        <v>1520</v>
      </c>
      <c r="B538" t="s">
        <v>1521</v>
      </c>
      <c r="C538">
        <v>0</v>
      </c>
      <c r="D538" t="s">
        <v>523</v>
      </c>
      <c r="E538">
        <v>0</v>
      </c>
      <c r="F538" t="s">
        <v>538</v>
      </c>
      <c r="G538" t="s">
        <v>78</v>
      </c>
      <c r="H538" t="s">
        <v>79</v>
      </c>
      <c r="I538" t="s">
        <v>80</v>
      </c>
      <c r="J538" t="s">
        <v>196</v>
      </c>
      <c r="K538" t="s">
        <v>13</v>
      </c>
      <c r="L538" t="s">
        <v>83</v>
      </c>
      <c r="M538" t="s">
        <v>205</v>
      </c>
      <c r="N538">
        <v>1</v>
      </c>
      <c r="O538" t="b">
        <v>1</v>
      </c>
      <c r="P538">
        <v>0</v>
      </c>
      <c r="BB538">
        <v>0</v>
      </c>
      <c r="BC538" t="s">
        <v>524</v>
      </c>
      <c r="BD538" t="s">
        <v>539</v>
      </c>
      <c r="BE538" t="s">
        <v>117</v>
      </c>
      <c r="BF538">
        <v>0</v>
      </c>
      <c r="BG538">
        <v>15</v>
      </c>
      <c r="BH538">
        <v>100</v>
      </c>
      <c r="BI538" t="s">
        <v>1522</v>
      </c>
    </row>
    <row r="539" spans="1:61">
      <c r="A539" s="164" t="s">
        <v>1523</v>
      </c>
      <c r="B539" t="s">
        <v>1524</v>
      </c>
      <c r="C539">
        <v>0</v>
      </c>
      <c r="D539" t="s">
        <v>194</v>
      </c>
      <c r="E539">
        <v>0</v>
      </c>
      <c r="F539" t="s">
        <v>214</v>
      </c>
      <c r="G539" t="s">
        <v>78</v>
      </c>
      <c r="H539" t="s">
        <v>79</v>
      </c>
      <c r="I539" t="s">
        <v>80</v>
      </c>
      <c r="J539" t="s">
        <v>196</v>
      </c>
      <c r="K539" t="s">
        <v>13</v>
      </c>
      <c r="L539" t="s">
        <v>83</v>
      </c>
      <c r="M539" t="s">
        <v>84</v>
      </c>
      <c r="N539">
        <v>1</v>
      </c>
      <c r="O539" t="b">
        <v>1</v>
      </c>
      <c r="P539">
        <v>0</v>
      </c>
      <c r="BB539">
        <v>0</v>
      </c>
      <c r="BC539" t="s">
        <v>197</v>
      </c>
      <c r="BD539" t="s">
        <v>216</v>
      </c>
      <c r="BE539" t="s">
        <v>117</v>
      </c>
      <c r="BF539">
        <v>0</v>
      </c>
      <c r="BG539">
        <v>0</v>
      </c>
      <c r="BH539">
        <v>0</v>
      </c>
    </row>
    <row r="540" spans="1:61">
      <c r="A540" s="164" t="s">
        <v>1525</v>
      </c>
      <c r="B540" t="s">
        <v>1526</v>
      </c>
      <c r="C540">
        <v>0</v>
      </c>
      <c r="D540" t="s">
        <v>194</v>
      </c>
      <c r="E540">
        <v>0</v>
      </c>
      <c r="F540" t="s">
        <v>195</v>
      </c>
      <c r="G540" t="s">
        <v>78</v>
      </c>
      <c r="H540" t="s">
        <v>79</v>
      </c>
      <c r="I540" t="s">
        <v>80</v>
      </c>
      <c r="J540" t="s">
        <v>196</v>
      </c>
      <c r="K540" t="s">
        <v>13</v>
      </c>
      <c r="L540" t="s">
        <v>83</v>
      </c>
      <c r="M540" t="s">
        <v>205</v>
      </c>
      <c r="N540">
        <v>1</v>
      </c>
      <c r="O540" t="b">
        <v>1</v>
      </c>
      <c r="P540">
        <v>0</v>
      </c>
      <c r="BB540">
        <v>0</v>
      </c>
      <c r="BC540" t="s">
        <v>197</v>
      </c>
      <c r="BD540" t="s">
        <v>198</v>
      </c>
      <c r="BE540" t="s">
        <v>117</v>
      </c>
      <c r="BF540">
        <v>0</v>
      </c>
      <c r="BG540">
        <v>0</v>
      </c>
      <c r="BH540">
        <v>0</v>
      </c>
    </row>
    <row r="541" spans="1:61">
      <c r="A541" s="164" t="s">
        <v>1527</v>
      </c>
      <c r="B541" t="s">
        <v>1528</v>
      </c>
      <c r="C541">
        <v>0</v>
      </c>
      <c r="D541" t="s">
        <v>194</v>
      </c>
      <c r="E541">
        <v>0</v>
      </c>
      <c r="F541" t="s">
        <v>195</v>
      </c>
      <c r="G541" t="s">
        <v>78</v>
      </c>
      <c r="H541" t="s">
        <v>79</v>
      </c>
      <c r="I541" t="s">
        <v>80</v>
      </c>
      <c r="J541" t="s">
        <v>196</v>
      </c>
      <c r="K541" t="s">
        <v>13</v>
      </c>
      <c r="L541" t="s">
        <v>83</v>
      </c>
      <c r="M541" t="s">
        <v>205</v>
      </c>
      <c r="N541">
        <v>1</v>
      </c>
      <c r="O541" t="b">
        <v>1</v>
      </c>
      <c r="P541">
        <v>0</v>
      </c>
      <c r="BB541">
        <v>0</v>
      </c>
      <c r="BC541" t="s">
        <v>197</v>
      </c>
      <c r="BD541" t="s">
        <v>198</v>
      </c>
      <c r="BE541" t="s">
        <v>117</v>
      </c>
      <c r="BF541">
        <v>0</v>
      </c>
      <c r="BG541">
        <v>0</v>
      </c>
      <c r="BH541">
        <v>0</v>
      </c>
    </row>
    <row r="542" spans="1:61">
      <c r="A542" s="164" t="s">
        <v>1529</v>
      </c>
      <c r="B542" t="s">
        <v>1530</v>
      </c>
      <c r="C542">
        <v>0</v>
      </c>
      <c r="D542" t="s">
        <v>194</v>
      </c>
      <c r="E542">
        <v>0</v>
      </c>
      <c r="F542" t="s">
        <v>214</v>
      </c>
      <c r="G542" t="s">
        <v>78</v>
      </c>
      <c r="H542" t="s">
        <v>79</v>
      </c>
      <c r="I542" t="s">
        <v>80</v>
      </c>
      <c r="J542" t="s">
        <v>196</v>
      </c>
      <c r="K542" t="s">
        <v>13</v>
      </c>
      <c r="L542" t="s">
        <v>83</v>
      </c>
      <c r="M542" t="s">
        <v>215</v>
      </c>
      <c r="N542">
        <v>1</v>
      </c>
      <c r="O542" t="b">
        <v>1</v>
      </c>
      <c r="P542">
        <v>0</v>
      </c>
      <c r="BB542">
        <v>0</v>
      </c>
      <c r="BC542" t="s">
        <v>197</v>
      </c>
      <c r="BD542" t="s">
        <v>216</v>
      </c>
      <c r="BE542" t="s">
        <v>117</v>
      </c>
      <c r="BF542">
        <v>0</v>
      </c>
      <c r="BG542">
        <v>0</v>
      </c>
      <c r="BH542">
        <v>0</v>
      </c>
    </row>
    <row r="543" spans="1:61">
      <c r="A543" s="164" t="s">
        <v>1531</v>
      </c>
      <c r="B543" t="s">
        <v>1532</v>
      </c>
      <c r="C543">
        <v>0</v>
      </c>
      <c r="D543" t="s">
        <v>194</v>
      </c>
      <c r="E543">
        <v>0</v>
      </c>
      <c r="F543" t="s">
        <v>214</v>
      </c>
      <c r="G543" t="s">
        <v>78</v>
      </c>
      <c r="H543" t="s">
        <v>79</v>
      </c>
      <c r="I543" t="s">
        <v>80</v>
      </c>
      <c r="J543" t="s">
        <v>196</v>
      </c>
      <c r="K543" t="s">
        <v>13</v>
      </c>
      <c r="L543" t="s">
        <v>83</v>
      </c>
      <c r="M543" t="s">
        <v>84</v>
      </c>
      <c r="N543">
        <v>1</v>
      </c>
      <c r="O543" t="b">
        <v>1</v>
      </c>
      <c r="P543">
        <v>0</v>
      </c>
      <c r="BB543">
        <v>0</v>
      </c>
      <c r="BC543" t="s">
        <v>197</v>
      </c>
      <c r="BD543" t="s">
        <v>216</v>
      </c>
      <c r="BE543" t="s">
        <v>117</v>
      </c>
      <c r="BF543">
        <v>0</v>
      </c>
      <c r="BG543">
        <v>0</v>
      </c>
      <c r="BH543">
        <v>0</v>
      </c>
    </row>
    <row r="544" spans="1:61">
      <c r="A544" s="164" t="s">
        <v>1533</v>
      </c>
      <c r="B544" t="s">
        <v>1534</v>
      </c>
      <c r="C544">
        <v>0</v>
      </c>
      <c r="D544" t="s">
        <v>194</v>
      </c>
      <c r="E544">
        <v>0</v>
      </c>
      <c r="F544" t="s">
        <v>214</v>
      </c>
      <c r="G544" t="s">
        <v>78</v>
      </c>
      <c r="H544" t="s">
        <v>79</v>
      </c>
      <c r="I544" t="s">
        <v>80</v>
      </c>
      <c r="J544" t="s">
        <v>196</v>
      </c>
      <c r="K544" t="s">
        <v>13</v>
      </c>
      <c r="L544" t="s">
        <v>83</v>
      </c>
      <c r="M544" t="s">
        <v>215</v>
      </c>
      <c r="N544">
        <v>1</v>
      </c>
      <c r="O544" t="b">
        <v>1</v>
      </c>
      <c r="P544">
        <v>0</v>
      </c>
      <c r="BB544">
        <v>0</v>
      </c>
      <c r="BC544" t="s">
        <v>197</v>
      </c>
      <c r="BD544" t="s">
        <v>216</v>
      </c>
      <c r="BE544" t="s">
        <v>117</v>
      </c>
      <c r="BF544">
        <v>0</v>
      </c>
      <c r="BG544">
        <v>0</v>
      </c>
      <c r="BH544">
        <v>0</v>
      </c>
    </row>
    <row r="545" spans="1:61">
      <c r="A545" s="164" t="s">
        <v>1535</v>
      </c>
      <c r="B545" t="s">
        <v>1536</v>
      </c>
      <c r="C545">
        <v>0</v>
      </c>
      <c r="D545" t="s">
        <v>194</v>
      </c>
      <c r="E545">
        <v>0</v>
      </c>
      <c r="F545" t="s">
        <v>214</v>
      </c>
      <c r="G545" t="s">
        <v>78</v>
      </c>
      <c r="H545" t="s">
        <v>79</v>
      </c>
      <c r="I545" t="s">
        <v>80</v>
      </c>
      <c r="J545" t="s">
        <v>196</v>
      </c>
      <c r="K545" t="s">
        <v>13</v>
      </c>
      <c r="L545" t="s">
        <v>83</v>
      </c>
      <c r="M545" t="s">
        <v>84</v>
      </c>
      <c r="N545">
        <v>1</v>
      </c>
      <c r="O545" t="b">
        <v>1</v>
      </c>
      <c r="P545">
        <v>0</v>
      </c>
      <c r="BB545">
        <v>0</v>
      </c>
      <c r="BC545" t="s">
        <v>197</v>
      </c>
      <c r="BD545" t="s">
        <v>216</v>
      </c>
      <c r="BE545" t="s">
        <v>117</v>
      </c>
      <c r="BF545">
        <v>0</v>
      </c>
      <c r="BG545">
        <v>0</v>
      </c>
      <c r="BH545">
        <v>0</v>
      </c>
    </row>
    <row r="546" spans="1:61">
      <c r="A546" s="164" t="s">
        <v>1537</v>
      </c>
      <c r="B546" t="s">
        <v>1538</v>
      </c>
      <c r="C546">
        <v>0</v>
      </c>
      <c r="D546" t="s">
        <v>194</v>
      </c>
      <c r="E546">
        <v>0</v>
      </c>
      <c r="F546" t="s">
        <v>233</v>
      </c>
      <c r="G546" t="s">
        <v>78</v>
      </c>
      <c r="H546" t="s">
        <v>79</v>
      </c>
      <c r="I546" t="s">
        <v>80</v>
      </c>
      <c r="J546" t="s">
        <v>196</v>
      </c>
      <c r="K546" t="s">
        <v>13</v>
      </c>
      <c r="L546" t="s">
        <v>83</v>
      </c>
      <c r="M546" t="s">
        <v>84</v>
      </c>
      <c r="N546">
        <v>1</v>
      </c>
      <c r="O546" t="b">
        <v>1</v>
      </c>
      <c r="P546">
        <v>0</v>
      </c>
      <c r="BB546">
        <v>0</v>
      </c>
      <c r="BC546" t="s">
        <v>197</v>
      </c>
      <c r="BD546" t="s">
        <v>234</v>
      </c>
      <c r="BE546" t="s">
        <v>117</v>
      </c>
      <c r="BF546">
        <v>0</v>
      </c>
      <c r="BG546">
        <v>0</v>
      </c>
      <c r="BH546">
        <v>0</v>
      </c>
    </row>
    <row r="547" spans="1:61">
      <c r="A547" s="164" t="s">
        <v>1539</v>
      </c>
      <c r="B547" t="s">
        <v>1540</v>
      </c>
      <c r="C547">
        <v>0</v>
      </c>
      <c r="D547" t="s">
        <v>194</v>
      </c>
      <c r="E547">
        <v>0</v>
      </c>
      <c r="F547" t="s">
        <v>233</v>
      </c>
      <c r="G547" t="s">
        <v>78</v>
      </c>
      <c r="H547" t="s">
        <v>79</v>
      </c>
      <c r="I547" t="s">
        <v>80</v>
      </c>
      <c r="J547" t="s">
        <v>196</v>
      </c>
      <c r="K547" t="s">
        <v>13</v>
      </c>
      <c r="L547" t="s">
        <v>83</v>
      </c>
      <c r="M547" t="s">
        <v>84</v>
      </c>
      <c r="N547">
        <v>1</v>
      </c>
      <c r="O547" t="b">
        <v>1</v>
      </c>
      <c r="P547">
        <v>0</v>
      </c>
      <c r="BB547">
        <v>0</v>
      </c>
      <c r="BC547" t="s">
        <v>197</v>
      </c>
      <c r="BD547" t="s">
        <v>234</v>
      </c>
      <c r="BE547" t="s">
        <v>117</v>
      </c>
      <c r="BF547">
        <v>0</v>
      </c>
      <c r="BG547">
        <v>0</v>
      </c>
      <c r="BH547">
        <v>0</v>
      </c>
    </row>
    <row r="548" spans="1:61">
      <c r="A548" s="164" t="s">
        <v>1541</v>
      </c>
      <c r="B548" t="s">
        <v>1542</v>
      </c>
      <c r="C548">
        <v>0</v>
      </c>
      <c r="D548" t="s">
        <v>194</v>
      </c>
      <c r="E548">
        <v>0</v>
      </c>
      <c r="F548" t="s">
        <v>233</v>
      </c>
      <c r="G548" t="s">
        <v>78</v>
      </c>
      <c r="H548" t="s">
        <v>79</v>
      </c>
      <c r="I548" t="s">
        <v>80</v>
      </c>
      <c r="J548" t="s">
        <v>196</v>
      </c>
      <c r="K548" t="s">
        <v>13</v>
      </c>
      <c r="L548" t="s">
        <v>83</v>
      </c>
      <c r="M548" t="s">
        <v>84</v>
      </c>
      <c r="N548">
        <v>1</v>
      </c>
      <c r="O548" t="b">
        <v>1</v>
      </c>
      <c r="P548">
        <v>0</v>
      </c>
      <c r="BB548">
        <v>0</v>
      </c>
      <c r="BC548" t="s">
        <v>197</v>
      </c>
      <c r="BD548" t="s">
        <v>234</v>
      </c>
      <c r="BE548" t="s">
        <v>117</v>
      </c>
      <c r="BF548">
        <v>0</v>
      </c>
      <c r="BG548">
        <v>0</v>
      </c>
      <c r="BH548">
        <v>0</v>
      </c>
    </row>
    <row r="549" spans="1:61">
      <c r="A549" s="164" t="s">
        <v>1543</v>
      </c>
      <c r="B549" t="s">
        <v>1544</v>
      </c>
      <c r="C549">
        <v>0</v>
      </c>
      <c r="D549" t="s">
        <v>107</v>
      </c>
      <c r="E549">
        <v>0</v>
      </c>
      <c r="F549" t="s">
        <v>499</v>
      </c>
      <c r="G549" t="s">
        <v>78</v>
      </c>
      <c r="H549" t="s">
        <v>79</v>
      </c>
      <c r="I549" t="s">
        <v>80</v>
      </c>
      <c r="J549" t="s">
        <v>81</v>
      </c>
      <c r="K549" t="s">
        <v>82</v>
      </c>
      <c r="L549" t="s">
        <v>83</v>
      </c>
      <c r="M549" t="s">
        <v>84</v>
      </c>
      <c r="N549">
        <v>0.18</v>
      </c>
      <c r="O549" t="b">
        <v>1</v>
      </c>
      <c r="P549">
        <v>45</v>
      </c>
      <c r="Q549" t="s">
        <v>85</v>
      </c>
      <c r="U549" s="36">
        <v>0.243175</v>
      </c>
      <c r="V549" t="s">
        <v>87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F549" t="s">
        <v>113</v>
      </c>
      <c r="AH549">
        <v>0</v>
      </c>
      <c r="AI549">
        <v>0.9</v>
      </c>
      <c r="AX549" t="s">
        <v>922</v>
      </c>
      <c r="AY549">
        <v>0</v>
      </c>
      <c r="AZ549">
        <v>4</v>
      </c>
      <c r="BA549" t="s">
        <v>94</v>
      </c>
      <c r="BB549">
        <v>0.68</v>
      </c>
      <c r="BC549" t="s">
        <v>95</v>
      </c>
      <c r="BD549" t="s">
        <v>96</v>
      </c>
      <c r="BE549" t="s">
        <v>97</v>
      </c>
      <c r="BF549">
        <v>1</v>
      </c>
      <c r="BG549">
        <v>0</v>
      </c>
      <c r="BH549">
        <v>0</v>
      </c>
      <c r="BI549" t="s">
        <v>98</v>
      </c>
    </row>
    <row r="550" spans="1:61">
      <c r="A550" s="164" t="s">
        <v>1545</v>
      </c>
      <c r="B550" t="s">
        <v>1546</v>
      </c>
      <c r="C550">
        <v>0</v>
      </c>
      <c r="D550" t="s">
        <v>107</v>
      </c>
      <c r="E550">
        <v>0</v>
      </c>
      <c r="F550" t="s">
        <v>499</v>
      </c>
      <c r="G550" t="s">
        <v>78</v>
      </c>
      <c r="H550" t="s">
        <v>79</v>
      </c>
      <c r="I550" t="s">
        <v>80</v>
      </c>
      <c r="J550" t="s">
        <v>774</v>
      </c>
      <c r="K550" t="s">
        <v>565</v>
      </c>
      <c r="L550" t="s">
        <v>83</v>
      </c>
      <c r="M550" t="s">
        <v>84</v>
      </c>
      <c r="N550">
        <v>1.08</v>
      </c>
      <c r="O550" t="b">
        <v>1</v>
      </c>
      <c r="P550">
        <v>45</v>
      </c>
      <c r="Q550" t="s">
        <v>85</v>
      </c>
      <c r="S550">
        <v>0</v>
      </c>
      <c r="T550">
        <v>1</v>
      </c>
      <c r="U550" s="36">
        <v>1.5516000000000001</v>
      </c>
      <c r="V550" t="s">
        <v>87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G550" t="s">
        <v>129</v>
      </c>
      <c r="AH550">
        <v>0</v>
      </c>
      <c r="AI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 t="s">
        <v>1547</v>
      </c>
      <c r="AY550">
        <v>0</v>
      </c>
      <c r="AZ550">
        <v>0</v>
      </c>
      <c r="BA550" t="s">
        <v>94</v>
      </c>
      <c r="BB550">
        <v>3.68</v>
      </c>
      <c r="BC550" t="s">
        <v>95</v>
      </c>
      <c r="BD550" t="s">
        <v>139</v>
      </c>
      <c r="BE550" t="s">
        <v>97</v>
      </c>
      <c r="BF550">
        <v>1</v>
      </c>
      <c r="BG550">
        <v>0</v>
      </c>
      <c r="BH550">
        <v>0</v>
      </c>
      <c r="BI550" t="s">
        <v>98</v>
      </c>
    </row>
    <row r="551" spans="1:61">
      <c r="A551" s="164" t="s">
        <v>1548</v>
      </c>
      <c r="B551" t="s">
        <v>1549</v>
      </c>
      <c r="C551">
        <v>0</v>
      </c>
      <c r="D551" t="s">
        <v>486</v>
      </c>
      <c r="E551">
        <v>0</v>
      </c>
      <c r="F551" t="s">
        <v>1138</v>
      </c>
      <c r="G551" t="s">
        <v>78</v>
      </c>
      <c r="H551" t="s">
        <v>79</v>
      </c>
      <c r="I551" t="s">
        <v>80</v>
      </c>
      <c r="J551" t="s">
        <v>163</v>
      </c>
      <c r="K551" t="s">
        <v>82</v>
      </c>
      <c r="L551" t="s">
        <v>83</v>
      </c>
      <c r="M551" t="s">
        <v>84</v>
      </c>
      <c r="N551">
        <v>7.4999999999999997E-2</v>
      </c>
      <c r="O551" t="b">
        <v>1</v>
      </c>
      <c r="P551">
        <v>90</v>
      </c>
      <c r="Q551" t="s">
        <v>137</v>
      </c>
      <c r="S551">
        <v>0</v>
      </c>
      <c r="T551">
        <v>1</v>
      </c>
      <c r="U551" s="36">
        <v>0.62080000000000002</v>
      </c>
      <c r="V551" t="s">
        <v>165</v>
      </c>
      <c r="X551">
        <v>0</v>
      </c>
      <c r="Y551">
        <v>240</v>
      </c>
      <c r="Z551">
        <v>0</v>
      </c>
      <c r="AA551">
        <v>35</v>
      </c>
      <c r="AB551">
        <v>0</v>
      </c>
      <c r="AC551">
        <v>0</v>
      </c>
      <c r="AE551" t="s">
        <v>129</v>
      </c>
      <c r="AF551" t="s">
        <v>1138</v>
      </c>
      <c r="AH551">
        <v>0</v>
      </c>
      <c r="AI551">
        <v>9.9</v>
      </c>
      <c r="AM551">
        <v>0</v>
      </c>
      <c r="AN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X551" t="s">
        <v>1550</v>
      </c>
      <c r="AY551">
        <v>2.2313999999999998</v>
      </c>
      <c r="AZ551">
        <v>5</v>
      </c>
      <c r="BA551" t="s">
        <v>138</v>
      </c>
      <c r="BB551">
        <v>1.18</v>
      </c>
      <c r="BC551" t="s">
        <v>95</v>
      </c>
      <c r="BD551" t="s">
        <v>96</v>
      </c>
      <c r="BE551" t="s">
        <v>97</v>
      </c>
      <c r="BF551">
        <v>1</v>
      </c>
      <c r="BG551">
        <v>0</v>
      </c>
      <c r="BH551">
        <v>0</v>
      </c>
      <c r="BI551" t="s">
        <v>98</v>
      </c>
    </row>
    <row r="552" spans="1:61">
      <c r="A552" s="164" t="s">
        <v>1551</v>
      </c>
      <c r="B552" t="s">
        <v>1552</v>
      </c>
      <c r="C552">
        <v>0</v>
      </c>
      <c r="D552" t="s">
        <v>1553</v>
      </c>
      <c r="E552">
        <v>0</v>
      </c>
      <c r="F552" t="s">
        <v>120</v>
      </c>
      <c r="G552" t="s">
        <v>103</v>
      </c>
      <c r="H552" t="s">
        <v>104</v>
      </c>
      <c r="I552" t="s">
        <v>80</v>
      </c>
      <c r="J552" t="s">
        <v>81</v>
      </c>
      <c r="K552" t="s">
        <v>82</v>
      </c>
      <c r="L552" t="s">
        <v>83</v>
      </c>
      <c r="M552" t="s">
        <v>84</v>
      </c>
      <c r="N552">
        <v>0.5</v>
      </c>
      <c r="O552" t="b">
        <v>1</v>
      </c>
      <c r="P552">
        <v>45</v>
      </c>
      <c r="Q552" t="s">
        <v>85</v>
      </c>
      <c r="R552" t="s">
        <v>1126</v>
      </c>
      <c r="S552">
        <v>0.5</v>
      </c>
      <c r="T552">
        <v>1</v>
      </c>
      <c r="U552" s="36">
        <v>0.90338999999999992</v>
      </c>
      <c r="V552" t="s">
        <v>87</v>
      </c>
      <c r="W552">
        <v>0</v>
      </c>
      <c r="X552">
        <v>0</v>
      </c>
      <c r="Y552">
        <v>8</v>
      </c>
      <c r="Z552">
        <v>0</v>
      </c>
      <c r="AA552">
        <v>0</v>
      </c>
      <c r="AB552">
        <v>0</v>
      </c>
      <c r="AC552">
        <v>0</v>
      </c>
      <c r="AD552">
        <v>0</v>
      </c>
      <c r="AF552" t="s">
        <v>1554</v>
      </c>
      <c r="AG552" t="s">
        <v>1555</v>
      </c>
      <c r="AH552">
        <v>0</v>
      </c>
      <c r="AI552">
        <v>0.9</v>
      </c>
      <c r="AJ552" t="s">
        <v>91</v>
      </c>
      <c r="AL552" t="s">
        <v>93</v>
      </c>
      <c r="AM552">
        <v>0.52300000000000002</v>
      </c>
      <c r="AN552">
        <v>0</v>
      </c>
      <c r="AO552">
        <v>0.4</v>
      </c>
      <c r="AP552">
        <v>0</v>
      </c>
      <c r="AQ552">
        <v>8.6691086691086688E-2</v>
      </c>
      <c r="AR552">
        <v>0</v>
      </c>
      <c r="AS552">
        <v>0</v>
      </c>
      <c r="AT552">
        <v>1.0866910866910866</v>
      </c>
      <c r="AU552">
        <v>0</v>
      </c>
      <c r="AV552">
        <v>1</v>
      </c>
      <c r="AW552">
        <v>0</v>
      </c>
      <c r="AX552" t="s">
        <v>1556</v>
      </c>
      <c r="AY552">
        <v>23.299999999999997</v>
      </c>
      <c r="AZ552">
        <v>7</v>
      </c>
      <c r="BA552" t="s">
        <v>94</v>
      </c>
      <c r="BB552">
        <v>3.61</v>
      </c>
      <c r="BC552" t="s">
        <v>95</v>
      </c>
      <c r="BD552" t="s">
        <v>96</v>
      </c>
      <c r="BE552" t="s">
        <v>97</v>
      </c>
      <c r="BF552">
        <v>0</v>
      </c>
      <c r="BG552">
        <v>0</v>
      </c>
      <c r="BH552">
        <v>0</v>
      </c>
      <c r="BI552" t="s">
        <v>98</v>
      </c>
    </row>
    <row r="553" spans="1:61">
      <c r="A553" s="164" t="s">
        <v>1557</v>
      </c>
      <c r="B553" t="s">
        <v>1558</v>
      </c>
      <c r="C553">
        <v>0</v>
      </c>
      <c r="D553" t="s">
        <v>107</v>
      </c>
      <c r="E553">
        <v>0</v>
      </c>
      <c r="F553" t="s">
        <v>108</v>
      </c>
      <c r="G553" t="s">
        <v>103</v>
      </c>
      <c r="H553" t="s">
        <v>104</v>
      </c>
      <c r="I553" t="s">
        <v>80</v>
      </c>
      <c r="J553" t="s">
        <v>109</v>
      </c>
      <c r="K553" t="s">
        <v>110</v>
      </c>
      <c r="L553" t="s">
        <v>111</v>
      </c>
      <c r="M553" t="s">
        <v>84</v>
      </c>
      <c r="N553">
        <v>0.9</v>
      </c>
      <c r="O553" t="b">
        <v>1</v>
      </c>
      <c r="P553">
        <v>45</v>
      </c>
      <c r="Q553" t="s">
        <v>85</v>
      </c>
      <c r="R553" t="s">
        <v>86</v>
      </c>
      <c r="S553">
        <v>0.9</v>
      </c>
      <c r="T553">
        <v>1</v>
      </c>
      <c r="V553" t="s">
        <v>87</v>
      </c>
      <c r="W553">
        <v>34</v>
      </c>
      <c r="X553">
        <v>0.62562499999999999</v>
      </c>
      <c r="Y553">
        <v>0</v>
      </c>
      <c r="Z553">
        <v>6.6666666666666666E-2</v>
      </c>
      <c r="AA553">
        <v>60</v>
      </c>
      <c r="AB553">
        <v>0</v>
      </c>
      <c r="AC553">
        <v>500</v>
      </c>
      <c r="AD553">
        <v>555.55555555555554</v>
      </c>
      <c r="AE553" t="s">
        <v>112</v>
      </c>
      <c r="AF553" t="s">
        <v>113</v>
      </c>
      <c r="AG553" t="s">
        <v>114</v>
      </c>
      <c r="AH553">
        <v>0</v>
      </c>
      <c r="AI553">
        <v>0</v>
      </c>
      <c r="AJ553" t="s">
        <v>91</v>
      </c>
      <c r="AK553" t="s">
        <v>92</v>
      </c>
      <c r="AL553" t="s">
        <v>93</v>
      </c>
      <c r="AM553">
        <v>0.34043629629629629</v>
      </c>
      <c r="AN553">
        <v>0.22695753086419751</v>
      </c>
      <c r="AO553">
        <v>0.35178417283950614</v>
      </c>
      <c r="AP553">
        <v>0</v>
      </c>
      <c r="AQ553">
        <v>8.6691086691086688E-2</v>
      </c>
      <c r="AR553">
        <v>2.6666666666666505E-3</v>
      </c>
      <c r="AS553">
        <v>0</v>
      </c>
      <c r="AT553">
        <v>1.0866910866910866</v>
      </c>
      <c r="AU553">
        <v>1.0026666666666666</v>
      </c>
      <c r="AV553">
        <v>1</v>
      </c>
      <c r="AY553">
        <v>0</v>
      </c>
      <c r="AZ553">
        <v>7</v>
      </c>
      <c r="BA553" t="s">
        <v>94</v>
      </c>
      <c r="BB553">
        <v>0</v>
      </c>
      <c r="BC553" t="s">
        <v>115</v>
      </c>
      <c r="BD553" t="s">
        <v>116</v>
      </c>
      <c r="BE553" t="s">
        <v>117</v>
      </c>
      <c r="BF553">
        <v>0</v>
      </c>
      <c r="BG553">
        <v>0</v>
      </c>
      <c r="BH553">
        <v>0</v>
      </c>
      <c r="BI553" t="s">
        <v>98</v>
      </c>
    </row>
    <row r="554" spans="1:61">
      <c r="A554" s="164" t="s">
        <v>1559</v>
      </c>
      <c r="B554" t="s">
        <v>1560</v>
      </c>
      <c r="C554">
        <v>0</v>
      </c>
      <c r="D554" t="s">
        <v>194</v>
      </c>
      <c r="E554">
        <v>0</v>
      </c>
      <c r="F554" t="s">
        <v>195</v>
      </c>
      <c r="G554" t="s">
        <v>78</v>
      </c>
      <c r="H554" t="s">
        <v>79</v>
      </c>
      <c r="I554" t="s">
        <v>80</v>
      </c>
      <c r="J554" t="s">
        <v>196</v>
      </c>
      <c r="K554" t="s">
        <v>13</v>
      </c>
      <c r="L554" t="s">
        <v>83</v>
      </c>
      <c r="M554" t="s">
        <v>84</v>
      </c>
      <c r="N554">
        <v>1</v>
      </c>
      <c r="O554" t="b">
        <v>1</v>
      </c>
      <c r="P554">
        <v>0</v>
      </c>
      <c r="BB554">
        <v>0</v>
      </c>
      <c r="BC554" t="s">
        <v>197</v>
      </c>
      <c r="BD554" t="s">
        <v>198</v>
      </c>
      <c r="BE554" t="s">
        <v>117</v>
      </c>
      <c r="BF554">
        <v>0</v>
      </c>
      <c r="BG554">
        <v>0</v>
      </c>
      <c r="BH554">
        <v>0</v>
      </c>
    </row>
    <row r="555" spans="1:61">
      <c r="A555" s="164" t="s">
        <v>1561</v>
      </c>
      <c r="B555" t="s">
        <v>1562</v>
      </c>
      <c r="C555">
        <v>0</v>
      </c>
      <c r="D555" t="s">
        <v>194</v>
      </c>
      <c r="E555">
        <v>0</v>
      </c>
      <c r="F555" t="s">
        <v>195</v>
      </c>
      <c r="G555" t="s">
        <v>78</v>
      </c>
      <c r="H555" t="s">
        <v>79</v>
      </c>
      <c r="I555" t="s">
        <v>80</v>
      </c>
      <c r="J555" t="s">
        <v>196</v>
      </c>
      <c r="K555" t="s">
        <v>13</v>
      </c>
      <c r="L555" t="s">
        <v>83</v>
      </c>
      <c r="M555" t="s">
        <v>205</v>
      </c>
      <c r="N555">
        <v>1</v>
      </c>
      <c r="O555" t="b">
        <v>1</v>
      </c>
      <c r="P555">
        <v>0</v>
      </c>
      <c r="BB555">
        <v>0</v>
      </c>
      <c r="BC555" t="s">
        <v>197</v>
      </c>
      <c r="BD555" t="s">
        <v>198</v>
      </c>
      <c r="BE555" t="s">
        <v>117</v>
      </c>
      <c r="BF555">
        <v>0</v>
      </c>
      <c r="BG555">
        <v>0</v>
      </c>
      <c r="BH555">
        <v>0</v>
      </c>
    </row>
    <row r="556" spans="1:61">
      <c r="A556" s="164" t="s">
        <v>1563</v>
      </c>
      <c r="B556" t="s">
        <v>1564</v>
      </c>
      <c r="C556">
        <v>0</v>
      </c>
      <c r="D556" t="s">
        <v>194</v>
      </c>
      <c r="E556">
        <v>0</v>
      </c>
      <c r="F556" t="s">
        <v>195</v>
      </c>
      <c r="G556" t="s">
        <v>78</v>
      </c>
      <c r="H556" t="s">
        <v>79</v>
      </c>
      <c r="I556" t="s">
        <v>80</v>
      </c>
      <c r="J556" t="s">
        <v>196</v>
      </c>
      <c r="K556" t="s">
        <v>13</v>
      </c>
      <c r="L556" t="s">
        <v>83</v>
      </c>
      <c r="M556" t="s">
        <v>205</v>
      </c>
      <c r="N556">
        <v>1</v>
      </c>
      <c r="O556" t="b">
        <v>1</v>
      </c>
      <c r="P556">
        <v>0</v>
      </c>
      <c r="BB556">
        <v>0</v>
      </c>
      <c r="BC556" t="s">
        <v>197</v>
      </c>
      <c r="BD556" t="s">
        <v>198</v>
      </c>
      <c r="BE556" t="s">
        <v>117</v>
      </c>
      <c r="BF556">
        <v>0</v>
      </c>
      <c r="BG556">
        <v>0</v>
      </c>
      <c r="BH556">
        <v>0</v>
      </c>
    </row>
    <row r="557" spans="1:61">
      <c r="A557" s="164" t="s">
        <v>1565</v>
      </c>
      <c r="B557" t="s">
        <v>1566</v>
      </c>
      <c r="C557">
        <v>0</v>
      </c>
      <c r="D557" t="s">
        <v>194</v>
      </c>
      <c r="E557">
        <v>0</v>
      </c>
      <c r="F557" t="s">
        <v>195</v>
      </c>
      <c r="G557" t="s">
        <v>78</v>
      </c>
      <c r="H557" t="s">
        <v>79</v>
      </c>
      <c r="I557" t="s">
        <v>80</v>
      </c>
      <c r="J557" t="s">
        <v>196</v>
      </c>
      <c r="K557" t="s">
        <v>13</v>
      </c>
      <c r="L557" t="s">
        <v>83</v>
      </c>
      <c r="M557" t="s">
        <v>205</v>
      </c>
      <c r="N557">
        <v>1</v>
      </c>
      <c r="O557" t="b">
        <v>1</v>
      </c>
      <c r="P557">
        <v>0</v>
      </c>
      <c r="BB557">
        <v>0</v>
      </c>
      <c r="BC557" t="s">
        <v>197</v>
      </c>
      <c r="BD557" t="s">
        <v>198</v>
      </c>
      <c r="BE557" t="s">
        <v>117</v>
      </c>
      <c r="BF557">
        <v>0</v>
      </c>
      <c r="BG557">
        <v>0</v>
      </c>
      <c r="BH557">
        <v>0</v>
      </c>
    </row>
    <row r="558" spans="1:61">
      <c r="A558" s="164" t="s">
        <v>1567</v>
      </c>
      <c r="B558" t="s">
        <v>1568</v>
      </c>
      <c r="C558">
        <v>0</v>
      </c>
      <c r="D558" t="s">
        <v>194</v>
      </c>
      <c r="E558">
        <v>0</v>
      </c>
      <c r="F558" t="s">
        <v>195</v>
      </c>
      <c r="G558" t="s">
        <v>78</v>
      </c>
      <c r="H558" t="s">
        <v>79</v>
      </c>
      <c r="I558" t="s">
        <v>80</v>
      </c>
      <c r="J558" t="s">
        <v>196</v>
      </c>
      <c r="K558" t="s">
        <v>13</v>
      </c>
      <c r="L558" t="s">
        <v>83</v>
      </c>
      <c r="M558" t="s">
        <v>205</v>
      </c>
      <c r="N558">
        <v>1</v>
      </c>
      <c r="O558" t="b">
        <v>1</v>
      </c>
      <c r="P558">
        <v>0</v>
      </c>
      <c r="BB558">
        <v>0</v>
      </c>
      <c r="BC558" t="s">
        <v>197</v>
      </c>
      <c r="BD558" t="s">
        <v>198</v>
      </c>
      <c r="BE558" t="s">
        <v>117</v>
      </c>
      <c r="BF558">
        <v>0</v>
      </c>
      <c r="BG558">
        <v>0</v>
      </c>
      <c r="BH558">
        <v>0</v>
      </c>
    </row>
    <row r="559" spans="1:61">
      <c r="A559" s="164" t="s">
        <v>1569</v>
      </c>
      <c r="B559" t="s">
        <v>1570</v>
      </c>
      <c r="C559">
        <v>0</v>
      </c>
      <c r="D559" t="s">
        <v>194</v>
      </c>
      <c r="E559">
        <v>0</v>
      </c>
      <c r="F559" t="s">
        <v>195</v>
      </c>
      <c r="G559" t="s">
        <v>78</v>
      </c>
      <c r="H559" t="s">
        <v>79</v>
      </c>
      <c r="I559" t="s">
        <v>80</v>
      </c>
      <c r="J559" t="s">
        <v>196</v>
      </c>
      <c r="K559" t="s">
        <v>13</v>
      </c>
      <c r="L559" t="s">
        <v>83</v>
      </c>
      <c r="M559" t="s">
        <v>205</v>
      </c>
      <c r="N559">
        <v>1</v>
      </c>
      <c r="O559" t="b">
        <v>1</v>
      </c>
      <c r="P559">
        <v>0</v>
      </c>
      <c r="BB559">
        <v>0</v>
      </c>
      <c r="BC559" t="s">
        <v>197</v>
      </c>
      <c r="BD559" t="s">
        <v>198</v>
      </c>
      <c r="BE559" t="s">
        <v>117</v>
      </c>
      <c r="BF559">
        <v>0</v>
      </c>
      <c r="BG559">
        <v>0</v>
      </c>
      <c r="BH559">
        <v>0</v>
      </c>
    </row>
    <row r="560" spans="1:61">
      <c r="A560" s="164" t="s">
        <v>1571</v>
      </c>
      <c r="B560" t="s">
        <v>1572</v>
      </c>
      <c r="C560">
        <v>0</v>
      </c>
      <c r="D560" t="s">
        <v>194</v>
      </c>
      <c r="E560">
        <v>0</v>
      </c>
      <c r="F560" t="s">
        <v>195</v>
      </c>
      <c r="G560" t="s">
        <v>78</v>
      </c>
      <c r="H560" t="s">
        <v>79</v>
      </c>
      <c r="I560" t="s">
        <v>80</v>
      </c>
      <c r="J560" t="s">
        <v>196</v>
      </c>
      <c r="K560" t="s">
        <v>13</v>
      </c>
      <c r="L560" t="s">
        <v>83</v>
      </c>
      <c r="M560" t="s">
        <v>205</v>
      </c>
      <c r="N560">
        <v>1</v>
      </c>
      <c r="O560" t="b">
        <v>1</v>
      </c>
      <c r="P560">
        <v>0</v>
      </c>
      <c r="BB560">
        <v>0</v>
      </c>
      <c r="BC560" t="s">
        <v>197</v>
      </c>
      <c r="BD560" t="s">
        <v>198</v>
      </c>
      <c r="BE560" t="s">
        <v>117</v>
      </c>
      <c r="BF560">
        <v>0</v>
      </c>
      <c r="BG560">
        <v>0</v>
      </c>
      <c r="BH560">
        <v>0</v>
      </c>
    </row>
    <row r="561" spans="1:61">
      <c r="A561" s="164" t="s">
        <v>1573</v>
      </c>
      <c r="B561" t="s">
        <v>1574</v>
      </c>
      <c r="C561">
        <v>0</v>
      </c>
      <c r="D561" t="s">
        <v>194</v>
      </c>
      <c r="E561">
        <v>0</v>
      </c>
      <c r="F561" t="s">
        <v>233</v>
      </c>
      <c r="G561" t="s">
        <v>78</v>
      </c>
      <c r="H561" t="s">
        <v>79</v>
      </c>
      <c r="I561" t="s">
        <v>80</v>
      </c>
      <c r="J561" t="s">
        <v>196</v>
      </c>
      <c r="K561" t="s">
        <v>13</v>
      </c>
      <c r="L561" t="s">
        <v>83</v>
      </c>
      <c r="M561" t="s">
        <v>84</v>
      </c>
      <c r="N561">
        <v>1</v>
      </c>
      <c r="O561" t="b">
        <v>1</v>
      </c>
      <c r="P561">
        <v>0</v>
      </c>
      <c r="BB561">
        <v>0</v>
      </c>
      <c r="BC561" t="s">
        <v>197</v>
      </c>
      <c r="BD561" t="s">
        <v>234</v>
      </c>
      <c r="BE561" t="s">
        <v>117</v>
      </c>
      <c r="BF561">
        <v>0</v>
      </c>
      <c r="BG561">
        <v>0</v>
      </c>
      <c r="BH561">
        <v>0</v>
      </c>
    </row>
    <row r="562" spans="1:61">
      <c r="A562" s="164" t="s">
        <v>1575</v>
      </c>
      <c r="B562" t="s">
        <v>1576</v>
      </c>
      <c r="C562">
        <v>0</v>
      </c>
      <c r="D562" t="s">
        <v>194</v>
      </c>
      <c r="E562">
        <v>0</v>
      </c>
      <c r="F562" t="s">
        <v>195</v>
      </c>
      <c r="G562" t="s">
        <v>78</v>
      </c>
      <c r="H562" t="s">
        <v>79</v>
      </c>
      <c r="I562" t="s">
        <v>80</v>
      </c>
      <c r="J562" t="s">
        <v>196</v>
      </c>
      <c r="K562" t="s">
        <v>13</v>
      </c>
      <c r="L562" t="s">
        <v>83</v>
      </c>
      <c r="M562" t="s">
        <v>205</v>
      </c>
      <c r="N562">
        <v>1</v>
      </c>
      <c r="O562" t="b">
        <v>1</v>
      </c>
      <c r="P562">
        <v>0</v>
      </c>
      <c r="BB562">
        <v>0</v>
      </c>
      <c r="BC562" t="s">
        <v>197</v>
      </c>
      <c r="BD562" t="s">
        <v>198</v>
      </c>
      <c r="BE562" t="s">
        <v>117</v>
      </c>
      <c r="BF562">
        <v>0</v>
      </c>
      <c r="BG562">
        <v>0</v>
      </c>
      <c r="BH562">
        <v>0</v>
      </c>
    </row>
    <row r="563" spans="1:61">
      <c r="A563" s="164" t="s">
        <v>1577</v>
      </c>
      <c r="B563" t="s">
        <v>1578</v>
      </c>
      <c r="C563">
        <v>0</v>
      </c>
      <c r="D563" t="s">
        <v>194</v>
      </c>
      <c r="E563">
        <v>0</v>
      </c>
      <c r="F563" t="s">
        <v>195</v>
      </c>
      <c r="G563" t="s">
        <v>78</v>
      </c>
      <c r="H563" t="s">
        <v>79</v>
      </c>
      <c r="I563" t="s">
        <v>80</v>
      </c>
      <c r="J563" t="s">
        <v>196</v>
      </c>
      <c r="K563" t="s">
        <v>13</v>
      </c>
      <c r="L563" t="s">
        <v>83</v>
      </c>
      <c r="M563" t="s">
        <v>205</v>
      </c>
      <c r="N563">
        <v>1</v>
      </c>
      <c r="O563" t="b">
        <v>1</v>
      </c>
      <c r="P563">
        <v>0</v>
      </c>
      <c r="BB563">
        <v>0</v>
      </c>
      <c r="BC563" t="s">
        <v>197</v>
      </c>
      <c r="BD563" t="s">
        <v>198</v>
      </c>
      <c r="BE563" t="s">
        <v>117</v>
      </c>
      <c r="BF563">
        <v>0</v>
      </c>
      <c r="BG563">
        <v>0</v>
      </c>
      <c r="BH563">
        <v>0</v>
      </c>
    </row>
    <row r="564" spans="1:61">
      <c r="A564" s="164" t="s">
        <v>1579</v>
      </c>
      <c r="B564" t="s">
        <v>1580</v>
      </c>
      <c r="C564">
        <v>0</v>
      </c>
      <c r="D564" t="s">
        <v>486</v>
      </c>
      <c r="E564">
        <v>0</v>
      </c>
      <c r="F564" t="s">
        <v>1178</v>
      </c>
      <c r="G564" t="s">
        <v>78</v>
      </c>
      <c r="H564" t="s">
        <v>79</v>
      </c>
      <c r="I564" t="s">
        <v>80</v>
      </c>
      <c r="J564" t="s">
        <v>163</v>
      </c>
      <c r="K564" t="s">
        <v>82</v>
      </c>
      <c r="L564" t="s">
        <v>83</v>
      </c>
      <c r="M564" t="s">
        <v>205</v>
      </c>
      <c r="N564">
        <v>1</v>
      </c>
      <c r="O564" t="b">
        <v>0</v>
      </c>
      <c r="P564">
        <v>60</v>
      </c>
      <c r="Q564" t="s">
        <v>137</v>
      </c>
      <c r="S564">
        <v>1</v>
      </c>
      <c r="T564">
        <v>1</v>
      </c>
      <c r="U564" s="36">
        <v>6.6801849999999998</v>
      </c>
      <c r="V564" t="s">
        <v>165</v>
      </c>
      <c r="X564">
        <v>0</v>
      </c>
      <c r="Y564">
        <v>16</v>
      </c>
      <c r="Z564">
        <v>0</v>
      </c>
      <c r="AA564">
        <v>35</v>
      </c>
      <c r="AB564">
        <v>0</v>
      </c>
      <c r="AC564">
        <v>0</v>
      </c>
      <c r="AE564" t="s">
        <v>129</v>
      </c>
      <c r="AF564" t="s">
        <v>1178</v>
      </c>
      <c r="AG564" t="s">
        <v>129</v>
      </c>
      <c r="AH564">
        <v>0</v>
      </c>
      <c r="AI564">
        <v>11</v>
      </c>
      <c r="AM564">
        <v>9.4599999999999991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 t="s">
        <v>1581</v>
      </c>
      <c r="AY564">
        <v>39.865500000000004</v>
      </c>
      <c r="AZ564">
        <v>7</v>
      </c>
      <c r="BA564" t="s">
        <v>138</v>
      </c>
      <c r="BB564">
        <v>8.6199999999999992</v>
      </c>
      <c r="BC564" t="s">
        <v>95</v>
      </c>
      <c r="BD564" t="s">
        <v>96</v>
      </c>
      <c r="BE564" t="s">
        <v>97</v>
      </c>
      <c r="BF564">
        <v>1.6</v>
      </c>
      <c r="BG564">
        <v>0</v>
      </c>
      <c r="BH564">
        <v>0</v>
      </c>
      <c r="BI564" t="s">
        <v>98</v>
      </c>
    </row>
    <row r="565" spans="1:61">
      <c r="A565" s="164" t="s">
        <v>1582</v>
      </c>
      <c r="B565" t="s">
        <v>1583</v>
      </c>
      <c r="C565">
        <v>0</v>
      </c>
      <c r="D565" t="s">
        <v>486</v>
      </c>
      <c r="E565">
        <v>0</v>
      </c>
      <c r="F565" t="s">
        <v>1178</v>
      </c>
      <c r="G565" t="s">
        <v>78</v>
      </c>
      <c r="H565" t="s">
        <v>79</v>
      </c>
      <c r="I565" t="s">
        <v>80</v>
      </c>
      <c r="J565" t="s">
        <v>163</v>
      </c>
      <c r="K565" t="s">
        <v>82</v>
      </c>
      <c r="L565" t="s">
        <v>83</v>
      </c>
      <c r="M565" t="s">
        <v>205</v>
      </c>
      <c r="N565">
        <v>1</v>
      </c>
      <c r="O565" t="b">
        <v>1</v>
      </c>
      <c r="P565">
        <v>60</v>
      </c>
      <c r="Q565" t="s">
        <v>137</v>
      </c>
      <c r="S565">
        <v>1</v>
      </c>
      <c r="T565">
        <v>1</v>
      </c>
      <c r="U565" s="36">
        <v>7.0906599999999997</v>
      </c>
      <c r="V565" t="s">
        <v>165</v>
      </c>
      <c r="X565">
        <v>0</v>
      </c>
      <c r="Y565">
        <v>16</v>
      </c>
      <c r="Z565">
        <v>0</v>
      </c>
      <c r="AA565">
        <v>35</v>
      </c>
      <c r="AB565">
        <v>0</v>
      </c>
      <c r="AC565">
        <v>0</v>
      </c>
      <c r="AE565" t="s">
        <v>129</v>
      </c>
      <c r="AF565" t="s">
        <v>1178</v>
      </c>
      <c r="AG565" t="s">
        <v>129</v>
      </c>
      <c r="AH565">
        <v>0</v>
      </c>
      <c r="AI565">
        <v>11</v>
      </c>
      <c r="AM565">
        <v>9.4599999999999991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 t="s">
        <v>1584</v>
      </c>
      <c r="AY565">
        <v>22.355499999999996</v>
      </c>
      <c r="AZ565">
        <v>1</v>
      </c>
      <c r="BA565" t="s">
        <v>138</v>
      </c>
      <c r="BB565">
        <v>6.4</v>
      </c>
      <c r="BC565" t="s">
        <v>95</v>
      </c>
      <c r="BD565" t="s">
        <v>96</v>
      </c>
      <c r="BE565" t="s">
        <v>97</v>
      </c>
      <c r="BF565">
        <v>1.7</v>
      </c>
      <c r="BG565">
        <v>0</v>
      </c>
      <c r="BH565">
        <v>0</v>
      </c>
      <c r="BI565" t="s">
        <v>98</v>
      </c>
    </row>
    <row r="566" spans="1:61">
      <c r="A566" s="164" t="s">
        <v>1585</v>
      </c>
      <c r="B566" t="s">
        <v>1586</v>
      </c>
      <c r="C566">
        <v>0</v>
      </c>
      <c r="D566" t="s">
        <v>186</v>
      </c>
      <c r="E566">
        <v>0</v>
      </c>
      <c r="F566" t="s">
        <v>186</v>
      </c>
      <c r="G566" t="s">
        <v>103</v>
      </c>
      <c r="H566" t="s">
        <v>104</v>
      </c>
      <c r="I566" t="s">
        <v>1587</v>
      </c>
      <c r="J566" t="s">
        <v>1588</v>
      </c>
      <c r="K566" t="s">
        <v>82</v>
      </c>
      <c r="L566" t="s">
        <v>83</v>
      </c>
      <c r="M566" t="s">
        <v>84</v>
      </c>
      <c r="N566">
        <v>2.5000000000000001E-2</v>
      </c>
      <c r="O566" t="b">
        <v>0</v>
      </c>
      <c r="P566">
        <v>540</v>
      </c>
      <c r="Q566" t="s">
        <v>188</v>
      </c>
      <c r="R566" t="s">
        <v>128</v>
      </c>
      <c r="S566">
        <v>2.5000000000000001E-2</v>
      </c>
      <c r="T566">
        <v>1</v>
      </c>
      <c r="U566" s="36">
        <v>0.12</v>
      </c>
      <c r="V566" t="s">
        <v>87</v>
      </c>
      <c r="W566">
        <v>0</v>
      </c>
      <c r="X566">
        <v>0</v>
      </c>
      <c r="Y566">
        <v>12</v>
      </c>
      <c r="Z566">
        <v>8.3333333333333329E-2</v>
      </c>
      <c r="AA566">
        <v>0</v>
      </c>
      <c r="AB566">
        <v>0</v>
      </c>
      <c r="AC566">
        <v>0</v>
      </c>
      <c r="AD566">
        <v>0</v>
      </c>
      <c r="AG566" t="s">
        <v>129</v>
      </c>
      <c r="AH566">
        <v>0</v>
      </c>
      <c r="AI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 t="s">
        <v>1589</v>
      </c>
      <c r="AY566">
        <v>2</v>
      </c>
      <c r="AZ566">
        <v>8</v>
      </c>
      <c r="BA566" t="s">
        <v>94</v>
      </c>
      <c r="BB566">
        <v>0.31</v>
      </c>
      <c r="BC566" t="s">
        <v>95</v>
      </c>
      <c r="BD566" t="s">
        <v>96</v>
      </c>
      <c r="BE566" t="s">
        <v>97</v>
      </c>
      <c r="BF566">
        <v>0</v>
      </c>
      <c r="BG566">
        <v>0</v>
      </c>
      <c r="BH566">
        <v>0</v>
      </c>
      <c r="BI566" t="s">
        <v>98</v>
      </c>
    </row>
    <row r="567" spans="1:61">
      <c r="A567" s="164" t="s">
        <v>1590</v>
      </c>
      <c r="B567" t="s">
        <v>1591</v>
      </c>
      <c r="C567">
        <v>0</v>
      </c>
      <c r="D567" t="s">
        <v>748</v>
      </c>
      <c r="E567">
        <v>0</v>
      </c>
      <c r="F567" t="s">
        <v>748</v>
      </c>
      <c r="G567" t="s">
        <v>103</v>
      </c>
      <c r="H567" t="s">
        <v>104</v>
      </c>
      <c r="I567" t="s">
        <v>80</v>
      </c>
      <c r="J567" t="s">
        <v>774</v>
      </c>
      <c r="K567" t="s">
        <v>565</v>
      </c>
      <c r="L567" t="s">
        <v>83</v>
      </c>
      <c r="M567" t="s">
        <v>84</v>
      </c>
      <c r="N567">
        <v>0.71599999999999997</v>
      </c>
      <c r="O567" t="b">
        <v>0</v>
      </c>
      <c r="P567">
        <v>90</v>
      </c>
      <c r="Q567" t="s">
        <v>188</v>
      </c>
      <c r="S567">
        <v>0</v>
      </c>
      <c r="T567">
        <v>1</v>
      </c>
      <c r="V567" t="s">
        <v>468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G567" t="s">
        <v>129</v>
      </c>
      <c r="AH567">
        <v>0</v>
      </c>
      <c r="AI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 t="s">
        <v>1592</v>
      </c>
      <c r="AY567">
        <v>0</v>
      </c>
      <c r="AZ567">
        <v>0</v>
      </c>
      <c r="BA567" t="s">
        <v>94</v>
      </c>
      <c r="BB567">
        <v>0</v>
      </c>
      <c r="BC567" t="s">
        <v>95</v>
      </c>
      <c r="BD567" t="s">
        <v>139</v>
      </c>
      <c r="BE567" t="s">
        <v>97</v>
      </c>
      <c r="BF567">
        <v>0</v>
      </c>
      <c r="BG567">
        <v>0</v>
      </c>
      <c r="BH567">
        <v>0</v>
      </c>
      <c r="BI567" t="s">
        <v>98</v>
      </c>
    </row>
    <row r="568" spans="1:61">
      <c r="A568" s="164" t="s">
        <v>1593</v>
      </c>
      <c r="B568" t="s">
        <v>1594</v>
      </c>
      <c r="C568">
        <v>0</v>
      </c>
      <c r="D568" t="s">
        <v>107</v>
      </c>
      <c r="E568">
        <v>0</v>
      </c>
      <c r="F568" t="s">
        <v>499</v>
      </c>
      <c r="G568" t="s">
        <v>103</v>
      </c>
      <c r="H568" t="s">
        <v>104</v>
      </c>
      <c r="I568" t="s">
        <v>80</v>
      </c>
      <c r="J568" t="s">
        <v>109</v>
      </c>
      <c r="K568" t="s">
        <v>110</v>
      </c>
      <c r="L568" t="s">
        <v>111</v>
      </c>
      <c r="M568" t="s">
        <v>84</v>
      </c>
      <c r="N568">
        <v>0.10799999999999998</v>
      </c>
      <c r="O568" t="b">
        <v>0</v>
      </c>
      <c r="P568">
        <v>45</v>
      </c>
      <c r="Q568" t="s">
        <v>85</v>
      </c>
      <c r="R568" t="s">
        <v>86</v>
      </c>
      <c r="S568">
        <v>0.18</v>
      </c>
      <c r="T568">
        <v>1</v>
      </c>
      <c r="V568" t="s">
        <v>87</v>
      </c>
      <c r="W568">
        <v>240</v>
      </c>
      <c r="X568">
        <v>0.38897500000000002</v>
      </c>
      <c r="Y568">
        <v>0</v>
      </c>
      <c r="Z568">
        <v>9.2592592592592587E-3</v>
      </c>
      <c r="AA568">
        <v>30</v>
      </c>
      <c r="AB568">
        <v>0</v>
      </c>
      <c r="AC568">
        <v>500</v>
      </c>
      <c r="AD568">
        <v>2777.7777777777778</v>
      </c>
      <c r="AE568" t="s">
        <v>143</v>
      </c>
      <c r="AF568" t="s">
        <v>113</v>
      </c>
      <c r="AG568" t="s">
        <v>114</v>
      </c>
      <c r="AH568">
        <v>0</v>
      </c>
      <c r="AI568">
        <v>0</v>
      </c>
      <c r="AJ568" t="s">
        <v>91</v>
      </c>
      <c r="AK568" t="s">
        <v>92</v>
      </c>
      <c r="AL568" t="s">
        <v>93</v>
      </c>
      <c r="AM568">
        <v>0.34043629629629629</v>
      </c>
      <c r="AN568">
        <v>0.22695753086419751</v>
      </c>
      <c r="AO568">
        <v>0.35178417283950614</v>
      </c>
      <c r="AP568">
        <v>0</v>
      </c>
      <c r="AQ568">
        <v>8.6691086691086688E-2</v>
      </c>
      <c r="AR568">
        <v>2.6666666666666505E-3</v>
      </c>
      <c r="AS568">
        <v>0</v>
      </c>
      <c r="AT568">
        <v>1.0866910866910866</v>
      </c>
      <c r="AU568">
        <v>1.0026666666666666</v>
      </c>
      <c r="AV568">
        <v>1</v>
      </c>
      <c r="AY568">
        <v>0</v>
      </c>
      <c r="AZ568">
        <v>7</v>
      </c>
      <c r="BA568" t="s">
        <v>94</v>
      </c>
      <c r="BB568">
        <v>0</v>
      </c>
      <c r="BC568" t="s">
        <v>115</v>
      </c>
      <c r="BD568" t="s">
        <v>116</v>
      </c>
      <c r="BE568" t="s">
        <v>117</v>
      </c>
      <c r="BF568">
        <v>0</v>
      </c>
      <c r="BG568">
        <v>0</v>
      </c>
      <c r="BH568">
        <v>0</v>
      </c>
      <c r="BI568" t="s">
        <v>98</v>
      </c>
    </row>
    <row r="569" spans="1:61">
      <c r="A569" s="164" t="s">
        <v>1595</v>
      </c>
      <c r="B569" t="s">
        <v>1596</v>
      </c>
      <c r="C569">
        <v>0</v>
      </c>
      <c r="D569" t="s">
        <v>486</v>
      </c>
      <c r="E569">
        <v>0</v>
      </c>
      <c r="F569" t="s">
        <v>1597</v>
      </c>
      <c r="G569" t="s">
        <v>78</v>
      </c>
      <c r="H569" t="s">
        <v>79</v>
      </c>
      <c r="I569" t="s">
        <v>80</v>
      </c>
      <c r="J569" t="s">
        <v>163</v>
      </c>
      <c r="K569" t="s">
        <v>82</v>
      </c>
      <c r="L569" t="s">
        <v>83</v>
      </c>
      <c r="M569" t="s">
        <v>84</v>
      </c>
      <c r="N569">
        <v>0.32</v>
      </c>
      <c r="O569" t="b">
        <v>1</v>
      </c>
      <c r="P569">
        <v>60</v>
      </c>
      <c r="Q569" t="s">
        <v>137</v>
      </c>
      <c r="S569">
        <v>0.32</v>
      </c>
      <c r="T569">
        <v>1</v>
      </c>
      <c r="U569" s="36">
        <v>2.3771550000000001</v>
      </c>
      <c r="V569" t="s">
        <v>165</v>
      </c>
      <c r="X569">
        <v>0</v>
      </c>
      <c r="Y569">
        <v>100</v>
      </c>
      <c r="Z569">
        <v>0.01</v>
      </c>
      <c r="AA569">
        <v>35</v>
      </c>
      <c r="AB569">
        <v>0</v>
      </c>
      <c r="AC569">
        <v>0</v>
      </c>
      <c r="AE569" t="s">
        <v>129</v>
      </c>
      <c r="AF569" t="s">
        <v>1597</v>
      </c>
      <c r="AG569" t="s">
        <v>129</v>
      </c>
      <c r="AH569">
        <v>0</v>
      </c>
      <c r="AI569">
        <v>10.199999999999999</v>
      </c>
      <c r="AJ569" t="s">
        <v>167</v>
      </c>
      <c r="AM569">
        <v>10.38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 t="s">
        <v>1598</v>
      </c>
      <c r="AY569">
        <v>3.9438000000000004</v>
      </c>
      <c r="AZ569">
        <v>6</v>
      </c>
      <c r="BA569" t="s">
        <v>138</v>
      </c>
      <c r="BB569">
        <v>5.19</v>
      </c>
      <c r="BC569" t="s">
        <v>95</v>
      </c>
      <c r="BD569" t="s">
        <v>96</v>
      </c>
      <c r="BE569" t="s">
        <v>97</v>
      </c>
      <c r="BF569">
        <v>1</v>
      </c>
      <c r="BG569">
        <v>0</v>
      </c>
      <c r="BH569">
        <v>0</v>
      </c>
      <c r="BI569" t="s">
        <v>98</v>
      </c>
    </row>
    <row r="570" spans="1:61">
      <c r="A570" s="164" t="s">
        <v>1599</v>
      </c>
      <c r="B570" t="s">
        <v>1600</v>
      </c>
      <c r="C570">
        <v>0</v>
      </c>
      <c r="D570" t="s">
        <v>175</v>
      </c>
      <c r="E570">
        <v>0</v>
      </c>
      <c r="F570" t="s">
        <v>1223</v>
      </c>
      <c r="G570" t="s">
        <v>103</v>
      </c>
      <c r="H570" t="s">
        <v>104</v>
      </c>
      <c r="I570" t="s">
        <v>80</v>
      </c>
      <c r="J570" t="s">
        <v>163</v>
      </c>
      <c r="K570" t="s">
        <v>82</v>
      </c>
      <c r="L570" t="s">
        <v>83</v>
      </c>
      <c r="M570" t="s">
        <v>84</v>
      </c>
      <c r="N570">
        <v>7.4999999999999997E-2</v>
      </c>
      <c r="O570" t="b">
        <v>0</v>
      </c>
      <c r="P570">
        <v>45</v>
      </c>
      <c r="Q570" t="s">
        <v>137</v>
      </c>
      <c r="S570">
        <v>0</v>
      </c>
      <c r="T570">
        <v>1</v>
      </c>
      <c r="V570" t="s">
        <v>87</v>
      </c>
      <c r="X570">
        <v>0</v>
      </c>
      <c r="Z570">
        <v>4.1666666666666666E-3</v>
      </c>
      <c r="AB570">
        <v>0</v>
      </c>
      <c r="AC570">
        <v>0</v>
      </c>
      <c r="AE570" t="s">
        <v>129</v>
      </c>
      <c r="AF570" t="s">
        <v>1223</v>
      </c>
      <c r="AG570" t="s">
        <v>129</v>
      </c>
      <c r="AH570">
        <v>0</v>
      </c>
      <c r="AI570">
        <v>9.5</v>
      </c>
      <c r="AJ570" t="s">
        <v>177</v>
      </c>
      <c r="AM570">
        <v>0</v>
      </c>
      <c r="AN570">
        <v>0</v>
      </c>
      <c r="AO570">
        <v>0</v>
      </c>
      <c r="AP570">
        <v>0</v>
      </c>
      <c r="AQ570">
        <v>2.8571428571428564E-2</v>
      </c>
      <c r="AR570">
        <v>0</v>
      </c>
      <c r="AS570">
        <v>0</v>
      </c>
      <c r="AT570">
        <v>1.0285714285714285</v>
      </c>
      <c r="AU570">
        <v>0</v>
      </c>
      <c r="AV570">
        <v>0</v>
      </c>
      <c r="AW570">
        <v>0</v>
      </c>
      <c r="AX570" t="s">
        <v>1601</v>
      </c>
      <c r="AY570">
        <v>0</v>
      </c>
      <c r="AZ570">
        <v>5</v>
      </c>
      <c r="BA570" t="s">
        <v>138</v>
      </c>
      <c r="BB570">
        <v>0</v>
      </c>
      <c r="BC570" t="s">
        <v>95</v>
      </c>
      <c r="BD570" t="s">
        <v>96</v>
      </c>
      <c r="BE570" t="s">
        <v>97</v>
      </c>
      <c r="BF570">
        <v>0</v>
      </c>
      <c r="BG570">
        <v>0</v>
      </c>
      <c r="BH570">
        <v>0</v>
      </c>
      <c r="BI570" t="s">
        <v>98</v>
      </c>
    </row>
    <row r="571" spans="1:61">
      <c r="A571" s="164" t="s">
        <v>1602</v>
      </c>
      <c r="B571" t="s">
        <v>1603</v>
      </c>
      <c r="C571">
        <v>0</v>
      </c>
      <c r="D571" t="s">
        <v>76</v>
      </c>
      <c r="F571" t="s">
        <v>972</v>
      </c>
      <c r="G571" t="s">
        <v>103</v>
      </c>
      <c r="H571" t="s">
        <v>104</v>
      </c>
      <c r="I571" t="s">
        <v>80</v>
      </c>
      <c r="J571" t="s">
        <v>81</v>
      </c>
      <c r="K571" t="s">
        <v>468</v>
      </c>
      <c r="L571" t="s">
        <v>111</v>
      </c>
      <c r="M571" t="s">
        <v>84</v>
      </c>
      <c r="O571" t="b">
        <v>0</v>
      </c>
      <c r="Q571" t="s">
        <v>85</v>
      </c>
      <c r="AI571">
        <v>0</v>
      </c>
      <c r="BB571">
        <v>0</v>
      </c>
      <c r="BC571" t="s">
        <v>95</v>
      </c>
      <c r="BD571" t="s">
        <v>139</v>
      </c>
      <c r="BE571" t="s">
        <v>97</v>
      </c>
      <c r="BF571">
        <v>0</v>
      </c>
      <c r="BG571">
        <v>0</v>
      </c>
      <c r="BH571">
        <v>0</v>
      </c>
      <c r="BI571" t="s">
        <v>98</v>
      </c>
    </row>
    <row r="572" spans="1:61">
      <c r="A572" s="164" t="s">
        <v>1604</v>
      </c>
      <c r="B572" t="s">
        <v>1605</v>
      </c>
      <c r="C572">
        <v>0</v>
      </c>
      <c r="D572" t="s">
        <v>107</v>
      </c>
      <c r="E572">
        <v>0</v>
      </c>
      <c r="F572" t="s">
        <v>499</v>
      </c>
      <c r="G572" t="s">
        <v>78</v>
      </c>
      <c r="H572" t="s">
        <v>79</v>
      </c>
      <c r="I572" t="s">
        <v>80</v>
      </c>
      <c r="J572" t="s">
        <v>81</v>
      </c>
      <c r="K572" t="s">
        <v>82</v>
      </c>
      <c r="L572" t="s">
        <v>83</v>
      </c>
      <c r="M572" t="s">
        <v>84</v>
      </c>
      <c r="N572">
        <v>0.12</v>
      </c>
      <c r="O572" t="b">
        <v>1</v>
      </c>
      <c r="P572">
        <v>45</v>
      </c>
      <c r="Q572" t="s">
        <v>85</v>
      </c>
      <c r="R572" t="s">
        <v>86</v>
      </c>
      <c r="S572">
        <v>0.12</v>
      </c>
      <c r="T572">
        <v>1</v>
      </c>
      <c r="U572" s="36">
        <v>0.25833499999999998</v>
      </c>
      <c r="V572" t="s">
        <v>87</v>
      </c>
      <c r="W572">
        <v>260</v>
      </c>
      <c r="X572">
        <v>0.38897500000000002</v>
      </c>
      <c r="Y572">
        <v>182</v>
      </c>
      <c r="Z572">
        <v>5.4945054945054949E-3</v>
      </c>
      <c r="AA572">
        <v>30</v>
      </c>
      <c r="AB572">
        <v>0</v>
      </c>
      <c r="AC572">
        <v>500</v>
      </c>
      <c r="AD572">
        <v>4166.666666666667</v>
      </c>
      <c r="AE572" t="s">
        <v>143</v>
      </c>
      <c r="AF572" t="s">
        <v>113</v>
      </c>
      <c r="AG572" t="s">
        <v>114</v>
      </c>
      <c r="AH572">
        <v>0</v>
      </c>
      <c r="AI572">
        <v>0.9</v>
      </c>
      <c r="AJ572" t="s">
        <v>91</v>
      </c>
      <c r="AK572" t="s">
        <v>92</v>
      </c>
      <c r="AL572" t="s">
        <v>93</v>
      </c>
      <c r="AM572">
        <v>0.34043629629629629</v>
      </c>
      <c r="AN572">
        <v>0.22695753086419751</v>
      </c>
      <c r="AO572">
        <v>0.35178417283950614</v>
      </c>
      <c r="AP572">
        <v>0</v>
      </c>
      <c r="AQ572">
        <v>8.6691086691086688E-2</v>
      </c>
      <c r="AR572">
        <v>2.6666666666666505E-3</v>
      </c>
      <c r="AS572">
        <v>0</v>
      </c>
      <c r="AT572">
        <v>1.0866910866910866</v>
      </c>
      <c r="AU572">
        <v>1.0026666666666666</v>
      </c>
      <c r="AV572">
        <v>1</v>
      </c>
      <c r="AW572">
        <v>0</v>
      </c>
      <c r="AX572" t="s">
        <v>1606</v>
      </c>
      <c r="AY572">
        <v>12.5</v>
      </c>
      <c r="AZ572">
        <v>6</v>
      </c>
      <c r="BA572" t="s">
        <v>94</v>
      </c>
      <c r="BB572">
        <v>0.65</v>
      </c>
      <c r="BC572" t="s">
        <v>95</v>
      </c>
      <c r="BD572" t="s">
        <v>96</v>
      </c>
      <c r="BE572" t="s">
        <v>97</v>
      </c>
      <c r="BF572">
        <v>1</v>
      </c>
      <c r="BG572">
        <v>0</v>
      </c>
      <c r="BH572">
        <v>0</v>
      </c>
      <c r="BI572" t="s">
        <v>98</v>
      </c>
    </row>
    <row r="573" spans="1:61">
      <c r="A573" s="164" t="s">
        <v>1607</v>
      </c>
      <c r="B573" t="s">
        <v>1608</v>
      </c>
      <c r="C573">
        <v>0</v>
      </c>
      <c r="D573" t="s">
        <v>1609</v>
      </c>
      <c r="E573">
        <v>0</v>
      </c>
      <c r="F573" t="s">
        <v>1610</v>
      </c>
      <c r="G573" t="s">
        <v>78</v>
      </c>
      <c r="H573" t="s">
        <v>79</v>
      </c>
      <c r="I573" t="s">
        <v>126</v>
      </c>
      <c r="J573" t="s">
        <v>1611</v>
      </c>
      <c r="K573" t="s">
        <v>565</v>
      </c>
      <c r="L573" t="s">
        <v>83</v>
      </c>
      <c r="M573" t="s">
        <v>84</v>
      </c>
      <c r="N573">
        <v>1.5</v>
      </c>
      <c r="O573" t="b">
        <v>1</v>
      </c>
      <c r="P573">
        <v>180</v>
      </c>
      <c r="Q573" t="s">
        <v>85</v>
      </c>
      <c r="R573" t="s">
        <v>1126</v>
      </c>
      <c r="S573">
        <v>1.5</v>
      </c>
      <c r="T573">
        <v>1</v>
      </c>
      <c r="U573" s="36">
        <v>2.2748600000000003</v>
      </c>
      <c r="V573" t="s">
        <v>87</v>
      </c>
      <c r="W573">
        <v>0</v>
      </c>
      <c r="X573">
        <v>0</v>
      </c>
      <c r="Y573">
        <v>12</v>
      </c>
      <c r="Z573">
        <v>8.3333333333333329E-2</v>
      </c>
      <c r="AA573">
        <v>30</v>
      </c>
      <c r="AB573">
        <v>0</v>
      </c>
      <c r="AC573">
        <v>0</v>
      </c>
      <c r="AD573">
        <v>0</v>
      </c>
      <c r="AG573" t="s">
        <v>129</v>
      </c>
      <c r="AH573">
        <v>0</v>
      </c>
      <c r="AI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 t="s">
        <v>1612</v>
      </c>
      <c r="AY573">
        <v>7</v>
      </c>
      <c r="AZ573">
        <v>7</v>
      </c>
      <c r="BA573" t="s">
        <v>94</v>
      </c>
      <c r="BB573">
        <v>4.79</v>
      </c>
      <c r="BC573" t="s">
        <v>95</v>
      </c>
      <c r="BD573" t="s">
        <v>139</v>
      </c>
      <c r="BE573" t="s">
        <v>97</v>
      </c>
      <c r="BF573">
        <v>1</v>
      </c>
      <c r="BG573">
        <v>0</v>
      </c>
      <c r="BH573">
        <v>0</v>
      </c>
      <c r="BI573" t="s">
        <v>98</v>
      </c>
    </row>
    <row r="574" spans="1:61">
      <c r="A574" s="164" t="s">
        <v>1613</v>
      </c>
      <c r="B574" t="s">
        <v>1614</v>
      </c>
      <c r="C574">
        <v>0</v>
      </c>
      <c r="D574" t="s">
        <v>486</v>
      </c>
      <c r="E574">
        <v>0</v>
      </c>
      <c r="F574" t="s">
        <v>1138</v>
      </c>
      <c r="G574" t="s">
        <v>103</v>
      </c>
      <c r="H574" t="s">
        <v>104</v>
      </c>
      <c r="I574" t="s">
        <v>80</v>
      </c>
      <c r="J574" t="s">
        <v>564</v>
      </c>
      <c r="K574" t="s">
        <v>775</v>
      </c>
      <c r="L574" t="s">
        <v>83</v>
      </c>
      <c r="M574" t="s">
        <v>84</v>
      </c>
      <c r="N574">
        <v>0.14000000000000001</v>
      </c>
      <c r="O574" t="b">
        <v>1</v>
      </c>
      <c r="P574">
        <v>60</v>
      </c>
      <c r="Q574" t="s">
        <v>137</v>
      </c>
      <c r="R574" t="s">
        <v>86</v>
      </c>
      <c r="S574">
        <v>0.14000000000000001</v>
      </c>
      <c r="T574">
        <v>1</v>
      </c>
      <c r="U574" s="36">
        <v>0.97872999999999999</v>
      </c>
      <c r="V574" t="s">
        <v>165</v>
      </c>
      <c r="X574">
        <v>0</v>
      </c>
      <c r="Y574">
        <v>110</v>
      </c>
      <c r="Z574">
        <v>9.0909090909090905E-3</v>
      </c>
      <c r="AA574">
        <v>30</v>
      </c>
      <c r="AB574">
        <v>0</v>
      </c>
      <c r="AC574">
        <v>0</v>
      </c>
      <c r="AE574" t="s">
        <v>129</v>
      </c>
      <c r="AF574" t="s">
        <v>1138</v>
      </c>
      <c r="AG574" t="s">
        <v>129</v>
      </c>
      <c r="AH574">
        <v>0</v>
      </c>
      <c r="AI574">
        <v>9.9</v>
      </c>
      <c r="AJ574" t="s">
        <v>167</v>
      </c>
      <c r="AM574">
        <v>10.38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 t="s">
        <v>1615</v>
      </c>
      <c r="AY574">
        <v>0</v>
      </c>
      <c r="AZ574">
        <v>2</v>
      </c>
      <c r="BA574" t="s">
        <v>138</v>
      </c>
      <c r="BB574">
        <v>0</v>
      </c>
      <c r="BC574" t="s">
        <v>95</v>
      </c>
      <c r="BD574" t="s">
        <v>96</v>
      </c>
      <c r="BE574" t="s">
        <v>97</v>
      </c>
      <c r="BF574">
        <v>0</v>
      </c>
      <c r="BG574">
        <v>0</v>
      </c>
      <c r="BH574">
        <v>0</v>
      </c>
      <c r="BI574" t="s">
        <v>98</v>
      </c>
    </row>
    <row r="575" spans="1:61">
      <c r="A575" s="164" t="s">
        <v>1616</v>
      </c>
      <c r="B575" t="s">
        <v>1617</v>
      </c>
      <c r="C575">
        <v>0</v>
      </c>
      <c r="D575" t="s">
        <v>486</v>
      </c>
      <c r="E575">
        <v>0</v>
      </c>
      <c r="F575" t="s">
        <v>738</v>
      </c>
      <c r="G575" t="s">
        <v>103</v>
      </c>
      <c r="H575" t="s">
        <v>104</v>
      </c>
      <c r="I575" t="s">
        <v>80</v>
      </c>
      <c r="J575" t="s">
        <v>163</v>
      </c>
      <c r="K575" t="s">
        <v>82</v>
      </c>
      <c r="L575" t="s">
        <v>83</v>
      </c>
      <c r="M575" t="s">
        <v>84</v>
      </c>
      <c r="N575">
        <v>0.35</v>
      </c>
      <c r="O575" t="b">
        <v>0</v>
      </c>
      <c r="P575">
        <v>60</v>
      </c>
      <c r="Q575" t="s">
        <v>137</v>
      </c>
      <c r="S575">
        <v>0</v>
      </c>
      <c r="T575">
        <v>1</v>
      </c>
      <c r="U575" s="36">
        <v>2.54</v>
      </c>
      <c r="V575" t="s">
        <v>165</v>
      </c>
      <c r="X575">
        <v>0</v>
      </c>
      <c r="Z575">
        <v>2.7777777777777776E-2</v>
      </c>
      <c r="AB575">
        <v>0</v>
      </c>
      <c r="AC575">
        <v>0</v>
      </c>
      <c r="AE575" t="s">
        <v>129</v>
      </c>
      <c r="AF575" t="s">
        <v>738</v>
      </c>
      <c r="AG575" t="s">
        <v>129</v>
      </c>
      <c r="AH575">
        <v>0</v>
      </c>
      <c r="AI575">
        <v>9.8000000000000007</v>
      </c>
      <c r="AJ575" t="s">
        <v>167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Y575">
        <v>0</v>
      </c>
      <c r="AZ575">
        <v>0</v>
      </c>
      <c r="BA575" t="s">
        <v>138</v>
      </c>
      <c r="BB575">
        <v>0</v>
      </c>
      <c r="BC575" t="s">
        <v>95</v>
      </c>
      <c r="BD575" t="s">
        <v>96</v>
      </c>
      <c r="BE575" t="s">
        <v>97</v>
      </c>
      <c r="BF575">
        <v>0</v>
      </c>
      <c r="BG575">
        <v>0</v>
      </c>
      <c r="BH575">
        <v>0</v>
      </c>
      <c r="BI575" t="s">
        <v>98</v>
      </c>
    </row>
    <row r="576" spans="1:61">
      <c r="A576" s="164" t="s">
        <v>1618</v>
      </c>
      <c r="B576" t="s">
        <v>1619</v>
      </c>
      <c r="C576">
        <v>0</v>
      </c>
      <c r="D576" t="s">
        <v>147</v>
      </c>
      <c r="E576">
        <v>0</v>
      </c>
      <c r="F576" t="s">
        <v>965</v>
      </c>
      <c r="G576" t="s">
        <v>78</v>
      </c>
      <c r="H576" t="s">
        <v>79</v>
      </c>
      <c r="I576" t="s">
        <v>80</v>
      </c>
      <c r="J576" t="s">
        <v>81</v>
      </c>
      <c r="K576" t="s">
        <v>82</v>
      </c>
      <c r="L576" t="s">
        <v>83</v>
      </c>
      <c r="M576" t="s">
        <v>84</v>
      </c>
      <c r="N576">
        <v>1.75</v>
      </c>
      <c r="O576" t="b">
        <v>1</v>
      </c>
      <c r="P576">
        <v>45</v>
      </c>
      <c r="Q576" t="s">
        <v>85</v>
      </c>
      <c r="R576" t="s">
        <v>86</v>
      </c>
      <c r="S576">
        <v>1.75</v>
      </c>
      <c r="T576">
        <v>1</v>
      </c>
      <c r="U576" s="36">
        <v>2.164625</v>
      </c>
      <c r="V576" t="s">
        <v>87</v>
      </c>
      <c r="W576">
        <v>24</v>
      </c>
      <c r="X576">
        <v>0.45019999999999999</v>
      </c>
      <c r="Y576">
        <v>12</v>
      </c>
      <c r="Z576">
        <v>8.3333333333333329E-2</v>
      </c>
      <c r="AA576">
        <v>30</v>
      </c>
      <c r="AB576">
        <v>0</v>
      </c>
      <c r="AC576">
        <v>540</v>
      </c>
      <c r="AD576">
        <v>308.57142857142856</v>
      </c>
      <c r="AE576" t="s">
        <v>155</v>
      </c>
      <c r="AF576" t="s">
        <v>1159</v>
      </c>
      <c r="AG576" t="s">
        <v>1160</v>
      </c>
      <c r="AH576">
        <v>0</v>
      </c>
      <c r="AI576">
        <v>0.9</v>
      </c>
      <c r="AJ576" t="s">
        <v>91</v>
      </c>
      <c r="AK576" t="s">
        <v>92</v>
      </c>
      <c r="AL576" t="s">
        <v>93</v>
      </c>
      <c r="AM576">
        <v>0.35588148148148147</v>
      </c>
      <c r="AN576">
        <v>0.23725432098765428</v>
      </c>
      <c r="AO576">
        <v>0.36774419753086418</v>
      </c>
      <c r="AP576">
        <v>0</v>
      </c>
      <c r="AQ576">
        <v>8.6691086691086688E-2</v>
      </c>
      <c r="AR576">
        <v>2.6666666666666505E-3</v>
      </c>
      <c r="AS576">
        <v>0</v>
      </c>
      <c r="AT576">
        <v>1.0866910866910866</v>
      </c>
      <c r="AU576">
        <v>1.0026666666666666</v>
      </c>
      <c r="AV576">
        <v>1</v>
      </c>
      <c r="AW576">
        <v>0</v>
      </c>
      <c r="AX576" t="s">
        <v>1620</v>
      </c>
      <c r="AY576">
        <v>83.4</v>
      </c>
      <c r="AZ576">
        <v>0</v>
      </c>
      <c r="BA576" t="s">
        <v>94</v>
      </c>
      <c r="BB576">
        <v>5.09</v>
      </c>
      <c r="BC576" t="s">
        <v>95</v>
      </c>
      <c r="BD576" t="s">
        <v>96</v>
      </c>
      <c r="BE576" t="s">
        <v>97</v>
      </c>
      <c r="BF576">
        <v>1</v>
      </c>
      <c r="BG576">
        <v>0</v>
      </c>
      <c r="BH576">
        <v>0</v>
      </c>
      <c r="BI576" t="s">
        <v>98</v>
      </c>
    </row>
    <row r="577" spans="1:61">
      <c r="A577" s="164" t="s">
        <v>1621</v>
      </c>
      <c r="B577" t="s">
        <v>1622</v>
      </c>
      <c r="C577">
        <v>0</v>
      </c>
      <c r="D577" t="s">
        <v>486</v>
      </c>
      <c r="E577">
        <v>0</v>
      </c>
      <c r="F577" t="s">
        <v>1198</v>
      </c>
      <c r="G577" t="s">
        <v>78</v>
      </c>
      <c r="H577" t="s">
        <v>79</v>
      </c>
      <c r="I577" t="s">
        <v>80</v>
      </c>
      <c r="J577" t="s">
        <v>163</v>
      </c>
      <c r="K577" t="s">
        <v>82</v>
      </c>
      <c r="L577" t="s">
        <v>83</v>
      </c>
      <c r="M577" t="s">
        <v>84</v>
      </c>
      <c r="N577">
        <v>0.4</v>
      </c>
      <c r="O577" t="b">
        <v>1</v>
      </c>
      <c r="P577">
        <v>60</v>
      </c>
      <c r="Q577" t="s">
        <v>137</v>
      </c>
      <c r="U577" s="36">
        <v>3.5996300000000003</v>
      </c>
      <c r="V577" t="s">
        <v>165</v>
      </c>
      <c r="X577">
        <v>0</v>
      </c>
      <c r="Y577">
        <v>36</v>
      </c>
      <c r="Z577">
        <v>0</v>
      </c>
      <c r="AA577">
        <v>35</v>
      </c>
      <c r="AB577">
        <v>0</v>
      </c>
      <c r="AC577">
        <v>0</v>
      </c>
      <c r="AE577" t="s">
        <v>129</v>
      </c>
      <c r="AF577" t="s">
        <v>1623</v>
      </c>
      <c r="AH577">
        <v>0</v>
      </c>
      <c r="AI577">
        <v>10.199999999999999</v>
      </c>
      <c r="AX577" t="s">
        <v>1624</v>
      </c>
      <c r="AY577">
        <v>0</v>
      </c>
      <c r="AZ577">
        <v>0</v>
      </c>
      <c r="BA577" t="s">
        <v>138</v>
      </c>
      <c r="BB577">
        <v>6.32</v>
      </c>
      <c r="BC577" t="s">
        <v>95</v>
      </c>
      <c r="BD577" t="s">
        <v>96</v>
      </c>
      <c r="BE577" t="s">
        <v>97</v>
      </c>
      <c r="BF577">
        <v>1</v>
      </c>
      <c r="BG577">
        <v>0</v>
      </c>
      <c r="BH577">
        <v>0</v>
      </c>
      <c r="BI577" t="s">
        <v>98</v>
      </c>
    </row>
    <row r="578" spans="1:61">
      <c r="A578" s="164" t="s">
        <v>1625</v>
      </c>
      <c r="B578" t="s">
        <v>1626</v>
      </c>
      <c r="C578">
        <v>0</v>
      </c>
      <c r="D578" t="s">
        <v>124</v>
      </c>
      <c r="E578">
        <v>0</v>
      </c>
      <c r="F578" t="s">
        <v>125</v>
      </c>
      <c r="G578" t="s">
        <v>103</v>
      </c>
      <c r="H578" t="s">
        <v>104</v>
      </c>
      <c r="I578" t="s">
        <v>126</v>
      </c>
      <c r="J578" t="s">
        <v>127</v>
      </c>
      <c r="K578" t="s">
        <v>82</v>
      </c>
      <c r="L578" t="s">
        <v>83</v>
      </c>
      <c r="M578" t="s">
        <v>84</v>
      </c>
      <c r="N578">
        <v>0.25</v>
      </c>
      <c r="O578" t="b">
        <v>0</v>
      </c>
      <c r="P578">
        <v>180</v>
      </c>
      <c r="Q578" t="s">
        <v>85</v>
      </c>
      <c r="S578">
        <v>0</v>
      </c>
      <c r="T578">
        <v>1</v>
      </c>
      <c r="V578" t="s">
        <v>87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G578" t="s">
        <v>129</v>
      </c>
      <c r="AH578">
        <v>0</v>
      </c>
      <c r="AI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Y578">
        <v>0</v>
      </c>
      <c r="AZ578">
        <v>7</v>
      </c>
      <c r="BA578" t="s">
        <v>94</v>
      </c>
      <c r="BB578">
        <v>0</v>
      </c>
      <c r="BC578" t="s">
        <v>95</v>
      </c>
      <c r="BD578" t="s">
        <v>96</v>
      </c>
      <c r="BE578" t="s">
        <v>97</v>
      </c>
      <c r="BF578">
        <v>0</v>
      </c>
      <c r="BG578">
        <v>0</v>
      </c>
      <c r="BH578">
        <v>0</v>
      </c>
      <c r="BI578" t="s">
        <v>98</v>
      </c>
    </row>
    <row r="579" spans="1:61">
      <c r="A579" s="164" t="s">
        <v>1627</v>
      </c>
      <c r="B579" t="s">
        <v>1628</v>
      </c>
      <c r="C579">
        <v>0</v>
      </c>
      <c r="D579" t="s">
        <v>147</v>
      </c>
      <c r="E579">
        <v>0</v>
      </c>
      <c r="F579" t="s">
        <v>773</v>
      </c>
      <c r="G579" t="s">
        <v>103</v>
      </c>
      <c r="H579" t="s">
        <v>104</v>
      </c>
      <c r="I579" t="s">
        <v>80</v>
      </c>
      <c r="J579" t="s">
        <v>109</v>
      </c>
      <c r="K579" t="s">
        <v>110</v>
      </c>
      <c r="L579" t="s">
        <v>111</v>
      </c>
      <c r="M579" t="s">
        <v>84</v>
      </c>
      <c r="N579">
        <v>1.05</v>
      </c>
      <c r="O579" t="b">
        <v>0</v>
      </c>
      <c r="P579">
        <v>45</v>
      </c>
      <c r="Q579" t="s">
        <v>85</v>
      </c>
      <c r="S579">
        <v>0</v>
      </c>
      <c r="T579">
        <v>0</v>
      </c>
      <c r="V579" t="s">
        <v>87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F579" t="s">
        <v>903</v>
      </c>
      <c r="AH579">
        <v>0</v>
      </c>
      <c r="AI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 t="s">
        <v>1629</v>
      </c>
      <c r="AY579">
        <v>0</v>
      </c>
      <c r="AZ579">
        <v>7</v>
      </c>
      <c r="BA579" t="s">
        <v>94</v>
      </c>
      <c r="BB579">
        <v>0</v>
      </c>
      <c r="BC579" t="s">
        <v>115</v>
      </c>
      <c r="BD579" t="s">
        <v>116</v>
      </c>
      <c r="BE579" t="s">
        <v>117</v>
      </c>
      <c r="BF579">
        <v>0</v>
      </c>
      <c r="BG579">
        <v>0</v>
      </c>
      <c r="BH579">
        <v>0</v>
      </c>
      <c r="BI579" t="s">
        <v>98</v>
      </c>
    </row>
    <row r="580" spans="1:61">
      <c r="A580" s="164" t="s">
        <v>1630</v>
      </c>
      <c r="B580" t="s">
        <v>1631</v>
      </c>
      <c r="C580">
        <v>0</v>
      </c>
      <c r="D580" t="s">
        <v>107</v>
      </c>
      <c r="E580">
        <v>0</v>
      </c>
      <c r="F580" t="s">
        <v>499</v>
      </c>
      <c r="G580" t="s">
        <v>78</v>
      </c>
      <c r="H580" t="s">
        <v>79</v>
      </c>
      <c r="I580" t="s">
        <v>80</v>
      </c>
      <c r="J580" t="s">
        <v>81</v>
      </c>
      <c r="K580" t="s">
        <v>82</v>
      </c>
      <c r="L580" t="s">
        <v>83</v>
      </c>
      <c r="M580" t="s">
        <v>84</v>
      </c>
      <c r="N580">
        <v>0.18</v>
      </c>
      <c r="O580" t="b">
        <v>1</v>
      </c>
      <c r="P580">
        <v>45</v>
      </c>
      <c r="Q580" t="s">
        <v>85</v>
      </c>
      <c r="R580" t="s">
        <v>86</v>
      </c>
      <c r="S580">
        <v>0.18</v>
      </c>
      <c r="T580">
        <v>1</v>
      </c>
      <c r="U580" s="36">
        <v>0.323905</v>
      </c>
      <c r="V580" t="s">
        <v>87</v>
      </c>
      <c r="W580">
        <v>240</v>
      </c>
      <c r="X580">
        <v>0.38897500000000002</v>
      </c>
      <c r="Y580">
        <v>108</v>
      </c>
      <c r="Z580">
        <v>9.2592592592592587E-3</v>
      </c>
      <c r="AA580">
        <v>30</v>
      </c>
      <c r="AB580">
        <v>0</v>
      </c>
      <c r="AC580">
        <v>500</v>
      </c>
      <c r="AD580">
        <v>2777.7777777777778</v>
      </c>
      <c r="AE580" t="s">
        <v>143</v>
      </c>
      <c r="AF580" t="s">
        <v>113</v>
      </c>
      <c r="AG580" t="s">
        <v>114</v>
      </c>
      <c r="AH580">
        <v>0</v>
      </c>
      <c r="AI580">
        <v>0.9</v>
      </c>
      <c r="AJ580" t="s">
        <v>91</v>
      </c>
      <c r="AK580" t="s">
        <v>92</v>
      </c>
      <c r="AL580" t="s">
        <v>93</v>
      </c>
      <c r="AM580">
        <v>0.34043629629629629</v>
      </c>
      <c r="AN580">
        <v>0.22695753086419751</v>
      </c>
      <c r="AO580">
        <v>0.35178417283950614</v>
      </c>
      <c r="AP580">
        <v>0</v>
      </c>
      <c r="AQ580">
        <v>8.6691086691086688E-2</v>
      </c>
      <c r="AR580">
        <v>2.6666666666666505E-3</v>
      </c>
      <c r="AS580">
        <v>0</v>
      </c>
      <c r="AT580">
        <v>1.0866910866910866</v>
      </c>
      <c r="AU580">
        <v>1.0026666666666666</v>
      </c>
      <c r="AV580">
        <v>1</v>
      </c>
      <c r="AW580">
        <v>0</v>
      </c>
      <c r="AX580" t="s">
        <v>1632</v>
      </c>
      <c r="AY580">
        <v>16.5</v>
      </c>
      <c r="AZ580">
        <v>0</v>
      </c>
      <c r="BA580" t="s">
        <v>94</v>
      </c>
      <c r="BB580">
        <v>0.78</v>
      </c>
      <c r="BC580" t="s">
        <v>95</v>
      </c>
      <c r="BD580" t="s">
        <v>96</v>
      </c>
      <c r="BE580" t="s">
        <v>97</v>
      </c>
      <c r="BF580">
        <v>1</v>
      </c>
      <c r="BG580">
        <v>0</v>
      </c>
      <c r="BH580">
        <v>0</v>
      </c>
      <c r="BI580" t="s">
        <v>98</v>
      </c>
    </row>
    <row r="581" spans="1:61">
      <c r="A581" s="164" t="s">
        <v>1633</v>
      </c>
      <c r="B581" t="s">
        <v>1634</v>
      </c>
      <c r="C581">
        <v>0</v>
      </c>
      <c r="D581" t="s">
        <v>107</v>
      </c>
      <c r="E581">
        <v>0</v>
      </c>
      <c r="F581" t="s">
        <v>499</v>
      </c>
      <c r="G581" t="s">
        <v>78</v>
      </c>
      <c r="H581" t="s">
        <v>79</v>
      </c>
      <c r="I581" t="s">
        <v>80</v>
      </c>
      <c r="J581" t="s">
        <v>81</v>
      </c>
      <c r="K581" t="s">
        <v>82</v>
      </c>
      <c r="L581" t="s">
        <v>83</v>
      </c>
      <c r="M581" t="s">
        <v>84</v>
      </c>
      <c r="N581">
        <v>0.18</v>
      </c>
      <c r="O581" t="b">
        <v>1</v>
      </c>
      <c r="P581">
        <v>45</v>
      </c>
      <c r="Q581" t="s">
        <v>85</v>
      </c>
      <c r="R581" t="s">
        <v>86</v>
      </c>
      <c r="S581">
        <v>0.18</v>
      </c>
      <c r="T581">
        <v>1</v>
      </c>
      <c r="U581" s="36">
        <v>0.32987</v>
      </c>
      <c r="V581" t="s">
        <v>87</v>
      </c>
      <c r="W581">
        <v>240</v>
      </c>
      <c r="X581">
        <v>0.38897500000000002</v>
      </c>
      <c r="Y581">
        <v>108</v>
      </c>
      <c r="Z581">
        <v>9.2592592592592587E-3</v>
      </c>
      <c r="AA581">
        <v>30</v>
      </c>
      <c r="AB581">
        <v>0</v>
      </c>
      <c r="AC581">
        <v>500</v>
      </c>
      <c r="AD581">
        <v>2777.7777777777778</v>
      </c>
      <c r="AE581" t="s">
        <v>143</v>
      </c>
      <c r="AF581" t="s">
        <v>113</v>
      </c>
      <c r="AG581" t="s">
        <v>114</v>
      </c>
      <c r="AH581">
        <v>0</v>
      </c>
      <c r="AI581">
        <v>0.9</v>
      </c>
      <c r="AJ581" t="s">
        <v>91</v>
      </c>
      <c r="AK581" t="s">
        <v>92</v>
      </c>
      <c r="AL581" t="s">
        <v>93</v>
      </c>
      <c r="AM581">
        <v>0.34043629629629629</v>
      </c>
      <c r="AN581">
        <v>0.22695753086419751</v>
      </c>
      <c r="AO581">
        <v>0.35178417283950614</v>
      </c>
      <c r="AP581">
        <v>0</v>
      </c>
      <c r="AQ581">
        <v>8.6691086691086688E-2</v>
      </c>
      <c r="AR581">
        <v>2.6666666666666505E-3</v>
      </c>
      <c r="AS581">
        <v>0</v>
      </c>
      <c r="AT581">
        <v>1.0866910866910866</v>
      </c>
      <c r="AU581">
        <v>1.0026666666666666</v>
      </c>
      <c r="AV581">
        <v>1</v>
      </c>
      <c r="AW581">
        <v>0</v>
      </c>
      <c r="AX581" t="s">
        <v>1635</v>
      </c>
      <c r="AY581">
        <v>16.5</v>
      </c>
      <c r="AZ581">
        <v>0</v>
      </c>
      <c r="BA581" t="s">
        <v>94</v>
      </c>
      <c r="BB581">
        <v>0.78</v>
      </c>
      <c r="BC581" t="s">
        <v>95</v>
      </c>
      <c r="BD581" t="s">
        <v>96</v>
      </c>
      <c r="BE581" t="s">
        <v>97</v>
      </c>
      <c r="BF581">
        <v>1</v>
      </c>
      <c r="BG581">
        <v>0</v>
      </c>
      <c r="BH581">
        <v>0</v>
      </c>
      <c r="BI581" t="s">
        <v>98</v>
      </c>
    </row>
    <row r="582" spans="1:61">
      <c r="A582" s="164" t="s">
        <v>1636</v>
      </c>
      <c r="B582" t="s">
        <v>1637</v>
      </c>
      <c r="C582">
        <v>0</v>
      </c>
      <c r="D582" t="s">
        <v>107</v>
      </c>
      <c r="E582">
        <v>0</v>
      </c>
      <c r="F582" t="s">
        <v>499</v>
      </c>
      <c r="G582" t="s">
        <v>103</v>
      </c>
      <c r="H582" t="s">
        <v>104</v>
      </c>
      <c r="I582" t="s">
        <v>80</v>
      </c>
      <c r="J582" t="s">
        <v>81</v>
      </c>
      <c r="K582" t="s">
        <v>82</v>
      </c>
      <c r="L582" t="s">
        <v>83</v>
      </c>
      <c r="M582" t="s">
        <v>84</v>
      </c>
      <c r="N582">
        <v>0.12</v>
      </c>
      <c r="O582" t="b">
        <v>0</v>
      </c>
      <c r="P582">
        <v>45</v>
      </c>
      <c r="Q582" t="s">
        <v>85</v>
      </c>
      <c r="S582">
        <v>0</v>
      </c>
      <c r="T582">
        <v>1</v>
      </c>
      <c r="V582" t="s">
        <v>87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G582" t="s">
        <v>129</v>
      </c>
      <c r="AH582">
        <v>0</v>
      </c>
      <c r="AI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Y582">
        <v>0</v>
      </c>
      <c r="AZ582">
        <v>8</v>
      </c>
      <c r="BA582" t="s">
        <v>94</v>
      </c>
      <c r="BB582">
        <v>0</v>
      </c>
      <c r="BC582" t="s">
        <v>95</v>
      </c>
      <c r="BD582" t="s">
        <v>96</v>
      </c>
      <c r="BE582" t="s">
        <v>97</v>
      </c>
      <c r="BF582">
        <v>0</v>
      </c>
      <c r="BG582">
        <v>0</v>
      </c>
      <c r="BH582">
        <v>0</v>
      </c>
      <c r="BI582" t="s">
        <v>98</v>
      </c>
    </row>
    <row r="583" spans="1:61">
      <c r="A583" s="164" t="s">
        <v>1638</v>
      </c>
      <c r="B583" t="s">
        <v>1639</v>
      </c>
      <c r="C583">
        <v>0</v>
      </c>
      <c r="D583" t="s">
        <v>175</v>
      </c>
      <c r="E583">
        <v>0</v>
      </c>
      <c r="F583" t="s">
        <v>508</v>
      </c>
      <c r="G583" t="s">
        <v>103</v>
      </c>
      <c r="H583" t="s">
        <v>104</v>
      </c>
      <c r="I583" t="s">
        <v>80</v>
      </c>
      <c r="J583" t="s">
        <v>163</v>
      </c>
      <c r="K583" t="s">
        <v>468</v>
      </c>
      <c r="L583" t="s">
        <v>111</v>
      </c>
      <c r="M583" t="s">
        <v>84</v>
      </c>
      <c r="N583">
        <v>0.2</v>
      </c>
      <c r="O583" t="b">
        <v>0</v>
      </c>
      <c r="P583">
        <v>40</v>
      </c>
      <c r="Q583" t="s">
        <v>137</v>
      </c>
      <c r="S583">
        <v>0</v>
      </c>
      <c r="T583">
        <v>1</v>
      </c>
      <c r="V583" t="s">
        <v>87</v>
      </c>
      <c r="X583">
        <v>0</v>
      </c>
      <c r="Z583">
        <v>0</v>
      </c>
      <c r="AB583">
        <v>0</v>
      </c>
      <c r="AC583">
        <v>0</v>
      </c>
      <c r="AE583" t="s">
        <v>129</v>
      </c>
      <c r="AF583" t="s">
        <v>508</v>
      </c>
      <c r="AG583" t="s">
        <v>129</v>
      </c>
      <c r="AH583">
        <v>0</v>
      </c>
      <c r="AI583">
        <v>0</v>
      </c>
      <c r="AJ583" t="s">
        <v>167</v>
      </c>
      <c r="AM583">
        <v>8.3000000000000007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Y583">
        <v>0</v>
      </c>
      <c r="AZ583">
        <v>4</v>
      </c>
      <c r="BA583" t="s">
        <v>138</v>
      </c>
      <c r="BB583">
        <v>0</v>
      </c>
      <c r="BC583" t="s">
        <v>95</v>
      </c>
      <c r="BD583" t="s">
        <v>469</v>
      </c>
      <c r="BE583" t="s">
        <v>97</v>
      </c>
      <c r="BF583">
        <v>0</v>
      </c>
      <c r="BG583">
        <v>0</v>
      </c>
      <c r="BH583">
        <v>0</v>
      </c>
      <c r="BI583" t="s">
        <v>98</v>
      </c>
    </row>
    <row r="584" spans="1:61">
      <c r="A584" s="164" t="s">
        <v>1640</v>
      </c>
      <c r="B584" t="s">
        <v>1641</v>
      </c>
      <c r="C584">
        <v>0</v>
      </c>
      <c r="D584" t="s">
        <v>194</v>
      </c>
      <c r="E584">
        <v>0</v>
      </c>
      <c r="F584" t="s">
        <v>195</v>
      </c>
      <c r="G584" t="s">
        <v>78</v>
      </c>
      <c r="H584" t="s">
        <v>79</v>
      </c>
      <c r="I584" t="s">
        <v>80</v>
      </c>
      <c r="J584" t="s">
        <v>196</v>
      </c>
      <c r="K584" t="s">
        <v>13</v>
      </c>
      <c r="L584" t="s">
        <v>83</v>
      </c>
      <c r="M584" t="s">
        <v>205</v>
      </c>
      <c r="N584">
        <v>1</v>
      </c>
      <c r="O584" t="b">
        <v>1</v>
      </c>
      <c r="P584">
        <v>0</v>
      </c>
      <c r="BB584">
        <v>0</v>
      </c>
      <c r="BC584" t="s">
        <v>197</v>
      </c>
      <c r="BD584" t="s">
        <v>198</v>
      </c>
      <c r="BE584" t="s">
        <v>117</v>
      </c>
      <c r="BF584">
        <v>0</v>
      </c>
      <c r="BG584">
        <v>0</v>
      </c>
      <c r="BH584">
        <v>0</v>
      </c>
    </row>
    <row r="585" spans="1:61">
      <c r="A585" s="164" t="s">
        <v>1642</v>
      </c>
      <c r="B585" t="s">
        <v>1643</v>
      </c>
      <c r="C585">
        <v>0</v>
      </c>
      <c r="D585" t="s">
        <v>194</v>
      </c>
      <c r="E585">
        <v>0</v>
      </c>
      <c r="F585" t="s">
        <v>214</v>
      </c>
      <c r="G585" t="s">
        <v>78</v>
      </c>
      <c r="H585" t="s">
        <v>79</v>
      </c>
      <c r="I585" t="s">
        <v>80</v>
      </c>
      <c r="J585" t="s">
        <v>196</v>
      </c>
      <c r="K585" t="s">
        <v>13</v>
      </c>
      <c r="L585" t="s">
        <v>83</v>
      </c>
      <c r="M585" t="s">
        <v>215</v>
      </c>
      <c r="N585">
        <v>1</v>
      </c>
      <c r="O585" t="b">
        <v>1</v>
      </c>
      <c r="P585">
        <v>0</v>
      </c>
      <c r="BB585">
        <v>0</v>
      </c>
      <c r="BC585" t="s">
        <v>197</v>
      </c>
      <c r="BD585" t="s">
        <v>216</v>
      </c>
      <c r="BE585" t="s">
        <v>117</v>
      </c>
      <c r="BF585">
        <v>0</v>
      </c>
      <c r="BG585">
        <v>0</v>
      </c>
      <c r="BH585">
        <v>0</v>
      </c>
    </row>
    <row r="586" spans="1:61">
      <c r="A586" s="164" t="s">
        <v>1644</v>
      </c>
      <c r="B586" t="s">
        <v>1645</v>
      </c>
      <c r="C586">
        <v>0</v>
      </c>
      <c r="D586" t="s">
        <v>194</v>
      </c>
      <c r="E586">
        <v>0</v>
      </c>
      <c r="F586" t="s">
        <v>195</v>
      </c>
      <c r="G586" t="s">
        <v>78</v>
      </c>
      <c r="H586" t="s">
        <v>79</v>
      </c>
      <c r="I586" t="s">
        <v>80</v>
      </c>
      <c r="J586" t="s">
        <v>196</v>
      </c>
      <c r="K586" t="s">
        <v>13</v>
      </c>
      <c r="L586" t="s">
        <v>83</v>
      </c>
      <c r="M586" t="s">
        <v>84</v>
      </c>
      <c r="N586">
        <v>1</v>
      </c>
      <c r="O586" t="b">
        <v>1</v>
      </c>
      <c r="P586">
        <v>0</v>
      </c>
      <c r="BB586">
        <v>0</v>
      </c>
      <c r="BC586" t="s">
        <v>197</v>
      </c>
      <c r="BD586" t="s">
        <v>198</v>
      </c>
      <c r="BE586" t="s">
        <v>117</v>
      </c>
      <c r="BF586">
        <v>0</v>
      </c>
      <c r="BG586">
        <v>0</v>
      </c>
      <c r="BH586">
        <v>0</v>
      </c>
    </row>
    <row r="587" spans="1:61">
      <c r="A587" s="164" t="s">
        <v>1646</v>
      </c>
      <c r="B587" t="s">
        <v>1647</v>
      </c>
      <c r="C587">
        <v>0</v>
      </c>
      <c r="D587" t="s">
        <v>194</v>
      </c>
      <c r="E587">
        <v>0</v>
      </c>
      <c r="F587" t="s">
        <v>214</v>
      </c>
      <c r="G587" t="s">
        <v>78</v>
      </c>
      <c r="H587" t="s">
        <v>79</v>
      </c>
      <c r="I587" t="s">
        <v>80</v>
      </c>
      <c r="J587" t="s">
        <v>196</v>
      </c>
      <c r="K587" t="s">
        <v>13</v>
      </c>
      <c r="L587" t="s">
        <v>83</v>
      </c>
      <c r="M587" t="s">
        <v>215</v>
      </c>
      <c r="N587">
        <v>1</v>
      </c>
      <c r="O587" t="b">
        <v>1</v>
      </c>
      <c r="P587">
        <v>0</v>
      </c>
      <c r="BB587">
        <v>0</v>
      </c>
      <c r="BC587" t="s">
        <v>197</v>
      </c>
      <c r="BD587" t="s">
        <v>216</v>
      </c>
      <c r="BE587" t="s">
        <v>117</v>
      </c>
      <c r="BF587">
        <v>0</v>
      </c>
      <c r="BG587">
        <v>0</v>
      </c>
      <c r="BH587">
        <v>0</v>
      </c>
    </row>
    <row r="588" spans="1:61">
      <c r="A588" s="164" t="s">
        <v>1648</v>
      </c>
      <c r="B588" t="s">
        <v>1649</v>
      </c>
      <c r="C588">
        <v>0</v>
      </c>
      <c r="D588" t="s">
        <v>194</v>
      </c>
      <c r="E588">
        <v>0</v>
      </c>
      <c r="F588" t="s">
        <v>195</v>
      </c>
      <c r="G588" t="s">
        <v>78</v>
      </c>
      <c r="H588" t="s">
        <v>79</v>
      </c>
      <c r="I588" t="s">
        <v>80</v>
      </c>
      <c r="J588" t="s">
        <v>196</v>
      </c>
      <c r="K588" t="s">
        <v>13</v>
      </c>
      <c r="L588" t="s">
        <v>83</v>
      </c>
      <c r="M588" t="s">
        <v>215</v>
      </c>
      <c r="N588">
        <v>1</v>
      </c>
      <c r="O588" t="b">
        <v>1</v>
      </c>
      <c r="P588">
        <v>0</v>
      </c>
      <c r="BB588">
        <v>0</v>
      </c>
      <c r="BC588" t="s">
        <v>197</v>
      </c>
      <c r="BD588" t="s">
        <v>198</v>
      </c>
      <c r="BE588" t="s">
        <v>117</v>
      </c>
      <c r="BF588">
        <v>0</v>
      </c>
      <c r="BG588">
        <v>0</v>
      </c>
      <c r="BH588">
        <v>0</v>
      </c>
    </row>
    <row r="589" spans="1:61">
      <c r="A589" s="164" t="s">
        <v>1650</v>
      </c>
      <c r="B589" t="s">
        <v>1651</v>
      </c>
      <c r="C589">
        <v>0</v>
      </c>
      <c r="D589" t="s">
        <v>194</v>
      </c>
      <c r="E589">
        <v>0</v>
      </c>
      <c r="F589" t="s">
        <v>195</v>
      </c>
      <c r="G589" t="s">
        <v>78</v>
      </c>
      <c r="H589" t="s">
        <v>79</v>
      </c>
      <c r="I589" t="s">
        <v>80</v>
      </c>
      <c r="J589" t="s">
        <v>196</v>
      </c>
      <c r="K589" t="s">
        <v>13</v>
      </c>
      <c r="L589" t="s">
        <v>83</v>
      </c>
      <c r="M589" t="s">
        <v>205</v>
      </c>
      <c r="N589">
        <v>1</v>
      </c>
      <c r="O589" t="b">
        <v>1</v>
      </c>
      <c r="P589">
        <v>0</v>
      </c>
      <c r="BB589">
        <v>0</v>
      </c>
      <c r="BC589" t="s">
        <v>197</v>
      </c>
      <c r="BD589" t="s">
        <v>198</v>
      </c>
      <c r="BE589" t="s">
        <v>117</v>
      </c>
      <c r="BF589">
        <v>0</v>
      </c>
      <c r="BG589">
        <v>0</v>
      </c>
      <c r="BH589">
        <v>0</v>
      </c>
    </row>
    <row r="590" spans="1:61">
      <c r="A590" s="164" t="s">
        <v>1652</v>
      </c>
      <c r="B590" t="s">
        <v>1653</v>
      </c>
      <c r="C590">
        <v>0</v>
      </c>
      <c r="D590" t="s">
        <v>194</v>
      </c>
      <c r="E590">
        <v>0</v>
      </c>
      <c r="F590" t="s">
        <v>195</v>
      </c>
      <c r="G590" t="s">
        <v>78</v>
      </c>
      <c r="H590" t="s">
        <v>79</v>
      </c>
      <c r="I590" t="s">
        <v>80</v>
      </c>
      <c r="J590" t="s">
        <v>196</v>
      </c>
      <c r="K590" t="s">
        <v>13</v>
      </c>
      <c r="L590" t="s">
        <v>83</v>
      </c>
      <c r="M590" t="s">
        <v>205</v>
      </c>
      <c r="N590">
        <v>1</v>
      </c>
      <c r="O590" t="b">
        <v>1</v>
      </c>
      <c r="P590">
        <v>0</v>
      </c>
      <c r="BB590">
        <v>0</v>
      </c>
      <c r="BC590" t="s">
        <v>197</v>
      </c>
      <c r="BD590" t="s">
        <v>198</v>
      </c>
      <c r="BE590" t="s">
        <v>117</v>
      </c>
      <c r="BF590">
        <v>0</v>
      </c>
      <c r="BG590">
        <v>0</v>
      </c>
      <c r="BH590">
        <v>0</v>
      </c>
    </row>
    <row r="591" spans="1:61">
      <c r="A591" s="164" t="s">
        <v>1654</v>
      </c>
      <c r="B591" t="s">
        <v>1655</v>
      </c>
      <c r="C591">
        <v>0</v>
      </c>
      <c r="D591" t="s">
        <v>194</v>
      </c>
      <c r="E591">
        <v>0</v>
      </c>
      <c r="F591" t="s">
        <v>214</v>
      </c>
      <c r="G591" t="s">
        <v>78</v>
      </c>
      <c r="H591" t="s">
        <v>79</v>
      </c>
      <c r="I591" t="s">
        <v>80</v>
      </c>
      <c r="J591" t="s">
        <v>196</v>
      </c>
      <c r="K591" t="s">
        <v>13</v>
      </c>
      <c r="L591" t="s">
        <v>83</v>
      </c>
      <c r="M591" t="s">
        <v>215</v>
      </c>
      <c r="N591">
        <v>1</v>
      </c>
      <c r="O591" t="b">
        <v>1</v>
      </c>
      <c r="P591">
        <v>0</v>
      </c>
      <c r="BB591">
        <v>0</v>
      </c>
      <c r="BC591" t="s">
        <v>197</v>
      </c>
      <c r="BD591" t="s">
        <v>216</v>
      </c>
      <c r="BE591" t="s">
        <v>117</v>
      </c>
      <c r="BF591">
        <v>0</v>
      </c>
      <c r="BG591">
        <v>0</v>
      </c>
      <c r="BH591">
        <v>0</v>
      </c>
    </row>
    <row r="592" spans="1:61">
      <c r="A592" s="164" t="s">
        <v>1656</v>
      </c>
      <c r="B592" t="s">
        <v>1657</v>
      </c>
      <c r="C592">
        <v>0</v>
      </c>
      <c r="D592" t="s">
        <v>194</v>
      </c>
      <c r="E592">
        <v>0</v>
      </c>
      <c r="F592" t="s">
        <v>195</v>
      </c>
      <c r="G592" t="s">
        <v>78</v>
      </c>
      <c r="H592" t="s">
        <v>79</v>
      </c>
      <c r="I592" t="s">
        <v>80</v>
      </c>
      <c r="J592" t="s">
        <v>196</v>
      </c>
      <c r="K592" t="s">
        <v>13</v>
      </c>
      <c r="L592" t="s">
        <v>83</v>
      </c>
      <c r="M592" t="s">
        <v>84</v>
      </c>
      <c r="N592">
        <v>1</v>
      </c>
      <c r="O592" t="b">
        <v>1</v>
      </c>
      <c r="P592">
        <v>0</v>
      </c>
      <c r="BB592">
        <v>0</v>
      </c>
      <c r="BC592" t="s">
        <v>197</v>
      </c>
      <c r="BD592" t="s">
        <v>198</v>
      </c>
      <c r="BE592" t="s">
        <v>117</v>
      </c>
      <c r="BF592">
        <v>0</v>
      </c>
      <c r="BG592">
        <v>0</v>
      </c>
      <c r="BH592">
        <v>0</v>
      </c>
    </row>
    <row r="593" spans="1:61">
      <c r="A593" s="164" t="s">
        <v>1658</v>
      </c>
      <c r="B593" t="s">
        <v>1659</v>
      </c>
      <c r="C593">
        <v>0</v>
      </c>
      <c r="D593" t="s">
        <v>304</v>
      </c>
      <c r="E593">
        <v>0</v>
      </c>
      <c r="F593" t="s">
        <v>269</v>
      </c>
      <c r="G593" t="s">
        <v>103</v>
      </c>
      <c r="H593" t="s">
        <v>104</v>
      </c>
      <c r="I593" t="s">
        <v>80</v>
      </c>
      <c r="J593" t="s">
        <v>196</v>
      </c>
      <c r="K593" t="s">
        <v>13</v>
      </c>
      <c r="L593" t="s">
        <v>83</v>
      </c>
      <c r="M593" t="s">
        <v>84</v>
      </c>
      <c r="N593">
        <v>1</v>
      </c>
      <c r="O593" t="b">
        <v>0</v>
      </c>
      <c r="P593">
        <v>0</v>
      </c>
      <c r="BB593">
        <v>0</v>
      </c>
      <c r="BC593" t="s">
        <v>306</v>
      </c>
      <c r="BD593" t="s">
        <v>270</v>
      </c>
      <c r="BE593" t="s">
        <v>117</v>
      </c>
      <c r="BF593">
        <v>0</v>
      </c>
      <c r="BG593">
        <v>0</v>
      </c>
      <c r="BH593">
        <v>0</v>
      </c>
    </row>
    <row r="594" spans="1:61">
      <c r="A594" s="164" t="s">
        <v>1660</v>
      </c>
      <c r="B594" t="s">
        <v>1661</v>
      </c>
      <c r="C594">
        <v>0</v>
      </c>
      <c r="D594" t="s">
        <v>304</v>
      </c>
      <c r="E594">
        <v>0</v>
      </c>
      <c r="F594" t="s">
        <v>269</v>
      </c>
      <c r="G594" t="s">
        <v>103</v>
      </c>
      <c r="H594" t="s">
        <v>104</v>
      </c>
      <c r="I594" t="s">
        <v>80</v>
      </c>
      <c r="J594" t="s">
        <v>196</v>
      </c>
      <c r="K594" t="s">
        <v>13</v>
      </c>
      <c r="L594" t="s">
        <v>83</v>
      </c>
      <c r="M594" t="s">
        <v>84</v>
      </c>
      <c r="N594">
        <v>1</v>
      </c>
      <c r="O594" t="b">
        <v>0</v>
      </c>
      <c r="P594">
        <v>0</v>
      </c>
      <c r="BB594">
        <v>0</v>
      </c>
      <c r="BC594" t="s">
        <v>306</v>
      </c>
      <c r="BD594" t="s">
        <v>270</v>
      </c>
      <c r="BE594" t="s">
        <v>117</v>
      </c>
      <c r="BF594">
        <v>0</v>
      </c>
      <c r="BG594">
        <v>0</v>
      </c>
      <c r="BH594">
        <v>0</v>
      </c>
    </row>
    <row r="595" spans="1:61">
      <c r="A595" s="164" t="s">
        <v>1662</v>
      </c>
      <c r="B595" t="s">
        <v>1663</v>
      </c>
      <c r="C595">
        <v>0</v>
      </c>
      <c r="D595" t="s">
        <v>304</v>
      </c>
      <c r="E595">
        <v>0</v>
      </c>
      <c r="F595" t="s">
        <v>269</v>
      </c>
      <c r="G595" t="s">
        <v>103</v>
      </c>
      <c r="H595" t="s">
        <v>104</v>
      </c>
      <c r="I595" t="s">
        <v>80</v>
      </c>
      <c r="J595" t="s">
        <v>196</v>
      </c>
      <c r="K595" t="s">
        <v>13</v>
      </c>
      <c r="L595" t="s">
        <v>83</v>
      </c>
      <c r="M595" t="s">
        <v>84</v>
      </c>
      <c r="N595">
        <v>1</v>
      </c>
      <c r="O595" t="b">
        <v>0</v>
      </c>
      <c r="P595">
        <v>0</v>
      </c>
      <c r="BB595">
        <v>0</v>
      </c>
      <c r="BC595" t="s">
        <v>306</v>
      </c>
      <c r="BD595" t="s">
        <v>270</v>
      </c>
      <c r="BE595" t="s">
        <v>117</v>
      </c>
      <c r="BF595">
        <v>0</v>
      </c>
      <c r="BG595">
        <v>0</v>
      </c>
      <c r="BH595">
        <v>0</v>
      </c>
    </row>
    <row r="596" spans="1:61">
      <c r="A596" s="164" t="s">
        <v>1664</v>
      </c>
      <c r="B596" t="s">
        <v>1665</v>
      </c>
      <c r="C596">
        <v>0</v>
      </c>
      <c r="D596" t="s">
        <v>304</v>
      </c>
      <c r="E596">
        <v>0</v>
      </c>
      <c r="F596" t="s">
        <v>269</v>
      </c>
      <c r="G596" t="s">
        <v>103</v>
      </c>
      <c r="H596" t="s">
        <v>104</v>
      </c>
      <c r="I596" t="s">
        <v>80</v>
      </c>
      <c r="J596" t="s">
        <v>196</v>
      </c>
      <c r="K596" t="s">
        <v>13</v>
      </c>
      <c r="L596" t="s">
        <v>83</v>
      </c>
      <c r="M596" t="s">
        <v>84</v>
      </c>
      <c r="N596">
        <v>1</v>
      </c>
      <c r="O596" t="b">
        <v>0</v>
      </c>
      <c r="P596">
        <v>0</v>
      </c>
      <c r="BB596">
        <v>0</v>
      </c>
      <c r="BC596" t="s">
        <v>306</v>
      </c>
      <c r="BD596" t="s">
        <v>270</v>
      </c>
      <c r="BE596" t="s">
        <v>117</v>
      </c>
      <c r="BF596">
        <v>0</v>
      </c>
      <c r="BG596">
        <v>0</v>
      </c>
      <c r="BH596">
        <v>0</v>
      </c>
    </row>
    <row r="597" spans="1:61">
      <c r="A597" s="164" t="s">
        <v>1666</v>
      </c>
      <c r="B597" t="s">
        <v>1667</v>
      </c>
      <c r="C597">
        <v>0</v>
      </c>
      <c r="D597" t="s">
        <v>304</v>
      </c>
      <c r="E597">
        <v>0</v>
      </c>
      <c r="F597" t="s">
        <v>589</v>
      </c>
      <c r="G597" t="s">
        <v>78</v>
      </c>
      <c r="H597" t="s">
        <v>79</v>
      </c>
      <c r="I597" t="s">
        <v>80</v>
      </c>
      <c r="J597" t="s">
        <v>196</v>
      </c>
      <c r="K597" t="s">
        <v>13</v>
      </c>
      <c r="L597" t="s">
        <v>83</v>
      </c>
      <c r="M597" t="s">
        <v>84</v>
      </c>
      <c r="N597">
        <v>1</v>
      </c>
      <c r="O597" t="b">
        <v>1</v>
      </c>
      <c r="P597">
        <v>0</v>
      </c>
      <c r="BB597">
        <v>0</v>
      </c>
      <c r="BC597" t="s">
        <v>306</v>
      </c>
      <c r="BD597" t="s">
        <v>590</v>
      </c>
      <c r="BE597" t="s">
        <v>117</v>
      </c>
      <c r="BF597">
        <v>0</v>
      </c>
      <c r="BG597">
        <v>25</v>
      </c>
      <c r="BH597">
        <v>10000</v>
      </c>
      <c r="BI597" t="s">
        <v>344</v>
      </c>
    </row>
    <row r="598" spans="1:61">
      <c r="A598" s="164" t="s">
        <v>1668</v>
      </c>
      <c r="B598" t="s">
        <v>1669</v>
      </c>
      <c r="C598">
        <v>0</v>
      </c>
      <c r="D598" t="s">
        <v>304</v>
      </c>
      <c r="E598">
        <v>0</v>
      </c>
      <c r="F598" t="s">
        <v>342</v>
      </c>
      <c r="G598" t="s">
        <v>78</v>
      </c>
      <c r="H598" t="s">
        <v>79</v>
      </c>
      <c r="I598" t="s">
        <v>80</v>
      </c>
      <c r="J598" t="s">
        <v>196</v>
      </c>
      <c r="K598" t="s">
        <v>13</v>
      </c>
      <c r="L598" t="s">
        <v>83</v>
      </c>
      <c r="M598" t="s">
        <v>84</v>
      </c>
      <c r="N598">
        <v>1</v>
      </c>
      <c r="O598" t="b">
        <v>1</v>
      </c>
      <c r="P598">
        <v>0</v>
      </c>
      <c r="BB598">
        <v>0</v>
      </c>
      <c r="BC598" t="s">
        <v>306</v>
      </c>
      <c r="BD598" t="s">
        <v>343</v>
      </c>
      <c r="BE598" t="s">
        <v>117</v>
      </c>
      <c r="BF598">
        <v>0</v>
      </c>
      <c r="BG598">
        <v>25</v>
      </c>
      <c r="BH598">
        <v>10000</v>
      </c>
      <c r="BI598" t="s">
        <v>344</v>
      </c>
    </row>
    <row r="599" spans="1:61">
      <c r="A599" s="164" t="s">
        <v>1670</v>
      </c>
      <c r="B599" t="s">
        <v>1671</v>
      </c>
      <c r="C599">
        <v>0</v>
      </c>
      <c r="D599" t="s">
        <v>304</v>
      </c>
      <c r="E599">
        <v>0</v>
      </c>
      <c r="F599" t="s">
        <v>1672</v>
      </c>
      <c r="G599" t="s">
        <v>78</v>
      </c>
      <c r="H599" t="s">
        <v>79</v>
      </c>
      <c r="I599" t="s">
        <v>80</v>
      </c>
      <c r="J599" t="s">
        <v>196</v>
      </c>
      <c r="K599" t="s">
        <v>13</v>
      </c>
      <c r="L599" t="s">
        <v>83</v>
      </c>
      <c r="M599" t="s">
        <v>84</v>
      </c>
      <c r="N599">
        <v>1</v>
      </c>
      <c r="O599" t="b">
        <v>1</v>
      </c>
      <c r="P599">
        <v>0</v>
      </c>
      <c r="BB599">
        <v>0</v>
      </c>
      <c r="BC599" t="s">
        <v>306</v>
      </c>
      <c r="BD599" t="s">
        <v>1673</v>
      </c>
      <c r="BE599" t="s">
        <v>117</v>
      </c>
      <c r="BF599">
        <v>0</v>
      </c>
      <c r="BG599">
        <v>15</v>
      </c>
      <c r="BH599">
        <v>100000</v>
      </c>
      <c r="BI599" t="s">
        <v>593</v>
      </c>
    </row>
    <row r="600" spans="1:61">
      <c r="A600" s="164" t="s">
        <v>1674</v>
      </c>
      <c r="B600" t="s">
        <v>1675</v>
      </c>
      <c r="C600">
        <v>0</v>
      </c>
      <c r="D600" t="s">
        <v>304</v>
      </c>
      <c r="E600">
        <v>0</v>
      </c>
      <c r="F600" t="s">
        <v>1672</v>
      </c>
      <c r="G600" t="s">
        <v>78</v>
      </c>
      <c r="H600" t="s">
        <v>79</v>
      </c>
      <c r="I600" t="s">
        <v>80</v>
      </c>
      <c r="J600" t="s">
        <v>196</v>
      </c>
      <c r="K600" t="s">
        <v>13</v>
      </c>
      <c r="L600" t="s">
        <v>83</v>
      </c>
      <c r="M600" t="s">
        <v>84</v>
      </c>
      <c r="N600">
        <v>1</v>
      </c>
      <c r="O600" t="b">
        <v>1</v>
      </c>
      <c r="P600">
        <v>0</v>
      </c>
      <c r="BB600">
        <v>0</v>
      </c>
      <c r="BC600" t="s">
        <v>306</v>
      </c>
      <c r="BD600" t="s">
        <v>1673</v>
      </c>
      <c r="BE600" t="s">
        <v>117</v>
      </c>
      <c r="BF600">
        <v>0</v>
      </c>
      <c r="BG600">
        <v>15</v>
      </c>
      <c r="BH600">
        <v>30000</v>
      </c>
      <c r="BI600" t="s">
        <v>593</v>
      </c>
    </row>
    <row r="601" spans="1:61">
      <c r="A601" s="164" t="s">
        <v>1676</v>
      </c>
      <c r="B601" t="s">
        <v>1677</v>
      </c>
      <c r="C601">
        <v>0</v>
      </c>
      <c r="D601" t="s">
        <v>194</v>
      </c>
      <c r="E601">
        <v>0</v>
      </c>
      <c r="F601" t="s">
        <v>552</v>
      </c>
      <c r="G601" t="s">
        <v>78</v>
      </c>
      <c r="H601" t="s">
        <v>79</v>
      </c>
      <c r="I601" t="s">
        <v>80</v>
      </c>
      <c r="J601" t="s">
        <v>196</v>
      </c>
      <c r="K601" t="s">
        <v>13</v>
      </c>
      <c r="L601" t="s">
        <v>83</v>
      </c>
      <c r="M601" t="s">
        <v>205</v>
      </c>
      <c r="N601">
        <v>1</v>
      </c>
      <c r="O601" t="b">
        <v>1</v>
      </c>
      <c r="P601">
        <v>0</v>
      </c>
      <c r="BB601">
        <v>0</v>
      </c>
      <c r="BC601" t="s">
        <v>197</v>
      </c>
      <c r="BD601" t="s">
        <v>553</v>
      </c>
      <c r="BE601" t="s">
        <v>117</v>
      </c>
      <c r="BF601">
        <v>0</v>
      </c>
      <c r="BG601">
        <v>0</v>
      </c>
      <c r="BH601">
        <v>0</v>
      </c>
    </row>
    <row r="602" spans="1:61">
      <c r="A602" s="164" t="s">
        <v>1678</v>
      </c>
      <c r="B602" t="s">
        <v>1679</v>
      </c>
      <c r="C602">
        <v>0</v>
      </c>
      <c r="D602" t="s">
        <v>194</v>
      </c>
      <c r="E602">
        <v>0</v>
      </c>
      <c r="F602" t="s">
        <v>195</v>
      </c>
      <c r="G602" t="s">
        <v>78</v>
      </c>
      <c r="H602" t="s">
        <v>79</v>
      </c>
      <c r="I602" t="s">
        <v>80</v>
      </c>
      <c r="J602" t="s">
        <v>196</v>
      </c>
      <c r="K602" t="s">
        <v>13</v>
      </c>
      <c r="L602" t="s">
        <v>83</v>
      </c>
      <c r="M602" t="s">
        <v>84</v>
      </c>
      <c r="N602">
        <v>1</v>
      </c>
      <c r="O602" t="b">
        <v>1</v>
      </c>
      <c r="P602">
        <v>0</v>
      </c>
      <c r="BB602">
        <v>0</v>
      </c>
      <c r="BC602" t="s">
        <v>197</v>
      </c>
      <c r="BD602" t="s">
        <v>198</v>
      </c>
      <c r="BE602" t="s">
        <v>117</v>
      </c>
      <c r="BF602">
        <v>0</v>
      </c>
      <c r="BG602">
        <v>0</v>
      </c>
      <c r="BH602">
        <v>0</v>
      </c>
    </row>
    <row r="603" spans="1:61">
      <c r="A603" s="164" t="s">
        <v>1680</v>
      </c>
      <c r="B603" t="s">
        <v>1681</v>
      </c>
      <c r="C603">
        <v>0</v>
      </c>
      <c r="D603" t="s">
        <v>194</v>
      </c>
      <c r="E603">
        <v>0</v>
      </c>
      <c r="F603" t="s">
        <v>195</v>
      </c>
      <c r="G603" t="s">
        <v>78</v>
      </c>
      <c r="H603" t="s">
        <v>79</v>
      </c>
      <c r="I603" t="s">
        <v>80</v>
      </c>
      <c r="J603" t="s">
        <v>196</v>
      </c>
      <c r="K603" t="s">
        <v>13</v>
      </c>
      <c r="L603" t="s">
        <v>83</v>
      </c>
      <c r="M603" t="s">
        <v>84</v>
      </c>
      <c r="N603">
        <v>1</v>
      </c>
      <c r="O603" t="b">
        <v>1</v>
      </c>
      <c r="P603">
        <v>0</v>
      </c>
      <c r="BB603">
        <v>0</v>
      </c>
      <c r="BC603" t="s">
        <v>197</v>
      </c>
      <c r="BD603" t="s">
        <v>198</v>
      </c>
      <c r="BE603" t="s">
        <v>117</v>
      </c>
      <c r="BF603">
        <v>0</v>
      </c>
      <c r="BG603">
        <v>0</v>
      </c>
      <c r="BH603">
        <v>0</v>
      </c>
    </row>
    <row r="604" spans="1:61">
      <c r="A604" s="164" t="s">
        <v>1682</v>
      </c>
      <c r="B604" t="s">
        <v>1683</v>
      </c>
      <c r="C604">
        <v>0</v>
      </c>
      <c r="D604" t="s">
        <v>194</v>
      </c>
      <c r="E604">
        <v>0</v>
      </c>
      <c r="F604" t="s">
        <v>195</v>
      </c>
      <c r="G604" t="s">
        <v>78</v>
      </c>
      <c r="H604" t="s">
        <v>79</v>
      </c>
      <c r="I604" t="s">
        <v>80</v>
      </c>
      <c r="J604" t="s">
        <v>196</v>
      </c>
      <c r="K604" t="s">
        <v>13</v>
      </c>
      <c r="L604" t="s">
        <v>83</v>
      </c>
      <c r="M604" t="s">
        <v>84</v>
      </c>
      <c r="N604">
        <v>1</v>
      </c>
      <c r="O604" t="b">
        <v>1</v>
      </c>
      <c r="P604">
        <v>0</v>
      </c>
      <c r="BB604">
        <v>0</v>
      </c>
      <c r="BC604" t="s">
        <v>197</v>
      </c>
      <c r="BD604" t="s">
        <v>198</v>
      </c>
      <c r="BE604" t="s">
        <v>117</v>
      </c>
      <c r="BF604">
        <v>0</v>
      </c>
      <c r="BG604">
        <v>0</v>
      </c>
      <c r="BH604">
        <v>0</v>
      </c>
    </row>
    <row r="605" spans="1:61">
      <c r="A605" s="164" t="s">
        <v>1684</v>
      </c>
      <c r="B605" t="s">
        <v>1685</v>
      </c>
      <c r="C605">
        <v>0</v>
      </c>
      <c r="D605" t="s">
        <v>194</v>
      </c>
      <c r="E605">
        <v>0</v>
      </c>
      <c r="F605" t="s">
        <v>195</v>
      </c>
      <c r="G605" t="s">
        <v>78</v>
      </c>
      <c r="H605" t="s">
        <v>79</v>
      </c>
      <c r="I605" t="s">
        <v>80</v>
      </c>
      <c r="J605" t="s">
        <v>196</v>
      </c>
      <c r="K605" t="s">
        <v>13</v>
      </c>
      <c r="L605" t="s">
        <v>83</v>
      </c>
      <c r="M605" t="s">
        <v>84</v>
      </c>
      <c r="N605">
        <v>1</v>
      </c>
      <c r="O605" t="b">
        <v>1</v>
      </c>
      <c r="P605">
        <v>0</v>
      </c>
      <c r="BB605">
        <v>0</v>
      </c>
      <c r="BC605" t="s">
        <v>197</v>
      </c>
      <c r="BD605" t="s">
        <v>198</v>
      </c>
      <c r="BE605" t="s">
        <v>117</v>
      </c>
      <c r="BF605">
        <v>0</v>
      </c>
      <c r="BG605">
        <v>0</v>
      </c>
      <c r="BH605">
        <v>0</v>
      </c>
    </row>
    <row r="606" spans="1:61">
      <c r="A606" s="164" t="s">
        <v>1686</v>
      </c>
      <c r="B606" t="s">
        <v>1687</v>
      </c>
      <c r="C606">
        <v>0</v>
      </c>
      <c r="D606" t="s">
        <v>194</v>
      </c>
      <c r="E606">
        <v>0</v>
      </c>
      <c r="F606" t="s">
        <v>195</v>
      </c>
      <c r="G606" t="s">
        <v>78</v>
      </c>
      <c r="H606" t="s">
        <v>79</v>
      </c>
      <c r="I606" t="s">
        <v>80</v>
      </c>
      <c r="J606" t="s">
        <v>196</v>
      </c>
      <c r="K606" t="s">
        <v>13</v>
      </c>
      <c r="L606" t="s">
        <v>83</v>
      </c>
      <c r="M606" t="s">
        <v>84</v>
      </c>
      <c r="N606">
        <v>1</v>
      </c>
      <c r="O606" t="b">
        <v>1</v>
      </c>
      <c r="P606">
        <v>0</v>
      </c>
      <c r="BB606">
        <v>0</v>
      </c>
      <c r="BC606" t="s">
        <v>197</v>
      </c>
      <c r="BD606" t="s">
        <v>198</v>
      </c>
      <c r="BE606" t="s">
        <v>117</v>
      </c>
      <c r="BF606">
        <v>0</v>
      </c>
      <c r="BG606">
        <v>0</v>
      </c>
      <c r="BH606">
        <v>0</v>
      </c>
    </row>
    <row r="607" spans="1:61">
      <c r="A607" s="164" t="s">
        <v>1688</v>
      </c>
      <c r="B607" t="s">
        <v>1689</v>
      </c>
      <c r="C607">
        <v>0</v>
      </c>
      <c r="D607" t="s">
        <v>194</v>
      </c>
      <c r="E607">
        <v>0</v>
      </c>
      <c r="F607" t="s">
        <v>195</v>
      </c>
      <c r="G607" t="s">
        <v>78</v>
      </c>
      <c r="H607" t="s">
        <v>79</v>
      </c>
      <c r="I607" t="s">
        <v>80</v>
      </c>
      <c r="J607" t="s">
        <v>196</v>
      </c>
      <c r="K607" t="s">
        <v>13</v>
      </c>
      <c r="L607" t="s">
        <v>83</v>
      </c>
      <c r="M607" t="s">
        <v>84</v>
      </c>
      <c r="N607">
        <v>1</v>
      </c>
      <c r="O607" t="b">
        <v>1</v>
      </c>
      <c r="P607">
        <v>0</v>
      </c>
      <c r="BB607">
        <v>0</v>
      </c>
      <c r="BC607" t="s">
        <v>197</v>
      </c>
      <c r="BD607" t="s">
        <v>198</v>
      </c>
      <c r="BE607" t="s">
        <v>117</v>
      </c>
      <c r="BF607">
        <v>0</v>
      </c>
      <c r="BG607">
        <v>0</v>
      </c>
      <c r="BH607">
        <v>0</v>
      </c>
    </row>
    <row r="608" spans="1:61">
      <c r="A608" s="164" t="s">
        <v>1690</v>
      </c>
      <c r="B608" t="s">
        <v>1691</v>
      </c>
      <c r="C608">
        <v>0</v>
      </c>
      <c r="D608" t="s">
        <v>194</v>
      </c>
      <c r="E608">
        <v>0</v>
      </c>
      <c r="F608" t="s">
        <v>195</v>
      </c>
      <c r="G608" t="s">
        <v>78</v>
      </c>
      <c r="H608" t="s">
        <v>79</v>
      </c>
      <c r="I608" t="s">
        <v>80</v>
      </c>
      <c r="J608" t="s">
        <v>196</v>
      </c>
      <c r="K608" t="s">
        <v>13</v>
      </c>
      <c r="L608" t="s">
        <v>83</v>
      </c>
      <c r="M608" t="s">
        <v>84</v>
      </c>
      <c r="N608">
        <v>1</v>
      </c>
      <c r="O608" t="b">
        <v>1</v>
      </c>
      <c r="P608">
        <v>0</v>
      </c>
      <c r="BB608">
        <v>0</v>
      </c>
      <c r="BC608" t="s">
        <v>197</v>
      </c>
      <c r="BD608" t="s">
        <v>198</v>
      </c>
      <c r="BE608" t="s">
        <v>117</v>
      </c>
      <c r="BF608">
        <v>0</v>
      </c>
      <c r="BG608">
        <v>0</v>
      </c>
      <c r="BH608">
        <v>0</v>
      </c>
    </row>
    <row r="609" spans="1:61">
      <c r="A609" s="164" t="s">
        <v>1692</v>
      </c>
      <c r="B609" t="s">
        <v>1693</v>
      </c>
      <c r="C609">
        <v>0</v>
      </c>
      <c r="D609" t="s">
        <v>486</v>
      </c>
      <c r="E609">
        <v>0</v>
      </c>
      <c r="F609" t="s">
        <v>1138</v>
      </c>
      <c r="G609" t="s">
        <v>78</v>
      </c>
      <c r="H609" t="s">
        <v>79</v>
      </c>
      <c r="I609" t="s">
        <v>80</v>
      </c>
      <c r="J609" t="s">
        <v>163</v>
      </c>
      <c r="K609" t="s">
        <v>82</v>
      </c>
      <c r="L609" t="s">
        <v>83</v>
      </c>
      <c r="M609" t="s">
        <v>84</v>
      </c>
      <c r="N609">
        <v>0.3</v>
      </c>
      <c r="O609" t="b">
        <v>1</v>
      </c>
      <c r="P609">
        <v>90</v>
      </c>
      <c r="Q609" t="s">
        <v>137</v>
      </c>
      <c r="S609">
        <v>0.3</v>
      </c>
      <c r="T609">
        <v>1</v>
      </c>
      <c r="U609" s="36">
        <v>2.3314949999999999</v>
      </c>
      <c r="V609" t="s">
        <v>165</v>
      </c>
      <c r="X609">
        <v>0</v>
      </c>
      <c r="Y609">
        <v>75</v>
      </c>
      <c r="Z609">
        <v>1.3333333333333334E-2</v>
      </c>
      <c r="AA609">
        <v>35</v>
      </c>
      <c r="AB609">
        <v>0</v>
      </c>
      <c r="AC609">
        <v>0</v>
      </c>
      <c r="AE609" t="s">
        <v>129</v>
      </c>
      <c r="AF609" t="s">
        <v>1138</v>
      </c>
      <c r="AG609" t="s">
        <v>129</v>
      </c>
      <c r="AH609">
        <v>0</v>
      </c>
      <c r="AI609">
        <v>9.9</v>
      </c>
      <c r="AJ609" t="s">
        <v>167</v>
      </c>
      <c r="AM609">
        <v>10.38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 t="s">
        <v>1694</v>
      </c>
      <c r="AY609">
        <v>7.3017399999999997</v>
      </c>
      <c r="AZ609">
        <v>0</v>
      </c>
      <c r="BA609" t="s">
        <v>138</v>
      </c>
      <c r="BB609">
        <v>4.79</v>
      </c>
      <c r="BC609" t="s">
        <v>95</v>
      </c>
      <c r="BD609" t="s">
        <v>96</v>
      </c>
      <c r="BE609" t="s">
        <v>97</v>
      </c>
      <c r="BF609">
        <v>1</v>
      </c>
      <c r="BG609">
        <v>0</v>
      </c>
      <c r="BH609">
        <v>0</v>
      </c>
      <c r="BI609" t="s">
        <v>98</v>
      </c>
    </row>
    <row r="610" spans="1:61">
      <c r="A610" s="164" t="s">
        <v>1695</v>
      </c>
      <c r="B610" t="s">
        <v>1696</v>
      </c>
      <c r="C610">
        <v>0</v>
      </c>
      <c r="D610" t="s">
        <v>107</v>
      </c>
      <c r="E610">
        <v>0</v>
      </c>
      <c r="F610" t="s">
        <v>108</v>
      </c>
      <c r="G610" t="s">
        <v>78</v>
      </c>
      <c r="H610" t="s">
        <v>79</v>
      </c>
      <c r="I610" t="s">
        <v>80</v>
      </c>
      <c r="J610" t="s">
        <v>81</v>
      </c>
      <c r="K610" t="s">
        <v>82</v>
      </c>
      <c r="L610" t="s">
        <v>83</v>
      </c>
      <c r="M610" t="s">
        <v>84</v>
      </c>
      <c r="N610">
        <v>0.9</v>
      </c>
      <c r="O610" t="b">
        <v>1</v>
      </c>
      <c r="P610">
        <v>45</v>
      </c>
      <c r="Q610" t="s">
        <v>85</v>
      </c>
      <c r="R610" t="s">
        <v>86</v>
      </c>
      <c r="S610">
        <v>0.9</v>
      </c>
      <c r="T610">
        <v>1</v>
      </c>
      <c r="U610" s="36">
        <v>0.62998500000000002</v>
      </c>
      <c r="V610" t="s">
        <v>87</v>
      </c>
      <c r="W610">
        <v>34</v>
      </c>
      <c r="X610">
        <v>0.62562499999999999</v>
      </c>
      <c r="Y610">
        <v>15</v>
      </c>
      <c r="Z610">
        <v>6.6666666666666666E-2</v>
      </c>
      <c r="AA610">
        <v>60</v>
      </c>
      <c r="AB610">
        <v>0</v>
      </c>
      <c r="AC610">
        <v>500</v>
      </c>
      <c r="AD610">
        <v>555.55555555555554</v>
      </c>
      <c r="AE610" t="s">
        <v>112</v>
      </c>
      <c r="AF610" t="s">
        <v>1117</v>
      </c>
      <c r="AG610" t="s">
        <v>114</v>
      </c>
      <c r="AH610">
        <v>0</v>
      </c>
      <c r="AI610">
        <v>0.6</v>
      </c>
      <c r="AJ610" t="s">
        <v>91</v>
      </c>
      <c r="AK610" t="s">
        <v>92</v>
      </c>
      <c r="AL610" t="s">
        <v>93</v>
      </c>
      <c r="AM610">
        <v>0.34043629629629629</v>
      </c>
      <c r="AN610">
        <v>0.22695753086419751</v>
      </c>
      <c r="AO610">
        <v>0.35178417283950614</v>
      </c>
      <c r="AP610">
        <v>0</v>
      </c>
      <c r="AQ610">
        <v>8.6691086691086688E-2</v>
      </c>
      <c r="AR610">
        <v>2.6666666666666505E-3</v>
      </c>
      <c r="AS610">
        <v>0</v>
      </c>
      <c r="AT610">
        <v>1.0866910866910866</v>
      </c>
      <c r="AU610">
        <v>1.0026666666666666</v>
      </c>
      <c r="AV610">
        <v>1</v>
      </c>
      <c r="AW610">
        <v>0</v>
      </c>
      <c r="AX610" t="s">
        <v>1118</v>
      </c>
      <c r="AY610">
        <v>5.34</v>
      </c>
      <c r="AZ610">
        <v>0</v>
      </c>
      <c r="BA610" t="s">
        <v>94</v>
      </c>
      <c r="BB610">
        <v>1.21</v>
      </c>
      <c r="BC610" t="s">
        <v>95</v>
      </c>
      <c r="BD610" t="s">
        <v>96</v>
      </c>
      <c r="BE610" t="s">
        <v>97</v>
      </c>
      <c r="BF610">
        <v>1</v>
      </c>
      <c r="BG610">
        <v>0</v>
      </c>
      <c r="BH610">
        <v>0</v>
      </c>
      <c r="BI610" t="s">
        <v>98</v>
      </c>
    </row>
    <row r="611" spans="1:61">
      <c r="A611" s="164" t="s">
        <v>1697</v>
      </c>
      <c r="B611" t="s">
        <v>1698</v>
      </c>
      <c r="C611">
        <v>0</v>
      </c>
      <c r="D611" t="s">
        <v>181</v>
      </c>
      <c r="E611">
        <v>0</v>
      </c>
      <c r="F611" t="s">
        <v>181</v>
      </c>
      <c r="G611" t="s">
        <v>78</v>
      </c>
      <c r="H611" t="s">
        <v>79</v>
      </c>
      <c r="I611" t="s">
        <v>80</v>
      </c>
      <c r="J611" t="s">
        <v>163</v>
      </c>
      <c r="K611" t="s">
        <v>82</v>
      </c>
      <c r="L611" t="s">
        <v>83</v>
      </c>
      <c r="M611" t="s">
        <v>84</v>
      </c>
      <c r="N611">
        <v>0.2</v>
      </c>
      <c r="O611" t="b">
        <v>1</v>
      </c>
      <c r="P611">
        <v>90</v>
      </c>
      <c r="Q611" t="s">
        <v>137</v>
      </c>
      <c r="S611">
        <v>0.2</v>
      </c>
      <c r="T611">
        <v>1</v>
      </c>
      <c r="U611" s="36">
        <v>0.47434500000000002</v>
      </c>
      <c r="V611" t="s">
        <v>991</v>
      </c>
      <c r="W611">
        <v>8</v>
      </c>
      <c r="X611">
        <v>0</v>
      </c>
      <c r="Y611">
        <v>70</v>
      </c>
      <c r="AA611">
        <v>35</v>
      </c>
      <c r="AB611">
        <v>0</v>
      </c>
      <c r="AC611">
        <v>0</v>
      </c>
      <c r="AD611">
        <v>1600</v>
      </c>
      <c r="AE611" t="s">
        <v>1699</v>
      </c>
      <c r="AF611" t="s">
        <v>181</v>
      </c>
      <c r="AG611" t="s">
        <v>129</v>
      </c>
      <c r="AH611">
        <v>0</v>
      </c>
      <c r="AI611">
        <v>11</v>
      </c>
      <c r="AM611">
        <v>3.52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 t="s">
        <v>1700</v>
      </c>
      <c r="AZ611">
        <v>0</v>
      </c>
      <c r="BA611" t="s">
        <v>138</v>
      </c>
      <c r="BB611">
        <v>1.93</v>
      </c>
      <c r="BC611" t="s">
        <v>95</v>
      </c>
      <c r="BD611" t="s">
        <v>96</v>
      </c>
      <c r="BE611" t="s">
        <v>97</v>
      </c>
      <c r="BF611">
        <v>1</v>
      </c>
      <c r="BG611">
        <v>0</v>
      </c>
      <c r="BH611">
        <v>0</v>
      </c>
      <c r="BI611" t="s">
        <v>98</v>
      </c>
    </row>
    <row r="612" spans="1:61">
      <c r="A612" s="164" t="s">
        <v>1701</v>
      </c>
      <c r="B612" t="s">
        <v>1702</v>
      </c>
      <c r="C612">
        <v>0</v>
      </c>
      <c r="D612" t="s">
        <v>1553</v>
      </c>
      <c r="E612">
        <v>0</v>
      </c>
      <c r="F612" t="s">
        <v>120</v>
      </c>
      <c r="G612" t="s">
        <v>103</v>
      </c>
      <c r="H612" t="s">
        <v>104</v>
      </c>
      <c r="I612" t="s">
        <v>80</v>
      </c>
      <c r="J612" t="s">
        <v>81</v>
      </c>
      <c r="K612" t="s">
        <v>82</v>
      </c>
      <c r="L612" t="s">
        <v>83</v>
      </c>
      <c r="M612" t="s">
        <v>84</v>
      </c>
      <c r="N612">
        <v>0.5</v>
      </c>
      <c r="O612" t="b">
        <v>1</v>
      </c>
      <c r="P612">
        <v>45</v>
      </c>
      <c r="Q612" t="s">
        <v>85</v>
      </c>
      <c r="R612" t="s">
        <v>1126</v>
      </c>
      <c r="S612">
        <v>0.5</v>
      </c>
      <c r="T612">
        <v>1</v>
      </c>
      <c r="U612" s="36">
        <v>1.1306050000000001</v>
      </c>
      <c r="V612" t="s">
        <v>87</v>
      </c>
      <c r="W612">
        <v>0</v>
      </c>
      <c r="X612">
        <v>0</v>
      </c>
      <c r="Y612">
        <v>8</v>
      </c>
      <c r="Z612">
        <v>0</v>
      </c>
      <c r="AA612">
        <v>0</v>
      </c>
      <c r="AB612">
        <v>0</v>
      </c>
      <c r="AC612">
        <v>0</v>
      </c>
      <c r="AD612">
        <v>0</v>
      </c>
      <c r="AF612" t="s">
        <v>1554</v>
      </c>
      <c r="AG612" t="s">
        <v>1555</v>
      </c>
      <c r="AH612">
        <v>0</v>
      </c>
      <c r="AI612">
        <v>0.9</v>
      </c>
      <c r="AJ612" t="s">
        <v>91</v>
      </c>
      <c r="AL612" t="s">
        <v>93</v>
      </c>
      <c r="AM612">
        <v>0.52300000000000002</v>
      </c>
      <c r="AN612">
        <v>0</v>
      </c>
      <c r="AO612">
        <v>0.4</v>
      </c>
      <c r="AP612">
        <v>0</v>
      </c>
      <c r="AQ612">
        <v>8.6691086691086688E-2</v>
      </c>
      <c r="AR612">
        <v>0</v>
      </c>
      <c r="AS612">
        <v>0</v>
      </c>
      <c r="AT612">
        <v>1.0866910866910866</v>
      </c>
      <c r="AU612">
        <v>0</v>
      </c>
      <c r="AV612">
        <v>1</v>
      </c>
      <c r="AW612">
        <v>0</v>
      </c>
      <c r="AX612" t="s">
        <v>1703</v>
      </c>
      <c r="AY612">
        <v>23.299999999999997</v>
      </c>
      <c r="AZ612">
        <v>8</v>
      </c>
      <c r="BA612" t="s">
        <v>94</v>
      </c>
      <c r="BB612">
        <v>3.61</v>
      </c>
      <c r="BC612" t="s">
        <v>95</v>
      </c>
      <c r="BD612" t="s">
        <v>96</v>
      </c>
      <c r="BE612" t="s">
        <v>97</v>
      </c>
      <c r="BF612">
        <v>0</v>
      </c>
      <c r="BG612">
        <v>0</v>
      </c>
      <c r="BH612">
        <v>0</v>
      </c>
      <c r="BI612" t="s">
        <v>98</v>
      </c>
    </row>
    <row r="613" spans="1:61">
      <c r="A613" s="164" t="s">
        <v>1704</v>
      </c>
      <c r="B613" t="s">
        <v>1705</v>
      </c>
      <c r="C613">
        <v>0</v>
      </c>
      <c r="D613" t="s">
        <v>76</v>
      </c>
      <c r="E613">
        <v>0</v>
      </c>
      <c r="F613" t="s">
        <v>142</v>
      </c>
      <c r="G613" t="s">
        <v>103</v>
      </c>
      <c r="H613" t="s">
        <v>104</v>
      </c>
      <c r="I613" t="s">
        <v>80</v>
      </c>
      <c r="J613" t="s">
        <v>81</v>
      </c>
      <c r="K613" t="s">
        <v>82</v>
      </c>
      <c r="L613" t="s">
        <v>83</v>
      </c>
      <c r="M613" t="s">
        <v>84</v>
      </c>
      <c r="N613">
        <v>0.18</v>
      </c>
      <c r="O613" t="b">
        <v>1</v>
      </c>
      <c r="P613">
        <v>45</v>
      </c>
      <c r="Q613" t="s">
        <v>85</v>
      </c>
      <c r="R613" t="s">
        <v>86</v>
      </c>
      <c r="S613">
        <v>0.18</v>
      </c>
      <c r="T613">
        <v>1</v>
      </c>
      <c r="U613" s="36">
        <v>0.27265</v>
      </c>
      <c r="V613" t="s">
        <v>87</v>
      </c>
      <c r="W613">
        <v>125</v>
      </c>
      <c r="X613">
        <v>0.38897500000000002</v>
      </c>
      <c r="Y613">
        <v>108</v>
      </c>
      <c r="Z613">
        <v>9.2592592592592587E-3</v>
      </c>
      <c r="AA613">
        <v>30</v>
      </c>
      <c r="AB613">
        <v>0</v>
      </c>
      <c r="AC613">
        <v>500</v>
      </c>
      <c r="AD613">
        <v>2777.7777777777778</v>
      </c>
      <c r="AE613" t="s">
        <v>143</v>
      </c>
      <c r="AF613" t="s">
        <v>89</v>
      </c>
      <c r="AG613" t="s">
        <v>90</v>
      </c>
      <c r="AH613">
        <v>0</v>
      </c>
      <c r="AI613">
        <v>1</v>
      </c>
      <c r="AJ613" t="s">
        <v>91</v>
      </c>
      <c r="AK613" t="s">
        <v>92</v>
      </c>
      <c r="AL613" t="s">
        <v>93</v>
      </c>
      <c r="AM613">
        <v>0.98220000000000007</v>
      </c>
      <c r="AN613">
        <v>0</v>
      </c>
      <c r="AO613">
        <v>0</v>
      </c>
      <c r="AP613">
        <v>0</v>
      </c>
      <c r="AQ613">
        <v>8.6691086691086688E-2</v>
      </c>
      <c r="AR613">
        <v>2.6666666666666505E-3</v>
      </c>
      <c r="AS613">
        <v>0</v>
      </c>
      <c r="AT613">
        <v>1.0866910866910866</v>
      </c>
      <c r="AU613">
        <v>1.0026666666666666</v>
      </c>
      <c r="AV613">
        <v>1</v>
      </c>
      <c r="AW613">
        <v>0</v>
      </c>
      <c r="AX613" t="s">
        <v>1706</v>
      </c>
      <c r="AY613">
        <v>16.5</v>
      </c>
      <c r="AZ613">
        <v>0</v>
      </c>
      <c r="BA613" t="s">
        <v>94</v>
      </c>
      <c r="BB613">
        <v>0</v>
      </c>
      <c r="BC613" t="s">
        <v>95</v>
      </c>
      <c r="BD613" t="s">
        <v>96</v>
      </c>
      <c r="BE613" t="s">
        <v>97</v>
      </c>
      <c r="BF613">
        <v>0</v>
      </c>
      <c r="BG613">
        <v>0</v>
      </c>
      <c r="BH613">
        <v>0</v>
      </c>
      <c r="BI613" t="s">
        <v>98</v>
      </c>
    </row>
    <row r="614" spans="1:61">
      <c r="A614" s="164" t="s">
        <v>1707</v>
      </c>
      <c r="B614" t="s">
        <v>1708</v>
      </c>
      <c r="C614">
        <v>0</v>
      </c>
      <c r="D614" t="s">
        <v>101</v>
      </c>
      <c r="E614">
        <v>0</v>
      </c>
      <c r="F614" t="s">
        <v>102</v>
      </c>
      <c r="G614" t="s">
        <v>103</v>
      </c>
      <c r="H614" t="s">
        <v>104</v>
      </c>
      <c r="I614" t="s">
        <v>80</v>
      </c>
      <c r="J614" t="s">
        <v>109</v>
      </c>
      <c r="K614" t="s">
        <v>110</v>
      </c>
      <c r="L614" t="s">
        <v>111</v>
      </c>
      <c r="M614" t="s">
        <v>84</v>
      </c>
      <c r="N614">
        <v>0.16500000000000001</v>
      </c>
      <c r="O614" t="b">
        <v>0</v>
      </c>
      <c r="P614">
        <v>45</v>
      </c>
      <c r="Q614" t="s">
        <v>85</v>
      </c>
      <c r="S614">
        <v>0.14499999999999999</v>
      </c>
      <c r="T614">
        <v>0.87878787878787867</v>
      </c>
      <c r="V614" t="s">
        <v>87</v>
      </c>
      <c r="W614">
        <v>0</v>
      </c>
      <c r="X614">
        <v>0.45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88</v>
      </c>
      <c r="AF614" t="s">
        <v>513</v>
      </c>
      <c r="AG614" t="s">
        <v>129</v>
      </c>
      <c r="AH614">
        <v>0</v>
      </c>
      <c r="AI614">
        <v>0</v>
      </c>
      <c r="AJ614" t="s">
        <v>91</v>
      </c>
      <c r="AK614" t="s">
        <v>92</v>
      </c>
      <c r="AL614" t="s">
        <v>93</v>
      </c>
      <c r="AM614">
        <v>0.33631111111111106</v>
      </c>
      <c r="AN614">
        <v>0.22420740740740738</v>
      </c>
      <c r="AO614">
        <v>0.34752148148148143</v>
      </c>
      <c r="AP614">
        <v>0</v>
      </c>
      <c r="AQ614">
        <v>8.6691086691086688E-2</v>
      </c>
      <c r="AR614">
        <v>2.6666666666666505E-3</v>
      </c>
      <c r="AS614">
        <v>0</v>
      </c>
      <c r="AT614">
        <v>1.0866910866910866</v>
      </c>
      <c r="AU614">
        <v>1.0026666666666666</v>
      </c>
      <c r="AV614">
        <v>1</v>
      </c>
      <c r="AY614">
        <v>0</v>
      </c>
      <c r="AZ614">
        <v>1</v>
      </c>
      <c r="BA614" t="s">
        <v>94</v>
      </c>
      <c r="BB614">
        <v>0</v>
      </c>
      <c r="BC614" t="s">
        <v>115</v>
      </c>
      <c r="BD614" t="s">
        <v>116</v>
      </c>
      <c r="BE614" t="s">
        <v>117</v>
      </c>
      <c r="BF614">
        <v>0</v>
      </c>
      <c r="BG614">
        <v>0</v>
      </c>
      <c r="BH614">
        <v>0</v>
      </c>
      <c r="BI614" t="s">
        <v>98</v>
      </c>
    </row>
    <row r="615" spans="1:61">
      <c r="A615" s="164" t="s">
        <v>1709</v>
      </c>
      <c r="B615" t="s">
        <v>1710</v>
      </c>
      <c r="C615">
        <v>0</v>
      </c>
      <c r="D615" t="s">
        <v>107</v>
      </c>
      <c r="E615">
        <v>0</v>
      </c>
      <c r="F615" t="s">
        <v>499</v>
      </c>
      <c r="G615" t="s">
        <v>103</v>
      </c>
      <c r="H615" t="s">
        <v>104</v>
      </c>
      <c r="I615" t="s">
        <v>80</v>
      </c>
      <c r="J615" t="s">
        <v>81</v>
      </c>
      <c r="K615" t="s">
        <v>82</v>
      </c>
      <c r="L615" t="s">
        <v>83</v>
      </c>
      <c r="M615" t="s">
        <v>84</v>
      </c>
      <c r="N615">
        <v>0.12</v>
      </c>
      <c r="O615" t="b">
        <v>0</v>
      </c>
      <c r="P615">
        <v>45</v>
      </c>
      <c r="Q615" t="s">
        <v>85</v>
      </c>
      <c r="S615">
        <v>0</v>
      </c>
      <c r="T615">
        <v>1</v>
      </c>
      <c r="V615" t="s">
        <v>87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G615" t="s">
        <v>129</v>
      </c>
      <c r="AH615">
        <v>0</v>
      </c>
      <c r="AI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 t="s">
        <v>1711</v>
      </c>
      <c r="AY615">
        <v>0</v>
      </c>
      <c r="AZ615">
        <v>9</v>
      </c>
      <c r="BA615" t="s">
        <v>94</v>
      </c>
      <c r="BB615">
        <v>0</v>
      </c>
      <c r="BC615" t="s">
        <v>95</v>
      </c>
      <c r="BD615" t="s">
        <v>96</v>
      </c>
      <c r="BE615" t="s">
        <v>97</v>
      </c>
      <c r="BF615">
        <v>0</v>
      </c>
      <c r="BG615">
        <v>0</v>
      </c>
      <c r="BH615">
        <v>0</v>
      </c>
      <c r="BI615" t="s">
        <v>98</v>
      </c>
    </row>
    <row r="616" spans="1:61">
      <c r="A616" s="164" t="s">
        <v>1712</v>
      </c>
      <c r="B616" t="s">
        <v>1713</v>
      </c>
      <c r="C616">
        <v>0</v>
      </c>
      <c r="D616" t="s">
        <v>147</v>
      </c>
      <c r="E616">
        <v>0</v>
      </c>
      <c r="F616" t="s">
        <v>773</v>
      </c>
      <c r="G616" t="s">
        <v>78</v>
      </c>
      <c r="H616" t="s">
        <v>79</v>
      </c>
      <c r="I616" t="s">
        <v>80</v>
      </c>
      <c r="J616" t="s">
        <v>774</v>
      </c>
      <c r="K616" t="s">
        <v>775</v>
      </c>
      <c r="L616" t="s">
        <v>83</v>
      </c>
      <c r="M616" t="s">
        <v>84</v>
      </c>
      <c r="N616">
        <v>0.6</v>
      </c>
      <c r="O616" t="b">
        <v>1</v>
      </c>
      <c r="P616">
        <v>45</v>
      </c>
      <c r="Q616" t="s">
        <v>85</v>
      </c>
      <c r="R616" t="s">
        <v>86</v>
      </c>
      <c r="S616">
        <v>0.6</v>
      </c>
      <c r="T616">
        <v>1</v>
      </c>
      <c r="U616" s="36">
        <v>1.0306549999999999</v>
      </c>
      <c r="V616" t="s">
        <v>87</v>
      </c>
      <c r="W616">
        <v>0</v>
      </c>
      <c r="X616">
        <v>0</v>
      </c>
      <c r="Y616">
        <v>8</v>
      </c>
      <c r="Z616">
        <v>0.125</v>
      </c>
      <c r="AA616">
        <v>30</v>
      </c>
      <c r="AB616">
        <v>0</v>
      </c>
      <c r="AC616">
        <v>0</v>
      </c>
      <c r="AD616">
        <v>0</v>
      </c>
      <c r="AG616" t="s">
        <v>129</v>
      </c>
      <c r="AH616">
        <v>0</v>
      </c>
      <c r="AI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 t="s">
        <v>1714</v>
      </c>
      <c r="AY616">
        <v>4.2</v>
      </c>
      <c r="AZ616">
        <v>0</v>
      </c>
      <c r="BA616" t="s">
        <v>94</v>
      </c>
      <c r="BB616">
        <v>2.77</v>
      </c>
      <c r="BC616" t="s">
        <v>95</v>
      </c>
      <c r="BD616" t="s">
        <v>139</v>
      </c>
      <c r="BE616" t="s">
        <v>97</v>
      </c>
      <c r="BF616">
        <v>1</v>
      </c>
      <c r="BG616">
        <v>0</v>
      </c>
      <c r="BH616">
        <v>0</v>
      </c>
      <c r="BI616" t="s">
        <v>98</v>
      </c>
    </row>
    <row r="617" spans="1:61">
      <c r="A617" s="164" t="s">
        <v>1715</v>
      </c>
      <c r="B617" t="s">
        <v>1716</v>
      </c>
      <c r="C617">
        <v>0</v>
      </c>
      <c r="D617" t="s">
        <v>76</v>
      </c>
      <c r="E617">
        <v>0</v>
      </c>
      <c r="F617" t="s">
        <v>972</v>
      </c>
      <c r="G617" t="s">
        <v>78</v>
      </c>
      <c r="H617" t="s">
        <v>79</v>
      </c>
      <c r="I617" t="s">
        <v>80</v>
      </c>
      <c r="J617" t="s">
        <v>81</v>
      </c>
      <c r="K617" t="s">
        <v>82</v>
      </c>
      <c r="L617" t="s">
        <v>83</v>
      </c>
      <c r="M617" t="s">
        <v>84</v>
      </c>
      <c r="N617">
        <v>1.67</v>
      </c>
      <c r="O617" t="b">
        <v>1</v>
      </c>
      <c r="P617">
        <v>45</v>
      </c>
      <c r="Q617" t="s">
        <v>85</v>
      </c>
      <c r="R617" t="s">
        <v>86</v>
      </c>
      <c r="S617">
        <v>1.67</v>
      </c>
      <c r="T617">
        <v>1</v>
      </c>
      <c r="U617" s="36">
        <v>2.4125399999999999</v>
      </c>
      <c r="V617" t="s">
        <v>87</v>
      </c>
      <c r="W617">
        <v>125</v>
      </c>
      <c r="X617">
        <v>0.45019999999999999</v>
      </c>
      <c r="Y617">
        <v>12</v>
      </c>
      <c r="Z617">
        <v>8.3333333333333329E-2</v>
      </c>
      <c r="AA617">
        <v>30</v>
      </c>
      <c r="AB617">
        <v>0</v>
      </c>
      <c r="AC617">
        <v>540</v>
      </c>
      <c r="AD617">
        <v>323.35329341317367</v>
      </c>
      <c r="AE617" t="s">
        <v>155</v>
      </c>
      <c r="AF617" t="s">
        <v>89</v>
      </c>
      <c r="AG617" t="s">
        <v>90</v>
      </c>
      <c r="AH617">
        <v>0</v>
      </c>
      <c r="AI617">
        <v>1</v>
      </c>
      <c r="AJ617" t="s">
        <v>91</v>
      </c>
      <c r="AK617" t="s">
        <v>92</v>
      </c>
      <c r="AL617" t="s">
        <v>93</v>
      </c>
      <c r="AM617">
        <v>0.98220000000000007</v>
      </c>
      <c r="AN617">
        <v>0</v>
      </c>
      <c r="AO617">
        <v>0</v>
      </c>
      <c r="AP617">
        <v>0</v>
      </c>
      <c r="AQ617">
        <v>8.6691086691086688E-2</v>
      </c>
      <c r="AR617">
        <v>2.6666666666666505E-3</v>
      </c>
      <c r="AS617">
        <v>0</v>
      </c>
      <c r="AT617">
        <v>1.0866910866910866</v>
      </c>
      <c r="AU617">
        <v>1.0026666666666666</v>
      </c>
      <c r="AV617">
        <v>1</v>
      </c>
      <c r="AW617">
        <v>0</v>
      </c>
      <c r="AX617" t="s">
        <v>1717</v>
      </c>
      <c r="AY617">
        <v>89.4</v>
      </c>
      <c r="AZ617">
        <v>0</v>
      </c>
      <c r="BA617" t="s">
        <v>94</v>
      </c>
      <c r="BB617">
        <v>5.08</v>
      </c>
      <c r="BC617" t="s">
        <v>95</v>
      </c>
      <c r="BD617" t="s">
        <v>96</v>
      </c>
      <c r="BE617" t="s">
        <v>97</v>
      </c>
      <c r="BF617">
        <v>1</v>
      </c>
      <c r="BG617">
        <v>0</v>
      </c>
      <c r="BH617">
        <v>0</v>
      </c>
      <c r="BI617" t="s">
        <v>98</v>
      </c>
    </row>
    <row r="618" spans="1:61">
      <c r="A618" s="164" t="s">
        <v>1718</v>
      </c>
      <c r="B618" t="s">
        <v>1719</v>
      </c>
      <c r="C618">
        <v>0</v>
      </c>
      <c r="D618" t="s">
        <v>133</v>
      </c>
      <c r="E618">
        <v>0</v>
      </c>
      <c r="F618" t="s">
        <v>995</v>
      </c>
      <c r="G618" t="s">
        <v>78</v>
      </c>
      <c r="H618" t="s">
        <v>79</v>
      </c>
      <c r="I618" t="s">
        <v>80</v>
      </c>
      <c r="J618" t="s">
        <v>163</v>
      </c>
      <c r="K618" t="s">
        <v>82</v>
      </c>
      <c r="L618" t="s">
        <v>83</v>
      </c>
      <c r="M618" t="s">
        <v>84</v>
      </c>
      <c r="N618">
        <v>3.5</v>
      </c>
      <c r="O618" t="b">
        <v>1</v>
      </c>
      <c r="P618">
        <v>30</v>
      </c>
      <c r="Q618" t="s">
        <v>137</v>
      </c>
      <c r="S618">
        <v>3.5</v>
      </c>
      <c r="T618">
        <v>1</v>
      </c>
      <c r="U618" s="36">
        <v>6.7329100000000004</v>
      </c>
      <c r="V618" t="s">
        <v>991</v>
      </c>
      <c r="W618">
        <v>3</v>
      </c>
      <c r="X618">
        <v>0</v>
      </c>
      <c r="Y618">
        <v>6</v>
      </c>
      <c r="Z618">
        <v>0.16666666666666666</v>
      </c>
      <c r="AA618">
        <v>25</v>
      </c>
      <c r="AB618">
        <v>0</v>
      </c>
      <c r="AC618">
        <v>0</v>
      </c>
      <c r="AD618">
        <v>250</v>
      </c>
      <c r="AE618" t="s">
        <v>996</v>
      </c>
      <c r="AF618" t="s">
        <v>995</v>
      </c>
      <c r="AG618" t="s">
        <v>129</v>
      </c>
      <c r="AH618">
        <v>0</v>
      </c>
      <c r="AI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 t="s">
        <v>1720</v>
      </c>
      <c r="AY618">
        <v>38.01</v>
      </c>
      <c r="AZ618">
        <v>0</v>
      </c>
      <c r="BA618" t="s">
        <v>138</v>
      </c>
      <c r="BB618">
        <v>12.88</v>
      </c>
      <c r="BC618" t="s">
        <v>95</v>
      </c>
      <c r="BD618" t="s">
        <v>96</v>
      </c>
      <c r="BE618" t="s">
        <v>97</v>
      </c>
      <c r="BF618">
        <v>1</v>
      </c>
      <c r="BG618">
        <v>0</v>
      </c>
      <c r="BH618">
        <v>0</v>
      </c>
      <c r="BI618" t="s">
        <v>98</v>
      </c>
    </row>
    <row r="619" spans="1:61">
      <c r="A619" s="164" t="s">
        <v>1721</v>
      </c>
      <c r="B619" t="s">
        <v>1722</v>
      </c>
      <c r="C619">
        <v>0</v>
      </c>
      <c r="D619" t="s">
        <v>101</v>
      </c>
      <c r="E619">
        <v>0</v>
      </c>
      <c r="F619" t="s">
        <v>1723</v>
      </c>
      <c r="G619" t="s">
        <v>103</v>
      </c>
      <c r="H619" t="s">
        <v>104</v>
      </c>
      <c r="I619" t="s">
        <v>80</v>
      </c>
      <c r="J619" t="s">
        <v>81</v>
      </c>
      <c r="K619" t="s">
        <v>82</v>
      </c>
      <c r="L619" t="s">
        <v>83</v>
      </c>
      <c r="M619" t="s">
        <v>84</v>
      </c>
      <c r="N619">
        <v>0.78</v>
      </c>
      <c r="O619" t="b">
        <v>0</v>
      </c>
      <c r="P619">
        <v>45</v>
      </c>
      <c r="Q619" t="s">
        <v>85</v>
      </c>
      <c r="S619">
        <v>0.78</v>
      </c>
      <c r="T619">
        <v>1</v>
      </c>
      <c r="U619" s="36">
        <v>1.91798</v>
      </c>
      <c r="V619" t="s">
        <v>87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H619">
        <v>0</v>
      </c>
      <c r="AI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Y619">
        <v>0</v>
      </c>
      <c r="AZ619">
        <v>7</v>
      </c>
      <c r="BA619" t="s">
        <v>94</v>
      </c>
      <c r="BB619">
        <v>0</v>
      </c>
      <c r="BC619" t="s">
        <v>95</v>
      </c>
      <c r="BD619" t="s">
        <v>139</v>
      </c>
      <c r="BE619" t="s">
        <v>97</v>
      </c>
      <c r="BF619">
        <v>0</v>
      </c>
      <c r="BG619">
        <v>0</v>
      </c>
      <c r="BH619">
        <v>0</v>
      </c>
      <c r="BI619" t="s">
        <v>98</v>
      </c>
    </row>
    <row r="620" spans="1:61">
      <c r="A620" s="164" t="s">
        <v>1724</v>
      </c>
      <c r="B620" t="s">
        <v>1725</v>
      </c>
      <c r="C620">
        <v>0</v>
      </c>
      <c r="D620" t="s">
        <v>186</v>
      </c>
      <c r="E620">
        <v>0</v>
      </c>
      <c r="F620" t="s">
        <v>186</v>
      </c>
      <c r="G620" t="s">
        <v>103</v>
      </c>
      <c r="H620" t="s">
        <v>104</v>
      </c>
      <c r="I620" t="s">
        <v>80</v>
      </c>
      <c r="J620" t="s">
        <v>109</v>
      </c>
      <c r="K620" t="s">
        <v>110</v>
      </c>
      <c r="L620" t="s">
        <v>111</v>
      </c>
      <c r="M620" t="s">
        <v>84</v>
      </c>
      <c r="N620">
        <v>1.75</v>
      </c>
      <c r="O620" t="b">
        <v>0</v>
      </c>
      <c r="P620">
        <v>180</v>
      </c>
      <c r="Q620" t="s">
        <v>188</v>
      </c>
      <c r="S620">
        <v>0</v>
      </c>
      <c r="T620">
        <v>0</v>
      </c>
      <c r="V620" t="s">
        <v>189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F620" t="s">
        <v>1726</v>
      </c>
      <c r="AH620">
        <v>0</v>
      </c>
      <c r="AI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 t="s">
        <v>1727</v>
      </c>
      <c r="AY620">
        <v>0</v>
      </c>
      <c r="AZ620">
        <v>0</v>
      </c>
      <c r="BA620" t="s">
        <v>94</v>
      </c>
      <c r="BB620">
        <v>1.57</v>
      </c>
      <c r="BC620" t="s">
        <v>115</v>
      </c>
      <c r="BD620" t="s">
        <v>116</v>
      </c>
      <c r="BE620" t="s">
        <v>117</v>
      </c>
      <c r="BF620">
        <v>0</v>
      </c>
      <c r="BG620">
        <v>0</v>
      </c>
      <c r="BH620">
        <v>0</v>
      </c>
      <c r="BI620" t="s">
        <v>98</v>
      </c>
    </row>
    <row r="621" spans="1:61">
      <c r="A621" s="164" t="s">
        <v>1728</v>
      </c>
      <c r="B621" t="s">
        <v>1729</v>
      </c>
      <c r="C621">
        <v>0</v>
      </c>
      <c r="D621" t="s">
        <v>107</v>
      </c>
      <c r="E621">
        <v>0</v>
      </c>
      <c r="F621" t="s">
        <v>1730</v>
      </c>
      <c r="G621" t="s">
        <v>78</v>
      </c>
      <c r="H621" t="s">
        <v>79</v>
      </c>
      <c r="I621" t="s">
        <v>80</v>
      </c>
      <c r="J621" t="s">
        <v>81</v>
      </c>
      <c r="K621" t="s">
        <v>82</v>
      </c>
      <c r="L621" t="s">
        <v>83</v>
      </c>
      <c r="M621" t="s">
        <v>84</v>
      </c>
      <c r="N621">
        <v>0.95</v>
      </c>
      <c r="O621" t="b">
        <v>1</v>
      </c>
      <c r="P621">
        <v>45</v>
      </c>
      <c r="Q621" t="s">
        <v>85</v>
      </c>
      <c r="R621" t="s">
        <v>86</v>
      </c>
      <c r="S621">
        <v>0.95</v>
      </c>
      <c r="T621">
        <v>1</v>
      </c>
      <c r="U621" s="36">
        <v>1.09108</v>
      </c>
      <c r="V621" t="s">
        <v>87</v>
      </c>
      <c r="W621">
        <v>24</v>
      </c>
      <c r="X621">
        <v>0.45019999999999999</v>
      </c>
      <c r="Y621">
        <v>18</v>
      </c>
      <c r="Z621">
        <v>5.5555555555555552E-2</v>
      </c>
      <c r="AA621">
        <v>30</v>
      </c>
      <c r="AB621">
        <v>0</v>
      </c>
      <c r="AC621">
        <v>500</v>
      </c>
      <c r="AD621">
        <v>526.31578947368428</v>
      </c>
      <c r="AE621" t="s">
        <v>155</v>
      </c>
      <c r="AF621" t="s">
        <v>113</v>
      </c>
      <c r="AG621" t="s">
        <v>114</v>
      </c>
      <c r="AH621">
        <v>0</v>
      </c>
      <c r="AI621">
        <v>0.9</v>
      </c>
      <c r="AJ621" t="s">
        <v>91</v>
      </c>
      <c r="AK621" t="s">
        <v>92</v>
      </c>
      <c r="AL621" t="s">
        <v>93</v>
      </c>
      <c r="AM621">
        <v>0.34043629629629629</v>
      </c>
      <c r="AN621">
        <v>0.22695753086419751</v>
      </c>
      <c r="AO621">
        <v>0.35178417283950614</v>
      </c>
      <c r="AP621">
        <v>0</v>
      </c>
      <c r="AQ621">
        <v>8.6691086691086688E-2</v>
      </c>
      <c r="AR621">
        <v>2.6666666666666505E-3</v>
      </c>
      <c r="AS621">
        <v>0</v>
      </c>
      <c r="AT621">
        <v>1.0866910866910866</v>
      </c>
      <c r="AU621">
        <v>1.0026666666666666</v>
      </c>
      <c r="AV621">
        <v>1</v>
      </c>
      <c r="AW621">
        <v>0</v>
      </c>
      <c r="AX621" t="s">
        <v>1731</v>
      </c>
      <c r="AY621">
        <v>53.4</v>
      </c>
      <c r="AZ621">
        <v>0</v>
      </c>
      <c r="BA621" t="s">
        <v>94</v>
      </c>
      <c r="BB621">
        <v>2.87</v>
      </c>
      <c r="BC621" t="s">
        <v>95</v>
      </c>
      <c r="BD621" t="s">
        <v>96</v>
      </c>
      <c r="BE621" t="s">
        <v>97</v>
      </c>
      <c r="BF621">
        <v>1</v>
      </c>
      <c r="BG621">
        <v>0</v>
      </c>
      <c r="BH621">
        <v>0</v>
      </c>
      <c r="BI621" t="s">
        <v>98</v>
      </c>
    </row>
    <row r="622" spans="1:61">
      <c r="A622" s="164" t="s">
        <v>1732</v>
      </c>
      <c r="B622" t="s">
        <v>1733</v>
      </c>
      <c r="C622">
        <v>0</v>
      </c>
      <c r="D622" t="s">
        <v>479</v>
      </c>
      <c r="E622">
        <v>0</v>
      </c>
      <c r="F622" t="s">
        <v>480</v>
      </c>
      <c r="G622" t="s">
        <v>103</v>
      </c>
      <c r="H622" t="s">
        <v>104</v>
      </c>
      <c r="I622" t="s">
        <v>80</v>
      </c>
      <c r="J622" t="s">
        <v>467</v>
      </c>
      <c r="K622" t="s">
        <v>468</v>
      </c>
      <c r="L622" t="s">
        <v>111</v>
      </c>
      <c r="M622" t="s">
        <v>84</v>
      </c>
      <c r="N622">
        <v>3.34</v>
      </c>
      <c r="O622" t="b">
        <v>0</v>
      </c>
      <c r="P622">
        <v>45</v>
      </c>
      <c r="Q622" t="s">
        <v>479</v>
      </c>
      <c r="S622">
        <v>3.34</v>
      </c>
      <c r="T622">
        <v>1</v>
      </c>
      <c r="V622" t="s">
        <v>87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H622">
        <v>0</v>
      </c>
      <c r="AI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Y622">
        <v>0</v>
      </c>
      <c r="AZ622">
        <v>7</v>
      </c>
      <c r="BA622" t="s">
        <v>138</v>
      </c>
      <c r="BB622">
        <v>0</v>
      </c>
      <c r="BC622" t="s">
        <v>95</v>
      </c>
      <c r="BD622" t="s">
        <v>139</v>
      </c>
      <c r="BE622" t="s">
        <v>97</v>
      </c>
      <c r="BF622">
        <v>0</v>
      </c>
      <c r="BG622">
        <v>0</v>
      </c>
      <c r="BH622">
        <v>0</v>
      </c>
      <c r="BI622" t="s">
        <v>98</v>
      </c>
    </row>
    <row r="623" spans="1:61">
      <c r="A623" s="164" t="s">
        <v>1734</v>
      </c>
      <c r="B623" t="s">
        <v>1735</v>
      </c>
      <c r="C623">
        <v>0</v>
      </c>
      <c r="D623" t="s">
        <v>479</v>
      </c>
      <c r="E623">
        <v>0</v>
      </c>
      <c r="F623" t="s">
        <v>480</v>
      </c>
      <c r="G623" t="s">
        <v>103</v>
      </c>
      <c r="H623" t="s">
        <v>104</v>
      </c>
      <c r="I623" t="s">
        <v>80</v>
      </c>
      <c r="J623" t="s">
        <v>467</v>
      </c>
      <c r="K623" t="s">
        <v>468</v>
      </c>
      <c r="L623" t="s">
        <v>111</v>
      </c>
      <c r="M623" t="s">
        <v>84</v>
      </c>
      <c r="N623">
        <v>0.81899999999999995</v>
      </c>
      <c r="O623" t="b">
        <v>0</v>
      </c>
      <c r="P623">
        <v>45</v>
      </c>
      <c r="Q623" t="s">
        <v>479</v>
      </c>
      <c r="S623">
        <v>0</v>
      </c>
      <c r="T623">
        <v>1</v>
      </c>
      <c r="U623" s="36">
        <v>1.5386600000000001</v>
      </c>
      <c r="V623" t="s">
        <v>468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G623" t="s">
        <v>129</v>
      </c>
      <c r="AH623">
        <v>0</v>
      </c>
      <c r="AI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 t="s">
        <v>1736</v>
      </c>
      <c r="AY623">
        <v>0</v>
      </c>
      <c r="AZ623">
        <v>9</v>
      </c>
      <c r="BA623" t="s">
        <v>138</v>
      </c>
      <c r="BB623">
        <v>0</v>
      </c>
      <c r="BC623" t="s">
        <v>95</v>
      </c>
      <c r="BD623" t="s">
        <v>469</v>
      </c>
      <c r="BE623" t="s">
        <v>97</v>
      </c>
      <c r="BF623">
        <v>0</v>
      </c>
      <c r="BG623">
        <v>0</v>
      </c>
      <c r="BH623">
        <v>0</v>
      </c>
      <c r="BI623" t="s">
        <v>98</v>
      </c>
    </row>
    <row r="624" spans="1:61">
      <c r="A624" s="164" t="s">
        <v>1737</v>
      </c>
      <c r="B624" t="s">
        <v>1738</v>
      </c>
      <c r="C624">
        <v>0</v>
      </c>
      <c r="D624" t="s">
        <v>486</v>
      </c>
      <c r="E624">
        <v>0</v>
      </c>
      <c r="F624" t="s">
        <v>1138</v>
      </c>
      <c r="G624" t="s">
        <v>78</v>
      </c>
      <c r="H624" t="s">
        <v>79</v>
      </c>
      <c r="I624" t="s">
        <v>80</v>
      </c>
      <c r="J624" t="s">
        <v>163</v>
      </c>
      <c r="K624" t="s">
        <v>82</v>
      </c>
      <c r="L624" t="s">
        <v>83</v>
      </c>
      <c r="M624" t="s">
        <v>84</v>
      </c>
      <c r="N624">
        <v>7.4999999999999997E-2</v>
      </c>
      <c r="O624" t="b">
        <v>1</v>
      </c>
      <c r="P624">
        <v>90</v>
      </c>
      <c r="Q624" t="s">
        <v>137</v>
      </c>
      <c r="S624">
        <v>0</v>
      </c>
      <c r="T624">
        <v>1</v>
      </c>
      <c r="U624" s="36">
        <v>0.60429999999999995</v>
      </c>
      <c r="V624" t="s">
        <v>165</v>
      </c>
      <c r="X624">
        <v>0</v>
      </c>
      <c r="Y624">
        <v>240</v>
      </c>
      <c r="Z624">
        <v>0</v>
      </c>
      <c r="AA624">
        <v>35</v>
      </c>
      <c r="AB624">
        <v>0</v>
      </c>
      <c r="AC624">
        <v>0</v>
      </c>
      <c r="AE624" t="s">
        <v>129</v>
      </c>
      <c r="AF624" t="s">
        <v>1138</v>
      </c>
      <c r="AH624">
        <v>0</v>
      </c>
      <c r="AI624">
        <v>9.9</v>
      </c>
      <c r="AM624">
        <v>0</v>
      </c>
      <c r="AN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X624" t="s">
        <v>1550</v>
      </c>
      <c r="AY624">
        <v>2.2313999999999998</v>
      </c>
      <c r="AZ624">
        <v>5</v>
      </c>
      <c r="BA624" t="s">
        <v>138</v>
      </c>
      <c r="BB624">
        <v>0</v>
      </c>
      <c r="BC624" t="s">
        <v>95</v>
      </c>
      <c r="BD624" t="s">
        <v>96</v>
      </c>
      <c r="BE624" t="s">
        <v>97</v>
      </c>
      <c r="BF624">
        <v>1</v>
      </c>
      <c r="BG624">
        <v>0</v>
      </c>
      <c r="BH624">
        <v>0</v>
      </c>
      <c r="BI624" t="s">
        <v>98</v>
      </c>
    </row>
    <row r="625" spans="1:61">
      <c r="A625" s="164" t="s">
        <v>1739</v>
      </c>
      <c r="B625" t="s">
        <v>1740</v>
      </c>
      <c r="C625">
        <v>0</v>
      </c>
      <c r="D625" t="s">
        <v>186</v>
      </c>
      <c r="E625">
        <v>0</v>
      </c>
      <c r="F625" t="s">
        <v>186</v>
      </c>
      <c r="G625" t="s">
        <v>487</v>
      </c>
      <c r="H625" t="s">
        <v>117</v>
      </c>
      <c r="I625" t="s">
        <v>80</v>
      </c>
      <c r="J625" t="s">
        <v>163</v>
      </c>
      <c r="K625" t="s">
        <v>82</v>
      </c>
      <c r="L625" t="s">
        <v>83</v>
      </c>
      <c r="M625" t="s">
        <v>84</v>
      </c>
      <c r="N625">
        <v>0.25</v>
      </c>
      <c r="O625" t="b">
        <v>1</v>
      </c>
      <c r="P625">
        <v>180</v>
      </c>
      <c r="Q625" t="s">
        <v>188</v>
      </c>
      <c r="S625">
        <v>0.25</v>
      </c>
      <c r="T625">
        <v>1</v>
      </c>
      <c r="V625" t="s">
        <v>189</v>
      </c>
      <c r="X625">
        <v>0</v>
      </c>
      <c r="Z625">
        <v>1.8518518518518517E-2</v>
      </c>
      <c r="AB625">
        <v>0</v>
      </c>
      <c r="AC625">
        <v>0</v>
      </c>
      <c r="AE625" t="s">
        <v>129</v>
      </c>
      <c r="AF625" t="s">
        <v>186</v>
      </c>
      <c r="AG625" t="s">
        <v>129</v>
      </c>
      <c r="AH625">
        <v>0</v>
      </c>
      <c r="AI625">
        <v>2.6</v>
      </c>
      <c r="AJ625" t="s">
        <v>167</v>
      </c>
      <c r="AM625">
        <v>3.2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 t="s">
        <v>678</v>
      </c>
      <c r="AY625">
        <v>17.229999999999997</v>
      </c>
      <c r="AZ625">
        <v>0</v>
      </c>
      <c r="BA625" t="s">
        <v>94</v>
      </c>
      <c r="BB625">
        <v>0</v>
      </c>
      <c r="BC625" t="s">
        <v>488</v>
      </c>
      <c r="BD625" t="s">
        <v>489</v>
      </c>
      <c r="BE625" t="s">
        <v>97</v>
      </c>
      <c r="BF625">
        <v>1</v>
      </c>
      <c r="BG625">
        <v>0</v>
      </c>
      <c r="BH625">
        <v>0</v>
      </c>
      <c r="BI625" t="s">
        <v>98</v>
      </c>
    </row>
    <row r="626" spans="1:61">
      <c r="A626" s="164" t="s">
        <v>1741</v>
      </c>
      <c r="B626" t="s">
        <v>1742</v>
      </c>
      <c r="C626">
        <v>0</v>
      </c>
      <c r="D626" t="s">
        <v>486</v>
      </c>
      <c r="E626">
        <v>0</v>
      </c>
      <c r="F626" t="s">
        <v>1743</v>
      </c>
      <c r="G626" t="s">
        <v>487</v>
      </c>
      <c r="H626" t="s">
        <v>117</v>
      </c>
      <c r="I626" t="s">
        <v>80</v>
      </c>
      <c r="J626" t="s">
        <v>163</v>
      </c>
      <c r="K626" t="s">
        <v>82</v>
      </c>
      <c r="L626" t="s">
        <v>83</v>
      </c>
      <c r="M626" t="s">
        <v>84</v>
      </c>
      <c r="N626">
        <v>0.05</v>
      </c>
      <c r="O626" t="b">
        <v>1</v>
      </c>
      <c r="P626">
        <v>180</v>
      </c>
      <c r="Q626" t="s">
        <v>137</v>
      </c>
      <c r="S626">
        <v>0.04</v>
      </c>
      <c r="T626">
        <v>1</v>
      </c>
      <c r="V626" t="s">
        <v>165</v>
      </c>
      <c r="X626">
        <v>0</v>
      </c>
      <c r="Z626">
        <v>6.6666666666666671E-3</v>
      </c>
      <c r="AB626">
        <v>0</v>
      </c>
      <c r="AC626">
        <v>0</v>
      </c>
      <c r="AE626" t="s">
        <v>129</v>
      </c>
      <c r="AF626" t="s">
        <v>1743</v>
      </c>
      <c r="AG626" t="s">
        <v>129</v>
      </c>
      <c r="AH626">
        <v>0</v>
      </c>
      <c r="AI626">
        <v>0</v>
      </c>
      <c r="AJ626" t="s">
        <v>177</v>
      </c>
      <c r="AM626">
        <v>13.87</v>
      </c>
      <c r="AN626">
        <v>0</v>
      </c>
      <c r="AO626">
        <v>0</v>
      </c>
      <c r="AP626">
        <v>0</v>
      </c>
      <c r="AQ626">
        <v>2.8571428571428564E-2</v>
      </c>
      <c r="AR626">
        <v>0</v>
      </c>
      <c r="AS626">
        <v>0</v>
      </c>
      <c r="AT626">
        <v>1.0285714285714285</v>
      </c>
      <c r="AU626">
        <v>0</v>
      </c>
      <c r="AV626">
        <v>0</v>
      </c>
      <c r="AW626">
        <v>0</v>
      </c>
      <c r="AX626" t="s">
        <v>1744</v>
      </c>
      <c r="AY626">
        <v>2.48</v>
      </c>
      <c r="AZ626">
        <v>0</v>
      </c>
      <c r="BA626" t="s">
        <v>138</v>
      </c>
      <c r="BB626">
        <v>0</v>
      </c>
      <c r="BC626" t="s">
        <v>488</v>
      </c>
      <c r="BD626" t="s">
        <v>489</v>
      </c>
      <c r="BE626" t="s">
        <v>97</v>
      </c>
      <c r="BF626">
        <v>1</v>
      </c>
      <c r="BG626">
        <v>0</v>
      </c>
      <c r="BH626">
        <v>0</v>
      </c>
      <c r="BI626" t="s">
        <v>98</v>
      </c>
    </row>
    <row r="627" spans="1:61">
      <c r="A627" s="164" t="s">
        <v>1745</v>
      </c>
      <c r="B627" t="s">
        <v>1746</v>
      </c>
      <c r="C627">
        <v>0</v>
      </c>
      <c r="D627" t="s">
        <v>486</v>
      </c>
      <c r="E627">
        <v>0</v>
      </c>
      <c r="F627" t="s">
        <v>1743</v>
      </c>
      <c r="G627" t="s">
        <v>487</v>
      </c>
      <c r="H627" t="s">
        <v>117</v>
      </c>
      <c r="I627" t="s">
        <v>80</v>
      </c>
      <c r="J627" t="s">
        <v>163</v>
      </c>
      <c r="K627" t="s">
        <v>82</v>
      </c>
      <c r="L627" t="s">
        <v>83</v>
      </c>
      <c r="M627" t="s">
        <v>84</v>
      </c>
      <c r="N627">
        <v>0.1</v>
      </c>
      <c r="O627" t="b">
        <v>1</v>
      </c>
      <c r="P627">
        <v>180</v>
      </c>
      <c r="Q627" t="s">
        <v>137</v>
      </c>
      <c r="S627">
        <v>0.04</v>
      </c>
      <c r="T627">
        <v>1</v>
      </c>
      <c r="V627" t="s">
        <v>165</v>
      </c>
      <c r="X627">
        <v>0</v>
      </c>
      <c r="Z627">
        <v>6.6666666666666671E-3</v>
      </c>
      <c r="AB627">
        <v>0</v>
      </c>
      <c r="AC627">
        <v>0</v>
      </c>
      <c r="AE627" t="s">
        <v>129</v>
      </c>
      <c r="AF627" t="s">
        <v>1743</v>
      </c>
      <c r="AG627" t="s">
        <v>129</v>
      </c>
      <c r="AH627">
        <v>0</v>
      </c>
      <c r="AI627">
        <v>0</v>
      </c>
      <c r="AJ627" t="s">
        <v>177</v>
      </c>
      <c r="AM627">
        <v>13.87</v>
      </c>
      <c r="AN627">
        <v>0</v>
      </c>
      <c r="AO627">
        <v>0</v>
      </c>
      <c r="AP627">
        <v>0</v>
      </c>
      <c r="AQ627">
        <v>2.8571428571428564E-2</v>
      </c>
      <c r="AR627">
        <v>0</v>
      </c>
      <c r="AS627">
        <v>0</v>
      </c>
      <c r="AT627">
        <v>1.0285714285714285</v>
      </c>
      <c r="AU627">
        <v>0</v>
      </c>
      <c r="AV627">
        <v>0</v>
      </c>
      <c r="AW627">
        <v>0</v>
      </c>
      <c r="AX627" t="s">
        <v>1744</v>
      </c>
      <c r="AY627">
        <v>2.48</v>
      </c>
      <c r="AZ627">
        <v>0</v>
      </c>
      <c r="BA627" t="s">
        <v>138</v>
      </c>
      <c r="BB627">
        <v>0</v>
      </c>
      <c r="BC627" t="s">
        <v>488</v>
      </c>
      <c r="BD627" t="s">
        <v>489</v>
      </c>
      <c r="BE627" t="s">
        <v>97</v>
      </c>
      <c r="BF627">
        <v>1</v>
      </c>
      <c r="BG627">
        <v>0</v>
      </c>
      <c r="BH627">
        <v>0</v>
      </c>
      <c r="BI627" t="s">
        <v>98</v>
      </c>
    </row>
    <row r="628" spans="1:61">
      <c r="A628" s="164" t="s">
        <v>1747</v>
      </c>
      <c r="B628" t="s">
        <v>1748</v>
      </c>
      <c r="C628">
        <v>0</v>
      </c>
      <c r="D628" t="s">
        <v>107</v>
      </c>
      <c r="E628">
        <v>0</v>
      </c>
      <c r="F628" t="s">
        <v>499</v>
      </c>
      <c r="G628" t="s">
        <v>103</v>
      </c>
      <c r="H628" t="s">
        <v>104</v>
      </c>
      <c r="I628" t="s">
        <v>80</v>
      </c>
      <c r="J628" t="s">
        <v>81</v>
      </c>
      <c r="K628" t="s">
        <v>468</v>
      </c>
      <c r="L628" t="s">
        <v>111</v>
      </c>
      <c r="M628" t="s">
        <v>84</v>
      </c>
      <c r="N628">
        <v>1.26</v>
      </c>
      <c r="O628" t="b">
        <v>0</v>
      </c>
      <c r="P628">
        <v>45</v>
      </c>
      <c r="Q628" t="s">
        <v>85</v>
      </c>
      <c r="S628">
        <v>0</v>
      </c>
      <c r="T628">
        <v>1</v>
      </c>
      <c r="V628" t="s">
        <v>87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G628" t="s">
        <v>129</v>
      </c>
      <c r="AH628">
        <v>0</v>
      </c>
      <c r="AI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Y628">
        <v>0</v>
      </c>
      <c r="AZ628">
        <v>0</v>
      </c>
      <c r="BA628" t="s">
        <v>94</v>
      </c>
      <c r="BB628">
        <v>0</v>
      </c>
      <c r="BC628" t="s">
        <v>95</v>
      </c>
      <c r="BD628" t="s">
        <v>469</v>
      </c>
      <c r="BE628" t="s">
        <v>97</v>
      </c>
      <c r="BF628">
        <v>0</v>
      </c>
      <c r="BG628">
        <v>0</v>
      </c>
      <c r="BH628">
        <v>0</v>
      </c>
      <c r="BI628" t="s">
        <v>98</v>
      </c>
    </row>
    <row r="629" spans="1:61">
      <c r="A629" s="164" t="s">
        <v>1749</v>
      </c>
      <c r="B629" t="s">
        <v>1750</v>
      </c>
      <c r="C629">
        <v>0</v>
      </c>
      <c r="D629" t="s">
        <v>1212</v>
      </c>
      <c r="E629">
        <v>0</v>
      </c>
      <c r="F629" t="s">
        <v>1213</v>
      </c>
      <c r="G629" t="s">
        <v>78</v>
      </c>
      <c r="H629" t="s">
        <v>79</v>
      </c>
      <c r="I629" t="s">
        <v>80</v>
      </c>
      <c r="J629" t="s">
        <v>81</v>
      </c>
      <c r="K629" t="s">
        <v>82</v>
      </c>
      <c r="L629" t="s">
        <v>83</v>
      </c>
      <c r="M629" t="s">
        <v>84</v>
      </c>
      <c r="N629">
        <v>1</v>
      </c>
      <c r="O629" t="b">
        <v>1</v>
      </c>
      <c r="P629">
        <v>45</v>
      </c>
      <c r="Q629" t="s">
        <v>85</v>
      </c>
      <c r="R629" t="s">
        <v>86</v>
      </c>
      <c r="S629">
        <v>1</v>
      </c>
      <c r="T629">
        <v>1</v>
      </c>
      <c r="U629" s="36">
        <v>1.14123</v>
      </c>
      <c r="V629" t="s">
        <v>87</v>
      </c>
      <c r="W629">
        <v>24</v>
      </c>
      <c r="X629">
        <v>0.45019999999999999</v>
      </c>
      <c r="Y629">
        <v>18</v>
      </c>
      <c r="Z629">
        <v>5.5555555555555552E-2</v>
      </c>
      <c r="AA629">
        <v>30</v>
      </c>
      <c r="AB629">
        <v>0</v>
      </c>
      <c r="AC629">
        <v>500</v>
      </c>
      <c r="AD629">
        <v>500</v>
      </c>
      <c r="AE629" t="s">
        <v>155</v>
      </c>
      <c r="AF629" t="s">
        <v>1214</v>
      </c>
      <c r="AG629" t="s">
        <v>1215</v>
      </c>
      <c r="AH629">
        <v>0</v>
      </c>
      <c r="AI629">
        <v>0.9</v>
      </c>
      <c r="AJ629" t="s">
        <v>91</v>
      </c>
      <c r="AK629" t="s">
        <v>92</v>
      </c>
      <c r="AL629" t="s">
        <v>93</v>
      </c>
      <c r="AM629">
        <v>0.442662</v>
      </c>
      <c r="AN629">
        <v>0</v>
      </c>
      <c r="AO629">
        <v>0.44267499999999999</v>
      </c>
      <c r="AP629">
        <v>0</v>
      </c>
      <c r="AQ629">
        <v>8.6691086691086688E-2</v>
      </c>
      <c r="AR629">
        <v>2.6666666666666505E-3</v>
      </c>
      <c r="AS629">
        <v>0</v>
      </c>
      <c r="AT629">
        <v>1.0866910866910866</v>
      </c>
      <c r="AU629">
        <v>1.0026666666666666</v>
      </c>
      <c r="AV629">
        <v>1</v>
      </c>
      <c r="AW629">
        <v>0</v>
      </c>
      <c r="AX629" t="s">
        <v>1751</v>
      </c>
      <c r="AY629">
        <v>53.4</v>
      </c>
      <c r="AZ629">
        <v>8</v>
      </c>
      <c r="BA629" t="s">
        <v>94</v>
      </c>
      <c r="BB629">
        <v>3.16</v>
      </c>
      <c r="BC629" t="s">
        <v>95</v>
      </c>
      <c r="BD629" t="s">
        <v>96</v>
      </c>
      <c r="BE629" t="s">
        <v>97</v>
      </c>
      <c r="BF629">
        <v>1</v>
      </c>
      <c r="BG629">
        <v>0</v>
      </c>
      <c r="BH629">
        <v>0</v>
      </c>
      <c r="BI629" t="s">
        <v>98</v>
      </c>
    </row>
    <row r="630" spans="1:61">
      <c r="A630" s="164" t="s">
        <v>1752</v>
      </c>
      <c r="B630" t="s">
        <v>1753</v>
      </c>
      <c r="C630">
        <v>0</v>
      </c>
      <c r="D630" t="s">
        <v>107</v>
      </c>
      <c r="E630">
        <v>0</v>
      </c>
      <c r="F630" t="s">
        <v>108</v>
      </c>
      <c r="G630" t="s">
        <v>78</v>
      </c>
      <c r="H630" t="s">
        <v>79</v>
      </c>
      <c r="I630" t="s">
        <v>80</v>
      </c>
      <c r="J630" t="s">
        <v>81</v>
      </c>
      <c r="K630" t="s">
        <v>82</v>
      </c>
      <c r="L630" t="s">
        <v>83</v>
      </c>
      <c r="M630" t="s">
        <v>84</v>
      </c>
      <c r="N630">
        <v>0.9</v>
      </c>
      <c r="O630" t="b">
        <v>1</v>
      </c>
      <c r="P630">
        <v>45</v>
      </c>
      <c r="Q630" t="s">
        <v>85</v>
      </c>
      <c r="R630" t="s">
        <v>86</v>
      </c>
      <c r="S630">
        <v>0.9</v>
      </c>
      <c r="T630">
        <v>1</v>
      </c>
      <c r="U630" s="36">
        <v>0.63145499999999999</v>
      </c>
      <c r="V630" t="s">
        <v>87</v>
      </c>
      <c r="W630">
        <v>34</v>
      </c>
      <c r="X630">
        <v>0.62562499999999999</v>
      </c>
      <c r="Y630">
        <v>15</v>
      </c>
      <c r="Z630">
        <v>6.6666666666666666E-2</v>
      </c>
      <c r="AA630">
        <v>60</v>
      </c>
      <c r="AB630">
        <v>0</v>
      </c>
      <c r="AC630">
        <v>500</v>
      </c>
      <c r="AD630">
        <v>555.55555555555554</v>
      </c>
      <c r="AE630" t="s">
        <v>112</v>
      </c>
      <c r="AF630" t="s">
        <v>1117</v>
      </c>
      <c r="AG630" t="s">
        <v>114</v>
      </c>
      <c r="AH630">
        <v>0</v>
      </c>
      <c r="AI630">
        <v>0.6</v>
      </c>
      <c r="AJ630" t="s">
        <v>91</v>
      </c>
      <c r="AK630" t="s">
        <v>92</v>
      </c>
      <c r="AL630" t="s">
        <v>93</v>
      </c>
      <c r="AM630">
        <v>0.34043629629629629</v>
      </c>
      <c r="AN630">
        <v>0.22695753086419751</v>
      </c>
      <c r="AO630">
        <v>0.35178417283950614</v>
      </c>
      <c r="AP630">
        <v>0</v>
      </c>
      <c r="AQ630">
        <v>8.6691086691086688E-2</v>
      </c>
      <c r="AR630">
        <v>2.6666666666666505E-3</v>
      </c>
      <c r="AS630">
        <v>0</v>
      </c>
      <c r="AT630">
        <v>1.0866910866910866</v>
      </c>
      <c r="AU630">
        <v>1.0026666666666666</v>
      </c>
      <c r="AV630">
        <v>1</v>
      </c>
      <c r="AW630">
        <v>0</v>
      </c>
      <c r="AX630" t="s">
        <v>1754</v>
      </c>
      <c r="AY630">
        <v>5.34</v>
      </c>
      <c r="AZ630">
        <v>7</v>
      </c>
      <c r="BA630" t="s">
        <v>94</v>
      </c>
      <c r="BB630">
        <v>1.21</v>
      </c>
      <c r="BC630" t="s">
        <v>95</v>
      </c>
      <c r="BD630" t="s">
        <v>96</v>
      </c>
      <c r="BE630" t="s">
        <v>97</v>
      </c>
      <c r="BF630">
        <v>1</v>
      </c>
      <c r="BG630">
        <v>0</v>
      </c>
      <c r="BH630">
        <v>0</v>
      </c>
      <c r="BI630" t="s">
        <v>98</v>
      </c>
    </row>
    <row r="631" spans="1:61">
      <c r="A631" s="164" t="s">
        <v>1755</v>
      </c>
      <c r="B631" t="s">
        <v>1756</v>
      </c>
      <c r="C631">
        <v>0</v>
      </c>
      <c r="D631" t="s">
        <v>124</v>
      </c>
      <c r="E631">
        <v>0</v>
      </c>
      <c r="F631" t="s">
        <v>125</v>
      </c>
      <c r="G631" t="s">
        <v>103</v>
      </c>
      <c r="H631" t="s">
        <v>104</v>
      </c>
      <c r="I631" t="s">
        <v>126</v>
      </c>
      <c r="J631" t="s">
        <v>127</v>
      </c>
      <c r="K631" t="s">
        <v>82</v>
      </c>
      <c r="L631" t="s">
        <v>83</v>
      </c>
      <c r="M631" t="s">
        <v>84</v>
      </c>
      <c r="N631">
        <v>0.25</v>
      </c>
      <c r="O631" t="b">
        <v>0</v>
      </c>
      <c r="P631">
        <v>180</v>
      </c>
      <c r="Q631" t="s">
        <v>85</v>
      </c>
      <c r="S631">
        <v>0</v>
      </c>
      <c r="T631">
        <v>1</v>
      </c>
      <c r="V631" t="s">
        <v>87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G631" t="s">
        <v>129</v>
      </c>
      <c r="AH631">
        <v>0</v>
      </c>
      <c r="AI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Y631">
        <v>0</v>
      </c>
      <c r="AZ631">
        <v>0</v>
      </c>
      <c r="BA631" t="s">
        <v>94</v>
      </c>
      <c r="BB631">
        <v>0</v>
      </c>
      <c r="BC631" t="s">
        <v>95</v>
      </c>
      <c r="BD631" t="s">
        <v>1187</v>
      </c>
      <c r="BE631" t="s">
        <v>97</v>
      </c>
      <c r="BF631">
        <v>0</v>
      </c>
      <c r="BG631">
        <v>0</v>
      </c>
      <c r="BH631">
        <v>0</v>
      </c>
      <c r="BI631" t="s">
        <v>98</v>
      </c>
    </row>
    <row r="632" spans="1:61">
      <c r="A632" s="164" t="s">
        <v>1757</v>
      </c>
      <c r="B632" t="s">
        <v>1758</v>
      </c>
      <c r="C632">
        <v>0</v>
      </c>
      <c r="D632" t="s">
        <v>175</v>
      </c>
      <c r="E632">
        <v>0</v>
      </c>
      <c r="F632" t="s">
        <v>758</v>
      </c>
      <c r="G632" t="s">
        <v>103</v>
      </c>
      <c r="H632" t="s">
        <v>104</v>
      </c>
      <c r="I632" t="s">
        <v>80</v>
      </c>
      <c r="J632" t="s">
        <v>109</v>
      </c>
      <c r="K632" t="s">
        <v>110</v>
      </c>
      <c r="L632" t="s">
        <v>111</v>
      </c>
      <c r="M632" t="s">
        <v>84</v>
      </c>
      <c r="N632">
        <v>3.5</v>
      </c>
      <c r="O632" t="b">
        <v>0</v>
      </c>
      <c r="P632">
        <v>40</v>
      </c>
      <c r="Q632" t="s">
        <v>137</v>
      </c>
      <c r="S632">
        <v>0</v>
      </c>
      <c r="T632">
        <v>0</v>
      </c>
      <c r="V632" t="s">
        <v>165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F632" t="s">
        <v>759</v>
      </c>
      <c r="AH632">
        <v>0</v>
      </c>
      <c r="AI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 t="s">
        <v>1759</v>
      </c>
      <c r="AY632">
        <v>0</v>
      </c>
      <c r="AZ632">
        <v>1</v>
      </c>
      <c r="BA632" t="s">
        <v>138</v>
      </c>
      <c r="BB632">
        <v>0</v>
      </c>
      <c r="BC632" t="s">
        <v>115</v>
      </c>
      <c r="BD632" t="s">
        <v>116</v>
      </c>
      <c r="BE632" t="s">
        <v>117</v>
      </c>
      <c r="BF632">
        <v>0</v>
      </c>
      <c r="BG632">
        <v>0</v>
      </c>
      <c r="BH632">
        <v>0</v>
      </c>
      <c r="BI632" t="s">
        <v>98</v>
      </c>
    </row>
    <row r="633" spans="1:61">
      <c r="A633" s="164" t="s">
        <v>1760</v>
      </c>
      <c r="B633" t="s">
        <v>1761</v>
      </c>
      <c r="C633">
        <v>0</v>
      </c>
      <c r="D633" t="s">
        <v>101</v>
      </c>
      <c r="E633">
        <v>0</v>
      </c>
      <c r="F633" t="s">
        <v>512</v>
      </c>
      <c r="G633" t="s">
        <v>78</v>
      </c>
      <c r="H633" t="s">
        <v>79</v>
      </c>
      <c r="I633" t="s">
        <v>80</v>
      </c>
      <c r="J633" t="s">
        <v>81</v>
      </c>
      <c r="K633" t="s">
        <v>82</v>
      </c>
      <c r="L633" t="s">
        <v>83</v>
      </c>
      <c r="M633" t="s">
        <v>84</v>
      </c>
      <c r="N633">
        <v>0.127</v>
      </c>
      <c r="O633" t="b">
        <v>1</v>
      </c>
      <c r="P633">
        <v>45</v>
      </c>
      <c r="Q633" t="s">
        <v>85</v>
      </c>
      <c r="S633">
        <v>0.127</v>
      </c>
      <c r="U633" s="36">
        <v>0.34782999999999997</v>
      </c>
      <c r="V633" t="s">
        <v>87</v>
      </c>
      <c r="AF633" t="s">
        <v>1762</v>
      </c>
      <c r="AI633">
        <v>0.6</v>
      </c>
      <c r="AZ633">
        <v>9</v>
      </c>
      <c r="BA633" t="s">
        <v>94</v>
      </c>
      <c r="BB633">
        <v>0.6</v>
      </c>
      <c r="BC633" t="s">
        <v>95</v>
      </c>
      <c r="BD633" t="s">
        <v>96</v>
      </c>
      <c r="BE633" t="s">
        <v>97</v>
      </c>
      <c r="BF633">
        <v>1</v>
      </c>
      <c r="BG633">
        <v>0</v>
      </c>
      <c r="BH633">
        <v>0</v>
      </c>
      <c r="BI633" t="s">
        <v>98</v>
      </c>
    </row>
    <row r="634" spans="1:61">
      <c r="A634" s="164" t="s">
        <v>1763</v>
      </c>
      <c r="B634" t="s">
        <v>1764</v>
      </c>
      <c r="C634">
        <v>0</v>
      </c>
      <c r="D634" t="s">
        <v>147</v>
      </c>
      <c r="E634">
        <v>0</v>
      </c>
      <c r="F634" t="s">
        <v>154</v>
      </c>
      <c r="G634" t="s">
        <v>78</v>
      </c>
      <c r="H634" t="s">
        <v>79</v>
      </c>
      <c r="I634" t="s">
        <v>80</v>
      </c>
      <c r="J634" t="s">
        <v>81</v>
      </c>
      <c r="K634" t="s">
        <v>82</v>
      </c>
      <c r="L634" t="s">
        <v>83</v>
      </c>
      <c r="M634" t="s">
        <v>84</v>
      </c>
      <c r="N634">
        <v>1.75</v>
      </c>
      <c r="O634" t="b">
        <v>1</v>
      </c>
      <c r="P634">
        <v>45</v>
      </c>
      <c r="Q634" t="s">
        <v>85</v>
      </c>
      <c r="R634" t="s">
        <v>86</v>
      </c>
      <c r="S634">
        <v>1.75</v>
      </c>
      <c r="T634">
        <v>1</v>
      </c>
      <c r="U634" s="36">
        <v>2.2867100000000002</v>
      </c>
      <c r="V634" t="s">
        <v>87</v>
      </c>
      <c r="W634">
        <v>24</v>
      </c>
      <c r="X634">
        <v>0.45019999999999999</v>
      </c>
      <c r="Y634">
        <v>12</v>
      </c>
      <c r="Z634">
        <v>8.3333333333333329E-2</v>
      </c>
      <c r="AA634">
        <v>30</v>
      </c>
      <c r="AB634">
        <v>0</v>
      </c>
      <c r="AC634">
        <v>515</v>
      </c>
      <c r="AD634">
        <v>294.28571428571428</v>
      </c>
      <c r="AE634" t="s">
        <v>155</v>
      </c>
      <c r="AF634" t="s">
        <v>156</v>
      </c>
      <c r="AG634" t="s">
        <v>240</v>
      </c>
      <c r="AH634">
        <v>0</v>
      </c>
      <c r="AI634">
        <v>0.9</v>
      </c>
      <c r="AJ634" t="s">
        <v>91</v>
      </c>
      <c r="AK634" t="s">
        <v>92</v>
      </c>
      <c r="AL634" t="s">
        <v>93</v>
      </c>
      <c r="AM634">
        <v>0.33553925925925926</v>
      </c>
      <c r="AN634">
        <v>0.22369283950617286</v>
      </c>
      <c r="AO634">
        <v>0.34672390123456792</v>
      </c>
      <c r="AP634">
        <v>0</v>
      </c>
      <c r="AQ634">
        <v>8.6691086691086688E-2</v>
      </c>
      <c r="AR634">
        <v>2.6666666666666505E-3</v>
      </c>
      <c r="AS634">
        <v>0</v>
      </c>
      <c r="AT634">
        <v>1.0866910866910866</v>
      </c>
      <c r="AU634">
        <v>1.0026666666666666</v>
      </c>
      <c r="AV634">
        <v>1</v>
      </c>
      <c r="AW634">
        <v>0</v>
      </c>
      <c r="AX634" t="s">
        <v>1765</v>
      </c>
      <c r="AY634">
        <v>83.4</v>
      </c>
      <c r="AZ634">
        <v>0</v>
      </c>
      <c r="BA634" t="s">
        <v>94</v>
      </c>
      <c r="BB634">
        <v>4.9400000000000004</v>
      </c>
      <c r="BC634" t="s">
        <v>95</v>
      </c>
      <c r="BD634" t="s">
        <v>96</v>
      </c>
      <c r="BE634" t="s">
        <v>97</v>
      </c>
      <c r="BF634">
        <v>1</v>
      </c>
      <c r="BG634">
        <v>0</v>
      </c>
      <c r="BH634">
        <v>0</v>
      </c>
      <c r="BI634" t="s">
        <v>98</v>
      </c>
    </row>
    <row r="635" spans="1:61">
      <c r="A635" s="164" t="s">
        <v>1766</v>
      </c>
      <c r="B635" t="s">
        <v>1767</v>
      </c>
      <c r="C635">
        <v>0</v>
      </c>
      <c r="D635" t="s">
        <v>175</v>
      </c>
      <c r="E635">
        <v>0</v>
      </c>
      <c r="F635" t="s">
        <v>480</v>
      </c>
      <c r="G635" t="s">
        <v>103</v>
      </c>
      <c r="H635" t="s">
        <v>104</v>
      </c>
      <c r="I635" t="s">
        <v>80</v>
      </c>
      <c r="J635" t="s">
        <v>163</v>
      </c>
      <c r="K635" t="s">
        <v>468</v>
      </c>
      <c r="L635" t="s">
        <v>111</v>
      </c>
      <c r="M635" t="s">
        <v>84</v>
      </c>
      <c r="N635">
        <v>0.35</v>
      </c>
      <c r="O635" t="b">
        <v>0</v>
      </c>
      <c r="P635">
        <v>40</v>
      </c>
      <c r="Q635" t="s">
        <v>479</v>
      </c>
      <c r="S635">
        <v>0</v>
      </c>
      <c r="T635">
        <v>1</v>
      </c>
      <c r="U635" s="36">
        <v>1.6787700000000001</v>
      </c>
      <c r="V635" t="s">
        <v>468</v>
      </c>
      <c r="X635">
        <v>0</v>
      </c>
      <c r="Z635">
        <v>0</v>
      </c>
      <c r="AB635">
        <v>0</v>
      </c>
      <c r="AC635">
        <v>0</v>
      </c>
      <c r="AE635" t="s">
        <v>129</v>
      </c>
      <c r="AG635" t="s">
        <v>129</v>
      </c>
      <c r="AH635">
        <v>0</v>
      </c>
      <c r="AI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 t="s">
        <v>1768</v>
      </c>
      <c r="AY635">
        <v>0</v>
      </c>
      <c r="AZ635">
        <v>0</v>
      </c>
      <c r="BA635" t="s">
        <v>138</v>
      </c>
      <c r="BB635">
        <v>0</v>
      </c>
      <c r="BC635" t="s">
        <v>95</v>
      </c>
      <c r="BD635" t="s">
        <v>469</v>
      </c>
      <c r="BE635" t="s">
        <v>97</v>
      </c>
      <c r="BF635">
        <v>0</v>
      </c>
      <c r="BG635">
        <v>0</v>
      </c>
      <c r="BH635">
        <v>0</v>
      </c>
      <c r="BI635" t="s">
        <v>98</v>
      </c>
    </row>
    <row r="636" spans="1:61">
      <c r="A636" s="164" t="s">
        <v>1769</v>
      </c>
      <c r="B636" t="s">
        <v>1770</v>
      </c>
      <c r="C636">
        <v>0</v>
      </c>
      <c r="D636" t="s">
        <v>76</v>
      </c>
      <c r="E636">
        <v>0</v>
      </c>
      <c r="F636" t="s">
        <v>142</v>
      </c>
      <c r="G636" t="s">
        <v>78</v>
      </c>
      <c r="H636" t="s">
        <v>79</v>
      </c>
      <c r="I636" t="s">
        <v>80</v>
      </c>
      <c r="J636" t="s">
        <v>81</v>
      </c>
      <c r="K636" t="s">
        <v>82</v>
      </c>
      <c r="L636" t="s">
        <v>83</v>
      </c>
      <c r="M636" t="s">
        <v>84</v>
      </c>
      <c r="N636">
        <v>0.18</v>
      </c>
      <c r="O636" t="b">
        <v>1</v>
      </c>
      <c r="P636">
        <v>45</v>
      </c>
      <c r="Q636" t="s">
        <v>85</v>
      </c>
      <c r="R636" t="s">
        <v>86</v>
      </c>
      <c r="S636">
        <v>0.18</v>
      </c>
      <c r="T636">
        <v>1</v>
      </c>
      <c r="U636" s="36">
        <v>0.32388</v>
      </c>
      <c r="V636" t="s">
        <v>87</v>
      </c>
      <c r="W636">
        <v>125</v>
      </c>
      <c r="X636">
        <v>0.38897500000000002</v>
      </c>
      <c r="Y636">
        <v>108</v>
      </c>
      <c r="Z636">
        <v>9.2592592592592587E-3</v>
      </c>
      <c r="AA636">
        <v>30</v>
      </c>
      <c r="AB636">
        <v>0</v>
      </c>
      <c r="AC636">
        <v>530</v>
      </c>
      <c r="AD636">
        <v>2944.4444444444443</v>
      </c>
      <c r="AE636" t="s">
        <v>143</v>
      </c>
      <c r="AF636" t="s">
        <v>89</v>
      </c>
      <c r="AG636" t="s">
        <v>90</v>
      </c>
      <c r="AH636">
        <v>0</v>
      </c>
      <c r="AI636">
        <v>1</v>
      </c>
      <c r="AJ636" t="s">
        <v>91</v>
      </c>
      <c r="AK636" t="s">
        <v>92</v>
      </c>
      <c r="AL636" t="s">
        <v>93</v>
      </c>
      <c r="AM636">
        <v>0.98220000000000007</v>
      </c>
      <c r="AN636">
        <v>0</v>
      </c>
      <c r="AO636">
        <v>0</v>
      </c>
      <c r="AP636">
        <v>0</v>
      </c>
      <c r="AQ636">
        <v>8.6691086691086688E-2</v>
      </c>
      <c r="AR636">
        <v>2.6666666666666505E-3</v>
      </c>
      <c r="AS636">
        <v>0</v>
      </c>
      <c r="AT636">
        <v>1.0866910866910866</v>
      </c>
      <c r="AU636">
        <v>1.0026666666666666</v>
      </c>
      <c r="AV636">
        <v>1</v>
      </c>
      <c r="AW636">
        <v>0</v>
      </c>
      <c r="AX636" t="s">
        <v>1771</v>
      </c>
      <c r="AY636">
        <v>20</v>
      </c>
      <c r="AZ636">
        <v>0</v>
      </c>
      <c r="BA636" t="s">
        <v>94</v>
      </c>
      <c r="BB636">
        <v>0.77</v>
      </c>
      <c r="BC636" t="s">
        <v>95</v>
      </c>
      <c r="BD636" t="s">
        <v>96</v>
      </c>
      <c r="BE636" t="s">
        <v>97</v>
      </c>
      <c r="BF636">
        <v>1</v>
      </c>
      <c r="BG636">
        <v>0</v>
      </c>
      <c r="BH636">
        <v>0</v>
      </c>
      <c r="BI636" t="s">
        <v>98</v>
      </c>
    </row>
    <row r="637" spans="1:61">
      <c r="A637" s="164" t="s">
        <v>1772</v>
      </c>
      <c r="B637" t="s">
        <v>1773</v>
      </c>
      <c r="C637">
        <v>0</v>
      </c>
      <c r="D637" t="s">
        <v>147</v>
      </c>
      <c r="E637">
        <v>0</v>
      </c>
      <c r="F637" t="s">
        <v>472</v>
      </c>
      <c r="G637" t="s">
        <v>78</v>
      </c>
      <c r="H637" t="s">
        <v>79</v>
      </c>
      <c r="I637" t="s">
        <v>80</v>
      </c>
      <c r="J637" t="s">
        <v>81</v>
      </c>
      <c r="K637" t="s">
        <v>82</v>
      </c>
      <c r="L637" t="s">
        <v>83</v>
      </c>
      <c r="M637" t="s">
        <v>84</v>
      </c>
      <c r="N637">
        <v>0.18</v>
      </c>
      <c r="O637" t="b">
        <v>1</v>
      </c>
      <c r="P637">
        <v>45</v>
      </c>
      <c r="Q637" t="s">
        <v>85</v>
      </c>
      <c r="R637" t="s">
        <v>86</v>
      </c>
      <c r="S637">
        <v>0.18</v>
      </c>
      <c r="T637">
        <v>1</v>
      </c>
      <c r="U637" s="36">
        <v>0.29342499999999999</v>
      </c>
      <c r="V637" t="s">
        <v>87</v>
      </c>
      <c r="W637">
        <v>125</v>
      </c>
      <c r="X637">
        <v>0.38897500000000002</v>
      </c>
      <c r="Y637">
        <v>108</v>
      </c>
      <c r="Z637">
        <v>9.2592592592592587E-3</v>
      </c>
      <c r="AA637">
        <v>30</v>
      </c>
      <c r="AB637">
        <v>0</v>
      </c>
      <c r="AC637">
        <v>515</v>
      </c>
      <c r="AD637">
        <v>2861.1111111111113</v>
      </c>
      <c r="AE637" t="s">
        <v>143</v>
      </c>
      <c r="AF637" t="s">
        <v>156</v>
      </c>
      <c r="AG637" t="s">
        <v>240</v>
      </c>
      <c r="AH637">
        <v>0</v>
      </c>
      <c r="AI637">
        <v>0.9</v>
      </c>
      <c r="AJ637" t="s">
        <v>91</v>
      </c>
      <c r="AK637" t="s">
        <v>92</v>
      </c>
      <c r="AL637" t="s">
        <v>93</v>
      </c>
      <c r="AM637">
        <v>0.33553925925925926</v>
      </c>
      <c r="AN637">
        <v>0.22369283950617286</v>
      </c>
      <c r="AO637">
        <v>0.34672390123456792</v>
      </c>
      <c r="AP637">
        <v>0</v>
      </c>
      <c r="AQ637">
        <v>8.6691086691086688E-2</v>
      </c>
      <c r="AR637">
        <v>2.6666666666666505E-3</v>
      </c>
      <c r="AS637">
        <v>0</v>
      </c>
      <c r="AT637">
        <v>1.0866910866910866</v>
      </c>
      <c r="AU637">
        <v>1.0026666666666666</v>
      </c>
      <c r="AV637">
        <v>1</v>
      </c>
      <c r="AW637">
        <v>0</v>
      </c>
      <c r="AX637" t="s">
        <v>1774</v>
      </c>
      <c r="AY637">
        <v>16.5</v>
      </c>
      <c r="AZ637">
        <v>8</v>
      </c>
      <c r="BA637" t="s">
        <v>94</v>
      </c>
      <c r="BB637">
        <v>0.76</v>
      </c>
      <c r="BC637" t="s">
        <v>95</v>
      </c>
      <c r="BD637" t="s">
        <v>96</v>
      </c>
      <c r="BE637" t="s">
        <v>97</v>
      </c>
      <c r="BF637">
        <v>1</v>
      </c>
      <c r="BG637">
        <v>0</v>
      </c>
      <c r="BH637">
        <v>0</v>
      </c>
      <c r="BI637" t="s">
        <v>98</v>
      </c>
    </row>
    <row r="638" spans="1:61">
      <c r="A638" s="164" t="s">
        <v>1775</v>
      </c>
      <c r="B638" t="s">
        <v>1776</v>
      </c>
      <c r="C638">
        <v>0</v>
      </c>
      <c r="D638" t="s">
        <v>101</v>
      </c>
      <c r="E638">
        <v>0</v>
      </c>
      <c r="F638" t="s">
        <v>102</v>
      </c>
      <c r="G638" t="s">
        <v>103</v>
      </c>
      <c r="H638" t="s">
        <v>104</v>
      </c>
      <c r="I638" t="s">
        <v>80</v>
      </c>
      <c r="J638" t="s">
        <v>81</v>
      </c>
      <c r="K638" t="s">
        <v>82</v>
      </c>
      <c r="L638" t="s">
        <v>83</v>
      </c>
      <c r="M638" t="s">
        <v>84</v>
      </c>
      <c r="N638">
        <v>0.16500000000000001</v>
      </c>
      <c r="O638" t="b">
        <v>0</v>
      </c>
      <c r="P638">
        <v>45</v>
      </c>
      <c r="Q638" t="s">
        <v>85</v>
      </c>
      <c r="S638">
        <v>0.14499999999999999</v>
      </c>
      <c r="T638">
        <v>0.87878787878787867</v>
      </c>
      <c r="U638" s="36">
        <v>0.31</v>
      </c>
      <c r="V638" t="s">
        <v>87</v>
      </c>
      <c r="W638">
        <v>0</v>
      </c>
      <c r="X638">
        <v>0.45</v>
      </c>
      <c r="Y638">
        <v>60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88</v>
      </c>
      <c r="AF638" t="s">
        <v>513</v>
      </c>
      <c r="AG638" t="s">
        <v>129</v>
      </c>
      <c r="AH638">
        <v>0</v>
      </c>
      <c r="AI638">
        <v>0.8</v>
      </c>
      <c r="AJ638" t="s">
        <v>91</v>
      </c>
      <c r="AK638" t="s">
        <v>92</v>
      </c>
      <c r="AL638" t="s">
        <v>93</v>
      </c>
      <c r="AM638">
        <v>0.33631111111111106</v>
      </c>
      <c r="AN638">
        <v>0.22420740740740738</v>
      </c>
      <c r="AO638">
        <v>0.34752148148148143</v>
      </c>
      <c r="AP638">
        <v>0</v>
      </c>
      <c r="AQ638">
        <v>8.6691086691086688E-2</v>
      </c>
      <c r="AR638">
        <v>2.6666666666666505E-3</v>
      </c>
      <c r="AS638">
        <v>0</v>
      </c>
      <c r="AT638">
        <v>1.0866910866910866</v>
      </c>
      <c r="AU638">
        <v>1.0026666666666666</v>
      </c>
      <c r="AV638">
        <v>1</v>
      </c>
      <c r="AW638">
        <v>0</v>
      </c>
      <c r="AX638" t="s">
        <v>1777</v>
      </c>
      <c r="AY638">
        <v>15.98</v>
      </c>
      <c r="AZ638">
        <v>9</v>
      </c>
      <c r="BA638" t="s">
        <v>94</v>
      </c>
      <c r="BB638">
        <v>0.77</v>
      </c>
      <c r="BC638" t="s">
        <v>95</v>
      </c>
      <c r="BD638" t="s">
        <v>96</v>
      </c>
      <c r="BE638" t="s">
        <v>97</v>
      </c>
      <c r="BF638">
        <v>0</v>
      </c>
      <c r="BG638">
        <v>0</v>
      </c>
      <c r="BH638">
        <v>0</v>
      </c>
      <c r="BI638" t="s">
        <v>98</v>
      </c>
    </row>
    <row r="639" spans="1:61">
      <c r="A639" s="164" t="s">
        <v>1778</v>
      </c>
      <c r="B639" t="s">
        <v>1779</v>
      </c>
      <c r="C639">
        <v>0</v>
      </c>
      <c r="D639" t="s">
        <v>107</v>
      </c>
      <c r="E639">
        <v>0</v>
      </c>
      <c r="F639" t="s">
        <v>120</v>
      </c>
      <c r="G639" t="s">
        <v>103</v>
      </c>
      <c r="H639" t="s">
        <v>104</v>
      </c>
      <c r="I639" t="s">
        <v>80</v>
      </c>
      <c r="J639" t="s">
        <v>81</v>
      </c>
      <c r="K639" t="s">
        <v>82</v>
      </c>
      <c r="L639" t="s">
        <v>83</v>
      </c>
      <c r="M639" t="s">
        <v>84</v>
      </c>
      <c r="N639">
        <v>0.4</v>
      </c>
      <c r="O639" t="b">
        <v>1</v>
      </c>
      <c r="P639">
        <v>45</v>
      </c>
      <c r="Q639" t="s">
        <v>85</v>
      </c>
      <c r="S639">
        <v>0.4</v>
      </c>
      <c r="U639" s="36">
        <v>0.90434499999999995</v>
      </c>
      <c r="V639" t="s">
        <v>87</v>
      </c>
      <c r="AF639" t="s">
        <v>121</v>
      </c>
      <c r="AI639">
        <v>0.9</v>
      </c>
      <c r="AZ639">
        <v>0</v>
      </c>
      <c r="BA639" t="s">
        <v>94</v>
      </c>
      <c r="BB639">
        <v>2.89</v>
      </c>
      <c r="BC639" t="s">
        <v>95</v>
      </c>
      <c r="BD639" t="s">
        <v>96</v>
      </c>
      <c r="BE639" t="s">
        <v>97</v>
      </c>
      <c r="BF639">
        <v>1</v>
      </c>
      <c r="BG639">
        <v>0</v>
      </c>
      <c r="BH639">
        <v>0</v>
      </c>
      <c r="BI639" t="s">
        <v>98</v>
      </c>
    </row>
    <row r="640" spans="1:61">
      <c r="A640" s="164" t="s">
        <v>1780</v>
      </c>
      <c r="B640" t="s">
        <v>1781</v>
      </c>
      <c r="C640">
        <v>0</v>
      </c>
      <c r="D640" t="s">
        <v>486</v>
      </c>
      <c r="E640">
        <v>0</v>
      </c>
      <c r="F640" t="s">
        <v>1782</v>
      </c>
      <c r="G640" t="s">
        <v>78</v>
      </c>
      <c r="H640" t="s">
        <v>79</v>
      </c>
      <c r="I640" t="s">
        <v>80</v>
      </c>
      <c r="J640" t="s">
        <v>163</v>
      </c>
      <c r="K640" t="s">
        <v>82</v>
      </c>
      <c r="L640" t="s">
        <v>83</v>
      </c>
      <c r="M640" t="s">
        <v>84</v>
      </c>
      <c r="N640">
        <v>7.4999999999999997E-2</v>
      </c>
      <c r="O640" t="b">
        <v>1</v>
      </c>
      <c r="P640">
        <v>90</v>
      </c>
      <c r="Q640" t="s">
        <v>137</v>
      </c>
      <c r="U640" s="36">
        <v>0.65352499999999991</v>
      </c>
      <c r="V640" t="s">
        <v>165</v>
      </c>
      <c r="X640">
        <v>0</v>
      </c>
      <c r="Y640">
        <v>240</v>
      </c>
      <c r="Z640">
        <v>0</v>
      </c>
      <c r="AA640">
        <v>35</v>
      </c>
      <c r="AB640">
        <v>0</v>
      </c>
      <c r="AC640">
        <v>0</v>
      </c>
      <c r="AE640" t="s">
        <v>129</v>
      </c>
      <c r="AF640" t="s">
        <v>1782</v>
      </c>
      <c r="AH640">
        <v>0</v>
      </c>
      <c r="AI640">
        <v>10.199999999999999</v>
      </c>
      <c r="AX640" t="s">
        <v>1783</v>
      </c>
      <c r="AY640">
        <v>2.2313999999999998</v>
      </c>
      <c r="AZ640">
        <v>0</v>
      </c>
      <c r="BA640" t="s">
        <v>138</v>
      </c>
      <c r="BB640">
        <v>1.18</v>
      </c>
      <c r="BC640" t="s">
        <v>95</v>
      </c>
      <c r="BD640" t="s">
        <v>96</v>
      </c>
      <c r="BE640" t="s">
        <v>97</v>
      </c>
      <c r="BF640">
        <v>1</v>
      </c>
      <c r="BG640">
        <v>0</v>
      </c>
      <c r="BH640">
        <v>0</v>
      </c>
      <c r="BI640" t="s">
        <v>98</v>
      </c>
    </row>
    <row r="641" spans="1:61">
      <c r="A641" s="164" t="s">
        <v>1784</v>
      </c>
      <c r="B641" t="s">
        <v>1785</v>
      </c>
      <c r="C641">
        <v>0</v>
      </c>
      <c r="D641" t="s">
        <v>486</v>
      </c>
      <c r="E641">
        <v>0</v>
      </c>
      <c r="F641" t="s">
        <v>1178</v>
      </c>
      <c r="G641" t="s">
        <v>78</v>
      </c>
      <c r="H641" t="s">
        <v>79</v>
      </c>
      <c r="I641" t="s">
        <v>80</v>
      </c>
      <c r="J641" t="s">
        <v>163</v>
      </c>
      <c r="K641" t="s">
        <v>82</v>
      </c>
      <c r="L641" t="s">
        <v>83</v>
      </c>
      <c r="M641" t="s">
        <v>84</v>
      </c>
      <c r="N641">
        <v>7.4999999999999997E-2</v>
      </c>
      <c r="O641" t="b">
        <v>1</v>
      </c>
      <c r="P641">
        <v>60</v>
      </c>
      <c r="Q641" t="s">
        <v>137</v>
      </c>
      <c r="U641" s="36">
        <v>0.62094000000000005</v>
      </c>
      <c r="V641" t="s">
        <v>165</v>
      </c>
      <c r="X641">
        <v>0</v>
      </c>
      <c r="Y641">
        <v>240</v>
      </c>
      <c r="Z641">
        <v>0</v>
      </c>
      <c r="AA641">
        <v>35</v>
      </c>
      <c r="AB641">
        <v>0</v>
      </c>
      <c r="AC641">
        <v>0</v>
      </c>
      <c r="AE641" t="s">
        <v>129</v>
      </c>
      <c r="AF641" t="s">
        <v>1178</v>
      </c>
      <c r="AH641">
        <v>0</v>
      </c>
      <c r="AI641">
        <v>11</v>
      </c>
      <c r="AX641" t="s">
        <v>1786</v>
      </c>
      <c r="AY641">
        <v>2.2313999999999998</v>
      </c>
      <c r="AZ641">
        <v>0</v>
      </c>
      <c r="BA641" t="s">
        <v>138</v>
      </c>
      <c r="BB641">
        <v>1.0900000000000001</v>
      </c>
      <c r="BC641" t="s">
        <v>95</v>
      </c>
      <c r="BD641" t="s">
        <v>96</v>
      </c>
      <c r="BE641" t="s">
        <v>97</v>
      </c>
      <c r="BF641">
        <v>1</v>
      </c>
      <c r="BG641">
        <v>0</v>
      </c>
      <c r="BH641">
        <v>0</v>
      </c>
      <c r="BI641" t="s">
        <v>98</v>
      </c>
    </row>
    <row r="642" spans="1:61">
      <c r="A642" s="164" t="s">
        <v>1787</v>
      </c>
      <c r="B642" t="s">
        <v>1788</v>
      </c>
      <c r="C642">
        <v>0</v>
      </c>
      <c r="D642" t="s">
        <v>479</v>
      </c>
      <c r="E642">
        <v>0</v>
      </c>
      <c r="F642" t="s">
        <v>480</v>
      </c>
      <c r="G642" t="s">
        <v>103</v>
      </c>
      <c r="H642" t="s">
        <v>104</v>
      </c>
      <c r="I642" t="s">
        <v>80</v>
      </c>
      <c r="J642" t="s">
        <v>163</v>
      </c>
      <c r="K642" t="s">
        <v>468</v>
      </c>
      <c r="L642" t="s">
        <v>111</v>
      </c>
      <c r="M642" t="s">
        <v>84</v>
      </c>
      <c r="N642">
        <v>0.19</v>
      </c>
      <c r="O642" t="b">
        <v>0</v>
      </c>
      <c r="P642">
        <v>60</v>
      </c>
      <c r="Q642" t="s">
        <v>479</v>
      </c>
      <c r="S642">
        <v>0</v>
      </c>
      <c r="T642">
        <v>1</v>
      </c>
      <c r="U642" s="36">
        <v>1.85226</v>
      </c>
      <c r="V642" t="s">
        <v>468</v>
      </c>
      <c r="X642">
        <v>0</v>
      </c>
      <c r="Z642">
        <v>0</v>
      </c>
      <c r="AB642">
        <v>0</v>
      </c>
      <c r="AC642">
        <v>0</v>
      </c>
      <c r="AE642" t="s">
        <v>129</v>
      </c>
      <c r="AG642" t="s">
        <v>129</v>
      </c>
      <c r="AH642">
        <v>0</v>
      </c>
      <c r="AI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 t="s">
        <v>1768</v>
      </c>
      <c r="AY642">
        <v>0</v>
      </c>
      <c r="AZ642">
        <v>0</v>
      </c>
      <c r="BA642" t="s">
        <v>138</v>
      </c>
      <c r="BB642">
        <v>0</v>
      </c>
      <c r="BC642" t="s">
        <v>95</v>
      </c>
      <c r="BD642" t="s">
        <v>469</v>
      </c>
      <c r="BE642" t="s">
        <v>97</v>
      </c>
      <c r="BF642">
        <v>0</v>
      </c>
      <c r="BG642">
        <v>0</v>
      </c>
      <c r="BH642">
        <v>0</v>
      </c>
      <c r="BI642" t="s">
        <v>98</v>
      </c>
    </row>
    <row r="643" spans="1:61">
      <c r="A643" s="164" t="s">
        <v>1789</v>
      </c>
      <c r="B643" t="s">
        <v>1790</v>
      </c>
      <c r="C643">
        <v>0</v>
      </c>
      <c r="D643" t="s">
        <v>101</v>
      </c>
      <c r="E643">
        <v>0</v>
      </c>
      <c r="F643" t="s">
        <v>102</v>
      </c>
      <c r="G643" t="s">
        <v>103</v>
      </c>
      <c r="H643" t="s">
        <v>104</v>
      </c>
      <c r="I643" t="s">
        <v>80</v>
      </c>
      <c r="J643" t="s">
        <v>109</v>
      </c>
      <c r="K643" t="s">
        <v>110</v>
      </c>
      <c r="L643" t="s">
        <v>111</v>
      </c>
      <c r="M643" t="s">
        <v>84</v>
      </c>
      <c r="N643">
        <v>1.02</v>
      </c>
      <c r="O643" t="b">
        <v>0</v>
      </c>
      <c r="P643">
        <v>45</v>
      </c>
      <c r="Q643" t="s">
        <v>85</v>
      </c>
      <c r="S643">
        <v>0</v>
      </c>
      <c r="T643">
        <v>0</v>
      </c>
      <c r="V643" t="s">
        <v>87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F643" t="s">
        <v>513</v>
      </c>
      <c r="AH643">
        <v>0</v>
      </c>
      <c r="AI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 t="s">
        <v>1791</v>
      </c>
      <c r="AY643">
        <v>0</v>
      </c>
      <c r="AZ643">
        <v>0</v>
      </c>
      <c r="BA643" t="s">
        <v>94</v>
      </c>
      <c r="BB643">
        <v>0</v>
      </c>
      <c r="BC643" t="s">
        <v>115</v>
      </c>
      <c r="BD643" t="s">
        <v>116</v>
      </c>
      <c r="BE643" t="s">
        <v>117</v>
      </c>
      <c r="BF643">
        <v>0</v>
      </c>
      <c r="BG643">
        <v>0</v>
      </c>
      <c r="BH643">
        <v>0</v>
      </c>
      <c r="BI643" t="s">
        <v>98</v>
      </c>
    </row>
    <row r="644" spans="1:61">
      <c r="A644" s="164" t="s">
        <v>1792</v>
      </c>
      <c r="B644" t="s">
        <v>1793</v>
      </c>
      <c r="C644">
        <v>0</v>
      </c>
      <c r="D644" t="s">
        <v>101</v>
      </c>
      <c r="E644">
        <v>0</v>
      </c>
      <c r="F644" t="s">
        <v>102</v>
      </c>
      <c r="G644" t="s">
        <v>103</v>
      </c>
      <c r="H644" t="s">
        <v>104</v>
      </c>
      <c r="I644" t="s">
        <v>80</v>
      </c>
      <c r="J644" t="s">
        <v>109</v>
      </c>
      <c r="K644" t="s">
        <v>110</v>
      </c>
      <c r="L644" t="s">
        <v>111</v>
      </c>
      <c r="M644" t="s">
        <v>84</v>
      </c>
      <c r="N644">
        <v>0.92399999999999993</v>
      </c>
      <c r="O644" t="b">
        <v>0</v>
      </c>
      <c r="P644">
        <v>45</v>
      </c>
      <c r="Q644" t="s">
        <v>85</v>
      </c>
      <c r="S644">
        <v>0</v>
      </c>
      <c r="T644">
        <v>0</v>
      </c>
      <c r="V644" t="s">
        <v>87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 t="s">
        <v>513</v>
      </c>
      <c r="AH644">
        <v>0</v>
      </c>
      <c r="AI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 t="s">
        <v>1794</v>
      </c>
      <c r="AY644">
        <v>0</v>
      </c>
      <c r="AZ644">
        <v>0</v>
      </c>
      <c r="BA644" t="s">
        <v>94</v>
      </c>
      <c r="BB644">
        <v>0</v>
      </c>
      <c r="BC644" t="s">
        <v>115</v>
      </c>
      <c r="BD644" t="s">
        <v>116</v>
      </c>
      <c r="BE644" t="s">
        <v>117</v>
      </c>
      <c r="BF644">
        <v>0</v>
      </c>
      <c r="BG644">
        <v>0</v>
      </c>
      <c r="BH644">
        <v>0</v>
      </c>
      <c r="BI644" t="s">
        <v>98</v>
      </c>
    </row>
    <row r="645" spans="1:61">
      <c r="A645" s="164" t="s">
        <v>1795</v>
      </c>
      <c r="B645" t="s">
        <v>1796</v>
      </c>
      <c r="C645">
        <v>0</v>
      </c>
      <c r="D645" t="s">
        <v>107</v>
      </c>
      <c r="E645">
        <v>0</v>
      </c>
      <c r="F645" t="s">
        <v>499</v>
      </c>
      <c r="G645" t="s">
        <v>103</v>
      </c>
      <c r="H645" t="s">
        <v>104</v>
      </c>
      <c r="I645" t="s">
        <v>80</v>
      </c>
      <c r="J645" t="s">
        <v>109</v>
      </c>
      <c r="K645" t="s">
        <v>110</v>
      </c>
      <c r="L645" t="s">
        <v>111</v>
      </c>
      <c r="M645" t="s">
        <v>84</v>
      </c>
      <c r="N645">
        <v>0.10799999999999998</v>
      </c>
      <c r="O645" t="b">
        <v>0</v>
      </c>
      <c r="P645">
        <v>45</v>
      </c>
      <c r="Q645" t="s">
        <v>85</v>
      </c>
      <c r="R645" t="s">
        <v>86</v>
      </c>
      <c r="S645">
        <v>0.18</v>
      </c>
      <c r="T645">
        <v>1</v>
      </c>
      <c r="V645" t="s">
        <v>87</v>
      </c>
      <c r="W645">
        <v>240</v>
      </c>
      <c r="X645">
        <v>0.38897500000000002</v>
      </c>
      <c r="Y645">
        <v>0</v>
      </c>
      <c r="Z645">
        <v>9.2592592592592587E-3</v>
      </c>
      <c r="AA645">
        <v>30</v>
      </c>
      <c r="AB645">
        <v>0</v>
      </c>
      <c r="AC645">
        <v>500</v>
      </c>
      <c r="AD645">
        <v>2777.7777777777778</v>
      </c>
      <c r="AE645" t="s">
        <v>143</v>
      </c>
      <c r="AF645" t="s">
        <v>113</v>
      </c>
      <c r="AG645" t="s">
        <v>114</v>
      </c>
      <c r="AH645">
        <v>0</v>
      </c>
      <c r="AI645">
        <v>0</v>
      </c>
      <c r="AJ645" t="s">
        <v>91</v>
      </c>
      <c r="AK645" t="s">
        <v>92</v>
      </c>
      <c r="AL645" t="s">
        <v>93</v>
      </c>
      <c r="AM645">
        <v>0.34043629629629629</v>
      </c>
      <c r="AN645">
        <v>0.22695753086419751</v>
      </c>
      <c r="AO645">
        <v>0.35178417283950614</v>
      </c>
      <c r="AP645">
        <v>0</v>
      </c>
      <c r="AQ645">
        <v>8.6691086691086688E-2</v>
      </c>
      <c r="AR645">
        <v>2.6666666666666505E-3</v>
      </c>
      <c r="AS645">
        <v>0</v>
      </c>
      <c r="AT645">
        <v>1.0866910866910866</v>
      </c>
      <c r="AU645">
        <v>1.0026666666666666</v>
      </c>
      <c r="AV645">
        <v>1</v>
      </c>
      <c r="AY645">
        <v>0</v>
      </c>
      <c r="AZ645">
        <v>7</v>
      </c>
      <c r="BA645" t="s">
        <v>94</v>
      </c>
      <c r="BB645">
        <v>0</v>
      </c>
      <c r="BC645" t="s">
        <v>115</v>
      </c>
      <c r="BD645" t="s">
        <v>116</v>
      </c>
      <c r="BE645" t="s">
        <v>117</v>
      </c>
      <c r="BF645">
        <v>0</v>
      </c>
      <c r="BG645">
        <v>0</v>
      </c>
      <c r="BH645">
        <v>0</v>
      </c>
      <c r="BI645" t="s">
        <v>98</v>
      </c>
    </row>
    <row r="646" spans="1:61">
      <c r="A646" s="164" t="s">
        <v>1797</v>
      </c>
      <c r="B646" t="s">
        <v>1798</v>
      </c>
      <c r="C646">
        <v>0</v>
      </c>
      <c r="D646" t="s">
        <v>175</v>
      </c>
      <c r="E646">
        <v>0</v>
      </c>
      <c r="F646" t="s">
        <v>986</v>
      </c>
      <c r="G646" t="s">
        <v>78</v>
      </c>
      <c r="H646" t="s">
        <v>79</v>
      </c>
      <c r="I646" t="s">
        <v>80</v>
      </c>
      <c r="J646" t="s">
        <v>163</v>
      </c>
      <c r="K646" t="s">
        <v>82</v>
      </c>
      <c r="L646" t="s">
        <v>83</v>
      </c>
      <c r="M646" t="s">
        <v>84</v>
      </c>
      <c r="N646">
        <v>0.5</v>
      </c>
      <c r="O646" t="b">
        <v>1</v>
      </c>
      <c r="P646">
        <v>40</v>
      </c>
      <c r="Q646" t="s">
        <v>137</v>
      </c>
      <c r="R646" t="s">
        <v>164</v>
      </c>
      <c r="S646">
        <v>0.5</v>
      </c>
      <c r="T646">
        <v>1</v>
      </c>
      <c r="U646" s="36">
        <v>2.755735</v>
      </c>
      <c r="V646" t="s">
        <v>165</v>
      </c>
      <c r="W646">
        <v>55</v>
      </c>
      <c r="X646">
        <v>0</v>
      </c>
      <c r="Y646">
        <v>45</v>
      </c>
      <c r="Z646">
        <v>0</v>
      </c>
      <c r="AA646">
        <v>35</v>
      </c>
      <c r="AB646">
        <v>0</v>
      </c>
      <c r="AC646">
        <v>0</v>
      </c>
      <c r="AD646">
        <v>1300</v>
      </c>
      <c r="AE646" t="s">
        <v>166</v>
      </c>
      <c r="AF646" t="s">
        <v>986</v>
      </c>
      <c r="AG646" t="s">
        <v>129</v>
      </c>
      <c r="AH646">
        <v>0</v>
      </c>
      <c r="AI646">
        <v>9.4</v>
      </c>
      <c r="AJ646" t="s">
        <v>493</v>
      </c>
      <c r="AM646">
        <v>9.66</v>
      </c>
      <c r="AN646">
        <v>0</v>
      </c>
      <c r="AO646">
        <v>0</v>
      </c>
      <c r="AP646">
        <v>0</v>
      </c>
      <c r="AQ646">
        <v>4.8346055979643761E-2</v>
      </c>
      <c r="AR646">
        <v>0</v>
      </c>
      <c r="AS646">
        <v>0</v>
      </c>
      <c r="AT646">
        <v>1.0483460559796438</v>
      </c>
      <c r="AU646">
        <v>0</v>
      </c>
      <c r="AV646">
        <v>0</v>
      </c>
      <c r="AW646">
        <v>0</v>
      </c>
      <c r="AX646" t="s">
        <v>1799</v>
      </c>
      <c r="AY646">
        <v>4.2507999999999999</v>
      </c>
      <c r="AZ646">
        <v>4</v>
      </c>
      <c r="BA646" t="s">
        <v>138</v>
      </c>
      <c r="BB646">
        <v>5.79</v>
      </c>
      <c r="BC646" t="s">
        <v>95</v>
      </c>
      <c r="BD646" t="s">
        <v>96</v>
      </c>
      <c r="BE646" t="s">
        <v>97</v>
      </c>
      <c r="BF646">
        <v>1</v>
      </c>
      <c r="BG646">
        <v>0</v>
      </c>
      <c r="BH646">
        <v>0</v>
      </c>
      <c r="BI646" t="s">
        <v>98</v>
      </c>
    </row>
    <row r="647" spans="1:61">
      <c r="A647" s="164" t="s">
        <v>1800</v>
      </c>
      <c r="B647" t="s">
        <v>1801</v>
      </c>
      <c r="C647">
        <v>0</v>
      </c>
      <c r="D647" t="s">
        <v>107</v>
      </c>
      <c r="E647">
        <v>0</v>
      </c>
      <c r="F647" t="s">
        <v>499</v>
      </c>
      <c r="G647" t="s">
        <v>103</v>
      </c>
      <c r="H647" t="s">
        <v>104</v>
      </c>
      <c r="I647" t="s">
        <v>80</v>
      </c>
      <c r="J647" t="s">
        <v>109</v>
      </c>
      <c r="K647" t="s">
        <v>110</v>
      </c>
      <c r="L647" t="s">
        <v>111</v>
      </c>
      <c r="M647" t="s">
        <v>84</v>
      </c>
      <c r="N647">
        <v>0.10799999999999998</v>
      </c>
      <c r="O647" t="b">
        <v>0</v>
      </c>
      <c r="P647">
        <v>45</v>
      </c>
      <c r="Q647" t="s">
        <v>85</v>
      </c>
      <c r="R647" t="s">
        <v>86</v>
      </c>
      <c r="S647">
        <v>0.18</v>
      </c>
      <c r="T647">
        <v>1</v>
      </c>
      <c r="V647" t="s">
        <v>87</v>
      </c>
      <c r="W647">
        <v>240</v>
      </c>
      <c r="X647">
        <v>0.38897500000000002</v>
      </c>
      <c r="Y647">
        <v>0</v>
      </c>
      <c r="Z647">
        <v>9.2592592592592587E-3</v>
      </c>
      <c r="AA647">
        <v>30</v>
      </c>
      <c r="AB647">
        <v>0</v>
      </c>
      <c r="AC647">
        <v>500</v>
      </c>
      <c r="AD647">
        <v>2777.7777777777778</v>
      </c>
      <c r="AE647" t="s">
        <v>143</v>
      </c>
      <c r="AF647" t="s">
        <v>113</v>
      </c>
      <c r="AG647" t="s">
        <v>114</v>
      </c>
      <c r="AH647">
        <v>0</v>
      </c>
      <c r="AI647">
        <v>0</v>
      </c>
      <c r="AJ647" t="s">
        <v>91</v>
      </c>
      <c r="AK647" t="s">
        <v>92</v>
      </c>
      <c r="AL647" t="s">
        <v>93</v>
      </c>
      <c r="AM647">
        <v>0.34043629629629629</v>
      </c>
      <c r="AN647">
        <v>0.22695753086419751</v>
      </c>
      <c r="AO647">
        <v>0.35178417283950614</v>
      </c>
      <c r="AP647">
        <v>0</v>
      </c>
      <c r="AQ647">
        <v>8.6691086691086688E-2</v>
      </c>
      <c r="AR647">
        <v>2.6666666666666505E-3</v>
      </c>
      <c r="AS647">
        <v>0</v>
      </c>
      <c r="AT647">
        <v>1.0866910866910866</v>
      </c>
      <c r="AU647">
        <v>1.0026666666666666</v>
      </c>
      <c r="AV647">
        <v>1</v>
      </c>
      <c r="AY647">
        <v>0</v>
      </c>
      <c r="AZ647">
        <v>8</v>
      </c>
      <c r="BA647" t="s">
        <v>94</v>
      </c>
      <c r="BB647">
        <v>0</v>
      </c>
      <c r="BC647" t="s">
        <v>115</v>
      </c>
      <c r="BD647" t="s">
        <v>116</v>
      </c>
      <c r="BE647" t="s">
        <v>117</v>
      </c>
      <c r="BF647">
        <v>0</v>
      </c>
      <c r="BG647">
        <v>0</v>
      </c>
      <c r="BH647">
        <v>0</v>
      </c>
      <c r="BI647" t="s">
        <v>98</v>
      </c>
    </row>
    <row r="648" spans="1:61">
      <c r="A648" s="164" t="s">
        <v>1802</v>
      </c>
      <c r="B648" t="s">
        <v>1803</v>
      </c>
      <c r="C648">
        <v>0</v>
      </c>
      <c r="D648" t="s">
        <v>124</v>
      </c>
      <c r="E648">
        <v>0</v>
      </c>
      <c r="F648" t="s">
        <v>125</v>
      </c>
      <c r="G648" t="s">
        <v>103</v>
      </c>
      <c r="H648" t="s">
        <v>104</v>
      </c>
      <c r="I648" t="s">
        <v>126</v>
      </c>
      <c r="J648" t="s">
        <v>127</v>
      </c>
      <c r="K648" t="s">
        <v>468</v>
      </c>
      <c r="L648" t="s">
        <v>111</v>
      </c>
      <c r="M648" t="s">
        <v>84</v>
      </c>
      <c r="N648">
        <v>0.25</v>
      </c>
      <c r="O648" t="b">
        <v>0</v>
      </c>
      <c r="P648">
        <v>180</v>
      </c>
      <c r="Q648" t="s">
        <v>85</v>
      </c>
      <c r="S648">
        <v>0</v>
      </c>
      <c r="T648">
        <v>1</v>
      </c>
      <c r="V648" t="s">
        <v>87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G648" t="s">
        <v>129</v>
      </c>
      <c r="AH648">
        <v>0</v>
      </c>
      <c r="AI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 t="s">
        <v>1804</v>
      </c>
      <c r="AY648">
        <v>0</v>
      </c>
      <c r="AZ648">
        <v>0</v>
      </c>
      <c r="BA648" t="s">
        <v>94</v>
      </c>
      <c r="BB648">
        <v>0</v>
      </c>
      <c r="BC648" t="s">
        <v>95</v>
      </c>
      <c r="BD648" t="s">
        <v>139</v>
      </c>
      <c r="BE648" t="s">
        <v>97</v>
      </c>
      <c r="BF648">
        <v>0</v>
      </c>
      <c r="BG648">
        <v>0</v>
      </c>
      <c r="BH648">
        <v>0</v>
      </c>
      <c r="BI648" t="s">
        <v>98</v>
      </c>
    </row>
    <row r="649" spans="1:61">
      <c r="A649" s="164" t="s">
        <v>1805</v>
      </c>
      <c r="B649" t="s">
        <v>1806</v>
      </c>
      <c r="C649">
        <v>0</v>
      </c>
      <c r="D649" t="s">
        <v>479</v>
      </c>
      <c r="E649">
        <v>0</v>
      </c>
      <c r="F649" t="s">
        <v>480</v>
      </c>
      <c r="G649" t="s">
        <v>103</v>
      </c>
      <c r="H649" t="s">
        <v>104</v>
      </c>
      <c r="I649" t="s">
        <v>80</v>
      </c>
      <c r="J649" t="s">
        <v>467</v>
      </c>
      <c r="K649" t="s">
        <v>468</v>
      </c>
      <c r="L649" t="s">
        <v>111</v>
      </c>
      <c r="M649" t="s">
        <v>84</v>
      </c>
      <c r="N649">
        <v>1.1000000000000001</v>
      </c>
      <c r="O649" t="b">
        <v>0</v>
      </c>
      <c r="P649">
        <v>45</v>
      </c>
      <c r="Q649" t="s">
        <v>479</v>
      </c>
      <c r="S649">
        <v>0</v>
      </c>
      <c r="T649">
        <v>1</v>
      </c>
      <c r="U649" s="36">
        <v>1.5577699999999999</v>
      </c>
      <c r="V649" t="s">
        <v>87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G649" t="s">
        <v>129</v>
      </c>
      <c r="AH649">
        <v>0</v>
      </c>
      <c r="AI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Y649">
        <v>0</v>
      </c>
      <c r="AZ649">
        <v>7</v>
      </c>
      <c r="BA649" t="s">
        <v>138</v>
      </c>
      <c r="BB649">
        <v>0</v>
      </c>
      <c r="BC649" t="s">
        <v>95</v>
      </c>
      <c r="BD649" t="s">
        <v>469</v>
      </c>
      <c r="BE649" t="s">
        <v>97</v>
      </c>
      <c r="BF649">
        <v>0</v>
      </c>
      <c r="BG649">
        <v>0</v>
      </c>
      <c r="BH649">
        <v>0</v>
      </c>
      <c r="BI649" t="s">
        <v>98</v>
      </c>
    </row>
    <row r="650" spans="1:61">
      <c r="A650" s="164" t="s">
        <v>1807</v>
      </c>
      <c r="B650" t="s">
        <v>1808</v>
      </c>
      <c r="C650">
        <v>0</v>
      </c>
      <c r="D650" t="s">
        <v>479</v>
      </c>
      <c r="E650">
        <v>0</v>
      </c>
      <c r="F650" t="s">
        <v>480</v>
      </c>
      <c r="G650" t="s">
        <v>103</v>
      </c>
      <c r="H650" t="s">
        <v>104</v>
      </c>
      <c r="I650" t="s">
        <v>80</v>
      </c>
      <c r="J650" t="s">
        <v>81</v>
      </c>
      <c r="K650" t="s">
        <v>468</v>
      </c>
      <c r="L650" t="s">
        <v>111</v>
      </c>
      <c r="M650" t="s">
        <v>84</v>
      </c>
      <c r="N650">
        <v>0.46300000000000002</v>
      </c>
      <c r="O650" t="b">
        <v>0</v>
      </c>
      <c r="P650">
        <v>45</v>
      </c>
      <c r="Q650" t="s">
        <v>479</v>
      </c>
      <c r="S650">
        <v>0</v>
      </c>
      <c r="T650">
        <v>1</v>
      </c>
      <c r="V650" t="s">
        <v>468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G650" t="s">
        <v>129</v>
      </c>
      <c r="AH650">
        <v>0</v>
      </c>
      <c r="AI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Y650">
        <v>0</v>
      </c>
      <c r="AZ650">
        <v>0</v>
      </c>
      <c r="BA650" t="s">
        <v>138</v>
      </c>
      <c r="BB650">
        <v>0</v>
      </c>
      <c r="BC650" t="s">
        <v>95</v>
      </c>
      <c r="BD650" t="s">
        <v>139</v>
      </c>
      <c r="BE650" t="s">
        <v>97</v>
      </c>
      <c r="BF650">
        <v>0</v>
      </c>
      <c r="BG650">
        <v>0</v>
      </c>
      <c r="BH650">
        <v>0</v>
      </c>
      <c r="BI650" t="s">
        <v>98</v>
      </c>
    </row>
    <row r="651" spans="1:61">
      <c r="A651" s="164" t="s">
        <v>1809</v>
      </c>
      <c r="B651" t="s">
        <v>1810</v>
      </c>
      <c r="C651">
        <v>0</v>
      </c>
      <c r="D651" t="s">
        <v>1811</v>
      </c>
      <c r="E651">
        <v>0</v>
      </c>
      <c r="F651" t="s">
        <v>1812</v>
      </c>
      <c r="G651" t="s">
        <v>78</v>
      </c>
      <c r="H651" t="s">
        <v>79</v>
      </c>
      <c r="I651" t="s">
        <v>80</v>
      </c>
      <c r="J651" t="s">
        <v>163</v>
      </c>
      <c r="K651" t="s">
        <v>82</v>
      </c>
      <c r="L651" t="s">
        <v>83</v>
      </c>
      <c r="M651" t="s">
        <v>84</v>
      </c>
      <c r="N651">
        <v>1</v>
      </c>
      <c r="O651" t="b">
        <v>1</v>
      </c>
      <c r="P651">
        <v>40</v>
      </c>
      <c r="Q651" t="s">
        <v>137</v>
      </c>
      <c r="R651" t="s">
        <v>86</v>
      </c>
      <c r="S651">
        <v>1</v>
      </c>
      <c r="T651">
        <v>1</v>
      </c>
      <c r="U651" s="36">
        <v>4.0543500000000003</v>
      </c>
      <c r="V651" t="s">
        <v>991</v>
      </c>
      <c r="W651">
        <v>3</v>
      </c>
      <c r="X651">
        <v>0</v>
      </c>
      <c r="Y651">
        <v>24</v>
      </c>
      <c r="Z651">
        <v>4.1666666666666664E-2</v>
      </c>
      <c r="AA651">
        <v>0</v>
      </c>
      <c r="AB651">
        <v>0</v>
      </c>
      <c r="AC651">
        <v>0</v>
      </c>
      <c r="AD651">
        <v>500</v>
      </c>
      <c r="AE651" t="s">
        <v>996</v>
      </c>
      <c r="AF651" t="s">
        <v>1812</v>
      </c>
      <c r="AG651" t="s">
        <v>129</v>
      </c>
      <c r="AH651">
        <v>0</v>
      </c>
      <c r="AI651">
        <v>1.8</v>
      </c>
      <c r="AM651">
        <v>1.6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1.4</v>
      </c>
      <c r="AX651" t="s">
        <v>1813</v>
      </c>
      <c r="AY651">
        <v>7.3199999999999994</v>
      </c>
      <c r="AZ651">
        <v>0</v>
      </c>
      <c r="BA651" t="s">
        <v>138</v>
      </c>
      <c r="BB651">
        <v>4.9400000000000004</v>
      </c>
      <c r="BC651" t="s">
        <v>95</v>
      </c>
      <c r="BD651" t="s">
        <v>96</v>
      </c>
      <c r="BE651" t="s">
        <v>97</v>
      </c>
      <c r="BF651">
        <v>1</v>
      </c>
      <c r="BG651">
        <v>0</v>
      </c>
      <c r="BH651">
        <v>0</v>
      </c>
      <c r="BI651" t="s">
        <v>98</v>
      </c>
    </row>
    <row r="652" spans="1:61">
      <c r="A652" s="164" t="s">
        <v>1814</v>
      </c>
      <c r="B652" t="s">
        <v>1815</v>
      </c>
      <c r="C652">
        <v>0</v>
      </c>
      <c r="D652" t="s">
        <v>175</v>
      </c>
      <c r="E652">
        <v>0</v>
      </c>
      <c r="F652" t="s">
        <v>176</v>
      </c>
      <c r="G652" t="s">
        <v>78</v>
      </c>
      <c r="H652" t="s">
        <v>79</v>
      </c>
      <c r="I652" t="s">
        <v>80</v>
      </c>
      <c r="J652" t="s">
        <v>163</v>
      </c>
      <c r="K652" t="s">
        <v>82</v>
      </c>
      <c r="L652" t="s">
        <v>83</v>
      </c>
      <c r="M652" t="s">
        <v>84</v>
      </c>
      <c r="N652">
        <v>0.3</v>
      </c>
      <c r="O652" t="b">
        <v>1</v>
      </c>
      <c r="P652">
        <v>30</v>
      </c>
      <c r="Q652" t="s">
        <v>137</v>
      </c>
      <c r="S652">
        <v>0.3</v>
      </c>
      <c r="T652">
        <v>1</v>
      </c>
      <c r="U652" s="36">
        <v>2.0200649999999998</v>
      </c>
      <c r="V652" t="s">
        <v>165</v>
      </c>
      <c r="X652">
        <v>0</v>
      </c>
      <c r="Y652">
        <v>30</v>
      </c>
      <c r="Z652">
        <v>3.3333333333333333E-2</v>
      </c>
      <c r="AA652">
        <v>35</v>
      </c>
      <c r="AB652">
        <v>0</v>
      </c>
      <c r="AC652">
        <v>0</v>
      </c>
      <c r="AE652" t="s">
        <v>129</v>
      </c>
      <c r="AF652" t="s">
        <v>176</v>
      </c>
      <c r="AG652" t="s">
        <v>129</v>
      </c>
      <c r="AH652">
        <v>0</v>
      </c>
      <c r="AI652">
        <v>9.5</v>
      </c>
      <c r="AJ652" t="s">
        <v>177</v>
      </c>
      <c r="AM652">
        <v>10.11</v>
      </c>
      <c r="AN652">
        <v>0</v>
      </c>
      <c r="AO652">
        <v>0</v>
      </c>
      <c r="AP652">
        <v>0</v>
      </c>
      <c r="AQ652">
        <v>2.8571428571428564E-2</v>
      </c>
      <c r="AR652">
        <v>0</v>
      </c>
      <c r="AS652">
        <v>0</v>
      </c>
      <c r="AT652">
        <v>1.0285714285714285</v>
      </c>
      <c r="AU652">
        <v>0</v>
      </c>
      <c r="AV652">
        <v>0</v>
      </c>
      <c r="AW652">
        <v>0</v>
      </c>
      <c r="AX652" t="s">
        <v>1816</v>
      </c>
      <c r="AY652">
        <v>10.07</v>
      </c>
      <c r="AZ652">
        <v>0</v>
      </c>
      <c r="BA652" t="s">
        <v>138</v>
      </c>
      <c r="BB652">
        <v>4.7699999999999996</v>
      </c>
      <c r="BC652" t="s">
        <v>95</v>
      </c>
      <c r="BD652" t="s">
        <v>96</v>
      </c>
      <c r="BE652" t="s">
        <v>97</v>
      </c>
      <c r="BF652">
        <v>1</v>
      </c>
      <c r="BG652">
        <v>0</v>
      </c>
      <c r="BH652">
        <v>0</v>
      </c>
      <c r="BI652" t="s">
        <v>98</v>
      </c>
    </row>
    <row r="653" spans="1:61">
      <c r="A653" s="164" t="s">
        <v>1817</v>
      </c>
      <c r="B653" t="s">
        <v>1818</v>
      </c>
      <c r="C653">
        <v>0</v>
      </c>
      <c r="D653" t="s">
        <v>194</v>
      </c>
      <c r="E653">
        <v>0</v>
      </c>
      <c r="F653" t="s">
        <v>195</v>
      </c>
      <c r="G653" t="s">
        <v>78</v>
      </c>
      <c r="H653" t="s">
        <v>79</v>
      </c>
      <c r="I653" t="s">
        <v>80</v>
      </c>
      <c r="J653" t="s">
        <v>196</v>
      </c>
      <c r="K653" t="s">
        <v>13</v>
      </c>
      <c r="L653" t="s">
        <v>83</v>
      </c>
      <c r="M653" t="s">
        <v>84</v>
      </c>
      <c r="N653">
        <v>1</v>
      </c>
      <c r="O653" t="b">
        <v>1</v>
      </c>
      <c r="P653">
        <v>0</v>
      </c>
      <c r="BB653">
        <v>0</v>
      </c>
      <c r="BC653" t="s">
        <v>197</v>
      </c>
      <c r="BD653" t="s">
        <v>198</v>
      </c>
      <c r="BE653" t="s">
        <v>117</v>
      </c>
      <c r="BF653">
        <v>0</v>
      </c>
      <c r="BG653">
        <v>0</v>
      </c>
      <c r="BH653">
        <v>0</v>
      </c>
    </row>
    <row r="654" spans="1:61">
      <c r="A654" s="164" t="s">
        <v>1819</v>
      </c>
      <c r="B654" t="s">
        <v>1820</v>
      </c>
      <c r="C654">
        <v>0</v>
      </c>
      <c r="D654" t="s">
        <v>194</v>
      </c>
      <c r="E654">
        <v>0</v>
      </c>
      <c r="F654" t="s">
        <v>1264</v>
      </c>
      <c r="G654" t="s">
        <v>78</v>
      </c>
      <c r="H654" t="s">
        <v>79</v>
      </c>
      <c r="I654" t="s">
        <v>80</v>
      </c>
      <c r="J654" t="s">
        <v>196</v>
      </c>
      <c r="K654" t="s">
        <v>13</v>
      </c>
      <c r="L654" t="s">
        <v>83</v>
      </c>
      <c r="M654" t="s">
        <v>84</v>
      </c>
      <c r="N654">
        <v>1</v>
      </c>
      <c r="O654" t="b">
        <v>1</v>
      </c>
      <c r="P654">
        <v>0</v>
      </c>
      <c r="BB654">
        <v>0</v>
      </c>
      <c r="BC654" t="s">
        <v>197</v>
      </c>
      <c r="BD654" t="s">
        <v>1265</v>
      </c>
      <c r="BE654" t="s">
        <v>117</v>
      </c>
      <c r="BF654">
        <v>0</v>
      </c>
      <c r="BG654">
        <v>0</v>
      </c>
      <c r="BH654">
        <v>0</v>
      </c>
    </row>
    <row r="655" spans="1:61">
      <c r="A655" s="164" t="s">
        <v>1821</v>
      </c>
      <c r="B655" t="s">
        <v>1822</v>
      </c>
      <c r="C655">
        <v>0</v>
      </c>
      <c r="D655" t="s">
        <v>194</v>
      </c>
      <c r="E655">
        <v>0</v>
      </c>
      <c r="F655" t="s">
        <v>1264</v>
      </c>
      <c r="G655" t="s">
        <v>78</v>
      </c>
      <c r="H655" t="s">
        <v>79</v>
      </c>
      <c r="I655" t="s">
        <v>80</v>
      </c>
      <c r="J655" t="s">
        <v>196</v>
      </c>
      <c r="K655" t="s">
        <v>13</v>
      </c>
      <c r="L655" t="s">
        <v>83</v>
      </c>
      <c r="M655" t="s">
        <v>84</v>
      </c>
      <c r="N655">
        <v>1</v>
      </c>
      <c r="O655" t="b">
        <v>1</v>
      </c>
      <c r="P655">
        <v>0</v>
      </c>
      <c r="BB655">
        <v>0</v>
      </c>
      <c r="BC655" t="s">
        <v>197</v>
      </c>
      <c r="BD655" t="s">
        <v>1265</v>
      </c>
      <c r="BE655" t="s">
        <v>117</v>
      </c>
      <c r="BF655">
        <v>0</v>
      </c>
      <c r="BG655">
        <v>0</v>
      </c>
      <c r="BH655">
        <v>0</v>
      </c>
    </row>
    <row r="656" spans="1:61">
      <c r="A656" s="164" t="s">
        <v>1823</v>
      </c>
      <c r="B656" t="s">
        <v>1824</v>
      </c>
      <c r="C656">
        <v>0</v>
      </c>
      <c r="D656" t="s">
        <v>194</v>
      </c>
      <c r="E656">
        <v>0</v>
      </c>
      <c r="F656" t="s">
        <v>1264</v>
      </c>
      <c r="G656" t="s">
        <v>78</v>
      </c>
      <c r="H656" t="s">
        <v>79</v>
      </c>
      <c r="I656" t="s">
        <v>80</v>
      </c>
      <c r="J656" t="s">
        <v>196</v>
      </c>
      <c r="K656" t="s">
        <v>13</v>
      </c>
      <c r="L656" t="s">
        <v>83</v>
      </c>
      <c r="M656" t="s">
        <v>84</v>
      </c>
      <c r="N656">
        <v>1</v>
      </c>
      <c r="O656" t="b">
        <v>1</v>
      </c>
      <c r="P656">
        <v>0</v>
      </c>
      <c r="BB656">
        <v>0</v>
      </c>
      <c r="BC656" t="s">
        <v>197</v>
      </c>
      <c r="BD656" t="s">
        <v>1265</v>
      </c>
      <c r="BE656" t="s">
        <v>117</v>
      </c>
      <c r="BF656">
        <v>0</v>
      </c>
      <c r="BG656">
        <v>0</v>
      </c>
      <c r="BH656">
        <v>0</v>
      </c>
    </row>
    <row r="657" spans="1:61">
      <c r="A657" s="164" t="s">
        <v>1825</v>
      </c>
      <c r="B657" t="s">
        <v>1826</v>
      </c>
      <c r="C657">
        <v>0</v>
      </c>
      <c r="D657" t="s">
        <v>194</v>
      </c>
      <c r="E657">
        <v>0</v>
      </c>
      <c r="F657" t="s">
        <v>1264</v>
      </c>
      <c r="G657" t="s">
        <v>78</v>
      </c>
      <c r="H657" t="s">
        <v>79</v>
      </c>
      <c r="I657" t="s">
        <v>80</v>
      </c>
      <c r="J657" t="s">
        <v>196</v>
      </c>
      <c r="K657" t="s">
        <v>13</v>
      </c>
      <c r="L657" t="s">
        <v>83</v>
      </c>
      <c r="M657" t="s">
        <v>84</v>
      </c>
      <c r="N657">
        <v>1</v>
      </c>
      <c r="O657" t="b">
        <v>1</v>
      </c>
      <c r="P657">
        <v>0</v>
      </c>
      <c r="BB657">
        <v>0</v>
      </c>
      <c r="BC657" t="s">
        <v>197</v>
      </c>
      <c r="BD657" t="s">
        <v>1265</v>
      </c>
      <c r="BE657" t="s">
        <v>117</v>
      </c>
      <c r="BF657">
        <v>0</v>
      </c>
      <c r="BG657">
        <v>0</v>
      </c>
      <c r="BH657">
        <v>0</v>
      </c>
    </row>
    <row r="658" spans="1:61">
      <c r="A658" s="164" t="s">
        <v>1827</v>
      </c>
      <c r="B658" t="s">
        <v>1828</v>
      </c>
      <c r="C658">
        <v>0</v>
      </c>
      <c r="D658" t="s">
        <v>194</v>
      </c>
      <c r="E658">
        <v>0</v>
      </c>
      <c r="F658" t="s">
        <v>195</v>
      </c>
      <c r="G658" t="s">
        <v>78</v>
      </c>
      <c r="H658" t="s">
        <v>79</v>
      </c>
      <c r="I658" t="s">
        <v>80</v>
      </c>
      <c r="J658" t="s">
        <v>196</v>
      </c>
      <c r="K658" t="s">
        <v>13</v>
      </c>
      <c r="L658" t="s">
        <v>83</v>
      </c>
      <c r="M658" t="s">
        <v>205</v>
      </c>
      <c r="N658">
        <v>1</v>
      </c>
      <c r="O658" t="b">
        <v>1</v>
      </c>
      <c r="P658">
        <v>0</v>
      </c>
      <c r="BB658">
        <v>0</v>
      </c>
      <c r="BC658" t="s">
        <v>197</v>
      </c>
      <c r="BD658" t="s">
        <v>198</v>
      </c>
      <c r="BE658" t="s">
        <v>117</v>
      </c>
      <c r="BF658">
        <v>0</v>
      </c>
      <c r="BG658">
        <v>0</v>
      </c>
      <c r="BH658">
        <v>0</v>
      </c>
    </row>
    <row r="659" spans="1:61">
      <c r="A659" s="164" t="s">
        <v>1829</v>
      </c>
      <c r="B659" t="s">
        <v>1830</v>
      </c>
      <c r="C659">
        <v>0</v>
      </c>
      <c r="D659" t="s">
        <v>194</v>
      </c>
      <c r="E659">
        <v>0</v>
      </c>
      <c r="F659" t="s">
        <v>195</v>
      </c>
      <c r="G659" t="s">
        <v>78</v>
      </c>
      <c r="H659" t="s">
        <v>79</v>
      </c>
      <c r="I659" t="s">
        <v>80</v>
      </c>
      <c r="J659" t="s">
        <v>196</v>
      </c>
      <c r="K659" t="s">
        <v>13</v>
      </c>
      <c r="L659" t="s">
        <v>83</v>
      </c>
      <c r="M659" t="s">
        <v>205</v>
      </c>
      <c r="N659">
        <v>1</v>
      </c>
      <c r="O659" t="b">
        <v>1</v>
      </c>
      <c r="P659">
        <v>0</v>
      </c>
      <c r="BB659">
        <v>0</v>
      </c>
      <c r="BC659" t="s">
        <v>197</v>
      </c>
      <c r="BD659" t="s">
        <v>198</v>
      </c>
      <c r="BE659" t="s">
        <v>117</v>
      </c>
      <c r="BF659">
        <v>0</v>
      </c>
      <c r="BG659">
        <v>0</v>
      </c>
      <c r="BH659">
        <v>0</v>
      </c>
    </row>
    <row r="660" spans="1:61">
      <c r="A660" s="164" t="s">
        <v>1831</v>
      </c>
      <c r="B660" t="s">
        <v>1832</v>
      </c>
      <c r="C660">
        <v>0</v>
      </c>
      <c r="D660" t="s">
        <v>194</v>
      </c>
      <c r="E660">
        <v>0</v>
      </c>
      <c r="F660" t="s">
        <v>195</v>
      </c>
      <c r="G660" t="s">
        <v>78</v>
      </c>
      <c r="H660" t="s">
        <v>79</v>
      </c>
      <c r="I660" t="s">
        <v>80</v>
      </c>
      <c r="J660" t="s">
        <v>196</v>
      </c>
      <c r="K660" t="s">
        <v>13</v>
      </c>
      <c r="L660" t="s">
        <v>83</v>
      </c>
      <c r="M660" t="s">
        <v>205</v>
      </c>
      <c r="N660">
        <v>1</v>
      </c>
      <c r="O660" t="b">
        <v>1</v>
      </c>
      <c r="P660">
        <v>0</v>
      </c>
      <c r="BB660">
        <v>0</v>
      </c>
      <c r="BC660" t="s">
        <v>197</v>
      </c>
      <c r="BD660" t="s">
        <v>198</v>
      </c>
      <c r="BE660" t="s">
        <v>117</v>
      </c>
      <c r="BF660">
        <v>0</v>
      </c>
      <c r="BG660">
        <v>0</v>
      </c>
      <c r="BH660">
        <v>0</v>
      </c>
    </row>
    <row r="661" spans="1:61">
      <c r="A661" s="164" t="s">
        <v>1833</v>
      </c>
      <c r="B661" t="s">
        <v>1834</v>
      </c>
      <c r="C661">
        <v>0</v>
      </c>
      <c r="D661" t="s">
        <v>194</v>
      </c>
      <c r="E661">
        <v>0</v>
      </c>
      <c r="F661" t="s">
        <v>195</v>
      </c>
      <c r="G661" t="s">
        <v>78</v>
      </c>
      <c r="H661" t="s">
        <v>79</v>
      </c>
      <c r="I661" t="s">
        <v>80</v>
      </c>
      <c r="J661" t="s">
        <v>196</v>
      </c>
      <c r="K661" t="s">
        <v>13</v>
      </c>
      <c r="L661" t="s">
        <v>83</v>
      </c>
      <c r="M661" t="s">
        <v>84</v>
      </c>
      <c r="N661">
        <v>1</v>
      </c>
      <c r="O661" t="b">
        <v>1</v>
      </c>
      <c r="P661">
        <v>0</v>
      </c>
      <c r="BB661">
        <v>0</v>
      </c>
      <c r="BC661" t="s">
        <v>197</v>
      </c>
      <c r="BD661" t="s">
        <v>198</v>
      </c>
      <c r="BE661" t="s">
        <v>117</v>
      </c>
      <c r="BF661">
        <v>0</v>
      </c>
      <c r="BG661">
        <v>0</v>
      </c>
      <c r="BH661">
        <v>0</v>
      </c>
    </row>
    <row r="662" spans="1:61">
      <c r="A662" s="164" t="s">
        <v>1835</v>
      </c>
      <c r="B662" t="s">
        <v>1836</v>
      </c>
      <c r="C662">
        <v>0</v>
      </c>
      <c r="D662" t="s">
        <v>194</v>
      </c>
      <c r="E662">
        <v>0</v>
      </c>
      <c r="F662" t="s">
        <v>195</v>
      </c>
      <c r="G662" t="s">
        <v>78</v>
      </c>
      <c r="H662" t="s">
        <v>79</v>
      </c>
      <c r="I662" t="s">
        <v>80</v>
      </c>
      <c r="J662" t="s">
        <v>196</v>
      </c>
      <c r="K662" t="s">
        <v>13</v>
      </c>
      <c r="L662" t="s">
        <v>83</v>
      </c>
      <c r="M662" t="s">
        <v>84</v>
      </c>
      <c r="N662">
        <v>1</v>
      </c>
      <c r="O662" t="b">
        <v>1</v>
      </c>
      <c r="P662">
        <v>0</v>
      </c>
      <c r="BB662">
        <v>0</v>
      </c>
      <c r="BC662" t="s">
        <v>197</v>
      </c>
      <c r="BD662" t="s">
        <v>198</v>
      </c>
      <c r="BE662" t="s">
        <v>117</v>
      </c>
      <c r="BF662">
        <v>0</v>
      </c>
      <c r="BG662">
        <v>0</v>
      </c>
      <c r="BH662">
        <v>0</v>
      </c>
    </row>
    <row r="663" spans="1:61">
      <c r="A663" s="164" t="s">
        <v>1837</v>
      </c>
      <c r="B663" t="s">
        <v>1838</v>
      </c>
      <c r="C663">
        <v>0</v>
      </c>
      <c r="D663" t="s">
        <v>194</v>
      </c>
      <c r="E663">
        <v>0</v>
      </c>
      <c r="F663" t="s">
        <v>195</v>
      </c>
      <c r="G663" t="s">
        <v>78</v>
      </c>
      <c r="H663" t="s">
        <v>79</v>
      </c>
      <c r="I663" t="s">
        <v>80</v>
      </c>
      <c r="J663" t="s">
        <v>196</v>
      </c>
      <c r="K663" t="s">
        <v>13</v>
      </c>
      <c r="L663" t="s">
        <v>83</v>
      </c>
      <c r="M663" t="s">
        <v>84</v>
      </c>
      <c r="N663">
        <v>1</v>
      </c>
      <c r="O663" t="b">
        <v>1</v>
      </c>
      <c r="P663">
        <v>0</v>
      </c>
      <c r="BB663">
        <v>0</v>
      </c>
      <c r="BC663" t="s">
        <v>197</v>
      </c>
      <c r="BD663" t="s">
        <v>198</v>
      </c>
      <c r="BE663" t="s">
        <v>117</v>
      </c>
      <c r="BF663">
        <v>0</v>
      </c>
      <c r="BG663">
        <v>0</v>
      </c>
      <c r="BH663">
        <v>0</v>
      </c>
    </row>
    <row r="664" spans="1:61">
      <c r="A664" s="164" t="s">
        <v>1839</v>
      </c>
      <c r="B664" t="s">
        <v>1840</v>
      </c>
      <c r="C664">
        <v>0</v>
      </c>
      <c r="D664" t="s">
        <v>194</v>
      </c>
      <c r="E664">
        <v>0</v>
      </c>
      <c r="F664" t="s">
        <v>195</v>
      </c>
      <c r="G664" t="s">
        <v>78</v>
      </c>
      <c r="H664" t="s">
        <v>79</v>
      </c>
      <c r="I664" t="s">
        <v>80</v>
      </c>
      <c r="J664" t="s">
        <v>196</v>
      </c>
      <c r="K664" t="s">
        <v>13</v>
      </c>
      <c r="L664" t="s">
        <v>83</v>
      </c>
      <c r="M664" t="s">
        <v>205</v>
      </c>
      <c r="N664">
        <v>1</v>
      </c>
      <c r="O664" t="b">
        <v>1</v>
      </c>
      <c r="P664">
        <v>0</v>
      </c>
      <c r="BB664">
        <v>0</v>
      </c>
      <c r="BC664" t="s">
        <v>197</v>
      </c>
      <c r="BD664" t="s">
        <v>198</v>
      </c>
      <c r="BE664" t="s">
        <v>117</v>
      </c>
      <c r="BF664">
        <v>0</v>
      </c>
      <c r="BG664">
        <v>0</v>
      </c>
      <c r="BH664">
        <v>0</v>
      </c>
    </row>
    <row r="665" spans="1:61">
      <c r="A665" s="164" t="s">
        <v>1841</v>
      </c>
      <c r="B665" t="s">
        <v>1842</v>
      </c>
      <c r="C665">
        <v>0</v>
      </c>
      <c r="D665" t="s">
        <v>194</v>
      </c>
      <c r="E665">
        <v>0</v>
      </c>
      <c r="F665" t="s">
        <v>214</v>
      </c>
      <c r="G665" t="s">
        <v>78</v>
      </c>
      <c r="H665" t="s">
        <v>79</v>
      </c>
      <c r="I665" t="s">
        <v>80</v>
      </c>
      <c r="J665" t="s">
        <v>196</v>
      </c>
      <c r="K665" t="s">
        <v>13</v>
      </c>
      <c r="L665" t="s">
        <v>83</v>
      </c>
      <c r="M665" t="s">
        <v>215</v>
      </c>
      <c r="N665">
        <v>1</v>
      </c>
      <c r="O665" t="b">
        <v>1</v>
      </c>
      <c r="P665">
        <v>0</v>
      </c>
      <c r="BB665">
        <v>0</v>
      </c>
      <c r="BC665" t="s">
        <v>197</v>
      </c>
      <c r="BD665" t="s">
        <v>216</v>
      </c>
      <c r="BE665" t="s">
        <v>117</v>
      </c>
      <c r="BF665">
        <v>0</v>
      </c>
      <c r="BG665">
        <v>0</v>
      </c>
      <c r="BH665">
        <v>0</v>
      </c>
    </row>
    <row r="666" spans="1:61">
      <c r="A666" s="164" t="s">
        <v>1843</v>
      </c>
      <c r="B666" t="s">
        <v>1844</v>
      </c>
      <c r="C666">
        <v>0</v>
      </c>
      <c r="D666" t="s">
        <v>194</v>
      </c>
      <c r="E666">
        <v>0</v>
      </c>
      <c r="F666" t="s">
        <v>214</v>
      </c>
      <c r="G666" t="s">
        <v>78</v>
      </c>
      <c r="H666" t="s">
        <v>79</v>
      </c>
      <c r="I666" t="s">
        <v>80</v>
      </c>
      <c r="J666" t="s">
        <v>196</v>
      </c>
      <c r="K666" t="s">
        <v>13</v>
      </c>
      <c r="L666" t="s">
        <v>83</v>
      </c>
      <c r="M666" t="s">
        <v>215</v>
      </c>
      <c r="N666">
        <v>1</v>
      </c>
      <c r="O666" t="b">
        <v>1</v>
      </c>
      <c r="P666">
        <v>0</v>
      </c>
      <c r="BB666">
        <v>0</v>
      </c>
      <c r="BC666" t="s">
        <v>197</v>
      </c>
      <c r="BD666" t="s">
        <v>216</v>
      </c>
      <c r="BE666" t="s">
        <v>117</v>
      </c>
      <c r="BF666">
        <v>0</v>
      </c>
      <c r="BG666">
        <v>0</v>
      </c>
      <c r="BH666">
        <v>0</v>
      </c>
    </row>
    <row r="667" spans="1:61">
      <c r="A667" s="164" t="s">
        <v>1845</v>
      </c>
      <c r="B667" t="s">
        <v>1846</v>
      </c>
      <c r="C667">
        <v>0</v>
      </c>
      <c r="D667" t="s">
        <v>194</v>
      </c>
      <c r="E667">
        <v>0</v>
      </c>
      <c r="F667" t="s">
        <v>214</v>
      </c>
      <c r="G667" t="s">
        <v>78</v>
      </c>
      <c r="H667" t="s">
        <v>79</v>
      </c>
      <c r="I667" t="s">
        <v>80</v>
      </c>
      <c r="J667" t="s">
        <v>196</v>
      </c>
      <c r="K667" t="s">
        <v>13</v>
      </c>
      <c r="L667" t="s">
        <v>83</v>
      </c>
      <c r="M667" t="s">
        <v>215</v>
      </c>
      <c r="N667">
        <v>1</v>
      </c>
      <c r="O667" t="b">
        <v>1</v>
      </c>
      <c r="P667">
        <v>0</v>
      </c>
      <c r="BB667">
        <v>0</v>
      </c>
      <c r="BC667" t="s">
        <v>197</v>
      </c>
      <c r="BD667" t="s">
        <v>216</v>
      </c>
      <c r="BE667" t="s">
        <v>117</v>
      </c>
      <c r="BF667">
        <v>0</v>
      </c>
      <c r="BG667">
        <v>0</v>
      </c>
      <c r="BH667">
        <v>0</v>
      </c>
    </row>
    <row r="668" spans="1:61">
      <c r="A668" s="164" t="s">
        <v>1847</v>
      </c>
      <c r="B668" t="s">
        <v>1848</v>
      </c>
      <c r="C668">
        <v>0</v>
      </c>
      <c r="D668" t="s">
        <v>194</v>
      </c>
      <c r="E668">
        <v>0</v>
      </c>
      <c r="F668" t="s">
        <v>195</v>
      </c>
      <c r="G668" t="s">
        <v>78</v>
      </c>
      <c r="H668" t="s">
        <v>79</v>
      </c>
      <c r="I668" t="s">
        <v>80</v>
      </c>
      <c r="J668" t="s">
        <v>196</v>
      </c>
      <c r="K668" t="s">
        <v>13</v>
      </c>
      <c r="L668" t="s">
        <v>83</v>
      </c>
      <c r="M668" t="s">
        <v>205</v>
      </c>
      <c r="N668">
        <v>1</v>
      </c>
      <c r="O668" t="b">
        <v>1</v>
      </c>
      <c r="P668">
        <v>0</v>
      </c>
      <c r="BB668">
        <v>0</v>
      </c>
      <c r="BC668" t="s">
        <v>197</v>
      </c>
      <c r="BD668" t="s">
        <v>198</v>
      </c>
      <c r="BE668" t="s">
        <v>117</v>
      </c>
      <c r="BF668">
        <v>0</v>
      </c>
      <c r="BG668">
        <v>0</v>
      </c>
      <c r="BH668">
        <v>0</v>
      </c>
    </row>
    <row r="669" spans="1:61">
      <c r="A669" s="164" t="s">
        <v>1849</v>
      </c>
      <c r="B669" t="s">
        <v>1850</v>
      </c>
      <c r="C669">
        <v>0</v>
      </c>
      <c r="D669" t="s">
        <v>194</v>
      </c>
      <c r="E669">
        <v>0</v>
      </c>
      <c r="F669" t="s">
        <v>214</v>
      </c>
      <c r="G669" t="s">
        <v>78</v>
      </c>
      <c r="H669" t="s">
        <v>79</v>
      </c>
      <c r="I669" t="s">
        <v>80</v>
      </c>
      <c r="J669" t="s">
        <v>196</v>
      </c>
      <c r="K669" t="s">
        <v>13</v>
      </c>
      <c r="L669" t="s">
        <v>83</v>
      </c>
      <c r="M669" t="s">
        <v>215</v>
      </c>
      <c r="N669">
        <v>1</v>
      </c>
      <c r="O669" t="b">
        <v>1</v>
      </c>
      <c r="P669">
        <v>0</v>
      </c>
      <c r="BB669">
        <v>0</v>
      </c>
      <c r="BC669" t="s">
        <v>197</v>
      </c>
      <c r="BD669" t="s">
        <v>216</v>
      </c>
      <c r="BE669" t="s">
        <v>117</v>
      </c>
      <c r="BF669">
        <v>0</v>
      </c>
      <c r="BG669">
        <v>0</v>
      </c>
      <c r="BH669">
        <v>0</v>
      </c>
    </row>
    <row r="670" spans="1:61">
      <c r="A670" s="164" t="s">
        <v>1851</v>
      </c>
      <c r="B670" t="s">
        <v>750</v>
      </c>
      <c r="C670">
        <v>0</v>
      </c>
      <c r="D670" t="s">
        <v>194</v>
      </c>
      <c r="E670">
        <v>0</v>
      </c>
      <c r="F670" t="s">
        <v>195</v>
      </c>
      <c r="G670" t="s">
        <v>78</v>
      </c>
      <c r="H670" t="s">
        <v>79</v>
      </c>
      <c r="I670" t="s">
        <v>80</v>
      </c>
      <c r="J670" t="s">
        <v>196</v>
      </c>
      <c r="K670" t="s">
        <v>13</v>
      </c>
      <c r="L670" t="s">
        <v>83</v>
      </c>
      <c r="M670" t="s">
        <v>205</v>
      </c>
      <c r="N670">
        <v>1</v>
      </c>
      <c r="O670" t="b">
        <v>1</v>
      </c>
      <c r="P670">
        <v>0</v>
      </c>
      <c r="BB670">
        <v>0</v>
      </c>
      <c r="BC670" t="s">
        <v>197</v>
      </c>
      <c r="BD670" t="s">
        <v>198</v>
      </c>
      <c r="BE670" t="s">
        <v>117</v>
      </c>
      <c r="BF670">
        <v>0</v>
      </c>
      <c r="BG670">
        <v>0</v>
      </c>
      <c r="BH670">
        <v>0</v>
      </c>
    </row>
    <row r="671" spans="1:61">
      <c r="A671" s="164" t="s">
        <v>1852</v>
      </c>
      <c r="B671" t="s">
        <v>1853</v>
      </c>
      <c r="C671">
        <v>0</v>
      </c>
      <c r="D671" t="s">
        <v>257</v>
      </c>
      <c r="E671">
        <v>0</v>
      </c>
      <c r="F671" t="s">
        <v>293</v>
      </c>
      <c r="G671" t="s">
        <v>78</v>
      </c>
      <c r="H671" t="s">
        <v>79</v>
      </c>
      <c r="I671" t="s">
        <v>80</v>
      </c>
      <c r="J671" t="s">
        <v>196</v>
      </c>
      <c r="K671" t="s">
        <v>13</v>
      </c>
      <c r="L671" t="s">
        <v>83</v>
      </c>
      <c r="M671" t="s">
        <v>205</v>
      </c>
      <c r="N671">
        <v>1</v>
      </c>
      <c r="O671" t="b">
        <v>1</v>
      </c>
      <c r="P671">
        <v>0</v>
      </c>
      <c r="BB671">
        <v>0</v>
      </c>
      <c r="BC671" t="s">
        <v>259</v>
      </c>
      <c r="BD671" t="s">
        <v>294</v>
      </c>
      <c r="BE671" t="s">
        <v>117</v>
      </c>
      <c r="BF671">
        <v>0</v>
      </c>
      <c r="BG671">
        <v>10</v>
      </c>
      <c r="BH671">
        <v>150</v>
      </c>
      <c r="BI671" t="s">
        <v>295</v>
      </c>
    </row>
    <row r="672" spans="1:61">
      <c r="A672" s="164" t="s">
        <v>1854</v>
      </c>
      <c r="B672" t="s">
        <v>1855</v>
      </c>
      <c r="C672">
        <v>0</v>
      </c>
      <c r="D672" t="s">
        <v>257</v>
      </c>
      <c r="E672">
        <v>0</v>
      </c>
      <c r="F672" t="s">
        <v>269</v>
      </c>
      <c r="G672" t="s">
        <v>103</v>
      </c>
      <c r="H672" t="s">
        <v>104</v>
      </c>
      <c r="I672" t="s">
        <v>80</v>
      </c>
      <c r="J672" t="s">
        <v>196</v>
      </c>
      <c r="K672" t="s">
        <v>13</v>
      </c>
      <c r="L672" t="s">
        <v>83</v>
      </c>
      <c r="M672" t="s">
        <v>205</v>
      </c>
      <c r="N672">
        <v>1</v>
      </c>
      <c r="O672" t="b">
        <v>0</v>
      </c>
      <c r="P672">
        <v>0</v>
      </c>
      <c r="BB672">
        <v>0</v>
      </c>
      <c r="BC672" t="s">
        <v>259</v>
      </c>
      <c r="BD672" t="s">
        <v>270</v>
      </c>
      <c r="BE672" t="s">
        <v>117</v>
      </c>
      <c r="BF672">
        <v>0</v>
      </c>
      <c r="BG672">
        <v>0</v>
      </c>
      <c r="BH672">
        <v>0</v>
      </c>
    </row>
    <row r="673" spans="1:61">
      <c r="A673" s="164" t="s">
        <v>1856</v>
      </c>
      <c r="B673" t="s">
        <v>1857</v>
      </c>
      <c r="C673">
        <v>0</v>
      </c>
      <c r="D673" t="s">
        <v>257</v>
      </c>
      <c r="E673">
        <v>0</v>
      </c>
      <c r="F673" t="s">
        <v>269</v>
      </c>
      <c r="G673" t="s">
        <v>103</v>
      </c>
      <c r="H673" t="s">
        <v>104</v>
      </c>
      <c r="I673" t="s">
        <v>80</v>
      </c>
      <c r="J673" t="s">
        <v>196</v>
      </c>
      <c r="K673" t="s">
        <v>13</v>
      </c>
      <c r="L673" t="s">
        <v>83</v>
      </c>
      <c r="M673" t="s">
        <v>205</v>
      </c>
      <c r="N673">
        <v>1</v>
      </c>
      <c r="O673" t="b">
        <v>0</v>
      </c>
      <c r="P673">
        <v>0</v>
      </c>
      <c r="BB673">
        <v>0</v>
      </c>
      <c r="BC673" t="s">
        <v>259</v>
      </c>
      <c r="BD673" t="s">
        <v>270</v>
      </c>
      <c r="BE673" t="s">
        <v>117</v>
      </c>
      <c r="BF673">
        <v>0</v>
      </c>
      <c r="BG673">
        <v>0</v>
      </c>
      <c r="BH673">
        <v>0</v>
      </c>
    </row>
    <row r="674" spans="1:61">
      <c r="A674" s="164" t="s">
        <v>1858</v>
      </c>
      <c r="B674" t="s">
        <v>1859</v>
      </c>
      <c r="C674">
        <v>0</v>
      </c>
      <c r="D674" t="s">
        <v>257</v>
      </c>
      <c r="E674">
        <v>0</v>
      </c>
      <c r="F674" t="s">
        <v>269</v>
      </c>
      <c r="G674" t="s">
        <v>103</v>
      </c>
      <c r="H674" t="s">
        <v>104</v>
      </c>
      <c r="I674" t="s">
        <v>80</v>
      </c>
      <c r="J674" t="s">
        <v>196</v>
      </c>
      <c r="K674" t="s">
        <v>13</v>
      </c>
      <c r="L674" t="s">
        <v>83</v>
      </c>
      <c r="M674" t="s">
        <v>215</v>
      </c>
      <c r="N674">
        <v>1</v>
      </c>
      <c r="O674" t="b">
        <v>0</v>
      </c>
      <c r="P674">
        <v>0</v>
      </c>
      <c r="BB674">
        <v>0</v>
      </c>
      <c r="BC674" t="s">
        <v>259</v>
      </c>
      <c r="BD674" t="s">
        <v>270</v>
      </c>
      <c r="BE674" t="s">
        <v>117</v>
      </c>
      <c r="BF674">
        <v>0</v>
      </c>
      <c r="BG674">
        <v>0</v>
      </c>
      <c r="BH674">
        <v>0</v>
      </c>
    </row>
    <row r="675" spans="1:61">
      <c r="A675" s="164" t="s">
        <v>1860</v>
      </c>
      <c r="B675" t="s">
        <v>1861</v>
      </c>
      <c r="C675">
        <v>0</v>
      </c>
      <c r="D675" t="s">
        <v>257</v>
      </c>
      <c r="E675">
        <v>0</v>
      </c>
      <c r="F675" t="s">
        <v>269</v>
      </c>
      <c r="G675" t="s">
        <v>103</v>
      </c>
      <c r="H675" t="s">
        <v>104</v>
      </c>
      <c r="I675" t="s">
        <v>80</v>
      </c>
      <c r="J675" t="s">
        <v>196</v>
      </c>
      <c r="K675" t="s">
        <v>13</v>
      </c>
      <c r="L675" t="s">
        <v>83</v>
      </c>
      <c r="M675" t="s">
        <v>84</v>
      </c>
      <c r="N675">
        <v>1</v>
      </c>
      <c r="O675" t="b">
        <v>0</v>
      </c>
      <c r="P675">
        <v>0</v>
      </c>
      <c r="BB675">
        <v>0</v>
      </c>
      <c r="BC675" t="s">
        <v>259</v>
      </c>
      <c r="BD675" t="s">
        <v>270</v>
      </c>
      <c r="BE675" t="s">
        <v>117</v>
      </c>
      <c r="BF675">
        <v>0</v>
      </c>
      <c r="BG675">
        <v>0</v>
      </c>
      <c r="BH675">
        <v>0</v>
      </c>
    </row>
    <row r="676" spans="1:61">
      <c r="A676" s="164" t="s">
        <v>1862</v>
      </c>
      <c r="B676" t="s">
        <v>1863</v>
      </c>
      <c r="C676">
        <v>0</v>
      </c>
      <c r="D676" t="s">
        <v>257</v>
      </c>
      <c r="E676">
        <v>0</v>
      </c>
      <c r="F676" t="s">
        <v>269</v>
      </c>
      <c r="G676" t="s">
        <v>103</v>
      </c>
      <c r="H676" t="s">
        <v>104</v>
      </c>
      <c r="I676" t="s">
        <v>80</v>
      </c>
      <c r="J676" t="s">
        <v>196</v>
      </c>
      <c r="K676" t="s">
        <v>13</v>
      </c>
      <c r="L676" t="s">
        <v>83</v>
      </c>
      <c r="M676" t="s">
        <v>84</v>
      </c>
      <c r="N676">
        <v>1</v>
      </c>
      <c r="O676" t="b">
        <v>0</v>
      </c>
      <c r="P676">
        <v>0</v>
      </c>
      <c r="BB676">
        <v>0</v>
      </c>
      <c r="BC676" t="s">
        <v>259</v>
      </c>
      <c r="BD676" t="s">
        <v>270</v>
      </c>
      <c r="BE676" t="s">
        <v>117</v>
      </c>
      <c r="BF676">
        <v>0</v>
      </c>
      <c r="BG676">
        <v>0</v>
      </c>
      <c r="BH676">
        <v>0</v>
      </c>
    </row>
    <row r="677" spans="1:61">
      <c r="A677" s="164" t="s">
        <v>1864</v>
      </c>
      <c r="B677" t="s">
        <v>1865</v>
      </c>
      <c r="C677">
        <v>0</v>
      </c>
      <c r="D677" t="s">
        <v>257</v>
      </c>
      <c r="E677">
        <v>0</v>
      </c>
      <c r="F677" t="s">
        <v>258</v>
      </c>
      <c r="G677" t="s">
        <v>78</v>
      </c>
      <c r="H677" t="s">
        <v>79</v>
      </c>
      <c r="I677" t="s">
        <v>80</v>
      </c>
      <c r="J677" t="s">
        <v>196</v>
      </c>
      <c r="K677" t="s">
        <v>13</v>
      </c>
      <c r="L677" t="s">
        <v>83</v>
      </c>
      <c r="M677" t="s">
        <v>205</v>
      </c>
      <c r="N677">
        <v>1</v>
      </c>
      <c r="O677" t="b">
        <v>1</v>
      </c>
      <c r="P677">
        <v>0</v>
      </c>
      <c r="BB677">
        <v>0</v>
      </c>
      <c r="BC677" t="s">
        <v>259</v>
      </c>
      <c r="BD677" t="s">
        <v>260</v>
      </c>
      <c r="BE677" t="s">
        <v>117</v>
      </c>
      <c r="BF677">
        <v>0</v>
      </c>
      <c r="BG677">
        <v>20</v>
      </c>
      <c r="BH677">
        <v>5</v>
      </c>
      <c r="BI677" t="s">
        <v>927</v>
      </c>
    </row>
    <row r="678" spans="1:61">
      <c r="A678" s="164" t="s">
        <v>1866</v>
      </c>
      <c r="B678" t="s">
        <v>1867</v>
      </c>
      <c r="C678">
        <v>0</v>
      </c>
      <c r="D678" t="s">
        <v>257</v>
      </c>
      <c r="E678">
        <v>0</v>
      </c>
      <c r="F678" t="s">
        <v>258</v>
      </c>
      <c r="G678" t="s">
        <v>78</v>
      </c>
      <c r="H678" t="s">
        <v>79</v>
      </c>
      <c r="I678" t="s">
        <v>80</v>
      </c>
      <c r="J678" t="s">
        <v>196</v>
      </c>
      <c r="K678" t="s">
        <v>13</v>
      </c>
      <c r="L678" t="s">
        <v>83</v>
      </c>
      <c r="M678" t="s">
        <v>205</v>
      </c>
      <c r="N678">
        <v>1</v>
      </c>
      <c r="O678" t="b">
        <v>1</v>
      </c>
      <c r="P678">
        <v>0</v>
      </c>
      <c r="BB678">
        <v>0</v>
      </c>
      <c r="BC678" t="s">
        <v>259</v>
      </c>
      <c r="BD678" t="s">
        <v>260</v>
      </c>
      <c r="BE678" t="s">
        <v>117</v>
      </c>
      <c r="BF678">
        <v>0</v>
      </c>
      <c r="BG678">
        <v>15</v>
      </c>
      <c r="BH678">
        <v>5</v>
      </c>
      <c r="BI678" t="s">
        <v>927</v>
      </c>
    </row>
    <row r="679" spans="1:61">
      <c r="A679" s="164" t="s">
        <v>1868</v>
      </c>
      <c r="B679" t="s">
        <v>1869</v>
      </c>
      <c r="C679">
        <v>0</v>
      </c>
      <c r="D679" t="s">
        <v>161</v>
      </c>
      <c r="E679">
        <v>0</v>
      </c>
      <c r="F679" t="s">
        <v>475</v>
      </c>
      <c r="G679" t="s">
        <v>103</v>
      </c>
      <c r="H679" t="s">
        <v>104</v>
      </c>
      <c r="I679" t="s">
        <v>80</v>
      </c>
      <c r="J679" t="s">
        <v>163</v>
      </c>
      <c r="K679" t="s">
        <v>82</v>
      </c>
      <c r="L679" t="s">
        <v>83</v>
      </c>
      <c r="M679" t="s">
        <v>84</v>
      </c>
      <c r="N679">
        <v>0.7</v>
      </c>
      <c r="O679" t="b">
        <v>0</v>
      </c>
      <c r="P679">
        <v>30</v>
      </c>
      <c r="Q679" t="s">
        <v>137</v>
      </c>
      <c r="S679">
        <v>0</v>
      </c>
      <c r="T679">
        <v>1</v>
      </c>
      <c r="V679" t="s">
        <v>87</v>
      </c>
      <c r="X679">
        <v>0</v>
      </c>
      <c r="Z679">
        <v>3.7037037037037035E-2</v>
      </c>
      <c r="AB679">
        <v>0</v>
      </c>
      <c r="AC679">
        <v>0</v>
      </c>
      <c r="AE679" t="s">
        <v>129</v>
      </c>
      <c r="AF679" t="s">
        <v>475</v>
      </c>
      <c r="AG679" t="s">
        <v>129</v>
      </c>
      <c r="AH679">
        <v>0</v>
      </c>
      <c r="AI679">
        <v>7.7</v>
      </c>
      <c r="AJ679" t="s">
        <v>167</v>
      </c>
      <c r="AM679">
        <v>7.47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 t="s">
        <v>1870</v>
      </c>
      <c r="AY679">
        <v>0</v>
      </c>
      <c r="AZ679">
        <v>0</v>
      </c>
      <c r="BA679" t="s">
        <v>138</v>
      </c>
      <c r="BB679">
        <v>0</v>
      </c>
      <c r="BC679" t="s">
        <v>95</v>
      </c>
      <c r="BD679" t="s">
        <v>96</v>
      </c>
      <c r="BE679" t="s">
        <v>97</v>
      </c>
      <c r="BF679">
        <v>0</v>
      </c>
      <c r="BG679">
        <v>0</v>
      </c>
      <c r="BH679">
        <v>0</v>
      </c>
      <c r="BI679" t="s">
        <v>98</v>
      </c>
    </row>
    <row r="680" spans="1:61">
      <c r="A680" s="164" t="s">
        <v>1871</v>
      </c>
      <c r="B680" t="s">
        <v>1872</v>
      </c>
      <c r="C680">
        <v>0</v>
      </c>
      <c r="D680" t="s">
        <v>147</v>
      </c>
      <c r="E680">
        <v>0</v>
      </c>
      <c r="F680" t="s">
        <v>965</v>
      </c>
      <c r="G680" t="s">
        <v>78</v>
      </c>
      <c r="H680" t="s">
        <v>79</v>
      </c>
      <c r="I680" t="s">
        <v>80</v>
      </c>
      <c r="J680" t="s">
        <v>81</v>
      </c>
      <c r="K680" t="s">
        <v>82</v>
      </c>
      <c r="L680" t="s">
        <v>83</v>
      </c>
      <c r="M680" t="s">
        <v>84</v>
      </c>
      <c r="N680">
        <v>1.75</v>
      </c>
      <c r="O680" t="b">
        <v>1</v>
      </c>
      <c r="P680">
        <v>45</v>
      </c>
      <c r="Q680" t="s">
        <v>85</v>
      </c>
      <c r="R680" t="s">
        <v>86</v>
      </c>
      <c r="S680">
        <v>1.75</v>
      </c>
      <c r="T680">
        <v>1</v>
      </c>
      <c r="U680" s="36">
        <v>2.48414</v>
      </c>
      <c r="V680" t="s">
        <v>87</v>
      </c>
      <c r="W680">
        <v>24</v>
      </c>
      <c r="X680">
        <v>0.45019999999999999</v>
      </c>
      <c r="Y680">
        <v>12</v>
      </c>
      <c r="Z680">
        <v>8.3333333333333329E-2</v>
      </c>
      <c r="AA680">
        <v>30</v>
      </c>
      <c r="AB680">
        <v>0</v>
      </c>
      <c r="AC680">
        <v>540</v>
      </c>
      <c r="AD680">
        <v>308.57142857142856</v>
      </c>
      <c r="AE680" t="s">
        <v>155</v>
      </c>
      <c r="AF680" t="s">
        <v>966</v>
      </c>
      <c r="AG680" t="s">
        <v>157</v>
      </c>
      <c r="AH680">
        <v>0</v>
      </c>
      <c r="AI680">
        <v>0.9</v>
      </c>
      <c r="AJ680" t="s">
        <v>91</v>
      </c>
      <c r="AK680" t="s">
        <v>92</v>
      </c>
      <c r="AL680" t="s">
        <v>93</v>
      </c>
      <c r="AM680">
        <v>0.33553925925925926</v>
      </c>
      <c r="AN680">
        <v>0.22369283950617286</v>
      </c>
      <c r="AO680">
        <v>0.34672390123456792</v>
      </c>
      <c r="AP680">
        <v>0</v>
      </c>
      <c r="AQ680">
        <v>8.6691086691086688E-2</v>
      </c>
      <c r="AR680">
        <v>2.6666666666666505E-3</v>
      </c>
      <c r="AS680">
        <v>0</v>
      </c>
      <c r="AT680">
        <v>1.0866910866910866</v>
      </c>
      <c r="AU680">
        <v>1.0026666666666666</v>
      </c>
      <c r="AV680">
        <v>1</v>
      </c>
      <c r="AW680">
        <v>0</v>
      </c>
      <c r="AX680" t="s">
        <v>1873</v>
      </c>
      <c r="AY680">
        <v>83.4</v>
      </c>
      <c r="AZ680">
        <v>3</v>
      </c>
      <c r="BA680" t="s">
        <v>94</v>
      </c>
      <c r="BB680">
        <v>5.09</v>
      </c>
      <c r="BC680" t="s">
        <v>95</v>
      </c>
      <c r="BD680" t="s">
        <v>96</v>
      </c>
      <c r="BE680" t="s">
        <v>97</v>
      </c>
      <c r="BF680">
        <v>1</v>
      </c>
      <c r="BG680">
        <v>0</v>
      </c>
      <c r="BH680">
        <v>0</v>
      </c>
      <c r="BI680" t="s">
        <v>98</v>
      </c>
    </row>
    <row r="681" spans="1:61">
      <c r="A681" s="164" t="s">
        <v>1874</v>
      </c>
      <c r="B681" t="s">
        <v>1875</v>
      </c>
      <c r="C681">
        <v>0</v>
      </c>
      <c r="D681" t="s">
        <v>479</v>
      </c>
      <c r="E681">
        <v>0</v>
      </c>
      <c r="F681" t="s">
        <v>480</v>
      </c>
      <c r="G681" t="s">
        <v>103</v>
      </c>
      <c r="H681" t="s">
        <v>104</v>
      </c>
      <c r="I681" t="s">
        <v>80</v>
      </c>
      <c r="J681" t="s">
        <v>467</v>
      </c>
      <c r="K681" t="s">
        <v>468</v>
      </c>
      <c r="L681" t="s">
        <v>111</v>
      </c>
      <c r="M681" t="s">
        <v>84</v>
      </c>
      <c r="N681">
        <v>1.9</v>
      </c>
      <c r="O681" t="b">
        <v>0</v>
      </c>
      <c r="P681">
        <v>45</v>
      </c>
      <c r="Q681" t="s">
        <v>479</v>
      </c>
      <c r="S681">
        <v>1.9</v>
      </c>
      <c r="T681">
        <v>1</v>
      </c>
      <c r="V681" t="s">
        <v>87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H681">
        <v>0</v>
      </c>
      <c r="AI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Y681">
        <v>0</v>
      </c>
      <c r="AZ681">
        <v>0</v>
      </c>
      <c r="BA681" t="s">
        <v>138</v>
      </c>
      <c r="BB681">
        <v>0</v>
      </c>
      <c r="BC681" t="s">
        <v>95</v>
      </c>
      <c r="BD681" t="s">
        <v>139</v>
      </c>
      <c r="BE681" t="s">
        <v>97</v>
      </c>
      <c r="BF681">
        <v>0</v>
      </c>
      <c r="BG681">
        <v>0</v>
      </c>
      <c r="BH681">
        <v>0</v>
      </c>
      <c r="BI681" t="s">
        <v>98</v>
      </c>
    </row>
    <row r="682" spans="1:61">
      <c r="A682" s="164" t="s">
        <v>1876</v>
      </c>
      <c r="B682" t="s">
        <v>1877</v>
      </c>
      <c r="C682">
        <v>0</v>
      </c>
      <c r="D682" t="s">
        <v>479</v>
      </c>
      <c r="E682">
        <v>0</v>
      </c>
      <c r="F682" t="s">
        <v>480</v>
      </c>
      <c r="G682" t="s">
        <v>103</v>
      </c>
      <c r="H682" t="s">
        <v>104</v>
      </c>
      <c r="I682" t="s">
        <v>80</v>
      </c>
      <c r="J682" t="s">
        <v>467</v>
      </c>
      <c r="K682" t="s">
        <v>468</v>
      </c>
      <c r="L682" t="s">
        <v>111</v>
      </c>
      <c r="M682" t="s">
        <v>84</v>
      </c>
      <c r="N682">
        <v>1.95</v>
      </c>
      <c r="O682" t="b">
        <v>0</v>
      </c>
      <c r="P682">
        <v>45</v>
      </c>
      <c r="Q682" t="s">
        <v>479</v>
      </c>
      <c r="S682">
        <v>1.95</v>
      </c>
      <c r="T682">
        <v>1</v>
      </c>
      <c r="V682" t="s">
        <v>87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H682">
        <v>0</v>
      </c>
      <c r="AI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Y682">
        <v>0</v>
      </c>
      <c r="AZ682">
        <v>9</v>
      </c>
      <c r="BA682" t="s">
        <v>138</v>
      </c>
      <c r="BB682">
        <v>0</v>
      </c>
      <c r="BC682" t="s">
        <v>95</v>
      </c>
      <c r="BD682" t="s">
        <v>139</v>
      </c>
      <c r="BE682" t="s">
        <v>97</v>
      </c>
      <c r="BF682">
        <v>0</v>
      </c>
      <c r="BG682">
        <v>0</v>
      </c>
      <c r="BH682">
        <v>0</v>
      </c>
      <c r="BI682" t="s">
        <v>98</v>
      </c>
    </row>
    <row r="683" spans="1:61">
      <c r="A683" s="164" t="s">
        <v>1878</v>
      </c>
      <c r="B683" t="s">
        <v>1879</v>
      </c>
      <c r="C683">
        <v>0</v>
      </c>
      <c r="D683" t="s">
        <v>175</v>
      </c>
      <c r="E683">
        <v>0</v>
      </c>
      <c r="F683" t="s">
        <v>1223</v>
      </c>
      <c r="G683" t="s">
        <v>78</v>
      </c>
      <c r="H683" t="s">
        <v>79</v>
      </c>
      <c r="I683" t="s">
        <v>80</v>
      </c>
      <c r="J683" t="s">
        <v>163</v>
      </c>
      <c r="K683" t="s">
        <v>82</v>
      </c>
      <c r="L683" t="s">
        <v>83</v>
      </c>
      <c r="M683" t="s">
        <v>205</v>
      </c>
      <c r="N683">
        <v>1</v>
      </c>
      <c r="O683" t="b">
        <v>0</v>
      </c>
      <c r="P683">
        <v>30</v>
      </c>
      <c r="Q683" t="s">
        <v>137</v>
      </c>
      <c r="S683">
        <v>1</v>
      </c>
      <c r="T683">
        <v>1</v>
      </c>
      <c r="U683" s="36">
        <v>7.2692399999999999</v>
      </c>
      <c r="V683" t="s">
        <v>165</v>
      </c>
      <c r="X683">
        <v>0</v>
      </c>
      <c r="Y683">
        <v>27</v>
      </c>
      <c r="Z683">
        <v>0</v>
      </c>
      <c r="AA683">
        <v>35</v>
      </c>
      <c r="AB683">
        <v>0</v>
      </c>
      <c r="AC683">
        <v>0</v>
      </c>
      <c r="AE683" t="s">
        <v>129</v>
      </c>
      <c r="AF683" t="s">
        <v>1223</v>
      </c>
      <c r="AG683" t="s">
        <v>129</v>
      </c>
      <c r="AH683">
        <v>0</v>
      </c>
      <c r="AI683">
        <v>9.5</v>
      </c>
      <c r="AJ683" t="s">
        <v>177</v>
      </c>
      <c r="AM683">
        <v>10.11</v>
      </c>
      <c r="AN683">
        <v>0</v>
      </c>
      <c r="AO683">
        <v>0</v>
      </c>
      <c r="AP683">
        <v>0</v>
      </c>
      <c r="AQ683">
        <v>2.8571428571428564E-2</v>
      </c>
      <c r="AR683">
        <v>0</v>
      </c>
      <c r="AS683">
        <v>0</v>
      </c>
      <c r="AT683">
        <v>1.0285714285714285</v>
      </c>
      <c r="AU683">
        <v>0</v>
      </c>
      <c r="AV683">
        <v>0</v>
      </c>
      <c r="AW683">
        <v>0</v>
      </c>
      <c r="AX683" t="s">
        <v>1880</v>
      </c>
      <c r="AY683">
        <v>54.915500000000002</v>
      </c>
      <c r="AZ683">
        <v>0</v>
      </c>
      <c r="BA683" t="s">
        <v>138</v>
      </c>
      <c r="BB683">
        <v>8.84</v>
      </c>
      <c r="BC683" t="s">
        <v>95</v>
      </c>
      <c r="BD683" t="s">
        <v>96</v>
      </c>
      <c r="BE683" t="s">
        <v>97</v>
      </c>
      <c r="BF683">
        <v>2.7</v>
      </c>
      <c r="BG683">
        <v>0</v>
      </c>
      <c r="BH683">
        <v>0</v>
      </c>
      <c r="BI683" t="s">
        <v>98</v>
      </c>
    </row>
    <row r="684" spans="1:61">
      <c r="A684" s="164" t="s">
        <v>1881</v>
      </c>
      <c r="B684" t="s">
        <v>1882</v>
      </c>
      <c r="C684">
        <v>0</v>
      </c>
      <c r="D684" t="s">
        <v>194</v>
      </c>
      <c r="E684">
        <v>0</v>
      </c>
      <c r="F684" t="s">
        <v>214</v>
      </c>
      <c r="G684" t="s">
        <v>78</v>
      </c>
      <c r="H684" t="s">
        <v>79</v>
      </c>
      <c r="I684" t="s">
        <v>80</v>
      </c>
      <c r="J684" t="s">
        <v>196</v>
      </c>
      <c r="K684" t="s">
        <v>13</v>
      </c>
      <c r="L684" t="s">
        <v>83</v>
      </c>
      <c r="M684" t="s">
        <v>84</v>
      </c>
      <c r="N684">
        <v>1</v>
      </c>
      <c r="O684" t="b">
        <v>1</v>
      </c>
      <c r="P684">
        <v>0</v>
      </c>
      <c r="BB684">
        <v>0</v>
      </c>
      <c r="BC684" t="s">
        <v>197</v>
      </c>
      <c r="BD684" t="s">
        <v>216</v>
      </c>
      <c r="BE684" t="s">
        <v>117</v>
      </c>
      <c r="BF684">
        <v>0</v>
      </c>
      <c r="BG684">
        <v>0</v>
      </c>
      <c r="BH684">
        <v>0</v>
      </c>
    </row>
    <row r="685" spans="1:61">
      <c r="A685" s="164" t="s">
        <v>1883</v>
      </c>
      <c r="B685" t="s">
        <v>1884</v>
      </c>
      <c r="C685">
        <v>0</v>
      </c>
      <c r="D685" t="s">
        <v>194</v>
      </c>
      <c r="E685">
        <v>0</v>
      </c>
      <c r="F685" t="s">
        <v>214</v>
      </c>
      <c r="G685" t="s">
        <v>78</v>
      </c>
      <c r="H685" t="s">
        <v>79</v>
      </c>
      <c r="I685" t="s">
        <v>80</v>
      </c>
      <c r="J685" t="s">
        <v>196</v>
      </c>
      <c r="K685" t="s">
        <v>13</v>
      </c>
      <c r="L685" t="s">
        <v>83</v>
      </c>
      <c r="M685" t="s">
        <v>84</v>
      </c>
      <c r="N685">
        <v>1</v>
      </c>
      <c r="O685" t="b">
        <v>1</v>
      </c>
      <c r="P685">
        <v>0</v>
      </c>
      <c r="BB685">
        <v>0</v>
      </c>
      <c r="BC685" t="s">
        <v>197</v>
      </c>
      <c r="BD685" t="s">
        <v>216</v>
      </c>
      <c r="BE685" t="s">
        <v>117</v>
      </c>
      <c r="BF685">
        <v>0</v>
      </c>
      <c r="BG685">
        <v>0</v>
      </c>
      <c r="BH685">
        <v>0</v>
      </c>
    </row>
    <row r="686" spans="1:61">
      <c r="A686" s="164" t="s">
        <v>1885</v>
      </c>
      <c r="B686" t="s">
        <v>1886</v>
      </c>
      <c r="C686">
        <v>0</v>
      </c>
      <c r="D686" t="s">
        <v>194</v>
      </c>
      <c r="E686">
        <v>0</v>
      </c>
      <c r="F686" t="s">
        <v>214</v>
      </c>
      <c r="G686" t="s">
        <v>78</v>
      </c>
      <c r="H686" t="s">
        <v>79</v>
      </c>
      <c r="I686" t="s">
        <v>80</v>
      </c>
      <c r="J686" t="s">
        <v>196</v>
      </c>
      <c r="K686" t="s">
        <v>13</v>
      </c>
      <c r="L686" t="s">
        <v>83</v>
      </c>
      <c r="M686" t="s">
        <v>215</v>
      </c>
      <c r="N686">
        <v>1</v>
      </c>
      <c r="O686" t="b">
        <v>1</v>
      </c>
      <c r="P686">
        <v>0</v>
      </c>
      <c r="BB686">
        <v>0</v>
      </c>
      <c r="BC686" t="s">
        <v>197</v>
      </c>
      <c r="BD686" t="s">
        <v>216</v>
      </c>
      <c r="BE686" t="s">
        <v>117</v>
      </c>
      <c r="BF686">
        <v>0</v>
      </c>
      <c r="BG686">
        <v>0</v>
      </c>
      <c r="BH686">
        <v>0</v>
      </c>
    </row>
    <row r="687" spans="1:61">
      <c r="A687" s="164" t="s">
        <v>1887</v>
      </c>
      <c r="B687" t="s">
        <v>1888</v>
      </c>
      <c r="C687">
        <v>0</v>
      </c>
      <c r="D687" t="s">
        <v>257</v>
      </c>
      <c r="E687">
        <v>0</v>
      </c>
      <c r="F687" t="s">
        <v>269</v>
      </c>
      <c r="G687" t="s">
        <v>103</v>
      </c>
      <c r="H687" t="s">
        <v>104</v>
      </c>
      <c r="I687" t="s">
        <v>80</v>
      </c>
      <c r="J687" t="s">
        <v>196</v>
      </c>
      <c r="K687" t="s">
        <v>13</v>
      </c>
      <c r="L687" t="s">
        <v>83</v>
      </c>
      <c r="M687" t="s">
        <v>205</v>
      </c>
      <c r="N687">
        <v>1</v>
      </c>
      <c r="O687" t="b">
        <v>0</v>
      </c>
      <c r="P687">
        <v>0</v>
      </c>
      <c r="BB687">
        <v>0</v>
      </c>
      <c r="BC687" t="s">
        <v>259</v>
      </c>
      <c r="BD687" t="s">
        <v>270</v>
      </c>
      <c r="BE687" t="s">
        <v>117</v>
      </c>
      <c r="BF687">
        <v>0</v>
      </c>
      <c r="BG687">
        <v>0</v>
      </c>
      <c r="BH687">
        <v>0</v>
      </c>
    </row>
    <row r="688" spans="1:61">
      <c r="A688" s="164" t="s">
        <v>1889</v>
      </c>
      <c r="B688" t="s">
        <v>1890</v>
      </c>
      <c r="C688">
        <v>0</v>
      </c>
      <c r="D688" t="s">
        <v>257</v>
      </c>
      <c r="E688">
        <v>0</v>
      </c>
      <c r="F688" t="s">
        <v>293</v>
      </c>
      <c r="G688" t="s">
        <v>78</v>
      </c>
      <c r="H688" t="s">
        <v>79</v>
      </c>
      <c r="I688" t="s">
        <v>80</v>
      </c>
      <c r="J688" t="s">
        <v>196</v>
      </c>
      <c r="K688" t="s">
        <v>13</v>
      </c>
      <c r="L688" t="s">
        <v>83</v>
      </c>
      <c r="M688" t="s">
        <v>205</v>
      </c>
      <c r="N688">
        <v>1</v>
      </c>
      <c r="O688" t="b">
        <v>1</v>
      </c>
      <c r="P688">
        <v>0</v>
      </c>
      <c r="BB688">
        <v>0</v>
      </c>
      <c r="BC688" t="s">
        <v>259</v>
      </c>
      <c r="BD688" t="s">
        <v>294</v>
      </c>
      <c r="BE688" t="s">
        <v>117</v>
      </c>
      <c r="BF688">
        <v>0</v>
      </c>
      <c r="BG688">
        <v>10</v>
      </c>
      <c r="BH688">
        <v>150</v>
      </c>
      <c r="BI688" t="s">
        <v>295</v>
      </c>
    </row>
    <row r="689" spans="1:61">
      <c r="A689" s="164" t="s">
        <v>1891</v>
      </c>
      <c r="B689" t="s">
        <v>1892</v>
      </c>
      <c r="C689">
        <v>0</v>
      </c>
      <c r="D689" t="s">
        <v>257</v>
      </c>
      <c r="E689">
        <v>0</v>
      </c>
      <c r="F689" t="s">
        <v>293</v>
      </c>
      <c r="G689" t="s">
        <v>78</v>
      </c>
      <c r="H689" t="s">
        <v>79</v>
      </c>
      <c r="I689" t="s">
        <v>80</v>
      </c>
      <c r="J689" t="s">
        <v>196</v>
      </c>
      <c r="K689" t="s">
        <v>13</v>
      </c>
      <c r="L689" t="s">
        <v>83</v>
      </c>
      <c r="M689" t="s">
        <v>205</v>
      </c>
      <c r="N689">
        <v>1</v>
      </c>
      <c r="O689" t="b">
        <v>1</v>
      </c>
      <c r="P689">
        <v>0</v>
      </c>
      <c r="BB689">
        <v>0</v>
      </c>
      <c r="BC689" t="s">
        <v>259</v>
      </c>
      <c r="BD689" t="s">
        <v>294</v>
      </c>
      <c r="BE689" t="s">
        <v>117</v>
      </c>
      <c r="BF689">
        <v>0</v>
      </c>
      <c r="BG689">
        <v>10</v>
      </c>
      <c r="BH689">
        <v>150</v>
      </c>
      <c r="BI689" t="s">
        <v>295</v>
      </c>
    </row>
    <row r="690" spans="1:61">
      <c r="A690" s="164" t="s">
        <v>1893</v>
      </c>
      <c r="B690" t="s">
        <v>1894</v>
      </c>
      <c r="C690">
        <v>0</v>
      </c>
      <c r="D690" t="s">
        <v>257</v>
      </c>
      <c r="E690">
        <v>0</v>
      </c>
      <c r="F690" t="s">
        <v>269</v>
      </c>
      <c r="G690" t="s">
        <v>103</v>
      </c>
      <c r="H690" t="s">
        <v>104</v>
      </c>
      <c r="I690" t="s">
        <v>80</v>
      </c>
      <c r="J690" t="s">
        <v>196</v>
      </c>
      <c r="K690" t="s">
        <v>13</v>
      </c>
      <c r="L690" t="s">
        <v>83</v>
      </c>
      <c r="M690" t="s">
        <v>205</v>
      </c>
      <c r="N690">
        <v>1</v>
      </c>
      <c r="O690" t="b">
        <v>0</v>
      </c>
      <c r="P690">
        <v>0</v>
      </c>
      <c r="BB690">
        <v>0</v>
      </c>
      <c r="BC690" t="s">
        <v>259</v>
      </c>
      <c r="BD690" t="s">
        <v>270</v>
      </c>
      <c r="BE690" t="s">
        <v>117</v>
      </c>
      <c r="BF690">
        <v>0</v>
      </c>
      <c r="BG690">
        <v>0</v>
      </c>
      <c r="BH690">
        <v>0</v>
      </c>
    </row>
    <row r="691" spans="1:61">
      <c r="A691" s="164" t="s">
        <v>1895</v>
      </c>
      <c r="B691" t="s">
        <v>1896</v>
      </c>
      <c r="C691">
        <v>0</v>
      </c>
      <c r="D691" t="s">
        <v>257</v>
      </c>
      <c r="E691">
        <v>0</v>
      </c>
      <c r="F691" t="s">
        <v>258</v>
      </c>
      <c r="G691" t="s">
        <v>78</v>
      </c>
      <c r="H691" t="s">
        <v>79</v>
      </c>
      <c r="I691" t="s">
        <v>80</v>
      </c>
      <c r="J691" t="s">
        <v>196</v>
      </c>
      <c r="K691" t="s">
        <v>13</v>
      </c>
      <c r="L691" t="s">
        <v>83</v>
      </c>
      <c r="M691" t="s">
        <v>205</v>
      </c>
      <c r="N691">
        <v>1</v>
      </c>
      <c r="O691" t="b">
        <v>1</v>
      </c>
      <c r="P691">
        <v>0</v>
      </c>
      <c r="BB691">
        <v>0</v>
      </c>
      <c r="BC691" t="s">
        <v>259</v>
      </c>
      <c r="BD691" t="s">
        <v>260</v>
      </c>
      <c r="BE691" t="s">
        <v>117</v>
      </c>
      <c r="BF691">
        <v>0</v>
      </c>
      <c r="BG691">
        <v>25</v>
      </c>
      <c r="BH691">
        <v>20</v>
      </c>
      <c r="BI691" t="s">
        <v>1897</v>
      </c>
    </row>
    <row r="692" spans="1:61">
      <c r="A692" s="164" t="s">
        <v>1898</v>
      </c>
      <c r="B692" t="s">
        <v>1899</v>
      </c>
      <c r="C692">
        <v>0</v>
      </c>
      <c r="D692" t="s">
        <v>257</v>
      </c>
      <c r="E692">
        <v>0</v>
      </c>
      <c r="F692" t="s">
        <v>269</v>
      </c>
      <c r="G692" t="s">
        <v>103</v>
      </c>
      <c r="H692" t="s">
        <v>104</v>
      </c>
      <c r="I692" t="s">
        <v>80</v>
      </c>
      <c r="J692" t="s">
        <v>196</v>
      </c>
      <c r="K692" t="s">
        <v>13</v>
      </c>
      <c r="L692" t="s">
        <v>83</v>
      </c>
      <c r="M692" t="s">
        <v>205</v>
      </c>
      <c r="N692">
        <v>1</v>
      </c>
      <c r="O692" t="b">
        <v>0</v>
      </c>
      <c r="P692">
        <v>0</v>
      </c>
      <c r="BB692">
        <v>0</v>
      </c>
      <c r="BC692" t="s">
        <v>259</v>
      </c>
      <c r="BD692" t="s">
        <v>270</v>
      </c>
      <c r="BE692" t="s">
        <v>117</v>
      </c>
      <c r="BF692">
        <v>0</v>
      </c>
      <c r="BG692">
        <v>0</v>
      </c>
      <c r="BH692">
        <v>0</v>
      </c>
    </row>
    <row r="693" spans="1:61">
      <c r="A693" s="164" t="s">
        <v>1900</v>
      </c>
      <c r="B693" t="s">
        <v>1901</v>
      </c>
      <c r="C693">
        <v>0</v>
      </c>
      <c r="D693" t="s">
        <v>257</v>
      </c>
      <c r="E693">
        <v>0</v>
      </c>
      <c r="F693" t="s">
        <v>269</v>
      </c>
      <c r="G693" t="s">
        <v>103</v>
      </c>
      <c r="H693" t="s">
        <v>104</v>
      </c>
      <c r="I693" t="s">
        <v>80</v>
      </c>
      <c r="J693" t="s">
        <v>196</v>
      </c>
      <c r="K693" t="s">
        <v>13</v>
      </c>
      <c r="L693" t="s">
        <v>83</v>
      </c>
      <c r="M693" t="s">
        <v>205</v>
      </c>
      <c r="N693">
        <v>1</v>
      </c>
      <c r="O693" t="b">
        <v>0</v>
      </c>
      <c r="P693">
        <v>0</v>
      </c>
      <c r="BB693">
        <v>0</v>
      </c>
      <c r="BC693" t="s">
        <v>259</v>
      </c>
      <c r="BD693" t="s">
        <v>270</v>
      </c>
      <c r="BE693" t="s">
        <v>117</v>
      </c>
      <c r="BF693">
        <v>0</v>
      </c>
      <c r="BG693">
        <v>0</v>
      </c>
      <c r="BH693">
        <v>0</v>
      </c>
    </row>
    <row r="694" spans="1:61">
      <c r="A694" s="164" t="s">
        <v>1902</v>
      </c>
      <c r="B694" t="s">
        <v>1903</v>
      </c>
      <c r="C694">
        <v>0</v>
      </c>
      <c r="D694" t="s">
        <v>257</v>
      </c>
      <c r="E694">
        <v>0</v>
      </c>
      <c r="F694" t="s">
        <v>269</v>
      </c>
      <c r="G694" t="s">
        <v>103</v>
      </c>
      <c r="H694" t="s">
        <v>104</v>
      </c>
      <c r="I694" t="s">
        <v>80</v>
      </c>
      <c r="J694" t="s">
        <v>196</v>
      </c>
      <c r="K694" t="s">
        <v>13</v>
      </c>
      <c r="L694" t="s">
        <v>83</v>
      </c>
      <c r="M694" t="s">
        <v>205</v>
      </c>
      <c r="N694">
        <v>1</v>
      </c>
      <c r="O694" t="b">
        <v>0</v>
      </c>
      <c r="P694">
        <v>0</v>
      </c>
      <c r="BB694">
        <v>0</v>
      </c>
      <c r="BC694" t="s">
        <v>259</v>
      </c>
      <c r="BD694" t="s">
        <v>270</v>
      </c>
      <c r="BE694" t="s">
        <v>117</v>
      </c>
      <c r="BF694">
        <v>0</v>
      </c>
      <c r="BG694">
        <v>0</v>
      </c>
      <c r="BH694">
        <v>0</v>
      </c>
    </row>
    <row r="695" spans="1:61">
      <c r="A695" s="164" t="s">
        <v>1904</v>
      </c>
      <c r="B695" t="s">
        <v>1905</v>
      </c>
      <c r="C695">
        <v>0</v>
      </c>
      <c r="D695" t="s">
        <v>257</v>
      </c>
      <c r="E695">
        <v>0</v>
      </c>
      <c r="F695" t="s">
        <v>269</v>
      </c>
      <c r="G695" t="s">
        <v>78</v>
      </c>
      <c r="H695" t="s">
        <v>79</v>
      </c>
      <c r="I695" t="s">
        <v>80</v>
      </c>
      <c r="J695" t="s">
        <v>196</v>
      </c>
      <c r="K695" t="s">
        <v>13</v>
      </c>
      <c r="L695" t="s">
        <v>83</v>
      </c>
      <c r="M695" t="s">
        <v>205</v>
      </c>
      <c r="N695">
        <v>1</v>
      </c>
      <c r="O695" t="b">
        <v>1</v>
      </c>
      <c r="P695">
        <v>0</v>
      </c>
      <c r="BB695">
        <v>0</v>
      </c>
      <c r="BC695" t="s">
        <v>259</v>
      </c>
      <c r="BD695" t="s">
        <v>270</v>
      </c>
      <c r="BE695" t="s">
        <v>117</v>
      </c>
      <c r="BF695">
        <v>0</v>
      </c>
      <c r="BG695">
        <v>15</v>
      </c>
      <c r="BH695">
        <v>25</v>
      </c>
      <c r="BI695" t="s">
        <v>1906</v>
      </c>
    </row>
    <row r="696" spans="1:61">
      <c r="A696" s="164" t="s">
        <v>1907</v>
      </c>
      <c r="B696" t="s">
        <v>1908</v>
      </c>
      <c r="C696">
        <v>0</v>
      </c>
      <c r="D696" t="s">
        <v>257</v>
      </c>
      <c r="E696">
        <v>0</v>
      </c>
      <c r="F696" t="s">
        <v>955</v>
      </c>
      <c r="G696" t="s">
        <v>78</v>
      </c>
      <c r="H696" t="s">
        <v>79</v>
      </c>
      <c r="I696" t="s">
        <v>80</v>
      </c>
      <c r="J696" t="s">
        <v>196</v>
      </c>
      <c r="K696" t="s">
        <v>13</v>
      </c>
      <c r="L696" t="s">
        <v>83</v>
      </c>
      <c r="M696" t="s">
        <v>84</v>
      </c>
      <c r="N696">
        <v>1</v>
      </c>
      <c r="O696" t="b">
        <v>1</v>
      </c>
      <c r="P696">
        <v>0</v>
      </c>
      <c r="BB696">
        <v>0</v>
      </c>
      <c r="BC696" t="s">
        <v>259</v>
      </c>
      <c r="BD696" t="s">
        <v>956</v>
      </c>
      <c r="BE696" t="s">
        <v>117</v>
      </c>
      <c r="BF696">
        <v>0</v>
      </c>
      <c r="BG696">
        <v>10</v>
      </c>
      <c r="BH696">
        <v>10</v>
      </c>
      <c r="BI696" t="s">
        <v>1324</v>
      </c>
    </row>
    <row r="697" spans="1:61">
      <c r="A697" s="164" t="s">
        <v>1909</v>
      </c>
      <c r="B697" t="s">
        <v>1910</v>
      </c>
      <c r="C697">
        <v>0</v>
      </c>
      <c r="D697" t="s">
        <v>304</v>
      </c>
      <c r="E697">
        <v>0</v>
      </c>
      <c r="F697" t="s">
        <v>305</v>
      </c>
      <c r="G697" t="s">
        <v>78</v>
      </c>
      <c r="H697" t="s">
        <v>79</v>
      </c>
      <c r="I697" t="s">
        <v>80</v>
      </c>
      <c r="J697" t="s">
        <v>196</v>
      </c>
      <c r="K697" t="s">
        <v>13</v>
      </c>
      <c r="L697" t="s">
        <v>83</v>
      </c>
      <c r="M697" t="s">
        <v>84</v>
      </c>
      <c r="N697">
        <v>1</v>
      </c>
      <c r="O697" t="b">
        <v>1</v>
      </c>
      <c r="P697">
        <v>0</v>
      </c>
      <c r="BB697">
        <v>0</v>
      </c>
      <c r="BC697" t="s">
        <v>306</v>
      </c>
      <c r="BD697" t="s">
        <v>307</v>
      </c>
      <c r="BE697" t="s">
        <v>117</v>
      </c>
      <c r="BF697">
        <v>0</v>
      </c>
      <c r="BG697">
        <v>25</v>
      </c>
      <c r="BH697">
        <v>10000</v>
      </c>
      <c r="BI697" t="s">
        <v>308</v>
      </c>
    </row>
    <row r="698" spans="1:61">
      <c r="A698" s="164" t="s">
        <v>1911</v>
      </c>
      <c r="B698" t="s">
        <v>1912</v>
      </c>
      <c r="C698">
        <v>0</v>
      </c>
      <c r="D698" t="s">
        <v>304</v>
      </c>
      <c r="E698">
        <v>0</v>
      </c>
      <c r="F698" t="s">
        <v>305</v>
      </c>
      <c r="G698" t="s">
        <v>78</v>
      </c>
      <c r="H698" t="s">
        <v>79</v>
      </c>
      <c r="I698" t="s">
        <v>80</v>
      </c>
      <c r="J698" t="s">
        <v>196</v>
      </c>
      <c r="K698" t="s">
        <v>13</v>
      </c>
      <c r="L698" t="s">
        <v>83</v>
      </c>
      <c r="M698" t="s">
        <v>84</v>
      </c>
      <c r="N698">
        <v>1</v>
      </c>
      <c r="O698" t="b">
        <v>1</v>
      </c>
      <c r="P698">
        <v>0</v>
      </c>
      <c r="BB698">
        <v>0</v>
      </c>
      <c r="BC698" t="s">
        <v>306</v>
      </c>
      <c r="BD698" t="s">
        <v>307</v>
      </c>
      <c r="BE698" t="s">
        <v>117</v>
      </c>
      <c r="BF698">
        <v>0</v>
      </c>
      <c r="BG698">
        <v>25</v>
      </c>
      <c r="BH698">
        <v>10000</v>
      </c>
      <c r="BI698" t="s">
        <v>308</v>
      </c>
    </row>
    <row r="699" spans="1:61">
      <c r="A699" s="164" t="s">
        <v>1913</v>
      </c>
      <c r="B699" t="s">
        <v>1914</v>
      </c>
      <c r="C699">
        <v>0</v>
      </c>
      <c r="D699" t="s">
        <v>304</v>
      </c>
      <c r="E699">
        <v>0</v>
      </c>
      <c r="F699" t="s">
        <v>305</v>
      </c>
      <c r="G699" t="s">
        <v>78</v>
      </c>
      <c r="H699" t="s">
        <v>79</v>
      </c>
      <c r="I699" t="s">
        <v>80</v>
      </c>
      <c r="J699" t="s">
        <v>196</v>
      </c>
      <c r="K699" t="s">
        <v>13</v>
      </c>
      <c r="L699" t="s">
        <v>83</v>
      </c>
      <c r="M699" t="s">
        <v>84</v>
      </c>
      <c r="N699">
        <v>1</v>
      </c>
      <c r="O699" t="b">
        <v>1</v>
      </c>
      <c r="P699">
        <v>0</v>
      </c>
      <c r="BB699">
        <v>0</v>
      </c>
      <c r="BC699" t="s">
        <v>306</v>
      </c>
      <c r="BD699" t="s">
        <v>307</v>
      </c>
      <c r="BE699" t="s">
        <v>117</v>
      </c>
      <c r="BF699">
        <v>0</v>
      </c>
      <c r="BG699">
        <v>25</v>
      </c>
      <c r="BH699">
        <v>10000</v>
      </c>
      <c r="BI699" t="s">
        <v>308</v>
      </c>
    </row>
    <row r="700" spans="1:61">
      <c r="A700" s="164" t="s">
        <v>1915</v>
      </c>
      <c r="B700" t="s">
        <v>1916</v>
      </c>
      <c r="C700">
        <v>0</v>
      </c>
      <c r="D700" t="s">
        <v>304</v>
      </c>
      <c r="E700">
        <v>0</v>
      </c>
      <c r="F700" t="s">
        <v>1917</v>
      </c>
      <c r="G700" t="s">
        <v>78</v>
      </c>
      <c r="H700" t="s">
        <v>79</v>
      </c>
      <c r="I700" t="s">
        <v>80</v>
      </c>
      <c r="J700" t="s">
        <v>196</v>
      </c>
      <c r="K700" t="s">
        <v>13</v>
      </c>
      <c r="L700" t="s">
        <v>83</v>
      </c>
      <c r="M700" t="s">
        <v>1918</v>
      </c>
      <c r="N700">
        <v>1</v>
      </c>
      <c r="O700" t="b">
        <v>1</v>
      </c>
      <c r="P700">
        <v>0</v>
      </c>
      <c r="BB700">
        <v>0</v>
      </c>
      <c r="BC700" t="s">
        <v>306</v>
      </c>
      <c r="BD700" t="s">
        <v>1919</v>
      </c>
      <c r="BE700" t="s">
        <v>117</v>
      </c>
      <c r="BF700">
        <v>0</v>
      </c>
      <c r="BG700">
        <v>30</v>
      </c>
      <c r="BH700">
        <v>20000</v>
      </c>
      <c r="BI700" t="s">
        <v>1920</v>
      </c>
    </row>
    <row r="701" spans="1:61">
      <c r="A701" s="164" t="s">
        <v>1921</v>
      </c>
      <c r="B701" t="s">
        <v>1922</v>
      </c>
      <c r="C701">
        <v>0</v>
      </c>
      <c r="D701" t="s">
        <v>304</v>
      </c>
      <c r="E701">
        <v>0</v>
      </c>
      <c r="F701" t="s">
        <v>313</v>
      </c>
      <c r="G701" t="s">
        <v>78</v>
      </c>
      <c r="H701" t="s">
        <v>79</v>
      </c>
      <c r="I701" t="s">
        <v>80</v>
      </c>
      <c r="J701" t="s">
        <v>196</v>
      </c>
      <c r="K701" t="s">
        <v>13</v>
      </c>
      <c r="L701" t="s">
        <v>83</v>
      </c>
      <c r="M701" t="s">
        <v>205</v>
      </c>
      <c r="N701">
        <v>1</v>
      </c>
      <c r="O701" t="b">
        <v>1</v>
      </c>
      <c r="P701">
        <v>0</v>
      </c>
      <c r="BB701">
        <v>0</v>
      </c>
      <c r="BC701" t="s">
        <v>306</v>
      </c>
      <c r="BD701" t="s">
        <v>314</v>
      </c>
      <c r="BE701" t="s">
        <v>117</v>
      </c>
      <c r="BF701">
        <v>0</v>
      </c>
      <c r="BG701">
        <v>45</v>
      </c>
      <c r="BH701">
        <v>300</v>
      </c>
      <c r="BI701" t="s">
        <v>315</v>
      </c>
    </row>
    <row r="702" spans="1:61">
      <c r="A702" s="164" t="s">
        <v>1923</v>
      </c>
      <c r="B702" t="s">
        <v>1924</v>
      </c>
      <c r="C702">
        <v>0</v>
      </c>
      <c r="D702" t="s">
        <v>304</v>
      </c>
      <c r="E702">
        <v>0</v>
      </c>
      <c r="F702" t="s">
        <v>342</v>
      </c>
      <c r="G702" t="s">
        <v>78</v>
      </c>
      <c r="H702" t="s">
        <v>79</v>
      </c>
      <c r="I702" t="s">
        <v>80</v>
      </c>
      <c r="J702" t="s">
        <v>196</v>
      </c>
      <c r="K702" t="s">
        <v>13</v>
      </c>
      <c r="L702" t="s">
        <v>83</v>
      </c>
      <c r="M702" t="s">
        <v>84</v>
      </c>
      <c r="N702">
        <v>1</v>
      </c>
      <c r="O702" t="b">
        <v>1</v>
      </c>
      <c r="P702">
        <v>0</v>
      </c>
      <c r="BB702">
        <v>0</v>
      </c>
      <c r="BC702" t="s">
        <v>306</v>
      </c>
      <c r="BD702" t="s">
        <v>343</v>
      </c>
      <c r="BE702" t="s">
        <v>117</v>
      </c>
      <c r="BF702">
        <v>0</v>
      </c>
      <c r="BG702">
        <v>25</v>
      </c>
      <c r="BH702">
        <v>10000</v>
      </c>
      <c r="BI702" t="s">
        <v>344</v>
      </c>
    </row>
    <row r="703" spans="1:61">
      <c r="A703" s="164" t="s">
        <v>1925</v>
      </c>
      <c r="B703" t="s">
        <v>1926</v>
      </c>
      <c r="C703">
        <v>0</v>
      </c>
      <c r="D703" t="s">
        <v>304</v>
      </c>
      <c r="E703">
        <v>0</v>
      </c>
      <c r="F703" t="s">
        <v>342</v>
      </c>
      <c r="G703" t="s">
        <v>78</v>
      </c>
      <c r="H703" t="s">
        <v>79</v>
      </c>
      <c r="I703" t="s">
        <v>80</v>
      </c>
      <c r="J703" t="s">
        <v>196</v>
      </c>
      <c r="K703" t="s">
        <v>13</v>
      </c>
      <c r="L703" t="s">
        <v>83</v>
      </c>
      <c r="M703" t="s">
        <v>84</v>
      </c>
      <c r="N703">
        <v>1</v>
      </c>
      <c r="O703" t="b">
        <v>1</v>
      </c>
      <c r="P703">
        <v>0</v>
      </c>
      <c r="BB703">
        <v>0</v>
      </c>
      <c r="BC703" t="s">
        <v>306</v>
      </c>
      <c r="BD703" t="s">
        <v>343</v>
      </c>
      <c r="BE703" t="s">
        <v>117</v>
      </c>
      <c r="BF703">
        <v>0</v>
      </c>
      <c r="BG703">
        <v>25</v>
      </c>
      <c r="BH703">
        <v>10000</v>
      </c>
      <c r="BI703" t="s">
        <v>344</v>
      </c>
    </row>
    <row r="704" spans="1:61">
      <c r="A704" s="164" t="s">
        <v>1927</v>
      </c>
      <c r="B704" t="s">
        <v>1928</v>
      </c>
      <c r="C704">
        <v>0</v>
      </c>
      <c r="D704" t="s">
        <v>304</v>
      </c>
      <c r="E704">
        <v>0</v>
      </c>
      <c r="F704" t="s">
        <v>1364</v>
      </c>
      <c r="G704" t="s">
        <v>78</v>
      </c>
      <c r="H704" t="s">
        <v>79</v>
      </c>
      <c r="I704" t="s">
        <v>80</v>
      </c>
      <c r="J704" t="s">
        <v>196</v>
      </c>
      <c r="K704" t="s">
        <v>13</v>
      </c>
      <c r="L704" t="s">
        <v>83</v>
      </c>
      <c r="M704" t="s">
        <v>84</v>
      </c>
      <c r="N704">
        <v>1</v>
      </c>
      <c r="O704" t="b">
        <v>1</v>
      </c>
      <c r="P704">
        <v>0</v>
      </c>
      <c r="BB704">
        <v>0</v>
      </c>
      <c r="BC704" t="s">
        <v>306</v>
      </c>
      <c r="BD704" t="s">
        <v>1365</v>
      </c>
      <c r="BE704" t="s">
        <v>117</v>
      </c>
      <c r="BF704">
        <v>0</v>
      </c>
      <c r="BG704">
        <v>15</v>
      </c>
      <c r="BH704">
        <v>1000</v>
      </c>
      <c r="BI704" t="s">
        <v>1366</v>
      </c>
    </row>
    <row r="705" spans="1:61">
      <c r="A705" s="164" t="s">
        <v>1929</v>
      </c>
      <c r="B705" t="s">
        <v>1930</v>
      </c>
      <c r="C705">
        <v>0</v>
      </c>
      <c r="D705" t="s">
        <v>304</v>
      </c>
      <c r="E705">
        <v>0</v>
      </c>
      <c r="F705" t="s">
        <v>1364</v>
      </c>
      <c r="G705" t="s">
        <v>78</v>
      </c>
      <c r="H705" t="s">
        <v>79</v>
      </c>
      <c r="I705" t="s">
        <v>80</v>
      </c>
      <c r="J705" t="s">
        <v>196</v>
      </c>
      <c r="K705" t="s">
        <v>13</v>
      </c>
      <c r="L705" t="s">
        <v>83</v>
      </c>
      <c r="M705" t="s">
        <v>84</v>
      </c>
      <c r="N705">
        <v>1</v>
      </c>
      <c r="O705" t="b">
        <v>1</v>
      </c>
      <c r="P705">
        <v>0</v>
      </c>
      <c r="BB705">
        <v>0</v>
      </c>
      <c r="BC705" t="s">
        <v>306</v>
      </c>
      <c r="BD705" t="s">
        <v>1365</v>
      </c>
      <c r="BE705" t="s">
        <v>117</v>
      </c>
      <c r="BF705">
        <v>0</v>
      </c>
      <c r="BG705">
        <v>45</v>
      </c>
      <c r="BH705">
        <v>30000</v>
      </c>
      <c r="BI705" t="s">
        <v>1931</v>
      </c>
    </row>
    <row r="706" spans="1:61">
      <c r="A706" s="164" t="s">
        <v>1932</v>
      </c>
      <c r="B706" t="s">
        <v>1933</v>
      </c>
      <c r="C706">
        <v>0</v>
      </c>
      <c r="D706" t="s">
        <v>304</v>
      </c>
      <c r="E706">
        <v>0</v>
      </c>
      <c r="F706" t="s">
        <v>357</v>
      </c>
      <c r="G706" t="s">
        <v>78</v>
      </c>
      <c r="H706" t="s">
        <v>79</v>
      </c>
      <c r="I706" t="s">
        <v>80</v>
      </c>
      <c r="J706" t="s">
        <v>196</v>
      </c>
      <c r="K706" t="s">
        <v>13</v>
      </c>
      <c r="L706" t="s">
        <v>83</v>
      </c>
      <c r="M706" t="s">
        <v>84</v>
      </c>
      <c r="N706">
        <v>1</v>
      </c>
      <c r="O706" t="b">
        <v>1</v>
      </c>
      <c r="P706">
        <v>0</v>
      </c>
      <c r="BB706">
        <v>0</v>
      </c>
      <c r="BC706" t="s">
        <v>306</v>
      </c>
      <c r="BD706" t="s">
        <v>358</v>
      </c>
      <c r="BE706" t="s">
        <v>117</v>
      </c>
      <c r="BF706">
        <v>0</v>
      </c>
      <c r="BG706">
        <v>25</v>
      </c>
      <c r="BH706">
        <v>500</v>
      </c>
      <c r="BI706" t="s">
        <v>359</v>
      </c>
    </row>
    <row r="707" spans="1:61">
      <c r="A707" s="164" t="s">
        <v>1934</v>
      </c>
      <c r="B707" t="s">
        <v>1935</v>
      </c>
      <c r="C707">
        <v>0</v>
      </c>
      <c r="D707" t="s">
        <v>304</v>
      </c>
      <c r="E707">
        <v>0</v>
      </c>
      <c r="F707" t="s">
        <v>305</v>
      </c>
      <c r="G707" t="s">
        <v>78</v>
      </c>
      <c r="H707" t="s">
        <v>79</v>
      </c>
      <c r="I707" t="s">
        <v>80</v>
      </c>
      <c r="J707" t="s">
        <v>196</v>
      </c>
      <c r="K707" t="s">
        <v>13</v>
      </c>
      <c r="L707" t="s">
        <v>83</v>
      </c>
      <c r="M707" t="s">
        <v>84</v>
      </c>
      <c r="N707">
        <v>1</v>
      </c>
      <c r="O707" t="b">
        <v>1</v>
      </c>
      <c r="P707">
        <v>0</v>
      </c>
      <c r="BB707">
        <v>0</v>
      </c>
      <c r="BC707" t="s">
        <v>306</v>
      </c>
      <c r="BD707" t="s">
        <v>307</v>
      </c>
      <c r="BE707" t="s">
        <v>117</v>
      </c>
      <c r="BF707">
        <v>0</v>
      </c>
      <c r="BG707">
        <v>25</v>
      </c>
      <c r="BH707">
        <v>10000</v>
      </c>
      <c r="BI707" t="s">
        <v>308</v>
      </c>
    </row>
    <row r="708" spans="1:61">
      <c r="A708" s="164" t="s">
        <v>1936</v>
      </c>
      <c r="B708" t="s">
        <v>1937</v>
      </c>
      <c r="C708">
        <v>0</v>
      </c>
      <c r="D708" t="s">
        <v>304</v>
      </c>
      <c r="E708">
        <v>0</v>
      </c>
      <c r="F708" t="s">
        <v>342</v>
      </c>
      <c r="G708" t="s">
        <v>78</v>
      </c>
      <c r="H708" t="s">
        <v>79</v>
      </c>
      <c r="I708" t="s">
        <v>80</v>
      </c>
      <c r="J708" t="s">
        <v>196</v>
      </c>
      <c r="K708" t="s">
        <v>13</v>
      </c>
      <c r="L708" t="s">
        <v>83</v>
      </c>
      <c r="M708" t="s">
        <v>84</v>
      </c>
      <c r="N708">
        <v>1</v>
      </c>
      <c r="O708" t="b">
        <v>1</v>
      </c>
      <c r="P708">
        <v>0</v>
      </c>
      <c r="BB708">
        <v>0</v>
      </c>
      <c r="BC708" t="s">
        <v>306</v>
      </c>
      <c r="BD708" t="s">
        <v>343</v>
      </c>
      <c r="BE708" t="s">
        <v>117</v>
      </c>
      <c r="BF708">
        <v>0</v>
      </c>
      <c r="BG708">
        <v>25</v>
      </c>
      <c r="BH708">
        <v>10000</v>
      </c>
      <c r="BI708" t="s">
        <v>344</v>
      </c>
    </row>
    <row r="709" spans="1:61">
      <c r="A709" s="164" t="s">
        <v>1938</v>
      </c>
      <c r="B709" t="s">
        <v>1939</v>
      </c>
      <c r="C709">
        <v>0</v>
      </c>
      <c r="D709" t="s">
        <v>304</v>
      </c>
      <c r="E709">
        <v>0</v>
      </c>
      <c r="F709" t="s">
        <v>269</v>
      </c>
      <c r="G709" t="s">
        <v>103</v>
      </c>
      <c r="H709" t="s">
        <v>104</v>
      </c>
      <c r="I709" t="s">
        <v>80</v>
      </c>
      <c r="J709" t="s">
        <v>196</v>
      </c>
      <c r="K709" t="s">
        <v>13</v>
      </c>
      <c r="L709" t="s">
        <v>83</v>
      </c>
      <c r="M709" t="s">
        <v>84</v>
      </c>
      <c r="N709">
        <v>1</v>
      </c>
      <c r="O709" t="b">
        <v>0</v>
      </c>
      <c r="P709">
        <v>0</v>
      </c>
      <c r="BB709">
        <v>0</v>
      </c>
      <c r="BC709" t="s">
        <v>306</v>
      </c>
      <c r="BD709" t="s">
        <v>270</v>
      </c>
      <c r="BE709" t="s">
        <v>117</v>
      </c>
      <c r="BF709">
        <v>0</v>
      </c>
      <c r="BG709">
        <v>0</v>
      </c>
      <c r="BH709">
        <v>0</v>
      </c>
    </row>
    <row r="710" spans="1:61">
      <c r="A710" s="164" t="s">
        <v>1940</v>
      </c>
      <c r="B710" t="s">
        <v>1941</v>
      </c>
      <c r="C710">
        <v>0</v>
      </c>
      <c r="D710" t="s">
        <v>304</v>
      </c>
      <c r="E710">
        <v>0</v>
      </c>
      <c r="F710" t="s">
        <v>349</v>
      </c>
      <c r="G710" t="s">
        <v>78</v>
      </c>
      <c r="H710" t="s">
        <v>79</v>
      </c>
      <c r="I710" t="s">
        <v>80</v>
      </c>
      <c r="J710" t="s">
        <v>196</v>
      </c>
      <c r="K710" t="s">
        <v>13</v>
      </c>
      <c r="L710" t="s">
        <v>83</v>
      </c>
      <c r="M710" t="s">
        <v>84</v>
      </c>
      <c r="N710">
        <v>1</v>
      </c>
      <c r="O710" t="b">
        <v>1</v>
      </c>
      <c r="P710">
        <v>0</v>
      </c>
      <c r="BB710">
        <v>0</v>
      </c>
      <c r="BC710" t="s">
        <v>306</v>
      </c>
      <c r="BD710" t="s">
        <v>350</v>
      </c>
      <c r="BE710" t="s">
        <v>117</v>
      </c>
      <c r="BF710">
        <v>0</v>
      </c>
      <c r="BG710">
        <v>25</v>
      </c>
      <c r="BH710">
        <v>10000</v>
      </c>
      <c r="BI710" t="s">
        <v>344</v>
      </c>
    </row>
    <row r="711" spans="1:61">
      <c r="A711" s="164" t="s">
        <v>1942</v>
      </c>
      <c r="B711" t="s">
        <v>1943</v>
      </c>
      <c r="C711">
        <v>0</v>
      </c>
      <c r="D711" t="s">
        <v>304</v>
      </c>
      <c r="E711">
        <v>0</v>
      </c>
      <c r="F711" t="s">
        <v>349</v>
      </c>
      <c r="G711" t="s">
        <v>78</v>
      </c>
      <c r="H711" t="s">
        <v>79</v>
      </c>
      <c r="I711" t="s">
        <v>80</v>
      </c>
      <c r="J711" t="s">
        <v>196</v>
      </c>
      <c r="K711" t="s">
        <v>13</v>
      </c>
      <c r="L711" t="s">
        <v>83</v>
      </c>
      <c r="M711" t="s">
        <v>84</v>
      </c>
      <c r="N711">
        <v>1</v>
      </c>
      <c r="O711" t="b">
        <v>1</v>
      </c>
      <c r="P711">
        <v>0</v>
      </c>
      <c r="BB711">
        <v>0</v>
      </c>
      <c r="BC711" t="s">
        <v>306</v>
      </c>
      <c r="BD711" t="s">
        <v>350</v>
      </c>
      <c r="BE711" t="s">
        <v>117</v>
      </c>
      <c r="BF711">
        <v>0</v>
      </c>
      <c r="BG711">
        <v>25</v>
      </c>
      <c r="BH711">
        <v>10000</v>
      </c>
      <c r="BI711" t="s">
        <v>344</v>
      </c>
    </row>
    <row r="712" spans="1:61">
      <c r="A712" s="164" t="s">
        <v>1944</v>
      </c>
      <c r="B712" t="s">
        <v>1945</v>
      </c>
      <c r="C712">
        <v>0</v>
      </c>
      <c r="D712" t="s">
        <v>304</v>
      </c>
      <c r="E712">
        <v>0</v>
      </c>
      <c r="F712" t="s">
        <v>269</v>
      </c>
      <c r="G712" t="s">
        <v>103</v>
      </c>
      <c r="H712" t="s">
        <v>104</v>
      </c>
      <c r="I712" t="s">
        <v>80</v>
      </c>
      <c r="J712" t="s">
        <v>196</v>
      </c>
      <c r="K712" t="s">
        <v>13</v>
      </c>
      <c r="L712" t="s">
        <v>83</v>
      </c>
      <c r="M712" t="s">
        <v>84</v>
      </c>
      <c r="N712">
        <v>1</v>
      </c>
      <c r="O712" t="b">
        <v>0</v>
      </c>
      <c r="P712">
        <v>0</v>
      </c>
      <c r="BB712">
        <v>0</v>
      </c>
      <c r="BC712" t="s">
        <v>306</v>
      </c>
      <c r="BD712" t="s">
        <v>270</v>
      </c>
      <c r="BE712" t="s">
        <v>117</v>
      </c>
      <c r="BF712">
        <v>0</v>
      </c>
      <c r="BG712">
        <v>0</v>
      </c>
      <c r="BH712">
        <v>0</v>
      </c>
    </row>
    <row r="713" spans="1:61">
      <c r="A713" s="164" t="s">
        <v>1946</v>
      </c>
      <c r="B713" t="s">
        <v>1947</v>
      </c>
      <c r="C713">
        <v>0</v>
      </c>
      <c r="D713" t="s">
        <v>304</v>
      </c>
      <c r="E713">
        <v>0</v>
      </c>
      <c r="F713" t="s">
        <v>269</v>
      </c>
      <c r="G713" t="s">
        <v>103</v>
      </c>
      <c r="H713" t="s">
        <v>104</v>
      </c>
      <c r="I713" t="s">
        <v>80</v>
      </c>
      <c r="J713" t="s">
        <v>196</v>
      </c>
      <c r="K713" t="s">
        <v>13</v>
      </c>
      <c r="L713" t="s">
        <v>83</v>
      </c>
      <c r="M713" t="s">
        <v>84</v>
      </c>
      <c r="N713">
        <v>1</v>
      </c>
      <c r="O713" t="b">
        <v>0</v>
      </c>
      <c r="P713">
        <v>0</v>
      </c>
      <c r="BB713">
        <v>0</v>
      </c>
      <c r="BC713" t="s">
        <v>306</v>
      </c>
      <c r="BD713" t="s">
        <v>270</v>
      </c>
      <c r="BE713" t="s">
        <v>117</v>
      </c>
      <c r="BF713">
        <v>0</v>
      </c>
      <c r="BG713">
        <v>0</v>
      </c>
      <c r="BH713">
        <v>0</v>
      </c>
    </row>
    <row r="714" spans="1:61">
      <c r="A714" s="164" t="s">
        <v>1948</v>
      </c>
      <c r="B714" t="s">
        <v>1949</v>
      </c>
      <c r="C714">
        <v>0</v>
      </c>
      <c r="D714" t="s">
        <v>304</v>
      </c>
      <c r="E714">
        <v>0</v>
      </c>
      <c r="F714" t="s">
        <v>313</v>
      </c>
      <c r="G714" t="s">
        <v>78</v>
      </c>
      <c r="H714" t="s">
        <v>79</v>
      </c>
      <c r="I714" t="s">
        <v>80</v>
      </c>
      <c r="J714" t="s">
        <v>196</v>
      </c>
      <c r="K714" t="s">
        <v>13</v>
      </c>
      <c r="L714" t="s">
        <v>83</v>
      </c>
      <c r="M714" t="s">
        <v>205</v>
      </c>
      <c r="N714">
        <v>1</v>
      </c>
      <c r="O714" t="b">
        <v>1</v>
      </c>
      <c r="P714">
        <v>0</v>
      </c>
      <c r="BB714">
        <v>0</v>
      </c>
      <c r="BC714" t="s">
        <v>306</v>
      </c>
      <c r="BD714" t="s">
        <v>314</v>
      </c>
      <c r="BE714" t="s">
        <v>117</v>
      </c>
      <c r="BF714">
        <v>0</v>
      </c>
      <c r="BG714">
        <v>45</v>
      </c>
      <c r="BH714">
        <v>300</v>
      </c>
      <c r="BI714" t="s">
        <v>315</v>
      </c>
    </row>
    <row r="715" spans="1:61">
      <c r="A715" s="164" t="s">
        <v>1950</v>
      </c>
      <c r="B715" t="s">
        <v>1951</v>
      </c>
      <c r="C715">
        <v>0</v>
      </c>
      <c r="D715" t="s">
        <v>304</v>
      </c>
      <c r="E715">
        <v>0</v>
      </c>
      <c r="F715" t="s">
        <v>342</v>
      </c>
      <c r="G715" t="s">
        <v>78</v>
      </c>
      <c r="H715" t="s">
        <v>79</v>
      </c>
      <c r="I715" t="s">
        <v>80</v>
      </c>
      <c r="J715" t="s">
        <v>196</v>
      </c>
      <c r="K715" t="s">
        <v>13</v>
      </c>
      <c r="L715" t="s">
        <v>83</v>
      </c>
      <c r="M715" t="s">
        <v>84</v>
      </c>
      <c r="N715">
        <v>1</v>
      </c>
      <c r="O715" t="b">
        <v>1</v>
      </c>
      <c r="P715">
        <v>0</v>
      </c>
      <c r="BB715">
        <v>0</v>
      </c>
      <c r="BC715" t="s">
        <v>306</v>
      </c>
      <c r="BD715" t="s">
        <v>343</v>
      </c>
      <c r="BE715" t="s">
        <v>117</v>
      </c>
      <c r="BF715">
        <v>0</v>
      </c>
      <c r="BG715">
        <v>25</v>
      </c>
      <c r="BH715">
        <v>10000</v>
      </c>
      <c r="BI715" t="s">
        <v>344</v>
      </c>
    </row>
    <row r="716" spans="1:61">
      <c r="A716" s="164" t="s">
        <v>1952</v>
      </c>
      <c r="B716" t="s">
        <v>1953</v>
      </c>
      <c r="C716">
        <v>0</v>
      </c>
      <c r="D716" t="s">
        <v>304</v>
      </c>
      <c r="E716">
        <v>0</v>
      </c>
      <c r="F716" t="s">
        <v>342</v>
      </c>
      <c r="G716" t="s">
        <v>78</v>
      </c>
      <c r="H716" t="s">
        <v>79</v>
      </c>
      <c r="I716" t="s">
        <v>80</v>
      </c>
      <c r="J716" t="s">
        <v>196</v>
      </c>
      <c r="K716" t="s">
        <v>13</v>
      </c>
      <c r="L716" t="s">
        <v>83</v>
      </c>
      <c r="M716" t="s">
        <v>84</v>
      </c>
      <c r="N716">
        <v>1</v>
      </c>
      <c r="O716" t="b">
        <v>1</v>
      </c>
      <c r="P716">
        <v>0</v>
      </c>
      <c r="BB716">
        <v>0</v>
      </c>
      <c r="BC716" t="s">
        <v>306</v>
      </c>
      <c r="BD716" t="s">
        <v>343</v>
      </c>
      <c r="BE716" t="s">
        <v>117</v>
      </c>
      <c r="BF716">
        <v>0</v>
      </c>
      <c r="BG716">
        <v>25</v>
      </c>
      <c r="BH716">
        <v>10000</v>
      </c>
      <c r="BI716" t="s">
        <v>344</v>
      </c>
    </row>
    <row r="717" spans="1:61">
      <c r="A717" s="164" t="s">
        <v>1954</v>
      </c>
      <c r="B717" t="s">
        <v>1955</v>
      </c>
      <c r="C717">
        <v>0</v>
      </c>
      <c r="D717" t="s">
        <v>304</v>
      </c>
      <c r="E717">
        <v>0</v>
      </c>
      <c r="F717" t="s">
        <v>342</v>
      </c>
      <c r="G717" t="s">
        <v>78</v>
      </c>
      <c r="H717" t="s">
        <v>79</v>
      </c>
      <c r="I717" t="s">
        <v>80</v>
      </c>
      <c r="J717" t="s">
        <v>196</v>
      </c>
      <c r="K717" t="s">
        <v>13</v>
      </c>
      <c r="L717" t="s">
        <v>83</v>
      </c>
      <c r="M717" t="s">
        <v>84</v>
      </c>
      <c r="N717">
        <v>1</v>
      </c>
      <c r="O717" t="b">
        <v>1</v>
      </c>
      <c r="P717">
        <v>0</v>
      </c>
      <c r="BB717">
        <v>0</v>
      </c>
      <c r="BC717" t="s">
        <v>306</v>
      </c>
      <c r="BD717" t="s">
        <v>343</v>
      </c>
      <c r="BE717" t="s">
        <v>117</v>
      </c>
      <c r="BF717">
        <v>0</v>
      </c>
      <c r="BG717">
        <v>25</v>
      </c>
      <c r="BH717">
        <v>10000</v>
      </c>
      <c r="BI717" t="s">
        <v>344</v>
      </c>
    </row>
    <row r="718" spans="1:61">
      <c r="A718" s="164" t="s">
        <v>1956</v>
      </c>
      <c r="B718" t="s">
        <v>1957</v>
      </c>
      <c r="C718">
        <v>0</v>
      </c>
      <c r="D718" t="s">
        <v>304</v>
      </c>
      <c r="E718">
        <v>0</v>
      </c>
      <c r="F718" t="s">
        <v>342</v>
      </c>
      <c r="G718" t="s">
        <v>78</v>
      </c>
      <c r="H718" t="s">
        <v>79</v>
      </c>
      <c r="I718" t="s">
        <v>80</v>
      </c>
      <c r="J718" t="s">
        <v>196</v>
      </c>
      <c r="K718" t="s">
        <v>13</v>
      </c>
      <c r="L718" t="s">
        <v>83</v>
      </c>
      <c r="M718" t="s">
        <v>84</v>
      </c>
      <c r="N718">
        <v>1</v>
      </c>
      <c r="O718" t="b">
        <v>1</v>
      </c>
      <c r="P718">
        <v>0</v>
      </c>
      <c r="BB718">
        <v>0</v>
      </c>
      <c r="BC718" t="s">
        <v>306</v>
      </c>
      <c r="BD718" t="s">
        <v>343</v>
      </c>
      <c r="BE718" t="s">
        <v>117</v>
      </c>
      <c r="BF718">
        <v>0</v>
      </c>
      <c r="BG718">
        <v>25</v>
      </c>
      <c r="BH718">
        <v>10000</v>
      </c>
      <c r="BI718" t="s">
        <v>344</v>
      </c>
    </row>
    <row r="719" spans="1:61">
      <c r="A719" s="164" t="s">
        <v>1958</v>
      </c>
      <c r="B719" t="s">
        <v>1959</v>
      </c>
      <c r="C719">
        <v>0</v>
      </c>
      <c r="D719" t="s">
        <v>304</v>
      </c>
      <c r="E719">
        <v>0</v>
      </c>
      <c r="F719" t="s">
        <v>269</v>
      </c>
      <c r="G719" t="s">
        <v>103</v>
      </c>
      <c r="H719" t="s">
        <v>104</v>
      </c>
      <c r="I719" t="s">
        <v>80</v>
      </c>
      <c r="J719" t="s">
        <v>196</v>
      </c>
      <c r="K719" t="s">
        <v>13</v>
      </c>
      <c r="L719" t="s">
        <v>83</v>
      </c>
      <c r="M719" t="s">
        <v>84</v>
      </c>
      <c r="N719">
        <v>1</v>
      </c>
      <c r="O719" t="b">
        <v>0</v>
      </c>
      <c r="P719">
        <v>0</v>
      </c>
      <c r="BB719">
        <v>0</v>
      </c>
      <c r="BC719" t="s">
        <v>306</v>
      </c>
      <c r="BD719" t="s">
        <v>270</v>
      </c>
      <c r="BE719" t="s">
        <v>117</v>
      </c>
      <c r="BF719">
        <v>0</v>
      </c>
      <c r="BG719">
        <v>0</v>
      </c>
      <c r="BH719">
        <v>0</v>
      </c>
    </row>
    <row r="720" spans="1:61">
      <c r="A720" s="164" t="s">
        <v>1960</v>
      </c>
      <c r="B720" t="s">
        <v>1961</v>
      </c>
      <c r="C720">
        <v>0</v>
      </c>
      <c r="D720" t="s">
        <v>257</v>
      </c>
      <c r="E720">
        <v>0</v>
      </c>
      <c r="F720" t="s">
        <v>1962</v>
      </c>
      <c r="G720" t="s">
        <v>78</v>
      </c>
      <c r="H720" t="s">
        <v>79</v>
      </c>
      <c r="I720" t="s">
        <v>80</v>
      </c>
      <c r="J720" t="s">
        <v>196</v>
      </c>
      <c r="K720" t="s">
        <v>13</v>
      </c>
      <c r="L720" t="s">
        <v>83</v>
      </c>
      <c r="M720" t="s">
        <v>205</v>
      </c>
      <c r="N720">
        <v>1</v>
      </c>
      <c r="O720" t="b">
        <v>1</v>
      </c>
      <c r="P720">
        <v>0</v>
      </c>
      <c r="BB720">
        <v>0</v>
      </c>
      <c r="BC720" t="s">
        <v>259</v>
      </c>
      <c r="BD720" t="s">
        <v>1963</v>
      </c>
      <c r="BE720" t="s">
        <v>117</v>
      </c>
      <c r="BF720">
        <v>0</v>
      </c>
      <c r="BG720">
        <v>8</v>
      </c>
      <c r="BH720">
        <v>2000</v>
      </c>
      <c r="BI720" t="s">
        <v>1964</v>
      </c>
    </row>
    <row r="721" spans="1:61">
      <c r="A721" s="164" t="s">
        <v>1965</v>
      </c>
      <c r="B721" t="s">
        <v>1966</v>
      </c>
      <c r="C721">
        <v>0</v>
      </c>
      <c r="D721" t="s">
        <v>257</v>
      </c>
      <c r="E721">
        <v>0</v>
      </c>
      <c r="F721" t="s">
        <v>925</v>
      </c>
      <c r="G721" t="s">
        <v>78</v>
      </c>
      <c r="H721" t="s">
        <v>79</v>
      </c>
      <c r="I721" t="s">
        <v>80</v>
      </c>
      <c r="J721" t="s">
        <v>196</v>
      </c>
      <c r="K721" t="s">
        <v>13</v>
      </c>
      <c r="L721" t="s">
        <v>83</v>
      </c>
      <c r="M721" t="s">
        <v>205</v>
      </c>
      <c r="N721">
        <v>1</v>
      </c>
      <c r="O721" t="b">
        <v>1</v>
      </c>
      <c r="P721">
        <v>0</v>
      </c>
      <c r="BB721">
        <v>0</v>
      </c>
      <c r="BC721" t="s">
        <v>259</v>
      </c>
      <c r="BD721" t="s">
        <v>926</v>
      </c>
      <c r="BE721" t="s">
        <v>117</v>
      </c>
      <c r="BF721">
        <v>0</v>
      </c>
      <c r="BG721">
        <v>25</v>
      </c>
      <c r="BH721">
        <v>25</v>
      </c>
      <c r="BI721" t="s">
        <v>1967</v>
      </c>
    </row>
    <row r="722" spans="1:61">
      <c r="A722" s="164" t="s">
        <v>1968</v>
      </c>
      <c r="B722" t="s">
        <v>1969</v>
      </c>
      <c r="C722">
        <v>0</v>
      </c>
      <c r="D722" t="s">
        <v>257</v>
      </c>
      <c r="E722">
        <v>0</v>
      </c>
      <c r="F722" t="s">
        <v>269</v>
      </c>
      <c r="G722" t="s">
        <v>103</v>
      </c>
      <c r="H722" t="s">
        <v>104</v>
      </c>
      <c r="I722" t="s">
        <v>80</v>
      </c>
      <c r="J722" t="s">
        <v>196</v>
      </c>
      <c r="K722" t="s">
        <v>13</v>
      </c>
      <c r="L722" t="s">
        <v>83</v>
      </c>
      <c r="M722" t="s">
        <v>205</v>
      </c>
      <c r="N722">
        <v>1</v>
      </c>
      <c r="O722" t="b">
        <v>0</v>
      </c>
      <c r="P722">
        <v>0</v>
      </c>
      <c r="BB722">
        <v>0</v>
      </c>
      <c r="BC722" t="s">
        <v>259</v>
      </c>
      <c r="BD722" t="s">
        <v>270</v>
      </c>
      <c r="BE722" t="s">
        <v>117</v>
      </c>
      <c r="BF722">
        <v>0</v>
      </c>
      <c r="BG722">
        <v>0</v>
      </c>
      <c r="BH722">
        <v>0</v>
      </c>
    </row>
    <row r="723" spans="1:61">
      <c r="A723" s="164" t="s">
        <v>1970</v>
      </c>
      <c r="B723" t="s">
        <v>1971</v>
      </c>
      <c r="C723">
        <v>0</v>
      </c>
      <c r="D723" t="s">
        <v>257</v>
      </c>
      <c r="E723">
        <v>0</v>
      </c>
      <c r="F723" t="s">
        <v>269</v>
      </c>
      <c r="G723" t="s">
        <v>103</v>
      </c>
      <c r="H723" t="s">
        <v>104</v>
      </c>
      <c r="I723" t="s">
        <v>80</v>
      </c>
      <c r="J723" t="s">
        <v>196</v>
      </c>
      <c r="K723" t="s">
        <v>13</v>
      </c>
      <c r="L723" t="s">
        <v>83</v>
      </c>
      <c r="M723" t="s">
        <v>84</v>
      </c>
      <c r="N723">
        <v>1</v>
      </c>
      <c r="O723" t="b">
        <v>0</v>
      </c>
      <c r="P723">
        <v>0</v>
      </c>
      <c r="BB723">
        <v>0</v>
      </c>
      <c r="BC723" t="s">
        <v>259</v>
      </c>
      <c r="BD723" t="s">
        <v>270</v>
      </c>
      <c r="BE723" t="s">
        <v>117</v>
      </c>
      <c r="BF723">
        <v>0</v>
      </c>
      <c r="BG723">
        <v>0</v>
      </c>
      <c r="BH723">
        <v>0</v>
      </c>
    </row>
    <row r="724" spans="1:61">
      <c r="A724" s="164" t="s">
        <v>1972</v>
      </c>
      <c r="B724" t="s">
        <v>1973</v>
      </c>
      <c r="C724">
        <v>0</v>
      </c>
      <c r="D724" t="s">
        <v>257</v>
      </c>
      <c r="E724">
        <v>0</v>
      </c>
      <c r="F724" t="s">
        <v>269</v>
      </c>
      <c r="G724" t="s">
        <v>103</v>
      </c>
      <c r="H724" t="s">
        <v>104</v>
      </c>
      <c r="I724" t="s">
        <v>80</v>
      </c>
      <c r="J724" t="s">
        <v>196</v>
      </c>
      <c r="K724" t="s">
        <v>13</v>
      </c>
      <c r="L724" t="s">
        <v>83</v>
      </c>
      <c r="M724" t="s">
        <v>84</v>
      </c>
      <c r="N724">
        <v>1</v>
      </c>
      <c r="O724" t="b">
        <v>0</v>
      </c>
      <c r="P724">
        <v>0</v>
      </c>
      <c r="BB724">
        <v>0</v>
      </c>
      <c r="BC724" t="s">
        <v>259</v>
      </c>
      <c r="BD724" t="s">
        <v>270</v>
      </c>
      <c r="BE724" t="s">
        <v>117</v>
      </c>
      <c r="BF724">
        <v>0</v>
      </c>
      <c r="BG724">
        <v>0</v>
      </c>
      <c r="BH724">
        <v>0</v>
      </c>
    </row>
    <row r="725" spans="1:61">
      <c r="A725" s="164" t="s">
        <v>1974</v>
      </c>
      <c r="B725" t="s">
        <v>1975</v>
      </c>
      <c r="C725">
        <v>0</v>
      </c>
      <c r="D725" t="s">
        <v>257</v>
      </c>
      <c r="E725">
        <v>0</v>
      </c>
      <c r="F725" t="s">
        <v>269</v>
      </c>
      <c r="G725" t="s">
        <v>103</v>
      </c>
      <c r="H725" t="s">
        <v>104</v>
      </c>
      <c r="I725" t="s">
        <v>80</v>
      </c>
      <c r="J725" t="s">
        <v>196</v>
      </c>
      <c r="K725" t="s">
        <v>13</v>
      </c>
      <c r="L725" t="s">
        <v>83</v>
      </c>
      <c r="M725" t="s">
        <v>84</v>
      </c>
      <c r="N725">
        <v>1</v>
      </c>
      <c r="O725" t="b">
        <v>0</v>
      </c>
      <c r="P725">
        <v>0</v>
      </c>
      <c r="BB725">
        <v>0</v>
      </c>
      <c r="BC725" t="s">
        <v>259</v>
      </c>
      <c r="BD725" t="s">
        <v>270</v>
      </c>
      <c r="BE725" t="s">
        <v>117</v>
      </c>
      <c r="BF725">
        <v>0</v>
      </c>
      <c r="BG725">
        <v>0</v>
      </c>
      <c r="BH725">
        <v>0</v>
      </c>
    </row>
    <row r="726" spans="1:61">
      <c r="A726" s="164" t="s">
        <v>1976</v>
      </c>
      <c r="B726" t="s">
        <v>1977</v>
      </c>
      <c r="C726">
        <v>0</v>
      </c>
      <c r="D726" t="s">
        <v>257</v>
      </c>
      <c r="E726">
        <v>0</v>
      </c>
      <c r="F726" t="s">
        <v>269</v>
      </c>
      <c r="G726" t="s">
        <v>103</v>
      </c>
      <c r="H726" t="s">
        <v>104</v>
      </c>
      <c r="I726" t="s">
        <v>80</v>
      </c>
      <c r="J726" t="s">
        <v>196</v>
      </c>
      <c r="K726" t="s">
        <v>13</v>
      </c>
      <c r="L726" t="s">
        <v>83</v>
      </c>
      <c r="M726" t="s">
        <v>84</v>
      </c>
      <c r="N726">
        <v>1</v>
      </c>
      <c r="O726" t="b">
        <v>0</v>
      </c>
      <c r="P726">
        <v>0</v>
      </c>
      <c r="BB726">
        <v>0</v>
      </c>
      <c r="BC726" t="s">
        <v>259</v>
      </c>
      <c r="BD726" t="s">
        <v>270</v>
      </c>
      <c r="BE726" t="s">
        <v>117</v>
      </c>
      <c r="BF726">
        <v>0</v>
      </c>
      <c r="BG726">
        <v>0</v>
      </c>
      <c r="BH726">
        <v>0</v>
      </c>
    </row>
    <row r="727" spans="1:61">
      <c r="A727" s="164" t="s">
        <v>1978</v>
      </c>
      <c r="B727" t="s">
        <v>1979</v>
      </c>
      <c r="C727">
        <v>0</v>
      </c>
      <c r="D727" t="s">
        <v>257</v>
      </c>
      <c r="E727">
        <v>0</v>
      </c>
      <c r="F727" t="s">
        <v>269</v>
      </c>
      <c r="G727" t="s">
        <v>103</v>
      </c>
      <c r="H727" t="s">
        <v>104</v>
      </c>
      <c r="I727" t="s">
        <v>80</v>
      </c>
      <c r="J727" t="s">
        <v>196</v>
      </c>
      <c r="K727" t="s">
        <v>13</v>
      </c>
      <c r="L727" t="s">
        <v>83</v>
      </c>
      <c r="M727" t="s">
        <v>84</v>
      </c>
      <c r="N727">
        <v>1</v>
      </c>
      <c r="O727" t="b">
        <v>0</v>
      </c>
      <c r="P727">
        <v>0</v>
      </c>
      <c r="BB727">
        <v>0</v>
      </c>
      <c r="BC727" t="s">
        <v>259</v>
      </c>
      <c r="BD727" t="s">
        <v>270</v>
      </c>
      <c r="BE727" t="s">
        <v>117</v>
      </c>
      <c r="BF727">
        <v>0</v>
      </c>
      <c r="BG727">
        <v>0</v>
      </c>
      <c r="BH727">
        <v>0</v>
      </c>
    </row>
    <row r="728" spans="1:61">
      <c r="A728" s="164" t="s">
        <v>1980</v>
      </c>
      <c r="B728" t="s">
        <v>1981</v>
      </c>
      <c r="C728">
        <v>0</v>
      </c>
      <c r="D728" t="s">
        <v>304</v>
      </c>
      <c r="E728">
        <v>0</v>
      </c>
      <c r="F728" t="s">
        <v>342</v>
      </c>
      <c r="G728" t="s">
        <v>78</v>
      </c>
      <c r="H728" t="s">
        <v>79</v>
      </c>
      <c r="I728" t="s">
        <v>80</v>
      </c>
      <c r="J728" t="s">
        <v>196</v>
      </c>
      <c r="K728" t="s">
        <v>13</v>
      </c>
      <c r="L728" t="s">
        <v>83</v>
      </c>
      <c r="M728" t="s">
        <v>84</v>
      </c>
      <c r="N728">
        <v>1</v>
      </c>
      <c r="O728" t="b">
        <v>1</v>
      </c>
      <c r="P728">
        <v>0</v>
      </c>
      <c r="BB728">
        <v>0</v>
      </c>
      <c r="BC728" t="s">
        <v>306</v>
      </c>
      <c r="BD728" t="s">
        <v>343</v>
      </c>
      <c r="BE728" t="s">
        <v>117</v>
      </c>
      <c r="BF728">
        <v>0</v>
      </c>
      <c r="BG728">
        <v>25</v>
      </c>
      <c r="BH728">
        <v>10000</v>
      </c>
      <c r="BI728" t="s">
        <v>344</v>
      </c>
    </row>
    <row r="729" spans="1:61">
      <c r="A729" s="164" t="s">
        <v>1982</v>
      </c>
      <c r="B729" t="s">
        <v>1983</v>
      </c>
      <c r="C729">
        <v>0</v>
      </c>
      <c r="D729" t="s">
        <v>304</v>
      </c>
      <c r="E729">
        <v>0</v>
      </c>
      <c r="F729" t="s">
        <v>342</v>
      </c>
      <c r="G729" t="s">
        <v>78</v>
      </c>
      <c r="H729" t="s">
        <v>79</v>
      </c>
      <c r="I729" t="s">
        <v>80</v>
      </c>
      <c r="J729" t="s">
        <v>196</v>
      </c>
      <c r="K729" t="s">
        <v>13</v>
      </c>
      <c r="L729" t="s">
        <v>83</v>
      </c>
      <c r="M729" t="s">
        <v>84</v>
      </c>
      <c r="N729">
        <v>1</v>
      </c>
      <c r="O729" t="b">
        <v>1</v>
      </c>
      <c r="P729">
        <v>0</v>
      </c>
      <c r="BB729">
        <v>0</v>
      </c>
      <c r="BC729" t="s">
        <v>306</v>
      </c>
      <c r="BD729" t="s">
        <v>343</v>
      </c>
      <c r="BE729" t="s">
        <v>117</v>
      </c>
      <c r="BF729">
        <v>0</v>
      </c>
      <c r="BG729">
        <v>25</v>
      </c>
      <c r="BH729">
        <v>10000</v>
      </c>
      <c r="BI729" t="s">
        <v>344</v>
      </c>
    </row>
    <row r="730" spans="1:61">
      <c r="A730" s="164" t="s">
        <v>1984</v>
      </c>
      <c r="B730" t="s">
        <v>1985</v>
      </c>
      <c r="C730">
        <v>0</v>
      </c>
      <c r="D730" t="s">
        <v>304</v>
      </c>
      <c r="E730">
        <v>0</v>
      </c>
      <c r="F730" t="s">
        <v>342</v>
      </c>
      <c r="G730" t="s">
        <v>78</v>
      </c>
      <c r="H730" t="s">
        <v>79</v>
      </c>
      <c r="I730" t="s">
        <v>80</v>
      </c>
      <c r="J730" t="s">
        <v>196</v>
      </c>
      <c r="K730" t="s">
        <v>13</v>
      </c>
      <c r="L730" t="s">
        <v>83</v>
      </c>
      <c r="M730" t="s">
        <v>84</v>
      </c>
      <c r="N730">
        <v>1</v>
      </c>
      <c r="O730" t="b">
        <v>1</v>
      </c>
      <c r="P730">
        <v>0</v>
      </c>
      <c r="BB730">
        <v>0</v>
      </c>
      <c r="BC730" t="s">
        <v>306</v>
      </c>
      <c r="BD730" t="s">
        <v>343</v>
      </c>
      <c r="BE730" t="s">
        <v>117</v>
      </c>
      <c r="BF730">
        <v>0</v>
      </c>
      <c r="BG730">
        <v>25</v>
      </c>
      <c r="BH730">
        <v>10000</v>
      </c>
      <c r="BI730" t="s">
        <v>344</v>
      </c>
    </row>
    <row r="731" spans="1:61">
      <c r="A731" s="164" t="s">
        <v>1986</v>
      </c>
      <c r="B731" t="s">
        <v>1987</v>
      </c>
      <c r="C731">
        <v>0</v>
      </c>
      <c r="D731" t="s">
        <v>304</v>
      </c>
      <c r="E731">
        <v>0</v>
      </c>
      <c r="F731" t="s">
        <v>349</v>
      </c>
      <c r="G731" t="s">
        <v>78</v>
      </c>
      <c r="H731" t="s">
        <v>79</v>
      </c>
      <c r="I731" t="s">
        <v>80</v>
      </c>
      <c r="J731" t="s">
        <v>196</v>
      </c>
      <c r="K731" t="s">
        <v>13</v>
      </c>
      <c r="L731" t="s">
        <v>83</v>
      </c>
      <c r="M731" t="s">
        <v>84</v>
      </c>
      <c r="N731">
        <v>1</v>
      </c>
      <c r="O731" t="b">
        <v>1</v>
      </c>
      <c r="P731">
        <v>0</v>
      </c>
      <c r="BB731">
        <v>0</v>
      </c>
      <c r="BC731" t="s">
        <v>306</v>
      </c>
      <c r="BD731" t="s">
        <v>350</v>
      </c>
      <c r="BE731" t="s">
        <v>117</v>
      </c>
      <c r="BF731">
        <v>0</v>
      </c>
      <c r="BG731">
        <v>25</v>
      </c>
      <c r="BH731">
        <v>10000</v>
      </c>
      <c r="BI731" t="s">
        <v>344</v>
      </c>
    </row>
    <row r="732" spans="1:61">
      <c r="A732" s="164" t="s">
        <v>1988</v>
      </c>
      <c r="B732" t="s">
        <v>1989</v>
      </c>
      <c r="C732">
        <v>0</v>
      </c>
      <c r="D732" t="s">
        <v>304</v>
      </c>
      <c r="E732">
        <v>0</v>
      </c>
      <c r="F732" t="s">
        <v>313</v>
      </c>
      <c r="G732" t="s">
        <v>78</v>
      </c>
      <c r="H732" t="s">
        <v>79</v>
      </c>
      <c r="I732" t="s">
        <v>80</v>
      </c>
      <c r="J732" t="s">
        <v>196</v>
      </c>
      <c r="K732" t="s">
        <v>13</v>
      </c>
      <c r="L732" t="s">
        <v>83</v>
      </c>
      <c r="M732" t="s">
        <v>205</v>
      </c>
      <c r="N732">
        <v>1</v>
      </c>
      <c r="O732" t="b">
        <v>1</v>
      </c>
      <c r="P732">
        <v>0</v>
      </c>
      <c r="BB732">
        <v>0</v>
      </c>
      <c r="BC732" t="s">
        <v>306</v>
      </c>
      <c r="BD732" t="s">
        <v>314</v>
      </c>
      <c r="BE732" t="s">
        <v>117</v>
      </c>
      <c r="BF732">
        <v>0</v>
      </c>
      <c r="BG732">
        <v>45</v>
      </c>
      <c r="BH732">
        <v>300</v>
      </c>
      <c r="BI732" t="s">
        <v>315</v>
      </c>
    </row>
    <row r="733" spans="1:61">
      <c r="A733" s="164" t="s">
        <v>1990</v>
      </c>
      <c r="B733" t="s">
        <v>1991</v>
      </c>
      <c r="C733">
        <v>0</v>
      </c>
      <c r="D733" t="s">
        <v>304</v>
      </c>
      <c r="E733">
        <v>0</v>
      </c>
      <c r="F733" t="s">
        <v>342</v>
      </c>
      <c r="G733" t="s">
        <v>78</v>
      </c>
      <c r="H733" t="s">
        <v>79</v>
      </c>
      <c r="I733" t="s">
        <v>80</v>
      </c>
      <c r="J733" t="s">
        <v>196</v>
      </c>
      <c r="K733" t="s">
        <v>13</v>
      </c>
      <c r="L733" t="s">
        <v>83</v>
      </c>
      <c r="M733" t="s">
        <v>84</v>
      </c>
      <c r="N733">
        <v>1</v>
      </c>
      <c r="O733" t="b">
        <v>1</v>
      </c>
      <c r="P733">
        <v>0</v>
      </c>
      <c r="BB733">
        <v>0</v>
      </c>
      <c r="BC733" t="s">
        <v>306</v>
      </c>
      <c r="BD733" t="s">
        <v>343</v>
      </c>
      <c r="BE733" t="s">
        <v>117</v>
      </c>
      <c r="BF733">
        <v>0</v>
      </c>
      <c r="BG733">
        <v>25</v>
      </c>
      <c r="BH733">
        <v>10000</v>
      </c>
      <c r="BI733" t="s">
        <v>344</v>
      </c>
    </row>
    <row r="734" spans="1:61">
      <c r="A734" s="164" t="s">
        <v>1992</v>
      </c>
      <c r="B734" t="s">
        <v>1993</v>
      </c>
      <c r="C734">
        <v>0</v>
      </c>
      <c r="D734" t="s">
        <v>304</v>
      </c>
      <c r="E734">
        <v>0</v>
      </c>
      <c r="F734" t="s">
        <v>456</v>
      </c>
      <c r="G734" t="s">
        <v>78</v>
      </c>
      <c r="H734" t="s">
        <v>79</v>
      </c>
      <c r="I734" t="s">
        <v>80</v>
      </c>
      <c r="J734" t="s">
        <v>196</v>
      </c>
      <c r="K734" t="s">
        <v>13</v>
      </c>
      <c r="L734" t="s">
        <v>83</v>
      </c>
      <c r="M734" t="s">
        <v>84</v>
      </c>
      <c r="N734">
        <v>1</v>
      </c>
      <c r="O734" t="b">
        <v>1</v>
      </c>
      <c r="P734">
        <v>0</v>
      </c>
      <c r="BB734">
        <v>0</v>
      </c>
      <c r="BC734" t="s">
        <v>306</v>
      </c>
      <c r="BD734" t="s">
        <v>457</v>
      </c>
      <c r="BE734" t="s">
        <v>117</v>
      </c>
      <c r="BF734">
        <v>0</v>
      </c>
      <c r="BG734">
        <v>120</v>
      </c>
      <c r="BH734">
        <v>1000000</v>
      </c>
      <c r="BI734" t="s">
        <v>458</v>
      </c>
    </row>
    <row r="735" spans="1:61">
      <c r="A735" s="164" t="s">
        <v>1994</v>
      </c>
      <c r="B735" t="s">
        <v>1995</v>
      </c>
      <c r="C735">
        <v>0</v>
      </c>
      <c r="D735" t="s">
        <v>304</v>
      </c>
      <c r="E735">
        <v>0</v>
      </c>
      <c r="F735" t="s">
        <v>342</v>
      </c>
      <c r="G735" t="s">
        <v>78</v>
      </c>
      <c r="H735" t="s">
        <v>79</v>
      </c>
      <c r="I735" t="s">
        <v>80</v>
      </c>
      <c r="J735" t="s">
        <v>196</v>
      </c>
      <c r="K735" t="s">
        <v>13</v>
      </c>
      <c r="L735" t="s">
        <v>83</v>
      </c>
      <c r="M735" t="s">
        <v>84</v>
      </c>
      <c r="N735">
        <v>1</v>
      </c>
      <c r="O735" t="b">
        <v>1</v>
      </c>
      <c r="P735">
        <v>0</v>
      </c>
      <c r="BB735">
        <v>0</v>
      </c>
      <c r="BC735" t="s">
        <v>306</v>
      </c>
      <c r="BD735" t="s">
        <v>343</v>
      </c>
      <c r="BE735" t="s">
        <v>117</v>
      </c>
      <c r="BF735">
        <v>0</v>
      </c>
      <c r="BG735">
        <v>25</v>
      </c>
      <c r="BH735">
        <v>10000</v>
      </c>
      <c r="BI735" t="s">
        <v>344</v>
      </c>
    </row>
    <row r="736" spans="1:61">
      <c r="A736" s="164" t="s">
        <v>1996</v>
      </c>
      <c r="B736" t="s">
        <v>1997</v>
      </c>
      <c r="C736">
        <v>0</v>
      </c>
      <c r="D736" t="s">
        <v>304</v>
      </c>
      <c r="E736">
        <v>0</v>
      </c>
      <c r="F736" t="s">
        <v>269</v>
      </c>
      <c r="G736" t="s">
        <v>103</v>
      </c>
      <c r="H736" t="s">
        <v>104</v>
      </c>
      <c r="I736" t="s">
        <v>80</v>
      </c>
      <c r="J736" t="s">
        <v>196</v>
      </c>
      <c r="K736" t="s">
        <v>13</v>
      </c>
      <c r="L736" t="s">
        <v>83</v>
      </c>
      <c r="M736" t="s">
        <v>84</v>
      </c>
      <c r="N736">
        <v>1</v>
      </c>
      <c r="O736" t="b">
        <v>0</v>
      </c>
      <c r="P736">
        <v>0</v>
      </c>
      <c r="BB736">
        <v>0</v>
      </c>
      <c r="BC736" t="s">
        <v>306</v>
      </c>
      <c r="BD736" t="s">
        <v>270</v>
      </c>
      <c r="BE736" t="s">
        <v>117</v>
      </c>
      <c r="BF736">
        <v>0</v>
      </c>
      <c r="BG736">
        <v>0</v>
      </c>
      <c r="BH736">
        <v>0</v>
      </c>
    </row>
    <row r="737" spans="1:61">
      <c r="A737" s="164" t="s">
        <v>1998</v>
      </c>
      <c r="B737" t="s">
        <v>1999</v>
      </c>
      <c r="C737">
        <v>0</v>
      </c>
      <c r="D737" t="s">
        <v>304</v>
      </c>
      <c r="E737">
        <v>0</v>
      </c>
      <c r="F737" t="s">
        <v>269</v>
      </c>
      <c r="G737" t="s">
        <v>103</v>
      </c>
      <c r="H737" t="s">
        <v>104</v>
      </c>
      <c r="I737" t="s">
        <v>80</v>
      </c>
      <c r="J737" t="s">
        <v>196</v>
      </c>
      <c r="K737" t="s">
        <v>13</v>
      </c>
      <c r="L737" t="s">
        <v>83</v>
      </c>
      <c r="M737" t="s">
        <v>84</v>
      </c>
      <c r="N737">
        <v>1</v>
      </c>
      <c r="O737" t="b">
        <v>0</v>
      </c>
      <c r="P737">
        <v>0</v>
      </c>
      <c r="BB737">
        <v>0</v>
      </c>
      <c r="BC737" t="s">
        <v>306</v>
      </c>
      <c r="BD737" t="s">
        <v>270</v>
      </c>
      <c r="BE737" t="s">
        <v>117</v>
      </c>
      <c r="BF737">
        <v>0</v>
      </c>
      <c r="BG737">
        <v>0</v>
      </c>
      <c r="BH737">
        <v>0</v>
      </c>
    </row>
    <row r="738" spans="1:61">
      <c r="A738" s="164" t="s">
        <v>2000</v>
      </c>
      <c r="B738" t="s">
        <v>2001</v>
      </c>
      <c r="C738">
        <v>0</v>
      </c>
      <c r="D738" t="s">
        <v>304</v>
      </c>
      <c r="E738">
        <v>0</v>
      </c>
      <c r="F738" t="s">
        <v>269</v>
      </c>
      <c r="G738" t="s">
        <v>103</v>
      </c>
      <c r="H738" t="s">
        <v>104</v>
      </c>
      <c r="I738" t="s">
        <v>80</v>
      </c>
      <c r="J738" t="s">
        <v>196</v>
      </c>
      <c r="K738" t="s">
        <v>13</v>
      </c>
      <c r="L738" t="s">
        <v>83</v>
      </c>
      <c r="M738" t="s">
        <v>84</v>
      </c>
      <c r="N738">
        <v>1</v>
      </c>
      <c r="O738" t="b">
        <v>0</v>
      </c>
      <c r="P738">
        <v>0</v>
      </c>
      <c r="BB738">
        <v>0</v>
      </c>
      <c r="BC738" t="s">
        <v>306</v>
      </c>
      <c r="BD738" t="s">
        <v>270</v>
      </c>
      <c r="BE738" t="s">
        <v>117</v>
      </c>
      <c r="BF738">
        <v>0</v>
      </c>
      <c r="BG738">
        <v>0</v>
      </c>
      <c r="BH738">
        <v>0</v>
      </c>
    </row>
    <row r="739" spans="1:61">
      <c r="A739" s="164" t="s">
        <v>2002</v>
      </c>
      <c r="B739" t="s">
        <v>2003</v>
      </c>
      <c r="C739">
        <v>0</v>
      </c>
      <c r="D739" t="s">
        <v>304</v>
      </c>
      <c r="E739">
        <v>0</v>
      </c>
      <c r="F739" t="s">
        <v>269</v>
      </c>
      <c r="G739" t="s">
        <v>103</v>
      </c>
      <c r="H739" t="s">
        <v>104</v>
      </c>
      <c r="I739" t="s">
        <v>80</v>
      </c>
      <c r="J739" t="s">
        <v>196</v>
      </c>
      <c r="K739" t="s">
        <v>13</v>
      </c>
      <c r="L739" t="s">
        <v>83</v>
      </c>
      <c r="M739" t="s">
        <v>84</v>
      </c>
      <c r="N739">
        <v>1</v>
      </c>
      <c r="O739" t="b">
        <v>0</v>
      </c>
      <c r="P739">
        <v>0</v>
      </c>
      <c r="BB739">
        <v>0</v>
      </c>
      <c r="BC739" t="s">
        <v>306</v>
      </c>
      <c r="BD739" t="s">
        <v>270</v>
      </c>
      <c r="BE739" t="s">
        <v>117</v>
      </c>
      <c r="BF739">
        <v>0</v>
      </c>
      <c r="BG739">
        <v>0</v>
      </c>
      <c r="BH739">
        <v>0</v>
      </c>
    </row>
    <row r="740" spans="1:61">
      <c r="A740" s="164" t="s">
        <v>2004</v>
      </c>
      <c r="B740" t="s">
        <v>2005</v>
      </c>
      <c r="C740">
        <v>0</v>
      </c>
      <c r="D740" t="s">
        <v>304</v>
      </c>
      <c r="E740">
        <v>0</v>
      </c>
      <c r="F740" t="s">
        <v>313</v>
      </c>
      <c r="G740" t="s">
        <v>78</v>
      </c>
      <c r="H740" t="s">
        <v>79</v>
      </c>
      <c r="I740" t="s">
        <v>80</v>
      </c>
      <c r="J740" t="s">
        <v>196</v>
      </c>
      <c r="K740" t="s">
        <v>13</v>
      </c>
      <c r="L740" t="s">
        <v>83</v>
      </c>
      <c r="M740" t="s">
        <v>84</v>
      </c>
      <c r="N740">
        <v>1</v>
      </c>
      <c r="O740" t="b">
        <v>1</v>
      </c>
      <c r="P740">
        <v>0</v>
      </c>
      <c r="BB740">
        <v>0</v>
      </c>
      <c r="BC740" t="s">
        <v>306</v>
      </c>
      <c r="BD740" t="s">
        <v>314</v>
      </c>
      <c r="BE740" t="s">
        <v>117</v>
      </c>
      <c r="BF740">
        <v>0</v>
      </c>
      <c r="BG740">
        <v>45</v>
      </c>
      <c r="BH740">
        <v>25000</v>
      </c>
      <c r="BI740" t="s">
        <v>315</v>
      </c>
    </row>
    <row r="741" spans="1:61">
      <c r="A741" s="164" t="s">
        <v>2006</v>
      </c>
      <c r="B741" t="s">
        <v>2007</v>
      </c>
      <c r="C741">
        <v>0</v>
      </c>
      <c r="D741" t="s">
        <v>304</v>
      </c>
      <c r="E741">
        <v>0</v>
      </c>
      <c r="F741" t="s">
        <v>313</v>
      </c>
      <c r="G741" t="s">
        <v>78</v>
      </c>
      <c r="H741" t="s">
        <v>79</v>
      </c>
      <c r="I741" t="s">
        <v>80</v>
      </c>
      <c r="J741" t="s">
        <v>196</v>
      </c>
      <c r="K741" t="s">
        <v>13</v>
      </c>
      <c r="L741" t="s">
        <v>83</v>
      </c>
      <c r="M741" t="s">
        <v>205</v>
      </c>
      <c r="N741">
        <v>1</v>
      </c>
      <c r="O741" t="b">
        <v>1</v>
      </c>
      <c r="P741">
        <v>0</v>
      </c>
      <c r="BB741">
        <v>0</v>
      </c>
      <c r="BC741" t="s">
        <v>306</v>
      </c>
      <c r="BD741" t="s">
        <v>314</v>
      </c>
      <c r="BE741" t="s">
        <v>117</v>
      </c>
      <c r="BF741">
        <v>0</v>
      </c>
      <c r="BG741">
        <v>45</v>
      </c>
      <c r="BH741">
        <v>1000</v>
      </c>
      <c r="BI741" t="s">
        <v>315</v>
      </c>
    </row>
    <row r="742" spans="1:61">
      <c r="A742" s="164" t="s">
        <v>2008</v>
      </c>
      <c r="B742" t="s">
        <v>2009</v>
      </c>
      <c r="C742">
        <v>0</v>
      </c>
      <c r="D742" t="s">
        <v>304</v>
      </c>
      <c r="E742">
        <v>0</v>
      </c>
      <c r="F742" t="s">
        <v>342</v>
      </c>
      <c r="G742" t="s">
        <v>78</v>
      </c>
      <c r="H742" t="s">
        <v>79</v>
      </c>
      <c r="I742" t="s">
        <v>80</v>
      </c>
      <c r="J742" t="s">
        <v>196</v>
      </c>
      <c r="K742" t="s">
        <v>13</v>
      </c>
      <c r="L742" t="s">
        <v>83</v>
      </c>
      <c r="M742" t="s">
        <v>84</v>
      </c>
      <c r="N742">
        <v>1</v>
      </c>
      <c r="O742" t="b">
        <v>1</v>
      </c>
      <c r="P742">
        <v>0</v>
      </c>
      <c r="BB742">
        <v>0</v>
      </c>
      <c r="BC742" t="s">
        <v>306</v>
      </c>
      <c r="BD742" t="s">
        <v>343</v>
      </c>
      <c r="BE742" t="s">
        <v>117</v>
      </c>
      <c r="BF742">
        <v>0</v>
      </c>
      <c r="BG742">
        <v>25</v>
      </c>
      <c r="BH742">
        <v>10000</v>
      </c>
      <c r="BI742" t="s">
        <v>344</v>
      </c>
    </row>
    <row r="743" spans="1:61">
      <c r="A743" s="164" t="s">
        <v>2010</v>
      </c>
      <c r="B743" t="s">
        <v>2011</v>
      </c>
      <c r="C743">
        <v>0</v>
      </c>
      <c r="D743" t="s">
        <v>304</v>
      </c>
      <c r="E743">
        <v>0</v>
      </c>
      <c r="F743" t="s">
        <v>342</v>
      </c>
      <c r="G743" t="s">
        <v>78</v>
      </c>
      <c r="H743" t="s">
        <v>79</v>
      </c>
      <c r="I743" t="s">
        <v>80</v>
      </c>
      <c r="J743" t="s">
        <v>196</v>
      </c>
      <c r="K743" t="s">
        <v>13</v>
      </c>
      <c r="L743" t="s">
        <v>83</v>
      </c>
      <c r="M743" t="s">
        <v>84</v>
      </c>
      <c r="N743">
        <v>1</v>
      </c>
      <c r="O743" t="b">
        <v>1</v>
      </c>
      <c r="P743">
        <v>0</v>
      </c>
      <c r="BB743">
        <v>0</v>
      </c>
      <c r="BC743" t="s">
        <v>306</v>
      </c>
      <c r="BD743" t="s">
        <v>343</v>
      </c>
      <c r="BE743" t="s">
        <v>117</v>
      </c>
      <c r="BF743">
        <v>0</v>
      </c>
      <c r="BG743">
        <v>25</v>
      </c>
      <c r="BH743">
        <v>10000</v>
      </c>
      <c r="BI743" t="s">
        <v>344</v>
      </c>
    </row>
    <row r="744" spans="1:61">
      <c r="A744" s="164" t="s">
        <v>2012</v>
      </c>
      <c r="B744" t="s">
        <v>2013</v>
      </c>
      <c r="C744">
        <v>0</v>
      </c>
      <c r="D744" t="s">
        <v>304</v>
      </c>
      <c r="E744">
        <v>0</v>
      </c>
      <c r="F744" t="s">
        <v>342</v>
      </c>
      <c r="G744" t="s">
        <v>78</v>
      </c>
      <c r="H744" t="s">
        <v>79</v>
      </c>
      <c r="I744" t="s">
        <v>80</v>
      </c>
      <c r="J744" t="s">
        <v>196</v>
      </c>
      <c r="K744" t="s">
        <v>13</v>
      </c>
      <c r="L744" t="s">
        <v>83</v>
      </c>
      <c r="M744" t="s">
        <v>84</v>
      </c>
      <c r="N744">
        <v>1</v>
      </c>
      <c r="O744" t="b">
        <v>1</v>
      </c>
      <c r="P744">
        <v>0</v>
      </c>
      <c r="BB744">
        <v>0</v>
      </c>
      <c r="BC744" t="s">
        <v>306</v>
      </c>
      <c r="BD744" t="s">
        <v>343</v>
      </c>
      <c r="BE744" t="s">
        <v>117</v>
      </c>
      <c r="BF744">
        <v>0</v>
      </c>
      <c r="BG744">
        <v>25</v>
      </c>
      <c r="BH744">
        <v>10000</v>
      </c>
      <c r="BI744" t="s">
        <v>344</v>
      </c>
    </row>
    <row r="745" spans="1:61">
      <c r="A745" s="164" t="s">
        <v>2014</v>
      </c>
      <c r="B745" t="s">
        <v>2015</v>
      </c>
      <c r="C745">
        <v>0</v>
      </c>
      <c r="D745" t="s">
        <v>304</v>
      </c>
      <c r="E745">
        <v>0</v>
      </c>
      <c r="F745" t="s">
        <v>269</v>
      </c>
      <c r="G745" t="s">
        <v>103</v>
      </c>
      <c r="H745" t="s">
        <v>104</v>
      </c>
      <c r="I745" t="s">
        <v>80</v>
      </c>
      <c r="J745" t="s">
        <v>196</v>
      </c>
      <c r="K745" t="s">
        <v>13</v>
      </c>
      <c r="L745" t="s">
        <v>83</v>
      </c>
      <c r="M745" t="s">
        <v>84</v>
      </c>
      <c r="N745">
        <v>1</v>
      </c>
      <c r="O745" t="b">
        <v>0</v>
      </c>
      <c r="P745">
        <v>0</v>
      </c>
      <c r="BB745">
        <v>0</v>
      </c>
      <c r="BC745" t="s">
        <v>306</v>
      </c>
      <c r="BD745" t="s">
        <v>270</v>
      </c>
      <c r="BE745" t="s">
        <v>117</v>
      </c>
      <c r="BF745">
        <v>0</v>
      </c>
      <c r="BG745">
        <v>0</v>
      </c>
      <c r="BH745">
        <v>0</v>
      </c>
    </row>
    <row r="746" spans="1:61">
      <c r="A746" s="164" t="s">
        <v>2016</v>
      </c>
      <c r="B746" t="s">
        <v>2017</v>
      </c>
      <c r="C746">
        <v>0</v>
      </c>
      <c r="D746" t="s">
        <v>304</v>
      </c>
      <c r="E746">
        <v>0</v>
      </c>
      <c r="F746" t="s">
        <v>269</v>
      </c>
      <c r="G746" t="s">
        <v>103</v>
      </c>
      <c r="H746" t="s">
        <v>104</v>
      </c>
      <c r="I746" t="s">
        <v>80</v>
      </c>
      <c r="J746" t="s">
        <v>196</v>
      </c>
      <c r="K746" t="s">
        <v>13</v>
      </c>
      <c r="L746" t="s">
        <v>83</v>
      </c>
      <c r="M746" t="s">
        <v>84</v>
      </c>
      <c r="N746">
        <v>1</v>
      </c>
      <c r="O746" t="b">
        <v>0</v>
      </c>
      <c r="P746">
        <v>0</v>
      </c>
      <c r="BB746">
        <v>0</v>
      </c>
      <c r="BC746" t="s">
        <v>306</v>
      </c>
      <c r="BD746" t="s">
        <v>270</v>
      </c>
      <c r="BE746" t="s">
        <v>117</v>
      </c>
      <c r="BF746">
        <v>0</v>
      </c>
      <c r="BG746">
        <v>0</v>
      </c>
      <c r="BH746">
        <v>0</v>
      </c>
    </row>
    <row r="747" spans="1:61">
      <c r="A747" s="164" t="s">
        <v>2018</v>
      </c>
      <c r="B747" t="s">
        <v>2019</v>
      </c>
      <c r="C747">
        <v>0</v>
      </c>
      <c r="D747" t="s">
        <v>304</v>
      </c>
      <c r="E747">
        <v>0</v>
      </c>
      <c r="F747" t="s">
        <v>800</v>
      </c>
      <c r="G747" t="s">
        <v>78</v>
      </c>
      <c r="H747" t="s">
        <v>79</v>
      </c>
      <c r="I747" t="s">
        <v>80</v>
      </c>
      <c r="J747" t="s">
        <v>196</v>
      </c>
      <c r="K747" t="s">
        <v>13</v>
      </c>
      <c r="L747" t="s">
        <v>83</v>
      </c>
      <c r="M747" t="s">
        <v>84</v>
      </c>
      <c r="N747">
        <v>1</v>
      </c>
      <c r="O747" t="b">
        <v>1</v>
      </c>
      <c r="P747">
        <v>0</v>
      </c>
      <c r="BB747">
        <v>0</v>
      </c>
      <c r="BC747" t="s">
        <v>306</v>
      </c>
      <c r="BD747" t="s">
        <v>801</v>
      </c>
      <c r="BE747" t="s">
        <v>117</v>
      </c>
      <c r="BF747">
        <v>0</v>
      </c>
      <c r="BG747">
        <v>15</v>
      </c>
      <c r="BH747">
        <v>10000</v>
      </c>
      <c r="BI747" t="s">
        <v>308</v>
      </c>
    </row>
    <row r="748" spans="1:61">
      <c r="A748" s="164" t="s">
        <v>2020</v>
      </c>
      <c r="B748" t="s">
        <v>2021</v>
      </c>
      <c r="C748">
        <v>0</v>
      </c>
      <c r="D748" t="s">
        <v>304</v>
      </c>
      <c r="E748">
        <v>0</v>
      </c>
      <c r="F748" t="s">
        <v>313</v>
      </c>
      <c r="G748" t="s">
        <v>78</v>
      </c>
      <c r="H748" t="s">
        <v>79</v>
      </c>
      <c r="I748" t="s">
        <v>80</v>
      </c>
      <c r="J748" t="s">
        <v>196</v>
      </c>
      <c r="K748" t="s">
        <v>13</v>
      </c>
      <c r="L748" t="s">
        <v>83</v>
      </c>
      <c r="M748" t="s">
        <v>84</v>
      </c>
      <c r="N748">
        <v>1</v>
      </c>
      <c r="O748" t="b">
        <v>1</v>
      </c>
      <c r="P748">
        <v>0</v>
      </c>
      <c r="BB748">
        <v>0</v>
      </c>
      <c r="BC748" t="s">
        <v>306</v>
      </c>
      <c r="BD748" t="s">
        <v>314</v>
      </c>
      <c r="BE748" t="s">
        <v>117</v>
      </c>
      <c r="BF748">
        <v>0</v>
      </c>
      <c r="BG748">
        <v>15</v>
      </c>
      <c r="BH748">
        <v>1000</v>
      </c>
      <c r="BI748" t="s">
        <v>308</v>
      </c>
    </row>
    <row r="749" spans="1:61">
      <c r="A749" s="164" t="s">
        <v>2022</v>
      </c>
      <c r="B749" t="s">
        <v>2023</v>
      </c>
      <c r="C749">
        <v>0</v>
      </c>
      <c r="D749" t="s">
        <v>304</v>
      </c>
      <c r="E749">
        <v>0</v>
      </c>
      <c r="F749" t="s">
        <v>269</v>
      </c>
      <c r="G749" t="s">
        <v>103</v>
      </c>
      <c r="H749" t="s">
        <v>104</v>
      </c>
      <c r="I749" t="s">
        <v>80</v>
      </c>
      <c r="J749" t="s">
        <v>196</v>
      </c>
      <c r="K749" t="s">
        <v>13</v>
      </c>
      <c r="L749" t="s">
        <v>83</v>
      </c>
      <c r="M749" t="s">
        <v>84</v>
      </c>
      <c r="N749">
        <v>1</v>
      </c>
      <c r="O749" t="b">
        <v>0</v>
      </c>
      <c r="P749">
        <v>0</v>
      </c>
      <c r="BB749">
        <v>0</v>
      </c>
      <c r="BC749" t="s">
        <v>306</v>
      </c>
      <c r="BD749" t="s">
        <v>270</v>
      </c>
      <c r="BE749" t="s">
        <v>117</v>
      </c>
      <c r="BF749">
        <v>0</v>
      </c>
      <c r="BG749">
        <v>0</v>
      </c>
      <c r="BH749">
        <v>0</v>
      </c>
    </row>
    <row r="750" spans="1:61">
      <c r="A750" s="164" t="s">
        <v>2024</v>
      </c>
      <c r="B750" t="s">
        <v>2025</v>
      </c>
      <c r="C750">
        <v>0</v>
      </c>
      <c r="D750" t="s">
        <v>304</v>
      </c>
      <c r="E750">
        <v>0</v>
      </c>
      <c r="F750" t="s">
        <v>269</v>
      </c>
      <c r="G750" t="s">
        <v>103</v>
      </c>
      <c r="H750" t="s">
        <v>104</v>
      </c>
      <c r="I750" t="s">
        <v>80</v>
      </c>
      <c r="J750" t="s">
        <v>196</v>
      </c>
      <c r="K750" t="s">
        <v>13</v>
      </c>
      <c r="L750" t="s">
        <v>83</v>
      </c>
      <c r="M750" t="s">
        <v>84</v>
      </c>
      <c r="N750">
        <v>1</v>
      </c>
      <c r="O750" t="b">
        <v>0</v>
      </c>
      <c r="P750">
        <v>0</v>
      </c>
      <c r="BB750">
        <v>0</v>
      </c>
      <c r="BC750" t="s">
        <v>306</v>
      </c>
      <c r="BD750" t="s">
        <v>270</v>
      </c>
      <c r="BE750" t="s">
        <v>117</v>
      </c>
      <c r="BF750">
        <v>0</v>
      </c>
      <c r="BG750">
        <v>0</v>
      </c>
      <c r="BH750">
        <v>0</v>
      </c>
    </row>
    <row r="751" spans="1:61">
      <c r="A751" s="164" t="s">
        <v>2026</v>
      </c>
      <c r="B751" t="s">
        <v>2027</v>
      </c>
      <c r="C751">
        <v>0</v>
      </c>
      <c r="D751" t="s">
        <v>304</v>
      </c>
      <c r="E751">
        <v>0</v>
      </c>
      <c r="F751" t="s">
        <v>269</v>
      </c>
      <c r="G751" t="s">
        <v>103</v>
      </c>
      <c r="H751" t="s">
        <v>104</v>
      </c>
      <c r="I751" t="s">
        <v>80</v>
      </c>
      <c r="J751" t="s">
        <v>196</v>
      </c>
      <c r="K751" t="s">
        <v>13</v>
      </c>
      <c r="L751" t="s">
        <v>83</v>
      </c>
      <c r="M751" t="s">
        <v>84</v>
      </c>
      <c r="N751">
        <v>1</v>
      </c>
      <c r="O751" t="b">
        <v>0</v>
      </c>
      <c r="P751">
        <v>0</v>
      </c>
      <c r="BB751">
        <v>0</v>
      </c>
      <c r="BC751" t="s">
        <v>306</v>
      </c>
      <c r="BD751" t="s">
        <v>270</v>
      </c>
      <c r="BE751" t="s">
        <v>117</v>
      </c>
      <c r="BF751">
        <v>0</v>
      </c>
      <c r="BG751">
        <v>0</v>
      </c>
      <c r="BH751">
        <v>0</v>
      </c>
    </row>
    <row r="752" spans="1:61">
      <c r="A752" s="164" t="s">
        <v>2028</v>
      </c>
      <c r="B752" t="s">
        <v>2029</v>
      </c>
      <c r="C752">
        <v>0</v>
      </c>
      <c r="D752" t="s">
        <v>304</v>
      </c>
      <c r="E752">
        <v>0</v>
      </c>
      <c r="F752" t="s">
        <v>269</v>
      </c>
      <c r="G752" t="s">
        <v>103</v>
      </c>
      <c r="H752" t="s">
        <v>104</v>
      </c>
      <c r="I752" t="s">
        <v>80</v>
      </c>
      <c r="J752" t="s">
        <v>196</v>
      </c>
      <c r="K752" t="s">
        <v>13</v>
      </c>
      <c r="L752" t="s">
        <v>83</v>
      </c>
      <c r="M752" t="s">
        <v>84</v>
      </c>
      <c r="N752">
        <v>1</v>
      </c>
      <c r="O752" t="b">
        <v>0</v>
      </c>
      <c r="P752">
        <v>0</v>
      </c>
      <c r="BB752">
        <v>0</v>
      </c>
      <c r="BC752" t="s">
        <v>306</v>
      </c>
      <c r="BD752" t="s">
        <v>270</v>
      </c>
      <c r="BE752" t="s">
        <v>117</v>
      </c>
      <c r="BF752">
        <v>0</v>
      </c>
      <c r="BG752">
        <v>0</v>
      </c>
      <c r="BH752">
        <v>0</v>
      </c>
    </row>
    <row r="753" spans="1:61">
      <c r="A753" s="164" t="s">
        <v>2030</v>
      </c>
      <c r="B753" t="s">
        <v>2031</v>
      </c>
      <c r="C753">
        <v>0</v>
      </c>
      <c r="D753" t="s">
        <v>304</v>
      </c>
      <c r="E753">
        <v>0</v>
      </c>
      <c r="F753" t="s">
        <v>269</v>
      </c>
      <c r="G753" t="s">
        <v>103</v>
      </c>
      <c r="H753" t="s">
        <v>104</v>
      </c>
      <c r="I753" t="s">
        <v>80</v>
      </c>
      <c r="J753" t="s">
        <v>196</v>
      </c>
      <c r="K753" t="s">
        <v>13</v>
      </c>
      <c r="L753" t="s">
        <v>83</v>
      </c>
      <c r="M753" t="s">
        <v>84</v>
      </c>
      <c r="N753">
        <v>1</v>
      </c>
      <c r="O753" t="b">
        <v>0</v>
      </c>
      <c r="P753">
        <v>0</v>
      </c>
      <c r="BB753">
        <v>0</v>
      </c>
      <c r="BC753" t="s">
        <v>306</v>
      </c>
      <c r="BD753" t="s">
        <v>270</v>
      </c>
      <c r="BE753" t="s">
        <v>117</v>
      </c>
      <c r="BF753">
        <v>0</v>
      </c>
      <c r="BG753">
        <v>0</v>
      </c>
      <c r="BH753">
        <v>0</v>
      </c>
    </row>
    <row r="754" spans="1:61">
      <c r="A754" s="164" t="s">
        <v>2032</v>
      </c>
      <c r="B754" t="s">
        <v>2033</v>
      </c>
      <c r="C754">
        <v>0</v>
      </c>
      <c r="D754" t="s">
        <v>304</v>
      </c>
      <c r="E754">
        <v>0</v>
      </c>
      <c r="F754" t="s">
        <v>342</v>
      </c>
      <c r="G754" t="s">
        <v>78</v>
      </c>
      <c r="H754" t="s">
        <v>79</v>
      </c>
      <c r="I754" t="s">
        <v>80</v>
      </c>
      <c r="J754" t="s">
        <v>196</v>
      </c>
      <c r="K754" t="s">
        <v>13</v>
      </c>
      <c r="L754" t="s">
        <v>83</v>
      </c>
      <c r="M754" t="s">
        <v>84</v>
      </c>
      <c r="N754">
        <v>1</v>
      </c>
      <c r="O754" t="b">
        <v>1</v>
      </c>
      <c r="P754">
        <v>0</v>
      </c>
      <c r="BB754">
        <v>0</v>
      </c>
      <c r="BC754" t="s">
        <v>306</v>
      </c>
      <c r="BD754" t="s">
        <v>343</v>
      </c>
      <c r="BE754" t="s">
        <v>117</v>
      </c>
      <c r="BF754">
        <v>0</v>
      </c>
      <c r="BG754">
        <v>25</v>
      </c>
      <c r="BH754">
        <v>10000</v>
      </c>
      <c r="BI754" t="s">
        <v>344</v>
      </c>
    </row>
    <row r="755" spans="1:61">
      <c r="A755" s="164" t="s">
        <v>2034</v>
      </c>
      <c r="B755" t="s">
        <v>2035</v>
      </c>
      <c r="C755">
        <v>0</v>
      </c>
      <c r="D755" t="s">
        <v>304</v>
      </c>
      <c r="E755">
        <v>0</v>
      </c>
      <c r="F755" t="s">
        <v>269</v>
      </c>
      <c r="G755" t="s">
        <v>103</v>
      </c>
      <c r="H755" t="s">
        <v>104</v>
      </c>
      <c r="I755" t="s">
        <v>80</v>
      </c>
      <c r="J755" t="s">
        <v>196</v>
      </c>
      <c r="K755" t="s">
        <v>13</v>
      </c>
      <c r="L755" t="s">
        <v>83</v>
      </c>
      <c r="M755" t="s">
        <v>84</v>
      </c>
      <c r="N755">
        <v>1</v>
      </c>
      <c r="O755" t="b">
        <v>0</v>
      </c>
      <c r="P755">
        <v>0</v>
      </c>
      <c r="BB755">
        <v>0</v>
      </c>
      <c r="BC755" t="s">
        <v>306</v>
      </c>
      <c r="BD755" t="s">
        <v>270</v>
      </c>
      <c r="BE755" t="s">
        <v>117</v>
      </c>
      <c r="BF755">
        <v>0</v>
      </c>
      <c r="BG755">
        <v>0</v>
      </c>
      <c r="BH755">
        <v>0</v>
      </c>
    </row>
    <row r="756" spans="1:61">
      <c r="A756" s="164" t="s">
        <v>2036</v>
      </c>
      <c r="B756" t="s">
        <v>2037</v>
      </c>
      <c r="C756">
        <v>0</v>
      </c>
      <c r="D756" t="s">
        <v>304</v>
      </c>
      <c r="E756">
        <v>0</v>
      </c>
      <c r="F756" t="s">
        <v>269</v>
      </c>
      <c r="G756" t="s">
        <v>103</v>
      </c>
      <c r="H756" t="s">
        <v>104</v>
      </c>
      <c r="I756" t="s">
        <v>80</v>
      </c>
      <c r="J756" t="s">
        <v>196</v>
      </c>
      <c r="K756" t="s">
        <v>13</v>
      </c>
      <c r="L756" t="s">
        <v>83</v>
      </c>
      <c r="M756" t="s">
        <v>84</v>
      </c>
      <c r="N756">
        <v>1</v>
      </c>
      <c r="O756" t="b">
        <v>0</v>
      </c>
      <c r="P756">
        <v>0</v>
      </c>
      <c r="BB756">
        <v>0</v>
      </c>
      <c r="BC756" t="s">
        <v>306</v>
      </c>
      <c r="BD756" t="s">
        <v>270</v>
      </c>
      <c r="BE756" t="s">
        <v>117</v>
      </c>
      <c r="BF756">
        <v>0</v>
      </c>
      <c r="BG756">
        <v>0</v>
      </c>
      <c r="BH756">
        <v>0</v>
      </c>
    </row>
    <row r="757" spans="1:61">
      <c r="A757" s="164" t="s">
        <v>2038</v>
      </c>
      <c r="B757" t="s">
        <v>2039</v>
      </c>
      <c r="C757">
        <v>0</v>
      </c>
      <c r="D757" t="s">
        <v>304</v>
      </c>
      <c r="E757">
        <v>0</v>
      </c>
      <c r="F757" t="s">
        <v>313</v>
      </c>
      <c r="G757" t="s">
        <v>78</v>
      </c>
      <c r="H757" t="s">
        <v>79</v>
      </c>
      <c r="I757" t="s">
        <v>80</v>
      </c>
      <c r="J757" t="s">
        <v>196</v>
      </c>
      <c r="K757" t="s">
        <v>13</v>
      </c>
      <c r="L757" t="s">
        <v>83</v>
      </c>
      <c r="M757" t="s">
        <v>84</v>
      </c>
      <c r="N757">
        <v>1</v>
      </c>
      <c r="O757" t="b">
        <v>1</v>
      </c>
      <c r="P757">
        <v>0</v>
      </c>
      <c r="BB757">
        <v>0</v>
      </c>
      <c r="BC757" t="s">
        <v>306</v>
      </c>
      <c r="BD757" t="s">
        <v>314</v>
      </c>
      <c r="BE757" t="s">
        <v>117</v>
      </c>
      <c r="BF757">
        <v>0</v>
      </c>
      <c r="BG757">
        <v>15</v>
      </c>
      <c r="BH757">
        <v>2000</v>
      </c>
      <c r="BI757" t="s">
        <v>1366</v>
      </c>
    </row>
    <row r="758" spans="1:61">
      <c r="A758" s="164" t="s">
        <v>2040</v>
      </c>
      <c r="B758" t="s">
        <v>605</v>
      </c>
      <c r="C758">
        <v>0</v>
      </c>
      <c r="D758" t="s">
        <v>304</v>
      </c>
      <c r="E758">
        <v>0</v>
      </c>
      <c r="F758" t="s">
        <v>430</v>
      </c>
      <c r="G758" t="s">
        <v>78</v>
      </c>
      <c r="H758" t="s">
        <v>79</v>
      </c>
      <c r="I758" t="s">
        <v>80</v>
      </c>
      <c r="J758" t="s">
        <v>196</v>
      </c>
      <c r="K758" t="s">
        <v>13</v>
      </c>
      <c r="L758" t="s">
        <v>83</v>
      </c>
      <c r="M758" t="s">
        <v>606</v>
      </c>
      <c r="N758">
        <v>1</v>
      </c>
      <c r="O758" t="b">
        <v>1</v>
      </c>
      <c r="P758">
        <v>0</v>
      </c>
      <c r="BB758">
        <v>0</v>
      </c>
      <c r="BC758" t="s">
        <v>306</v>
      </c>
      <c r="BD758" t="s">
        <v>431</v>
      </c>
      <c r="BE758" t="s">
        <v>117</v>
      </c>
      <c r="BF758">
        <v>0</v>
      </c>
      <c r="BG758">
        <v>15</v>
      </c>
      <c r="BH758">
        <v>2</v>
      </c>
      <c r="BI758" t="s">
        <v>435</v>
      </c>
    </row>
    <row r="759" spans="1:61">
      <c r="A759" s="164" t="s">
        <v>2041</v>
      </c>
      <c r="B759" t="s">
        <v>2042</v>
      </c>
      <c r="C759">
        <v>0</v>
      </c>
      <c r="D759" t="s">
        <v>304</v>
      </c>
      <c r="E759">
        <v>0</v>
      </c>
      <c r="F759" t="s">
        <v>313</v>
      </c>
      <c r="G759" t="s">
        <v>78</v>
      </c>
      <c r="H759" t="s">
        <v>79</v>
      </c>
      <c r="I759" t="s">
        <v>80</v>
      </c>
      <c r="J759" t="s">
        <v>196</v>
      </c>
      <c r="K759" t="s">
        <v>13</v>
      </c>
      <c r="L759" t="s">
        <v>83</v>
      </c>
      <c r="M759" t="s">
        <v>205</v>
      </c>
      <c r="N759">
        <v>1</v>
      </c>
      <c r="O759" t="b">
        <v>1</v>
      </c>
      <c r="P759">
        <v>0</v>
      </c>
      <c r="BB759">
        <v>0</v>
      </c>
      <c r="BC759" t="s">
        <v>306</v>
      </c>
      <c r="BD759" t="s">
        <v>314</v>
      </c>
      <c r="BE759" t="s">
        <v>117</v>
      </c>
      <c r="BF759">
        <v>0</v>
      </c>
      <c r="BG759">
        <v>45</v>
      </c>
      <c r="BH759">
        <v>1000</v>
      </c>
      <c r="BI759" t="s">
        <v>315</v>
      </c>
    </row>
    <row r="760" spans="1:61">
      <c r="A760" s="164" t="s">
        <v>2043</v>
      </c>
      <c r="B760" t="s">
        <v>2044</v>
      </c>
      <c r="C760">
        <v>0</v>
      </c>
      <c r="D760" t="s">
        <v>304</v>
      </c>
      <c r="E760">
        <v>0</v>
      </c>
      <c r="F760" t="s">
        <v>313</v>
      </c>
      <c r="G760" t="s">
        <v>78</v>
      </c>
      <c r="H760" t="s">
        <v>79</v>
      </c>
      <c r="I760" t="s">
        <v>80</v>
      </c>
      <c r="J760" t="s">
        <v>196</v>
      </c>
      <c r="K760" t="s">
        <v>13</v>
      </c>
      <c r="L760" t="s">
        <v>83</v>
      </c>
      <c r="M760" t="s">
        <v>205</v>
      </c>
      <c r="N760">
        <v>1</v>
      </c>
      <c r="O760" t="b">
        <v>1</v>
      </c>
      <c r="P760">
        <v>0</v>
      </c>
      <c r="BB760">
        <v>0</v>
      </c>
      <c r="BC760" t="s">
        <v>306</v>
      </c>
      <c r="BD760" t="s">
        <v>314</v>
      </c>
      <c r="BE760" t="s">
        <v>117</v>
      </c>
      <c r="BF760">
        <v>0</v>
      </c>
      <c r="BG760">
        <v>45</v>
      </c>
      <c r="BH760">
        <v>1000</v>
      </c>
      <c r="BI760" t="s">
        <v>315</v>
      </c>
    </row>
    <row r="761" spans="1:61">
      <c r="A761" s="164" t="s">
        <v>2045</v>
      </c>
      <c r="B761" t="s">
        <v>2046</v>
      </c>
      <c r="C761">
        <v>0</v>
      </c>
      <c r="D761" t="s">
        <v>257</v>
      </c>
      <c r="E761">
        <v>0</v>
      </c>
      <c r="F761" t="s">
        <v>269</v>
      </c>
      <c r="G761" t="s">
        <v>103</v>
      </c>
      <c r="H761" t="s">
        <v>104</v>
      </c>
      <c r="I761" t="s">
        <v>80</v>
      </c>
      <c r="J761" t="s">
        <v>196</v>
      </c>
      <c r="K761" t="s">
        <v>13</v>
      </c>
      <c r="L761" t="s">
        <v>83</v>
      </c>
      <c r="M761" t="s">
        <v>205</v>
      </c>
      <c r="N761">
        <v>1</v>
      </c>
      <c r="O761" t="b">
        <v>0</v>
      </c>
      <c r="P761">
        <v>0</v>
      </c>
      <c r="BB761">
        <v>0</v>
      </c>
      <c r="BC761" t="s">
        <v>259</v>
      </c>
      <c r="BD761" t="s">
        <v>270</v>
      </c>
      <c r="BE761" t="s">
        <v>117</v>
      </c>
      <c r="BF761">
        <v>0</v>
      </c>
      <c r="BG761">
        <v>0</v>
      </c>
      <c r="BH761">
        <v>0</v>
      </c>
    </row>
    <row r="762" spans="1:61">
      <c r="A762" s="164" t="s">
        <v>2047</v>
      </c>
      <c r="B762" t="s">
        <v>2048</v>
      </c>
      <c r="C762">
        <v>0</v>
      </c>
      <c r="D762" t="s">
        <v>257</v>
      </c>
      <c r="E762">
        <v>0</v>
      </c>
      <c r="F762" t="s">
        <v>269</v>
      </c>
      <c r="G762" t="s">
        <v>103</v>
      </c>
      <c r="H762" t="s">
        <v>104</v>
      </c>
      <c r="I762" t="s">
        <v>80</v>
      </c>
      <c r="J762" t="s">
        <v>196</v>
      </c>
      <c r="K762" t="s">
        <v>13</v>
      </c>
      <c r="L762" t="s">
        <v>83</v>
      </c>
      <c r="M762" t="s">
        <v>205</v>
      </c>
      <c r="N762">
        <v>1</v>
      </c>
      <c r="O762" t="b">
        <v>0</v>
      </c>
      <c r="P762">
        <v>0</v>
      </c>
      <c r="BB762">
        <v>0</v>
      </c>
      <c r="BC762" t="s">
        <v>259</v>
      </c>
      <c r="BD762" t="s">
        <v>270</v>
      </c>
      <c r="BE762" t="s">
        <v>117</v>
      </c>
      <c r="BF762">
        <v>0</v>
      </c>
      <c r="BG762">
        <v>0</v>
      </c>
      <c r="BH762">
        <v>0</v>
      </c>
    </row>
    <row r="763" spans="1:61">
      <c r="A763" s="164" t="s">
        <v>2049</v>
      </c>
      <c r="B763" t="s">
        <v>2050</v>
      </c>
      <c r="C763">
        <v>0</v>
      </c>
      <c r="D763" t="s">
        <v>257</v>
      </c>
      <c r="E763">
        <v>0</v>
      </c>
      <c r="F763" t="s">
        <v>925</v>
      </c>
      <c r="G763" t="s">
        <v>78</v>
      </c>
      <c r="H763" t="s">
        <v>79</v>
      </c>
      <c r="I763" t="s">
        <v>80</v>
      </c>
      <c r="J763" t="s">
        <v>196</v>
      </c>
      <c r="K763" t="s">
        <v>13</v>
      </c>
      <c r="L763" t="s">
        <v>83</v>
      </c>
      <c r="M763" t="s">
        <v>205</v>
      </c>
      <c r="N763">
        <v>1</v>
      </c>
      <c r="O763" t="b">
        <v>1</v>
      </c>
      <c r="P763">
        <v>0</v>
      </c>
      <c r="BB763">
        <v>0</v>
      </c>
      <c r="BC763" t="s">
        <v>259</v>
      </c>
      <c r="BD763" t="s">
        <v>926</v>
      </c>
      <c r="BE763" t="s">
        <v>117</v>
      </c>
      <c r="BF763">
        <v>0</v>
      </c>
      <c r="BG763">
        <v>15</v>
      </c>
      <c r="BH763">
        <v>2</v>
      </c>
      <c r="BI763" t="s">
        <v>1339</v>
      </c>
    </row>
    <row r="764" spans="1:61">
      <c r="A764" s="164" t="s">
        <v>2051</v>
      </c>
      <c r="B764" t="s">
        <v>2052</v>
      </c>
      <c r="C764">
        <v>0</v>
      </c>
      <c r="D764" t="s">
        <v>257</v>
      </c>
      <c r="E764">
        <v>0</v>
      </c>
      <c r="F764" t="s">
        <v>955</v>
      </c>
      <c r="G764" t="s">
        <v>78</v>
      </c>
      <c r="H764" t="s">
        <v>79</v>
      </c>
      <c r="I764" t="s">
        <v>80</v>
      </c>
      <c r="J764" t="s">
        <v>196</v>
      </c>
      <c r="K764" t="s">
        <v>13</v>
      </c>
      <c r="L764" t="s">
        <v>83</v>
      </c>
      <c r="M764" t="s">
        <v>84</v>
      </c>
      <c r="N764">
        <v>1</v>
      </c>
      <c r="O764" t="b">
        <v>1</v>
      </c>
      <c r="P764">
        <v>0</v>
      </c>
      <c r="BB764">
        <v>0</v>
      </c>
      <c r="BC764" t="s">
        <v>259</v>
      </c>
      <c r="BD764" t="s">
        <v>956</v>
      </c>
      <c r="BE764" t="s">
        <v>117</v>
      </c>
      <c r="BF764">
        <v>0</v>
      </c>
      <c r="BG764">
        <v>50</v>
      </c>
      <c r="BH764">
        <v>50</v>
      </c>
      <c r="BI764" t="s">
        <v>1347</v>
      </c>
    </row>
    <row r="765" spans="1:61">
      <c r="A765" s="164" t="s">
        <v>2053</v>
      </c>
      <c r="B765" t="s">
        <v>2054</v>
      </c>
      <c r="C765">
        <v>0</v>
      </c>
      <c r="D765" t="s">
        <v>257</v>
      </c>
      <c r="E765">
        <v>0</v>
      </c>
      <c r="F765" t="s">
        <v>955</v>
      </c>
      <c r="G765" t="s">
        <v>78</v>
      </c>
      <c r="H765" t="s">
        <v>79</v>
      </c>
      <c r="I765" t="s">
        <v>80</v>
      </c>
      <c r="J765" t="s">
        <v>196</v>
      </c>
      <c r="K765" t="s">
        <v>13</v>
      </c>
      <c r="L765" t="s">
        <v>83</v>
      </c>
      <c r="M765" t="s">
        <v>84</v>
      </c>
      <c r="N765">
        <v>1</v>
      </c>
      <c r="O765" t="b">
        <v>1</v>
      </c>
      <c r="P765">
        <v>0</v>
      </c>
      <c r="BB765">
        <v>0</v>
      </c>
      <c r="BC765" t="s">
        <v>259</v>
      </c>
      <c r="BD765" t="s">
        <v>956</v>
      </c>
      <c r="BE765" t="s">
        <v>117</v>
      </c>
      <c r="BF765">
        <v>0</v>
      </c>
      <c r="BG765">
        <v>50</v>
      </c>
      <c r="BH765">
        <v>50</v>
      </c>
      <c r="BI765" t="s">
        <v>1347</v>
      </c>
    </row>
    <row r="766" spans="1:61">
      <c r="A766" s="164" t="s">
        <v>2055</v>
      </c>
      <c r="B766" t="s">
        <v>2056</v>
      </c>
      <c r="C766">
        <v>0</v>
      </c>
      <c r="D766" t="s">
        <v>257</v>
      </c>
      <c r="E766">
        <v>0</v>
      </c>
      <c r="F766" t="s">
        <v>955</v>
      </c>
      <c r="G766" t="s">
        <v>78</v>
      </c>
      <c r="H766" t="s">
        <v>79</v>
      </c>
      <c r="I766" t="s">
        <v>80</v>
      </c>
      <c r="J766" t="s">
        <v>196</v>
      </c>
      <c r="K766" t="s">
        <v>13</v>
      </c>
      <c r="L766" t="s">
        <v>83</v>
      </c>
      <c r="M766" t="s">
        <v>84</v>
      </c>
      <c r="N766">
        <v>1</v>
      </c>
      <c r="O766" t="b">
        <v>1</v>
      </c>
      <c r="P766">
        <v>0</v>
      </c>
      <c r="BB766">
        <v>0</v>
      </c>
      <c r="BC766" t="s">
        <v>259</v>
      </c>
      <c r="BD766" t="s">
        <v>956</v>
      </c>
      <c r="BE766" t="s">
        <v>117</v>
      </c>
      <c r="BF766">
        <v>0</v>
      </c>
      <c r="BG766">
        <v>50</v>
      </c>
      <c r="BH766">
        <v>50</v>
      </c>
      <c r="BI766" t="s">
        <v>1347</v>
      </c>
    </row>
    <row r="767" spans="1:61">
      <c r="A767" s="164" t="s">
        <v>2057</v>
      </c>
      <c r="B767" t="s">
        <v>2058</v>
      </c>
      <c r="C767">
        <v>0</v>
      </c>
      <c r="D767" t="s">
        <v>257</v>
      </c>
      <c r="E767">
        <v>0</v>
      </c>
      <c r="F767" t="s">
        <v>258</v>
      </c>
      <c r="G767" t="s">
        <v>78</v>
      </c>
      <c r="H767" t="s">
        <v>79</v>
      </c>
      <c r="I767" t="s">
        <v>80</v>
      </c>
      <c r="J767" t="s">
        <v>196</v>
      </c>
      <c r="K767" t="s">
        <v>13</v>
      </c>
      <c r="L767" t="s">
        <v>83</v>
      </c>
      <c r="M767" t="s">
        <v>205</v>
      </c>
      <c r="N767">
        <v>1</v>
      </c>
      <c r="O767" t="b">
        <v>1</v>
      </c>
      <c r="P767">
        <v>0</v>
      </c>
      <c r="BB767">
        <v>0</v>
      </c>
      <c r="BC767" t="s">
        <v>259</v>
      </c>
      <c r="BD767" t="s">
        <v>260</v>
      </c>
      <c r="BE767" t="s">
        <v>117</v>
      </c>
      <c r="BF767">
        <v>0</v>
      </c>
      <c r="BG767">
        <v>20</v>
      </c>
      <c r="BH767">
        <v>100</v>
      </c>
      <c r="BI767" t="s">
        <v>2059</v>
      </c>
    </row>
    <row r="768" spans="1:61">
      <c r="A768" s="164" t="s">
        <v>2060</v>
      </c>
      <c r="B768" t="s">
        <v>2061</v>
      </c>
      <c r="C768">
        <v>0</v>
      </c>
      <c r="D768" t="s">
        <v>257</v>
      </c>
      <c r="E768">
        <v>0</v>
      </c>
      <c r="F768" t="s">
        <v>269</v>
      </c>
      <c r="G768" t="s">
        <v>103</v>
      </c>
      <c r="H768" t="s">
        <v>104</v>
      </c>
      <c r="I768" t="s">
        <v>80</v>
      </c>
      <c r="J768" t="s">
        <v>196</v>
      </c>
      <c r="K768" t="s">
        <v>13</v>
      </c>
      <c r="L768" t="s">
        <v>83</v>
      </c>
      <c r="M768" t="s">
        <v>205</v>
      </c>
      <c r="N768">
        <v>1</v>
      </c>
      <c r="O768" t="b">
        <v>0</v>
      </c>
      <c r="P768">
        <v>0</v>
      </c>
      <c r="BB768">
        <v>0</v>
      </c>
      <c r="BC768" t="s">
        <v>259</v>
      </c>
      <c r="BD768" t="s">
        <v>270</v>
      </c>
      <c r="BE768" t="s">
        <v>117</v>
      </c>
      <c r="BF768">
        <v>0</v>
      </c>
      <c r="BG768">
        <v>0</v>
      </c>
      <c r="BH768">
        <v>0</v>
      </c>
    </row>
    <row r="769" spans="1:61">
      <c r="A769" s="164" t="s">
        <v>2062</v>
      </c>
      <c r="B769" t="s">
        <v>2063</v>
      </c>
      <c r="C769">
        <v>0</v>
      </c>
      <c r="D769" t="s">
        <v>257</v>
      </c>
      <c r="E769">
        <v>0</v>
      </c>
      <c r="F769" t="s">
        <v>269</v>
      </c>
      <c r="G769" t="s">
        <v>103</v>
      </c>
      <c r="H769" t="s">
        <v>104</v>
      </c>
      <c r="I769" t="s">
        <v>80</v>
      </c>
      <c r="J769" t="s">
        <v>196</v>
      </c>
      <c r="K769" t="s">
        <v>13</v>
      </c>
      <c r="L769" t="s">
        <v>83</v>
      </c>
      <c r="M769" t="s">
        <v>205</v>
      </c>
      <c r="N769">
        <v>1</v>
      </c>
      <c r="O769" t="b">
        <v>0</v>
      </c>
      <c r="P769">
        <v>0</v>
      </c>
      <c r="BB769">
        <v>0</v>
      </c>
      <c r="BC769" t="s">
        <v>259</v>
      </c>
      <c r="BD769" t="s">
        <v>270</v>
      </c>
      <c r="BE769" t="s">
        <v>117</v>
      </c>
      <c r="BF769">
        <v>0</v>
      </c>
      <c r="BG769">
        <v>0</v>
      </c>
      <c r="BH769">
        <v>0</v>
      </c>
    </row>
    <row r="770" spans="1:61">
      <c r="A770" s="164" t="s">
        <v>2064</v>
      </c>
      <c r="B770" t="s">
        <v>2065</v>
      </c>
      <c r="C770">
        <v>0</v>
      </c>
      <c r="D770" t="s">
        <v>304</v>
      </c>
      <c r="E770">
        <v>0</v>
      </c>
      <c r="F770" t="s">
        <v>313</v>
      </c>
      <c r="G770" t="s">
        <v>78</v>
      </c>
      <c r="H770" t="s">
        <v>79</v>
      </c>
      <c r="I770" t="s">
        <v>80</v>
      </c>
      <c r="J770" t="s">
        <v>196</v>
      </c>
      <c r="K770" t="s">
        <v>13</v>
      </c>
      <c r="L770" t="s">
        <v>83</v>
      </c>
      <c r="M770" t="s">
        <v>84</v>
      </c>
      <c r="N770">
        <v>1</v>
      </c>
      <c r="O770" t="b">
        <v>1</v>
      </c>
      <c r="P770">
        <v>0</v>
      </c>
      <c r="BB770">
        <v>0</v>
      </c>
      <c r="BC770" t="s">
        <v>306</v>
      </c>
      <c r="BD770" t="s">
        <v>314</v>
      </c>
      <c r="BE770" t="s">
        <v>117</v>
      </c>
      <c r="BF770">
        <v>0</v>
      </c>
      <c r="BG770">
        <v>45</v>
      </c>
      <c r="BH770">
        <v>25000</v>
      </c>
      <c r="BI770" t="s">
        <v>315</v>
      </c>
    </row>
    <row r="771" spans="1:61">
      <c r="A771" s="164" t="s">
        <v>2066</v>
      </c>
      <c r="B771" t="s">
        <v>2067</v>
      </c>
      <c r="C771">
        <v>0</v>
      </c>
      <c r="D771" t="s">
        <v>304</v>
      </c>
      <c r="E771">
        <v>0</v>
      </c>
      <c r="F771" t="s">
        <v>269</v>
      </c>
      <c r="G771" t="s">
        <v>103</v>
      </c>
      <c r="H771" t="s">
        <v>104</v>
      </c>
      <c r="I771" t="s">
        <v>80</v>
      </c>
      <c r="J771" t="s">
        <v>196</v>
      </c>
      <c r="K771" t="s">
        <v>13</v>
      </c>
      <c r="L771" t="s">
        <v>83</v>
      </c>
      <c r="M771" t="s">
        <v>84</v>
      </c>
      <c r="N771">
        <v>1</v>
      </c>
      <c r="O771" t="b">
        <v>0</v>
      </c>
      <c r="P771">
        <v>0</v>
      </c>
      <c r="BB771">
        <v>0</v>
      </c>
      <c r="BC771" t="s">
        <v>306</v>
      </c>
      <c r="BD771" t="s">
        <v>270</v>
      </c>
      <c r="BE771" t="s">
        <v>117</v>
      </c>
      <c r="BF771">
        <v>0</v>
      </c>
      <c r="BG771">
        <v>0</v>
      </c>
      <c r="BH771">
        <v>0</v>
      </c>
    </row>
    <row r="772" spans="1:61">
      <c r="A772" s="164" t="s">
        <v>2068</v>
      </c>
      <c r="B772" t="s">
        <v>2069</v>
      </c>
      <c r="C772">
        <v>0</v>
      </c>
      <c r="D772" t="s">
        <v>304</v>
      </c>
      <c r="E772">
        <v>0</v>
      </c>
      <c r="F772" t="s">
        <v>305</v>
      </c>
      <c r="G772" t="s">
        <v>78</v>
      </c>
      <c r="H772" t="s">
        <v>79</v>
      </c>
      <c r="I772" t="s">
        <v>80</v>
      </c>
      <c r="J772" t="s">
        <v>196</v>
      </c>
      <c r="K772" t="s">
        <v>13</v>
      </c>
      <c r="L772" t="s">
        <v>83</v>
      </c>
      <c r="M772" t="s">
        <v>84</v>
      </c>
      <c r="N772">
        <v>1</v>
      </c>
      <c r="O772" t="b">
        <v>1</v>
      </c>
      <c r="P772">
        <v>0</v>
      </c>
      <c r="BB772">
        <v>0</v>
      </c>
      <c r="BC772" t="s">
        <v>306</v>
      </c>
      <c r="BD772" t="s">
        <v>307</v>
      </c>
      <c r="BE772" t="s">
        <v>117</v>
      </c>
      <c r="BF772">
        <v>0</v>
      </c>
      <c r="BG772">
        <v>20</v>
      </c>
      <c r="BH772">
        <v>30000</v>
      </c>
      <c r="BI772" t="s">
        <v>308</v>
      </c>
    </row>
    <row r="773" spans="1:61">
      <c r="A773" s="164" t="s">
        <v>2070</v>
      </c>
      <c r="B773" t="s">
        <v>2071</v>
      </c>
      <c r="C773">
        <v>0</v>
      </c>
      <c r="D773" t="s">
        <v>304</v>
      </c>
      <c r="E773">
        <v>0</v>
      </c>
      <c r="F773" t="s">
        <v>342</v>
      </c>
      <c r="G773" t="s">
        <v>78</v>
      </c>
      <c r="H773" t="s">
        <v>79</v>
      </c>
      <c r="I773" t="s">
        <v>80</v>
      </c>
      <c r="J773" t="s">
        <v>196</v>
      </c>
      <c r="K773" t="s">
        <v>13</v>
      </c>
      <c r="L773" t="s">
        <v>83</v>
      </c>
      <c r="M773" t="s">
        <v>84</v>
      </c>
      <c r="N773">
        <v>1</v>
      </c>
      <c r="O773" t="b">
        <v>1</v>
      </c>
      <c r="P773">
        <v>0</v>
      </c>
      <c r="BB773">
        <v>0</v>
      </c>
      <c r="BC773" t="s">
        <v>306</v>
      </c>
      <c r="BD773" t="s">
        <v>343</v>
      </c>
      <c r="BE773" t="s">
        <v>117</v>
      </c>
      <c r="BF773">
        <v>0</v>
      </c>
      <c r="BG773">
        <v>25</v>
      </c>
      <c r="BH773">
        <v>10000</v>
      </c>
      <c r="BI773" t="s">
        <v>344</v>
      </c>
    </row>
    <row r="774" spans="1:61">
      <c r="A774" s="164" t="s">
        <v>2072</v>
      </c>
      <c r="B774" t="s">
        <v>2073</v>
      </c>
      <c r="C774">
        <v>0</v>
      </c>
      <c r="D774" t="s">
        <v>304</v>
      </c>
      <c r="E774">
        <v>0</v>
      </c>
      <c r="F774" t="s">
        <v>342</v>
      </c>
      <c r="G774" t="s">
        <v>78</v>
      </c>
      <c r="H774" t="s">
        <v>79</v>
      </c>
      <c r="I774" t="s">
        <v>80</v>
      </c>
      <c r="J774" t="s">
        <v>196</v>
      </c>
      <c r="K774" t="s">
        <v>13</v>
      </c>
      <c r="L774" t="s">
        <v>83</v>
      </c>
      <c r="M774" t="s">
        <v>84</v>
      </c>
      <c r="N774">
        <v>1</v>
      </c>
      <c r="O774" t="b">
        <v>1</v>
      </c>
      <c r="P774">
        <v>0</v>
      </c>
      <c r="BB774">
        <v>0</v>
      </c>
      <c r="BC774" t="s">
        <v>306</v>
      </c>
      <c r="BD774" t="s">
        <v>343</v>
      </c>
      <c r="BE774" t="s">
        <v>117</v>
      </c>
      <c r="BF774">
        <v>0</v>
      </c>
      <c r="BG774">
        <v>25</v>
      </c>
      <c r="BH774">
        <v>10000</v>
      </c>
      <c r="BI774" t="s">
        <v>344</v>
      </c>
    </row>
    <row r="775" spans="1:61">
      <c r="A775" s="164" t="s">
        <v>2074</v>
      </c>
      <c r="B775" t="s">
        <v>2075</v>
      </c>
      <c r="C775">
        <v>0</v>
      </c>
      <c r="D775" t="s">
        <v>304</v>
      </c>
      <c r="E775">
        <v>0</v>
      </c>
      <c r="F775" t="s">
        <v>269</v>
      </c>
      <c r="G775" t="s">
        <v>103</v>
      </c>
      <c r="H775" t="s">
        <v>104</v>
      </c>
      <c r="I775" t="s">
        <v>80</v>
      </c>
      <c r="J775" t="s">
        <v>196</v>
      </c>
      <c r="K775" t="s">
        <v>13</v>
      </c>
      <c r="L775" t="s">
        <v>83</v>
      </c>
      <c r="M775" t="s">
        <v>84</v>
      </c>
      <c r="N775">
        <v>1</v>
      </c>
      <c r="O775" t="b">
        <v>0</v>
      </c>
      <c r="P775">
        <v>0</v>
      </c>
      <c r="BB775">
        <v>0</v>
      </c>
      <c r="BC775" t="s">
        <v>306</v>
      </c>
      <c r="BD775" t="s">
        <v>270</v>
      </c>
      <c r="BE775" t="s">
        <v>117</v>
      </c>
      <c r="BF775">
        <v>0</v>
      </c>
      <c r="BG775">
        <v>0</v>
      </c>
      <c r="BH775">
        <v>0</v>
      </c>
    </row>
    <row r="776" spans="1:61">
      <c r="A776" s="164" t="s">
        <v>2076</v>
      </c>
      <c r="B776" t="s">
        <v>2077</v>
      </c>
      <c r="C776">
        <v>0</v>
      </c>
      <c r="D776" t="s">
        <v>304</v>
      </c>
      <c r="E776">
        <v>0</v>
      </c>
      <c r="F776" t="s">
        <v>357</v>
      </c>
      <c r="G776" t="s">
        <v>78</v>
      </c>
      <c r="H776" t="s">
        <v>79</v>
      </c>
      <c r="I776" t="s">
        <v>80</v>
      </c>
      <c r="J776" t="s">
        <v>196</v>
      </c>
      <c r="K776" t="s">
        <v>13</v>
      </c>
      <c r="L776" t="s">
        <v>83</v>
      </c>
      <c r="M776" t="s">
        <v>84</v>
      </c>
      <c r="N776">
        <v>1</v>
      </c>
      <c r="O776" t="b">
        <v>1</v>
      </c>
      <c r="P776">
        <v>0</v>
      </c>
      <c r="BB776">
        <v>0</v>
      </c>
      <c r="BC776" t="s">
        <v>306</v>
      </c>
      <c r="BD776" t="s">
        <v>358</v>
      </c>
      <c r="BE776" t="s">
        <v>117</v>
      </c>
      <c r="BF776">
        <v>0</v>
      </c>
      <c r="BG776">
        <v>25</v>
      </c>
      <c r="BH776">
        <v>500</v>
      </c>
      <c r="BI776" t="s">
        <v>359</v>
      </c>
    </row>
    <row r="777" spans="1:61">
      <c r="A777" s="164" t="s">
        <v>2078</v>
      </c>
      <c r="B777" t="s">
        <v>2079</v>
      </c>
      <c r="C777">
        <v>0</v>
      </c>
      <c r="D777" t="s">
        <v>304</v>
      </c>
      <c r="E777">
        <v>0</v>
      </c>
      <c r="F777" t="s">
        <v>1364</v>
      </c>
      <c r="G777" t="s">
        <v>78</v>
      </c>
      <c r="H777" t="s">
        <v>79</v>
      </c>
      <c r="I777" t="s">
        <v>80</v>
      </c>
      <c r="J777" t="s">
        <v>196</v>
      </c>
      <c r="K777" t="s">
        <v>13</v>
      </c>
      <c r="L777" t="s">
        <v>83</v>
      </c>
      <c r="M777" t="s">
        <v>84</v>
      </c>
      <c r="N777">
        <v>1</v>
      </c>
      <c r="O777" t="b">
        <v>1</v>
      </c>
      <c r="P777">
        <v>0</v>
      </c>
      <c r="BB777">
        <v>0</v>
      </c>
      <c r="BC777" t="s">
        <v>306</v>
      </c>
      <c r="BD777" t="s">
        <v>1365</v>
      </c>
      <c r="BE777" t="s">
        <v>117</v>
      </c>
      <c r="BF777">
        <v>0</v>
      </c>
      <c r="BG777">
        <v>20</v>
      </c>
      <c r="BH777">
        <v>3000</v>
      </c>
      <c r="BI777" t="s">
        <v>1366</v>
      </c>
    </row>
    <row r="778" spans="1:61">
      <c r="A778" s="164" t="s">
        <v>2080</v>
      </c>
      <c r="B778" t="s">
        <v>2081</v>
      </c>
      <c r="C778">
        <v>0</v>
      </c>
      <c r="D778" t="s">
        <v>304</v>
      </c>
      <c r="E778">
        <v>0</v>
      </c>
      <c r="F778" t="s">
        <v>357</v>
      </c>
      <c r="G778" t="s">
        <v>78</v>
      </c>
      <c r="H778" t="s">
        <v>79</v>
      </c>
      <c r="I778" t="s">
        <v>80</v>
      </c>
      <c r="J778" t="s">
        <v>196</v>
      </c>
      <c r="K778" t="s">
        <v>13</v>
      </c>
      <c r="L778" t="s">
        <v>83</v>
      </c>
      <c r="M778" t="s">
        <v>84</v>
      </c>
      <c r="N778">
        <v>1</v>
      </c>
      <c r="O778" t="b">
        <v>1</v>
      </c>
      <c r="P778">
        <v>0</v>
      </c>
      <c r="BB778">
        <v>0</v>
      </c>
      <c r="BC778" t="s">
        <v>306</v>
      </c>
      <c r="BD778" t="s">
        <v>358</v>
      </c>
      <c r="BE778" t="s">
        <v>117</v>
      </c>
      <c r="BF778">
        <v>0</v>
      </c>
      <c r="BG778">
        <v>25</v>
      </c>
      <c r="BH778">
        <v>500</v>
      </c>
      <c r="BI778" t="s">
        <v>359</v>
      </c>
    </row>
    <row r="779" spans="1:61">
      <c r="A779" s="164" t="s">
        <v>2082</v>
      </c>
      <c r="B779" t="s">
        <v>2083</v>
      </c>
      <c r="C779">
        <v>0</v>
      </c>
      <c r="D779" t="s">
        <v>304</v>
      </c>
      <c r="E779">
        <v>0</v>
      </c>
      <c r="F779" t="s">
        <v>269</v>
      </c>
      <c r="G779" t="s">
        <v>103</v>
      </c>
      <c r="H779" t="s">
        <v>104</v>
      </c>
      <c r="I779" t="s">
        <v>80</v>
      </c>
      <c r="J779" t="s">
        <v>196</v>
      </c>
      <c r="K779" t="s">
        <v>13</v>
      </c>
      <c r="L779" t="s">
        <v>83</v>
      </c>
      <c r="M779" t="s">
        <v>84</v>
      </c>
      <c r="N779">
        <v>1</v>
      </c>
      <c r="O779" t="b">
        <v>0</v>
      </c>
      <c r="P779">
        <v>0</v>
      </c>
      <c r="BB779">
        <v>0</v>
      </c>
      <c r="BC779" t="s">
        <v>306</v>
      </c>
      <c r="BD779" t="s">
        <v>270</v>
      </c>
      <c r="BE779" t="s">
        <v>117</v>
      </c>
      <c r="BF779">
        <v>0</v>
      </c>
      <c r="BG779">
        <v>0</v>
      </c>
      <c r="BH779">
        <v>0</v>
      </c>
    </row>
    <row r="780" spans="1:61">
      <c r="A780" s="164" t="s">
        <v>2084</v>
      </c>
      <c r="B780" t="s">
        <v>2085</v>
      </c>
      <c r="C780">
        <v>0</v>
      </c>
      <c r="D780" t="s">
        <v>304</v>
      </c>
      <c r="E780">
        <v>0</v>
      </c>
      <c r="F780" t="s">
        <v>269</v>
      </c>
      <c r="G780" t="s">
        <v>103</v>
      </c>
      <c r="H780" t="s">
        <v>104</v>
      </c>
      <c r="I780" t="s">
        <v>80</v>
      </c>
      <c r="J780" t="s">
        <v>196</v>
      </c>
      <c r="K780" t="s">
        <v>13</v>
      </c>
      <c r="L780" t="s">
        <v>83</v>
      </c>
      <c r="M780" t="s">
        <v>84</v>
      </c>
      <c r="N780">
        <v>1</v>
      </c>
      <c r="O780" t="b">
        <v>0</v>
      </c>
      <c r="P780">
        <v>0</v>
      </c>
      <c r="BB780">
        <v>0</v>
      </c>
      <c r="BC780" t="s">
        <v>306</v>
      </c>
      <c r="BD780" t="s">
        <v>270</v>
      </c>
      <c r="BE780" t="s">
        <v>117</v>
      </c>
      <c r="BF780">
        <v>0</v>
      </c>
      <c r="BG780">
        <v>0</v>
      </c>
      <c r="BH780">
        <v>0</v>
      </c>
    </row>
    <row r="781" spans="1:61">
      <c r="A781" s="164" t="s">
        <v>2086</v>
      </c>
      <c r="B781" t="s">
        <v>2087</v>
      </c>
      <c r="C781">
        <v>0</v>
      </c>
      <c r="D781" t="s">
        <v>304</v>
      </c>
      <c r="E781">
        <v>0</v>
      </c>
      <c r="F781" t="s">
        <v>357</v>
      </c>
      <c r="G781" t="s">
        <v>78</v>
      </c>
      <c r="H781" t="s">
        <v>79</v>
      </c>
      <c r="I781" t="s">
        <v>80</v>
      </c>
      <c r="J781" t="s">
        <v>196</v>
      </c>
      <c r="K781" t="s">
        <v>13</v>
      </c>
      <c r="L781" t="s">
        <v>83</v>
      </c>
      <c r="M781" t="s">
        <v>84</v>
      </c>
      <c r="N781">
        <v>1</v>
      </c>
      <c r="O781" t="b">
        <v>1</v>
      </c>
      <c r="P781">
        <v>0</v>
      </c>
      <c r="BB781">
        <v>0</v>
      </c>
      <c r="BC781" t="s">
        <v>306</v>
      </c>
      <c r="BD781" t="s">
        <v>358</v>
      </c>
      <c r="BE781" t="s">
        <v>117</v>
      </c>
      <c r="BF781">
        <v>0</v>
      </c>
      <c r="BG781">
        <v>25</v>
      </c>
      <c r="BH781">
        <v>500</v>
      </c>
      <c r="BI781" t="s">
        <v>359</v>
      </c>
    </row>
    <row r="782" spans="1:61">
      <c r="A782" s="164" t="s">
        <v>2088</v>
      </c>
      <c r="B782" t="s">
        <v>2089</v>
      </c>
      <c r="C782">
        <v>0</v>
      </c>
      <c r="D782" t="s">
        <v>304</v>
      </c>
      <c r="E782">
        <v>0</v>
      </c>
      <c r="F782" t="s">
        <v>269</v>
      </c>
      <c r="G782" t="s">
        <v>103</v>
      </c>
      <c r="H782" t="s">
        <v>104</v>
      </c>
      <c r="I782" t="s">
        <v>80</v>
      </c>
      <c r="J782" t="s">
        <v>196</v>
      </c>
      <c r="K782" t="s">
        <v>13</v>
      </c>
      <c r="L782" t="s">
        <v>83</v>
      </c>
      <c r="M782" t="s">
        <v>84</v>
      </c>
      <c r="N782">
        <v>1</v>
      </c>
      <c r="O782" t="b">
        <v>0</v>
      </c>
      <c r="P782">
        <v>0</v>
      </c>
      <c r="BB782">
        <v>0</v>
      </c>
      <c r="BC782" t="s">
        <v>306</v>
      </c>
      <c r="BD782" t="s">
        <v>270</v>
      </c>
      <c r="BE782" t="s">
        <v>117</v>
      </c>
      <c r="BF782">
        <v>0</v>
      </c>
      <c r="BG782">
        <v>0</v>
      </c>
      <c r="BH782">
        <v>0</v>
      </c>
    </row>
    <row r="783" spans="1:61">
      <c r="A783" s="164" t="s">
        <v>2090</v>
      </c>
      <c r="B783" t="s">
        <v>2091</v>
      </c>
      <c r="C783">
        <v>0</v>
      </c>
      <c r="D783" t="s">
        <v>304</v>
      </c>
      <c r="E783">
        <v>0</v>
      </c>
      <c r="F783" t="s">
        <v>269</v>
      </c>
      <c r="G783" t="s">
        <v>103</v>
      </c>
      <c r="H783" t="s">
        <v>104</v>
      </c>
      <c r="I783" t="s">
        <v>80</v>
      </c>
      <c r="J783" t="s">
        <v>196</v>
      </c>
      <c r="K783" t="s">
        <v>13</v>
      </c>
      <c r="L783" t="s">
        <v>83</v>
      </c>
      <c r="M783" t="s">
        <v>84</v>
      </c>
      <c r="N783">
        <v>1</v>
      </c>
      <c r="O783" t="b">
        <v>0</v>
      </c>
      <c r="P783">
        <v>0</v>
      </c>
      <c r="BB783">
        <v>0</v>
      </c>
      <c r="BC783" t="s">
        <v>306</v>
      </c>
      <c r="BD783" t="s">
        <v>270</v>
      </c>
      <c r="BE783" t="s">
        <v>117</v>
      </c>
      <c r="BF783">
        <v>0</v>
      </c>
      <c r="BG783">
        <v>0</v>
      </c>
      <c r="BH783">
        <v>0</v>
      </c>
    </row>
    <row r="784" spans="1:61">
      <c r="A784" s="164" t="s">
        <v>2092</v>
      </c>
      <c r="B784" t="s">
        <v>2093</v>
      </c>
      <c r="C784">
        <v>0</v>
      </c>
      <c r="D784" t="s">
        <v>304</v>
      </c>
      <c r="E784">
        <v>0</v>
      </c>
      <c r="F784" t="s">
        <v>357</v>
      </c>
      <c r="G784" t="s">
        <v>78</v>
      </c>
      <c r="H784" t="s">
        <v>79</v>
      </c>
      <c r="I784" t="s">
        <v>80</v>
      </c>
      <c r="J784" t="s">
        <v>196</v>
      </c>
      <c r="K784" t="s">
        <v>13</v>
      </c>
      <c r="L784" t="s">
        <v>83</v>
      </c>
      <c r="M784" t="s">
        <v>84</v>
      </c>
      <c r="N784">
        <v>1</v>
      </c>
      <c r="O784" t="b">
        <v>1</v>
      </c>
      <c r="P784">
        <v>0</v>
      </c>
      <c r="BB784">
        <v>0</v>
      </c>
      <c r="BC784" t="s">
        <v>306</v>
      </c>
      <c r="BD784" t="s">
        <v>358</v>
      </c>
      <c r="BE784" t="s">
        <v>117</v>
      </c>
      <c r="BF784">
        <v>0</v>
      </c>
      <c r="BG784">
        <v>30</v>
      </c>
      <c r="BH784">
        <v>500</v>
      </c>
      <c r="BI784" t="s">
        <v>359</v>
      </c>
    </row>
    <row r="785" spans="1:61">
      <c r="A785" s="164" t="s">
        <v>2094</v>
      </c>
      <c r="B785" t="s">
        <v>2095</v>
      </c>
      <c r="C785">
        <v>0</v>
      </c>
      <c r="D785" t="s">
        <v>304</v>
      </c>
      <c r="E785">
        <v>0</v>
      </c>
      <c r="F785" t="s">
        <v>430</v>
      </c>
      <c r="G785" t="s">
        <v>78</v>
      </c>
      <c r="H785" t="s">
        <v>79</v>
      </c>
      <c r="I785" t="s">
        <v>80</v>
      </c>
      <c r="J785" t="s">
        <v>196</v>
      </c>
      <c r="K785" t="s">
        <v>13</v>
      </c>
      <c r="L785" t="s">
        <v>83</v>
      </c>
      <c r="M785" t="s">
        <v>606</v>
      </c>
      <c r="N785">
        <v>1</v>
      </c>
      <c r="O785" t="b">
        <v>1</v>
      </c>
      <c r="P785">
        <v>0</v>
      </c>
      <c r="BB785">
        <v>0</v>
      </c>
      <c r="BC785" t="s">
        <v>306</v>
      </c>
      <c r="BD785" t="s">
        <v>431</v>
      </c>
      <c r="BE785" t="s">
        <v>117</v>
      </c>
      <c r="BF785">
        <v>0</v>
      </c>
      <c r="BG785">
        <v>15</v>
      </c>
      <c r="BH785">
        <v>2</v>
      </c>
      <c r="BI785" t="s">
        <v>435</v>
      </c>
    </row>
    <row r="786" spans="1:61">
      <c r="A786" s="164" t="s">
        <v>2096</v>
      </c>
      <c r="B786" t="s">
        <v>2097</v>
      </c>
      <c r="C786">
        <v>0</v>
      </c>
      <c r="D786" t="s">
        <v>304</v>
      </c>
      <c r="E786">
        <v>0</v>
      </c>
      <c r="F786" t="s">
        <v>430</v>
      </c>
      <c r="G786" t="s">
        <v>78</v>
      </c>
      <c r="H786" t="s">
        <v>79</v>
      </c>
      <c r="I786" t="s">
        <v>80</v>
      </c>
      <c r="J786" t="s">
        <v>196</v>
      </c>
      <c r="K786" t="s">
        <v>13</v>
      </c>
      <c r="L786" t="s">
        <v>83</v>
      </c>
      <c r="M786" t="s">
        <v>606</v>
      </c>
      <c r="N786">
        <v>1</v>
      </c>
      <c r="O786" t="b">
        <v>1</v>
      </c>
      <c r="P786">
        <v>0</v>
      </c>
      <c r="BB786">
        <v>0</v>
      </c>
      <c r="BC786" t="s">
        <v>306</v>
      </c>
      <c r="BD786" t="s">
        <v>431</v>
      </c>
      <c r="BE786" t="s">
        <v>117</v>
      </c>
      <c r="BF786">
        <v>0</v>
      </c>
      <c r="BG786">
        <v>15</v>
      </c>
      <c r="BH786">
        <v>2</v>
      </c>
      <c r="BI786" t="s">
        <v>435</v>
      </c>
    </row>
    <row r="787" spans="1:61">
      <c r="A787" s="164" t="s">
        <v>2098</v>
      </c>
      <c r="B787" t="s">
        <v>2099</v>
      </c>
      <c r="C787">
        <v>0</v>
      </c>
      <c r="D787" t="s">
        <v>304</v>
      </c>
      <c r="E787">
        <v>0</v>
      </c>
      <c r="F787" t="s">
        <v>430</v>
      </c>
      <c r="G787" t="s">
        <v>78</v>
      </c>
      <c r="H787" t="s">
        <v>79</v>
      </c>
      <c r="I787" t="s">
        <v>80</v>
      </c>
      <c r="J787" t="s">
        <v>196</v>
      </c>
      <c r="K787" t="s">
        <v>13</v>
      </c>
      <c r="L787" t="s">
        <v>83</v>
      </c>
      <c r="M787" t="s">
        <v>84</v>
      </c>
      <c r="N787">
        <v>1</v>
      </c>
      <c r="O787" t="b">
        <v>1</v>
      </c>
      <c r="P787">
        <v>0</v>
      </c>
      <c r="BB787">
        <v>0</v>
      </c>
      <c r="BC787" t="s">
        <v>306</v>
      </c>
      <c r="BD787" t="s">
        <v>431</v>
      </c>
      <c r="BE787" t="s">
        <v>117</v>
      </c>
      <c r="BF787">
        <v>0</v>
      </c>
      <c r="BG787">
        <v>15</v>
      </c>
      <c r="BH787">
        <v>2</v>
      </c>
      <c r="BI787" t="s">
        <v>435</v>
      </c>
    </row>
    <row r="788" spans="1:61">
      <c r="A788" s="164" t="s">
        <v>2100</v>
      </c>
      <c r="B788" t="s">
        <v>2101</v>
      </c>
      <c r="C788">
        <v>0</v>
      </c>
      <c r="D788" t="s">
        <v>304</v>
      </c>
      <c r="E788">
        <v>0</v>
      </c>
      <c r="F788" t="s">
        <v>430</v>
      </c>
      <c r="G788" t="s">
        <v>78</v>
      </c>
      <c r="H788" t="s">
        <v>79</v>
      </c>
      <c r="I788" t="s">
        <v>80</v>
      </c>
      <c r="J788" t="s">
        <v>196</v>
      </c>
      <c r="K788" t="s">
        <v>13</v>
      </c>
      <c r="L788" t="s">
        <v>83</v>
      </c>
      <c r="M788" t="s">
        <v>84</v>
      </c>
      <c r="N788">
        <v>1</v>
      </c>
      <c r="O788" t="b">
        <v>1</v>
      </c>
      <c r="P788">
        <v>0</v>
      </c>
      <c r="BB788">
        <v>0</v>
      </c>
      <c r="BC788" t="s">
        <v>306</v>
      </c>
      <c r="BD788" t="s">
        <v>431</v>
      </c>
      <c r="BE788" t="s">
        <v>117</v>
      </c>
      <c r="BF788">
        <v>0</v>
      </c>
      <c r="BG788">
        <v>15</v>
      </c>
      <c r="BH788">
        <v>2</v>
      </c>
      <c r="BI788" t="s">
        <v>435</v>
      </c>
    </row>
    <row r="789" spans="1:61">
      <c r="A789" s="164" t="s">
        <v>2102</v>
      </c>
      <c r="B789" t="s">
        <v>2103</v>
      </c>
      <c r="C789">
        <v>0</v>
      </c>
      <c r="D789" t="s">
        <v>304</v>
      </c>
      <c r="E789">
        <v>0</v>
      </c>
      <c r="F789" t="s">
        <v>430</v>
      </c>
      <c r="G789" t="s">
        <v>78</v>
      </c>
      <c r="H789" t="s">
        <v>79</v>
      </c>
      <c r="I789" t="s">
        <v>80</v>
      </c>
      <c r="J789" t="s">
        <v>196</v>
      </c>
      <c r="K789" t="s">
        <v>13</v>
      </c>
      <c r="L789" t="s">
        <v>83</v>
      </c>
      <c r="M789" t="s">
        <v>84</v>
      </c>
      <c r="N789">
        <v>1</v>
      </c>
      <c r="O789" t="b">
        <v>1</v>
      </c>
      <c r="P789">
        <v>0</v>
      </c>
      <c r="BB789">
        <v>0</v>
      </c>
      <c r="BC789" t="s">
        <v>306</v>
      </c>
      <c r="BD789" t="s">
        <v>431</v>
      </c>
      <c r="BE789" t="s">
        <v>117</v>
      </c>
      <c r="BF789">
        <v>0</v>
      </c>
      <c r="BG789">
        <v>15</v>
      </c>
      <c r="BH789">
        <v>2</v>
      </c>
      <c r="BI789" t="s">
        <v>435</v>
      </c>
    </row>
    <row r="790" spans="1:61">
      <c r="A790" s="164" t="s">
        <v>2104</v>
      </c>
      <c r="B790" t="s">
        <v>2105</v>
      </c>
      <c r="C790">
        <v>0</v>
      </c>
      <c r="D790" t="s">
        <v>304</v>
      </c>
      <c r="E790">
        <v>0</v>
      </c>
      <c r="F790" t="s">
        <v>430</v>
      </c>
      <c r="G790" t="s">
        <v>78</v>
      </c>
      <c r="H790" t="s">
        <v>79</v>
      </c>
      <c r="I790" t="s">
        <v>80</v>
      </c>
      <c r="J790" t="s">
        <v>196</v>
      </c>
      <c r="K790" t="s">
        <v>13</v>
      </c>
      <c r="L790" t="s">
        <v>83</v>
      </c>
      <c r="M790" t="s">
        <v>84</v>
      </c>
      <c r="N790">
        <v>1</v>
      </c>
      <c r="O790" t="b">
        <v>1</v>
      </c>
      <c r="P790">
        <v>0</v>
      </c>
      <c r="BB790">
        <v>0</v>
      </c>
      <c r="BC790" t="s">
        <v>306</v>
      </c>
      <c r="BD790" t="s">
        <v>431</v>
      </c>
      <c r="BE790" t="s">
        <v>117</v>
      </c>
      <c r="BF790">
        <v>0</v>
      </c>
      <c r="BG790">
        <v>15</v>
      </c>
      <c r="BH790">
        <v>2</v>
      </c>
      <c r="BI790" t="s">
        <v>435</v>
      </c>
    </row>
    <row r="791" spans="1:61">
      <c r="A791" s="164" t="s">
        <v>2106</v>
      </c>
      <c r="B791" t="s">
        <v>2107</v>
      </c>
      <c r="C791">
        <v>0</v>
      </c>
      <c r="D791" t="s">
        <v>304</v>
      </c>
      <c r="E791">
        <v>0</v>
      </c>
      <c r="F791" t="s">
        <v>313</v>
      </c>
      <c r="G791" t="s">
        <v>78</v>
      </c>
      <c r="H791" t="s">
        <v>79</v>
      </c>
      <c r="I791" t="s">
        <v>80</v>
      </c>
      <c r="J791" t="s">
        <v>196</v>
      </c>
      <c r="K791" t="s">
        <v>13</v>
      </c>
      <c r="L791" t="s">
        <v>83</v>
      </c>
      <c r="M791" t="s">
        <v>205</v>
      </c>
      <c r="N791">
        <v>1</v>
      </c>
      <c r="O791" t="b">
        <v>1</v>
      </c>
      <c r="P791">
        <v>0</v>
      </c>
      <c r="BB791">
        <v>0</v>
      </c>
      <c r="BC791" t="s">
        <v>306</v>
      </c>
      <c r="BD791" t="s">
        <v>314</v>
      </c>
      <c r="BE791" t="s">
        <v>117</v>
      </c>
      <c r="BF791">
        <v>0</v>
      </c>
      <c r="BG791">
        <v>45</v>
      </c>
      <c r="BH791">
        <v>300</v>
      </c>
      <c r="BI791" t="s">
        <v>315</v>
      </c>
    </row>
    <row r="792" spans="1:61">
      <c r="A792" s="164" t="s">
        <v>2108</v>
      </c>
      <c r="B792" t="s">
        <v>2109</v>
      </c>
      <c r="C792">
        <v>0</v>
      </c>
      <c r="D792" t="s">
        <v>304</v>
      </c>
      <c r="E792">
        <v>0</v>
      </c>
      <c r="F792" t="s">
        <v>1672</v>
      </c>
      <c r="G792" t="s">
        <v>78</v>
      </c>
      <c r="H792" t="s">
        <v>79</v>
      </c>
      <c r="I792" t="s">
        <v>80</v>
      </c>
      <c r="J792" t="s">
        <v>196</v>
      </c>
      <c r="K792" t="s">
        <v>13</v>
      </c>
      <c r="L792" t="s">
        <v>83</v>
      </c>
      <c r="M792" t="s">
        <v>84</v>
      </c>
      <c r="N792">
        <v>1</v>
      </c>
      <c r="O792" t="b">
        <v>1</v>
      </c>
      <c r="P792">
        <v>0</v>
      </c>
      <c r="BB792">
        <v>0</v>
      </c>
      <c r="BC792" t="s">
        <v>306</v>
      </c>
      <c r="BD792" t="s">
        <v>1673</v>
      </c>
      <c r="BE792" t="s">
        <v>117</v>
      </c>
      <c r="BF792">
        <v>0</v>
      </c>
      <c r="BG792">
        <v>15</v>
      </c>
      <c r="BH792">
        <v>30000</v>
      </c>
      <c r="BI792" t="s">
        <v>593</v>
      </c>
    </row>
    <row r="793" spans="1:61">
      <c r="A793" s="164" t="s">
        <v>2110</v>
      </c>
      <c r="B793" t="s">
        <v>2111</v>
      </c>
      <c r="C793">
        <v>0</v>
      </c>
      <c r="D793" t="s">
        <v>304</v>
      </c>
      <c r="E793">
        <v>0</v>
      </c>
      <c r="F793" t="s">
        <v>1672</v>
      </c>
      <c r="G793" t="s">
        <v>78</v>
      </c>
      <c r="H793" t="s">
        <v>79</v>
      </c>
      <c r="I793" t="s">
        <v>80</v>
      </c>
      <c r="J793" t="s">
        <v>196</v>
      </c>
      <c r="K793" t="s">
        <v>13</v>
      </c>
      <c r="L793" t="s">
        <v>83</v>
      </c>
      <c r="M793" t="s">
        <v>84</v>
      </c>
      <c r="N793">
        <v>1</v>
      </c>
      <c r="O793" t="b">
        <v>1</v>
      </c>
      <c r="P793">
        <v>0</v>
      </c>
      <c r="BB793">
        <v>0</v>
      </c>
      <c r="BC793" t="s">
        <v>306</v>
      </c>
      <c r="BD793" t="s">
        <v>1673</v>
      </c>
      <c r="BE793" t="s">
        <v>117</v>
      </c>
      <c r="BF793">
        <v>0</v>
      </c>
      <c r="BG793">
        <v>15</v>
      </c>
      <c r="BH793">
        <v>30000</v>
      </c>
      <c r="BI793" t="s">
        <v>593</v>
      </c>
    </row>
    <row r="794" spans="1:61">
      <c r="A794" s="164" t="s">
        <v>2112</v>
      </c>
      <c r="B794" t="s">
        <v>2113</v>
      </c>
      <c r="C794">
        <v>0</v>
      </c>
      <c r="D794" t="s">
        <v>304</v>
      </c>
      <c r="E794">
        <v>0</v>
      </c>
      <c r="F794" t="s">
        <v>342</v>
      </c>
      <c r="G794" t="s">
        <v>78</v>
      </c>
      <c r="H794" t="s">
        <v>79</v>
      </c>
      <c r="I794" t="s">
        <v>80</v>
      </c>
      <c r="J794" t="s">
        <v>196</v>
      </c>
      <c r="K794" t="s">
        <v>13</v>
      </c>
      <c r="L794" t="s">
        <v>83</v>
      </c>
      <c r="M794" t="s">
        <v>84</v>
      </c>
      <c r="N794">
        <v>1</v>
      </c>
      <c r="O794" t="b">
        <v>1</v>
      </c>
      <c r="P794">
        <v>0</v>
      </c>
      <c r="BB794">
        <v>0</v>
      </c>
      <c r="BC794" t="s">
        <v>306</v>
      </c>
      <c r="BD794" t="s">
        <v>343</v>
      </c>
      <c r="BE794" t="s">
        <v>117</v>
      </c>
      <c r="BF794">
        <v>0</v>
      </c>
      <c r="BG794">
        <v>25</v>
      </c>
      <c r="BH794">
        <v>10000</v>
      </c>
      <c r="BI794" t="s">
        <v>344</v>
      </c>
    </row>
    <row r="795" spans="1:61">
      <c r="A795" s="164" t="s">
        <v>2114</v>
      </c>
      <c r="B795" t="s">
        <v>2115</v>
      </c>
      <c r="C795">
        <v>0</v>
      </c>
      <c r="D795" t="s">
        <v>304</v>
      </c>
      <c r="E795">
        <v>0</v>
      </c>
      <c r="F795" t="s">
        <v>342</v>
      </c>
      <c r="G795" t="s">
        <v>78</v>
      </c>
      <c r="H795" t="s">
        <v>79</v>
      </c>
      <c r="I795" t="s">
        <v>80</v>
      </c>
      <c r="J795" t="s">
        <v>196</v>
      </c>
      <c r="K795" t="s">
        <v>13</v>
      </c>
      <c r="L795" t="s">
        <v>83</v>
      </c>
      <c r="M795" t="s">
        <v>84</v>
      </c>
      <c r="N795">
        <v>1</v>
      </c>
      <c r="O795" t="b">
        <v>1</v>
      </c>
      <c r="P795">
        <v>0</v>
      </c>
      <c r="BB795">
        <v>0</v>
      </c>
      <c r="BC795" t="s">
        <v>306</v>
      </c>
      <c r="BD795" t="s">
        <v>343</v>
      </c>
      <c r="BE795" t="s">
        <v>117</v>
      </c>
      <c r="BF795">
        <v>0</v>
      </c>
      <c r="BG795">
        <v>25</v>
      </c>
      <c r="BH795">
        <v>10000</v>
      </c>
      <c r="BI795" t="s">
        <v>344</v>
      </c>
    </row>
    <row r="796" spans="1:61">
      <c r="A796" s="164" t="s">
        <v>2116</v>
      </c>
      <c r="B796" t="s">
        <v>2117</v>
      </c>
      <c r="C796">
        <v>0</v>
      </c>
      <c r="D796" t="s">
        <v>304</v>
      </c>
      <c r="E796">
        <v>0</v>
      </c>
      <c r="F796" t="s">
        <v>357</v>
      </c>
      <c r="G796" t="s">
        <v>78</v>
      </c>
      <c r="H796" t="s">
        <v>79</v>
      </c>
      <c r="I796" t="s">
        <v>80</v>
      </c>
      <c r="J796" t="s">
        <v>196</v>
      </c>
      <c r="K796" t="s">
        <v>13</v>
      </c>
      <c r="L796" t="s">
        <v>83</v>
      </c>
      <c r="M796" t="s">
        <v>84</v>
      </c>
      <c r="N796">
        <v>1</v>
      </c>
      <c r="O796" t="b">
        <v>1</v>
      </c>
      <c r="P796">
        <v>0</v>
      </c>
      <c r="BB796">
        <v>0</v>
      </c>
      <c r="BC796" t="s">
        <v>306</v>
      </c>
      <c r="BD796" t="s">
        <v>358</v>
      </c>
      <c r="BE796" t="s">
        <v>117</v>
      </c>
      <c r="BF796">
        <v>0</v>
      </c>
      <c r="BG796">
        <v>25</v>
      </c>
      <c r="BH796">
        <v>500</v>
      </c>
      <c r="BI796" t="s">
        <v>359</v>
      </c>
    </row>
    <row r="797" spans="1:61">
      <c r="A797" s="164" t="s">
        <v>2118</v>
      </c>
      <c r="B797" t="s">
        <v>2119</v>
      </c>
      <c r="C797">
        <v>0</v>
      </c>
      <c r="D797" t="s">
        <v>304</v>
      </c>
      <c r="E797">
        <v>0</v>
      </c>
      <c r="F797" t="s">
        <v>313</v>
      </c>
      <c r="G797" t="s">
        <v>78</v>
      </c>
      <c r="H797" t="s">
        <v>79</v>
      </c>
      <c r="I797" t="s">
        <v>80</v>
      </c>
      <c r="J797" t="s">
        <v>196</v>
      </c>
      <c r="K797" t="s">
        <v>13</v>
      </c>
      <c r="L797" t="s">
        <v>83</v>
      </c>
      <c r="M797" t="s">
        <v>205</v>
      </c>
      <c r="N797">
        <v>1</v>
      </c>
      <c r="O797" t="b">
        <v>1</v>
      </c>
      <c r="P797">
        <v>0</v>
      </c>
      <c r="BB797">
        <v>0</v>
      </c>
      <c r="BC797" t="s">
        <v>306</v>
      </c>
      <c r="BD797" t="s">
        <v>314</v>
      </c>
      <c r="BE797" t="s">
        <v>117</v>
      </c>
      <c r="BF797">
        <v>0</v>
      </c>
      <c r="BG797">
        <v>45</v>
      </c>
      <c r="BH797">
        <v>1000</v>
      </c>
      <c r="BI797" t="s">
        <v>315</v>
      </c>
    </row>
    <row r="798" spans="1:61">
      <c r="A798" s="164" t="s">
        <v>2120</v>
      </c>
      <c r="B798" t="s">
        <v>2121</v>
      </c>
      <c r="C798">
        <v>0</v>
      </c>
      <c r="D798" t="s">
        <v>304</v>
      </c>
      <c r="E798">
        <v>0</v>
      </c>
      <c r="F798" t="s">
        <v>305</v>
      </c>
      <c r="G798" t="s">
        <v>78</v>
      </c>
      <c r="H798" t="s">
        <v>79</v>
      </c>
      <c r="I798" t="s">
        <v>80</v>
      </c>
      <c r="J798" t="s">
        <v>196</v>
      </c>
      <c r="K798" t="s">
        <v>13</v>
      </c>
      <c r="L798" t="s">
        <v>83</v>
      </c>
      <c r="M798" t="s">
        <v>84</v>
      </c>
      <c r="N798">
        <v>1</v>
      </c>
      <c r="O798" t="b">
        <v>1</v>
      </c>
      <c r="P798">
        <v>0</v>
      </c>
      <c r="BB798">
        <v>0</v>
      </c>
      <c r="BC798" t="s">
        <v>306</v>
      </c>
      <c r="BD798" t="s">
        <v>307</v>
      </c>
      <c r="BE798" t="s">
        <v>117</v>
      </c>
      <c r="BF798">
        <v>0</v>
      </c>
      <c r="BG798">
        <v>25</v>
      </c>
      <c r="BH798">
        <v>10000</v>
      </c>
      <c r="BI798" t="s">
        <v>308</v>
      </c>
    </row>
    <row r="799" spans="1:61">
      <c r="A799" s="164" t="s">
        <v>2122</v>
      </c>
      <c r="B799" t="s">
        <v>2123</v>
      </c>
      <c r="C799">
        <v>0</v>
      </c>
      <c r="D799" t="s">
        <v>304</v>
      </c>
      <c r="E799">
        <v>0</v>
      </c>
      <c r="F799" t="s">
        <v>269</v>
      </c>
      <c r="G799" t="s">
        <v>103</v>
      </c>
      <c r="H799" t="s">
        <v>104</v>
      </c>
      <c r="I799" t="s">
        <v>80</v>
      </c>
      <c r="J799" t="s">
        <v>196</v>
      </c>
      <c r="K799" t="s">
        <v>13</v>
      </c>
      <c r="L799" t="s">
        <v>83</v>
      </c>
      <c r="M799" t="s">
        <v>84</v>
      </c>
      <c r="N799">
        <v>1</v>
      </c>
      <c r="O799" t="b">
        <v>0</v>
      </c>
      <c r="P799">
        <v>0</v>
      </c>
      <c r="BB799">
        <v>0</v>
      </c>
      <c r="BC799" t="s">
        <v>306</v>
      </c>
      <c r="BD799" t="s">
        <v>270</v>
      </c>
      <c r="BE799" t="s">
        <v>117</v>
      </c>
      <c r="BF799">
        <v>0</v>
      </c>
      <c r="BG799">
        <v>0</v>
      </c>
      <c r="BH799">
        <v>0</v>
      </c>
    </row>
    <row r="800" spans="1:61">
      <c r="A800" s="164" t="s">
        <v>2124</v>
      </c>
      <c r="B800" t="s">
        <v>2125</v>
      </c>
      <c r="C800">
        <v>0</v>
      </c>
      <c r="D800" t="s">
        <v>304</v>
      </c>
      <c r="E800">
        <v>0</v>
      </c>
      <c r="F800" t="s">
        <v>349</v>
      </c>
      <c r="G800" t="s">
        <v>78</v>
      </c>
      <c r="H800" t="s">
        <v>79</v>
      </c>
      <c r="I800" t="s">
        <v>80</v>
      </c>
      <c r="J800" t="s">
        <v>196</v>
      </c>
      <c r="K800" t="s">
        <v>13</v>
      </c>
      <c r="L800" t="s">
        <v>83</v>
      </c>
      <c r="M800" t="s">
        <v>84</v>
      </c>
      <c r="N800">
        <v>1</v>
      </c>
      <c r="O800" t="b">
        <v>1</v>
      </c>
      <c r="P800">
        <v>0</v>
      </c>
      <c r="BB800">
        <v>0</v>
      </c>
      <c r="BC800" t="s">
        <v>306</v>
      </c>
      <c r="BD800" t="s">
        <v>350</v>
      </c>
      <c r="BE800" t="s">
        <v>117</v>
      </c>
      <c r="BF800">
        <v>0</v>
      </c>
      <c r="BG800">
        <v>25</v>
      </c>
      <c r="BH800">
        <v>10000</v>
      </c>
      <c r="BI800" t="s">
        <v>344</v>
      </c>
    </row>
    <row r="801" spans="1:61">
      <c r="A801" s="164" t="s">
        <v>2126</v>
      </c>
      <c r="B801" t="s">
        <v>2127</v>
      </c>
      <c r="C801">
        <v>0</v>
      </c>
      <c r="D801" t="s">
        <v>304</v>
      </c>
      <c r="E801">
        <v>0</v>
      </c>
      <c r="F801" t="s">
        <v>349</v>
      </c>
      <c r="G801" t="s">
        <v>78</v>
      </c>
      <c r="H801" t="s">
        <v>79</v>
      </c>
      <c r="I801" t="s">
        <v>80</v>
      </c>
      <c r="J801" t="s">
        <v>196</v>
      </c>
      <c r="K801" t="s">
        <v>13</v>
      </c>
      <c r="L801" t="s">
        <v>83</v>
      </c>
      <c r="M801" t="s">
        <v>84</v>
      </c>
      <c r="N801">
        <v>1</v>
      </c>
      <c r="O801" t="b">
        <v>1</v>
      </c>
      <c r="P801">
        <v>0</v>
      </c>
      <c r="BB801">
        <v>0</v>
      </c>
      <c r="BC801" t="s">
        <v>306</v>
      </c>
      <c r="BD801" t="s">
        <v>350</v>
      </c>
      <c r="BE801" t="s">
        <v>117</v>
      </c>
      <c r="BF801">
        <v>0</v>
      </c>
      <c r="BG801">
        <v>25</v>
      </c>
      <c r="BH801">
        <v>10000</v>
      </c>
      <c r="BI801" t="s">
        <v>344</v>
      </c>
    </row>
    <row r="802" spans="1:61">
      <c r="A802" s="164" t="s">
        <v>2128</v>
      </c>
      <c r="B802" t="s">
        <v>2129</v>
      </c>
      <c r="C802">
        <v>0</v>
      </c>
      <c r="D802" t="s">
        <v>304</v>
      </c>
      <c r="E802">
        <v>0</v>
      </c>
      <c r="F802" t="s">
        <v>349</v>
      </c>
      <c r="G802" t="s">
        <v>78</v>
      </c>
      <c r="H802" t="s">
        <v>79</v>
      </c>
      <c r="I802" t="s">
        <v>80</v>
      </c>
      <c r="J802" t="s">
        <v>196</v>
      </c>
      <c r="K802" t="s">
        <v>13</v>
      </c>
      <c r="L802" t="s">
        <v>83</v>
      </c>
      <c r="M802" t="s">
        <v>84</v>
      </c>
      <c r="N802">
        <v>1</v>
      </c>
      <c r="O802" t="b">
        <v>1</v>
      </c>
      <c r="P802">
        <v>0</v>
      </c>
      <c r="BB802">
        <v>0</v>
      </c>
      <c r="BC802" t="s">
        <v>306</v>
      </c>
      <c r="BD802" t="s">
        <v>350</v>
      </c>
      <c r="BE802" t="s">
        <v>117</v>
      </c>
      <c r="BF802">
        <v>0</v>
      </c>
      <c r="BG802">
        <v>25</v>
      </c>
      <c r="BH802">
        <v>10000</v>
      </c>
      <c r="BI802" t="s">
        <v>344</v>
      </c>
    </row>
    <row r="803" spans="1:61">
      <c r="A803" s="164" t="s">
        <v>2130</v>
      </c>
      <c r="B803" t="s">
        <v>2131</v>
      </c>
      <c r="C803">
        <v>0</v>
      </c>
      <c r="D803" t="s">
        <v>304</v>
      </c>
      <c r="E803">
        <v>0</v>
      </c>
      <c r="F803" t="s">
        <v>349</v>
      </c>
      <c r="G803" t="s">
        <v>78</v>
      </c>
      <c r="H803" t="s">
        <v>79</v>
      </c>
      <c r="I803" t="s">
        <v>80</v>
      </c>
      <c r="J803" t="s">
        <v>196</v>
      </c>
      <c r="K803" t="s">
        <v>13</v>
      </c>
      <c r="L803" t="s">
        <v>83</v>
      </c>
      <c r="M803" t="s">
        <v>84</v>
      </c>
      <c r="N803">
        <v>1</v>
      </c>
      <c r="O803" t="b">
        <v>1</v>
      </c>
      <c r="P803">
        <v>0</v>
      </c>
      <c r="BB803">
        <v>0</v>
      </c>
      <c r="BC803" t="s">
        <v>306</v>
      </c>
      <c r="BD803" t="s">
        <v>350</v>
      </c>
      <c r="BE803" t="s">
        <v>117</v>
      </c>
      <c r="BF803">
        <v>0</v>
      </c>
      <c r="BG803">
        <v>25</v>
      </c>
      <c r="BH803">
        <v>10000</v>
      </c>
      <c r="BI803" t="s">
        <v>344</v>
      </c>
    </row>
    <row r="804" spans="1:61">
      <c r="A804" s="164" t="s">
        <v>2132</v>
      </c>
      <c r="B804" t="s">
        <v>2133</v>
      </c>
      <c r="C804">
        <v>0</v>
      </c>
      <c r="D804" t="s">
        <v>194</v>
      </c>
      <c r="E804">
        <v>0</v>
      </c>
      <c r="F804" t="s">
        <v>195</v>
      </c>
      <c r="G804" t="s">
        <v>78</v>
      </c>
      <c r="H804" t="s">
        <v>79</v>
      </c>
      <c r="I804" t="s">
        <v>80</v>
      </c>
      <c r="J804" t="s">
        <v>196</v>
      </c>
      <c r="K804" t="s">
        <v>13</v>
      </c>
      <c r="L804" t="s">
        <v>83</v>
      </c>
      <c r="M804" t="s">
        <v>205</v>
      </c>
      <c r="N804">
        <v>1</v>
      </c>
      <c r="O804" t="b">
        <v>1</v>
      </c>
      <c r="P804">
        <v>0</v>
      </c>
      <c r="BB804">
        <v>0</v>
      </c>
      <c r="BC804" t="s">
        <v>197</v>
      </c>
      <c r="BD804" t="s">
        <v>198</v>
      </c>
      <c r="BE804" t="s">
        <v>117</v>
      </c>
      <c r="BF804">
        <v>0</v>
      </c>
      <c r="BG804">
        <v>0</v>
      </c>
      <c r="BH804">
        <v>0</v>
      </c>
    </row>
    <row r="805" spans="1:61">
      <c r="A805" s="164" t="s">
        <v>2134</v>
      </c>
      <c r="B805" t="s">
        <v>2135</v>
      </c>
      <c r="C805">
        <v>0</v>
      </c>
      <c r="D805" t="s">
        <v>194</v>
      </c>
      <c r="E805">
        <v>0</v>
      </c>
      <c r="F805" t="s">
        <v>195</v>
      </c>
      <c r="G805" t="s">
        <v>78</v>
      </c>
      <c r="H805" t="s">
        <v>79</v>
      </c>
      <c r="I805" t="s">
        <v>80</v>
      </c>
      <c r="J805" t="s">
        <v>196</v>
      </c>
      <c r="K805" t="s">
        <v>13</v>
      </c>
      <c r="L805" t="s">
        <v>83</v>
      </c>
      <c r="M805" t="s">
        <v>205</v>
      </c>
      <c r="N805">
        <v>1</v>
      </c>
      <c r="O805" t="b">
        <v>1</v>
      </c>
      <c r="P805">
        <v>0</v>
      </c>
      <c r="BB805">
        <v>0</v>
      </c>
      <c r="BC805" t="s">
        <v>197</v>
      </c>
      <c r="BD805" t="s">
        <v>198</v>
      </c>
      <c r="BE805" t="s">
        <v>117</v>
      </c>
      <c r="BF805">
        <v>0</v>
      </c>
      <c r="BG805">
        <v>0</v>
      </c>
      <c r="BH805">
        <v>0</v>
      </c>
    </row>
    <row r="806" spans="1:61">
      <c r="A806" s="164" t="s">
        <v>2136</v>
      </c>
      <c r="B806" t="s">
        <v>2137</v>
      </c>
      <c r="C806">
        <v>0</v>
      </c>
      <c r="D806" t="s">
        <v>194</v>
      </c>
      <c r="E806">
        <v>0</v>
      </c>
      <c r="F806" t="s">
        <v>552</v>
      </c>
      <c r="G806" t="s">
        <v>78</v>
      </c>
      <c r="H806" t="s">
        <v>79</v>
      </c>
      <c r="I806" t="s">
        <v>80</v>
      </c>
      <c r="J806" t="s">
        <v>196</v>
      </c>
      <c r="K806" t="s">
        <v>13</v>
      </c>
      <c r="L806" t="s">
        <v>83</v>
      </c>
      <c r="M806" t="s">
        <v>205</v>
      </c>
      <c r="N806">
        <v>1</v>
      </c>
      <c r="O806" t="b">
        <v>1</v>
      </c>
      <c r="P806">
        <v>0</v>
      </c>
      <c r="BB806">
        <v>0</v>
      </c>
      <c r="BC806" t="s">
        <v>197</v>
      </c>
      <c r="BD806" t="s">
        <v>553</v>
      </c>
      <c r="BE806" t="s">
        <v>117</v>
      </c>
      <c r="BF806">
        <v>0</v>
      </c>
      <c r="BG806">
        <v>0</v>
      </c>
      <c r="BH806">
        <v>0</v>
      </c>
    </row>
    <row r="807" spans="1:61">
      <c r="A807" s="164" t="s">
        <v>2138</v>
      </c>
      <c r="B807" t="s">
        <v>2139</v>
      </c>
      <c r="C807">
        <v>0</v>
      </c>
      <c r="D807" t="s">
        <v>194</v>
      </c>
      <c r="E807">
        <v>0</v>
      </c>
      <c r="F807" t="s">
        <v>195</v>
      </c>
      <c r="G807" t="s">
        <v>78</v>
      </c>
      <c r="H807" t="s">
        <v>79</v>
      </c>
      <c r="I807" t="s">
        <v>80</v>
      </c>
      <c r="J807" t="s">
        <v>196</v>
      </c>
      <c r="K807" t="s">
        <v>13</v>
      </c>
      <c r="L807" t="s">
        <v>83</v>
      </c>
      <c r="M807" t="s">
        <v>205</v>
      </c>
      <c r="N807">
        <v>1</v>
      </c>
      <c r="O807" t="b">
        <v>1</v>
      </c>
      <c r="P807">
        <v>0</v>
      </c>
      <c r="BB807">
        <v>0</v>
      </c>
      <c r="BC807" t="s">
        <v>197</v>
      </c>
      <c r="BD807" t="s">
        <v>198</v>
      </c>
      <c r="BE807" t="s">
        <v>117</v>
      </c>
      <c r="BF807">
        <v>0</v>
      </c>
      <c r="BG807">
        <v>0</v>
      </c>
      <c r="BH807">
        <v>0</v>
      </c>
    </row>
    <row r="808" spans="1:61">
      <c r="A808" s="164" t="s">
        <v>2140</v>
      </c>
      <c r="B808" t="s">
        <v>2141</v>
      </c>
      <c r="C808">
        <v>0</v>
      </c>
      <c r="D808" t="s">
        <v>194</v>
      </c>
      <c r="E808">
        <v>0</v>
      </c>
      <c r="F808" t="s">
        <v>195</v>
      </c>
      <c r="G808" t="s">
        <v>78</v>
      </c>
      <c r="H808" t="s">
        <v>79</v>
      </c>
      <c r="I808" t="s">
        <v>80</v>
      </c>
      <c r="J808" t="s">
        <v>196</v>
      </c>
      <c r="K808" t="s">
        <v>13</v>
      </c>
      <c r="L808" t="s">
        <v>83</v>
      </c>
      <c r="M808" t="s">
        <v>215</v>
      </c>
      <c r="N808">
        <v>1</v>
      </c>
      <c r="O808" t="b">
        <v>1</v>
      </c>
      <c r="P808">
        <v>0</v>
      </c>
      <c r="BB808">
        <v>0</v>
      </c>
      <c r="BC808" t="s">
        <v>197</v>
      </c>
      <c r="BD808" t="s">
        <v>198</v>
      </c>
      <c r="BE808" t="s">
        <v>117</v>
      </c>
      <c r="BF808">
        <v>0</v>
      </c>
      <c r="BG808">
        <v>0</v>
      </c>
      <c r="BH808">
        <v>0</v>
      </c>
    </row>
    <row r="809" spans="1:61">
      <c r="A809" s="164" t="s">
        <v>2142</v>
      </c>
      <c r="B809" t="s">
        <v>2143</v>
      </c>
      <c r="C809">
        <v>0</v>
      </c>
      <c r="D809" t="s">
        <v>194</v>
      </c>
      <c r="E809">
        <v>0</v>
      </c>
      <c r="F809" t="s">
        <v>195</v>
      </c>
      <c r="G809" t="s">
        <v>78</v>
      </c>
      <c r="H809" t="s">
        <v>79</v>
      </c>
      <c r="I809" t="s">
        <v>80</v>
      </c>
      <c r="J809" t="s">
        <v>196</v>
      </c>
      <c r="K809" t="s">
        <v>13</v>
      </c>
      <c r="L809" t="s">
        <v>83</v>
      </c>
      <c r="M809" t="s">
        <v>84</v>
      </c>
      <c r="N809">
        <v>1</v>
      </c>
      <c r="O809" t="b">
        <v>1</v>
      </c>
      <c r="P809">
        <v>0</v>
      </c>
      <c r="BB809">
        <v>0</v>
      </c>
      <c r="BC809" t="s">
        <v>197</v>
      </c>
      <c r="BD809" t="s">
        <v>198</v>
      </c>
      <c r="BE809" t="s">
        <v>117</v>
      </c>
      <c r="BF809">
        <v>0</v>
      </c>
      <c r="BG809">
        <v>0</v>
      </c>
      <c r="BH809">
        <v>0</v>
      </c>
    </row>
    <row r="810" spans="1:61">
      <c r="A810" s="164" t="s">
        <v>2144</v>
      </c>
      <c r="B810" t="s">
        <v>2145</v>
      </c>
      <c r="C810">
        <v>0</v>
      </c>
      <c r="D810" t="s">
        <v>194</v>
      </c>
      <c r="E810">
        <v>0</v>
      </c>
      <c r="F810" t="s">
        <v>214</v>
      </c>
      <c r="G810" t="s">
        <v>78</v>
      </c>
      <c r="H810" t="s">
        <v>79</v>
      </c>
      <c r="I810" t="s">
        <v>80</v>
      </c>
      <c r="J810" t="s">
        <v>196</v>
      </c>
      <c r="K810" t="s">
        <v>13</v>
      </c>
      <c r="L810" t="s">
        <v>83</v>
      </c>
      <c r="M810" t="s">
        <v>215</v>
      </c>
      <c r="N810">
        <v>1</v>
      </c>
      <c r="O810" t="b">
        <v>1</v>
      </c>
      <c r="P810">
        <v>0</v>
      </c>
      <c r="BB810">
        <v>0</v>
      </c>
      <c r="BC810" t="s">
        <v>197</v>
      </c>
      <c r="BD810" t="s">
        <v>216</v>
      </c>
      <c r="BE810" t="s">
        <v>117</v>
      </c>
      <c r="BF810">
        <v>0</v>
      </c>
      <c r="BG810">
        <v>0</v>
      </c>
      <c r="BH810">
        <v>0</v>
      </c>
    </row>
    <row r="811" spans="1:61">
      <c r="A811" s="164" t="s">
        <v>2146</v>
      </c>
      <c r="B811" t="s">
        <v>2147</v>
      </c>
      <c r="C811">
        <v>0</v>
      </c>
      <c r="D811" t="s">
        <v>194</v>
      </c>
      <c r="E811">
        <v>0</v>
      </c>
      <c r="F811" t="s">
        <v>195</v>
      </c>
      <c r="G811" t="s">
        <v>78</v>
      </c>
      <c r="H811" t="s">
        <v>79</v>
      </c>
      <c r="I811" t="s">
        <v>80</v>
      </c>
      <c r="J811" t="s">
        <v>196</v>
      </c>
      <c r="K811" t="s">
        <v>13</v>
      </c>
      <c r="L811" t="s">
        <v>83</v>
      </c>
      <c r="M811" t="s">
        <v>84</v>
      </c>
      <c r="N811">
        <v>1</v>
      </c>
      <c r="O811" t="b">
        <v>1</v>
      </c>
      <c r="P811">
        <v>0</v>
      </c>
      <c r="BB811">
        <v>0</v>
      </c>
      <c r="BC811" t="s">
        <v>197</v>
      </c>
      <c r="BD811" t="s">
        <v>198</v>
      </c>
      <c r="BE811" t="s">
        <v>117</v>
      </c>
      <c r="BF811">
        <v>0</v>
      </c>
      <c r="BG811">
        <v>0</v>
      </c>
      <c r="BH811">
        <v>0</v>
      </c>
    </row>
    <row r="812" spans="1:61">
      <c r="A812" s="164" t="s">
        <v>2148</v>
      </c>
      <c r="B812" t="s">
        <v>2149</v>
      </c>
      <c r="C812">
        <v>0</v>
      </c>
      <c r="D812" t="s">
        <v>194</v>
      </c>
      <c r="E812">
        <v>0</v>
      </c>
      <c r="F812" t="s">
        <v>195</v>
      </c>
      <c r="G812" t="s">
        <v>78</v>
      </c>
      <c r="H812" t="s">
        <v>79</v>
      </c>
      <c r="I812" t="s">
        <v>80</v>
      </c>
      <c r="J812" t="s">
        <v>196</v>
      </c>
      <c r="K812" t="s">
        <v>13</v>
      </c>
      <c r="L812" t="s">
        <v>83</v>
      </c>
      <c r="M812" t="s">
        <v>84</v>
      </c>
      <c r="N812">
        <v>1</v>
      </c>
      <c r="O812" t="b">
        <v>1</v>
      </c>
      <c r="P812">
        <v>0</v>
      </c>
      <c r="BB812">
        <v>0</v>
      </c>
      <c r="BC812" t="s">
        <v>197</v>
      </c>
      <c r="BD812" t="s">
        <v>198</v>
      </c>
      <c r="BE812" t="s">
        <v>117</v>
      </c>
      <c r="BF812">
        <v>0</v>
      </c>
      <c r="BG812">
        <v>0</v>
      </c>
      <c r="BH812">
        <v>0</v>
      </c>
    </row>
    <row r="813" spans="1:61">
      <c r="A813" s="164" t="s">
        <v>2150</v>
      </c>
      <c r="B813" t="s">
        <v>2151</v>
      </c>
      <c r="C813">
        <v>0</v>
      </c>
      <c r="D813" t="s">
        <v>194</v>
      </c>
      <c r="E813">
        <v>0</v>
      </c>
      <c r="F813" t="s">
        <v>195</v>
      </c>
      <c r="G813" t="s">
        <v>78</v>
      </c>
      <c r="H813" t="s">
        <v>79</v>
      </c>
      <c r="I813" t="s">
        <v>80</v>
      </c>
      <c r="J813" t="s">
        <v>196</v>
      </c>
      <c r="K813" t="s">
        <v>13</v>
      </c>
      <c r="L813" t="s">
        <v>83</v>
      </c>
      <c r="M813" t="s">
        <v>215</v>
      </c>
      <c r="N813">
        <v>1</v>
      </c>
      <c r="O813" t="b">
        <v>1</v>
      </c>
      <c r="P813">
        <v>0</v>
      </c>
      <c r="BB813">
        <v>0</v>
      </c>
      <c r="BC813" t="s">
        <v>197</v>
      </c>
      <c r="BD813" t="s">
        <v>198</v>
      </c>
      <c r="BE813" t="s">
        <v>117</v>
      </c>
      <c r="BF813">
        <v>0</v>
      </c>
      <c r="BG813">
        <v>0</v>
      </c>
      <c r="BH813">
        <v>0</v>
      </c>
    </row>
    <row r="814" spans="1:61">
      <c r="A814" s="164" t="s">
        <v>2152</v>
      </c>
      <c r="B814" t="s">
        <v>2153</v>
      </c>
      <c r="C814">
        <v>0</v>
      </c>
      <c r="D814" t="s">
        <v>194</v>
      </c>
      <c r="E814">
        <v>0</v>
      </c>
      <c r="F814" t="s">
        <v>195</v>
      </c>
      <c r="G814" t="s">
        <v>78</v>
      </c>
      <c r="H814" t="s">
        <v>79</v>
      </c>
      <c r="I814" t="s">
        <v>80</v>
      </c>
      <c r="J814" t="s">
        <v>196</v>
      </c>
      <c r="K814" t="s">
        <v>13</v>
      </c>
      <c r="L814" t="s">
        <v>83</v>
      </c>
      <c r="M814" t="s">
        <v>215</v>
      </c>
      <c r="N814">
        <v>1</v>
      </c>
      <c r="O814" t="b">
        <v>1</v>
      </c>
      <c r="P814">
        <v>0</v>
      </c>
      <c r="BB814">
        <v>0</v>
      </c>
      <c r="BC814" t="s">
        <v>197</v>
      </c>
      <c r="BD814" t="s">
        <v>198</v>
      </c>
      <c r="BE814" t="s">
        <v>117</v>
      </c>
      <c r="BF814">
        <v>0</v>
      </c>
      <c r="BG814">
        <v>0</v>
      </c>
      <c r="BH814">
        <v>0</v>
      </c>
    </row>
    <row r="815" spans="1:61">
      <c r="A815" s="164" t="s">
        <v>2154</v>
      </c>
      <c r="B815" t="s">
        <v>2155</v>
      </c>
      <c r="C815">
        <v>0</v>
      </c>
      <c r="D815" t="s">
        <v>194</v>
      </c>
      <c r="E815">
        <v>0</v>
      </c>
      <c r="F815" t="s">
        <v>214</v>
      </c>
      <c r="G815" t="s">
        <v>78</v>
      </c>
      <c r="H815" t="s">
        <v>79</v>
      </c>
      <c r="I815" t="s">
        <v>80</v>
      </c>
      <c r="J815" t="s">
        <v>196</v>
      </c>
      <c r="K815" t="s">
        <v>13</v>
      </c>
      <c r="L815" t="s">
        <v>83</v>
      </c>
      <c r="M815" t="s">
        <v>215</v>
      </c>
      <c r="N815">
        <v>1</v>
      </c>
      <c r="O815" t="b">
        <v>1</v>
      </c>
      <c r="P815">
        <v>0</v>
      </c>
      <c r="BB815">
        <v>0</v>
      </c>
      <c r="BC815" t="s">
        <v>197</v>
      </c>
      <c r="BD815" t="s">
        <v>216</v>
      </c>
      <c r="BE815" t="s">
        <v>117</v>
      </c>
      <c r="BF815">
        <v>0</v>
      </c>
      <c r="BG815">
        <v>0</v>
      </c>
      <c r="BH815">
        <v>0</v>
      </c>
    </row>
    <row r="816" spans="1:61">
      <c r="A816" s="164" t="s">
        <v>2156</v>
      </c>
      <c r="B816" t="s">
        <v>2157</v>
      </c>
      <c r="C816">
        <v>0</v>
      </c>
      <c r="D816" t="s">
        <v>194</v>
      </c>
      <c r="E816">
        <v>0</v>
      </c>
      <c r="F816" t="s">
        <v>214</v>
      </c>
      <c r="G816" t="s">
        <v>78</v>
      </c>
      <c r="H816" t="s">
        <v>79</v>
      </c>
      <c r="I816" t="s">
        <v>80</v>
      </c>
      <c r="J816" t="s">
        <v>196</v>
      </c>
      <c r="K816" t="s">
        <v>13</v>
      </c>
      <c r="L816" t="s">
        <v>83</v>
      </c>
      <c r="M816" t="s">
        <v>84</v>
      </c>
      <c r="N816">
        <v>1</v>
      </c>
      <c r="O816" t="b">
        <v>1</v>
      </c>
      <c r="P816">
        <v>0</v>
      </c>
      <c r="BB816">
        <v>0</v>
      </c>
      <c r="BC816" t="s">
        <v>197</v>
      </c>
      <c r="BD816" t="s">
        <v>216</v>
      </c>
      <c r="BE816" t="s">
        <v>117</v>
      </c>
      <c r="BF816">
        <v>0</v>
      </c>
      <c r="BG816">
        <v>0</v>
      </c>
      <c r="BH816">
        <v>0</v>
      </c>
    </row>
    <row r="817" spans="1:60">
      <c r="A817" s="164" t="s">
        <v>2158</v>
      </c>
      <c r="B817" t="s">
        <v>2159</v>
      </c>
      <c r="C817">
        <v>0</v>
      </c>
      <c r="D817" t="s">
        <v>194</v>
      </c>
      <c r="E817">
        <v>0</v>
      </c>
      <c r="F817" t="s">
        <v>195</v>
      </c>
      <c r="G817" t="s">
        <v>78</v>
      </c>
      <c r="H817" t="s">
        <v>79</v>
      </c>
      <c r="I817" t="s">
        <v>80</v>
      </c>
      <c r="J817" t="s">
        <v>196</v>
      </c>
      <c r="K817" t="s">
        <v>13</v>
      </c>
      <c r="L817" t="s">
        <v>83</v>
      </c>
      <c r="M817" t="s">
        <v>215</v>
      </c>
      <c r="N817">
        <v>1</v>
      </c>
      <c r="O817" t="b">
        <v>1</v>
      </c>
      <c r="P817">
        <v>0</v>
      </c>
      <c r="BB817">
        <v>0</v>
      </c>
      <c r="BC817" t="s">
        <v>197</v>
      </c>
      <c r="BD817" t="s">
        <v>198</v>
      </c>
      <c r="BE817" t="s">
        <v>117</v>
      </c>
      <c r="BF817">
        <v>0</v>
      </c>
      <c r="BG817">
        <v>0</v>
      </c>
      <c r="BH817">
        <v>0</v>
      </c>
    </row>
    <row r="818" spans="1:60">
      <c r="A818" s="164" t="s">
        <v>2160</v>
      </c>
      <c r="B818" t="s">
        <v>2161</v>
      </c>
      <c r="C818">
        <v>0</v>
      </c>
      <c r="D818" t="s">
        <v>194</v>
      </c>
      <c r="E818">
        <v>0</v>
      </c>
      <c r="F818" t="s">
        <v>214</v>
      </c>
      <c r="G818" t="s">
        <v>78</v>
      </c>
      <c r="H818" t="s">
        <v>79</v>
      </c>
      <c r="I818" t="s">
        <v>80</v>
      </c>
      <c r="J818" t="s">
        <v>196</v>
      </c>
      <c r="K818" t="s">
        <v>13</v>
      </c>
      <c r="L818" t="s">
        <v>83</v>
      </c>
      <c r="M818" t="s">
        <v>215</v>
      </c>
      <c r="N818">
        <v>1</v>
      </c>
      <c r="O818" t="b">
        <v>1</v>
      </c>
      <c r="P818">
        <v>0</v>
      </c>
      <c r="BB818">
        <v>0</v>
      </c>
      <c r="BC818" t="s">
        <v>197</v>
      </c>
      <c r="BD818" t="s">
        <v>216</v>
      </c>
      <c r="BE818" t="s">
        <v>117</v>
      </c>
      <c r="BF818">
        <v>0</v>
      </c>
      <c r="BG818">
        <v>0</v>
      </c>
      <c r="BH818">
        <v>0</v>
      </c>
    </row>
    <row r="819" spans="1:60">
      <c r="A819" s="164" t="s">
        <v>2162</v>
      </c>
      <c r="B819" t="s">
        <v>2163</v>
      </c>
      <c r="C819">
        <v>0</v>
      </c>
      <c r="D819" t="s">
        <v>194</v>
      </c>
      <c r="E819">
        <v>0</v>
      </c>
      <c r="F819" t="s">
        <v>214</v>
      </c>
      <c r="G819" t="s">
        <v>78</v>
      </c>
      <c r="H819" t="s">
        <v>79</v>
      </c>
      <c r="I819" t="s">
        <v>80</v>
      </c>
      <c r="J819" t="s">
        <v>196</v>
      </c>
      <c r="K819" t="s">
        <v>13</v>
      </c>
      <c r="L819" t="s">
        <v>83</v>
      </c>
      <c r="M819" t="s">
        <v>84</v>
      </c>
      <c r="N819">
        <v>1</v>
      </c>
      <c r="O819" t="b">
        <v>1</v>
      </c>
      <c r="P819">
        <v>0</v>
      </c>
      <c r="BB819">
        <v>0</v>
      </c>
      <c r="BC819" t="s">
        <v>197</v>
      </c>
      <c r="BD819" t="s">
        <v>216</v>
      </c>
      <c r="BE819" t="s">
        <v>117</v>
      </c>
      <c r="BF819">
        <v>0</v>
      </c>
      <c r="BG819">
        <v>0</v>
      </c>
      <c r="BH819">
        <v>0</v>
      </c>
    </row>
    <row r="820" spans="1:60">
      <c r="A820" s="164" t="s">
        <v>2164</v>
      </c>
      <c r="B820" t="s">
        <v>2165</v>
      </c>
      <c r="C820">
        <v>0</v>
      </c>
      <c r="D820" t="s">
        <v>194</v>
      </c>
      <c r="E820">
        <v>0</v>
      </c>
      <c r="F820" t="s">
        <v>1264</v>
      </c>
      <c r="G820" t="s">
        <v>78</v>
      </c>
      <c r="H820" t="s">
        <v>79</v>
      </c>
      <c r="I820" t="s">
        <v>80</v>
      </c>
      <c r="J820" t="s">
        <v>196</v>
      </c>
      <c r="K820" t="s">
        <v>13</v>
      </c>
      <c r="L820" t="s">
        <v>83</v>
      </c>
      <c r="M820" t="s">
        <v>84</v>
      </c>
      <c r="N820">
        <v>1</v>
      </c>
      <c r="O820" t="b">
        <v>1</v>
      </c>
      <c r="P820">
        <v>0</v>
      </c>
      <c r="BB820">
        <v>0</v>
      </c>
      <c r="BC820" t="s">
        <v>197</v>
      </c>
      <c r="BD820" t="s">
        <v>1265</v>
      </c>
      <c r="BE820" t="s">
        <v>117</v>
      </c>
      <c r="BF820">
        <v>0</v>
      </c>
      <c r="BG820">
        <v>0</v>
      </c>
      <c r="BH820">
        <v>0</v>
      </c>
    </row>
    <row r="821" spans="1:60">
      <c r="A821" s="164" t="s">
        <v>2166</v>
      </c>
      <c r="B821" t="s">
        <v>2167</v>
      </c>
      <c r="C821">
        <v>0</v>
      </c>
      <c r="D821" t="s">
        <v>194</v>
      </c>
      <c r="E821">
        <v>0</v>
      </c>
      <c r="F821" t="s">
        <v>195</v>
      </c>
      <c r="G821" t="s">
        <v>78</v>
      </c>
      <c r="H821" t="s">
        <v>79</v>
      </c>
      <c r="I821" t="s">
        <v>80</v>
      </c>
      <c r="J821" t="s">
        <v>196</v>
      </c>
      <c r="K821" t="s">
        <v>13</v>
      </c>
      <c r="L821" t="s">
        <v>83</v>
      </c>
      <c r="M821" t="s">
        <v>205</v>
      </c>
      <c r="N821">
        <v>1</v>
      </c>
      <c r="O821" t="b">
        <v>1</v>
      </c>
      <c r="P821">
        <v>0</v>
      </c>
      <c r="BB821">
        <v>0</v>
      </c>
      <c r="BC821" t="s">
        <v>197</v>
      </c>
      <c r="BD821" t="s">
        <v>198</v>
      </c>
      <c r="BE821" t="s">
        <v>117</v>
      </c>
      <c r="BF821">
        <v>0</v>
      </c>
      <c r="BG821">
        <v>0</v>
      </c>
      <c r="BH821">
        <v>0</v>
      </c>
    </row>
    <row r="822" spans="1:60">
      <c r="A822" s="164" t="s">
        <v>2168</v>
      </c>
      <c r="B822" t="s">
        <v>2169</v>
      </c>
      <c r="C822">
        <v>0</v>
      </c>
      <c r="D822" t="s">
        <v>194</v>
      </c>
      <c r="E822">
        <v>0</v>
      </c>
      <c r="F822" t="s">
        <v>195</v>
      </c>
      <c r="G822" t="s">
        <v>78</v>
      </c>
      <c r="H822" t="s">
        <v>79</v>
      </c>
      <c r="I822" t="s">
        <v>80</v>
      </c>
      <c r="J822" t="s">
        <v>196</v>
      </c>
      <c r="K822" t="s">
        <v>13</v>
      </c>
      <c r="L822" t="s">
        <v>83</v>
      </c>
      <c r="M822" t="s">
        <v>205</v>
      </c>
      <c r="N822">
        <v>1</v>
      </c>
      <c r="O822" t="b">
        <v>1</v>
      </c>
      <c r="P822">
        <v>0</v>
      </c>
      <c r="BB822">
        <v>0</v>
      </c>
      <c r="BC822" t="s">
        <v>197</v>
      </c>
      <c r="BD822" t="s">
        <v>198</v>
      </c>
      <c r="BE822" t="s">
        <v>117</v>
      </c>
      <c r="BF822">
        <v>0</v>
      </c>
      <c r="BG822">
        <v>0</v>
      </c>
      <c r="BH822">
        <v>0</v>
      </c>
    </row>
    <row r="823" spans="1:60">
      <c r="A823" s="164" t="s">
        <v>2170</v>
      </c>
      <c r="B823" t="s">
        <v>2171</v>
      </c>
      <c r="C823">
        <v>0</v>
      </c>
      <c r="D823" t="s">
        <v>194</v>
      </c>
      <c r="E823">
        <v>0</v>
      </c>
      <c r="F823" t="s">
        <v>195</v>
      </c>
      <c r="G823" t="s">
        <v>78</v>
      </c>
      <c r="H823" t="s">
        <v>79</v>
      </c>
      <c r="I823" t="s">
        <v>80</v>
      </c>
      <c r="J823" t="s">
        <v>196</v>
      </c>
      <c r="K823" t="s">
        <v>13</v>
      </c>
      <c r="L823" t="s">
        <v>83</v>
      </c>
      <c r="M823" t="s">
        <v>205</v>
      </c>
      <c r="N823">
        <v>1</v>
      </c>
      <c r="O823" t="b">
        <v>1</v>
      </c>
      <c r="P823">
        <v>0</v>
      </c>
      <c r="BB823">
        <v>0</v>
      </c>
      <c r="BC823" t="s">
        <v>197</v>
      </c>
      <c r="BD823" t="s">
        <v>198</v>
      </c>
      <c r="BE823" t="s">
        <v>117</v>
      </c>
      <c r="BF823">
        <v>0</v>
      </c>
      <c r="BG823">
        <v>0</v>
      </c>
      <c r="BH823">
        <v>0</v>
      </c>
    </row>
    <row r="824" spans="1:60">
      <c r="A824" s="164" t="s">
        <v>2172</v>
      </c>
      <c r="B824" t="s">
        <v>2173</v>
      </c>
      <c r="C824">
        <v>0</v>
      </c>
      <c r="D824" t="s">
        <v>194</v>
      </c>
      <c r="E824">
        <v>0</v>
      </c>
      <c r="F824" t="s">
        <v>195</v>
      </c>
      <c r="G824" t="s">
        <v>78</v>
      </c>
      <c r="H824" t="s">
        <v>79</v>
      </c>
      <c r="I824" t="s">
        <v>80</v>
      </c>
      <c r="J824" t="s">
        <v>196</v>
      </c>
      <c r="K824" t="s">
        <v>13</v>
      </c>
      <c r="L824" t="s">
        <v>83</v>
      </c>
      <c r="M824" t="s">
        <v>84</v>
      </c>
      <c r="N824">
        <v>1</v>
      </c>
      <c r="O824" t="b">
        <v>1</v>
      </c>
      <c r="P824">
        <v>0</v>
      </c>
      <c r="BB824">
        <v>0</v>
      </c>
      <c r="BC824" t="s">
        <v>197</v>
      </c>
      <c r="BD824" t="s">
        <v>198</v>
      </c>
      <c r="BE824" t="s">
        <v>117</v>
      </c>
      <c r="BF824">
        <v>0</v>
      </c>
      <c r="BG824">
        <v>0</v>
      </c>
      <c r="BH824">
        <v>0</v>
      </c>
    </row>
    <row r="825" spans="1:60">
      <c r="A825" s="164" t="s">
        <v>2174</v>
      </c>
      <c r="B825" t="s">
        <v>2175</v>
      </c>
      <c r="C825">
        <v>0</v>
      </c>
      <c r="D825" t="s">
        <v>194</v>
      </c>
      <c r="E825">
        <v>0</v>
      </c>
      <c r="F825" t="s">
        <v>195</v>
      </c>
      <c r="G825" t="s">
        <v>78</v>
      </c>
      <c r="H825" t="s">
        <v>79</v>
      </c>
      <c r="I825" t="s">
        <v>80</v>
      </c>
      <c r="J825" t="s">
        <v>196</v>
      </c>
      <c r="K825" t="s">
        <v>13</v>
      </c>
      <c r="L825" t="s">
        <v>83</v>
      </c>
      <c r="M825" t="s">
        <v>205</v>
      </c>
      <c r="N825">
        <v>1</v>
      </c>
      <c r="O825" t="b">
        <v>1</v>
      </c>
      <c r="P825">
        <v>0</v>
      </c>
      <c r="BB825">
        <v>0</v>
      </c>
      <c r="BC825" t="s">
        <v>197</v>
      </c>
      <c r="BD825" t="s">
        <v>198</v>
      </c>
      <c r="BE825" t="s">
        <v>117</v>
      </c>
      <c r="BF825">
        <v>0</v>
      </c>
      <c r="BG825">
        <v>0</v>
      </c>
      <c r="BH825">
        <v>0</v>
      </c>
    </row>
    <row r="826" spans="1:60">
      <c r="A826" s="164" t="s">
        <v>2176</v>
      </c>
      <c r="B826" t="s">
        <v>2177</v>
      </c>
      <c r="C826">
        <v>0</v>
      </c>
      <c r="D826" t="s">
        <v>194</v>
      </c>
      <c r="E826">
        <v>0</v>
      </c>
      <c r="F826" t="s">
        <v>195</v>
      </c>
      <c r="G826" t="s">
        <v>78</v>
      </c>
      <c r="H826" t="s">
        <v>79</v>
      </c>
      <c r="I826" t="s">
        <v>80</v>
      </c>
      <c r="J826" t="s">
        <v>196</v>
      </c>
      <c r="K826" t="s">
        <v>13</v>
      </c>
      <c r="L826" t="s">
        <v>83</v>
      </c>
      <c r="M826" t="s">
        <v>84</v>
      </c>
      <c r="N826">
        <v>1</v>
      </c>
      <c r="O826" t="b">
        <v>1</v>
      </c>
      <c r="P826">
        <v>0</v>
      </c>
      <c r="BB826">
        <v>0</v>
      </c>
      <c r="BC826" t="s">
        <v>197</v>
      </c>
      <c r="BD826" t="s">
        <v>198</v>
      </c>
      <c r="BE826" t="s">
        <v>117</v>
      </c>
      <c r="BF826">
        <v>0</v>
      </c>
      <c r="BG826">
        <v>0</v>
      </c>
      <c r="BH826">
        <v>0</v>
      </c>
    </row>
    <row r="827" spans="1:60">
      <c r="A827" s="164" t="s">
        <v>2178</v>
      </c>
      <c r="B827" t="s">
        <v>2179</v>
      </c>
      <c r="C827">
        <v>0</v>
      </c>
      <c r="D827" t="s">
        <v>194</v>
      </c>
      <c r="E827">
        <v>0</v>
      </c>
      <c r="F827" t="s">
        <v>195</v>
      </c>
      <c r="G827" t="s">
        <v>78</v>
      </c>
      <c r="H827" t="s">
        <v>79</v>
      </c>
      <c r="I827" t="s">
        <v>80</v>
      </c>
      <c r="J827" t="s">
        <v>196</v>
      </c>
      <c r="K827" t="s">
        <v>13</v>
      </c>
      <c r="L827" t="s">
        <v>83</v>
      </c>
      <c r="M827" t="s">
        <v>205</v>
      </c>
      <c r="N827">
        <v>1</v>
      </c>
      <c r="O827" t="b">
        <v>1</v>
      </c>
      <c r="P827">
        <v>0</v>
      </c>
      <c r="BB827">
        <v>0</v>
      </c>
      <c r="BC827" t="s">
        <v>197</v>
      </c>
      <c r="BD827" t="s">
        <v>198</v>
      </c>
      <c r="BE827" t="s">
        <v>117</v>
      </c>
      <c r="BF827">
        <v>0</v>
      </c>
      <c r="BG827">
        <v>0</v>
      </c>
      <c r="BH827">
        <v>0</v>
      </c>
    </row>
    <row r="828" spans="1:60">
      <c r="A828" s="164" t="s">
        <v>2180</v>
      </c>
      <c r="B828" t="s">
        <v>2181</v>
      </c>
      <c r="C828">
        <v>0</v>
      </c>
      <c r="D828" t="s">
        <v>194</v>
      </c>
      <c r="E828">
        <v>0</v>
      </c>
      <c r="F828" t="s">
        <v>195</v>
      </c>
      <c r="G828" t="s">
        <v>78</v>
      </c>
      <c r="H828" t="s">
        <v>79</v>
      </c>
      <c r="I828" t="s">
        <v>80</v>
      </c>
      <c r="J828" t="s">
        <v>196</v>
      </c>
      <c r="K828" t="s">
        <v>13</v>
      </c>
      <c r="L828" t="s">
        <v>83</v>
      </c>
      <c r="M828" t="s">
        <v>205</v>
      </c>
      <c r="N828">
        <v>1</v>
      </c>
      <c r="O828" t="b">
        <v>1</v>
      </c>
      <c r="P828">
        <v>0</v>
      </c>
      <c r="BB828">
        <v>0</v>
      </c>
      <c r="BC828" t="s">
        <v>197</v>
      </c>
      <c r="BD828" t="s">
        <v>198</v>
      </c>
      <c r="BE828" t="s">
        <v>117</v>
      </c>
      <c r="BF828">
        <v>0</v>
      </c>
      <c r="BG828">
        <v>0</v>
      </c>
      <c r="BH828">
        <v>0</v>
      </c>
    </row>
    <row r="829" spans="1:60">
      <c r="A829" s="164" t="s">
        <v>2182</v>
      </c>
      <c r="B829" t="s">
        <v>2183</v>
      </c>
      <c r="C829">
        <v>0</v>
      </c>
      <c r="D829" t="s">
        <v>194</v>
      </c>
      <c r="E829">
        <v>0</v>
      </c>
      <c r="F829" t="s">
        <v>195</v>
      </c>
      <c r="G829" t="s">
        <v>78</v>
      </c>
      <c r="H829" t="s">
        <v>79</v>
      </c>
      <c r="I829" t="s">
        <v>80</v>
      </c>
      <c r="J829" t="s">
        <v>196</v>
      </c>
      <c r="K829" t="s">
        <v>13</v>
      </c>
      <c r="L829" t="s">
        <v>83</v>
      </c>
      <c r="M829" t="s">
        <v>84</v>
      </c>
      <c r="N829">
        <v>1</v>
      </c>
      <c r="O829" t="b">
        <v>1</v>
      </c>
      <c r="P829">
        <v>0</v>
      </c>
      <c r="BB829">
        <v>0</v>
      </c>
      <c r="BC829" t="s">
        <v>197</v>
      </c>
      <c r="BD829" t="s">
        <v>198</v>
      </c>
      <c r="BE829" t="s">
        <v>117</v>
      </c>
      <c r="BF829">
        <v>0</v>
      </c>
      <c r="BG829">
        <v>0</v>
      </c>
      <c r="BH829">
        <v>0</v>
      </c>
    </row>
    <row r="830" spans="1:60">
      <c r="A830" s="164" t="s">
        <v>2184</v>
      </c>
      <c r="B830" t="s">
        <v>2185</v>
      </c>
      <c r="C830">
        <v>0</v>
      </c>
      <c r="D830" t="s">
        <v>194</v>
      </c>
      <c r="E830">
        <v>0</v>
      </c>
      <c r="F830" t="s">
        <v>214</v>
      </c>
      <c r="G830" t="s">
        <v>78</v>
      </c>
      <c r="H830" t="s">
        <v>79</v>
      </c>
      <c r="I830" t="s">
        <v>80</v>
      </c>
      <c r="J830" t="s">
        <v>196</v>
      </c>
      <c r="K830" t="s">
        <v>13</v>
      </c>
      <c r="L830" t="s">
        <v>83</v>
      </c>
      <c r="M830" t="s">
        <v>215</v>
      </c>
      <c r="N830">
        <v>1</v>
      </c>
      <c r="O830" t="b">
        <v>1</v>
      </c>
      <c r="P830">
        <v>0</v>
      </c>
      <c r="BB830">
        <v>0</v>
      </c>
      <c r="BC830" t="s">
        <v>197</v>
      </c>
      <c r="BD830" t="s">
        <v>216</v>
      </c>
      <c r="BE830" t="s">
        <v>117</v>
      </c>
      <c r="BF830">
        <v>0</v>
      </c>
      <c r="BG830">
        <v>0</v>
      </c>
      <c r="BH830">
        <v>0</v>
      </c>
    </row>
    <row r="831" spans="1:60">
      <c r="A831" s="164" t="s">
        <v>2186</v>
      </c>
      <c r="B831" t="s">
        <v>2187</v>
      </c>
      <c r="C831">
        <v>0</v>
      </c>
      <c r="D831" t="s">
        <v>194</v>
      </c>
      <c r="E831">
        <v>0</v>
      </c>
      <c r="F831" t="s">
        <v>214</v>
      </c>
      <c r="G831" t="s">
        <v>78</v>
      </c>
      <c r="H831" t="s">
        <v>79</v>
      </c>
      <c r="I831" t="s">
        <v>80</v>
      </c>
      <c r="J831" t="s">
        <v>196</v>
      </c>
      <c r="K831" t="s">
        <v>13</v>
      </c>
      <c r="L831" t="s">
        <v>83</v>
      </c>
      <c r="M831" t="s">
        <v>215</v>
      </c>
      <c r="N831">
        <v>1</v>
      </c>
      <c r="O831" t="b">
        <v>1</v>
      </c>
      <c r="P831">
        <v>0</v>
      </c>
      <c r="BB831">
        <v>0</v>
      </c>
      <c r="BC831" t="s">
        <v>197</v>
      </c>
      <c r="BD831" t="s">
        <v>216</v>
      </c>
      <c r="BE831" t="s">
        <v>117</v>
      </c>
      <c r="BF831">
        <v>0</v>
      </c>
      <c r="BG831">
        <v>0</v>
      </c>
      <c r="BH831">
        <v>0</v>
      </c>
    </row>
    <row r="832" spans="1:60">
      <c r="A832" s="164" t="s">
        <v>2188</v>
      </c>
      <c r="B832" t="s">
        <v>2189</v>
      </c>
      <c r="C832">
        <v>0</v>
      </c>
      <c r="D832" t="s">
        <v>194</v>
      </c>
      <c r="E832">
        <v>0</v>
      </c>
      <c r="F832" t="s">
        <v>214</v>
      </c>
      <c r="G832" t="s">
        <v>78</v>
      </c>
      <c r="H832" t="s">
        <v>79</v>
      </c>
      <c r="I832" t="s">
        <v>80</v>
      </c>
      <c r="J832" t="s">
        <v>196</v>
      </c>
      <c r="K832" t="s">
        <v>13</v>
      </c>
      <c r="L832" t="s">
        <v>83</v>
      </c>
      <c r="M832" t="s">
        <v>84</v>
      </c>
      <c r="N832">
        <v>1</v>
      </c>
      <c r="O832" t="b">
        <v>1</v>
      </c>
      <c r="P832">
        <v>0</v>
      </c>
      <c r="BB832">
        <v>0</v>
      </c>
      <c r="BC832" t="s">
        <v>197</v>
      </c>
      <c r="BD832" t="s">
        <v>216</v>
      </c>
      <c r="BE832" t="s">
        <v>117</v>
      </c>
      <c r="BF832">
        <v>0</v>
      </c>
      <c r="BG832">
        <v>0</v>
      </c>
      <c r="BH832">
        <v>0</v>
      </c>
    </row>
    <row r="833" spans="1:61">
      <c r="A833" s="164" t="s">
        <v>2190</v>
      </c>
      <c r="B833" t="s">
        <v>2191</v>
      </c>
      <c r="C833">
        <v>0</v>
      </c>
      <c r="D833" t="s">
        <v>194</v>
      </c>
      <c r="E833">
        <v>0</v>
      </c>
      <c r="F833" t="s">
        <v>214</v>
      </c>
      <c r="G833" t="s">
        <v>78</v>
      </c>
      <c r="H833" t="s">
        <v>79</v>
      </c>
      <c r="I833" t="s">
        <v>80</v>
      </c>
      <c r="J833" t="s">
        <v>196</v>
      </c>
      <c r="K833" t="s">
        <v>13</v>
      </c>
      <c r="L833" t="s">
        <v>83</v>
      </c>
      <c r="M833" t="s">
        <v>215</v>
      </c>
      <c r="N833">
        <v>1</v>
      </c>
      <c r="O833" t="b">
        <v>1</v>
      </c>
      <c r="P833">
        <v>0</v>
      </c>
      <c r="BB833">
        <v>0</v>
      </c>
      <c r="BC833" t="s">
        <v>197</v>
      </c>
      <c r="BD833" t="s">
        <v>216</v>
      </c>
      <c r="BE833" t="s">
        <v>117</v>
      </c>
      <c r="BF833">
        <v>0</v>
      </c>
      <c r="BG833">
        <v>0</v>
      </c>
      <c r="BH833">
        <v>0</v>
      </c>
    </row>
    <row r="834" spans="1:61">
      <c r="A834" s="164" t="s">
        <v>2192</v>
      </c>
      <c r="B834" t="s">
        <v>2193</v>
      </c>
      <c r="C834">
        <v>0</v>
      </c>
      <c r="D834" t="s">
        <v>194</v>
      </c>
      <c r="E834">
        <v>0</v>
      </c>
      <c r="F834" t="s">
        <v>195</v>
      </c>
      <c r="G834" t="s">
        <v>78</v>
      </c>
      <c r="H834" t="s">
        <v>79</v>
      </c>
      <c r="I834" t="s">
        <v>80</v>
      </c>
      <c r="J834" t="s">
        <v>196</v>
      </c>
      <c r="K834" t="s">
        <v>13</v>
      </c>
      <c r="L834" t="s">
        <v>83</v>
      </c>
      <c r="M834" t="s">
        <v>84</v>
      </c>
      <c r="N834">
        <v>1</v>
      </c>
      <c r="O834" t="b">
        <v>1</v>
      </c>
      <c r="P834">
        <v>0</v>
      </c>
      <c r="BB834">
        <v>0</v>
      </c>
      <c r="BC834" t="s">
        <v>197</v>
      </c>
      <c r="BD834" t="s">
        <v>198</v>
      </c>
      <c r="BE834" t="s">
        <v>117</v>
      </c>
      <c r="BF834">
        <v>0</v>
      </c>
      <c r="BG834">
        <v>0</v>
      </c>
      <c r="BH834">
        <v>0</v>
      </c>
    </row>
    <row r="835" spans="1:61">
      <c r="A835" s="164" t="s">
        <v>2194</v>
      </c>
      <c r="B835" t="s">
        <v>2195</v>
      </c>
      <c r="C835">
        <v>0</v>
      </c>
      <c r="D835" t="s">
        <v>194</v>
      </c>
      <c r="E835">
        <v>0</v>
      </c>
      <c r="F835" t="s">
        <v>195</v>
      </c>
      <c r="G835" t="s">
        <v>78</v>
      </c>
      <c r="H835" t="s">
        <v>79</v>
      </c>
      <c r="I835" t="s">
        <v>80</v>
      </c>
      <c r="J835" t="s">
        <v>196</v>
      </c>
      <c r="K835" t="s">
        <v>13</v>
      </c>
      <c r="L835" t="s">
        <v>83</v>
      </c>
      <c r="M835" t="s">
        <v>205</v>
      </c>
      <c r="N835">
        <v>1</v>
      </c>
      <c r="O835" t="b">
        <v>1</v>
      </c>
      <c r="P835">
        <v>0</v>
      </c>
      <c r="BB835">
        <v>0</v>
      </c>
      <c r="BC835" t="s">
        <v>197</v>
      </c>
      <c r="BD835" t="s">
        <v>198</v>
      </c>
      <c r="BE835" t="s">
        <v>117</v>
      </c>
      <c r="BF835">
        <v>0</v>
      </c>
      <c r="BG835">
        <v>0</v>
      </c>
      <c r="BH835">
        <v>0</v>
      </c>
    </row>
    <row r="836" spans="1:61">
      <c r="A836" s="164" t="s">
        <v>2196</v>
      </c>
      <c r="B836" t="s">
        <v>2197</v>
      </c>
      <c r="C836">
        <v>0</v>
      </c>
      <c r="D836" t="s">
        <v>194</v>
      </c>
      <c r="E836">
        <v>0</v>
      </c>
      <c r="F836" t="s">
        <v>195</v>
      </c>
      <c r="G836" t="s">
        <v>78</v>
      </c>
      <c r="H836" t="s">
        <v>79</v>
      </c>
      <c r="I836" t="s">
        <v>80</v>
      </c>
      <c r="J836" t="s">
        <v>196</v>
      </c>
      <c r="K836" t="s">
        <v>13</v>
      </c>
      <c r="L836" t="s">
        <v>83</v>
      </c>
      <c r="M836" t="s">
        <v>205</v>
      </c>
      <c r="N836">
        <v>1</v>
      </c>
      <c r="O836" t="b">
        <v>1</v>
      </c>
      <c r="P836">
        <v>0</v>
      </c>
      <c r="BB836">
        <v>0</v>
      </c>
      <c r="BC836" t="s">
        <v>197</v>
      </c>
      <c r="BD836" t="s">
        <v>198</v>
      </c>
      <c r="BE836" t="s">
        <v>117</v>
      </c>
      <c r="BF836">
        <v>0</v>
      </c>
      <c r="BG836">
        <v>0</v>
      </c>
      <c r="BH836">
        <v>0</v>
      </c>
    </row>
    <row r="837" spans="1:61">
      <c r="A837" s="164" t="s">
        <v>2198</v>
      </c>
      <c r="B837" t="s">
        <v>2199</v>
      </c>
      <c r="C837">
        <v>0</v>
      </c>
      <c r="D837" t="s">
        <v>194</v>
      </c>
      <c r="E837">
        <v>0</v>
      </c>
      <c r="F837" t="s">
        <v>195</v>
      </c>
      <c r="G837" t="s">
        <v>78</v>
      </c>
      <c r="H837" t="s">
        <v>79</v>
      </c>
      <c r="I837" t="s">
        <v>80</v>
      </c>
      <c r="J837" t="s">
        <v>196</v>
      </c>
      <c r="K837" t="s">
        <v>13</v>
      </c>
      <c r="L837" t="s">
        <v>83</v>
      </c>
      <c r="M837" t="s">
        <v>205</v>
      </c>
      <c r="N837">
        <v>1</v>
      </c>
      <c r="O837" t="b">
        <v>1</v>
      </c>
      <c r="P837">
        <v>0</v>
      </c>
      <c r="BB837">
        <v>0</v>
      </c>
      <c r="BC837" t="s">
        <v>197</v>
      </c>
      <c r="BD837" t="s">
        <v>198</v>
      </c>
      <c r="BE837" t="s">
        <v>117</v>
      </c>
      <c r="BF837">
        <v>0</v>
      </c>
      <c r="BG837">
        <v>0</v>
      </c>
      <c r="BH837">
        <v>0</v>
      </c>
    </row>
    <row r="838" spans="1:61">
      <c r="A838" s="164" t="s">
        <v>2200</v>
      </c>
      <c r="B838" t="s">
        <v>2201</v>
      </c>
      <c r="C838">
        <v>0</v>
      </c>
      <c r="D838" t="s">
        <v>194</v>
      </c>
      <c r="E838">
        <v>0</v>
      </c>
      <c r="F838" t="s">
        <v>214</v>
      </c>
      <c r="G838" t="s">
        <v>78</v>
      </c>
      <c r="H838" t="s">
        <v>79</v>
      </c>
      <c r="I838" t="s">
        <v>80</v>
      </c>
      <c r="J838" t="s">
        <v>196</v>
      </c>
      <c r="K838" t="s">
        <v>13</v>
      </c>
      <c r="L838" t="s">
        <v>83</v>
      </c>
      <c r="M838" t="s">
        <v>215</v>
      </c>
      <c r="N838">
        <v>1</v>
      </c>
      <c r="O838" t="b">
        <v>1</v>
      </c>
      <c r="P838">
        <v>0</v>
      </c>
      <c r="BB838">
        <v>0</v>
      </c>
      <c r="BC838" t="s">
        <v>197</v>
      </c>
      <c r="BD838" t="s">
        <v>216</v>
      </c>
      <c r="BE838" t="s">
        <v>117</v>
      </c>
      <c r="BF838">
        <v>0</v>
      </c>
      <c r="BG838">
        <v>0</v>
      </c>
      <c r="BH838">
        <v>0</v>
      </c>
    </row>
    <row r="839" spans="1:61">
      <c r="A839" s="164" t="s">
        <v>2202</v>
      </c>
      <c r="B839" t="s">
        <v>2203</v>
      </c>
      <c r="C839">
        <v>0</v>
      </c>
      <c r="D839" t="s">
        <v>486</v>
      </c>
      <c r="E839">
        <v>0</v>
      </c>
      <c r="F839" t="s">
        <v>2204</v>
      </c>
      <c r="G839" t="s">
        <v>103</v>
      </c>
      <c r="H839" t="s">
        <v>104</v>
      </c>
      <c r="I839" t="s">
        <v>80</v>
      </c>
      <c r="J839" t="s">
        <v>163</v>
      </c>
      <c r="K839" t="s">
        <v>82</v>
      </c>
      <c r="L839" t="s">
        <v>83</v>
      </c>
      <c r="M839" t="s">
        <v>84</v>
      </c>
      <c r="N839">
        <v>0.45</v>
      </c>
      <c r="O839" t="b">
        <v>1</v>
      </c>
      <c r="P839">
        <v>60</v>
      </c>
      <c r="Q839" t="s">
        <v>137</v>
      </c>
      <c r="S839">
        <v>0.45</v>
      </c>
      <c r="T839">
        <v>1</v>
      </c>
      <c r="U839" s="36">
        <v>2.63306</v>
      </c>
      <c r="V839" t="s">
        <v>165</v>
      </c>
      <c r="X839">
        <v>0</v>
      </c>
      <c r="Y839">
        <v>36</v>
      </c>
      <c r="Z839">
        <v>2.7777777777777776E-2</v>
      </c>
      <c r="AA839">
        <v>35</v>
      </c>
      <c r="AB839">
        <v>0</v>
      </c>
      <c r="AC839">
        <v>0</v>
      </c>
      <c r="AE839" t="s">
        <v>129</v>
      </c>
      <c r="AF839" t="s">
        <v>2204</v>
      </c>
      <c r="AG839" t="s">
        <v>129</v>
      </c>
      <c r="AH839">
        <v>0</v>
      </c>
      <c r="AI839">
        <v>10.199999999999999</v>
      </c>
      <c r="AJ839" t="s">
        <v>167</v>
      </c>
      <c r="AM839">
        <v>10.38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 t="s">
        <v>2205</v>
      </c>
      <c r="AY839">
        <v>5.3137999999999996</v>
      </c>
      <c r="AZ839">
        <v>3</v>
      </c>
      <c r="BA839" t="s">
        <v>138</v>
      </c>
      <c r="BB839">
        <v>0</v>
      </c>
      <c r="BC839" t="s">
        <v>95</v>
      </c>
      <c r="BD839" t="s">
        <v>96</v>
      </c>
      <c r="BE839" t="s">
        <v>97</v>
      </c>
      <c r="BF839">
        <v>0</v>
      </c>
      <c r="BG839">
        <v>0</v>
      </c>
      <c r="BH839">
        <v>0</v>
      </c>
      <c r="BI839" t="s">
        <v>98</v>
      </c>
    </row>
    <row r="840" spans="1:61">
      <c r="A840" s="164" t="s">
        <v>2206</v>
      </c>
      <c r="B840" t="s">
        <v>2207</v>
      </c>
      <c r="C840">
        <v>0</v>
      </c>
      <c r="D840" t="s">
        <v>486</v>
      </c>
      <c r="E840">
        <v>0</v>
      </c>
      <c r="F840" t="s">
        <v>1138</v>
      </c>
      <c r="G840" t="s">
        <v>78</v>
      </c>
      <c r="H840" t="s">
        <v>79</v>
      </c>
      <c r="I840" t="s">
        <v>80</v>
      </c>
      <c r="J840" t="s">
        <v>564</v>
      </c>
      <c r="K840" t="s">
        <v>775</v>
      </c>
      <c r="L840" t="s">
        <v>83</v>
      </c>
      <c r="M840" t="s">
        <v>84</v>
      </c>
      <c r="N840">
        <v>0.14599999999999999</v>
      </c>
      <c r="O840" t="b">
        <v>1</v>
      </c>
      <c r="P840">
        <v>45</v>
      </c>
      <c r="Q840" t="s">
        <v>137</v>
      </c>
      <c r="R840" t="s">
        <v>86</v>
      </c>
      <c r="S840">
        <v>0.14000000000000001</v>
      </c>
      <c r="T840">
        <v>1</v>
      </c>
      <c r="U840" s="36">
        <v>1.1321750000000002</v>
      </c>
      <c r="V840" t="s">
        <v>165</v>
      </c>
      <c r="X840">
        <v>0</v>
      </c>
      <c r="Y840">
        <v>110</v>
      </c>
      <c r="Z840">
        <v>9.0909090909090905E-3</v>
      </c>
      <c r="AA840">
        <v>30</v>
      </c>
      <c r="AB840">
        <v>0</v>
      </c>
      <c r="AC840">
        <v>0</v>
      </c>
      <c r="AE840" t="s">
        <v>129</v>
      </c>
      <c r="AF840" t="s">
        <v>1138</v>
      </c>
      <c r="AG840" t="s">
        <v>129</v>
      </c>
      <c r="AH840">
        <v>0</v>
      </c>
      <c r="AI840">
        <v>9.9</v>
      </c>
      <c r="AJ840" t="s">
        <v>167</v>
      </c>
      <c r="AM840">
        <v>10.38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 t="s">
        <v>2208</v>
      </c>
      <c r="AY840">
        <v>3.8</v>
      </c>
      <c r="AZ840">
        <v>0</v>
      </c>
      <c r="BA840" t="s">
        <v>138</v>
      </c>
      <c r="BB840">
        <v>2.2400000000000002</v>
      </c>
      <c r="BC840" t="s">
        <v>95</v>
      </c>
      <c r="BD840" t="s">
        <v>139</v>
      </c>
      <c r="BE840" t="s">
        <v>97</v>
      </c>
      <c r="BF840">
        <v>1</v>
      </c>
      <c r="BG840">
        <v>0</v>
      </c>
      <c r="BH840">
        <v>0</v>
      </c>
      <c r="BI840" t="s">
        <v>98</v>
      </c>
    </row>
    <row r="841" spans="1:61">
      <c r="A841" s="164" t="s">
        <v>2209</v>
      </c>
      <c r="B841" t="s">
        <v>2210</v>
      </c>
      <c r="C841">
        <v>0</v>
      </c>
      <c r="D841" t="s">
        <v>175</v>
      </c>
      <c r="E841">
        <v>0</v>
      </c>
      <c r="F841" t="s">
        <v>2211</v>
      </c>
      <c r="G841" t="s">
        <v>487</v>
      </c>
      <c r="H841" t="s">
        <v>117</v>
      </c>
      <c r="I841" t="s">
        <v>80</v>
      </c>
      <c r="J841" t="s">
        <v>163</v>
      </c>
      <c r="K841" t="s">
        <v>82</v>
      </c>
      <c r="L841" t="s">
        <v>83</v>
      </c>
      <c r="M841" t="s">
        <v>84</v>
      </c>
      <c r="N841">
        <v>0.3</v>
      </c>
      <c r="O841" t="b">
        <v>1</v>
      </c>
      <c r="P841">
        <v>40</v>
      </c>
      <c r="Q841" t="s">
        <v>137</v>
      </c>
      <c r="R841" t="s">
        <v>164</v>
      </c>
      <c r="S841">
        <v>0.7</v>
      </c>
      <c r="T841">
        <v>1</v>
      </c>
      <c r="V841" t="s">
        <v>165</v>
      </c>
      <c r="X841">
        <v>0</v>
      </c>
      <c r="Z841">
        <v>0</v>
      </c>
      <c r="AB841">
        <v>0</v>
      </c>
      <c r="AC841">
        <v>0</v>
      </c>
      <c r="AE841" t="s">
        <v>129</v>
      </c>
      <c r="AF841" t="s">
        <v>2211</v>
      </c>
      <c r="AG841" t="s">
        <v>129</v>
      </c>
      <c r="AH841">
        <v>0</v>
      </c>
      <c r="AI841">
        <v>9.4</v>
      </c>
      <c r="AJ841" t="s">
        <v>493</v>
      </c>
      <c r="AM841">
        <v>9.66</v>
      </c>
      <c r="AN841">
        <v>0</v>
      </c>
      <c r="AO841">
        <v>0</v>
      </c>
      <c r="AP841">
        <v>0</v>
      </c>
      <c r="AQ841">
        <v>4.8346055979643761E-2</v>
      </c>
      <c r="AR841">
        <v>0</v>
      </c>
      <c r="AS841">
        <v>0</v>
      </c>
      <c r="AT841">
        <v>1.0483460559796438</v>
      </c>
      <c r="AU841">
        <v>0</v>
      </c>
      <c r="AV841">
        <v>0</v>
      </c>
      <c r="AW841">
        <v>0</v>
      </c>
      <c r="AY841">
        <v>6.8033000000000001</v>
      </c>
      <c r="AZ841">
        <v>0</v>
      </c>
      <c r="BA841" t="s">
        <v>138</v>
      </c>
      <c r="BB841">
        <v>0</v>
      </c>
      <c r="BC841" t="s">
        <v>488</v>
      </c>
      <c r="BD841" t="s">
        <v>489</v>
      </c>
      <c r="BE841" t="s">
        <v>97</v>
      </c>
      <c r="BF841">
        <v>1</v>
      </c>
      <c r="BG841">
        <v>0</v>
      </c>
      <c r="BH841">
        <v>0</v>
      </c>
      <c r="BI841" t="s">
        <v>98</v>
      </c>
    </row>
    <row r="842" spans="1:61">
      <c r="A842" s="164" t="s">
        <v>2212</v>
      </c>
      <c r="B842" t="s">
        <v>2213</v>
      </c>
      <c r="C842">
        <v>0</v>
      </c>
      <c r="D842" t="s">
        <v>175</v>
      </c>
      <c r="E842">
        <v>0</v>
      </c>
      <c r="F842" t="s">
        <v>844</v>
      </c>
      <c r="G842" t="s">
        <v>487</v>
      </c>
      <c r="H842" t="s">
        <v>117</v>
      </c>
      <c r="I842" t="s">
        <v>80</v>
      </c>
      <c r="J842" t="s">
        <v>163</v>
      </c>
      <c r="K842" t="s">
        <v>82</v>
      </c>
      <c r="L842" t="s">
        <v>83</v>
      </c>
      <c r="M842" t="s">
        <v>84</v>
      </c>
      <c r="N842">
        <v>0.05</v>
      </c>
      <c r="O842" t="b">
        <v>1</v>
      </c>
      <c r="P842">
        <v>40</v>
      </c>
      <c r="Q842" t="s">
        <v>137</v>
      </c>
      <c r="R842" t="s">
        <v>164</v>
      </c>
      <c r="S842">
        <v>0.05</v>
      </c>
      <c r="T842">
        <v>1</v>
      </c>
      <c r="V842" t="s">
        <v>165</v>
      </c>
      <c r="X842">
        <v>0</v>
      </c>
      <c r="Z842">
        <v>0</v>
      </c>
      <c r="AB842">
        <v>0</v>
      </c>
      <c r="AC842">
        <v>0</v>
      </c>
      <c r="AE842" t="s">
        <v>129</v>
      </c>
      <c r="AF842" t="s">
        <v>844</v>
      </c>
      <c r="AG842" t="s">
        <v>129</v>
      </c>
      <c r="AH842">
        <v>0</v>
      </c>
      <c r="AI842">
        <v>7.8</v>
      </c>
      <c r="AJ842" t="s">
        <v>177</v>
      </c>
      <c r="AM842">
        <v>10.11</v>
      </c>
      <c r="AN842">
        <v>0</v>
      </c>
      <c r="AO842">
        <v>0</v>
      </c>
      <c r="AP842">
        <v>0</v>
      </c>
      <c r="AQ842">
        <v>2.8571428571428564E-2</v>
      </c>
      <c r="AR842">
        <v>0</v>
      </c>
      <c r="AS842">
        <v>0</v>
      </c>
      <c r="AT842">
        <v>1.0285714285714285</v>
      </c>
      <c r="AU842">
        <v>0</v>
      </c>
      <c r="AV842">
        <v>0</v>
      </c>
      <c r="AW842">
        <v>0</v>
      </c>
      <c r="AY842">
        <v>2.2258</v>
      </c>
      <c r="AZ842">
        <v>5</v>
      </c>
      <c r="BA842" t="s">
        <v>138</v>
      </c>
      <c r="BB842">
        <v>0</v>
      </c>
      <c r="BC842" t="s">
        <v>488</v>
      </c>
      <c r="BD842" t="s">
        <v>489</v>
      </c>
      <c r="BE842" t="s">
        <v>97</v>
      </c>
      <c r="BF842">
        <v>1</v>
      </c>
      <c r="BG842">
        <v>0</v>
      </c>
      <c r="BH842">
        <v>0</v>
      </c>
      <c r="BI842" t="s">
        <v>98</v>
      </c>
    </row>
    <row r="843" spans="1:61">
      <c r="A843" s="164" t="s">
        <v>2214</v>
      </c>
      <c r="B843" t="s">
        <v>2215</v>
      </c>
      <c r="C843">
        <v>0</v>
      </c>
      <c r="D843" t="s">
        <v>486</v>
      </c>
      <c r="E843">
        <v>0</v>
      </c>
      <c r="F843" t="s">
        <v>983</v>
      </c>
      <c r="G843" t="s">
        <v>78</v>
      </c>
      <c r="H843" t="s">
        <v>79</v>
      </c>
      <c r="I843" t="s">
        <v>80</v>
      </c>
      <c r="J843" t="s">
        <v>163</v>
      </c>
      <c r="K843" t="s">
        <v>82</v>
      </c>
      <c r="L843" t="s">
        <v>83</v>
      </c>
      <c r="M843" t="s">
        <v>84</v>
      </c>
      <c r="N843">
        <v>0.3</v>
      </c>
      <c r="O843" t="b">
        <v>1</v>
      </c>
      <c r="P843">
        <v>90</v>
      </c>
      <c r="Q843" t="s">
        <v>137</v>
      </c>
      <c r="S843">
        <v>0.3</v>
      </c>
      <c r="T843">
        <v>1</v>
      </c>
      <c r="U843" s="36">
        <v>2.4084500000000002</v>
      </c>
      <c r="V843" t="s">
        <v>165</v>
      </c>
      <c r="X843">
        <v>0</v>
      </c>
      <c r="Y843">
        <v>75</v>
      </c>
      <c r="Z843">
        <v>1.3333333333333334E-2</v>
      </c>
      <c r="AA843">
        <v>35</v>
      </c>
      <c r="AB843">
        <v>0</v>
      </c>
      <c r="AC843">
        <v>0</v>
      </c>
      <c r="AE843" t="s">
        <v>129</v>
      </c>
      <c r="AF843" t="s">
        <v>983</v>
      </c>
      <c r="AG843" t="s">
        <v>129</v>
      </c>
      <c r="AH843">
        <v>0</v>
      </c>
      <c r="AI843">
        <v>10.199999999999999</v>
      </c>
      <c r="AJ843" t="s">
        <v>167</v>
      </c>
      <c r="AM843">
        <v>10.38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 t="s">
        <v>2216</v>
      </c>
      <c r="AY843">
        <v>7.3017399999999997</v>
      </c>
      <c r="AZ843">
        <v>0</v>
      </c>
      <c r="BA843" t="s">
        <v>138</v>
      </c>
      <c r="BB843">
        <v>5.5</v>
      </c>
      <c r="BC843" t="s">
        <v>95</v>
      </c>
      <c r="BD843" t="s">
        <v>96</v>
      </c>
      <c r="BE843" t="s">
        <v>97</v>
      </c>
      <c r="BF843">
        <v>1</v>
      </c>
      <c r="BG843">
        <v>0</v>
      </c>
      <c r="BH843">
        <v>0</v>
      </c>
      <c r="BI843" t="s">
        <v>98</v>
      </c>
    </row>
    <row r="844" spans="1:61">
      <c r="A844" s="164" t="s">
        <v>2217</v>
      </c>
      <c r="B844" t="s">
        <v>2218</v>
      </c>
      <c r="C844">
        <v>0</v>
      </c>
      <c r="D844" t="s">
        <v>147</v>
      </c>
      <c r="E844">
        <v>0</v>
      </c>
      <c r="F844" t="s">
        <v>773</v>
      </c>
      <c r="G844" t="s">
        <v>78</v>
      </c>
      <c r="H844" t="s">
        <v>79</v>
      </c>
      <c r="I844" t="s">
        <v>80</v>
      </c>
      <c r="J844" t="s">
        <v>81</v>
      </c>
      <c r="K844" t="s">
        <v>82</v>
      </c>
      <c r="L844" t="s">
        <v>83</v>
      </c>
      <c r="M844" t="s">
        <v>84</v>
      </c>
      <c r="N844">
        <v>0.15</v>
      </c>
      <c r="O844" t="b">
        <v>1</v>
      </c>
      <c r="P844">
        <v>45</v>
      </c>
      <c r="Q844" t="s">
        <v>85</v>
      </c>
      <c r="R844" t="s">
        <v>86</v>
      </c>
      <c r="S844">
        <v>0.15</v>
      </c>
      <c r="T844">
        <v>1</v>
      </c>
      <c r="U844" s="36">
        <v>0.231685</v>
      </c>
      <c r="V844" t="s">
        <v>87</v>
      </c>
      <c r="W844">
        <v>150</v>
      </c>
      <c r="X844">
        <v>0.45</v>
      </c>
      <c r="Y844">
        <v>108</v>
      </c>
      <c r="Z844">
        <v>9.2592592592592587E-3</v>
      </c>
      <c r="AA844">
        <v>30</v>
      </c>
      <c r="AB844">
        <v>0</v>
      </c>
      <c r="AC844">
        <v>540</v>
      </c>
      <c r="AD844">
        <v>3600</v>
      </c>
      <c r="AE844" t="s">
        <v>88</v>
      </c>
      <c r="AF844" t="s">
        <v>2219</v>
      </c>
      <c r="AG844" t="s">
        <v>240</v>
      </c>
      <c r="AH844">
        <v>0</v>
      </c>
      <c r="AI844">
        <v>0.9</v>
      </c>
      <c r="AJ844" t="s">
        <v>91</v>
      </c>
      <c r="AK844" t="s">
        <v>92</v>
      </c>
      <c r="AL844" t="s">
        <v>93</v>
      </c>
      <c r="AM844">
        <v>0.33553925925925926</v>
      </c>
      <c r="AN844">
        <v>0.22369283950617286</v>
      </c>
      <c r="AO844">
        <v>0.34672390123456792</v>
      </c>
      <c r="AP844">
        <v>0</v>
      </c>
      <c r="AQ844">
        <v>8.6691086691086688E-2</v>
      </c>
      <c r="AR844">
        <v>2.6666666666666505E-3</v>
      </c>
      <c r="AS844">
        <v>0</v>
      </c>
      <c r="AT844">
        <v>1.0866910866910866</v>
      </c>
      <c r="AU844">
        <v>1.0026666666666666</v>
      </c>
      <c r="AV844">
        <v>1</v>
      </c>
      <c r="AW844">
        <v>0</v>
      </c>
      <c r="AX844" t="s">
        <v>2220</v>
      </c>
      <c r="AY844">
        <v>8.9</v>
      </c>
      <c r="AZ844">
        <v>0</v>
      </c>
      <c r="BA844" t="s">
        <v>94</v>
      </c>
      <c r="BB844">
        <v>0.71</v>
      </c>
      <c r="BC844" t="s">
        <v>95</v>
      </c>
      <c r="BD844" t="s">
        <v>96</v>
      </c>
      <c r="BE844" t="s">
        <v>97</v>
      </c>
      <c r="BF844">
        <v>1</v>
      </c>
      <c r="BG844">
        <v>0</v>
      </c>
      <c r="BH844">
        <v>0</v>
      </c>
      <c r="BI844" t="s">
        <v>98</v>
      </c>
    </row>
    <row r="845" spans="1:61">
      <c r="A845" s="164" t="s">
        <v>2221</v>
      </c>
      <c r="B845" t="s">
        <v>2222</v>
      </c>
      <c r="C845">
        <v>0</v>
      </c>
      <c r="D845" t="s">
        <v>147</v>
      </c>
      <c r="E845">
        <v>0</v>
      </c>
      <c r="F845" t="s">
        <v>472</v>
      </c>
      <c r="G845" t="s">
        <v>78</v>
      </c>
      <c r="H845" t="s">
        <v>79</v>
      </c>
      <c r="I845" t="s">
        <v>80</v>
      </c>
      <c r="J845" t="s">
        <v>81</v>
      </c>
      <c r="K845" t="s">
        <v>82</v>
      </c>
      <c r="L845" t="s">
        <v>83</v>
      </c>
      <c r="M845" t="s">
        <v>84</v>
      </c>
      <c r="N845">
        <v>0.18</v>
      </c>
      <c r="O845" t="b">
        <v>1</v>
      </c>
      <c r="P845">
        <v>45</v>
      </c>
      <c r="Q845" t="s">
        <v>85</v>
      </c>
      <c r="R845" t="s">
        <v>86</v>
      </c>
      <c r="S845">
        <v>0.18</v>
      </c>
      <c r="T845">
        <v>1</v>
      </c>
      <c r="U845" s="36">
        <v>0.29577500000000001</v>
      </c>
      <c r="V845" t="s">
        <v>87</v>
      </c>
      <c r="W845">
        <v>125</v>
      </c>
      <c r="X845">
        <v>0.38897500000000002</v>
      </c>
      <c r="Y845">
        <v>108</v>
      </c>
      <c r="Z845">
        <v>9.2592592592592587E-3</v>
      </c>
      <c r="AA845">
        <v>30</v>
      </c>
      <c r="AB845">
        <v>0</v>
      </c>
      <c r="AC845">
        <v>500</v>
      </c>
      <c r="AD845">
        <v>2777.7777777777778</v>
      </c>
      <c r="AE845" t="s">
        <v>143</v>
      </c>
      <c r="AF845" t="s">
        <v>156</v>
      </c>
      <c r="AG845" t="s">
        <v>157</v>
      </c>
      <c r="AH845">
        <v>0</v>
      </c>
      <c r="AI845">
        <v>0.9</v>
      </c>
      <c r="AJ845" t="s">
        <v>91</v>
      </c>
      <c r="AK845" t="s">
        <v>92</v>
      </c>
      <c r="AL845" t="s">
        <v>93</v>
      </c>
      <c r="AM845">
        <v>0.33553925925925926</v>
      </c>
      <c r="AN845">
        <v>0.22369283950617286</v>
      </c>
      <c r="AO845">
        <v>0.34672390123456792</v>
      </c>
      <c r="AP845">
        <v>0</v>
      </c>
      <c r="AQ845">
        <v>8.6691086691086688E-2</v>
      </c>
      <c r="AR845">
        <v>2.6666666666666505E-3</v>
      </c>
      <c r="AS845">
        <v>0</v>
      </c>
      <c r="AT845">
        <v>1.0866910866910866</v>
      </c>
      <c r="AU845">
        <v>1.0026666666666666</v>
      </c>
      <c r="AV845">
        <v>1</v>
      </c>
      <c r="AW845">
        <v>0</v>
      </c>
      <c r="AX845" t="s">
        <v>2223</v>
      </c>
      <c r="AY845">
        <v>16.2</v>
      </c>
      <c r="AZ845">
        <v>0</v>
      </c>
      <c r="BA845" t="s">
        <v>94</v>
      </c>
      <c r="BB845">
        <v>0.75</v>
      </c>
      <c r="BC845" t="s">
        <v>95</v>
      </c>
      <c r="BD845" t="s">
        <v>96</v>
      </c>
      <c r="BE845" t="s">
        <v>97</v>
      </c>
      <c r="BF845">
        <v>1</v>
      </c>
      <c r="BG845">
        <v>0</v>
      </c>
      <c r="BH845">
        <v>0</v>
      </c>
      <c r="BI845" t="s">
        <v>98</v>
      </c>
    </row>
    <row r="846" spans="1:61">
      <c r="A846" s="164" t="s">
        <v>2224</v>
      </c>
      <c r="B846" t="s">
        <v>2225</v>
      </c>
      <c r="C846">
        <v>0</v>
      </c>
      <c r="D846" t="s">
        <v>304</v>
      </c>
      <c r="E846">
        <v>0</v>
      </c>
      <c r="F846" t="s">
        <v>342</v>
      </c>
      <c r="G846" t="s">
        <v>78</v>
      </c>
      <c r="H846" t="s">
        <v>79</v>
      </c>
      <c r="I846" t="s">
        <v>80</v>
      </c>
      <c r="J846" t="s">
        <v>196</v>
      </c>
      <c r="K846" t="s">
        <v>13</v>
      </c>
      <c r="L846" t="s">
        <v>83</v>
      </c>
      <c r="M846" t="s">
        <v>84</v>
      </c>
      <c r="N846">
        <v>1</v>
      </c>
      <c r="O846" t="b">
        <v>1</v>
      </c>
      <c r="P846">
        <v>0</v>
      </c>
      <c r="BB846">
        <v>0</v>
      </c>
      <c r="BC846" t="s">
        <v>306</v>
      </c>
      <c r="BD846" t="s">
        <v>343</v>
      </c>
      <c r="BE846" t="s">
        <v>117</v>
      </c>
      <c r="BF846">
        <v>0</v>
      </c>
      <c r="BG846">
        <v>25</v>
      </c>
      <c r="BH846">
        <v>10000</v>
      </c>
      <c r="BI846" t="s">
        <v>344</v>
      </c>
    </row>
    <row r="847" spans="1:61">
      <c r="A847" s="164" t="s">
        <v>2226</v>
      </c>
      <c r="B847" t="s">
        <v>2227</v>
      </c>
      <c r="C847">
        <v>0</v>
      </c>
      <c r="D847" t="s">
        <v>304</v>
      </c>
      <c r="E847">
        <v>0</v>
      </c>
      <c r="F847" t="s">
        <v>342</v>
      </c>
      <c r="G847" t="s">
        <v>78</v>
      </c>
      <c r="H847" t="s">
        <v>79</v>
      </c>
      <c r="I847" t="s">
        <v>80</v>
      </c>
      <c r="J847" t="s">
        <v>196</v>
      </c>
      <c r="K847" t="s">
        <v>13</v>
      </c>
      <c r="L847" t="s">
        <v>83</v>
      </c>
      <c r="M847" t="s">
        <v>84</v>
      </c>
      <c r="N847">
        <v>1</v>
      </c>
      <c r="O847" t="b">
        <v>1</v>
      </c>
      <c r="P847">
        <v>0</v>
      </c>
      <c r="BB847">
        <v>0</v>
      </c>
      <c r="BC847" t="s">
        <v>306</v>
      </c>
      <c r="BD847" t="s">
        <v>343</v>
      </c>
      <c r="BE847" t="s">
        <v>117</v>
      </c>
      <c r="BF847">
        <v>0</v>
      </c>
      <c r="BG847">
        <v>25</v>
      </c>
      <c r="BH847">
        <v>10000</v>
      </c>
      <c r="BI847" t="s">
        <v>344</v>
      </c>
    </row>
    <row r="848" spans="1:61">
      <c r="A848" s="164" t="s">
        <v>2228</v>
      </c>
      <c r="B848" t="s">
        <v>2229</v>
      </c>
      <c r="C848">
        <v>0</v>
      </c>
      <c r="D848" t="s">
        <v>304</v>
      </c>
      <c r="E848">
        <v>0</v>
      </c>
      <c r="F848" t="s">
        <v>342</v>
      </c>
      <c r="G848" t="s">
        <v>78</v>
      </c>
      <c r="H848" t="s">
        <v>79</v>
      </c>
      <c r="I848" t="s">
        <v>80</v>
      </c>
      <c r="J848" t="s">
        <v>196</v>
      </c>
      <c r="K848" t="s">
        <v>13</v>
      </c>
      <c r="L848" t="s">
        <v>83</v>
      </c>
      <c r="M848" t="s">
        <v>84</v>
      </c>
      <c r="N848">
        <v>1</v>
      </c>
      <c r="O848" t="b">
        <v>1</v>
      </c>
      <c r="P848">
        <v>0</v>
      </c>
      <c r="BB848">
        <v>0</v>
      </c>
      <c r="BC848" t="s">
        <v>306</v>
      </c>
      <c r="BD848" t="s">
        <v>343</v>
      </c>
      <c r="BE848" t="s">
        <v>117</v>
      </c>
      <c r="BF848">
        <v>0</v>
      </c>
      <c r="BG848">
        <v>25</v>
      </c>
      <c r="BH848">
        <v>10000</v>
      </c>
      <c r="BI848" t="s">
        <v>344</v>
      </c>
    </row>
    <row r="849" spans="1:61">
      <c r="A849" s="164" t="s">
        <v>2230</v>
      </c>
      <c r="B849" t="s">
        <v>2231</v>
      </c>
      <c r="C849">
        <v>0</v>
      </c>
      <c r="D849" t="s">
        <v>304</v>
      </c>
      <c r="E849">
        <v>0</v>
      </c>
      <c r="F849" t="s">
        <v>357</v>
      </c>
      <c r="G849" t="s">
        <v>78</v>
      </c>
      <c r="H849" t="s">
        <v>79</v>
      </c>
      <c r="I849" t="s">
        <v>80</v>
      </c>
      <c r="J849" t="s">
        <v>196</v>
      </c>
      <c r="K849" t="s">
        <v>13</v>
      </c>
      <c r="L849" t="s">
        <v>83</v>
      </c>
      <c r="M849" t="s">
        <v>84</v>
      </c>
      <c r="N849">
        <v>1</v>
      </c>
      <c r="O849" t="b">
        <v>1</v>
      </c>
      <c r="P849">
        <v>0</v>
      </c>
      <c r="BB849">
        <v>0</v>
      </c>
      <c r="BC849" t="s">
        <v>306</v>
      </c>
      <c r="BD849" t="s">
        <v>358</v>
      </c>
      <c r="BE849" t="s">
        <v>117</v>
      </c>
      <c r="BF849">
        <v>0</v>
      </c>
      <c r="BG849">
        <v>30</v>
      </c>
      <c r="BH849">
        <v>500</v>
      </c>
      <c r="BI849" t="s">
        <v>359</v>
      </c>
    </row>
    <row r="850" spans="1:61">
      <c r="A850" s="164" t="s">
        <v>2232</v>
      </c>
      <c r="B850" t="s">
        <v>2233</v>
      </c>
      <c r="C850">
        <v>0</v>
      </c>
      <c r="D850" t="s">
        <v>304</v>
      </c>
      <c r="E850">
        <v>0</v>
      </c>
      <c r="F850" t="s">
        <v>305</v>
      </c>
      <c r="G850" t="s">
        <v>78</v>
      </c>
      <c r="H850" t="s">
        <v>79</v>
      </c>
      <c r="I850" t="s">
        <v>80</v>
      </c>
      <c r="J850" t="s">
        <v>196</v>
      </c>
      <c r="K850" t="s">
        <v>13</v>
      </c>
      <c r="L850" t="s">
        <v>83</v>
      </c>
      <c r="M850" t="s">
        <v>84</v>
      </c>
      <c r="N850">
        <v>1</v>
      </c>
      <c r="O850" t="b">
        <v>1</v>
      </c>
      <c r="P850">
        <v>0</v>
      </c>
      <c r="BB850">
        <v>0</v>
      </c>
      <c r="BC850" t="s">
        <v>306</v>
      </c>
      <c r="BD850" t="s">
        <v>307</v>
      </c>
      <c r="BE850" t="s">
        <v>117</v>
      </c>
      <c r="BF850">
        <v>0</v>
      </c>
      <c r="BG850">
        <v>20</v>
      </c>
      <c r="BH850">
        <v>5000</v>
      </c>
      <c r="BI850" t="s">
        <v>308</v>
      </c>
    </row>
    <row r="851" spans="1:61">
      <c r="A851" s="164" t="s">
        <v>2234</v>
      </c>
      <c r="B851" t="s">
        <v>2235</v>
      </c>
      <c r="C851">
        <v>0</v>
      </c>
      <c r="D851" t="s">
        <v>304</v>
      </c>
      <c r="E851">
        <v>0</v>
      </c>
      <c r="F851" t="s">
        <v>269</v>
      </c>
      <c r="G851" t="s">
        <v>103</v>
      </c>
      <c r="H851" t="s">
        <v>104</v>
      </c>
      <c r="I851" t="s">
        <v>80</v>
      </c>
      <c r="J851" t="s">
        <v>196</v>
      </c>
      <c r="K851" t="s">
        <v>13</v>
      </c>
      <c r="L851" t="s">
        <v>83</v>
      </c>
      <c r="M851" t="s">
        <v>84</v>
      </c>
      <c r="N851">
        <v>1</v>
      </c>
      <c r="O851" t="b">
        <v>0</v>
      </c>
      <c r="P851">
        <v>0</v>
      </c>
      <c r="BB851">
        <v>0</v>
      </c>
      <c r="BC851" t="s">
        <v>306</v>
      </c>
      <c r="BD851" t="s">
        <v>270</v>
      </c>
      <c r="BE851" t="s">
        <v>117</v>
      </c>
      <c r="BF851">
        <v>0</v>
      </c>
      <c r="BG851">
        <v>0</v>
      </c>
      <c r="BH851">
        <v>0</v>
      </c>
    </row>
    <row r="852" spans="1:61">
      <c r="A852" s="164" t="s">
        <v>2236</v>
      </c>
      <c r="B852" t="s">
        <v>2237</v>
      </c>
      <c r="C852">
        <v>0</v>
      </c>
      <c r="D852" t="s">
        <v>304</v>
      </c>
      <c r="E852">
        <v>0</v>
      </c>
      <c r="F852" t="s">
        <v>269</v>
      </c>
      <c r="G852" t="s">
        <v>103</v>
      </c>
      <c r="H852" t="s">
        <v>104</v>
      </c>
      <c r="I852" t="s">
        <v>80</v>
      </c>
      <c r="J852" t="s">
        <v>196</v>
      </c>
      <c r="K852" t="s">
        <v>13</v>
      </c>
      <c r="L852" t="s">
        <v>83</v>
      </c>
      <c r="M852" t="s">
        <v>84</v>
      </c>
      <c r="N852">
        <v>1</v>
      </c>
      <c r="O852" t="b">
        <v>0</v>
      </c>
      <c r="P852">
        <v>0</v>
      </c>
      <c r="BB852">
        <v>0</v>
      </c>
      <c r="BC852" t="s">
        <v>306</v>
      </c>
      <c r="BD852" t="s">
        <v>270</v>
      </c>
      <c r="BE852" t="s">
        <v>117</v>
      </c>
      <c r="BF852">
        <v>0</v>
      </c>
      <c r="BG852">
        <v>0</v>
      </c>
      <c r="BH852">
        <v>0</v>
      </c>
    </row>
    <row r="853" spans="1:61">
      <c r="A853" s="164" t="s">
        <v>2238</v>
      </c>
      <c r="B853" t="s">
        <v>2239</v>
      </c>
      <c r="C853">
        <v>0</v>
      </c>
      <c r="D853" t="s">
        <v>304</v>
      </c>
      <c r="E853">
        <v>0</v>
      </c>
      <c r="F853" t="s">
        <v>269</v>
      </c>
      <c r="G853" t="s">
        <v>103</v>
      </c>
      <c r="H853" t="s">
        <v>104</v>
      </c>
      <c r="I853" t="s">
        <v>80</v>
      </c>
      <c r="J853" t="s">
        <v>196</v>
      </c>
      <c r="K853" t="s">
        <v>13</v>
      </c>
      <c r="L853" t="s">
        <v>83</v>
      </c>
      <c r="M853" t="s">
        <v>84</v>
      </c>
      <c r="N853">
        <v>1</v>
      </c>
      <c r="O853" t="b">
        <v>0</v>
      </c>
      <c r="P853">
        <v>0</v>
      </c>
      <c r="BB853">
        <v>0</v>
      </c>
      <c r="BC853" t="s">
        <v>306</v>
      </c>
      <c r="BD853" t="s">
        <v>270</v>
      </c>
      <c r="BE853" t="s">
        <v>117</v>
      </c>
      <c r="BF853">
        <v>0</v>
      </c>
      <c r="BG853">
        <v>0</v>
      </c>
      <c r="BH853">
        <v>0</v>
      </c>
    </row>
    <row r="854" spans="1:61">
      <c r="A854" s="164" t="s">
        <v>2240</v>
      </c>
      <c r="B854" t="s">
        <v>2241</v>
      </c>
      <c r="C854">
        <v>0</v>
      </c>
      <c r="D854" t="s">
        <v>257</v>
      </c>
      <c r="E854">
        <v>0</v>
      </c>
      <c r="F854" t="s">
        <v>269</v>
      </c>
      <c r="G854" t="s">
        <v>103</v>
      </c>
      <c r="H854" t="s">
        <v>104</v>
      </c>
      <c r="I854" t="s">
        <v>80</v>
      </c>
      <c r="J854" t="s">
        <v>196</v>
      </c>
      <c r="K854" t="s">
        <v>13</v>
      </c>
      <c r="L854" t="s">
        <v>83</v>
      </c>
      <c r="M854" t="s">
        <v>205</v>
      </c>
      <c r="N854">
        <v>1</v>
      </c>
      <c r="O854" t="b">
        <v>0</v>
      </c>
      <c r="P854">
        <v>0</v>
      </c>
      <c r="BB854">
        <v>0</v>
      </c>
      <c r="BC854" t="s">
        <v>259</v>
      </c>
      <c r="BD854" t="s">
        <v>270</v>
      </c>
      <c r="BE854" t="s">
        <v>117</v>
      </c>
      <c r="BF854">
        <v>0</v>
      </c>
      <c r="BG854">
        <v>0</v>
      </c>
      <c r="BH854">
        <v>0</v>
      </c>
    </row>
    <row r="855" spans="1:61">
      <c r="A855" s="164" t="s">
        <v>2242</v>
      </c>
      <c r="B855" t="s">
        <v>2243</v>
      </c>
      <c r="C855">
        <v>0</v>
      </c>
      <c r="D855" t="s">
        <v>257</v>
      </c>
      <c r="E855">
        <v>0</v>
      </c>
      <c r="F855" t="s">
        <v>269</v>
      </c>
      <c r="G855" t="s">
        <v>103</v>
      </c>
      <c r="H855" t="s">
        <v>104</v>
      </c>
      <c r="I855" t="s">
        <v>80</v>
      </c>
      <c r="J855" t="s">
        <v>196</v>
      </c>
      <c r="K855" t="s">
        <v>13</v>
      </c>
      <c r="L855" t="s">
        <v>83</v>
      </c>
      <c r="M855" t="s">
        <v>205</v>
      </c>
      <c r="N855">
        <v>1</v>
      </c>
      <c r="O855" t="b">
        <v>0</v>
      </c>
      <c r="P855">
        <v>0</v>
      </c>
      <c r="BB855">
        <v>0</v>
      </c>
      <c r="BC855" t="s">
        <v>259</v>
      </c>
      <c r="BD855" t="s">
        <v>270</v>
      </c>
      <c r="BE855" t="s">
        <v>117</v>
      </c>
      <c r="BF855">
        <v>0</v>
      </c>
      <c r="BG855">
        <v>0</v>
      </c>
      <c r="BH855">
        <v>0</v>
      </c>
    </row>
    <row r="856" spans="1:61">
      <c r="A856" s="164" t="s">
        <v>2244</v>
      </c>
      <c r="B856" t="s">
        <v>2245</v>
      </c>
      <c r="C856">
        <v>0</v>
      </c>
      <c r="D856" t="s">
        <v>257</v>
      </c>
      <c r="E856">
        <v>0</v>
      </c>
      <c r="F856" t="s">
        <v>269</v>
      </c>
      <c r="G856" t="s">
        <v>103</v>
      </c>
      <c r="H856" t="s">
        <v>104</v>
      </c>
      <c r="I856" t="s">
        <v>80</v>
      </c>
      <c r="J856" t="s">
        <v>196</v>
      </c>
      <c r="K856" t="s">
        <v>13</v>
      </c>
      <c r="L856" t="s">
        <v>83</v>
      </c>
      <c r="M856" t="s">
        <v>205</v>
      </c>
      <c r="N856">
        <v>1</v>
      </c>
      <c r="O856" t="b">
        <v>0</v>
      </c>
      <c r="P856">
        <v>0</v>
      </c>
      <c r="BB856">
        <v>0</v>
      </c>
      <c r="BC856" t="s">
        <v>259</v>
      </c>
      <c r="BD856" t="s">
        <v>270</v>
      </c>
      <c r="BE856" t="s">
        <v>117</v>
      </c>
      <c r="BF856">
        <v>0</v>
      </c>
      <c r="BG856">
        <v>0</v>
      </c>
      <c r="BH856">
        <v>0</v>
      </c>
    </row>
    <row r="857" spans="1:61">
      <c r="A857" s="164" t="s">
        <v>2246</v>
      </c>
      <c r="B857" t="s">
        <v>2247</v>
      </c>
      <c r="C857">
        <v>0</v>
      </c>
      <c r="D857" t="s">
        <v>257</v>
      </c>
      <c r="E857">
        <v>0</v>
      </c>
      <c r="F857" t="s">
        <v>269</v>
      </c>
      <c r="G857" t="s">
        <v>103</v>
      </c>
      <c r="H857" t="s">
        <v>104</v>
      </c>
      <c r="I857" t="s">
        <v>80</v>
      </c>
      <c r="J857" t="s">
        <v>196</v>
      </c>
      <c r="K857" t="s">
        <v>13</v>
      </c>
      <c r="L857" t="s">
        <v>83</v>
      </c>
      <c r="M857" t="s">
        <v>548</v>
      </c>
      <c r="N857">
        <v>1</v>
      </c>
      <c r="O857" t="b">
        <v>0</v>
      </c>
      <c r="P857">
        <v>0</v>
      </c>
      <c r="BB857">
        <v>0</v>
      </c>
      <c r="BC857" t="s">
        <v>259</v>
      </c>
      <c r="BD857" t="s">
        <v>270</v>
      </c>
      <c r="BE857" t="s">
        <v>117</v>
      </c>
      <c r="BF857">
        <v>0</v>
      </c>
      <c r="BG857">
        <v>0</v>
      </c>
      <c r="BH857">
        <v>0</v>
      </c>
    </row>
    <row r="858" spans="1:61">
      <c r="A858" s="164" t="s">
        <v>2248</v>
      </c>
      <c r="B858" t="s">
        <v>2249</v>
      </c>
      <c r="C858">
        <v>0</v>
      </c>
      <c r="D858" t="s">
        <v>257</v>
      </c>
      <c r="E858">
        <v>0</v>
      </c>
      <c r="F858" t="s">
        <v>269</v>
      </c>
      <c r="G858" t="s">
        <v>103</v>
      </c>
      <c r="H858" t="s">
        <v>104</v>
      </c>
      <c r="I858" t="s">
        <v>80</v>
      </c>
      <c r="J858" t="s">
        <v>196</v>
      </c>
      <c r="K858" t="s">
        <v>13</v>
      </c>
      <c r="L858" t="s">
        <v>83</v>
      </c>
      <c r="M858" t="s">
        <v>205</v>
      </c>
      <c r="N858">
        <v>1</v>
      </c>
      <c r="O858" t="b">
        <v>0</v>
      </c>
      <c r="P858">
        <v>0</v>
      </c>
      <c r="BB858">
        <v>0</v>
      </c>
      <c r="BC858" t="s">
        <v>259</v>
      </c>
      <c r="BD858" t="s">
        <v>270</v>
      </c>
      <c r="BE858" t="s">
        <v>117</v>
      </c>
      <c r="BF858">
        <v>0</v>
      </c>
      <c r="BG858">
        <v>0</v>
      </c>
      <c r="BH858">
        <v>0</v>
      </c>
    </row>
    <row r="859" spans="1:61">
      <c r="A859" s="164" t="s">
        <v>2250</v>
      </c>
      <c r="B859" t="s">
        <v>2251</v>
      </c>
      <c r="C859">
        <v>0</v>
      </c>
      <c r="D859" t="s">
        <v>257</v>
      </c>
      <c r="E859">
        <v>0</v>
      </c>
      <c r="F859" t="s">
        <v>925</v>
      </c>
      <c r="G859" t="s">
        <v>78</v>
      </c>
      <c r="H859" t="s">
        <v>79</v>
      </c>
      <c r="I859" t="s">
        <v>80</v>
      </c>
      <c r="J859" t="s">
        <v>196</v>
      </c>
      <c r="K859" t="s">
        <v>13</v>
      </c>
      <c r="L859" t="s">
        <v>83</v>
      </c>
      <c r="M859" t="s">
        <v>205</v>
      </c>
      <c r="N859">
        <v>1</v>
      </c>
      <c r="O859" t="b">
        <v>1</v>
      </c>
      <c r="P859">
        <v>0</v>
      </c>
      <c r="BB859">
        <v>0</v>
      </c>
      <c r="BC859" t="s">
        <v>259</v>
      </c>
      <c r="BD859" t="s">
        <v>926</v>
      </c>
      <c r="BE859" t="s">
        <v>117</v>
      </c>
      <c r="BF859">
        <v>0</v>
      </c>
      <c r="BG859">
        <v>15</v>
      </c>
      <c r="BH859">
        <v>40</v>
      </c>
      <c r="BI859" t="s">
        <v>2252</v>
      </c>
    </row>
    <row r="860" spans="1:61">
      <c r="A860" s="164" t="s">
        <v>2253</v>
      </c>
      <c r="B860" t="s">
        <v>2254</v>
      </c>
      <c r="C860">
        <v>0</v>
      </c>
      <c r="D860" t="s">
        <v>257</v>
      </c>
      <c r="E860">
        <v>0</v>
      </c>
      <c r="F860" t="s">
        <v>269</v>
      </c>
      <c r="G860" t="s">
        <v>103</v>
      </c>
      <c r="H860" t="s">
        <v>104</v>
      </c>
      <c r="I860" t="s">
        <v>80</v>
      </c>
      <c r="J860" t="s">
        <v>196</v>
      </c>
      <c r="K860" t="s">
        <v>13</v>
      </c>
      <c r="L860" t="s">
        <v>83</v>
      </c>
      <c r="M860" t="s">
        <v>205</v>
      </c>
      <c r="N860">
        <v>1</v>
      </c>
      <c r="O860" t="b">
        <v>0</v>
      </c>
      <c r="P860">
        <v>0</v>
      </c>
      <c r="BB860">
        <v>0</v>
      </c>
      <c r="BC860" t="s">
        <v>259</v>
      </c>
      <c r="BD860" t="s">
        <v>270</v>
      </c>
      <c r="BE860" t="s">
        <v>117</v>
      </c>
      <c r="BF860">
        <v>0</v>
      </c>
      <c r="BG860">
        <v>0</v>
      </c>
      <c r="BH860">
        <v>0</v>
      </c>
    </row>
    <row r="861" spans="1:61">
      <c r="A861" s="164" t="s">
        <v>2255</v>
      </c>
      <c r="B861" t="s">
        <v>2256</v>
      </c>
      <c r="C861">
        <v>0</v>
      </c>
      <c r="D861" t="s">
        <v>257</v>
      </c>
      <c r="E861">
        <v>0</v>
      </c>
      <c r="F861" t="s">
        <v>269</v>
      </c>
      <c r="G861" t="s">
        <v>103</v>
      </c>
      <c r="H861" t="s">
        <v>104</v>
      </c>
      <c r="I861" t="s">
        <v>80</v>
      </c>
      <c r="J861" t="s">
        <v>196</v>
      </c>
      <c r="K861" t="s">
        <v>13</v>
      </c>
      <c r="L861" t="s">
        <v>83</v>
      </c>
      <c r="M861" t="s">
        <v>205</v>
      </c>
      <c r="N861">
        <v>1</v>
      </c>
      <c r="O861" t="b">
        <v>0</v>
      </c>
      <c r="P861">
        <v>0</v>
      </c>
      <c r="BB861">
        <v>0</v>
      </c>
      <c r="BC861" t="s">
        <v>259</v>
      </c>
      <c r="BD861" t="s">
        <v>270</v>
      </c>
      <c r="BE861" t="s">
        <v>117</v>
      </c>
      <c r="BF861">
        <v>0</v>
      </c>
      <c r="BG861">
        <v>0</v>
      </c>
      <c r="BH861">
        <v>0</v>
      </c>
    </row>
    <row r="862" spans="1:61">
      <c r="A862" s="164" t="s">
        <v>2257</v>
      </c>
      <c r="B862" t="s">
        <v>2258</v>
      </c>
      <c r="C862">
        <v>0</v>
      </c>
      <c r="D862" t="s">
        <v>257</v>
      </c>
      <c r="E862">
        <v>0</v>
      </c>
      <c r="F862" t="s">
        <v>269</v>
      </c>
      <c r="G862" t="s">
        <v>103</v>
      </c>
      <c r="H862" t="s">
        <v>104</v>
      </c>
      <c r="I862" t="s">
        <v>80</v>
      </c>
      <c r="J862" t="s">
        <v>196</v>
      </c>
      <c r="K862" t="s">
        <v>13</v>
      </c>
      <c r="L862" t="s">
        <v>83</v>
      </c>
      <c r="M862" t="s">
        <v>84</v>
      </c>
      <c r="N862">
        <v>1</v>
      </c>
      <c r="O862" t="b">
        <v>0</v>
      </c>
      <c r="P862">
        <v>0</v>
      </c>
      <c r="BB862">
        <v>0</v>
      </c>
      <c r="BC862" t="s">
        <v>259</v>
      </c>
      <c r="BD862" t="s">
        <v>270</v>
      </c>
      <c r="BE862" t="s">
        <v>117</v>
      </c>
      <c r="BF862">
        <v>0</v>
      </c>
      <c r="BG862">
        <v>0</v>
      </c>
      <c r="BH862">
        <v>0</v>
      </c>
    </row>
    <row r="863" spans="1:61">
      <c r="A863" s="164" t="s">
        <v>2259</v>
      </c>
      <c r="B863" t="s">
        <v>2260</v>
      </c>
      <c r="C863">
        <v>0</v>
      </c>
      <c r="D863" t="s">
        <v>486</v>
      </c>
      <c r="E863">
        <v>0</v>
      </c>
      <c r="F863" t="s">
        <v>2261</v>
      </c>
      <c r="G863" t="s">
        <v>78</v>
      </c>
      <c r="H863" t="s">
        <v>79</v>
      </c>
      <c r="I863" t="s">
        <v>80</v>
      </c>
      <c r="J863" t="s">
        <v>163</v>
      </c>
      <c r="K863" t="s">
        <v>82</v>
      </c>
      <c r="L863" t="s">
        <v>83</v>
      </c>
      <c r="M863" t="s">
        <v>84</v>
      </c>
      <c r="N863">
        <v>0.35</v>
      </c>
      <c r="O863" t="b">
        <v>1</v>
      </c>
      <c r="P863">
        <v>60</v>
      </c>
      <c r="Q863" t="s">
        <v>137</v>
      </c>
      <c r="S863">
        <v>0.35</v>
      </c>
      <c r="T863">
        <v>1</v>
      </c>
      <c r="U863" s="36">
        <v>2.20255</v>
      </c>
      <c r="V863" t="s">
        <v>165</v>
      </c>
      <c r="X863">
        <v>0</v>
      </c>
      <c r="Y863">
        <v>30</v>
      </c>
      <c r="Z863">
        <v>3.3333333333333333E-2</v>
      </c>
      <c r="AA863">
        <v>35</v>
      </c>
      <c r="AB863">
        <v>0</v>
      </c>
      <c r="AC863">
        <v>0</v>
      </c>
      <c r="AE863" t="s">
        <v>129</v>
      </c>
      <c r="AF863" t="s">
        <v>2261</v>
      </c>
      <c r="AG863" t="s">
        <v>129</v>
      </c>
      <c r="AH863">
        <v>0</v>
      </c>
      <c r="AI863">
        <v>10.199999999999999</v>
      </c>
      <c r="AJ863" t="s">
        <v>167</v>
      </c>
      <c r="AM863">
        <v>10.38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 t="s">
        <v>2262</v>
      </c>
      <c r="AY863">
        <v>10.15</v>
      </c>
      <c r="AZ863">
        <v>4</v>
      </c>
      <c r="BA863" t="s">
        <v>138</v>
      </c>
      <c r="BB863">
        <v>5.62</v>
      </c>
      <c r="BC863" t="s">
        <v>95</v>
      </c>
      <c r="BD863" t="s">
        <v>96</v>
      </c>
      <c r="BE863" t="s">
        <v>97</v>
      </c>
      <c r="BF863">
        <v>1</v>
      </c>
      <c r="BG863">
        <v>0</v>
      </c>
      <c r="BH863">
        <v>0</v>
      </c>
      <c r="BI863" t="s">
        <v>98</v>
      </c>
    </row>
    <row r="864" spans="1:61">
      <c r="A864" s="164" t="s">
        <v>2263</v>
      </c>
      <c r="B864" t="s">
        <v>2264</v>
      </c>
      <c r="C864">
        <v>0</v>
      </c>
      <c r="D864" t="s">
        <v>76</v>
      </c>
      <c r="E864">
        <v>0</v>
      </c>
      <c r="F864" t="s">
        <v>972</v>
      </c>
      <c r="G864" t="s">
        <v>78</v>
      </c>
      <c r="H864" t="s">
        <v>79</v>
      </c>
      <c r="I864" t="s">
        <v>80</v>
      </c>
      <c r="J864" t="s">
        <v>81</v>
      </c>
      <c r="K864" t="s">
        <v>82</v>
      </c>
      <c r="L864" t="s">
        <v>83</v>
      </c>
      <c r="M864" t="s">
        <v>84</v>
      </c>
      <c r="N864">
        <v>0.95</v>
      </c>
      <c r="O864" t="b">
        <v>1</v>
      </c>
      <c r="P864">
        <v>45</v>
      </c>
      <c r="Q864" t="s">
        <v>85</v>
      </c>
      <c r="R864" t="s">
        <v>86</v>
      </c>
      <c r="S864">
        <v>0.95</v>
      </c>
      <c r="T864">
        <v>1</v>
      </c>
      <c r="U864" s="36">
        <v>1.1876850000000001</v>
      </c>
      <c r="V864" t="s">
        <v>87</v>
      </c>
      <c r="W864">
        <v>24</v>
      </c>
      <c r="X864">
        <v>0.45019999999999999</v>
      </c>
      <c r="Y864">
        <v>18</v>
      </c>
      <c r="Z864">
        <v>5.5555555555555552E-2</v>
      </c>
      <c r="AA864">
        <v>30</v>
      </c>
      <c r="AB864">
        <v>0</v>
      </c>
      <c r="AC864">
        <v>540</v>
      </c>
      <c r="AD864">
        <v>568.42105263157896</v>
      </c>
      <c r="AE864" t="s">
        <v>155</v>
      </c>
      <c r="AF864" t="s">
        <v>89</v>
      </c>
      <c r="AG864" t="s">
        <v>90</v>
      </c>
      <c r="AH864">
        <v>0</v>
      </c>
      <c r="AI864">
        <v>1</v>
      </c>
      <c r="AJ864" t="s">
        <v>91</v>
      </c>
      <c r="AK864" t="s">
        <v>92</v>
      </c>
      <c r="AL864" t="s">
        <v>93</v>
      </c>
      <c r="AM864">
        <v>0.98220000000000007</v>
      </c>
      <c r="AN864">
        <v>0</v>
      </c>
      <c r="AO864">
        <v>0</v>
      </c>
      <c r="AP864">
        <v>0</v>
      </c>
      <c r="AQ864">
        <v>8.6691086691086688E-2</v>
      </c>
      <c r="AR864">
        <v>2.6666666666666505E-3</v>
      </c>
      <c r="AS864">
        <v>0</v>
      </c>
      <c r="AT864">
        <v>1.0866910866910866</v>
      </c>
      <c r="AU864">
        <v>1.0026666666666666</v>
      </c>
      <c r="AV864">
        <v>1</v>
      </c>
      <c r="AW864">
        <v>0</v>
      </c>
      <c r="AX864" t="s">
        <v>2265</v>
      </c>
      <c r="AY864">
        <v>53.4</v>
      </c>
      <c r="AZ864">
        <v>4</v>
      </c>
      <c r="BA864" t="s">
        <v>94</v>
      </c>
      <c r="BB864">
        <v>3.17</v>
      </c>
      <c r="BC864" t="s">
        <v>95</v>
      </c>
      <c r="BD864" t="s">
        <v>96</v>
      </c>
      <c r="BE864" t="s">
        <v>97</v>
      </c>
      <c r="BF864">
        <v>1</v>
      </c>
      <c r="BG864">
        <v>0</v>
      </c>
      <c r="BH864">
        <v>0</v>
      </c>
      <c r="BI864" t="s">
        <v>98</v>
      </c>
    </row>
    <row r="865" spans="1:61">
      <c r="A865" s="164" t="s">
        <v>2266</v>
      </c>
      <c r="B865" t="s">
        <v>2267</v>
      </c>
      <c r="C865">
        <v>0</v>
      </c>
      <c r="D865" t="s">
        <v>194</v>
      </c>
      <c r="E865">
        <v>0</v>
      </c>
      <c r="F865" t="s">
        <v>195</v>
      </c>
      <c r="G865" t="s">
        <v>78</v>
      </c>
      <c r="H865" t="s">
        <v>79</v>
      </c>
      <c r="I865" t="s">
        <v>80</v>
      </c>
      <c r="J865" t="s">
        <v>196</v>
      </c>
      <c r="K865" t="s">
        <v>13</v>
      </c>
      <c r="L865" t="s">
        <v>83</v>
      </c>
      <c r="M865" t="s">
        <v>84</v>
      </c>
      <c r="N865">
        <v>1</v>
      </c>
      <c r="O865" t="b">
        <v>1</v>
      </c>
      <c r="P865">
        <v>0</v>
      </c>
      <c r="BB865">
        <v>0</v>
      </c>
      <c r="BC865" t="s">
        <v>197</v>
      </c>
      <c r="BD865" t="s">
        <v>198</v>
      </c>
      <c r="BE865" t="s">
        <v>117</v>
      </c>
      <c r="BF865">
        <v>0</v>
      </c>
      <c r="BG865">
        <v>0</v>
      </c>
      <c r="BH865">
        <v>0</v>
      </c>
    </row>
    <row r="866" spans="1:61">
      <c r="A866" s="164" t="s">
        <v>2268</v>
      </c>
      <c r="B866" t="s">
        <v>2269</v>
      </c>
      <c r="C866">
        <v>0</v>
      </c>
      <c r="D866" t="s">
        <v>194</v>
      </c>
      <c r="E866">
        <v>0</v>
      </c>
      <c r="F866" t="s">
        <v>195</v>
      </c>
      <c r="G866" t="s">
        <v>78</v>
      </c>
      <c r="H866" t="s">
        <v>79</v>
      </c>
      <c r="I866" t="s">
        <v>80</v>
      </c>
      <c r="J866" t="s">
        <v>196</v>
      </c>
      <c r="K866" t="s">
        <v>13</v>
      </c>
      <c r="L866" t="s">
        <v>83</v>
      </c>
      <c r="M866" t="s">
        <v>84</v>
      </c>
      <c r="N866">
        <v>1</v>
      </c>
      <c r="O866" t="b">
        <v>1</v>
      </c>
      <c r="P866">
        <v>0</v>
      </c>
      <c r="BB866">
        <v>0</v>
      </c>
      <c r="BC866" t="s">
        <v>197</v>
      </c>
      <c r="BD866" t="s">
        <v>198</v>
      </c>
      <c r="BE866" t="s">
        <v>117</v>
      </c>
      <c r="BF866">
        <v>0</v>
      </c>
      <c r="BG866">
        <v>0</v>
      </c>
      <c r="BH866">
        <v>0</v>
      </c>
    </row>
    <row r="867" spans="1:61">
      <c r="A867" s="164" t="s">
        <v>2270</v>
      </c>
      <c r="B867" t="s">
        <v>2271</v>
      </c>
      <c r="C867">
        <v>0</v>
      </c>
      <c r="D867" t="s">
        <v>194</v>
      </c>
      <c r="E867">
        <v>0</v>
      </c>
      <c r="F867" t="s">
        <v>195</v>
      </c>
      <c r="G867" t="s">
        <v>78</v>
      </c>
      <c r="H867" t="s">
        <v>79</v>
      </c>
      <c r="I867" t="s">
        <v>80</v>
      </c>
      <c r="J867" t="s">
        <v>196</v>
      </c>
      <c r="K867" t="s">
        <v>13</v>
      </c>
      <c r="L867" t="s">
        <v>83</v>
      </c>
      <c r="M867" t="s">
        <v>84</v>
      </c>
      <c r="N867">
        <v>1</v>
      </c>
      <c r="O867" t="b">
        <v>1</v>
      </c>
      <c r="P867">
        <v>0</v>
      </c>
      <c r="BB867">
        <v>0</v>
      </c>
      <c r="BC867" t="s">
        <v>197</v>
      </c>
      <c r="BD867" t="s">
        <v>198</v>
      </c>
      <c r="BE867" t="s">
        <v>117</v>
      </c>
      <c r="BF867">
        <v>0</v>
      </c>
      <c r="BG867">
        <v>0</v>
      </c>
      <c r="BH867">
        <v>0</v>
      </c>
    </row>
    <row r="868" spans="1:61">
      <c r="A868" s="164" t="s">
        <v>2272</v>
      </c>
      <c r="B868" t="s">
        <v>2273</v>
      </c>
      <c r="C868">
        <v>0</v>
      </c>
      <c r="D868" t="s">
        <v>194</v>
      </c>
      <c r="E868">
        <v>0</v>
      </c>
      <c r="F868" t="s">
        <v>195</v>
      </c>
      <c r="G868" t="s">
        <v>78</v>
      </c>
      <c r="H868" t="s">
        <v>79</v>
      </c>
      <c r="I868" t="s">
        <v>80</v>
      </c>
      <c r="J868" t="s">
        <v>196</v>
      </c>
      <c r="K868" t="s">
        <v>13</v>
      </c>
      <c r="L868" t="s">
        <v>83</v>
      </c>
      <c r="M868" t="s">
        <v>205</v>
      </c>
      <c r="N868">
        <v>1</v>
      </c>
      <c r="O868" t="b">
        <v>1</v>
      </c>
      <c r="P868">
        <v>0</v>
      </c>
      <c r="BB868">
        <v>0</v>
      </c>
      <c r="BC868" t="s">
        <v>197</v>
      </c>
      <c r="BD868" t="s">
        <v>198</v>
      </c>
      <c r="BE868" t="s">
        <v>117</v>
      </c>
      <c r="BF868">
        <v>0</v>
      </c>
      <c r="BG868">
        <v>0</v>
      </c>
      <c r="BH868">
        <v>0</v>
      </c>
    </row>
    <row r="869" spans="1:61">
      <c r="A869" s="164" t="s">
        <v>2274</v>
      </c>
      <c r="B869" t="s">
        <v>2275</v>
      </c>
      <c r="C869">
        <v>0</v>
      </c>
      <c r="D869" t="s">
        <v>194</v>
      </c>
      <c r="E869">
        <v>0</v>
      </c>
      <c r="F869" t="s">
        <v>195</v>
      </c>
      <c r="G869" t="s">
        <v>78</v>
      </c>
      <c r="H869" t="s">
        <v>79</v>
      </c>
      <c r="I869" t="s">
        <v>80</v>
      </c>
      <c r="J869" t="s">
        <v>196</v>
      </c>
      <c r="K869" t="s">
        <v>13</v>
      </c>
      <c r="L869" t="s">
        <v>83</v>
      </c>
      <c r="M869" t="s">
        <v>84</v>
      </c>
      <c r="N869">
        <v>1</v>
      </c>
      <c r="O869" t="b">
        <v>1</v>
      </c>
      <c r="P869">
        <v>0</v>
      </c>
      <c r="BB869">
        <v>0</v>
      </c>
      <c r="BC869" t="s">
        <v>197</v>
      </c>
      <c r="BD869" t="s">
        <v>198</v>
      </c>
      <c r="BE869" t="s">
        <v>117</v>
      </c>
      <c r="BF869">
        <v>0</v>
      </c>
      <c r="BG869">
        <v>0</v>
      </c>
      <c r="BH869">
        <v>0</v>
      </c>
    </row>
    <row r="870" spans="1:61">
      <c r="A870" s="164" t="s">
        <v>2276</v>
      </c>
      <c r="B870" t="s">
        <v>2277</v>
      </c>
      <c r="C870">
        <v>0</v>
      </c>
      <c r="D870" t="s">
        <v>194</v>
      </c>
      <c r="E870">
        <v>0</v>
      </c>
      <c r="F870" t="s">
        <v>195</v>
      </c>
      <c r="G870" t="s">
        <v>78</v>
      </c>
      <c r="H870" t="s">
        <v>79</v>
      </c>
      <c r="I870" t="s">
        <v>80</v>
      </c>
      <c r="J870" t="s">
        <v>196</v>
      </c>
      <c r="K870" t="s">
        <v>13</v>
      </c>
      <c r="L870" t="s">
        <v>83</v>
      </c>
      <c r="M870" t="s">
        <v>205</v>
      </c>
      <c r="N870">
        <v>1</v>
      </c>
      <c r="O870" t="b">
        <v>1</v>
      </c>
      <c r="P870">
        <v>0</v>
      </c>
      <c r="BB870">
        <v>0</v>
      </c>
      <c r="BC870" t="s">
        <v>197</v>
      </c>
      <c r="BD870" t="s">
        <v>198</v>
      </c>
      <c r="BE870" t="s">
        <v>117</v>
      </c>
      <c r="BF870">
        <v>0</v>
      </c>
      <c r="BG870">
        <v>0</v>
      </c>
      <c r="BH870">
        <v>0</v>
      </c>
    </row>
    <row r="871" spans="1:61">
      <c r="A871" s="164" t="s">
        <v>2278</v>
      </c>
      <c r="B871" t="s">
        <v>2279</v>
      </c>
      <c r="C871">
        <v>0</v>
      </c>
      <c r="D871" t="s">
        <v>194</v>
      </c>
      <c r="E871">
        <v>0</v>
      </c>
      <c r="F871" t="s">
        <v>195</v>
      </c>
      <c r="G871" t="s">
        <v>78</v>
      </c>
      <c r="H871" t="s">
        <v>79</v>
      </c>
      <c r="I871" t="s">
        <v>80</v>
      </c>
      <c r="J871" t="s">
        <v>196</v>
      </c>
      <c r="K871" t="s">
        <v>13</v>
      </c>
      <c r="L871" t="s">
        <v>83</v>
      </c>
      <c r="M871" t="s">
        <v>84</v>
      </c>
      <c r="N871">
        <v>1</v>
      </c>
      <c r="O871" t="b">
        <v>1</v>
      </c>
      <c r="P871">
        <v>0</v>
      </c>
      <c r="BB871">
        <v>0</v>
      </c>
      <c r="BC871" t="s">
        <v>197</v>
      </c>
      <c r="BD871" t="s">
        <v>198</v>
      </c>
      <c r="BE871" t="s">
        <v>117</v>
      </c>
      <c r="BF871">
        <v>0</v>
      </c>
      <c r="BG871">
        <v>0</v>
      </c>
      <c r="BH871">
        <v>0</v>
      </c>
    </row>
    <row r="872" spans="1:61">
      <c r="A872" s="164" t="s">
        <v>2280</v>
      </c>
      <c r="B872" t="s">
        <v>2281</v>
      </c>
      <c r="C872">
        <v>0</v>
      </c>
      <c r="D872" t="s">
        <v>194</v>
      </c>
      <c r="E872">
        <v>0</v>
      </c>
      <c r="F872" t="s">
        <v>214</v>
      </c>
      <c r="G872" t="s">
        <v>78</v>
      </c>
      <c r="H872" t="s">
        <v>79</v>
      </c>
      <c r="I872" t="s">
        <v>80</v>
      </c>
      <c r="J872" t="s">
        <v>196</v>
      </c>
      <c r="K872" t="s">
        <v>13</v>
      </c>
      <c r="L872" t="s">
        <v>83</v>
      </c>
      <c r="M872" t="s">
        <v>215</v>
      </c>
      <c r="N872">
        <v>1</v>
      </c>
      <c r="O872" t="b">
        <v>1</v>
      </c>
      <c r="P872">
        <v>0</v>
      </c>
      <c r="BB872">
        <v>0</v>
      </c>
      <c r="BC872" t="s">
        <v>197</v>
      </c>
      <c r="BD872" t="s">
        <v>216</v>
      </c>
      <c r="BE872" t="s">
        <v>117</v>
      </c>
      <c r="BF872">
        <v>0</v>
      </c>
      <c r="BG872">
        <v>0</v>
      </c>
      <c r="BH872">
        <v>0</v>
      </c>
    </row>
    <row r="873" spans="1:61">
      <c r="A873" s="164" t="s">
        <v>2282</v>
      </c>
      <c r="B873" t="s">
        <v>2283</v>
      </c>
      <c r="C873">
        <v>0</v>
      </c>
      <c r="D873" t="s">
        <v>194</v>
      </c>
      <c r="E873">
        <v>0</v>
      </c>
      <c r="F873" t="s">
        <v>214</v>
      </c>
      <c r="G873" t="s">
        <v>78</v>
      </c>
      <c r="H873" t="s">
        <v>79</v>
      </c>
      <c r="I873" t="s">
        <v>80</v>
      </c>
      <c r="J873" t="s">
        <v>196</v>
      </c>
      <c r="K873" t="s">
        <v>13</v>
      </c>
      <c r="L873" t="s">
        <v>83</v>
      </c>
      <c r="M873" t="s">
        <v>215</v>
      </c>
      <c r="N873">
        <v>1</v>
      </c>
      <c r="O873" t="b">
        <v>1</v>
      </c>
      <c r="P873">
        <v>0</v>
      </c>
      <c r="BB873">
        <v>0</v>
      </c>
      <c r="BC873" t="s">
        <v>197</v>
      </c>
      <c r="BD873" t="s">
        <v>216</v>
      </c>
      <c r="BE873" t="s">
        <v>117</v>
      </c>
      <c r="BF873">
        <v>0</v>
      </c>
      <c r="BG873">
        <v>0</v>
      </c>
      <c r="BH873">
        <v>0</v>
      </c>
    </row>
    <row r="874" spans="1:61">
      <c r="A874" s="164" t="s">
        <v>2284</v>
      </c>
      <c r="B874" t="s">
        <v>2285</v>
      </c>
      <c r="C874">
        <v>0</v>
      </c>
      <c r="D874" t="s">
        <v>194</v>
      </c>
      <c r="E874">
        <v>0</v>
      </c>
      <c r="F874" t="s">
        <v>195</v>
      </c>
      <c r="G874" t="s">
        <v>78</v>
      </c>
      <c r="H874" t="s">
        <v>79</v>
      </c>
      <c r="I874" t="s">
        <v>80</v>
      </c>
      <c r="J874" t="s">
        <v>196</v>
      </c>
      <c r="K874" t="s">
        <v>13</v>
      </c>
      <c r="L874" t="s">
        <v>83</v>
      </c>
      <c r="M874" t="s">
        <v>84</v>
      </c>
      <c r="N874">
        <v>1</v>
      </c>
      <c r="O874" t="b">
        <v>1</v>
      </c>
      <c r="P874">
        <v>0</v>
      </c>
      <c r="BB874">
        <v>0</v>
      </c>
      <c r="BC874" t="s">
        <v>197</v>
      </c>
      <c r="BD874" t="s">
        <v>198</v>
      </c>
      <c r="BE874" t="s">
        <v>117</v>
      </c>
      <c r="BF874">
        <v>0</v>
      </c>
      <c r="BG874">
        <v>0</v>
      </c>
      <c r="BH874">
        <v>0</v>
      </c>
    </row>
    <row r="875" spans="1:61">
      <c r="A875" s="164" t="s">
        <v>2286</v>
      </c>
      <c r="B875" t="s">
        <v>2287</v>
      </c>
      <c r="C875">
        <v>0</v>
      </c>
      <c r="D875" t="s">
        <v>194</v>
      </c>
      <c r="E875">
        <v>0</v>
      </c>
      <c r="F875" t="s">
        <v>195</v>
      </c>
      <c r="G875" t="s">
        <v>78</v>
      </c>
      <c r="H875" t="s">
        <v>79</v>
      </c>
      <c r="I875" t="s">
        <v>80</v>
      </c>
      <c r="J875" t="s">
        <v>196</v>
      </c>
      <c r="K875" t="s">
        <v>13</v>
      </c>
      <c r="L875" t="s">
        <v>83</v>
      </c>
      <c r="M875" t="s">
        <v>84</v>
      </c>
      <c r="N875">
        <v>1</v>
      </c>
      <c r="O875" t="b">
        <v>1</v>
      </c>
      <c r="P875">
        <v>0</v>
      </c>
      <c r="BB875">
        <v>0</v>
      </c>
      <c r="BC875" t="s">
        <v>197</v>
      </c>
      <c r="BD875" t="s">
        <v>198</v>
      </c>
      <c r="BE875" t="s">
        <v>117</v>
      </c>
      <c r="BF875">
        <v>0</v>
      </c>
      <c r="BG875">
        <v>0</v>
      </c>
      <c r="BH875">
        <v>0</v>
      </c>
    </row>
    <row r="876" spans="1:61">
      <c r="A876" s="164" t="s">
        <v>2288</v>
      </c>
      <c r="B876" t="s">
        <v>2289</v>
      </c>
      <c r="C876">
        <v>0</v>
      </c>
      <c r="D876" t="s">
        <v>194</v>
      </c>
      <c r="E876">
        <v>0</v>
      </c>
      <c r="F876" t="s">
        <v>195</v>
      </c>
      <c r="G876" t="s">
        <v>78</v>
      </c>
      <c r="H876" t="s">
        <v>79</v>
      </c>
      <c r="I876" t="s">
        <v>80</v>
      </c>
      <c r="J876" t="s">
        <v>196</v>
      </c>
      <c r="K876" t="s">
        <v>13</v>
      </c>
      <c r="L876" t="s">
        <v>83</v>
      </c>
      <c r="M876" t="s">
        <v>84</v>
      </c>
      <c r="N876">
        <v>1</v>
      </c>
      <c r="O876" t="b">
        <v>1</v>
      </c>
      <c r="P876">
        <v>0</v>
      </c>
      <c r="BB876">
        <v>0</v>
      </c>
      <c r="BC876" t="s">
        <v>197</v>
      </c>
      <c r="BD876" t="s">
        <v>198</v>
      </c>
      <c r="BE876" t="s">
        <v>117</v>
      </c>
      <c r="BF876">
        <v>0</v>
      </c>
      <c r="BG876">
        <v>0</v>
      </c>
      <c r="BH876">
        <v>0</v>
      </c>
    </row>
    <row r="877" spans="1:61">
      <c r="A877" s="164" t="s">
        <v>2290</v>
      </c>
      <c r="B877" t="s">
        <v>2291</v>
      </c>
      <c r="C877">
        <v>0</v>
      </c>
      <c r="D877" t="s">
        <v>194</v>
      </c>
      <c r="E877">
        <v>0</v>
      </c>
      <c r="F877" t="s">
        <v>195</v>
      </c>
      <c r="G877" t="s">
        <v>78</v>
      </c>
      <c r="H877" t="s">
        <v>79</v>
      </c>
      <c r="I877" t="s">
        <v>80</v>
      </c>
      <c r="J877" t="s">
        <v>196</v>
      </c>
      <c r="K877" t="s">
        <v>13</v>
      </c>
      <c r="L877" t="s">
        <v>83</v>
      </c>
      <c r="M877" t="s">
        <v>84</v>
      </c>
      <c r="N877">
        <v>1</v>
      </c>
      <c r="O877" t="b">
        <v>1</v>
      </c>
      <c r="P877">
        <v>0</v>
      </c>
      <c r="BB877">
        <v>0</v>
      </c>
      <c r="BC877" t="s">
        <v>197</v>
      </c>
      <c r="BD877" t="s">
        <v>198</v>
      </c>
      <c r="BE877" t="s">
        <v>117</v>
      </c>
      <c r="BF877">
        <v>0</v>
      </c>
      <c r="BG877">
        <v>0</v>
      </c>
      <c r="BH877">
        <v>0</v>
      </c>
    </row>
    <row r="878" spans="1:61">
      <c r="A878" s="164" t="s">
        <v>2292</v>
      </c>
      <c r="B878" t="s">
        <v>2293</v>
      </c>
      <c r="C878">
        <v>0</v>
      </c>
      <c r="D878" t="s">
        <v>194</v>
      </c>
      <c r="E878">
        <v>0</v>
      </c>
      <c r="F878" t="s">
        <v>195</v>
      </c>
      <c r="G878" t="s">
        <v>78</v>
      </c>
      <c r="H878" t="s">
        <v>79</v>
      </c>
      <c r="I878" t="s">
        <v>80</v>
      </c>
      <c r="J878" t="s">
        <v>196</v>
      </c>
      <c r="K878" t="s">
        <v>13</v>
      </c>
      <c r="L878" t="s">
        <v>83</v>
      </c>
      <c r="M878" t="s">
        <v>205</v>
      </c>
      <c r="N878">
        <v>1</v>
      </c>
      <c r="O878" t="b">
        <v>1</v>
      </c>
      <c r="P878">
        <v>0</v>
      </c>
      <c r="BB878">
        <v>0</v>
      </c>
      <c r="BC878" t="s">
        <v>197</v>
      </c>
      <c r="BD878" t="s">
        <v>198</v>
      </c>
      <c r="BE878" t="s">
        <v>117</v>
      </c>
      <c r="BF878">
        <v>0</v>
      </c>
      <c r="BG878">
        <v>0</v>
      </c>
      <c r="BH878">
        <v>0</v>
      </c>
    </row>
    <row r="879" spans="1:61">
      <c r="A879" s="164" t="s">
        <v>2294</v>
      </c>
      <c r="B879" t="s">
        <v>2295</v>
      </c>
      <c r="C879">
        <v>0</v>
      </c>
      <c r="D879" t="s">
        <v>194</v>
      </c>
      <c r="E879">
        <v>0</v>
      </c>
      <c r="F879" t="s">
        <v>195</v>
      </c>
      <c r="G879" t="s">
        <v>78</v>
      </c>
      <c r="H879" t="s">
        <v>79</v>
      </c>
      <c r="I879" t="s">
        <v>80</v>
      </c>
      <c r="J879" t="s">
        <v>196</v>
      </c>
      <c r="K879" t="s">
        <v>13</v>
      </c>
      <c r="L879" t="s">
        <v>83</v>
      </c>
      <c r="M879" t="s">
        <v>205</v>
      </c>
      <c r="N879">
        <v>1</v>
      </c>
      <c r="O879" t="b">
        <v>1</v>
      </c>
      <c r="P879">
        <v>0</v>
      </c>
      <c r="BB879">
        <v>0</v>
      </c>
      <c r="BC879" t="s">
        <v>197</v>
      </c>
      <c r="BD879" t="s">
        <v>198</v>
      </c>
      <c r="BE879" t="s">
        <v>117</v>
      </c>
      <c r="BF879">
        <v>0</v>
      </c>
      <c r="BG879">
        <v>0</v>
      </c>
      <c r="BH879">
        <v>0</v>
      </c>
    </row>
    <row r="880" spans="1:61">
      <c r="A880" s="164" t="s">
        <v>2296</v>
      </c>
      <c r="B880" t="s">
        <v>2297</v>
      </c>
      <c r="C880">
        <v>0</v>
      </c>
      <c r="D880" t="s">
        <v>2298</v>
      </c>
      <c r="E880">
        <v>0</v>
      </c>
      <c r="F880" t="s">
        <v>2298</v>
      </c>
      <c r="G880" t="s">
        <v>103</v>
      </c>
      <c r="H880" t="s">
        <v>104</v>
      </c>
      <c r="I880" t="s">
        <v>80</v>
      </c>
      <c r="J880" t="s">
        <v>81</v>
      </c>
      <c r="K880" t="s">
        <v>82</v>
      </c>
      <c r="L880" t="s">
        <v>83</v>
      </c>
      <c r="M880" t="s">
        <v>84</v>
      </c>
      <c r="N880">
        <v>0.15</v>
      </c>
      <c r="O880" t="b">
        <v>1</v>
      </c>
      <c r="P880">
        <v>45</v>
      </c>
      <c r="Q880" t="s">
        <v>85</v>
      </c>
      <c r="R880" t="s">
        <v>86</v>
      </c>
      <c r="S880">
        <v>0.14499999999999999</v>
      </c>
      <c r="T880">
        <v>0.87878787878787867</v>
      </c>
      <c r="V880" t="s">
        <v>87</v>
      </c>
      <c r="W880">
        <v>150</v>
      </c>
      <c r="X880">
        <v>0.45</v>
      </c>
      <c r="Y880">
        <v>60</v>
      </c>
      <c r="Z880">
        <v>1.6666666666666666E-2</v>
      </c>
      <c r="AA880">
        <v>30</v>
      </c>
      <c r="AB880">
        <v>0</v>
      </c>
      <c r="AC880">
        <v>500</v>
      </c>
      <c r="AD880">
        <v>3448.2758620689656</v>
      </c>
      <c r="AE880" t="s">
        <v>88</v>
      </c>
      <c r="AF880" t="s">
        <v>2299</v>
      </c>
      <c r="AG880" t="s">
        <v>732</v>
      </c>
      <c r="AH880">
        <v>0</v>
      </c>
      <c r="AI880">
        <v>0</v>
      </c>
      <c r="AJ880" t="s">
        <v>91</v>
      </c>
      <c r="AK880" t="s">
        <v>92</v>
      </c>
      <c r="AL880" t="s">
        <v>93</v>
      </c>
      <c r="AM880">
        <v>0.33631111111111106</v>
      </c>
      <c r="AN880">
        <v>0.22420740740740738</v>
      </c>
      <c r="AO880">
        <v>0.34752148148148143</v>
      </c>
      <c r="AP880">
        <v>0</v>
      </c>
      <c r="AQ880">
        <v>8.6691086691086688E-2</v>
      </c>
      <c r="AR880">
        <v>2.6666666666666505E-3</v>
      </c>
      <c r="AS880">
        <v>0</v>
      </c>
      <c r="AT880">
        <v>1.0866910866910866</v>
      </c>
      <c r="AU880">
        <v>1.0026666666666666</v>
      </c>
      <c r="AV880">
        <v>1</v>
      </c>
      <c r="AW880">
        <v>0</v>
      </c>
      <c r="AY880">
        <v>15.98</v>
      </c>
      <c r="AZ880">
        <v>4</v>
      </c>
      <c r="BA880" t="s">
        <v>94</v>
      </c>
      <c r="BB880">
        <v>0.68</v>
      </c>
      <c r="BC880" t="s">
        <v>95</v>
      </c>
      <c r="BD880" t="s">
        <v>96</v>
      </c>
      <c r="BE880" t="s">
        <v>97</v>
      </c>
      <c r="BF880">
        <v>1</v>
      </c>
      <c r="BG880">
        <v>0</v>
      </c>
      <c r="BH880">
        <v>0</v>
      </c>
      <c r="BI880" t="s">
        <v>98</v>
      </c>
    </row>
    <row r="881" spans="1:61">
      <c r="A881" s="164" t="s">
        <v>2300</v>
      </c>
      <c r="B881" t="s">
        <v>2301</v>
      </c>
      <c r="C881">
        <v>0</v>
      </c>
      <c r="D881" t="s">
        <v>2302</v>
      </c>
      <c r="E881">
        <v>0</v>
      </c>
      <c r="F881" t="s">
        <v>2303</v>
      </c>
      <c r="G881" t="s">
        <v>103</v>
      </c>
      <c r="H881" t="s">
        <v>104</v>
      </c>
      <c r="I881" t="s">
        <v>80</v>
      </c>
      <c r="J881" t="s">
        <v>163</v>
      </c>
      <c r="K881" t="s">
        <v>82</v>
      </c>
      <c r="L881" t="s">
        <v>83</v>
      </c>
      <c r="M881" t="s">
        <v>84</v>
      </c>
      <c r="N881">
        <v>3.5000000000000003E-2</v>
      </c>
      <c r="O881" t="b">
        <v>0</v>
      </c>
      <c r="P881">
        <v>45</v>
      </c>
      <c r="Q881" t="s">
        <v>137</v>
      </c>
      <c r="S881">
        <v>0</v>
      </c>
      <c r="T881">
        <v>1</v>
      </c>
      <c r="U881" s="36">
        <v>0.24742</v>
      </c>
      <c r="V881" t="s">
        <v>87</v>
      </c>
      <c r="X881">
        <v>0</v>
      </c>
      <c r="Z881">
        <v>5.5555555555555558E-3</v>
      </c>
      <c r="AB881">
        <v>0</v>
      </c>
      <c r="AC881">
        <v>0</v>
      </c>
      <c r="AE881" t="s">
        <v>129</v>
      </c>
      <c r="AF881" t="s">
        <v>2303</v>
      </c>
      <c r="AG881" t="s">
        <v>129</v>
      </c>
      <c r="AH881">
        <v>0</v>
      </c>
      <c r="AI881">
        <v>9.5</v>
      </c>
      <c r="AJ881" t="s">
        <v>177</v>
      </c>
      <c r="AM881">
        <v>0</v>
      </c>
      <c r="AN881">
        <v>0</v>
      </c>
      <c r="AO881">
        <v>0</v>
      </c>
      <c r="AP881">
        <v>0</v>
      </c>
      <c r="AQ881">
        <v>2.8571428571428564E-2</v>
      </c>
      <c r="AR881">
        <v>0</v>
      </c>
      <c r="AS881">
        <v>0</v>
      </c>
      <c r="AT881">
        <v>1.0285714285714285</v>
      </c>
      <c r="AU881">
        <v>0</v>
      </c>
      <c r="AV881">
        <v>0</v>
      </c>
      <c r="AW881">
        <v>0</v>
      </c>
      <c r="AX881" t="s">
        <v>2304</v>
      </c>
      <c r="AY881">
        <v>0</v>
      </c>
      <c r="AZ881">
        <v>0</v>
      </c>
      <c r="BA881" t="s">
        <v>138</v>
      </c>
      <c r="BB881">
        <v>0</v>
      </c>
      <c r="BC881" t="s">
        <v>95</v>
      </c>
      <c r="BD881" t="s">
        <v>96</v>
      </c>
      <c r="BE881" t="s">
        <v>97</v>
      </c>
      <c r="BF881">
        <v>0</v>
      </c>
      <c r="BG881">
        <v>0</v>
      </c>
      <c r="BH881">
        <v>0</v>
      </c>
      <c r="BI881" t="s">
        <v>98</v>
      </c>
    </row>
    <row r="882" spans="1:61">
      <c r="A882" s="164" t="s">
        <v>2305</v>
      </c>
      <c r="B882" t="s">
        <v>2306</v>
      </c>
      <c r="C882">
        <v>0</v>
      </c>
      <c r="D882" t="s">
        <v>2302</v>
      </c>
      <c r="E882">
        <v>0</v>
      </c>
      <c r="F882" t="s">
        <v>2303</v>
      </c>
      <c r="G882" t="s">
        <v>103</v>
      </c>
      <c r="H882" t="s">
        <v>104</v>
      </c>
      <c r="I882" t="s">
        <v>80</v>
      </c>
      <c r="J882" t="s">
        <v>564</v>
      </c>
      <c r="K882" t="s">
        <v>565</v>
      </c>
      <c r="L882" t="s">
        <v>83</v>
      </c>
      <c r="M882" t="s">
        <v>84</v>
      </c>
      <c r="N882">
        <v>0.17499999999999999</v>
      </c>
      <c r="O882" t="b">
        <v>0</v>
      </c>
      <c r="P882">
        <v>45</v>
      </c>
      <c r="Q882" t="s">
        <v>137</v>
      </c>
      <c r="S882">
        <v>0</v>
      </c>
      <c r="T882">
        <v>1</v>
      </c>
      <c r="U882" s="36">
        <v>2.3450000000000002</v>
      </c>
      <c r="V882" t="s">
        <v>87</v>
      </c>
      <c r="X882">
        <v>0</v>
      </c>
      <c r="Z882">
        <v>0</v>
      </c>
      <c r="AB882">
        <v>0</v>
      </c>
      <c r="AC882">
        <v>0</v>
      </c>
      <c r="AE882" t="s">
        <v>129</v>
      </c>
      <c r="AF882" t="s">
        <v>2303</v>
      </c>
      <c r="AG882" t="s">
        <v>129</v>
      </c>
      <c r="AH882">
        <v>0</v>
      </c>
      <c r="AI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Y882">
        <v>0</v>
      </c>
      <c r="AZ882">
        <v>0</v>
      </c>
      <c r="BA882" t="s">
        <v>138</v>
      </c>
      <c r="BB882">
        <v>0</v>
      </c>
      <c r="BC882" t="s">
        <v>95</v>
      </c>
      <c r="BD882" t="s">
        <v>96</v>
      </c>
      <c r="BE882" t="s">
        <v>97</v>
      </c>
      <c r="BF882">
        <v>0</v>
      </c>
      <c r="BG882">
        <v>0</v>
      </c>
      <c r="BH882">
        <v>0</v>
      </c>
      <c r="BI882" t="s">
        <v>98</v>
      </c>
    </row>
    <row r="883" spans="1:61">
      <c r="A883" s="164" t="s">
        <v>2307</v>
      </c>
      <c r="B883" t="s">
        <v>2308</v>
      </c>
      <c r="C883">
        <v>0</v>
      </c>
      <c r="D883" t="s">
        <v>479</v>
      </c>
      <c r="E883">
        <v>0</v>
      </c>
      <c r="F883" t="s">
        <v>480</v>
      </c>
      <c r="G883" t="s">
        <v>103</v>
      </c>
      <c r="H883" t="s">
        <v>104</v>
      </c>
      <c r="I883" t="s">
        <v>80</v>
      </c>
      <c r="J883" t="s">
        <v>467</v>
      </c>
      <c r="K883" t="s">
        <v>468</v>
      </c>
      <c r="L883" t="s">
        <v>111</v>
      </c>
      <c r="M883" t="s">
        <v>84</v>
      </c>
      <c r="N883">
        <v>0.85</v>
      </c>
      <c r="O883" t="b">
        <v>0</v>
      </c>
      <c r="P883">
        <v>40</v>
      </c>
      <c r="Q883" t="s">
        <v>479</v>
      </c>
      <c r="S883">
        <v>0.85</v>
      </c>
      <c r="T883">
        <v>1</v>
      </c>
      <c r="U883" s="36">
        <v>5.86022</v>
      </c>
      <c r="V883" t="s">
        <v>468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H883">
        <v>0</v>
      </c>
      <c r="AI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 t="s">
        <v>2309</v>
      </c>
      <c r="AY883">
        <v>0</v>
      </c>
      <c r="AZ883">
        <v>0</v>
      </c>
      <c r="BA883" t="s">
        <v>138</v>
      </c>
      <c r="BB883">
        <v>0</v>
      </c>
      <c r="BC883" t="s">
        <v>95</v>
      </c>
      <c r="BD883" t="s">
        <v>139</v>
      </c>
      <c r="BE883" t="s">
        <v>97</v>
      </c>
      <c r="BF883">
        <v>0</v>
      </c>
      <c r="BG883">
        <v>0</v>
      </c>
      <c r="BH883">
        <v>0</v>
      </c>
      <c r="BI883" t="s">
        <v>98</v>
      </c>
    </row>
    <row r="884" spans="1:61">
      <c r="A884" s="164" t="s">
        <v>2310</v>
      </c>
      <c r="B884" t="s">
        <v>2311</v>
      </c>
      <c r="C884">
        <v>0</v>
      </c>
      <c r="D884" t="s">
        <v>479</v>
      </c>
      <c r="E884">
        <v>0</v>
      </c>
      <c r="F884" t="s">
        <v>480</v>
      </c>
      <c r="G884" t="s">
        <v>103</v>
      </c>
      <c r="H884" t="s">
        <v>104</v>
      </c>
      <c r="I884" t="s">
        <v>80</v>
      </c>
      <c r="J884" t="s">
        <v>467</v>
      </c>
      <c r="K884" t="s">
        <v>468</v>
      </c>
      <c r="L884" t="s">
        <v>111</v>
      </c>
      <c r="M884" t="s">
        <v>84</v>
      </c>
      <c r="N884">
        <v>0.3</v>
      </c>
      <c r="O884" t="b">
        <v>0</v>
      </c>
      <c r="P884">
        <v>40</v>
      </c>
      <c r="Q884" t="s">
        <v>479</v>
      </c>
      <c r="S884">
        <v>0.3</v>
      </c>
      <c r="T884">
        <v>1</v>
      </c>
      <c r="U884" s="36">
        <v>2.7618400000000003</v>
      </c>
      <c r="V884" t="s">
        <v>468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H884">
        <v>0</v>
      </c>
      <c r="AI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 t="s">
        <v>2312</v>
      </c>
      <c r="AY884">
        <v>0</v>
      </c>
      <c r="AZ884">
        <v>0</v>
      </c>
      <c r="BA884" t="s">
        <v>138</v>
      </c>
      <c r="BB884">
        <v>0</v>
      </c>
      <c r="BC884" t="s">
        <v>95</v>
      </c>
      <c r="BD884" t="s">
        <v>139</v>
      </c>
      <c r="BE884" t="s">
        <v>97</v>
      </c>
      <c r="BF884">
        <v>0</v>
      </c>
      <c r="BG884">
        <v>0</v>
      </c>
      <c r="BH884">
        <v>0</v>
      </c>
      <c r="BI884" t="s">
        <v>98</v>
      </c>
    </row>
    <row r="885" spans="1:61">
      <c r="A885" s="164" t="s">
        <v>2313</v>
      </c>
      <c r="B885" t="s">
        <v>2314</v>
      </c>
      <c r="C885">
        <v>0</v>
      </c>
      <c r="D885" t="s">
        <v>101</v>
      </c>
      <c r="E885">
        <v>0</v>
      </c>
      <c r="F885" t="s">
        <v>512</v>
      </c>
      <c r="G885" t="s">
        <v>103</v>
      </c>
      <c r="H885" t="s">
        <v>104</v>
      </c>
      <c r="I885" t="s">
        <v>80</v>
      </c>
      <c r="J885" t="s">
        <v>81</v>
      </c>
      <c r="K885" t="s">
        <v>82</v>
      </c>
      <c r="L885" t="s">
        <v>83</v>
      </c>
      <c r="M885" t="s">
        <v>84</v>
      </c>
      <c r="N885">
        <v>0.114</v>
      </c>
      <c r="O885" t="b">
        <v>1</v>
      </c>
      <c r="P885">
        <v>45</v>
      </c>
      <c r="Q885" t="s">
        <v>85</v>
      </c>
      <c r="R885" t="s">
        <v>86</v>
      </c>
      <c r="S885">
        <v>0.1</v>
      </c>
      <c r="T885">
        <v>0.87719298245614041</v>
      </c>
      <c r="U885" s="36">
        <v>0.22859499999999999</v>
      </c>
      <c r="V885" t="s">
        <v>87</v>
      </c>
      <c r="W885">
        <v>150</v>
      </c>
      <c r="X885">
        <v>0.45</v>
      </c>
      <c r="Y885">
        <v>65</v>
      </c>
      <c r="Z885">
        <v>1.2500000000000001E-2</v>
      </c>
      <c r="AA885">
        <v>30</v>
      </c>
      <c r="AB885">
        <v>0</v>
      </c>
      <c r="AC885">
        <v>500</v>
      </c>
      <c r="AD885">
        <v>5000</v>
      </c>
      <c r="AE885" t="s">
        <v>88</v>
      </c>
      <c r="AF885" t="s">
        <v>513</v>
      </c>
      <c r="AG885" t="s">
        <v>514</v>
      </c>
      <c r="AH885">
        <v>0</v>
      </c>
      <c r="AI885">
        <v>0.8</v>
      </c>
      <c r="AJ885" t="s">
        <v>91</v>
      </c>
      <c r="AK885" t="s">
        <v>92</v>
      </c>
      <c r="AL885" t="s">
        <v>93</v>
      </c>
      <c r="AM885">
        <v>0.33631111111111106</v>
      </c>
      <c r="AN885">
        <v>0.22420740740740738</v>
      </c>
      <c r="AO885">
        <v>0.34752148148148143</v>
      </c>
      <c r="AP885">
        <v>0</v>
      </c>
      <c r="AQ885">
        <v>8.6691086691086688E-2</v>
      </c>
      <c r="AR885">
        <v>2.6666666666666505E-3</v>
      </c>
      <c r="AS885">
        <v>0</v>
      </c>
      <c r="AT885">
        <v>1.0866910866910866</v>
      </c>
      <c r="AU885">
        <v>1.0026666666666666</v>
      </c>
      <c r="AV885">
        <v>1</v>
      </c>
      <c r="AW885">
        <v>0</v>
      </c>
      <c r="AX885" t="s">
        <v>2315</v>
      </c>
      <c r="AY885">
        <v>15.98</v>
      </c>
      <c r="AZ885">
        <v>0</v>
      </c>
      <c r="BA885" t="s">
        <v>94</v>
      </c>
      <c r="BB885">
        <v>0.44</v>
      </c>
      <c r="BC885" t="s">
        <v>95</v>
      </c>
      <c r="BD885" t="s">
        <v>96</v>
      </c>
      <c r="BE885" t="s">
        <v>97</v>
      </c>
      <c r="BF885">
        <v>1</v>
      </c>
      <c r="BG885">
        <v>0</v>
      </c>
      <c r="BH885">
        <v>0</v>
      </c>
      <c r="BI885" t="s">
        <v>98</v>
      </c>
    </row>
    <row r="886" spans="1:61">
      <c r="A886" s="164" t="s">
        <v>2316</v>
      </c>
      <c r="B886" t="s">
        <v>2317</v>
      </c>
      <c r="C886">
        <v>0</v>
      </c>
      <c r="D886" t="s">
        <v>107</v>
      </c>
      <c r="E886">
        <v>0</v>
      </c>
      <c r="F886" t="s">
        <v>108</v>
      </c>
      <c r="G886" t="s">
        <v>103</v>
      </c>
      <c r="H886" t="s">
        <v>104</v>
      </c>
      <c r="I886" t="s">
        <v>80</v>
      </c>
      <c r="J886" t="s">
        <v>109</v>
      </c>
      <c r="K886" t="s">
        <v>110</v>
      </c>
      <c r="L886" t="s">
        <v>111</v>
      </c>
      <c r="M886" t="s">
        <v>84</v>
      </c>
      <c r="N886">
        <v>0.9</v>
      </c>
      <c r="O886" t="b">
        <v>1</v>
      </c>
      <c r="P886">
        <v>45</v>
      </c>
      <c r="Q886" t="s">
        <v>85</v>
      </c>
      <c r="R886" t="s">
        <v>86</v>
      </c>
      <c r="S886">
        <v>0.9</v>
      </c>
      <c r="T886">
        <v>1</v>
      </c>
      <c r="V886" t="s">
        <v>87</v>
      </c>
      <c r="W886">
        <v>34</v>
      </c>
      <c r="X886">
        <v>0.62562499999999999</v>
      </c>
      <c r="Y886">
        <v>0</v>
      </c>
      <c r="Z886">
        <v>6.6666666666666666E-2</v>
      </c>
      <c r="AA886">
        <v>60</v>
      </c>
      <c r="AB886">
        <v>0</v>
      </c>
      <c r="AC886">
        <v>500</v>
      </c>
      <c r="AD886">
        <v>555.55555555555554</v>
      </c>
      <c r="AE886" t="s">
        <v>112</v>
      </c>
      <c r="AF886" t="s">
        <v>113</v>
      </c>
      <c r="AG886" t="s">
        <v>114</v>
      </c>
      <c r="AH886">
        <v>0</v>
      </c>
      <c r="AI886">
        <v>0</v>
      </c>
      <c r="AJ886" t="s">
        <v>91</v>
      </c>
      <c r="AK886" t="s">
        <v>92</v>
      </c>
      <c r="AL886" t="s">
        <v>93</v>
      </c>
      <c r="AM886">
        <v>0.34043629629629629</v>
      </c>
      <c r="AN886">
        <v>0.22695753086419751</v>
      </c>
      <c r="AO886">
        <v>0.35178417283950614</v>
      </c>
      <c r="AP886">
        <v>0</v>
      </c>
      <c r="AQ886">
        <v>8.6691086691086688E-2</v>
      </c>
      <c r="AR886">
        <v>2.6666666666666505E-3</v>
      </c>
      <c r="AS886">
        <v>0</v>
      </c>
      <c r="AT886">
        <v>1.0866910866910866</v>
      </c>
      <c r="AU886">
        <v>1.0026666666666666</v>
      </c>
      <c r="AV886">
        <v>1</v>
      </c>
      <c r="AY886">
        <v>0</v>
      </c>
      <c r="AZ886">
        <v>0</v>
      </c>
      <c r="BA886" t="s">
        <v>94</v>
      </c>
      <c r="BB886">
        <v>0</v>
      </c>
      <c r="BC886" t="s">
        <v>115</v>
      </c>
      <c r="BD886" t="s">
        <v>116</v>
      </c>
      <c r="BE886" t="s">
        <v>117</v>
      </c>
      <c r="BF886">
        <v>0</v>
      </c>
      <c r="BG886">
        <v>0</v>
      </c>
      <c r="BH886">
        <v>0</v>
      </c>
      <c r="BI886" t="s">
        <v>98</v>
      </c>
    </row>
    <row r="887" spans="1:61">
      <c r="A887" s="164" t="s">
        <v>2318</v>
      </c>
      <c r="B887" t="s">
        <v>2319</v>
      </c>
      <c r="C887">
        <v>0</v>
      </c>
      <c r="D887" t="s">
        <v>304</v>
      </c>
      <c r="E887">
        <v>0</v>
      </c>
      <c r="F887" t="s">
        <v>342</v>
      </c>
      <c r="G887" t="s">
        <v>78</v>
      </c>
      <c r="H887" t="s">
        <v>79</v>
      </c>
      <c r="I887" t="s">
        <v>80</v>
      </c>
      <c r="J887" t="s">
        <v>196</v>
      </c>
      <c r="K887" t="s">
        <v>13</v>
      </c>
      <c r="L887" t="s">
        <v>83</v>
      </c>
      <c r="M887" t="s">
        <v>84</v>
      </c>
      <c r="N887">
        <v>1</v>
      </c>
      <c r="O887" t="b">
        <v>1</v>
      </c>
      <c r="P887">
        <v>0</v>
      </c>
      <c r="BB887">
        <v>0</v>
      </c>
      <c r="BC887" t="s">
        <v>306</v>
      </c>
      <c r="BD887" t="s">
        <v>343</v>
      </c>
      <c r="BE887" t="s">
        <v>117</v>
      </c>
      <c r="BF887">
        <v>0</v>
      </c>
      <c r="BG887">
        <v>25</v>
      </c>
      <c r="BH887">
        <v>10000</v>
      </c>
      <c r="BI887" t="s">
        <v>344</v>
      </c>
    </row>
    <row r="888" spans="1:61">
      <c r="A888" s="164" t="s">
        <v>2320</v>
      </c>
      <c r="B888" t="s">
        <v>2321</v>
      </c>
      <c r="C888">
        <v>0</v>
      </c>
      <c r="D888" t="s">
        <v>304</v>
      </c>
      <c r="E888">
        <v>0</v>
      </c>
      <c r="F888" t="s">
        <v>342</v>
      </c>
      <c r="G888" t="s">
        <v>78</v>
      </c>
      <c r="H888" t="s">
        <v>79</v>
      </c>
      <c r="I888" t="s">
        <v>80</v>
      </c>
      <c r="J888" t="s">
        <v>196</v>
      </c>
      <c r="K888" t="s">
        <v>13</v>
      </c>
      <c r="L888" t="s">
        <v>83</v>
      </c>
      <c r="M888" t="s">
        <v>84</v>
      </c>
      <c r="N888">
        <v>1</v>
      </c>
      <c r="O888" t="b">
        <v>1</v>
      </c>
      <c r="P888">
        <v>0</v>
      </c>
      <c r="BB888">
        <v>0</v>
      </c>
      <c r="BC888" t="s">
        <v>306</v>
      </c>
      <c r="BD888" t="s">
        <v>343</v>
      </c>
      <c r="BE888" t="s">
        <v>117</v>
      </c>
      <c r="BF888">
        <v>0</v>
      </c>
      <c r="BG888">
        <v>25</v>
      </c>
      <c r="BH888">
        <v>10000</v>
      </c>
      <c r="BI888" t="s">
        <v>344</v>
      </c>
    </row>
    <row r="889" spans="1:61">
      <c r="A889" s="164" t="s">
        <v>2322</v>
      </c>
      <c r="B889" t="s">
        <v>2323</v>
      </c>
      <c r="C889">
        <v>0</v>
      </c>
      <c r="D889" t="s">
        <v>304</v>
      </c>
      <c r="E889">
        <v>0</v>
      </c>
      <c r="F889" t="s">
        <v>342</v>
      </c>
      <c r="G889" t="s">
        <v>78</v>
      </c>
      <c r="H889" t="s">
        <v>79</v>
      </c>
      <c r="I889" t="s">
        <v>80</v>
      </c>
      <c r="J889" t="s">
        <v>196</v>
      </c>
      <c r="K889" t="s">
        <v>13</v>
      </c>
      <c r="L889" t="s">
        <v>83</v>
      </c>
      <c r="M889" t="s">
        <v>84</v>
      </c>
      <c r="N889">
        <v>1</v>
      </c>
      <c r="O889" t="b">
        <v>1</v>
      </c>
      <c r="P889">
        <v>0</v>
      </c>
      <c r="BB889">
        <v>0</v>
      </c>
      <c r="BC889" t="s">
        <v>306</v>
      </c>
      <c r="BD889" t="s">
        <v>343</v>
      </c>
      <c r="BE889" t="s">
        <v>117</v>
      </c>
      <c r="BF889">
        <v>0</v>
      </c>
      <c r="BG889">
        <v>25</v>
      </c>
      <c r="BH889">
        <v>10000</v>
      </c>
      <c r="BI889" t="s">
        <v>344</v>
      </c>
    </row>
    <row r="890" spans="1:61">
      <c r="A890" s="164" t="s">
        <v>2324</v>
      </c>
      <c r="B890" t="s">
        <v>2325</v>
      </c>
      <c r="C890">
        <v>0</v>
      </c>
      <c r="D890" t="s">
        <v>304</v>
      </c>
      <c r="E890">
        <v>0</v>
      </c>
      <c r="F890" t="s">
        <v>305</v>
      </c>
      <c r="G890" t="s">
        <v>78</v>
      </c>
      <c r="H890" t="s">
        <v>79</v>
      </c>
      <c r="I890" t="s">
        <v>80</v>
      </c>
      <c r="J890" t="s">
        <v>196</v>
      </c>
      <c r="K890" t="s">
        <v>13</v>
      </c>
      <c r="L890" t="s">
        <v>83</v>
      </c>
      <c r="M890" t="s">
        <v>84</v>
      </c>
      <c r="N890">
        <v>1</v>
      </c>
      <c r="O890" t="b">
        <v>1</v>
      </c>
      <c r="P890">
        <v>0</v>
      </c>
      <c r="BB890">
        <v>0</v>
      </c>
      <c r="BC890" t="s">
        <v>306</v>
      </c>
      <c r="BD890" t="s">
        <v>307</v>
      </c>
      <c r="BE890" t="s">
        <v>117</v>
      </c>
      <c r="BF890">
        <v>0</v>
      </c>
      <c r="BG890">
        <v>25</v>
      </c>
      <c r="BH890">
        <v>10000</v>
      </c>
      <c r="BI890" t="s">
        <v>308</v>
      </c>
    </row>
    <row r="891" spans="1:61">
      <c r="A891" s="164" t="s">
        <v>2326</v>
      </c>
      <c r="B891" t="s">
        <v>2327</v>
      </c>
      <c r="C891">
        <v>0</v>
      </c>
      <c r="D891" t="s">
        <v>304</v>
      </c>
      <c r="E891">
        <v>0</v>
      </c>
      <c r="F891" t="s">
        <v>357</v>
      </c>
      <c r="G891" t="s">
        <v>78</v>
      </c>
      <c r="H891" t="s">
        <v>79</v>
      </c>
      <c r="I891" t="s">
        <v>80</v>
      </c>
      <c r="J891" t="s">
        <v>196</v>
      </c>
      <c r="K891" t="s">
        <v>13</v>
      </c>
      <c r="L891" t="s">
        <v>83</v>
      </c>
      <c r="M891" t="s">
        <v>84</v>
      </c>
      <c r="N891">
        <v>1</v>
      </c>
      <c r="O891" t="b">
        <v>1</v>
      </c>
      <c r="P891">
        <v>0</v>
      </c>
      <c r="BB891">
        <v>0</v>
      </c>
      <c r="BC891" t="s">
        <v>306</v>
      </c>
      <c r="BD891" t="s">
        <v>358</v>
      </c>
      <c r="BE891" t="s">
        <v>117</v>
      </c>
      <c r="BF891">
        <v>0</v>
      </c>
      <c r="BG891">
        <v>25</v>
      </c>
      <c r="BH891">
        <v>500</v>
      </c>
      <c r="BI891" t="s">
        <v>359</v>
      </c>
    </row>
    <row r="892" spans="1:61">
      <c r="A892" s="164" t="s">
        <v>2328</v>
      </c>
      <c r="B892" t="s">
        <v>2329</v>
      </c>
      <c r="C892">
        <v>0</v>
      </c>
      <c r="D892" t="s">
        <v>304</v>
      </c>
      <c r="E892">
        <v>0</v>
      </c>
      <c r="F892" t="s">
        <v>313</v>
      </c>
      <c r="G892" t="s">
        <v>78</v>
      </c>
      <c r="H892" t="s">
        <v>79</v>
      </c>
      <c r="I892" t="s">
        <v>80</v>
      </c>
      <c r="J892" t="s">
        <v>196</v>
      </c>
      <c r="K892" t="s">
        <v>13</v>
      </c>
      <c r="L892" t="s">
        <v>83</v>
      </c>
      <c r="M892" t="s">
        <v>84</v>
      </c>
      <c r="N892">
        <v>1</v>
      </c>
      <c r="O892" t="b">
        <v>1</v>
      </c>
      <c r="P892">
        <v>0</v>
      </c>
      <c r="BB892">
        <v>0</v>
      </c>
      <c r="BC892" t="s">
        <v>306</v>
      </c>
      <c r="BD892" t="s">
        <v>314</v>
      </c>
      <c r="BE892" t="s">
        <v>117</v>
      </c>
      <c r="BF892">
        <v>0</v>
      </c>
      <c r="BG892">
        <v>20</v>
      </c>
      <c r="BH892">
        <v>50000</v>
      </c>
      <c r="BI892" t="s">
        <v>344</v>
      </c>
    </row>
    <row r="893" spans="1:61">
      <c r="A893" s="164" t="s">
        <v>2330</v>
      </c>
      <c r="B893" t="s">
        <v>2331</v>
      </c>
      <c r="C893">
        <v>0</v>
      </c>
      <c r="D893" t="s">
        <v>304</v>
      </c>
      <c r="E893">
        <v>0</v>
      </c>
      <c r="F893" t="s">
        <v>342</v>
      </c>
      <c r="G893" t="s">
        <v>78</v>
      </c>
      <c r="H893" t="s">
        <v>79</v>
      </c>
      <c r="I893" t="s">
        <v>80</v>
      </c>
      <c r="J893" t="s">
        <v>196</v>
      </c>
      <c r="K893" t="s">
        <v>13</v>
      </c>
      <c r="L893" t="s">
        <v>83</v>
      </c>
      <c r="M893" t="s">
        <v>84</v>
      </c>
      <c r="N893">
        <v>1</v>
      </c>
      <c r="O893" t="b">
        <v>1</v>
      </c>
      <c r="P893">
        <v>0</v>
      </c>
      <c r="BB893">
        <v>0</v>
      </c>
      <c r="BC893" t="s">
        <v>306</v>
      </c>
      <c r="BD893" t="s">
        <v>343</v>
      </c>
      <c r="BE893" t="s">
        <v>117</v>
      </c>
      <c r="BF893">
        <v>0</v>
      </c>
      <c r="BG893">
        <v>25</v>
      </c>
      <c r="BH893">
        <v>10000</v>
      </c>
      <c r="BI893" t="s">
        <v>344</v>
      </c>
    </row>
    <row r="894" spans="1:61">
      <c r="A894" s="164" t="s">
        <v>2332</v>
      </c>
      <c r="B894" t="s">
        <v>2333</v>
      </c>
      <c r="C894">
        <v>0</v>
      </c>
      <c r="D894" t="s">
        <v>304</v>
      </c>
      <c r="E894">
        <v>0</v>
      </c>
      <c r="F894" t="s">
        <v>269</v>
      </c>
      <c r="G894" t="s">
        <v>103</v>
      </c>
      <c r="H894" t="s">
        <v>104</v>
      </c>
      <c r="I894" t="s">
        <v>80</v>
      </c>
      <c r="J894" t="s">
        <v>196</v>
      </c>
      <c r="K894" t="s">
        <v>13</v>
      </c>
      <c r="L894" t="s">
        <v>83</v>
      </c>
      <c r="M894" t="s">
        <v>84</v>
      </c>
      <c r="N894">
        <v>1</v>
      </c>
      <c r="O894" t="b">
        <v>0</v>
      </c>
      <c r="P894">
        <v>0</v>
      </c>
      <c r="BB894">
        <v>0</v>
      </c>
      <c r="BC894" t="s">
        <v>306</v>
      </c>
      <c r="BD894" t="s">
        <v>270</v>
      </c>
      <c r="BE894" t="s">
        <v>117</v>
      </c>
      <c r="BF894">
        <v>0</v>
      </c>
      <c r="BG894">
        <v>0</v>
      </c>
      <c r="BH894">
        <v>0</v>
      </c>
    </row>
    <row r="895" spans="1:61">
      <c r="A895" s="164" t="s">
        <v>2334</v>
      </c>
      <c r="B895" t="s">
        <v>2335</v>
      </c>
      <c r="C895">
        <v>0</v>
      </c>
      <c r="D895" t="s">
        <v>257</v>
      </c>
      <c r="E895">
        <v>0</v>
      </c>
      <c r="F895" t="s">
        <v>925</v>
      </c>
      <c r="G895" t="s">
        <v>78</v>
      </c>
      <c r="H895" t="s">
        <v>79</v>
      </c>
      <c r="I895" t="s">
        <v>80</v>
      </c>
      <c r="J895" t="s">
        <v>196</v>
      </c>
      <c r="K895" t="s">
        <v>13</v>
      </c>
      <c r="L895" t="s">
        <v>83</v>
      </c>
      <c r="M895" t="s">
        <v>205</v>
      </c>
      <c r="N895">
        <v>1</v>
      </c>
      <c r="O895" t="b">
        <v>1</v>
      </c>
      <c r="P895">
        <v>0</v>
      </c>
      <c r="BB895">
        <v>0</v>
      </c>
      <c r="BC895" t="s">
        <v>259</v>
      </c>
      <c r="BD895" t="s">
        <v>926</v>
      </c>
      <c r="BE895" t="s">
        <v>117</v>
      </c>
      <c r="BF895">
        <v>0</v>
      </c>
      <c r="BG895">
        <v>15</v>
      </c>
      <c r="BH895">
        <v>2</v>
      </c>
      <c r="BI895" t="s">
        <v>1339</v>
      </c>
    </row>
    <row r="896" spans="1:61">
      <c r="A896" s="164" t="s">
        <v>2336</v>
      </c>
      <c r="B896" t="s">
        <v>2337</v>
      </c>
      <c r="C896">
        <v>0</v>
      </c>
      <c r="D896" t="s">
        <v>257</v>
      </c>
      <c r="E896">
        <v>0</v>
      </c>
      <c r="F896" t="s">
        <v>269</v>
      </c>
      <c r="G896" t="s">
        <v>103</v>
      </c>
      <c r="H896" t="s">
        <v>104</v>
      </c>
      <c r="I896" t="s">
        <v>80</v>
      </c>
      <c r="J896" t="s">
        <v>196</v>
      </c>
      <c r="K896" t="s">
        <v>13</v>
      </c>
      <c r="L896" t="s">
        <v>83</v>
      </c>
      <c r="M896" t="s">
        <v>205</v>
      </c>
      <c r="N896">
        <v>1</v>
      </c>
      <c r="O896" t="b">
        <v>0</v>
      </c>
      <c r="P896">
        <v>0</v>
      </c>
      <c r="BB896">
        <v>0</v>
      </c>
      <c r="BC896" t="s">
        <v>259</v>
      </c>
      <c r="BD896" t="s">
        <v>270</v>
      </c>
      <c r="BE896" t="s">
        <v>117</v>
      </c>
      <c r="BF896">
        <v>0</v>
      </c>
      <c r="BG896">
        <v>0</v>
      </c>
      <c r="BH896">
        <v>0</v>
      </c>
    </row>
    <row r="897" spans="1:61">
      <c r="A897" s="164" t="s">
        <v>2338</v>
      </c>
      <c r="B897" t="s">
        <v>2339</v>
      </c>
      <c r="C897">
        <v>0</v>
      </c>
      <c r="D897" t="s">
        <v>257</v>
      </c>
      <c r="E897">
        <v>0</v>
      </c>
      <c r="F897" t="s">
        <v>269</v>
      </c>
      <c r="G897" t="s">
        <v>103</v>
      </c>
      <c r="H897" t="s">
        <v>104</v>
      </c>
      <c r="I897" t="s">
        <v>80</v>
      </c>
      <c r="J897" t="s">
        <v>196</v>
      </c>
      <c r="K897" t="s">
        <v>13</v>
      </c>
      <c r="L897" t="s">
        <v>83</v>
      </c>
      <c r="M897" t="s">
        <v>205</v>
      </c>
      <c r="N897">
        <v>1</v>
      </c>
      <c r="O897" t="b">
        <v>0</v>
      </c>
      <c r="P897">
        <v>0</v>
      </c>
      <c r="BB897">
        <v>0</v>
      </c>
      <c r="BC897" t="s">
        <v>259</v>
      </c>
      <c r="BD897" t="s">
        <v>270</v>
      </c>
      <c r="BE897" t="s">
        <v>117</v>
      </c>
      <c r="BF897">
        <v>0</v>
      </c>
      <c r="BG897">
        <v>0</v>
      </c>
      <c r="BH897">
        <v>0</v>
      </c>
    </row>
    <row r="898" spans="1:61">
      <c r="A898" s="164" t="s">
        <v>2340</v>
      </c>
      <c r="B898" t="s">
        <v>1336</v>
      </c>
      <c r="C898">
        <v>0</v>
      </c>
      <c r="D898" t="s">
        <v>257</v>
      </c>
      <c r="E898">
        <v>0</v>
      </c>
      <c r="F898" t="s">
        <v>930</v>
      </c>
      <c r="G898" t="s">
        <v>78</v>
      </c>
      <c r="H898" t="s">
        <v>79</v>
      </c>
      <c r="I898" t="s">
        <v>80</v>
      </c>
      <c r="J898" t="s">
        <v>196</v>
      </c>
      <c r="K898" t="s">
        <v>13</v>
      </c>
      <c r="L898" t="s">
        <v>83</v>
      </c>
      <c r="M898" t="s">
        <v>205</v>
      </c>
      <c r="N898">
        <v>1</v>
      </c>
      <c r="O898" t="b">
        <v>1</v>
      </c>
      <c r="P898">
        <v>0</v>
      </c>
      <c r="BB898">
        <v>0</v>
      </c>
      <c r="BC898" t="s">
        <v>259</v>
      </c>
      <c r="BD898" t="s">
        <v>931</v>
      </c>
      <c r="BE898" t="s">
        <v>117</v>
      </c>
      <c r="BF898">
        <v>0</v>
      </c>
      <c r="BG898">
        <v>15</v>
      </c>
      <c r="BH898">
        <v>650</v>
      </c>
      <c r="BI898" t="s">
        <v>2341</v>
      </c>
    </row>
    <row r="899" spans="1:61">
      <c r="A899" s="164" t="s">
        <v>2342</v>
      </c>
      <c r="B899" t="s">
        <v>2343</v>
      </c>
      <c r="C899">
        <v>0</v>
      </c>
      <c r="D899" t="s">
        <v>257</v>
      </c>
      <c r="E899">
        <v>0</v>
      </c>
      <c r="F899" t="s">
        <v>269</v>
      </c>
      <c r="G899" t="s">
        <v>103</v>
      </c>
      <c r="H899" t="s">
        <v>104</v>
      </c>
      <c r="I899" t="s">
        <v>80</v>
      </c>
      <c r="J899" t="s">
        <v>196</v>
      </c>
      <c r="K899" t="s">
        <v>13</v>
      </c>
      <c r="L899" t="s">
        <v>83</v>
      </c>
      <c r="M899" t="s">
        <v>205</v>
      </c>
      <c r="N899">
        <v>1</v>
      </c>
      <c r="O899" t="b">
        <v>0</v>
      </c>
      <c r="P899">
        <v>0</v>
      </c>
      <c r="BB899">
        <v>0</v>
      </c>
      <c r="BC899" t="s">
        <v>259</v>
      </c>
      <c r="BD899" t="s">
        <v>270</v>
      </c>
      <c r="BE899" t="s">
        <v>117</v>
      </c>
      <c r="BF899">
        <v>0</v>
      </c>
      <c r="BG899">
        <v>0</v>
      </c>
      <c r="BH899">
        <v>0</v>
      </c>
    </row>
    <row r="900" spans="1:61">
      <c r="A900" s="164" t="s">
        <v>2344</v>
      </c>
      <c r="B900" t="s">
        <v>2345</v>
      </c>
      <c r="C900">
        <v>0</v>
      </c>
      <c r="D900" t="s">
        <v>257</v>
      </c>
      <c r="E900">
        <v>0</v>
      </c>
      <c r="F900" t="s">
        <v>269</v>
      </c>
      <c r="G900" t="s">
        <v>103</v>
      </c>
      <c r="H900" t="s">
        <v>104</v>
      </c>
      <c r="I900" t="s">
        <v>80</v>
      </c>
      <c r="J900" t="s">
        <v>196</v>
      </c>
      <c r="K900" t="s">
        <v>13</v>
      </c>
      <c r="L900" t="s">
        <v>83</v>
      </c>
      <c r="M900" t="s">
        <v>205</v>
      </c>
      <c r="N900">
        <v>1</v>
      </c>
      <c r="O900" t="b">
        <v>0</v>
      </c>
      <c r="P900">
        <v>0</v>
      </c>
      <c r="BB900">
        <v>0</v>
      </c>
      <c r="BC900" t="s">
        <v>259</v>
      </c>
      <c r="BD900" t="s">
        <v>270</v>
      </c>
      <c r="BE900" t="s">
        <v>117</v>
      </c>
      <c r="BF900">
        <v>0</v>
      </c>
      <c r="BG900">
        <v>0</v>
      </c>
      <c r="BH900">
        <v>0</v>
      </c>
    </row>
    <row r="901" spans="1:61">
      <c r="A901" s="164" t="s">
        <v>2346</v>
      </c>
      <c r="B901" t="s">
        <v>2347</v>
      </c>
      <c r="C901">
        <v>0</v>
      </c>
      <c r="D901" t="s">
        <v>257</v>
      </c>
      <c r="E901">
        <v>0</v>
      </c>
      <c r="F901" t="s">
        <v>269</v>
      </c>
      <c r="G901" t="s">
        <v>103</v>
      </c>
      <c r="H901" t="s">
        <v>104</v>
      </c>
      <c r="I901" t="s">
        <v>80</v>
      </c>
      <c r="J901" t="s">
        <v>196</v>
      </c>
      <c r="K901" t="s">
        <v>13</v>
      </c>
      <c r="L901" t="s">
        <v>83</v>
      </c>
      <c r="M901" t="s">
        <v>205</v>
      </c>
      <c r="N901">
        <v>1</v>
      </c>
      <c r="O901" t="b">
        <v>0</v>
      </c>
      <c r="P901">
        <v>0</v>
      </c>
      <c r="BB901">
        <v>0</v>
      </c>
      <c r="BC901" t="s">
        <v>259</v>
      </c>
      <c r="BD901" t="s">
        <v>270</v>
      </c>
      <c r="BE901" t="s">
        <v>117</v>
      </c>
      <c r="BF901">
        <v>0</v>
      </c>
      <c r="BG901">
        <v>0</v>
      </c>
      <c r="BH901">
        <v>0</v>
      </c>
    </row>
    <row r="902" spans="1:61">
      <c r="A902" s="164" t="s">
        <v>2348</v>
      </c>
      <c r="B902" t="s">
        <v>2349</v>
      </c>
      <c r="C902">
        <v>0</v>
      </c>
      <c r="D902" t="s">
        <v>257</v>
      </c>
      <c r="E902">
        <v>0</v>
      </c>
      <c r="F902" t="s">
        <v>269</v>
      </c>
      <c r="G902" t="s">
        <v>103</v>
      </c>
      <c r="H902" t="s">
        <v>104</v>
      </c>
      <c r="I902" t="s">
        <v>80</v>
      </c>
      <c r="J902" t="s">
        <v>196</v>
      </c>
      <c r="K902" t="s">
        <v>13</v>
      </c>
      <c r="L902" t="s">
        <v>83</v>
      </c>
      <c r="M902" t="s">
        <v>205</v>
      </c>
      <c r="N902">
        <v>1</v>
      </c>
      <c r="O902" t="b">
        <v>0</v>
      </c>
      <c r="P902">
        <v>0</v>
      </c>
      <c r="BB902">
        <v>0</v>
      </c>
      <c r="BC902" t="s">
        <v>259</v>
      </c>
      <c r="BD902" t="s">
        <v>270</v>
      </c>
      <c r="BE902" t="s">
        <v>117</v>
      </c>
      <c r="BF902">
        <v>0</v>
      </c>
      <c r="BG902">
        <v>0</v>
      </c>
      <c r="BH902">
        <v>0</v>
      </c>
    </row>
    <row r="903" spans="1:61">
      <c r="A903" s="164" t="s">
        <v>2350</v>
      </c>
      <c r="B903" t="s">
        <v>2351</v>
      </c>
      <c r="C903">
        <v>0</v>
      </c>
      <c r="D903" t="s">
        <v>257</v>
      </c>
      <c r="E903">
        <v>0</v>
      </c>
      <c r="F903" t="s">
        <v>925</v>
      </c>
      <c r="G903" t="s">
        <v>78</v>
      </c>
      <c r="H903" t="s">
        <v>79</v>
      </c>
      <c r="I903" t="s">
        <v>80</v>
      </c>
      <c r="J903" t="s">
        <v>196</v>
      </c>
      <c r="K903" t="s">
        <v>13</v>
      </c>
      <c r="L903" t="s">
        <v>83</v>
      </c>
      <c r="M903" t="s">
        <v>205</v>
      </c>
      <c r="N903">
        <v>1</v>
      </c>
      <c r="O903" t="b">
        <v>1</v>
      </c>
      <c r="P903">
        <v>0</v>
      </c>
      <c r="BB903">
        <v>0</v>
      </c>
      <c r="BC903" t="s">
        <v>259</v>
      </c>
      <c r="BD903" t="s">
        <v>926</v>
      </c>
      <c r="BE903" t="s">
        <v>117</v>
      </c>
      <c r="BF903">
        <v>0</v>
      </c>
      <c r="BG903">
        <v>25</v>
      </c>
      <c r="BH903">
        <v>5</v>
      </c>
      <c r="BI903" t="s">
        <v>1967</v>
      </c>
    </row>
    <row r="904" spans="1:61">
      <c r="A904" s="164" t="s">
        <v>2352</v>
      </c>
      <c r="B904" t="s">
        <v>114</v>
      </c>
      <c r="C904">
        <v>0</v>
      </c>
      <c r="D904" t="s">
        <v>194</v>
      </c>
      <c r="E904">
        <v>0</v>
      </c>
      <c r="F904" t="s">
        <v>195</v>
      </c>
      <c r="G904" t="s">
        <v>78</v>
      </c>
      <c r="H904" t="s">
        <v>79</v>
      </c>
      <c r="I904" t="s">
        <v>80</v>
      </c>
      <c r="J904" t="s">
        <v>196</v>
      </c>
      <c r="K904" t="s">
        <v>13</v>
      </c>
      <c r="L904" t="s">
        <v>83</v>
      </c>
      <c r="M904" t="s">
        <v>205</v>
      </c>
      <c r="N904">
        <v>1</v>
      </c>
      <c r="O904" t="b">
        <v>1</v>
      </c>
      <c r="P904">
        <v>0</v>
      </c>
      <c r="BB904">
        <v>0</v>
      </c>
      <c r="BC904" t="s">
        <v>197</v>
      </c>
      <c r="BD904" t="s">
        <v>198</v>
      </c>
      <c r="BE904" t="s">
        <v>117</v>
      </c>
      <c r="BF904">
        <v>0</v>
      </c>
      <c r="BG904">
        <v>0</v>
      </c>
      <c r="BH904">
        <v>0</v>
      </c>
    </row>
    <row r="905" spans="1:61">
      <c r="A905" s="164" t="s">
        <v>2353</v>
      </c>
      <c r="B905" t="s">
        <v>2354</v>
      </c>
      <c r="C905">
        <v>0</v>
      </c>
      <c r="D905" t="s">
        <v>486</v>
      </c>
      <c r="E905">
        <v>0</v>
      </c>
      <c r="F905" t="s">
        <v>1743</v>
      </c>
      <c r="G905" t="s">
        <v>78</v>
      </c>
      <c r="H905" t="s">
        <v>79</v>
      </c>
      <c r="I905" t="s">
        <v>80</v>
      </c>
      <c r="J905" t="s">
        <v>163</v>
      </c>
      <c r="K905" t="s">
        <v>82</v>
      </c>
      <c r="L905" t="s">
        <v>83</v>
      </c>
      <c r="M905" t="s">
        <v>84</v>
      </c>
      <c r="N905">
        <v>0.1</v>
      </c>
      <c r="O905" t="b">
        <v>1</v>
      </c>
      <c r="P905">
        <v>180</v>
      </c>
      <c r="Q905" t="s">
        <v>137</v>
      </c>
      <c r="S905">
        <v>0.1</v>
      </c>
      <c r="T905">
        <v>1</v>
      </c>
      <c r="U905" s="36">
        <v>1.0460849999999999</v>
      </c>
      <c r="V905" t="s">
        <v>165</v>
      </c>
      <c r="X905">
        <v>0</v>
      </c>
      <c r="Y905">
        <v>100</v>
      </c>
      <c r="Z905">
        <v>0.01</v>
      </c>
      <c r="AA905">
        <v>35</v>
      </c>
      <c r="AB905">
        <v>0</v>
      </c>
      <c r="AC905">
        <v>0</v>
      </c>
      <c r="AE905" t="s">
        <v>129</v>
      </c>
      <c r="AF905" t="s">
        <v>1743</v>
      </c>
      <c r="AG905" t="s">
        <v>129</v>
      </c>
      <c r="AH905">
        <v>0</v>
      </c>
      <c r="AI905">
        <v>13.4</v>
      </c>
      <c r="AJ905" t="s">
        <v>177</v>
      </c>
      <c r="AM905">
        <v>13.87</v>
      </c>
      <c r="AN905">
        <v>0</v>
      </c>
      <c r="AO905">
        <v>0</v>
      </c>
      <c r="AP905">
        <v>0</v>
      </c>
      <c r="AQ905">
        <v>2.8571428571428564E-2</v>
      </c>
      <c r="AR905">
        <v>0</v>
      </c>
      <c r="AS905">
        <v>0</v>
      </c>
      <c r="AT905">
        <v>1.0285714285714285</v>
      </c>
      <c r="AU905">
        <v>0</v>
      </c>
      <c r="AV905">
        <v>0</v>
      </c>
      <c r="AW905">
        <v>0</v>
      </c>
      <c r="AX905" t="s">
        <v>2355</v>
      </c>
      <c r="AY905">
        <v>7.67</v>
      </c>
      <c r="AZ905">
        <v>7</v>
      </c>
      <c r="BA905" t="s">
        <v>138</v>
      </c>
      <c r="BB905">
        <v>2.56</v>
      </c>
      <c r="BC905" t="s">
        <v>95</v>
      </c>
      <c r="BD905" t="s">
        <v>96</v>
      </c>
      <c r="BE905" t="s">
        <v>97</v>
      </c>
      <c r="BF905">
        <v>1</v>
      </c>
      <c r="BG905">
        <v>0</v>
      </c>
      <c r="BH905">
        <v>0</v>
      </c>
      <c r="BI905" t="s">
        <v>98</v>
      </c>
    </row>
    <row r="906" spans="1:61">
      <c r="A906" s="164" t="s">
        <v>2356</v>
      </c>
      <c r="B906" t="s">
        <v>2357</v>
      </c>
      <c r="C906">
        <v>0</v>
      </c>
      <c r="D906" t="s">
        <v>486</v>
      </c>
      <c r="E906">
        <v>0</v>
      </c>
      <c r="F906" t="s">
        <v>1782</v>
      </c>
      <c r="G906" t="s">
        <v>78</v>
      </c>
      <c r="H906" t="s">
        <v>79</v>
      </c>
      <c r="I906" t="s">
        <v>80</v>
      </c>
      <c r="J906" t="s">
        <v>163</v>
      </c>
      <c r="K906" t="s">
        <v>82</v>
      </c>
      <c r="L906" t="s">
        <v>83</v>
      </c>
      <c r="M906" t="s">
        <v>84</v>
      </c>
      <c r="N906">
        <v>0.4</v>
      </c>
      <c r="O906" t="b">
        <v>1</v>
      </c>
      <c r="P906">
        <v>90</v>
      </c>
      <c r="Q906" t="s">
        <v>137</v>
      </c>
      <c r="U906" s="36">
        <v>3.05572</v>
      </c>
      <c r="V906" t="s">
        <v>165</v>
      </c>
      <c r="X906">
        <v>0</v>
      </c>
      <c r="Y906">
        <v>36</v>
      </c>
      <c r="Z906">
        <v>0</v>
      </c>
      <c r="AA906">
        <v>35</v>
      </c>
      <c r="AB906">
        <v>0</v>
      </c>
      <c r="AC906">
        <v>0</v>
      </c>
      <c r="AE906" t="s">
        <v>129</v>
      </c>
      <c r="AF906" t="s">
        <v>1782</v>
      </c>
      <c r="AH906">
        <v>0</v>
      </c>
      <c r="AI906">
        <v>10.199999999999999</v>
      </c>
      <c r="AX906" t="s">
        <v>2358</v>
      </c>
      <c r="AY906">
        <v>0</v>
      </c>
      <c r="AZ906">
        <v>0</v>
      </c>
      <c r="BA906" t="s">
        <v>138</v>
      </c>
      <c r="BB906">
        <v>6.91</v>
      </c>
      <c r="BC906" t="s">
        <v>95</v>
      </c>
      <c r="BD906" t="s">
        <v>96</v>
      </c>
      <c r="BE906" t="s">
        <v>97</v>
      </c>
      <c r="BF906">
        <v>1</v>
      </c>
      <c r="BG906">
        <v>0</v>
      </c>
      <c r="BH906">
        <v>0</v>
      </c>
      <c r="BI906" t="s">
        <v>98</v>
      </c>
    </row>
    <row r="907" spans="1:61">
      <c r="A907" s="164" t="s">
        <v>2359</v>
      </c>
      <c r="B907" t="s">
        <v>2360</v>
      </c>
      <c r="C907">
        <v>0</v>
      </c>
      <c r="D907" t="s">
        <v>186</v>
      </c>
      <c r="E907">
        <v>0</v>
      </c>
      <c r="F907" t="s">
        <v>186</v>
      </c>
      <c r="G907" t="s">
        <v>103</v>
      </c>
      <c r="H907" t="s">
        <v>104</v>
      </c>
      <c r="I907" t="s">
        <v>1587</v>
      </c>
      <c r="J907" t="s">
        <v>1588</v>
      </c>
      <c r="K907" t="s">
        <v>82</v>
      </c>
      <c r="L907" t="s">
        <v>83</v>
      </c>
      <c r="M907" t="s">
        <v>84</v>
      </c>
      <c r="N907">
        <v>0.3</v>
      </c>
      <c r="O907" t="b">
        <v>0</v>
      </c>
      <c r="P907">
        <v>520</v>
      </c>
      <c r="Q907" t="s">
        <v>188</v>
      </c>
      <c r="S907">
        <v>0</v>
      </c>
      <c r="T907">
        <v>1</v>
      </c>
      <c r="U907" s="36">
        <v>2.15</v>
      </c>
      <c r="V907" t="s">
        <v>87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G907" t="s">
        <v>129</v>
      </c>
      <c r="AH907">
        <v>0</v>
      </c>
      <c r="AI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 t="s">
        <v>2361</v>
      </c>
      <c r="AY907">
        <v>0</v>
      </c>
      <c r="AZ907">
        <v>0</v>
      </c>
      <c r="BA907" t="s">
        <v>94</v>
      </c>
      <c r="BB907">
        <v>0</v>
      </c>
      <c r="BC907" t="s">
        <v>95</v>
      </c>
      <c r="BD907" t="s">
        <v>96</v>
      </c>
      <c r="BE907" t="s">
        <v>97</v>
      </c>
      <c r="BF907">
        <v>0</v>
      </c>
      <c r="BG907">
        <v>0</v>
      </c>
      <c r="BH907">
        <v>0</v>
      </c>
      <c r="BI907" t="s">
        <v>98</v>
      </c>
    </row>
    <row r="908" spans="1:61">
      <c r="A908" s="164" t="s">
        <v>2362</v>
      </c>
      <c r="B908" t="s">
        <v>2363</v>
      </c>
      <c r="C908">
        <v>0</v>
      </c>
      <c r="D908" t="s">
        <v>181</v>
      </c>
      <c r="E908">
        <v>0</v>
      </c>
      <c r="F908" t="s">
        <v>181</v>
      </c>
      <c r="G908" t="s">
        <v>103</v>
      </c>
      <c r="H908" t="s">
        <v>104</v>
      </c>
      <c r="I908" t="s">
        <v>80</v>
      </c>
      <c r="J908" t="s">
        <v>564</v>
      </c>
      <c r="K908" t="s">
        <v>565</v>
      </c>
      <c r="L908" t="s">
        <v>83</v>
      </c>
      <c r="M908" t="s">
        <v>84</v>
      </c>
      <c r="N908">
        <v>0.18</v>
      </c>
      <c r="O908" t="b">
        <v>1</v>
      </c>
      <c r="P908">
        <v>90</v>
      </c>
      <c r="Q908" t="s">
        <v>137</v>
      </c>
      <c r="R908" t="s">
        <v>86</v>
      </c>
      <c r="S908">
        <v>0.18</v>
      </c>
      <c r="T908">
        <v>1</v>
      </c>
      <c r="U908" s="36">
        <v>1.1673900000000001</v>
      </c>
      <c r="V908" t="s">
        <v>468</v>
      </c>
      <c r="X908">
        <v>0</v>
      </c>
      <c r="Y908">
        <v>81</v>
      </c>
      <c r="Z908">
        <v>1.2345679012345678E-2</v>
      </c>
      <c r="AA908">
        <v>30</v>
      </c>
      <c r="AB908">
        <v>0</v>
      </c>
      <c r="AC908">
        <v>0</v>
      </c>
      <c r="AE908" t="s">
        <v>129</v>
      </c>
      <c r="AF908" t="s">
        <v>181</v>
      </c>
      <c r="AG908" t="s">
        <v>129</v>
      </c>
      <c r="AH908">
        <v>0</v>
      </c>
      <c r="AI908">
        <v>11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 t="s">
        <v>2364</v>
      </c>
      <c r="AY908">
        <v>1.5</v>
      </c>
      <c r="AZ908">
        <v>0</v>
      </c>
      <c r="BA908" t="s">
        <v>138</v>
      </c>
      <c r="BB908">
        <v>2.14</v>
      </c>
      <c r="BC908" t="s">
        <v>95</v>
      </c>
      <c r="BD908" t="s">
        <v>1187</v>
      </c>
      <c r="BE908" t="s">
        <v>97</v>
      </c>
      <c r="BF908">
        <v>0</v>
      </c>
      <c r="BG908">
        <v>0</v>
      </c>
      <c r="BH908">
        <v>0</v>
      </c>
      <c r="BI908" t="s">
        <v>98</v>
      </c>
    </row>
    <row r="909" spans="1:61">
      <c r="A909" s="164" t="s">
        <v>2365</v>
      </c>
      <c r="B909" t="s">
        <v>150</v>
      </c>
      <c r="C909">
        <v>0</v>
      </c>
      <c r="D909" t="s">
        <v>194</v>
      </c>
      <c r="E909">
        <v>0</v>
      </c>
      <c r="F909" t="s">
        <v>195</v>
      </c>
      <c r="G909" t="s">
        <v>78</v>
      </c>
      <c r="H909" t="s">
        <v>79</v>
      </c>
      <c r="I909" t="s">
        <v>80</v>
      </c>
      <c r="J909" t="s">
        <v>196</v>
      </c>
      <c r="K909" t="s">
        <v>13</v>
      </c>
      <c r="L909" t="s">
        <v>83</v>
      </c>
      <c r="M909" t="s">
        <v>205</v>
      </c>
      <c r="N909">
        <v>1</v>
      </c>
      <c r="O909" t="b">
        <v>1</v>
      </c>
      <c r="P909">
        <v>0</v>
      </c>
      <c r="BB909">
        <v>0</v>
      </c>
      <c r="BC909" t="s">
        <v>197</v>
      </c>
      <c r="BD909" t="s">
        <v>198</v>
      </c>
      <c r="BE909" t="s">
        <v>117</v>
      </c>
      <c r="BF909">
        <v>0</v>
      </c>
      <c r="BG909">
        <v>0</v>
      </c>
      <c r="BH909">
        <v>0</v>
      </c>
    </row>
    <row r="910" spans="1:61">
      <c r="A910" s="164" t="s">
        <v>2366</v>
      </c>
      <c r="B910" t="s">
        <v>2367</v>
      </c>
      <c r="C910">
        <v>0</v>
      </c>
      <c r="D910" t="s">
        <v>194</v>
      </c>
      <c r="E910">
        <v>0</v>
      </c>
      <c r="F910" t="s">
        <v>195</v>
      </c>
      <c r="G910" t="s">
        <v>78</v>
      </c>
      <c r="H910" t="s">
        <v>79</v>
      </c>
      <c r="I910" t="s">
        <v>80</v>
      </c>
      <c r="J910" t="s">
        <v>196</v>
      </c>
      <c r="K910" t="s">
        <v>13</v>
      </c>
      <c r="L910" t="s">
        <v>83</v>
      </c>
      <c r="M910" t="s">
        <v>84</v>
      </c>
      <c r="N910">
        <v>1</v>
      </c>
      <c r="O910" t="b">
        <v>1</v>
      </c>
      <c r="P910">
        <v>0</v>
      </c>
      <c r="BB910">
        <v>0</v>
      </c>
      <c r="BC910" t="s">
        <v>197</v>
      </c>
      <c r="BD910" t="s">
        <v>198</v>
      </c>
      <c r="BE910" t="s">
        <v>117</v>
      </c>
      <c r="BF910">
        <v>0</v>
      </c>
      <c r="BG910">
        <v>0</v>
      </c>
      <c r="BH910">
        <v>0</v>
      </c>
    </row>
    <row r="911" spans="1:61">
      <c r="A911" s="164" t="s">
        <v>2368</v>
      </c>
      <c r="B911" t="s">
        <v>2369</v>
      </c>
      <c r="C911">
        <v>0</v>
      </c>
      <c r="D911" t="s">
        <v>101</v>
      </c>
      <c r="E911">
        <v>0</v>
      </c>
      <c r="F911" t="s">
        <v>102</v>
      </c>
      <c r="G911" t="s">
        <v>78</v>
      </c>
      <c r="H911" t="s">
        <v>79</v>
      </c>
      <c r="I911" t="s">
        <v>80</v>
      </c>
      <c r="J911" t="s">
        <v>81</v>
      </c>
      <c r="K911" t="s">
        <v>82</v>
      </c>
      <c r="L911" t="s">
        <v>83</v>
      </c>
      <c r="M911" t="s">
        <v>84</v>
      </c>
      <c r="N911">
        <v>0.16300000000000001</v>
      </c>
      <c r="O911" t="b">
        <v>0</v>
      </c>
      <c r="P911">
        <v>45</v>
      </c>
      <c r="Q911" t="s">
        <v>85</v>
      </c>
      <c r="R911" t="s">
        <v>86</v>
      </c>
      <c r="S911">
        <v>0.14499999999999999</v>
      </c>
      <c r="T911">
        <v>0.88957055214723912</v>
      </c>
      <c r="U911" s="36">
        <v>0.298205</v>
      </c>
      <c r="V911" t="s">
        <v>87</v>
      </c>
      <c r="W911">
        <v>150</v>
      </c>
      <c r="X911">
        <v>0.45</v>
      </c>
      <c r="Y911">
        <v>60</v>
      </c>
      <c r="Z911">
        <v>1.6666666666666666E-2</v>
      </c>
      <c r="AA911">
        <v>30</v>
      </c>
      <c r="AB911">
        <v>0</v>
      </c>
      <c r="AC911">
        <v>500</v>
      </c>
      <c r="AD911">
        <v>3448.2758620689656</v>
      </c>
      <c r="AE911" t="s">
        <v>88</v>
      </c>
      <c r="AF911" t="s">
        <v>513</v>
      </c>
      <c r="AG911" t="s">
        <v>514</v>
      </c>
      <c r="AH911">
        <v>0</v>
      </c>
      <c r="AI911">
        <v>0.8</v>
      </c>
      <c r="AJ911" t="s">
        <v>91</v>
      </c>
      <c r="AK911" t="s">
        <v>92</v>
      </c>
      <c r="AL911" t="s">
        <v>93</v>
      </c>
      <c r="AM911">
        <v>0.33631111111111106</v>
      </c>
      <c r="AN911">
        <v>0.22420740740740738</v>
      </c>
      <c r="AO911">
        <v>0.34752148148148143</v>
      </c>
      <c r="AP911">
        <v>0</v>
      </c>
      <c r="AQ911">
        <v>8.6691086691086688E-2</v>
      </c>
      <c r="AR911">
        <v>2.6666666666666505E-3</v>
      </c>
      <c r="AS911">
        <v>0</v>
      </c>
      <c r="AT911">
        <v>1.0866910866910866</v>
      </c>
      <c r="AU911">
        <v>1.0026666666666666</v>
      </c>
      <c r="AV911">
        <v>1</v>
      </c>
      <c r="AW911">
        <v>0</v>
      </c>
      <c r="AX911" t="s">
        <v>2370</v>
      </c>
      <c r="AY911">
        <v>15.98</v>
      </c>
      <c r="AZ911">
        <v>7</v>
      </c>
      <c r="BA911" t="s">
        <v>94</v>
      </c>
      <c r="BB911">
        <v>0.77</v>
      </c>
      <c r="BC911" t="s">
        <v>95</v>
      </c>
      <c r="BD911" t="s">
        <v>96</v>
      </c>
      <c r="BE911" t="s">
        <v>97</v>
      </c>
      <c r="BF911">
        <v>1</v>
      </c>
      <c r="BG911">
        <v>0</v>
      </c>
      <c r="BH911">
        <v>0</v>
      </c>
      <c r="BI911" t="s">
        <v>98</v>
      </c>
    </row>
    <row r="912" spans="1:61">
      <c r="A912" s="164" t="s">
        <v>2371</v>
      </c>
      <c r="B912" t="s">
        <v>2372</v>
      </c>
      <c r="C912">
        <v>0</v>
      </c>
      <c r="D912" t="s">
        <v>175</v>
      </c>
      <c r="E912">
        <v>0</v>
      </c>
      <c r="F912" t="s">
        <v>480</v>
      </c>
      <c r="G912" t="s">
        <v>103</v>
      </c>
      <c r="H912" t="s">
        <v>104</v>
      </c>
      <c r="I912" t="s">
        <v>80</v>
      </c>
      <c r="J912" t="s">
        <v>163</v>
      </c>
      <c r="K912" t="s">
        <v>468</v>
      </c>
      <c r="L912" t="s">
        <v>111</v>
      </c>
      <c r="M912" t="s">
        <v>84</v>
      </c>
      <c r="N912">
        <v>0.5</v>
      </c>
      <c r="O912" t="b">
        <v>0</v>
      </c>
      <c r="P912">
        <v>40</v>
      </c>
      <c r="Q912" t="s">
        <v>479</v>
      </c>
      <c r="S912">
        <v>0</v>
      </c>
      <c r="T912">
        <v>1</v>
      </c>
      <c r="U912" s="36">
        <v>2.3474349999999999</v>
      </c>
      <c r="V912" t="s">
        <v>468</v>
      </c>
      <c r="X912">
        <v>0</v>
      </c>
      <c r="Z912">
        <v>0</v>
      </c>
      <c r="AB912">
        <v>0</v>
      </c>
      <c r="AC912">
        <v>0</v>
      </c>
      <c r="AE912" t="s">
        <v>129</v>
      </c>
      <c r="AG912" t="s">
        <v>129</v>
      </c>
      <c r="AH912">
        <v>0</v>
      </c>
      <c r="AI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 t="s">
        <v>1768</v>
      </c>
      <c r="AY912">
        <v>0</v>
      </c>
      <c r="AZ912">
        <v>2</v>
      </c>
      <c r="BA912" t="s">
        <v>138</v>
      </c>
      <c r="BB912">
        <v>0</v>
      </c>
      <c r="BC912" t="s">
        <v>95</v>
      </c>
      <c r="BD912" t="s">
        <v>469</v>
      </c>
      <c r="BE912" t="s">
        <v>97</v>
      </c>
      <c r="BF912">
        <v>0</v>
      </c>
      <c r="BG912">
        <v>0</v>
      </c>
      <c r="BH912">
        <v>0</v>
      </c>
      <c r="BI912" t="s">
        <v>98</v>
      </c>
    </row>
    <row r="913" spans="1:61">
      <c r="A913" s="164" t="s">
        <v>2373</v>
      </c>
      <c r="B913" t="s">
        <v>2374</v>
      </c>
      <c r="C913">
        <v>0</v>
      </c>
      <c r="D913" t="s">
        <v>1553</v>
      </c>
      <c r="E913">
        <v>0</v>
      </c>
      <c r="F913" t="s">
        <v>120</v>
      </c>
      <c r="G913" t="s">
        <v>103</v>
      </c>
      <c r="H913" t="s">
        <v>104</v>
      </c>
      <c r="I913" t="s">
        <v>80</v>
      </c>
      <c r="J913" t="s">
        <v>81</v>
      </c>
      <c r="K913" t="s">
        <v>82</v>
      </c>
      <c r="L913" t="s">
        <v>83</v>
      </c>
      <c r="M913" t="s">
        <v>84</v>
      </c>
      <c r="N913">
        <v>0.15</v>
      </c>
      <c r="O913" t="b">
        <v>1</v>
      </c>
      <c r="P913">
        <v>45</v>
      </c>
      <c r="Q913" t="s">
        <v>85</v>
      </c>
      <c r="R913" t="s">
        <v>1126</v>
      </c>
      <c r="S913">
        <v>0.15</v>
      </c>
      <c r="T913">
        <v>1</v>
      </c>
      <c r="U913" s="36">
        <v>0.48861500000000002</v>
      </c>
      <c r="V913" t="s">
        <v>87</v>
      </c>
      <c r="W913">
        <v>135</v>
      </c>
      <c r="X913">
        <v>0</v>
      </c>
      <c r="Y913">
        <v>60</v>
      </c>
      <c r="Z913">
        <v>1.5625E-2</v>
      </c>
      <c r="AA913">
        <v>30</v>
      </c>
      <c r="AB913">
        <v>3.3333333333333333E-2</v>
      </c>
      <c r="AC913">
        <v>500</v>
      </c>
      <c r="AD913">
        <v>3333.3333333333335</v>
      </c>
      <c r="AE913" t="s">
        <v>88</v>
      </c>
      <c r="AF913" t="s">
        <v>1554</v>
      </c>
      <c r="AG913" t="s">
        <v>1555</v>
      </c>
      <c r="AH913">
        <v>0</v>
      </c>
      <c r="AI913">
        <v>0.9</v>
      </c>
      <c r="AJ913" t="s">
        <v>91</v>
      </c>
      <c r="AL913" t="s">
        <v>93</v>
      </c>
      <c r="AM913">
        <v>0.52300000000000002</v>
      </c>
      <c r="AN913">
        <v>0</v>
      </c>
      <c r="AO913">
        <v>0.4</v>
      </c>
      <c r="AP913">
        <v>0</v>
      </c>
      <c r="AQ913">
        <v>8.6691086691086688E-2</v>
      </c>
      <c r="AR913">
        <v>0</v>
      </c>
      <c r="AS913">
        <v>0</v>
      </c>
      <c r="AT913">
        <v>1.0866910866910866</v>
      </c>
      <c r="AU913">
        <v>0</v>
      </c>
      <c r="AV913">
        <v>1</v>
      </c>
      <c r="AW913">
        <v>0</v>
      </c>
      <c r="AX913" t="s">
        <v>2375</v>
      </c>
      <c r="AY913">
        <v>13.200000000000001</v>
      </c>
      <c r="AZ913">
        <v>5</v>
      </c>
      <c r="BA913" t="s">
        <v>94</v>
      </c>
      <c r="BB913">
        <v>1.37</v>
      </c>
      <c r="BC913" t="s">
        <v>95</v>
      </c>
      <c r="BD913" t="s">
        <v>96</v>
      </c>
      <c r="BE913" t="s">
        <v>97</v>
      </c>
      <c r="BF913">
        <v>0</v>
      </c>
      <c r="BG913">
        <v>0</v>
      </c>
      <c r="BH913">
        <v>0</v>
      </c>
      <c r="BI913" t="s">
        <v>98</v>
      </c>
    </row>
    <row r="914" spans="1:61">
      <c r="A914" s="164" t="s">
        <v>2376</v>
      </c>
      <c r="B914" t="s">
        <v>2377</v>
      </c>
      <c r="C914">
        <v>0</v>
      </c>
      <c r="D914" t="s">
        <v>486</v>
      </c>
      <c r="E914">
        <v>0</v>
      </c>
      <c r="F914" t="s">
        <v>1138</v>
      </c>
      <c r="G914" t="s">
        <v>78</v>
      </c>
      <c r="H914" t="s">
        <v>79</v>
      </c>
      <c r="I914" t="s">
        <v>80</v>
      </c>
      <c r="J914" t="s">
        <v>163</v>
      </c>
      <c r="K914" t="s">
        <v>82</v>
      </c>
      <c r="L914" t="s">
        <v>83</v>
      </c>
      <c r="M914" t="s">
        <v>205</v>
      </c>
      <c r="N914">
        <v>1</v>
      </c>
      <c r="O914" t="b">
        <v>1</v>
      </c>
      <c r="P914">
        <v>90</v>
      </c>
      <c r="Q914" t="s">
        <v>137</v>
      </c>
      <c r="S914">
        <v>1</v>
      </c>
      <c r="T914">
        <v>1</v>
      </c>
      <c r="U914" s="36">
        <v>7.2458349999999996</v>
      </c>
      <c r="V914" t="s">
        <v>165</v>
      </c>
      <c r="X914">
        <v>0</v>
      </c>
      <c r="Y914">
        <v>25</v>
      </c>
      <c r="Z914">
        <v>0.1</v>
      </c>
      <c r="AA914">
        <v>20</v>
      </c>
      <c r="AB914">
        <v>0</v>
      </c>
      <c r="AC914">
        <v>0</v>
      </c>
      <c r="AE914" t="s">
        <v>129</v>
      </c>
      <c r="AF914" t="s">
        <v>1138</v>
      </c>
      <c r="AG914" t="s">
        <v>129</v>
      </c>
      <c r="AH914">
        <v>0</v>
      </c>
      <c r="AI914">
        <v>9.9</v>
      </c>
      <c r="AJ914" t="s">
        <v>167</v>
      </c>
      <c r="AM914">
        <v>10.38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 t="s">
        <v>2378</v>
      </c>
      <c r="AY914">
        <v>72.22</v>
      </c>
      <c r="AZ914">
        <v>0</v>
      </c>
      <c r="BA914" t="s">
        <v>138</v>
      </c>
      <c r="BB914">
        <v>11.45</v>
      </c>
      <c r="BC914" t="s">
        <v>95</v>
      </c>
      <c r="BD914" t="s">
        <v>96</v>
      </c>
      <c r="BE914" t="s">
        <v>97</v>
      </c>
      <c r="BF914">
        <v>2.5</v>
      </c>
      <c r="BG914">
        <v>0</v>
      </c>
      <c r="BH914">
        <v>0</v>
      </c>
      <c r="BI914" t="s">
        <v>98</v>
      </c>
    </row>
    <row r="915" spans="1:61">
      <c r="A915" s="164" t="s">
        <v>2379</v>
      </c>
      <c r="B915" t="s">
        <v>2380</v>
      </c>
      <c r="C915">
        <v>0</v>
      </c>
      <c r="D915" t="s">
        <v>479</v>
      </c>
      <c r="E915">
        <v>0</v>
      </c>
      <c r="F915" t="s">
        <v>480</v>
      </c>
      <c r="G915" t="s">
        <v>103</v>
      </c>
      <c r="H915" t="s">
        <v>104</v>
      </c>
      <c r="I915" t="s">
        <v>80</v>
      </c>
      <c r="J915" t="s">
        <v>467</v>
      </c>
      <c r="K915" t="s">
        <v>468</v>
      </c>
      <c r="L915" t="s">
        <v>111</v>
      </c>
      <c r="M915" t="s">
        <v>84</v>
      </c>
      <c r="N915">
        <v>0.6</v>
      </c>
      <c r="O915" t="b">
        <v>0</v>
      </c>
      <c r="P915">
        <v>40</v>
      </c>
      <c r="Q915" t="s">
        <v>479</v>
      </c>
      <c r="S915">
        <v>0</v>
      </c>
      <c r="T915">
        <v>1</v>
      </c>
      <c r="V915" t="s">
        <v>87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G915" t="s">
        <v>129</v>
      </c>
      <c r="AH915">
        <v>0</v>
      </c>
      <c r="AI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 t="s">
        <v>2381</v>
      </c>
      <c r="AY915">
        <v>0</v>
      </c>
      <c r="AZ915">
        <v>0</v>
      </c>
      <c r="BA915" t="s">
        <v>138</v>
      </c>
      <c r="BB915">
        <v>0</v>
      </c>
      <c r="BC915" t="s">
        <v>95</v>
      </c>
      <c r="BD915" t="s">
        <v>139</v>
      </c>
      <c r="BE915" t="s">
        <v>97</v>
      </c>
      <c r="BF915">
        <v>0</v>
      </c>
      <c r="BG915">
        <v>0</v>
      </c>
      <c r="BH915">
        <v>0</v>
      </c>
      <c r="BI915" t="s">
        <v>98</v>
      </c>
    </row>
    <row r="916" spans="1:61">
      <c r="A916" s="164" t="s">
        <v>2382</v>
      </c>
      <c r="B916" t="s">
        <v>2383</v>
      </c>
      <c r="C916">
        <v>0</v>
      </c>
      <c r="D916" t="s">
        <v>486</v>
      </c>
      <c r="E916">
        <v>0</v>
      </c>
      <c r="F916" t="s">
        <v>2261</v>
      </c>
      <c r="G916" t="s">
        <v>487</v>
      </c>
      <c r="H916" t="s">
        <v>117</v>
      </c>
      <c r="I916" t="s">
        <v>80</v>
      </c>
      <c r="J916" t="s">
        <v>163</v>
      </c>
      <c r="K916" t="s">
        <v>82</v>
      </c>
      <c r="L916" t="s">
        <v>83</v>
      </c>
      <c r="M916" t="s">
        <v>84</v>
      </c>
      <c r="N916">
        <v>0.15</v>
      </c>
      <c r="O916" t="b">
        <v>1</v>
      </c>
      <c r="P916">
        <v>60</v>
      </c>
      <c r="Q916" t="s">
        <v>137</v>
      </c>
      <c r="S916">
        <v>0.15</v>
      </c>
      <c r="T916">
        <v>1</v>
      </c>
      <c r="V916" t="s">
        <v>165</v>
      </c>
      <c r="X916">
        <v>0</v>
      </c>
      <c r="Z916">
        <v>3.3333333333333333E-2</v>
      </c>
      <c r="AB916">
        <v>0</v>
      </c>
      <c r="AC916">
        <v>0</v>
      </c>
      <c r="AE916" t="s">
        <v>129</v>
      </c>
      <c r="AF916" t="s">
        <v>2261</v>
      </c>
      <c r="AG916" t="s">
        <v>129</v>
      </c>
      <c r="AH916">
        <v>0</v>
      </c>
      <c r="AI916">
        <v>10.199999999999999</v>
      </c>
      <c r="AJ916" t="s">
        <v>167</v>
      </c>
      <c r="AM916">
        <v>10.38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 t="s">
        <v>2384</v>
      </c>
      <c r="AY916">
        <v>10.15</v>
      </c>
      <c r="AZ916">
        <v>3</v>
      </c>
      <c r="BA916" t="s">
        <v>138</v>
      </c>
      <c r="BB916">
        <v>0</v>
      </c>
      <c r="BC916" t="s">
        <v>488</v>
      </c>
      <c r="BD916" t="s">
        <v>489</v>
      </c>
      <c r="BE916" t="s">
        <v>97</v>
      </c>
      <c r="BF916">
        <v>1</v>
      </c>
      <c r="BG916">
        <v>0</v>
      </c>
      <c r="BH916">
        <v>0</v>
      </c>
      <c r="BI916" t="s">
        <v>98</v>
      </c>
    </row>
    <row r="917" spans="1:61">
      <c r="A917" s="164" t="s">
        <v>2385</v>
      </c>
      <c r="B917" t="s">
        <v>2386</v>
      </c>
      <c r="C917">
        <v>0</v>
      </c>
      <c r="D917" t="s">
        <v>107</v>
      </c>
      <c r="E917">
        <v>0</v>
      </c>
      <c r="F917" t="s">
        <v>108</v>
      </c>
      <c r="G917" t="s">
        <v>103</v>
      </c>
      <c r="H917" t="s">
        <v>104</v>
      </c>
      <c r="I917" t="s">
        <v>80</v>
      </c>
      <c r="J917" t="s">
        <v>109</v>
      </c>
      <c r="K917" t="s">
        <v>110</v>
      </c>
      <c r="L917" t="s">
        <v>111</v>
      </c>
      <c r="M917" t="s">
        <v>84</v>
      </c>
      <c r="N917">
        <v>0.9</v>
      </c>
      <c r="O917" t="b">
        <v>1</v>
      </c>
      <c r="P917">
        <v>45</v>
      </c>
      <c r="Q917" t="s">
        <v>85</v>
      </c>
      <c r="R917" t="s">
        <v>86</v>
      </c>
      <c r="S917">
        <v>0.9</v>
      </c>
      <c r="T917">
        <v>1</v>
      </c>
      <c r="V917" t="s">
        <v>87</v>
      </c>
      <c r="W917">
        <v>34</v>
      </c>
      <c r="X917">
        <v>0.62562499999999999</v>
      </c>
      <c r="Y917">
        <v>0</v>
      </c>
      <c r="Z917">
        <v>6.6666666666666666E-2</v>
      </c>
      <c r="AA917">
        <v>60</v>
      </c>
      <c r="AB917">
        <v>0</v>
      </c>
      <c r="AC917">
        <v>500</v>
      </c>
      <c r="AD917">
        <v>555.55555555555554</v>
      </c>
      <c r="AE917" t="s">
        <v>112</v>
      </c>
      <c r="AF917" t="s">
        <v>113</v>
      </c>
      <c r="AG917" t="s">
        <v>114</v>
      </c>
      <c r="AH917">
        <v>0</v>
      </c>
      <c r="AI917">
        <v>0</v>
      </c>
      <c r="AJ917" t="s">
        <v>91</v>
      </c>
      <c r="AK917" t="s">
        <v>92</v>
      </c>
      <c r="AL917" t="s">
        <v>93</v>
      </c>
      <c r="AM917">
        <v>0.34043629629629629</v>
      </c>
      <c r="AN917">
        <v>0.22695753086419751</v>
      </c>
      <c r="AO917">
        <v>0.35178417283950614</v>
      </c>
      <c r="AP917">
        <v>0</v>
      </c>
      <c r="AQ917">
        <v>8.6691086691086688E-2</v>
      </c>
      <c r="AR917">
        <v>2.6666666666666505E-3</v>
      </c>
      <c r="AS917">
        <v>0</v>
      </c>
      <c r="AT917">
        <v>1.0866910866910866</v>
      </c>
      <c r="AU917">
        <v>1.0026666666666666</v>
      </c>
      <c r="AV917">
        <v>1</v>
      </c>
      <c r="AY917">
        <v>0</v>
      </c>
      <c r="AZ917">
        <v>4</v>
      </c>
      <c r="BA917" t="s">
        <v>94</v>
      </c>
      <c r="BB917">
        <v>0</v>
      </c>
      <c r="BC917" t="s">
        <v>115</v>
      </c>
      <c r="BD917" t="s">
        <v>116</v>
      </c>
      <c r="BE917" t="s">
        <v>117</v>
      </c>
      <c r="BF917">
        <v>0</v>
      </c>
      <c r="BG917">
        <v>0</v>
      </c>
      <c r="BH917">
        <v>0</v>
      </c>
      <c r="BI917" t="s">
        <v>98</v>
      </c>
    </row>
    <row r="918" spans="1:61">
      <c r="A918" s="164" t="s">
        <v>2387</v>
      </c>
      <c r="B918" t="s">
        <v>2388</v>
      </c>
      <c r="C918">
        <v>0</v>
      </c>
      <c r="D918" t="s">
        <v>486</v>
      </c>
      <c r="E918">
        <v>0</v>
      </c>
      <c r="F918" t="s">
        <v>1597</v>
      </c>
      <c r="G918" t="s">
        <v>487</v>
      </c>
      <c r="H918" t="s">
        <v>117</v>
      </c>
      <c r="I918" t="s">
        <v>80</v>
      </c>
      <c r="J918" t="s">
        <v>163</v>
      </c>
      <c r="K918" t="s">
        <v>82</v>
      </c>
      <c r="L918" t="s">
        <v>83</v>
      </c>
      <c r="M918" t="s">
        <v>84</v>
      </c>
      <c r="N918">
        <v>0.05</v>
      </c>
      <c r="O918" t="b">
        <v>1</v>
      </c>
      <c r="P918">
        <v>40</v>
      </c>
      <c r="Q918" t="s">
        <v>137</v>
      </c>
      <c r="R918" t="s">
        <v>164</v>
      </c>
      <c r="S918">
        <v>0.05</v>
      </c>
      <c r="T918">
        <v>1</v>
      </c>
      <c r="V918" t="s">
        <v>165</v>
      </c>
      <c r="X918">
        <v>0</v>
      </c>
      <c r="Z918">
        <v>0</v>
      </c>
      <c r="AB918">
        <v>0</v>
      </c>
      <c r="AC918">
        <v>0</v>
      </c>
      <c r="AE918" t="s">
        <v>129</v>
      </c>
      <c r="AF918" t="s">
        <v>1597</v>
      </c>
      <c r="AG918" t="s">
        <v>129</v>
      </c>
      <c r="AH918">
        <v>0</v>
      </c>
      <c r="AI918">
        <v>10.199999999999999</v>
      </c>
      <c r="AJ918" t="s">
        <v>177</v>
      </c>
      <c r="AM918">
        <v>10.11</v>
      </c>
      <c r="AN918">
        <v>0</v>
      </c>
      <c r="AO918">
        <v>0</v>
      </c>
      <c r="AP918">
        <v>0</v>
      </c>
      <c r="AQ918">
        <v>2.8571428571428564E-2</v>
      </c>
      <c r="AR918">
        <v>0</v>
      </c>
      <c r="AS918">
        <v>0</v>
      </c>
      <c r="AT918">
        <v>1.0285714285714285</v>
      </c>
      <c r="AU918">
        <v>0</v>
      </c>
      <c r="AV918">
        <v>0</v>
      </c>
      <c r="AW918">
        <v>0</v>
      </c>
      <c r="AY918">
        <v>2.2258</v>
      </c>
      <c r="AZ918">
        <v>5</v>
      </c>
      <c r="BA918" t="s">
        <v>138</v>
      </c>
      <c r="BB918">
        <v>0</v>
      </c>
      <c r="BC918" t="s">
        <v>488</v>
      </c>
      <c r="BD918" t="s">
        <v>489</v>
      </c>
      <c r="BE918" t="s">
        <v>97</v>
      </c>
      <c r="BF918">
        <v>1</v>
      </c>
      <c r="BG918">
        <v>0</v>
      </c>
      <c r="BH918">
        <v>0</v>
      </c>
      <c r="BI918" t="s">
        <v>98</v>
      </c>
    </row>
    <row r="919" spans="1:61">
      <c r="A919" s="164" t="s">
        <v>2389</v>
      </c>
      <c r="B919" t="s">
        <v>2390</v>
      </c>
      <c r="C919">
        <v>0</v>
      </c>
      <c r="D919" t="s">
        <v>194</v>
      </c>
      <c r="E919">
        <v>0</v>
      </c>
      <c r="F919" t="s">
        <v>233</v>
      </c>
      <c r="G919" t="s">
        <v>78</v>
      </c>
      <c r="H919" t="s">
        <v>79</v>
      </c>
      <c r="I919" t="s">
        <v>80</v>
      </c>
      <c r="J919" t="s">
        <v>196</v>
      </c>
      <c r="K919" t="s">
        <v>13</v>
      </c>
      <c r="L919" t="s">
        <v>83</v>
      </c>
      <c r="M919" t="s">
        <v>84</v>
      </c>
      <c r="N919">
        <v>1</v>
      </c>
      <c r="O919" t="b">
        <v>1</v>
      </c>
      <c r="P919">
        <v>0</v>
      </c>
      <c r="BB919">
        <v>0</v>
      </c>
      <c r="BC919" t="s">
        <v>197</v>
      </c>
      <c r="BD919" t="s">
        <v>234</v>
      </c>
      <c r="BE919" t="s">
        <v>117</v>
      </c>
      <c r="BF919">
        <v>0</v>
      </c>
      <c r="BG919">
        <v>0</v>
      </c>
      <c r="BH919">
        <v>0</v>
      </c>
    </row>
    <row r="920" spans="1:61">
      <c r="A920" s="164" t="s">
        <v>2391</v>
      </c>
      <c r="B920" t="s">
        <v>2392</v>
      </c>
      <c r="C920">
        <v>0</v>
      </c>
      <c r="D920" t="s">
        <v>194</v>
      </c>
      <c r="E920">
        <v>0</v>
      </c>
      <c r="F920" t="s">
        <v>195</v>
      </c>
      <c r="G920" t="s">
        <v>78</v>
      </c>
      <c r="H920" t="s">
        <v>79</v>
      </c>
      <c r="I920" t="s">
        <v>80</v>
      </c>
      <c r="J920" t="s">
        <v>196</v>
      </c>
      <c r="K920" t="s">
        <v>13</v>
      </c>
      <c r="L920" t="s">
        <v>83</v>
      </c>
      <c r="M920" t="s">
        <v>84</v>
      </c>
      <c r="N920">
        <v>1</v>
      </c>
      <c r="O920" t="b">
        <v>1</v>
      </c>
      <c r="P920">
        <v>0</v>
      </c>
      <c r="BB920">
        <v>0</v>
      </c>
      <c r="BC920" t="s">
        <v>197</v>
      </c>
      <c r="BD920" t="s">
        <v>198</v>
      </c>
      <c r="BE920" t="s">
        <v>117</v>
      </c>
      <c r="BF920">
        <v>0</v>
      </c>
      <c r="BG920">
        <v>0</v>
      </c>
      <c r="BH920">
        <v>0</v>
      </c>
    </row>
    <row r="921" spans="1:61">
      <c r="A921" s="164" t="s">
        <v>2393</v>
      </c>
      <c r="B921" t="s">
        <v>2394</v>
      </c>
      <c r="C921">
        <v>0</v>
      </c>
      <c r="D921" t="s">
        <v>194</v>
      </c>
      <c r="E921">
        <v>0</v>
      </c>
      <c r="F921" t="s">
        <v>195</v>
      </c>
      <c r="G921" t="s">
        <v>78</v>
      </c>
      <c r="H921" t="s">
        <v>79</v>
      </c>
      <c r="I921" t="s">
        <v>80</v>
      </c>
      <c r="J921" t="s">
        <v>196</v>
      </c>
      <c r="K921" t="s">
        <v>13</v>
      </c>
      <c r="L921" t="s">
        <v>83</v>
      </c>
      <c r="M921" t="s">
        <v>84</v>
      </c>
      <c r="N921">
        <v>1</v>
      </c>
      <c r="O921" t="b">
        <v>1</v>
      </c>
      <c r="P921">
        <v>0</v>
      </c>
      <c r="BB921">
        <v>0</v>
      </c>
      <c r="BC921" t="s">
        <v>197</v>
      </c>
      <c r="BD921" t="s">
        <v>198</v>
      </c>
      <c r="BE921" t="s">
        <v>117</v>
      </c>
      <c r="BF921">
        <v>0</v>
      </c>
      <c r="BG921">
        <v>0</v>
      </c>
      <c r="BH921">
        <v>0</v>
      </c>
    </row>
    <row r="922" spans="1:61">
      <c r="A922" s="164" t="s">
        <v>2395</v>
      </c>
      <c r="B922" t="s">
        <v>2396</v>
      </c>
      <c r="C922">
        <v>0</v>
      </c>
      <c r="D922" t="s">
        <v>194</v>
      </c>
      <c r="E922">
        <v>0</v>
      </c>
      <c r="F922" t="s">
        <v>195</v>
      </c>
      <c r="G922" t="s">
        <v>78</v>
      </c>
      <c r="H922" t="s">
        <v>79</v>
      </c>
      <c r="I922" t="s">
        <v>80</v>
      </c>
      <c r="J922" t="s">
        <v>196</v>
      </c>
      <c r="K922" t="s">
        <v>13</v>
      </c>
      <c r="L922" t="s">
        <v>83</v>
      </c>
      <c r="M922" t="s">
        <v>84</v>
      </c>
      <c r="N922">
        <v>1</v>
      </c>
      <c r="O922" t="b">
        <v>1</v>
      </c>
      <c r="P922">
        <v>0</v>
      </c>
      <c r="BB922">
        <v>0</v>
      </c>
      <c r="BC922" t="s">
        <v>197</v>
      </c>
      <c r="BD922" t="s">
        <v>198</v>
      </c>
      <c r="BE922" t="s">
        <v>117</v>
      </c>
      <c r="BF922">
        <v>0</v>
      </c>
      <c r="BG922">
        <v>0</v>
      </c>
      <c r="BH922">
        <v>0</v>
      </c>
    </row>
    <row r="923" spans="1:61">
      <c r="A923" s="164" t="s">
        <v>2397</v>
      </c>
      <c r="B923" t="s">
        <v>2398</v>
      </c>
      <c r="C923">
        <v>0</v>
      </c>
      <c r="D923" t="s">
        <v>194</v>
      </c>
      <c r="E923">
        <v>0</v>
      </c>
      <c r="F923" t="s">
        <v>195</v>
      </c>
      <c r="G923" t="s">
        <v>78</v>
      </c>
      <c r="H923" t="s">
        <v>79</v>
      </c>
      <c r="I923" t="s">
        <v>80</v>
      </c>
      <c r="J923" t="s">
        <v>196</v>
      </c>
      <c r="K923" t="s">
        <v>13</v>
      </c>
      <c r="L923" t="s">
        <v>83</v>
      </c>
      <c r="M923" t="s">
        <v>205</v>
      </c>
      <c r="N923">
        <v>1</v>
      </c>
      <c r="O923" t="b">
        <v>1</v>
      </c>
      <c r="P923">
        <v>0</v>
      </c>
      <c r="BB923">
        <v>0</v>
      </c>
      <c r="BC923" t="s">
        <v>197</v>
      </c>
      <c r="BD923" t="s">
        <v>198</v>
      </c>
      <c r="BE923" t="s">
        <v>117</v>
      </c>
      <c r="BF923">
        <v>0</v>
      </c>
      <c r="BG923">
        <v>0</v>
      </c>
      <c r="BH923">
        <v>0</v>
      </c>
    </row>
    <row r="924" spans="1:61">
      <c r="A924" s="164" t="s">
        <v>2399</v>
      </c>
      <c r="B924" t="s">
        <v>2400</v>
      </c>
      <c r="C924">
        <v>0</v>
      </c>
      <c r="D924" t="s">
        <v>194</v>
      </c>
      <c r="E924">
        <v>0</v>
      </c>
      <c r="F924" t="s">
        <v>195</v>
      </c>
      <c r="G924" t="s">
        <v>78</v>
      </c>
      <c r="H924" t="s">
        <v>79</v>
      </c>
      <c r="I924" t="s">
        <v>80</v>
      </c>
      <c r="J924" t="s">
        <v>196</v>
      </c>
      <c r="K924" t="s">
        <v>13</v>
      </c>
      <c r="L924" t="s">
        <v>83</v>
      </c>
      <c r="M924" t="s">
        <v>84</v>
      </c>
      <c r="N924">
        <v>1</v>
      </c>
      <c r="O924" t="b">
        <v>1</v>
      </c>
      <c r="P924">
        <v>0</v>
      </c>
      <c r="BB924">
        <v>0</v>
      </c>
      <c r="BC924" t="s">
        <v>197</v>
      </c>
      <c r="BD924" t="s">
        <v>198</v>
      </c>
      <c r="BE924" t="s">
        <v>117</v>
      </c>
      <c r="BF924">
        <v>0</v>
      </c>
      <c r="BG924">
        <v>0</v>
      </c>
      <c r="BH924">
        <v>0</v>
      </c>
    </row>
    <row r="925" spans="1:61">
      <c r="A925" s="164" t="s">
        <v>2401</v>
      </c>
      <c r="B925" t="s">
        <v>2402</v>
      </c>
      <c r="C925">
        <v>0</v>
      </c>
      <c r="D925" t="s">
        <v>194</v>
      </c>
      <c r="E925">
        <v>0</v>
      </c>
      <c r="F925" t="s">
        <v>195</v>
      </c>
      <c r="G925" t="s">
        <v>78</v>
      </c>
      <c r="H925" t="s">
        <v>79</v>
      </c>
      <c r="I925" t="s">
        <v>80</v>
      </c>
      <c r="J925" t="s">
        <v>196</v>
      </c>
      <c r="K925" t="s">
        <v>13</v>
      </c>
      <c r="L925" t="s">
        <v>83</v>
      </c>
      <c r="M925" t="s">
        <v>84</v>
      </c>
      <c r="N925">
        <v>1</v>
      </c>
      <c r="O925" t="b">
        <v>1</v>
      </c>
      <c r="P925">
        <v>0</v>
      </c>
      <c r="BB925">
        <v>0</v>
      </c>
      <c r="BC925" t="s">
        <v>197</v>
      </c>
      <c r="BD925" t="s">
        <v>198</v>
      </c>
      <c r="BE925" t="s">
        <v>117</v>
      </c>
      <c r="BF925">
        <v>0</v>
      </c>
      <c r="BG925">
        <v>0</v>
      </c>
      <c r="BH925">
        <v>0</v>
      </c>
    </row>
    <row r="926" spans="1:61">
      <c r="A926" s="164" t="s">
        <v>2403</v>
      </c>
      <c r="B926" t="s">
        <v>2404</v>
      </c>
      <c r="C926">
        <v>0</v>
      </c>
      <c r="D926" t="s">
        <v>194</v>
      </c>
      <c r="E926">
        <v>0</v>
      </c>
      <c r="F926" t="s">
        <v>195</v>
      </c>
      <c r="G926" t="s">
        <v>78</v>
      </c>
      <c r="H926" t="s">
        <v>79</v>
      </c>
      <c r="I926" t="s">
        <v>80</v>
      </c>
      <c r="J926" t="s">
        <v>196</v>
      </c>
      <c r="K926" t="s">
        <v>13</v>
      </c>
      <c r="L926" t="s">
        <v>83</v>
      </c>
      <c r="M926" t="s">
        <v>215</v>
      </c>
      <c r="N926">
        <v>1</v>
      </c>
      <c r="O926" t="b">
        <v>1</v>
      </c>
      <c r="P926">
        <v>0</v>
      </c>
      <c r="BB926">
        <v>0</v>
      </c>
      <c r="BC926" t="s">
        <v>197</v>
      </c>
      <c r="BD926" t="s">
        <v>198</v>
      </c>
      <c r="BE926" t="s">
        <v>117</v>
      </c>
      <c r="BF926">
        <v>0</v>
      </c>
      <c r="BG926">
        <v>0</v>
      </c>
      <c r="BH926">
        <v>0</v>
      </c>
    </row>
    <row r="927" spans="1:61">
      <c r="A927" s="164" t="s">
        <v>2405</v>
      </c>
      <c r="B927" t="s">
        <v>2406</v>
      </c>
      <c r="C927">
        <v>0</v>
      </c>
      <c r="D927" t="s">
        <v>107</v>
      </c>
      <c r="E927">
        <v>0</v>
      </c>
      <c r="F927" t="s">
        <v>499</v>
      </c>
      <c r="G927" t="s">
        <v>103</v>
      </c>
      <c r="H927" t="s">
        <v>104</v>
      </c>
      <c r="I927" t="s">
        <v>80</v>
      </c>
      <c r="J927" t="s">
        <v>774</v>
      </c>
      <c r="K927" t="s">
        <v>775</v>
      </c>
      <c r="L927" t="s">
        <v>83</v>
      </c>
      <c r="M927" t="s">
        <v>84</v>
      </c>
      <c r="N927">
        <v>1.44</v>
      </c>
      <c r="O927" t="b">
        <v>0</v>
      </c>
      <c r="P927">
        <v>45</v>
      </c>
      <c r="Q927" t="s">
        <v>85</v>
      </c>
      <c r="S927">
        <v>0</v>
      </c>
      <c r="T927">
        <v>1</v>
      </c>
      <c r="U927" s="36">
        <v>2.82382</v>
      </c>
      <c r="V927" t="s">
        <v>87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G927" t="s">
        <v>129</v>
      </c>
      <c r="AH927">
        <v>0</v>
      </c>
      <c r="AI927">
        <v>0.7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 t="s">
        <v>2407</v>
      </c>
      <c r="AY927">
        <v>0</v>
      </c>
      <c r="AZ927">
        <v>2</v>
      </c>
      <c r="BA927" t="s">
        <v>94</v>
      </c>
      <c r="BB927">
        <v>0</v>
      </c>
      <c r="BC927" t="s">
        <v>95</v>
      </c>
      <c r="BD927" t="s">
        <v>139</v>
      </c>
      <c r="BE927" t="s">
        <v>97</v>
      </c>
      <c r="BF927">
        <v>0</v>
      </c>
      <c r="BG927">
        <v>0</v>
      </c>
      <c r="BH927">
        <v>0</v>
      </c>
      <c r="BI927" t="s">
        <v>98</v>
      </c>
    </row>
    <row r="928" spans="1:61">
      <c r="A928" s="164" t="s">
        <v>2408</v>
      </c>
      <c r="B928" t="s">
        <v>2409</v>
      </c>
      <c r="C928">
        <v>0</v>
      </c>
      <c r="D928" t="s">
        <v>161</v>
      </c>
      <c r="E928">
        <v>0</v>
      </c>
      <c r="F928" t="s">
        <v>475</v>
      </c>
      <c r="G928" t="s">
        <v>78</v>
      </c>
      <c r="H928" t="s">
        <v>79</v>
      </c>
      <c r="I928" t="s">
        <v>80</v>
      </c>
      <c r="J928" t="s">
        <v>163</v>
      </c>
      <c r="K928" t="s">
        <v>82</v>
      </c>
      <c r="L928" t="s">
        <v>83</v>
      </c>
      <c r="M928" t="s">
        <v>205</v>
      </c>
      <c r="N928">
        <v>3</v>
      </c>
      <c r="O928" t="b">
        <v>1</v>
      </c>
      <c r="P928">
        <v>40</v>
      </c>
      <c r="Q928" t="s">
        <v>137</v>
      </c>
      <c r="R928" t="s">
        <v>164</v>
      </c>
      <c r="S928">
        <v>3</v>
      </c>
      <c r="T928">
        <v>1</v>
      </c>
      <c r="U928" s="36">
        <v>4.8676950000000003</v>
      </c>
      <c r="V928" t="s">
        <v>165</v>
      </c>
      <c r="W928">
        <v>8</v>
      </c>
      <c r="X928">
        <v>0</v>
      </c>
      <c r="Y928">
        <v>36</v>
      </c>
      <c r="Z928">
        <v>0</v>
      </c>
      <c r="AA928">
        <v>20</v>
      </c>
      <c r="AB928">
        <v>0</v>
      </c>
      <c r="AC928">
        <v>0</v>
      </c>
      <c r="AD928">
        <v>720</v>
      </c>
      <c r="AE928" t="s">
        <v>2410</v>
      </c>
      <c r="AF928" t="s">
        <v>475</v>
      </c>
      <c r="AG928" t="s">
        <v>129</v>
      </c>
      <c r="AH928">
        <v>0</v>
      </c>
      <c r="AI928">
        <v>7.7</v>
      </c>
      <c r="AJ928" t="s">
        <v>167</v>
      </c>
      <c r="AM928">
        <v>8.2100000000000009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 t="s">
        <v>2411</v>
      </c>
      <c r="AY928">
        <v>12.440000000000001</v>
      </c>
      <c r="AZ928">
        <v>0</v>
      </c>
      <c r="BA928" t="s">
        <v>138</v>
      </c>
      <c r="BB928">
        <v>8.2100000000000009</v>
      </c>
      <c r="BC928" t="s">
        <v>95</v>
      </c>
      <c r="BD928" t="s">
        <v>96</v>
      </c>
      <c r="BE928" t="s">
        <v>97</v>
      </c>
      <c r="BF928">
        <v>3</v>
      </c>
      <c r="BG928">
        <v>0</v>
      </c>
      <c r="BH928">
        <v>0</v>
      </c>
      <c r="BI928" t="s">
        <v>98</v>
      </c>
    </row>
    <row r="929" spans="1:61">
      <c r="A929" s="164" t="s">
        <v>2412</v>
      </c>
      <c r="B929" t="s">
        <v>2413</v>
      </c>
      <c r="C929">
        <v>0</v>
      </c>
      <c r="D929" t="s">
        <v>124</v>
      </c>
      <c r="E929">
        <v>0</v>
      </c>
      <c r="F929" t="s">
        <v>125</v>
      </c>
      <c r="G929" t="s">
        <v>103</v>
      </c>
      <c r="H929" t="s">
        <v>104</v>
      </c>
      <c r="I929" t="s">
        <v>126</v>
      </c>
      <c r="J929" t="s">
        <v>109</v>
      </c>
      <c r="K929" t="s">
        <v>110</v>
      </c>
      <c r="L929" t="s">
        <v>111</v>
      </c>
      <c r="M929" t="s">
        <v>84</v>
      </c>
      <c r="N929">
        <v>1.75</v>
      </c>
      <c r="O929" t="b">
        <v>0</v>
      </c>
      <c r="P929">
        <v>45</v>
      </c>
      <c r="Q929" t="s">
        <v>85</v>
      </c>
      <c r="S929">
        <v>0</v>
      </c>
      <c r="T929">
        <v>0</v>
      </c>
      <c r="V929" t="s">
        <v>87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F929" t="s">
        <v>2414</v>
      </c>
      <c r="AH929">
        <v>0</v>
      </c>
      <c r="AI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 t="s">
        <v>2415</v>
      </c>
      <c r="AY929">
        <v>0</v>
      </c>
      <c r="AZ929">
        <v>5</v>
      </c>
      <c r="BA929" t="s">
        <v>94</v>
      </c>
      <c r="BB929">
        <v>0</v>
      </c>
      <c r="BC929" t="s">
        <v>115</v>
      </c>
      <c r="BD929" t="s">
        <v>116</v>
      </c>
      <c r="BE929" t="s">
        <v>117</v>
      </c>
      <c r="BF929">
        <v>0</v>
      </c>
      <c r="BG929">
        <v>0</v>
      </c>
      <c r="BH929">
        <v>0</v>
      </c>
      <c r="BI929" t="s">
        <v>98</v>
      </c>
    </row>
    <row r="930" spans="1:61">
      <c r="A930" s="164" t="s">
        <v>2416</v>
      </c>
      <c r="B930" t="s">
        <v>2417</v>
      </c>
      <c r="C930">
        <v>0</v>
      </c>
      <c r="D930" t="s">
        <v>479</v>
      </c>
      <c r="E930">
        <v>0</v>
      </c>
      <c r="F930" t="s">
        <v>480</v>
      </c>
      <c r="G930" t="s">
        <v>103</v>
      </c>
      <c r="H930" t="s">
        <v>104</v>
      </c>
      <c r="I930" t="s">
        <v>80</v>
      </c>
      <c r="J930" t="s">
        <v>467</v>
      </c>
      <c r="K930" t="s">
        <v>468</v>
      </c>
      <c r="L930" t="s">
        <v>111</v>
      </c>
      <c r="M930" t="s">
        <v>84</v>
      </c>
      <c r="N930">
        <v>0.45</v>
      </c>
      <c r="O930" t="b">
        <v>0</v>
      </c>
      <c r="P930">
        <v>40</v>
      </c>
      <c r="Q930" t="s">
        <v>479</v>
      </c>
      <c r="S930">
        <v>0.45</v>
      </c>
      <c r="T930">
        <v>1</v>
      </c>
      <c r="V930" t="s">
        <v>165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H930">
        <v>0</v>
      </c>
      <c r="AI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Y930">
        <v>0</v>
      </c>
      <c r="AZ930">
        <v>7</v>
      </c>
      <c r="BA930" t="s">
        <v>138</v>
      </c>
      <c r="BB930">
        <v>0</v>
      </c>
      <c r="BC930" t="s">
        <v>95</v>
      </c>
      <c r="BD930" t="s">
        <v>139</v>
      </c>
      <c r="BE930" t="s">
        <v>97</v>
      </c>
      <c r="BF930">
        <v>0</v>
      </c>
      <c r="BG930">
        <v>0</v>
      </c>
      <c r="BH930">
        <v>0</v>
      </c>
      <c r="BI930" t="s">
        <v>98</v>
      </c>
    </row>
    <row r="931" spans="1:61">
      <c r="A931" s="164" t="s">
        <v>2418</v>
      </c>
      <c r="B931" t="s">
        <v>2419</v>
      </c>
      <c r="C931">
        <v>0</v>
      </c>
      <c r="D931" t="s">
        <v>486</v>
      </c>
      <c r="E931">
        <v>0</v>
      </c>
      <c r="F931" t="s">
        <v>684</v>
      </c>
      <c r="G931" t="s">
        <v>78</v>
      </c>
      <c r="H931" t="s">
        <v>79</v>
      </c>
      <c r="I931" t="s">
        <v>80</v>
      </c>
      <c r="J931" t="s">
        <v>163</v>
      </c>
      <c r="K931" t="s">
        <v>82</v>
      </c>
      <c r="L931" t="s">
        <v>83</v>
      </c>
      <c r="M931" t="s">
        <v>84</v>
      </c>
      <c r="N931">
        <v>0.15</v>
      </c>
      <c r="O931" t="b">
        <v>1</v>
      </c>
      <c r="P931">
        <v>90</v>
      </c>
      <c r="Q931" t="s">
        <v>137</v>
      </c>
      <c r="S931">
        <v>0.15</v>
      </c>
      <c r="T931">
        <v>1</v>
      </c>
      <c r="U931" s="36">
        <v>1.229355</v>
      </c>
      <c r="V931" t="s">
        <v>165</v>
      </c>
      <c r="X931">
        <v>0</v>
      </c>
      <c r="Y931">
        <v>150</v>
      </c>
      <c r="Z931">
        <v>6.6666666666666671E-3</v>
      </c>
      <c r="AA931">
        <v>35</v>
      </c>
      <c r="AB931">
        <v>0</v>
      </c>
      <c r="AC931">
        <v>0</v>
      </c>
      <c r="AE931" t="s">
        <v>129</v>
      </c>
      <c r="AF931" t="s">
        <v>684</v>
      </c>
      <c r="AG931" t="s">
        <v>129</v>
      </c>
      <c r="AH931">
        <v>0</v>
      </c>
      <c r="AI931">
        <v>10.199999999999999</v>
      </c>
      <c r="AJ931" t="s">
        <v>167</v>
      </c>
      <c r="AM931">
        <v>10.38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 t="s">
        <v>2420</v>
      </c>
      <c r="AY931">
        <v>3.9216100000000003</v>
      </c>
      <c r="AZ931">
        <v>3</v>
      </c>
      <c r="BA931" t="s">
        <v>138</v>
      </c>
      <c r="BB931">
        <v>3.22</v>
      </c>
      <c r="BC931" t="s">
        <v>95</v>
      </c>
      <c r="BD931" t="s">
        <v>96</v>
      </c>
      <c r="BE931" t="s">
        <v>97</v>
      </c>
      <c r="BF931">
        <v>1</v>
      </c>
      <c r="BG931">
        <v>0</v>
      </c>
      <c r="BH931">
        <v>0</v>
      </c>
      <c r="BI931" t="s">
        <v>98</v>
      </c>
    </row>
    <row r="932" spans="1:61">
      <c r="A932" s="164" t="s">
        <v>2421</v>
      </c>
      <c r="B932" t="s">
        <v>2422</v>
      </c>
      <c r="C932">
        <v>0</v>
      </c>
      <c r="D932" t="s">
        <v>76</v>
      </c>
      <c r="F932" t="s">
        <v>972</v>
      </c>
      <c r="G932" t="s">
        <v>103</v>
      </c>
      <c r="H932" t="s">
        <v>104</v>
      </c>
      <c r="I932" t="s">
        <v>80</v>
      </c>
      <c r="J932" t="s">
        <v>81</v>
      </c>
      <c r="K932" t="s">
        <v>468</v>
      </c>
      <c r="L932" t="s">
        <v>111</v>
      </c>
      <c r="M932" t="s">
        <v>84</v>
      </c>
      <c r="O932" t="b">
        <v>0</v>
      </c>
      <c r="Q932" t="s">
        <v>85</v>
      </c>
      <c r="AI932">
        <v>0</v>
      </c>
      <c r="BB932">
        <v>0</v>
      </c>
      <c r="BC932" t="s">
        <v>95</v>
      </c>
      <c r="BD932" t="s">
        <v>139</v>
      </c>
      <c r="BE932" t="s">
        <v>97</v>
      </c>
      <c r="BF932">
        <v>0</v>
      </c>
      <c r="BG932">
        <v>0</v>
      </c>
      <c r="BH932">
        <v>0</v>
      </c>
      <c r="BI932" t="s">
        <v>98</v>
      </c>
    </row>
    <row r="933" spans="1:61">
      <c r="A933" s="164" t="s">
        <v>2423</v>
      </c>
      <c r="B933" t="s">
        <v>2424</v>
      </c>
      <c r="C933">
        <v>0</v>
      </c>
      <c r="D933" t="s">
        <v>76</v>
      </c>
      <c r="F933" t="s">
        <v>972</v>
      </c>
      <c r="G933" t="s">
        <v>103</v>
      </c>
      <c r="H933" t="s">
        <v>104</v>
      </c>
      <c r="I933" t="s">
        <v>80</v>
      </c>
      <c r="J933" t="s">
        <v>81</v>
      </c>
      <c r="K933" t="s">
        <v>468</v>
      </c>
      <c r="L933" t="s">
        <v>111</v>
      </c>
      <c r="M933" t="s">
        <v>84</v>
      </c>
      <c r="O933" t="b">
        <v>0</v>
      </c>
      <c r="Q933" t="s">
        <v>85</v>
      </c>
      <c r="U933" s="36">
        <v>1.39</v>
      </c>
      <c r="AI933">
        <v>0</v>
      </c>
      <c r="BB933">
        <v>0</v>
      </c>
      <c r="BC933" t="s">
        <v>95</v>
      </c>
      <c r="BD933" t="s">
        <v>469</v>
      </c>
      <c r="BE933" t="s">
        <v>97</v>
      </c>
      <c r="BF933">
        <v>0</v>
      </c>
      <c r="BG933">
        <v>0</v>
      </c>
      <c r="BH933">
        <v>0</v>
      </c>
      <c r="BI933" t="s">
        <v>98</v>
      </c>
    </row>
    <row r="934" spans="1:61">
      <c r="A934" s="164" t="s">
        <v>2425</v>
      </c>
      <c r="B934" t="s">
        <v>2426</v>
      </c>
      <c r="C934">
        <v>0</v>
      </c>
      <c r="D934" t="s">
        <v>76</v>
      </c>
      <c r="F934" t="s">
        <v>972</v>
      </c>
      <c r="G934" t="s">
        <v>103</v>
      </c>
      <c r="H934" t="s">
        <v>104</v>
      </c>
      <c r="I934" t="s">
        <v>80</v>
      </c>
      <c r="J934" t="s">
        <v>81</v>
      </c>
      <c r="K934" t="s">
        <v>468</v>
      </c>
      <c r="L934" t="s">
        <v>111</v>
      </c>
      <c r="M934" t="s">
        <v>84</v>
      </c>
      <c r="O934" t="b">
        <v>0</v>
      </c>
      <c r="Q934" t="s">
        <v>85</v>
      </c>
      <c r="U934" s="36">
        <v>1.45</v>
      </c>
      <c r="AI934">
        <v>0</v>
      </c>
      <c r="BB934">
        <v>0</v>
      </c>
      <c r="BC934" t="s">
        <v>95</v>
      </c>
      <c r="BD934" t="s">
        <v>469</v>
      </c>
      <c r="BE934" t="s">
        <v>97</v>
      </c>
      <c r="BF934">
        <v>0</v>
      </c>
      <c r="BG934">
        <v>0</v>
      </c>
      <c r="BH934">
        <v>0</v>
      </c>
      <c r="BI934" t="s">
        <v>98</v>
      </c>
    </row>
    <row r="935" spans="1:61">
      <c r="A935" s="164" t="s">
        <v>2427</v>
      </c>
      <c r="B935" t="s">
        <v>2428</v>
      </c>
      <c r="C935">
        <v>0</v>
      </c>
      <c r="D935" t="s">
        <v>479</v>
      </c>
      <c r="E935">
        <v>0</v>
      </c>
      <c r="F935" t="s">
        <v>480</v>
      </c>
      <c r="G935" t="s">
        <v>103</v>
      </c>
      <c r="H935" t="s">
        <v>104</v>
      </c>
      <c r="I935" t="s">
        <v>80</v>
      </c>
      <c r="J935" t="s">
        <v>467</v>
      </c>
      <c r="K935" t="s">
        <v>468</v>
      </c>
      <c r="L935" t="s">
        <v>111</v>
      </c>
      <c r="M935" t="s">
        <v>84</v>
      </c>
      <c r="N935">
        <v>0.1</v>
      </c>
      <c r="O935" t="b">
        <v>0</v>
      </c>
      <c r="P935">
        <v>40</v>
      </c>
      <c r="Q935" t="s">
        <v>479</v>
      </c>
      <c r="S935">
        <v>0</v>
      </c>
      <c r="T935">
        <v>1</v>
      </c>
      <c r="V935" t="s">
        <v>468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G935" t="s">
        <v>129</v>
      </c>
      <c r="AH935">
        <v>0</v>
      </c>
      <c r="AI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Y935">
        <v>0</v>
      </c>
      <c r="AZ935">
        <v>0</v>
      </c>
      <c r="BA935" t="s">
        <v>138</v>
      </c>
      <c r="BB935">
        <v>0</v>
      </c>
      <c r="BC935" t="s">
        <v>95</v>
      </c>
      <c r="BD935" t="s">
        <v>139</v>
      </c>
      <c r="BE935" t="s">
        <v>97</v>
      </c>
      <c r="BF935">
        <v>0</v>
      </c>
      <c r="BG935">
        <v>0</v>
      </c>
      <c r="BH935">
        <v>0</v>
      </c>
      <c r="BI935" t="s">
        <v>98</v>
      </c>
    </row>
    <row r="936" spans="1:61">
      <c r="A936" s="164" t="s">
        <v>2429</v>
      </c>
      <c r="B936" t="s">
        <v>2430</v>
      </c>
      <c r="C936">
        <v>0</v>
      </c>
      <c r="D936" t="s">
        <v>147</v>
      </c>
      <c r="E936">
        <v>0</v>
      </c>
      <c r="F936" t="s">
        <v>2431</v>
      </c>
      <c r="G936" t="s">
        <v>78</v>
      </c>
      <c r="H936" t="s">
        <v>79</v>
      </c>
      <c r="I936" t="s">
        <v>80</v>
      </c>
      <c r="J936" t="s">
        <v>81</v>
      </c>
      <c r="K936" t="s">
        <v>82</v>
      </c>
      <c r="L936" t="s">
        <v>83</v>
      </c>
      <c r="M936" t="s">
        <v>84</v>
      </c>
      <c r="N936">
        <v>1.75</v>
      </c>
      <c r="O936" t="b">
        <v>1</v>
      </c>
      <c r="P936">
        <v>45</v>
      </c>
      <c r="Q936" t="s">
        <v>85</v>
      </c>
      <c r="R936" t="s">
        <v>86</v>
      </c>
      <c r="S936">
        <v>1.75</v>
      </c>
      <c r="T936">
        <v>1</v>
      </c>
      <c r="U936" s="36">
        <v>2.36903</v>
      </c>
      <c r="V936" t="s">
        <v>87</v>
      </c>
      <c r="W936">
        <v>24</v>
      </c>
      <c r="X936">
        <v>0.45019999999999999</v>
      </c>
      <c r="Y936">
        <v>12</v>
      </c>
      <c r="Z936">
        <v>8.3333333333333329E-2</v>
      </c>
      <c r="AA936">
        <v>30</v>
      </c>
      <c r="AB936">
        <v>0</v>
      </c>
      <c r="AC936">
        <v>540</v>
      </c>
      <c r="AD936">
        <v>308.57142857142856</v>
      </c>
      <c r="AE936" t="s">
        <v>155</v>
      </c>
      <c r="AF936" t="s">
        <v>2219</v>
      </c>
      <c r="AG936" t="s">
        <v>240</v>
      </c>
      <c r="AH936">
        <v>0</v>
      </c>
      <c r="AI936">
        <v>0.9</v>
      </c>
      <c r="AJ936" t="s">
        <v>91</v>
      </c>
      <c r="AK936" t="s">
        <v>92</v>
      </c>
      <c r="AL936" t="s">
        <v>93</v>
      </c>
      <c r="AM936">
        <v>0.33553925925925926</v>
      </c>
      <c r="AN936">
        <v>0.22369283950617286</v>
      </c>
      <c r="AO936">
        <v>0.34672390123456792</v>
      </c>
      <c r="AP936">
        <v>0</v>
      </c>
      <c r="AQ936">
        <v>8.6691086691086688E-2</v>
      </c>
      <c r="AR936">
        <v>2.6666666666666505E-3</v>
      </c>
      <c r="AS936">
        <v>0</v>
      </c>
      <c r="AT936">
        <v>1.0866910866910866</v>
      </c>
      <c r="AU936">
        <v>1.0026666666666666</v>
      </c>
      <c r="AV936">
        <v>1</v>
      </c>
      <c r="AW936">
        <v>0</v>
      </c>
      <c r="AX936" t="s">
        <v>2432</v>
      </c>
      <c r="AY936">
        <v>83.4</v>
      </c>
      <c r="AZ936">
        <v>8</v>
      </c>
      <c r="BA936" t="s">
        <v>94</v>
      </c>
      <c r="BB936">
        <v>5.09</v>
      </c>
      <c r="BC936" t="s">
        <v>95</v>
      </c>
      <c r="BD936" t="s">
        <v>96</v>
      </c>
      <c r="BE936" t="s">
        <v>97</v>
      </c>
      <c r="BF936">
        <v>1</v>
      </c>
      <c r="BG936">
        <v>0</v>
      </c>
      <c r="BH936">
        <v>0</v>
      </c>
      <c r="BI936" t="s">
        <v>98</v>
      </c>
    </row>
    <row r="937" spans="1:61">
      <c r="A937" s="164" t="s">
        <v>2433</v>
      </c>
      <c r="B937" t="s">
        <v>2434</v>
      </c>
      <c r="C937">
        <v>0</v>
      </c>
      <c r="D937" t="s">
        <v>147</v>
      </c>
      <c r="E937">
        <v>0</v>
      </c>
      <c r="F937" t="s">
        <v>154</v>
      </c>
      <c r="G937" t="s">
        <v>78</v>
      </c>
      <c r="H937" t="s">
        <v>79</v>
      </c>
      <c r="I937" t="s">
        <v>80</v>
      </c>
      <c r="J937" t="s">
        <v>81</v>
      </c>
      <c r="K937" t="s">
        <v>82</v>
      </c>
      <c r="L937" t="s">
        <v>83</v>
      </c>
      <c r="M937" t="s">
        <v>84</v>
      </c>
      <c r="N937">
        <v>1</v>
      </c>
      <c r="O937" t="b">
        <v>1</v>
      </c>
      <c r="P937">
        <v>45</v>
      </c>
      <c r="Q937" t="s">
        <v>85</v>
      </c>
      <c r="R937" t="s">
        <v>86</v>
      </c>
      <c r="S937">
        <v>1</v>
      </c>
      <c r="T937">
        <v>1</v>
      </c>
      <c r="U937" s="36">
        <v>1.3255649999999999</v>
      </c>
      <c r="V937" t="s">
        <v>87</v>
      </c>
      <c r="W937">
        <v>24</v>
      </c>
      <c r="X937">
        <v>0.45019999999999999</v>
      </c>
      <c r="Y937">
        <v>18</v>
      </c>
      <c r="Z937">
        <v>5.5555555555555552E-2</v>
      </c>
      <c r="AA937">
        <v>30</v>
      </c>
      <c r="AB937">
        <v>0</v>
      </c>
      <c r="AC937">
        <v>500</v>
      </c>
      <c r="AD937">
        <v>500</v>
      </c>
      <c r="AE937" t="s">
        <v>155</v>
      </c>
      <c r="AF937" t="s">
        <v>156</v>
      </c>
      <c r="AG937" t="s">
        <v>157</v>
      </c>
      <c r="AH937">
        <v>0</v>
      </c>
      <c r="AI937">
        <v>0.9</v>
      </c>
      <c r="AJ937" t="s">
        <v>91</v>
      </c>
      <c r="AK937" t="s">
        <v>92</v>
      </c>
      <c r="AL937" t="s">
        <v>93</v>
      </c>
      <c r="AM937">
        <v>0.33553925925925926</v>
      </c>
      <c r="AN937">
        <v>0.22369283950617286</v>
      </c>
      <c r="AO937">
        <v>0.34672390123456792</v>
      </c>
      <c r="AP937">
        <v>0</v>
      </c>
      <c r="AQ937">
        <v>8.6691086691086688E-2</v>
      </c>
      <c r="AR937">
        <v>2.6666666666666505E-3</v>
      </c>
      <c r="AS937">
        <v>0</v>
      </c>
      <c r="AT937">
        <v>1.0866910866910866</v>
      </c>
      <c r="AU937">
        <v>1.0026666666666666</v>
      </c>
      <c r="AV937">
        <v>1</v>
      </c>
      <c r="AW937">
        <v>0</v>
      </c>
      <c r="AX937" t="s">
        <v>2435</v>
      </c>
      <c r="AY937">
        <v>53.4</v>
      </c>
      <c r="AZ937">
        <v>3</v>
      </c>
      <c r="BA937" t="s">
        <v>94</v>
      </c>
      <c r="BB937">
        <v>3.07</v>
      </c>
      <c r="BC937" t="s">
        <v>95</v>
      </c>
      <c r="BD937" t="s">
        <v>96</v>
      </c>
      <c r="BE937" t="s">
        <v>97</v>
      </c>
      <c r="BF937">
        <v>1</v>
      </c>
      <c r="BG937">
        <v>0</v>
      </c>
      <c r="BH937">
        <v>0</v>
      </c>
      <c r="BI937" t="s">
        <v>98</v>
      </c>
    </row>
    <row r="938" spans="1:61">
      <c r="A938" s="164" t="s">
        <v>2436</v>
      </c>
      <c r="B938" t="s">
        <v>2437</v>
      </c>
      <c r="C938">
        <v>0</v>
      </c>
      <c r="D938" t="s">
        <v>186</v>
      </c>
      <c r="E938">
        <v>0</v>
      </c>
      <c r="F938" t="s">
        <v>186</v>
      </c>
      <c r="G938" t="s">
        <v>78</v>
      </c>
      <c r="H938" t="s">
        <v>79</v>
      </c>
      <c r="I938" t="s">
        <v>80</v>
      </c>
      <c r="J938" t="s">
        <v>163</v>
      </c>
      <c r="K938" t="s">
        <v>82</v>
      </c>
      <c r="L938" t="s">
        <v>83</v>
      </c>
      <c r="M938" t="s">
        <v>84</v>
      </c>
      <c r="N938">
        <v>0.05</v>
      </c>
      <c r="O938" t="b">
        <v>0</v>
      </c>
      <c r="P938">
        <v>180</v>
      </c>
      <c r="Q938" t="s">
        <v>188</v>
      </c>
      <c r="S938">
        <v>0.05</v>
      </c>
      <c r="T938">
        <v>1</v>
      </c>
      <c r="U938" s="36">
        <v>0.18558999999999998</v>
      </c>
      <c r="V938" t="s">
        <v>189</v>
      </c>
      <c r="W938">
        <v>66</v>
      </c>
      <c r="X938">
        <v>0</v>
      </c>
      <c r="Y938">
        <v>300</v>
      </c>
      <c r="Z938">
        <v>3.3333333333333335E-3</v>
      </c>
      <c r="AA938">
        <v>35</v>
      </c>
      <c r="AB938">
        <v>0</v>
      </c>
      <c r="AC938">
        <v>0</v>
      </c>
      <c r="AD938">
        <v>6000</v>
      </c>
      <c r="AE938" t="s">
        <v>182</v>
      </c>
      <c r="AF938" t="s">
        <v>186</v>
      </c>
      <c r="AG938" t="s">
        <v>129</v>
      </c>
      <c r="AH938">
        <v>0</v>
      </c>
      <c r="AI938">
        <v>2.6</v>
      </c>
      <c r="AJ938" t="s">
        <v>167</v>
      </c>
      <c r="AM938">
        <v>3.2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 t="s">
        <v>2438</v>
      </c>
      <c r="AY938">
        <v>3.77</v>
      </c>
      <c r="AZ938">
        <v>0</v>
      </c>
      <c r="BA938" t="s">
        <v>94</v>
      </c>
      <c r="BB938">
        <v>0.43</v>
      </c>
      <c r="BC938" t="s">
        <v>95</v>
      </c>
      <c r="BD938" t="s">
        <v>96</v>
      </c>
      <c r="BE938" t="s">
        <v>97</v>
      </c>
      <c r="BF938">
        <v>1</v>
      </c>
      <c r="BG938">
        <v>0</v>
      </c>
      <c r="BH938">
        <v>0</v>
      </c>
      <c r="BI938" t="s">
        <v>98</v>
      </c>
    </row>
    <row r="939" spans="1:61">
      <c r="A939" s="164" t="s">
        <v>2439</v>
      </c>
      <c r="B939" t="s">
        <v>2440</v>
      </c>
      <c r="C939">
        <v>0</v>
      </c>
      <c r="D939" t="s">
        <v>1212</v>
      </c>
      <c r="E939">
        <v>0</v>
      </c>
      <c r="F939" t="s">
        <v>1213</v>
      </c>
      <c r="G939" t="s">
        <v>78</v>
      </c>
      <c r="H939" t="s">
        <v>79</v>
      </c>
      <c r="I939" t="s">
        <v>80</v>
      </c>
      <c r="J939" t="s">
        <v>81</v>
      </c>
      <c r="K939" t="s">
        <v>82</v>
      </c>
      <c r="L939" t="s">
        <v>83</v>
      </c>
      <c r="M939" t="s">
        <v>84</v>
      </c>
      <c r="N939">
        <v>1.75</v>
      </c>
      <c r="O939" t="b">
        <v>1</v>
      </c>
      <c r="P939">
        <v>45</v>
      </c>
      <c r="Q939" t="s">
        <v>85</v>
      </c>
      <c r="R939" t="s">
        <v>86</v>
      </c>
      <c r="S939">
        <v>1.75</v>
      </c>
      <c r="T939">
        <v>1</v>
      </c>
      <c r="U939" s="36">
        <v>1.88428</v>
      </c>
      <c r="V939" t="s">
        <v>87</v>
      </c>
      <c r="W939">
        <v>24</v>
      </c>
      <c r="X939">
        <v>0.45019999999999999</v>
      </c>
      <c r="Y939">
        <v>12</v>
      </c>
      <c r="Z939">
        <v>8.3333333333333329E-2</v>
      </c>
      <c r="AA939">
        <v>30</v>
      </c>
      <c r="AB939">
        <v>0</v>
      </c>
      <c r="AC939">
        <v>500</v>
      </c>
      <c r="AD939">
        <v>285.71428571428572</v>
      </c>
      <c r="AE939" t="s">
        <v>155</v>
      </c>
      <c r="AF939" t="s">
        <v>1214</v>
      </c>
      <c r="AG939" t="s">
        <v>1215</v>
      </c>
      <c r="AH939">
        <v>0</v>
      </c>
      <c r="AI939">
        <v>0.9</v>
      </c>
      <c r="AJ939" t="s">
        <v>91</v>
      </c>
      <c r="AK939" t="s">
        <v>92</v>
      </c>
      <c r="AL939" t="s">
        <v>93</v>
      </c>
      <c r="AM939">
        <v>0.442662</v>
      </c>
      <c r="AN939">
        <v>0</v>
      </c>
      <c r="AO939">
        <v>0.44267499999999999</v>
      </c>
      <c r="AP939">
        <v>0</v>
      </c>
      <c r="AQ939">
        <v>8.6691086691086688E-2</v>
      </c>
      <c r="AR939">
        <v>2.6666666666666505E-3</v>
      </c>
      <c r="AS939">
        <v>0</v>
      </c>
      <c r="AT939">
        <v>1.0866910866910866</v>
      </c>
      <c r="AU939">
        <v>1.0026666666666666</v>
      </c>
      <c r="AV939">
        <v>1</v>
      </c>
      <c r="AW939">
        <v>0</v>
      </c>
      <c r="AX939" t="s">
        <v>2441</v>
      </c>
      <c r="AY939">
        <v>83.4</v>
      </c>
      <c r="AZ939">
        <v>0</v>
      </c>
      <c r="BA939" t="s">
        <v>94</v>
      </c>
      <c r="BB939">
        <v>4.97</v>
      </c>
      <c r="BC939" t="s">
        <v>95</v>
      </c>
      <c r="BD939" t="s">
        <v>96</v>
      </c>
      <c r="BE939" t="s">
        <v>97</v>
      </c>
      <c r="BF939">
        <v>1</v>
      </c>
      <c r="BG939">
        <v>0</v>
      </c>
      <c r="BH939">
        <v>0</v>
      </c>
      <c r="BI939" t="s">
        <v>98</v>
      </c>
    </row>
    <row r="940" spans="1:61">
      <c r="A940" s="164" t="s">
        <v>2442</v>
      </c>
      <c r="B940" t="s">
        <v>2443</v>
      </c>
      <c r="C940">
        <v>0</v>
      </c>
      <c r="D940" t="s">
        <v>124</v>
      </c>
      <c r="E940">
        <v>0</v>
      </c>
      <c r="F940" t="s">
        <v>125</v>
      </c>
      <c r="G940" t="s">
        <v>103</v>
      </c>
      <c r="H940" t="s">
        <v>104</v>
      </c>
      <c r="I940" t="s">
        <v>80</v>
      </c>
      <c r="J940" t="s">
        <v>1611</v>
      </c>
      <c r="K940" t="s">
        <v>468</v>
      </c>
      <c r="L940" t="s">
        <v>111</v>
      </c>
      <c r="M940" t="s">
        <v>84</v>
      </c>
      <c r="N940">
        <v>0.25</v>
      </c>
      <c r="O940" t="b">
        <v>0</v>
      </c>
      <c r="P940">
        <v>180</v>
      </c>
      <c r="Q940" t="s">
        <v>85</v>
      </c>
      <c r="S940">
        <v>0</v>
      </c>
      <c r="T940">
        <v>1</v>
      </c>
      <c r="V940" t="s">
        <v>87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G940" t="s">
        <v>129</v>
      </c>
      <c r="AH940">
        <v>0</v>
      </c>
      <c r="AI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 t="s">
        <v>2444</v>
      </c>
      <c r="AY940">
        <v>0</v>
      </c>
      <c r="AZ940">
        <v>0</v>
      </c>
      <c r="BA940" t="s">
        <v>94</v>
      </c>
      <c r="BB940">
        <v>0</v>
      </c>
      <c r="BC940" t="s">
        <v>95</v>
      </c>
      <c r="BD940" t="s">
        <v>139</v>
      </c>
      <c r="BE940" t="s">
        <v>97</v>
      </c>
      <c r="BF940">
        <v>0</v>
      </c>
      <c r="BG940">
        <v>0</v>
      </c>
      <c r="BH940">
        <v>0</v>
      </c>
      <c r="BI940" t="s">
        <v>98</v>
      </c>
    </row>
    <row r="941" spans="1:61">
      <c r="A941" s="164" t="s">
        <v>2445</v>
      </c>
      <c r="B941" t="s">
        <v>2446</v>
      </c>
      <c r="C941">
        <v>0</v>
      </c>
      <c r="D941" t="s">
        <v>101</v>
      </c>
      <c r="E941">
        <v>0</v>
      </c>
      <c r="F941" t="s">
        <v>102</v>
      </c>
      <c r="G941" t="s">
        <v>103</v>
      </c>
      <c r="H941" t="s">
        <v>104</v>
      </c>
      <c r="I941" t="s">
        <v>80</v>
      </c>
      <c r="J941" t="s">
        <v>109</v>
      </c>
      <c r="K941" t="s">
        <v>110</v>
      </c>
      <c r="L941" t="s">
        <v>111</v>
      </c>
      <c r="M941" t="s">
        <v>84</v>
      </c>
      <c r="N941">
        <v>0.16500000000000001</v>
      </c>
      <c r="O941" t="b">
        <v>0</v>
      </c>
      <c r="P941">
        <v>45</v>
      </c>
      <c r="Q941" t="s">
        <v>85</v>
      </c>
      <c r="S941">
        <v>0.14499999999999999</v>
      </c>
      <c r="T941">
        <v>0.87878787878787867</v>
      </c>
      <c r="V941" t="s">
        <v>87</v>
      </c>
      <c r="W941">
        <v>0</v>
      </c>
      <c r="X941">
        <v>0.45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88</v>
      </c>
      <c r="AF941" t="s">
        <v>513</v>
      </c>
      <c r="AG941" t="s">
        <v>129</v>
      </c>
      <c r="AH941">
        <v>0</v>
      </c>
      <c r="AI941">
        <v>0</v>
      </c>
      <c r="AJ941" t="s">
        <v>91</v>
      </c>
      <c r="AK941" t="s">
        <v>92</v>
      </c>
      <c r="AL941" t="s">
        <v>93</v>
      </c>
      <c r="AM941">
        <v>0.33631111111111106</v>
      </c>
      <c r="AN941">
        <v>0.22420740740740738</v>
      </c>
      <c r="AO941">
        <v>0.34752148148148143</v>
      </c>
      <c r="AP941">
        <v>0</v>
      </c>
      <c r="AQ941">
        <v>8.6691086691086688E-2</v>
      </c>
      <c r="AR941">
        <v>2.6666666666666505E-3</v>
      </c>
      <c r="AS941">
        <v>0</v>
      </c>
      <c r="AT941">
        <v>1.0866910866910866</v>
      </c>
      <c r="AU941">
        <v>1.0026666666666666</v>
      </c>
      <c r="AV941">
        <v>1</v>
      </c>
      <c r="AY941">
        <v>0</v>
      </c>
      <c r="AZ941">
        <v>0</v>
      </c>
      <c r="BA941" t="s">
        <v>94</v>
      </c>
      <c r="BB941">
        <v>0</v>
      </c>
      <c r="BC941" t="s">
        <v>115</v>
      </c>
      <c r="BD941" t="s">
        <v>116</v>
      </c>
      <c r="BE941" t="s">
        <v>117</v>
      </c>
      <c r="BF941">
        <v>0</v>
      </c>
      <c r="BG941">
        <v>0</v>
      </c>
      <c r="BH941">
        <v>0</v>
      </c>
      <c r="BI941" t="s">
        <v>98</v>
      </c>
    </row>
    <row r="942" spans="1:61">
      <c r="A942" s="164" t="s">
        <v>2447</v>
      </c>
      <c r="B942" t="s">
        <v>2448</v>
      </c>
      <c r="C942">
        <v>0</v>
      </c>
      <c r="D942" t="s">
        <v>194</v>
      </c>
      <c r="E942">
        <v>0</v>
      </c>
      <c r="F942" t="s">
        <v>195</v>
      </c>
      <c r="G942" t="s">
        <v>78</v>
      </c>
      <c r="H942" t="s">
        <v>79</v>
      </c>
      <c r="I942" t="s">
        <v>80</v>
      </c>
      <c r="J942" t="s">
        <v>196</v>
      </c>
      <c r="K942" t="s">
        <v>13</v>
      </c>
      <c r="L942" t="s">
        <v>83</v>
      </c>
      <c r="M942" t="s">
        <v>205</v>
      </c>
      <c r="N942">
        <v>1</v>
      </c>
      <c r="O942" t="b">
        <v>1</v>
      </c>
      <c r="P942">
        <v>0</v>
      </c>
      <c r="BB942">
        <v>0</v>
      </c>
      <c r="BC942" t="s">
        <v>197</v>
      </c>
      <c r="BD942" t="s">
        <v>198</v>
      </c>
      <c r="BE942" t="s">
        <v>117</v>
      </c>
      <c r="BF942">
        <v>0</v>
      </c>
      <c r="BG942">
        <v>0</v>
      </c>
      <c r="BH942">
        <v>0</v>
      </c>
    </row>
    <row r="943" spans="1:61">
      <c r="A943" s="164" t="s">
        <v>2449</v>
      </c>
      <c r="B943" t="s">
        <v>2450</v>
      </c>
      <c r="C943">
        <v>0</v>
      </c>
      <c r="D943" t="s">
        <v>194</v>
      </c>
      <c r="E943">
        <v>0</v>
      </c>
      <c r="F943" t="s">
        <v>195</v>
      </c>
      <c r="G943" t="s">
        <v>78</v>
      </c>
      <c r="H943" t="s">
        <v>79</v>
      </c>
      <c r="I943" t="s">
        <v>80</v>
      </c>
      <c r="J943" t="s">
        <v>196</v>
      </c>
      <c r="K943" t="s">
        <v>13</v>
      </c>
      <c r="L943" t="s">
        <v>83</v>
      </c>
      <c r="M943" t="s">
        <v>205</v>
      </c>
      <c r="N943">
        <v>1</v>
      </c>
      <c r="O943" t="b">
        <v>1</v>
      </c>
      <c r="P943">
        <v>0</v>
      </c>
      <c r="BB943">
        <v>0</v>
      </c>
      <c r="BC943" t="s">
        <v>197</v>
      </c>
      <c r="BD943" t="s">
        <v>198</v>
      </c>
      <c r="BE943" t="s">
        <v>117</v>
      </c>
      <c r="BF943">
        <v>0</v>
      </c>
      <c r="BG943">
        <v>0</v>
      </c>
      <c r="BH943">
        <v>0</v>
      </c>
    </row>
    <row r="944" spans="1:61">
      <c r="A944" s="164" t="s">
        <v>2451</v>
      </c>
      <c r="B944" t="s">
        <v>2452</v>
      </c>
      <c r="C944">
        <v>0</v>
      </c>
      <c r="D944" t="s">
        <v>194</v>
      </c>
      <c r="E944">
        <v>0</v>
      </c>
      <c r="F944" t="s">
        <v>195</v>
      </c>
      <c r="G944" t="s">
        <v>78</v>
      </c>
      <c r="H944" t="s">
        <v>79</v>
      </c>
      <c r="I944" t="s">
        <v>80</v>
      </c>
      <c r="J944" t="s">
        <v>196</v>
      </c>
      <c r="K944" t="s">
        <v>13</v>
      </c>
      <c r="L944" t="s">
        <v>83</v>
      </c>
      <c r="M944" t="s">
        <v>205</v>
      </c>
      <c r="N944">
        <v>1</v>
      </c>
      <c r="O944" t="b">
        <v>1</v>
      </c>
      <c r="P944">
        <v>0</v>
      </c>
      <c r="BB944">
        <v>0</v>
      </c>
      <c r="BC944" t="s">
        <v>197</v>
      </c>
      <c r="BD944" t="s">
        <v>198</v>
      </c>
      <c r="BE944" t="s">
        <v>117</v>
      </c>
      <c r="BF944">
        <v>0</v>
      </c>
      <c r="BG944">
        <v>0</v>
      </c>
      <c r="BH944">
        <v>0</v>
      </c>
    </row>
    <row r="945" spans="1:60">
      <c r="A945" s="164" t="s">
        <v>2453</v>
      </c>
      <c r="B945" t="s">
        <v>2454</v>
      </c>
      <c r="C945">
        <v>0</v>
      </c>
      <c r="D945" t="s">
        <v>194</v>
      </c>
      <c r="E945">
        <v>0</v>
      </c>
      <c r="F945" t="s">
        <v>195</v>
      </c>
      <c r="G945" t="s">
        <v>78</v>
      </c>
      <c r="H945" t="s">
        <v>79</v>
      </c>
      <c r="I945" t="s">
        <v>80</v>
      </c>
      <c r="J945" t="s">
        <v>196</v>
      </c>
      <c r="K945" t="s">
        <v>13</v>
      </c>
      <c r="L945" t="s">
        <v>83</v>
      </c>
      <c r="M945" t="s">
        <v>84</v>
      </c>
      <c r="N945">
        <v>1</v>
      </c>
      <c r="O945" t="b">
        <v>1</v>
      </c>
      <c r="P945">
        <v>0</v>
      </c>
      <c r="BB945">
        <v>0</v>
      </c>
      <c r="BC945" t="s">
        <v>197</v>
      </c>
      <c r="BD945" t="s">
        <v>198</v>
      </c>
      <c r="BE945" t="s">
        <v>117</v>
      </c>
      <c r="BF945">
        <v>0</v>
      </c>
      <c r="BG945">
        <v>0</v>
      </c>
      <c r="BH945">
        <v>0</v>
      </c>
    </row>
    <row r="946" spans="1:60">
      <c r="A946" s="164" t="s">
        <v>2455</v>
      </c>
      <c r="B946" t="s">
        <v>2456</v>
      </c>
      <c r="C946">
        <v>0</v>
      </c>
      <c r="D946" t="s">
        <v>194</v>
      </c>
      <c r="E946">
        <v>0</v>
      </c>
      <c r="F946" t="s">
        <v>214</v>
      </c>
      <c r="G946" t="s">
        <v>78</v>
      </c>
      <c r="H946" t="s">
        <v>79</v>
      </c>
      <c r="I946" t="s">
        <v>80</v>
      </c>
      <c r="J946" t="s">
        <v>196</v>
      </c>
      <c r="K946" t="s">
        <v>13</v>
      </c>
      <c r="L946" t="s">
        <v>83</v>
      </c>
      <c r="M946" t="s">
        <v>215</v>
      </c>
      <c r="N946">
        <v>1</v>
      </c>
      <c r="O946" t="b">
        <v>1</v>
      </c>
      <c r="P946">
        <v>0</v>
      </c>
      <c r="BB946">
        <v>0</v>
      </c>
      <c r="BC946" t="s">
        <v>197</v>
      </c>
      <c r="BD946" t="s">
        <v>216</v>
      </c>
      <c r="BE946" t="s">
        <v>117</v>
      </c>
      <c r="BF946">
        <v>0</v>
      </c>
      <c r="BG946">
        <v>0</v>
      </c>
      <c r="BH946">
        <v>0</v>
      </c>
    </row>
    <row r="947" spans="1:60">
      <c r="A947" s="164" t="s">
        <v>2457</v>
      </c>
      <c r="B947" t="s">
        <v>2458</v>
      </c>
      <c r="C947">
        <v>0</v>
      </c>
      <c r="D947" t="s">
        <v>194</v>
      </c>
      <c r="E947">
        <v>0</v>
      </c>
      <c r="F947" t="s">
        <v>214</v>
      </c>
      <c r="G947" t="s">
        <v>78</v>
      </c>
      <c r="H947" t="s">
        <v>79</v>
      </c>
      <c r="I947" t="s">
        <v>80</v>
      </c>
      <c r="J947" t="s">
        <v>196</v>
      </c>
      <c r="K947" t="s">
        <v>13</v>
      </c>
      <c r="L947" t="s">
        <v>83</v>
      </c>
      <c r="M947" t="s">
        <v>84</v>
      </c>
      <c r="N947">
        <v>1</v>
      </c>
      <c r="O947" t="b">
        <v>1</v>
      </c>
      <c r="P947">
        <v>0</v>
      </c>
      <c r="BB947">
        <v>0</v>
      </c>
      <c r="BC947" t="s">
        <v>197</v>
      </c>
      <c r="BD947" t="s">
        <v>216</v>
      </c>
      <c r="BE947" t="s">
        <v>117</v>
      </c>
      <c r="BF947">
        <v>0</v>
      </c>
      <c r="BG947">
        <v>0</v>
      </c>
      <c r="BH947">
        <v>0</v>
      </c>
    </row>
    <row r="948" spans="1:60">
      <c r="A948" s="164" t="s">
        <v>2459</v>
      </c>
      <c r="B948" t="s">
        <v>2460</v>
      </c>
      <c r="C948">
        <v>0</v>
      </c>
      <c r="D948" t="s">
        <v>194</v>
      </c>
      <c r="E948">
        <v>0</v>
      </c>
      <c r="F948" t="s">
        <v>233</v>
      </c>
      <c r="G948" t="s">
        <v>78</v>
      </c>
      <c r="H948" t="s">
        <v>79</v>
      </c>
      <c r="I948" t="s">
        <v>80</v>
      </c>
      <c r="J948" t="s">
        <v>196</v>
      </c>
      <c r="K948" t="s">
        <v>13</v>
      </c>
      <c r="L948" t="s">
        <v>83</v>
      </c>
      <c r="M948" t="s">
        <v>84</v>
      </c>
      <c r="N948">
        <v>1</v>
      </c>
      <c r="O948" t="b">
        <v>1</v>
      </c>
      <c r="P948">
        <v>0</v>
      </c>
      <c r="BB948">
        <v>0</v>
      </c>
      <c r="BC948" t="s">
        <v>197</v>
      </c>
      <c r="BD948" t="s">
        <v>234</v>
      </c>
      <c r="BE948" t="s">
        <v>117</v>
      </c>
      <c r="BF948">
        <v>0</v>
      </c>
      <c r="BG948">
        <v>0</v>
      </c>
      <c r="BH948">
        <v>0</v>
      </c>
    </row>
    <row r="949" spans="1:60">
      <c r="A949" s="164" t="s">
        <v>2461</v>
      </c>
      <c r="B949" t="s">
        <v>2462</v>
      </c>
      <c r="C949">
        <v>0</v>
      </c>
      <c r="D949" t="s">
        <v>194</v>
      </c>
      <c r="E949">
        <v>0</v>
      </c>
      <c r="F949" t="s">
        <v>233</v>
      </c>
      <c r="G949" t="s">
        <v>78</v>
      </c>
      <c r="H949" t="s">
        <v>79</v>
      </c>
      <c r="I949" t="s">
        <v>80</v>
      </c>
      <c r="J949" t="s">
        <v>196</v>
      </c>
      <c r="K949" t="s">
        <v>13</v>
      </c>
      <c r="L949" t="s">
        <v>83</v>
      </c>
      <c r="M949" t="s">
        <v>84</v>
      </c>
      <c r="N949">
        <v>1</v>
      </c>
      <c r="O949" t="b">
        <v>1</v>
      </c>
      <c r="P949">
        <v>0</v>
      </c>
      <c r="BB949">
        <v>0</v>
      </c>
      <c r="BC949" t="s">
        <v>197</v>
      </c>
      <c r="BD949" t="s">
        <v>234</v>
      </c>
      <c r="BE949" t="s">
        <v>117</v>
      </c>
      <c r="BF949">
        <v>0</v>
      </c>
      <c r="BG949">
        <v>0</v>
      </c>
      <c r="BH949">
        <v>0</v>
      </c>
    </row>
    <row r="950" spans="1:60">
      <c r="A950" s="164" t="s">
        <v>2463</v>
      </c>
      <c r="B950" t="s">
        <v>2464</v>
      </c>
      <c r="C950">
        <v>0</v>
      </c>
      <c r="D950" t="s">
        <v>194</v>
      </c>
      <c r="E950">
        <v>0</v>
      </c>
      <c r="F950" t="s">
        <v>195</v>
      </c>
      <c r="G950" t="s">
        <v>78</v>
      </c>
      <c r="H950" t="s">
        <v>79</v>
      </c>
      <c r="I950" t="s">
        <v>80</v>
      </c>
      <c r="J950" t="s">
        <v>196</v>
      </c>
      <c r="K950" t="s">
        <v>13</v>
      </c>
      <c r="L950" t="s">
        <v>83</v>
      </c>
      <c r="M950" t="s">
        <v>205</v>
      </c>
      <c r="N950">
        <v>1</v>
      </c>
      <c r="O950" t="b">
        <v>1</v>
      </c>
      <c r="P950">
        <v>0</v>
      </c>
      <c r="BB950">
        <v>0</v>
      </c>
      <c r="BC950" t="s">
        <v>197</v>
      </c>
      <c r="BD950" t="s">
        <v>198</v>
      </c>
      <c r="BE950" t="s">
        <v>117</v>
      </c>
      <c r="BF950">
        <v>0</v>
      </c>
      <c r="BG950">
        <v>0</v>
      </c>
      <c r="BH950">
        <v>0</v>
      </c>
    </row>
    <row r="951" spans="1:60">
      <c r="A951" s="164" t="s">
        <v>2465</v>
      </c>
      <c r="B951" t="s">
        <v>2466</v>
      </c>
      <c r="C951">
        <v>0</v>
      </c>
      <c r="D951" t="s">
        <v>194</v>
      </c>
      <c r="E951">
        <v>0</v>
      </c>
      <c r="F951" t="s">
        <v>195</v>
      </c>
      <c r="G951" t="s">
        <v>78</v>
      </c>
      <c r="H951" t="s">
        <v>79</v>
      </c>
      <c r="I951" t="s">
        <v>80</v>
      </c>
      <c r="J951" t="s">
        <v>196</v>
      </c>
      <c r="K951" t="s">
        <v>13</v>
      </c>
      <c r="L951" t="s">
        <v>83</v>
      </c>
      <c r="M951" t="s">
        <v>84</v>
      </c>
      <c r="N951">
        <v>1</v>
      </c>
      <c r="O951" t="b">
        <v>1</v>
      </c>
      <c r="P951">
        <v>0</v>
      </c>
      <c r="BB951">
        <v>0</v>
      </c>
      <c r="BC951" t="s">
        <v>197</v>
      </c>
      <c r="BD951" t="s">
        <v>198</v>
      </c>
      <c r="BE951" t="s">
        <v>117</v>
      </c>
      <c r="BF951">
        <v>0</v>
      </c>
      <c r="BG951">
        <v>0</v>
      </c>
      <c r="BH951">
        <v>0</v>
      </c>
    </row>
    <row r="952" spans="1:60">
      <c r="A952" s="164" t="s">
        <v>2467</v>
      </c>
      <c r="B952" t="s">
        <v>2468</v>
      </c>
      <c r="C952">
        <v>0</v>
      </c>
      <c r="D952" t="s">
        <v>194</v>
      </c>
      <c r="E952">
        <v>0</v>
      </c>
      <c r="F952" t="s">
        <v>195</v>
      </c>
      <c r="G952" t="s">
        <v>78</v>
      </c>
      <c r="H952" t="s">
        <v>79</v>
      </c>
      <c r="I952" t="s">
        <v>80</v>
      </c>
      <c r="J952" t="s">
        <v>196</v>
      </c>
      <c r="K952" t="s">
        <v>13</v>
      </c>
      <c r="L952" t="s">
        <v>83</v>
      </c>
      <c r="M952" t="s">
        <v>84</v>
      </c>
      <c r="N952">
        <v>1</v>
      </c>
      <c r="O952" t="b">
        <v>1</v>
      </c>
      <c r="P952">
        <v>0</v>
      </c>
      <c r="BB952">
        <v>0</v>
      </c>
      <c r="BC952" t="s">
        <v>197</v>
      </c>
      <c r="BD952" t="s">
        <v>198</v>
      </c>
      <c r="BE952" t="s">
        <v>117</v>
      </c>
      <c r="BF952">
        <v>0</v>
      </c>
      <c r="BG952">
        <v>0</v>
      </c>
      <c r="BH952">
        <v>0</v>
      </c>
    </row>
    <row r="953" spans="1:60">
      <c r="A953" s="164" t="s">
        <v>2469</v>
      </c>
      <c r="B953" t="s">
        <v>2470</v>
      </c>
      <c r="C953">
        <v>0</v>
      </c>
      <c r="D953" t="s">
        <v>194</v>
      </c>
      <c r="E953">
        <v>0</v>
      </c>
      <c r="F953" t="s">
        <v>195</v>
      </c>
      <c r="G953" t="s">
        <v>78</v>
      </c>
      <c r="H953" t="s">
        <v>79</v>
      </c>
      <c r="I953" t="s">
        <v>80</v>
      </c>
      <c r="J953" t="s">
        <v>196</v>
      </c>
      <c r="K953" t="s">
        <v>13</v>
      </c>
      <c r="L953" t="s">
        <v>83</v>
      </c>
      <c r="M953" t="s">
        <v>84</v>
      </c>
      <c r="N953">
        <v>1</v>
      </c>
      <c r="O953" t="b">
        <v>1</v>
      </c>
      <c r="P953">
        <v>0</v>
      </c>
      <c r="BB953">
        <v>0</v>
      </c>
      <c r="BC953" t="s">
        <v>197</v>
      </c>
      <c r="BD953" t="s">
        <v>198</v>
      </c>
      <c r="BE953" t="s">
        <v>117</v>
      </c>
      <c r="BF953">
        <v>0</v>
      </c>
      <c r="BG953">
        <v>0</v>
      </c>
      <c r="BH953">
        <v>0</v>
      </c>
    </row>
    <row r="954" spans="1:60">
      <c r="A954" s="164" t="s">
        <v>2471</v>
      </c>
      <c r="B954" t="s">
        <v>2472</v>
      </c>
      <c r="C954">
        <v>0</v>
      </c>
      <c r="D954" t="s">
        <v>194</v>
      </c>
      <c r="E954">
        <v>0</v>
      </c>
      <c r="F954" t="s">
        <v>195</v>
      </c>
      <c r="G954" t="s">
        <v>78</v>
      </c>
      <c r="H954" t="s">
        <v>79</v>
      </c>
      <c r="I954" t="s">
        <v>80</v>
      </c>
      <c r="J954" t="s">
        <v>196</v>
      </c>
      <c r="K954" t="s">
        <v>13</v>
      </c>
      <c r="L954" t="s">
        <v>83</v>
      </c>
      <c r="M954" t="s">
        <v>205</v>
      </c>
      <c r="N954">
        <v>1</v>
      </c>
      <c r="O954" t="b">
        <v>1</v>
      </c>
      <c r="P954">
        <v>0</v>
      </c>
      <c r="BB954">
        <v>0</v>
      </c>
      <c r="BC954" t="s">
        <v>197</v>
      </c>
      <c r="BD954" t="s">
        <v>198</v>
      </c>
      <c r="BE954" t="s">
        <v>117</v>
      </c>
      <c r="BF954">
        <v>0</v>
      </c>
      <c r="BG954">
        <v>0</v>
      </c>
      <c r="BH954">
        <v>0</v>
      </c>
    </row>
    <row r="955" spans="1:60">
      <c r="A955" s="164" t="s">
        <v>2473</v>
      </c>
      <c r="B955" t="s">
        <v>2474</v>
      </c>
      <c r="C955">
        <v>0</v>
      </c>
      <c r="D955" t="s">
        <v>194</v>
      </c>
      <c r="E955">
        <v>0</v>
      </c>
      <c r="F955" t="s">
        <v>195</v>
      </c>
      <c r="G955" t="s">
        <v>78</v>
      </c>
      <c r="H955" t="s">
        <v>79</v>
      </c>
      <c r="I955" t="s">
        <v>80</v>
      </c>
      <c r="J955" t="s">
        <v>196</v>
      </c>
      <c r="K955" t="s">
        <v>13</v>
      </c>
      <c r="L955" t="s">
        <v>83</v>
      </c>
      <c r="M955" t="s">
        <v>205</v>
      </c>
      <c r="N955">
        <v>1</v>
      </c>
      <c r="O955" t="b">
        <v>1</v>
      </c>
      <c r="P955">
        <v>0</v>
      </c>
      <c r="BB955">
        <v>0</v>
      </c>
      <c r="BC955" t="s">
        <v>197</v>
      </c>
      <c r="BD955" t="s">
        <v>198</v>
      </c>
      <c r="BE955" t="s">
        <v>117</v>
      </c>
      <c r="BF955">
        <v>0</v>
      </c>
      <c r="BG955">
        <v>0</v>
      </c>
      <c r="BH955">
        <v>0</v>
      </c>
    </row>
    <row r="956" spans="1:60">
      <c r="A956" s="164" t="s">
        <v>2475</v>
      </c>
      <c r="B956" t="s">
        <v>2476</v>
      </c>
      <c r="C956">
        <v>0</v>
      </c>
      <c r="D956" t="s">
        <v>194</v>
      </c>
      <c r="E956">
        <v>0</v>
      </c>
      <c r="F956" t="s">
        <v>195</v>
      </c>
      <c r="G956" t="s">
        <v>78</v>
      </c>
      <c r="H956" t="s">
        <v>79</v>
      </c>
      <c r="I956" t="s">
        <v>80</v>
      </c>
      <c r="J956" t="s">
        <v>196</v>
      </c>
      <c r="K956" t="s">
        <v>13</v>
      </c>
      <c r="L956" t="s">
        <v>83</v>
      </c>
      <c r="M956" t="s">
        <v>205</v>
      </c>
      <c r="N956">
        <v>1</v>
      </c>
      <c r="O956" t="b">
        <v>1</v>
      </c>
      <c r="P956">
        <v>0</v>
      </c>
      <c r="BB956">
        <v>0</v>
      </c>
      <c r="BC956" t="s">
        <v>197</v>
      </c>
      <c r="BD956" t="s">
        <v>198</v>
      </c>
      <c r="BE956" t="s">
        <v>117</v>
      </c>
      <c r="BF956">
        <v>0</v>
      </c>
      <c r="BG956">
        <v>0</v>
      </c>
      <c r="BH956">
        <v>0</v>
      </c>
    </row>
    <row r="957" spans="1:60">
      <c r="A957" s="164" t="s">
        <v>2477</v>
      </c>
      <c r="B957" t="s">
        <v>2478</v>
      </c>
      <c r="C957">
        <v>0</v>
      </c>
      <c r="D957" t="s">
        <v>194</v>
      </c>
      <c r="E957">
        <v>0</v>
      </c>
      <c r="F957" t="s">
        <v>195</v>
      </c>
      <c r="G957" t="s">
        <v>78</v>
      </c>
      <c r="H957" t="s">
        <v>79</v>
      </c>
      <c r="I957" t="s">
        <v>80</v>
      </c>
      <c r="J957" t="s">
        <v>196</v>
      </c>
      <c r="K957" t="s">
        <v>13</v>
      </c>
      <c r="L957" t="s">
        <v>83</v>
      </c>
      <c r="M957" t="s">
        <v>84</v>
      </c>
      <c r="N957">
        <v>1</v>
      </c>
      <c r="O957" t="b">
        <v>1</v>
      </c>
      <c r="P957">
        <v>0</v>
      </c>
      <c r="BB957">
        <v>0</v>
      </c>
      <c r="BC957" t="s">
        <v>197</v>
      </c>
      <c r="BD957" t="s">
        <v>198</v>
      </c>
      <c r="BE957" t="s">
        <v>117</v>
      </c>
      <c r="BF957">
        <v>0</v>
      </c>
      <c r="BG957">
        <v>0</v>
      </c>
      <c r="BH957">
        <v>0</v>
      </c>
    </row>
    <row r="958" spans="1:60">
      <c r="A958" s="164" t="s">
        <v>2479</v>
      </c>
      <c r="B958" t="s">
        <v>2480</v>
      </c>
      <c r="C958">
        <v>0</v>
      </c>
      <c r="D958" t="s">
        <v>194</v>
      </c>
      <c r="E958">
        <v>0</v>
      </c>
      <c r="F958" t="s">
        <v>195</v>
      </c>
      <c r="G958" t="s">
        <v>78</v>
      </c>
      <c r="H958" t="s">
        <v>79</v>
      </c>
      <c r="I958" t="s">
        <v>80</v>
      </c>
      <c r="J958" t="s">
        <v>196</v>
      </c>
      <c r="K958" t="s">
        <v>13</v>
      </c>
      <c r="L958" t="s">
        <v>83</v>
      </c>
      <c r="M958" t="s">
        <v>84</v>
      </c>
      <c r="N958">
        <v>1</v>
      </c>
      <c r="O958" t="b">
        <v>1</v>
      </c>
      <c r="P958">
        <v>0</v>
      </c>
      <c r="BB958">
        <v>0</v>
      </c>
      <c r="BC958" t="s">
        <v>197</v>
      </c>
      <c r="BD958" t="s">
        <v>198</v>
      </c>
      <c r="BE958" t="s">
        <v>117</v>
      </c>
      <c r="BF958">
        <v>0</v>
      </c>
      <c r="BG958">
        <v>0</v>
      </c>
      <c r="BH958">
        <v>0</v>
      </c>
    </row>
    <row r="959" spans="1:60">
      <c r="A959" s="164" t="s">
        <v>2481</v>
      </c>
      <c r="B959" t="s">
        <v>2482</v>
      </c>
      <c r="C959">
        <v>0</v>
      </c>
      <c r="D959" t="s">
        <v>194</v>
      </c>
      <c r="E959">
        <v>0</v>
      </c>
      <c r="F959" t="s">
        <v>195</v>
      </c>
      <c r="G959" t="s">
        <v>78</v>
      </c>
      <c r="H959" t="s">
        <v>79</v>
      </c>
      <c r="I959" t="s">
        <v>80</v>
      </c>
      <c r="J959" t="s">
        <v>196</v>
      </c>
      <c r="K959" t="s">
        <v>13</v>
      </c>
      <c r="L959" t="s">
        <v>83</v>
      </c>
      <c r="M959" t="s">
        <v>84</v>
      </c>
      <c r="N959">
        <v>1</v>
      </c>
      <c r="O959" t="b">
        <v>1</v>
      </c>
      <c r="P959">
        <v>0</v>
      </c>
      <c r="BB959">
        <v>0</v>
      </c>
      <c r="BC959" t="s">
        <v>197</v>
      </c>
      <c r="BD959" t="s">
        <v>198</v>
      </c>
      <c r="BE959" t="s">
        <v>117</v>
      </c>
      <c r="BF959">
        <v>0</v>
      </c>
      <c r="BG959">
        <v>0</v>
      </c>
      <c r="BH959">
        <v>0</v>
      </c>
    </row>
    <row r="960" spans="1:60">
      <c r="A960" s="164" t="s">
        <v>2483</v>
      </c>
      <c r="B960" t="s">
        <v>2484</v>
      </c>
      <c r="C960">
        <v>0</v>
      </c>
      <c r="D960" t="s">
        <v>257</v>
      </c>
      <c r="E960">
        <v>0</v>
      </c>
      <c r="F960" t="s">
        <v>269</v>
      </c>
      <c r="G960" t="s">
        <v>103</v>
      </c>
      <c r="H960" t="s">
        <v>104</v>
      </c>
      <c r="I960" t="s">
        <v>80</v>
      </c>
      <c r="J960" t="s">
        <v>196</v>
      </c>
      <c r="K960" t="s">
        <v>13</v>
      </c>
      <c r="L960" t="s">
        <v>83</v>
      </c>
      <c r="M960" t="s">
        <v>84</v>
      </c>
      <c r="N960">
        <v>1</v>
      </c>
      <c r="O960" t="b">
        <v>0</v>
      </c>
      <c r="P960">
        <v>0</v>
      </c>
      <c r="BB960">
        <v>0</v>
      </c>
      <c r="BC960" t="s">
        <v>259</v>
      </c>
      <c r="BD960" t="s">
        <v>270</v>
      </c>
      <c r="BE960" t="s">
        <v>117</v>
      </c>
      <c r="BF960">
        <v>0</v>
      </c>
      <c r="BG960">
        <v>0</v>
      </c>
      <c r="BH960">
        <v>0</v>
      </c>
    </row>
    <row r="961" spans="1:61">
      <c r="A961" s="164" t="s">
        <v>2485</v>
      </c>
      <c r="B961" t="s">
        <v>2486</v>
      </c>
      <c r="C961">
        <v>0</v>
      </c>
      <c r="D961" t="s">
        <v>257</v>
      </c>
      <c r="E961">
        <v>0</v>
      </c>
      <c r="F961" t="s">
        <v>269</v>
      </c>
      <c r="G961" t="s">
        <v>103</v>
      </c>
      <c r="H961" t="s">
        <v>104</v>
      </c>
      <c r="I961" t="s">
        <v>80</v>
      </c>
      <c r="J961" t="s">
        <v>196</v>
      </c>
      <c r="K961" t="s">
        <v>13</v>
      </c>
      <c r="L961" t="s">
        <v>83</v>
      </c>
      <c r="M961" t="s">
        <v>84</v>
      </c>
      <c r="N961">
        <v>1</v>
      </c>
      <c r="O961" t="b">
        <v>0</v>
      </c>
      <c r="P961">
        <v>0</v>
      </c>
      <c r="BB961">
        <v>0</v>
      </c>
      <c r="BC961" t="s">
        <v>259</v>
      </c>
      <c r="BD961" t="s">
        <v>270</v>
      </c>
      <c r="BE961" t="s">
        <v>117</v>
      </c>
      <c r="BF961">
        <v>0</v>
      </c>
      <c r="BG961">
        <v>0</v>
      </c>
      <c r="BH961">
        <v>0</v>
      </c>
    </row>
    <row r="962" spans="1:61">
      <c r="A962" s="164" t="s">
        <v>2487</v>
      </c>
      <c r="B962" t="s">
        <v>2488</v>
      </c>
      <c r="C962">
        <v>0</v>
      </c>
      <c r="D962" t="s">
        <v>257</v>
      </c>
      <c r="E962">
        <v>0</v>
      </c>
      <c r="F962" t="s">
        <v>269</v>
      </c>
      <c r="G962" t="s">
        <v>103</v>
      </c>
      <c r="H962" t="s">
        <v>104</v>
      </c>
      <c r="I962" t="s">
        <v>80</v>
      </c>
      <c r="J962" t="s">
        <v>196</v>
      </c>
      <c r="K962" t="s">
        <v>13</v>
      </c>
      <c r="L962" t="s">
        <v>83</v>
      </c>
      <c r="M962" t="s">
        <v>205</v>
      </c>
      <c r="N962">
        <v>1</v>
      </c>
      <c r="O962" t="b">
        <v>0</v>
      </c>
      <c r="P962">
        <v>0</v>
      </c>
      <c r="BB962">
        <v>0</v>
      </c>
      <c r="BC962" t="s">
        <v>259</v>
      </c>
      <c r="BD962" t="s">
        <v>270</v>
      </c>
      <c r="BE962" t="s">
        <v>117</v>
      </c>
      <c r="BF962">
        <v>0</v>
      </c>
      <c r="BG962">
        <v>0</v>
      </c>
      <c r="BH962">
        <v>0</v>
      </c>
    </row>
    <row r="963" spans="1:61">
      <c r="A963" s="164" t="s">
        <v>2489</v>
      </c>
      <c r="B963" t="s">
        <v>2490</v>
      </c>
      <c r="C963">
        <v>0</v>
      </c>
      <c r="D963" t="s">
        <v>257</v>
      </c>
      <c r="E963">
        <v>0</v>
      </c>
      <c r="F963" t="s">
        <v>269</v>
      </c>
      <c r="G963" t="s">
        <v>103</v>
      </c>
      <c r="H963" t="s">
        <v>104</v>
      </c>
      <c r="I963" t="s">
        <v>80</v>
      </c>
      <c r="J963" t="s">
        <v>196</v>
      </c>
      <c r="K963" t="s">
        <v>13</v>
      </c>
      <c r="L963" t="s">
        <v>83</v>
      </c>
      <c r="M963" t="s">
        <v>84</v>
      </c>
      <c r="N963">
        <v>1</v>
      </c>
      <c r="O963" t="b">
        <v>0</v>
      </c>
      <c r="P963">
        <v>0</v>
      </c>
      <c r="BB963">
        <v>0</v>
      </c>
      <c r="BC963" t="s">
        <v>259</v>
      </c>
      <c r="BD963" t="s">
        <v>270</v>
      </c>
      <c r="BE963" t="s">
        <v>117</v>
      </c>
      <c r="BF963">
        <v>0</v>
      </c>
      <c r="BG963">
        <v>0</v>
      </c>
      <c r="BH963">
        <v>0</v>
      </c>
    </row>
    <row r="964" spans="1:61">
      <c r="A964" s="164" t="s">
        <v>2491</v>
      </c>
      <c r="B964" t="s">
        <v>2492</v>
      </c>
      <c r="C964">
        <v>0</v>
      </c>
      <c r="D964" t="s">
        <v>257</v>
      </c>
      <c r="E964">
        <v>0</v>
      </c>
      <c r="F964" t="s">
        <v>269</v>
      </c>
      <c r="G964" t="s">
        <v>103</v>
      </c>
      <c r="H964" t="s">
        <v>104</v>
      </c>
      <c r="I964" t="s">
        <v>80</v>
      </c>
      <c r="J964" t="s">
        <v>196</v>
      </c>
      <c r="K964" t="s">
        <v>13</v>
      </c>
      <c r="L964" t="s">
        <v>83</v>
      </c>
      <c r="M964" t="s">
        <v>84</v>
      </c>
      <c r="N964">
        <v>1</v>
      </c>
      <c r="O964" t="b">
        <v>0</v>
      </c>
      <c r="P964">
        <v>0</v>
      </c>
      <c r="BB964">
        <v>0</v>
      </c>
      <c r="BC964" t="s">
        <v>259</v>
      </c>
      <c r="BD964" t="s">
        <v>270</v>
      </c>
      <c r="BE964" t="s">
        <v>117</v>
      </c>
      <c r="BF964">
        <v>0</v>
      </c>
      <c r="BG964">
        <v>0</v>
      </c>
      <c r="BH964">
        <v>0</v>
      </c>
    </row>
    <row r="965" spans="1:61">
      <c r="A965" s="164" t="s">
        <v>2493</v>
      </c>
      <c r="B965" t="s">
        <v>2494</v>
      </c>
      <c r="C965">
        <v>0</v>
      </c>
      <c r="D965" t="s">
        <v>257</v>
      </c>
      <c r="E965">
        <v>0</v>
      </c>
      <c r="F965" t="s">
        <v>269</v>
      </c>
      <c r="G965" t="s">
        <v>103</v>
      </c>
      <c r="H965" t="s">
        <v>104</v>
      </c>
      <c r="I965" t="s">
        <v>80</v>
      </c>
      <c r="J965" t="s">
        <v>196</v>
      </c>
      <c r="K965" t="s">
        <v>13</v>
      </c>
      <c r="L965" t="s">
        <v>83</v>
      </c>
      <c r="M965" t="s">
        <v>84</v>
      </c>
      <c r="N965">
        <v>1</v>
      </c>
      <c r="O965" t="b">
        <v>0</v>
      </c>
      <c r="P965">
        <v>0</v>
      </c>
      <c r="BB965">
        <v>0</v>
      </c>
      <c r="BC965" t="s">
        <v>259</v>
      </c>
      <c r="BD965" t="s">
        <v>270</v>
      </c>
      <c r="BE965" t="s">
        <v>117</v>
      </c>
      <c r="BF965">
        <v>0</v>
      </c>
      <c r="BG965">
        <v>0</v>
      </c>
      <c r="BH965">
        <v>0</v>
      </c>
    </row>
    <row r="966" spans="1:61">
      <c r="A966" s="164" t="s">
        <v>2495</v>
      </c>
      <c r="B966" t="s">
        <v>2496</v>
      </c>
      <c r="C966">
        <v>0</v>
      </c>
      <c r="D966" t="s">
        <v>257</v>
      </c>
      <c r="E966">
        <v>0</v>
      </c>
      <c r="F966" t="s">
        <v>925</v>
      </c>
      <c r="G966" t="s">
        <v>78</v>
      </c>
      <c r="H966" t="s">
        <v>79</v>
      </c>
      <c r="I966" t="s">
        <v>80</v>
      </c>
      <c r="J966" t="s">
        <v>196</v>
      </c>
      <c r="K966" t="s">
        <v>13</v>
      </c>
      <c r="L966" t="s">
        <v>83</v>
      </c>
      <c r="M966" t="s">
        <v>205</v>
      </c>
      <c r="N966">
        <v>1</v>
      </c>
      <c r="O966" t="b">
        <v>1</v>
      </c>
      <c r="P966">
        <v>0</v>
      </c>
      <c r="BB966">
        <v>0</v>
      </c>
      <c r="BC966" t="s">
        <v>259</v>
      </c>
      <c r="BD966" t="s">
        <v>926</v>
      </c>
      <c r="BE966" t="s">
        <v>117</v>
      </c>
      <c r="BF966">
        <v>0</v>
      </c>
      <c r="BG966">
        <v>25</v>
      </c>
      <c r="BH966">
        <v>25</v>
      </c>
      <c r="BI966" t="s">
        <v>2497</v>
      </c>
    </row>
    <row r="967" spans="1:61">
      <c r="A967" s="164" t="s">
        <v>2498</v>
      </c>
      <c r="B967" t="s">
        <v>2499</v>
      </c>
      <c r="C967">
        <v>0</v>
      </c>
      <c r="D967" t="s">
        <v>257</v>
      </c>
      <c r="E967">
        <v>0</v>
      </c>
      <c r="F967" t="s">
        <v>925</v>
      </c>
      <c r="G967" t="s">
        <v>78</v>
      </c>
      <c r="H967" t="s">
        <v>79</v>
      </c>
      <c r="I967" t="s">
        <v>80</v>
      </c>
      <c r="J967" t="s">
        <v>196</v>
      </c>
      <c r="K967" t="s">
        <v>13</v>
      </c>
      <c r="L967" t="s">
        <v>83</v>
      </c>
      <c r="M967" t="s">
        <v>205</v>
      </c>
      <c r="N967">
        <v>1</v>
      </c>
      <c r="O967" t="b">
        <v>1</v>
      </c>
      <c r="P967">
        <v>0</v>
      </c>
      <c r="BB967">
        <v>0</v>
      </c>
      <c r="BC967" t="s">
        <v>259</v>
      </c>
      <c r="BD967" t="s">
        <v>926</v>
      </c>
      <c r="BE967" t="s">
        <v>117</v>
      </c>
      <c r="BF967">
        <v>0</v>
      </c>
      <c r="BG967">
        <v>25</v>
      </c>
      <c r="BH967">
        <v>50</v>
      </c>
      <c r="BI967" t="s">
        <v>2500</v>
      </c>
    </row>
    <row r="968" spans="1:61">
      <c r="A968" s="164" t="s">
        <v>2501</v>
      </c>
      <c r="B968" t="s">
        <v>2502</v>
      </c>
      <c r="C968">
        <v>0</v>
      </c>
      <c r="D968" t="s">
        <v>257</v>
      </c>
      <c r="E968">
        <v>0</v>
      </c>
      <c r="F968" t="s">
        <v>269</v>
      </c>
      <c r="G968" t="s">
        <v>103</v>
      </c>
      <c r="H968" t="s">
        <v>104</v>
      </c>
      <c r="I968" t="s">
        <v>80</v>
      </c>
      <c r="J968" t="s">
        <v>196</v>
      </c>
      <c r="K968" t="s">
        <v>13</v>
      </c>
      <c r="L968" t="s">
        <v>83</v>
      </c>
      <c r="M968" t="s">
        <v>84</v>
      </c>
      <c r="N968">
        <v>1</v>
      </c>
      <c r="O968" t="b">
        <v>0</v>
      </c>
      <c r="P968">
        <v>0</v>
      </c>
      <c r="BB968">
        <v>0</v>
      </c>
      <c r="BC968" t="s">
        <v>259</v>
      </c>
      <c r="BD968" t="s">
        <v>270</v>
      </c>
      <c r="BE968" t="s">
        <v>117</v>
      </c>
      <c r="BF968">
        <v>0</v>
      </c>
      <c r="BG968">
        <v>0</v>
      </c>
      <c r="BH968">
        <v>0</v>
      </c>
    </row>
    <row r="969" spans="1:61">
      <c r="A969" s="164" t="s">
        <v>2503</v>
      </c>
      <c r="B969" t="s">
        <v>2504</v>
      </c>
      <c r="C969">
        <v>0</v>
      </c>
      <c r="D969" t="s">
        <v>257</v>
      </c>
      <c r="E969">
        <v>0</v>
      </c>
      <c r="F969" t="s">
        <v>925</v>
      </c>
      <c r="G969" t="s">
        <v>78</v>
      </c>
      <c r="H969" t="s">
        <v>79</v>
      </c>
      <c r="I969" t="s">
        <v>80</v>
      </c>
      <c r="J969" t="s">
        <v>196</v>
      </c>
      <c r="K969" t="s">
        <v>13</v>
      </c>
      <c r="L969" t="s">
        <v>83</v>
      </c>
      <c r="M969" t="s">
        <v>205</v>
      </c>
      <c r="N969">
        <v>1</v>
      </c>
      <c r="O969" t="b">
        <v>1</v>
      </c>
      <c r="P969">
        <v>0</v>
      </c>
      <c r="BB969">
        <v>0</v>
      </c>
      <c r="BC969" t="s">
        <v>259</v>
      </c>
      <c r="BD969" t="s">
        <v>926</v>
      </c>
      <c r="BE969" t="s">
        <v>117</v>
      </c>
      <c r="BF969">
        <v>0</v>
      </c>
      <c r="BG969">
        <v>20</v>
      </c>
      <c r="BH969">
        <v>25</v>
      </c>
      <c r="BI969" t="s">
        <v>927</v>
      </c>
    </row>
    <row r="970" spans="1:61">
      <c r="A970" s="164" t="s">
        <v>2505</v>
      </c>
      <c r="B970" t="s">
        <v>2506</v>
      </c>
      <c r="C970">
        <v>0</v>
      </c>
      <c r="D970" t="s">
        <v>257</v>
      </c>
      <c r="E970">
        <v>0</v>
      </c>
      <c r="F970" t="s">
        <v>258</v>
      </c>
      <c r="G970" t="s">
        <v>78</v>
      </c>
      <c r="H970" t="s">
        <v>79</v>
      </c>
      <c r="I970" t="s">
        <v>80</v>
      </c>
      <c r="J970" t="s">
        <v>196</v>
      </c>
      <c r="K970" t="s">
        <v>13</v>
      </c>
      <c r="L970" t="s">
        <v>83</v>
      </c>
      <c r="M970" t="s">
        <v>205</v>
      </c>
      <c r="N970">
        <v>1</v>
      </c>
      <c r="O970" t="b">
        <v>1</v>
      </c>
      <c r="P970">
        <v>0</v>
      </c>
      <c r="BB970">
        <v>0</v>
      </c>
      <c r="BC970" t="s">
        <v>259</v>
      </c>
      <c r="BD970" t="s">
        <v>260</v>
      </c>
      <c r="BE970" t="s">
        <v>117</v>
      </c>
      <c r="BF970">
        <v>0</v>
      </c>
      <c r="BG970">
        <v>50</v>
      </c>
      <c r="BH970">
        <v>125</v>
      </c>
      <c r="BI970" t="s">
        <v>2507</v>
      </c>
    </row>
    <row r="971" spans="1:61">
      <c r="A971" s="164" t="s">
        <v>2508</v>
      </c>
      <c r="B971" t="s">
        <v>2509</v>
      </c>
      <c r="C971">
        <v>0</v>
      </c>
      <c r="D971" t="s">
        <v>257</v>
      </c>
      <c r="E971">
        <v>0</v>
      </c>
      <c r="F971" t="s">
        <v>269</v>
      </c>
      <c r="G971" t="s">
        <v>103</v>
      </c>
      <c r="H971" t="s">
        <v>104</v>
      </c>
      <c r="I971" t="s">
        <v>80</v>
      </c>
      <c r="J971" t="s">
        <v>196</v>
      </c>
      <c r="K971" t="s">
        <v>13</v>
      </c>
      <c r="L971" t="s">
        <v>83</v>
      </c>
      <c r="M971" t="s">
        <v>84</v>
      </c>
      <c r="N971">
        <v>1</v>
      </c>
      <c r="O971" t="b">
        <v>0</v>
      </c>
      <c r="P971">
        <v>0</v>
      </c>
      <c r="BB971">
        <v>0</v>
      </c>
      <c r="BC971" t="s">
        <v>259</v>
      </c>
      <c r="BD971" t="s">
        <v>270</v>
      </c>
      <c r="BE971" t="s">
        <v>117</v>
      </c>
      <c r="BF971">
        <v>0</v>
      </c>
      <c r="BG971">
        <v>0</v>
      </c>
      <c r="BH971">
        <v>0</v>
      </c>
    </row>
    <row r="972" spans="1:61">
      <c r="A972" s="164" t="s">
        <v>2510</v>
      </c>
      <c r="B972" t="s">
        <v>2511</v>
      </c>
      <c r="C972">
        <v>0</v>
      </c>
      <c r="D972" t="s">
        <v>257</v>
      </c>
      <c r="E972">
        <v>0</v>
      </c>
      <c r="F972" t="s">
        <v>269</v>
      </c>
      <c r="G972" t="s">
        <v>103</v>
      </c>
      <c r="H972" t="s">
        <v>104</v>
      </c>
      <c r="I972" t="s">
        <v>80</v>
      </c>
      <c r="J972" t="s">
        <v>196</v>
      </c>
      <c r="K972" t="s">
        <v>13</v>
      </c>
      <c r="L972" t="s">
        <v>83</v>
      </c>
      <c r="M972" t="s">
        <v>205</v>
      </c>
      <c r="N972">
        <v>1</v>
      </c>
      <c r="O972" t="b">
        <v>0</v>
      </c>
      <c r="P972">
        <v>0</v>
      </c>
      <c r="BB972">
        <v>0</v>
      </c>
      <c r="BC972" t="s">
        <v>259</v>
      </c>
      <c r="BD972" t="s">
        <v>270</v>
      </c>
      <c r="BE972" t="s">
        <v>117</v>
      </c>
      <c r="BF972">
        <v>0</v>
      </c>
      <c r="BG972">
        <v>0</v>
      </c>
      <c r="BH972">
        <v>0</v>
      </c>
    </row>
    <row r="973" spans="1:61">
      <c r="A973" s="164" t="s">
        <v>2512</v>
      </c>
      <c r="B973" t="s">
        <v>2513</v>
      </c>
      <c r="C973">
        <v>0</v>
      </c>
      <c r="D973" t="s">
        <v>257</v>
      </c>
      <c r="E973">
        <v>0</v>
      </c>
      <c r="F973" t="s">
        <v>269</v>
      </c>
      <c r="G973" t="s">
        <v>103</v>
      </c>
      <c r="H973" t="s">
        <v>104</v>
      </c>
      <c r="I973" t="s">
        <v>80</v>
      </c>
      <c r="J973" t="s">
        <v>196</v>
      </c>
      <c r="K973" t="s">
        <v>13</v>
      </c>
      <c r="L973" t="s">
        <v>83</v>
      </c>
      <c r="M973" t="s">
        <v>205</v>
      </c>
      <c r="N973">
        <v>1</v>
      </c>
      <c r="O973" t="b">
        <v>0</v>
      </c>
      <c r="P973">
        <v>0</v>
      </c>
      <c r="BB973">
        <v>0</v>
      </c>
      <c r="BC973" t="s">
        <v>259</v>
      </c>
      <c r="BD973" t="s">
        <v>270</v>
      </c>
      <c r="BE973" t="s">
        <v>117</v>
      </c>
      <c r="BF973">
        <v>0</v>
      </c>
      <c r="BG973">
        <v>0</v>
      </c>
      <c r="BH973">
        <v>0</v>
      </c>
    </row>
    <row r="974" spans="1:61">
      <c r="A974" s="164" t="s">
        <v>2514</v>
      </c>
      <c r="B974" t="s">
        <v>2515</v>
      </c>
      <c r="C974">
        <v>0</v>
      </c>
      <c r="D974" t="s">
        <v>257</v>
      </c>
      <c r="E974">
        <v>0</v>
      </c>
      <c r="F974" t="s">
        <v>258</v>
      </c>
      <c r="G974" t="s">
        <v>78</v>
      </c>
      <c r="H974" t="s">
        <v>79</v>
      </c>
      <c r="I974" t="s">
        <v>80</v>
      </c>
      <c r="J974" t="s">
        <v>196</v>
      </c>
      <c r="K974" t="s">
        <v>13</v>
      </c>
      <c r="L974" t="s">
        <v>83</v>
      </c>
      <c r="M974" t="s">
        <v>205</v>
      </c>
      <c r="N974">
        <v>1</v>
      </c>
      <c r="O974" t="b">
        <v>1</v>
      </c>
      <c r="P974">
        <v>0</v>
      </c>
      <c r="BB974">
        <v>0</v>
      </c>
      <c r="BC974" t="s">
        <v>259</v>
      </c>
      <c r="BD974" t="s">
        <v>260</v>
      </c>
      <c r="BE974" t="s">
        <v>117</v>
      </c>
      <c r="BF974">
        <v>0</v>
      </c>
      <c r="BG974">
        <v>20</v>
      </c>
      <c r="BH974">
        <v>1</v>
      </c>
      <c r="BI974" t="s">
        <v>2497</v>
      </c>
    </row>
    <row r="975" spans="1:61">
      <c r="A975" s="164" t="s">
        <v>2516</v>
      </c>
      <c r="B975" t="s">
        <v>2517</v>
      </c>
      <c r="C975">
        <v>0</v>
      </c>
      <c r="D975" t="s">
        <v>257</v>
      </c>
      <c r="E975">
        <v>0</v>
      </c>
      <c r="F975" t="s">
        <v>269</v>
      </c>
      <c r="G975" t="s">
        <v>103</v>
      </c>
      <c r="H975" t="s">
        <v>104</v>
      </c>
      <c r="I975" t="s">
        <v>80</v>
      </c>
      <c r="J975" t="s">
        <v>196</v>
      </c>
      <c r="K975" t="s">
        <v>13</v>
      </c>
      <c r="L975" t="s">
        <v>83</v>
      </c>
      <c r="M975" t="s">
        <v>205</v>
      </c>
      <c r="N975">
        <v>1</v>
      </c>
      <c r="O975" t="b">
        <v>0</v>
      </c>
      <c r="P975">
        <v>0</v>
      </c>
      <c r="BB975">
        <v>0</v>
      </c>
      <c r="BC975" t="s">
        <v>259</v>
      </c>
      <c r="BD975" t="s">
        <v>270</v>
      </c>
      <c r="BE975" t="s">
        <v>117</v>
      </c>
      <c r="BF975">
        <v>0</v>
      </c>
      <c r="BG975">
        <v>0</v>
      </c>
      <c r="BH975">
        <v>0</v>
      </c>
    </row>
    <row r="976" spans="1:61">
      <c r="A976" s="164" t="s">
        <v>2518</v>
      </c>
      <c r="B976" t="s">
        <v>2519</v>
      </c>
      <c r="C976">
        <v>0</v>
      </c>
      <c r="D976" t="s">
        <v>257</v>
      </c>
      <c r="E976">
        <v>0</v>
      </c>
      <c r="F976" t="s">
        <v>269</v>
      </c>
      <c r="G976" t="s">
        <v>103</v>
      </c>
      <c r="H976" t="s">
        <v>104</v>
      </c>
      <c r="I976" t="s">
        <v>80</v>
      </c>
      <c r="J976" t="s">
        <v>196</v>
      </c>
      <c r="K976" t="s">
        <v>13</v>
      </c>
      <c r="L976" t="s">
        <v>83</v>
      </c>
      <c r="M976" t="s">
        <v>205</v>
      </c>
      <c r="N976">
        <v>1</v>
      </c>
      <c r="O976" t="b">
        <v>0</v>
      </c>
      <c r="P976">
        <v>0</v>
      </c>
      <c r="BB976">
        <v>0</v>
      </c>
      <c r="BC976" t="s">
        <v>259</v>
      </c>
      <c r="BD976" t="s">
        <v>270</v>
      </c>
      <c r="BE976" t="s">
        <v>117</v>
      </c>
      <c r="BF976">
        <v>0</v>
      </c>
      <c r="BG976">
        <v>0</v>
      </c>
      <c r="BH976">
        <v>0</v>
      </c>
    </row>
    <row r="977" spans="1:61">
      <c r="A977" s="164" t="s">
        <v>2520</v>
      </c>
      <c r="B977" t="s">
        <v>2521</v>
      </c>
      <c r="C977">
        <v>0</v>
      </c>
      <c r="D977" t="s">
        <v>257</v>
      </c>
      <c r="E977">
        <v>0</v>
      </c>
      <c r="F977" t="s">
        <v>269</v>
      </c>
      <c r="G977" t="s">
        <v>103</v>
      </c>
      <c r="H977" t="s">
        <v>104</v>
      </c>
      <c r="I977" t="s">
        <v>80</v>
      </c>
      <c r="J977" t="s">
        <v>196</v>
      </c>
      <c r="K977" t="s">
        <v>13</v>
      </c>
      <c r="L977" t="s">
        <v>83</v>
      </c>
      <c r="M977" t="s">
        <v>205</v>
      </c>
      <c r="N977">
        <v>1</v>
      </c>
      <c r="O977" t="b">
        <v>0</v>
      </c>
      <c r="P977">
        <v>0</v>
      </c>
      <c r="BB977">
        <v>0</v>
      </c>
      <c r="BC977" t="s">
        <v>259</v>
      </c>
      <c r="BD977" t="s">
        <v>270</v>
      </c>
      <c r="BE977" t="s">
        <v>117</v>
      </c>
      <c r="BF977">
        <v>0</v>
      </c>
      <c r="BG977">
        <v>0</v>
      </c>
      <c r="BH977">
        <v>0</v>
      </c>
    </row>
    <row r="978" spans="1:61">
      <c r="A978" s="164" t="s">
        <v>2522</v>
      </c>
      <c r="B978" t="s">
        <v>2523</v>
      </c>
      <c r="C978">
        <v>0</v>
      </c>
      <c r="D978" t="s">
        <v>304</v>
      </c>
      <c r="E978">
        <v>0</v>
      </c>
      <c r="F978" t="s">
        <v>269</v>
      </c>
      <c r="G978" t="s">
        <v>103</v>
      </c>
      <c r="H978" t="s">
        <v>104</v>
      </c>
      <c r="I978" t="s">
        <v>80</v>
      </c>
      <c r="J978" t="s">
        <v>196</v>
      </c>
      <c r="K978" t="s">
        <v>13</v>
      </c>
      <c r="L978" t="s">
        <v>83</v>
      </c>
      <c r="M978" t="s">
        <v>84</v>
      </c>
      <c r="N978">
        <v>1</v>
      </c>
      <c r="O978" t="b">
        <v>0</v>
      </c>
      <c r="P978">
        <v>0</v>
      </c>
      <c r="BB978">
        <v>0</v>
      </c>
      <c r="BC978" t="s">
        <v>306</v>
      </c>
      <c r="BD978" t="s">
        <v>270</v>
      </c>
      <c r="BE978" t="s">
        <v>117</v>
      </c>
      <c r="BF978">
        <v>0</v>
      </c>
      <c r="BG978">
        <v>0</v>
      </c>
      <c r="BH978">
        <v>0</v>
      </c>
    </row>
    <row r="979" spans="1:61">
      <c r="A979" s="164" t="s">
        <v>2524</v>
      </c>
      <c r="B979" t="s">
        <v>2525</v>
      </c>
      <c r="C979">
        <v>0</v>
      </c>
      <c r="D979" t="s">
        <v>304</v>
      </c>
      <c r="E979">
        <v>0</v>
      </c>
      <c r="F979" t="s">
        <v>349</v>
      </c>
      <c r="G979" t="s">
        <v>78</v>
      </c>
      <c r="H979" t="s">
        <v>79</v>
      </c>
      <c r="I979" t="s">
        <v>80</v>
      </c>
      <c r="J979" t="s">
        <v>196</v>
      </c>
      <c r="K979" t="s">
        <v>13</v>
      </c>
      <c r="L979" t="s">
        <v>83</v>
      </c>
      <c r="M979" t="s">
        <v>84</v>
      </c>
      <c r="N979">
        <v>1</v>
      </c>
      <c r="O979" t="b">
        <v>1</v>
      </c>
      <c r="P979">
        <v>0</v>
      </c>
      <c r="BB979">
        <v>0</v>
      </c>
      <c r="BC979" t="s">
        <v>306</v>
      </c>
      <c r="BD979" t="s">
        <v>350</v>
      </c>
      <c r="BE979" t="s">
        <v>117</v>
      </c>
      <c r="BF979">
        <v>0</v>
      </c>
      <c r="BG979">
        <v>25</v>
      </c>
      <c r="BH979">
        <v>10000</v>
      </c>
      <c r="BI979" t="s">
        <v>344</v>
      </c>
    </row>
    <row r="980" spans="1:61">
      <c r="A980" s="164" t="s">
        <v>2526</v>
      </c>
      <c r="B980" t="s">
        <v>2527</v>
      </c>
      <c r="C980">
        <v>0</v>
      </c>
      <c r="D980" t="s">
        <v>304</v>
      </c>
      <c r="E980">
        <v>0</v>
      </c>
      <c r="F980" t="s">
        <v>349</v>
      </c>
      <c r="G980" t="s">
        <v>78</v>
      </c>
      <c r="H980" t="s">
        <v>79</v>
      </c>
      <c r="I980" t="s">
        <v>80</v>
      </c>
      <c r="J980" t="s">
        <v>196</v>
      </c>
      <c r="K980" t="s">
        <v>13</v>
      </c>
      <c r="L980" t="s">
        <v>83</v>
      </c>
      <c r="M980" t="s">
        <v>84</v>
      </c>
      <c r="N980">
        <v>1</v>
      </c>
      <c r="O980" t="b">
        <v>1</v>
      </c>
      <c r="P980">
        <v>0</v>
      </c>
      <c r="BB980">
        <v>0</v>
      </c>
      <c r="BC980" t="s">
        <v>306</v>
      </c>
      <c r="BD980" t="s">
        <v>350</v>
      </c>
      <c r="BE980" t="s">
        <v>117</v>
      </c>
      <c r="BF980">
        <v>0</v>
      </c>
      <c r="BG980">
        <v>25</v>
      </c>
      <c r="BH980">
        <v>10000</v>
      </c>
      <c r="BI980" t="s">
        <v>344</v>
      </c>
    </row>
    <row r="981" spans="1:61">
      <c r="A981" s="164" t="s">
        <v>2528</v>
      </c>
      <c r="B981" t="s">
        <v>2529</v>
      </c>
      <c r="C981">
        <v>0</v>
      </c>
      <c r="D981" t="s">
        <v>304</v>
      </c>
      <c r="E981">
        <v>0</v>
      </c>
      <c r="F981" t="s">
        <v>349</v>
      </c>
      <c r="G981" t="s">
        <v>78</v>
      </c>
      <c r="H981" t="s">
        <v>79</v>
      </c>
      <c r="I981" t="s">
        <v>80</v>
      </c>
      <c r="J981" t="s">
        <v>196</v>
      </c>
      <c r="K981" t="s">
        <v>13</v>
      </c>
      <c r="L981" t="s">
        <v>83</v>
      </c>
      <c r="M981" t="s">
        <v>84</v>
      </c>
      <c r="N981">
        <v>1</v>
      </c>
      <c r="O981" t="b">
        <v>1</v>
      </c>
      <c r="P981">
        <v>0</v>
      </c>
      <c r="BB981">
        <v>0</v>
      </c>
      <c r="BC981" t="s">
        <v>306</v>
      </c>
      <c r="BD981" t="s">
        <v>350</v>
      </c>
      <c r="BE981" t="s">
        <v>117</v>
      </c>
      <c r="BF981">
        <v>0</v>
      </c>
      <c r="BG981">
        <v>25</v>
      </c>
      <c r="BH981">
        <v>10000</v>
      </c>
      <c r="BI981" t="s">
        <v>344</v>
      </c>
    </row>
    <row r="982" spans="1:61">
      <c r="A982" s="164" t="s">
        <v>2530</v>
      </c>
      <c r="B982" t="s">
        <v>2531</v>
      </c>
      <c r="C982">
        <v>0</v>
      </c>
      <c r="D982" t="s">
        <v>304</v>
      </c>
      <c r="E982">
        <v>0</v>
      </c>
      <c r="F982" t="s">
        <v>349</v>
      </c>
      <c r="G982" t="s">
        <v>78</v>
      </c>
      <c r="H982" t="s">
        <v>79</v>
      </c>
      <c r="I982" t="s">
        <v>80</v>
      </c>
      <c r="J982" t="s">
        <v>196</v>
      </c>
      <c r="K982" t="s">
        <v>13</v>
      </c>
      <c r="L982" t="s">
        <v>83</v>
      </c>
      <c r="M982" t="s">
        <v>84</v>
      </c>
      <c r="N982">
        <v>1</v>
      </c>
      <c r="O982" t="b">
        <v>1</v>
      </c>
      <c r="P982">
        <v>0</v>
      </c>
      <c r="BB982">
        <v>0</v>
      </c>
      <c r="BC982" t="s">
        <v>306</v>
      </c>
      <c r="BD982" t="s">
        <v>350</v>
      </c>
      <c r="BE982" t="s">
        <v>117</v>
      </c>
      <c r="BF982">
        <v>0</v>
      </c>
      <c r="BG982">
        <v>25</v>
      </c>
      <c r="BH982">
        <v>10000</v>
      </c>
      <c r="BI982" t="s">
        <v>344</v>
      </c>
    </row>
    <row r="983" spans="1:61">
      <c r="A983" s="164" t="s">
        <v>2532</v>
      </c>
      <c r="B983" t="s">
        <v>2533</v>
      </c>
      <c r="C983">
        <v>0</v>
      </c>
      <c r="D983" t="s">
        <v>304</v>
      </c>
      <c r="E983">
        <v>0</v>
      </c>
      <c r="F983" t="s">
        <v>1364</v>
      </c>
      <c r="G983" t="s">
        <v>78</v>
      </c>
      <c r="H983" t="s">
        <v>79</v>
      </c>
      <c r="I983" t="s">
        <v>80</v>
      </c>
      <c r="J983" t="s">
        <v>196</v>
      </c>
      <c r="K983" t="s">
        <v>13</v>
      </c>
      <c r="L983" t="s">
        <v>83</v>
      </c>
      <c r="M983" t="s">
        <v>84</v>
      </c>
      <c r="N983">
        <v>1</v>
      </c>
      <c r="O983" t="b">
        <v>1</v>
      </c>
      <c r="P983">
        <v>0</v>
      </c>
      <c r="BB983">
        <v>0</v>
      </c>
      <c r="BC983" t="s">
        <v>306</v>
      </c>
      <c r="BD983" t="s">
        <v>1365</v>
      </c>
      <c r="BE983" t="s">
        <v>117</v>
      </c>
      <c r="BF983">
        <v>0</v>
      </c>
      <c r="BG983">
        <v>45</v>
      </c>
      <c r="BH983">
        <v>65000</v>
      </c>
      <c r="BI983" t="s">
        <v>1931</v>
      </c>
    </row>
    <row r="984" spans="1:61">
      <c r="A984" s="164" t="s">
        <v>2534</v>
      </c>
      <c r="B984" t="s">
        <v>2535</v>
      </c>
      <c r="C984">
        <v>0</v>
      </c>
      <c r="D984" t="s">
        <v>304</v>
      </c>
      <c r="E984">
        <v>0</v>
      </c>
      <c r="F984" t="s">
        <v>342</v>
      </c>
      <c r="G984" t="s">
        <v>78</v>
      </c>
      <c r="H984" t="s">
        <v>79</v>
      </c>
      <c r="I984" t="s">
        <v>80</v>
      </c>
      <c r="J984" t="s">
        <v>196</v>
      </c>
      <c r="K984" t="s">
        <v>13</v>
      </c>
      <c r="L984" t="s">
        <v>83</v>
      </c>
      <c r="M984" t="s">
        <v>84</v>
      </c>
      <c r="N984">
        <v>1</v>
      </c>
      <c r="O984" t="b">
        <v>1</v>
      </c>
      <c r="P984">
        <v>0</v>
      </c>
      <c r="BB984">
        <v>0</v>
      </c>
      <c r="BC984" t="s">
        <v>306</v>
      </c>
      <c r="BD984" t="s">
        <v>343</v>
      </c>
      <c r="BE984" t="s">
        <v>117</v>
      </c>
      <c r="BF984">
        <v>0</v>
      </c>
      <c r="BG984">
        <v>25</v>
      </c>
      <c r="BH984">
        <v>10000</v>
      </c>
      <c r="BI984" t="s">
        <v>344</v>
      </c>
    </row>
    <row r="985" spans="1:61">
      <c r="A985" s="164" t="s">
        <v>2536</v>
      </c>
      <c r="B985" t="s">
        <v>2537</v>
      </c>
      <c r="C985">
        <v>0</v>
      </c>
      <c r="D985" t="s">
        <v>304</v>
      </c>
      <c r="E985">
        <v>0</v>
      </c>
      <c r="F985" t="s">
        <v>269</v>
      </c>
      <c r="G985" t="s">
        <v>103</v>
      </c>
      <c r="H985" t="s">
        <v>104</v>
      </c>
      <c r="I985" t="s">
        <v>80</v>
      </c>
      <c r="J985" t="s">
        <v>196</v>
      </c>
      <c r="K985" t="s">
        <v>13</v>
      </c>
      <c r="L985" t="s">
        <v>83</v>
      </c>
      <c r="M985" t="s">
        <v>205</v>
      </c>
      <c r="N985">
        <v>1</v>
      </c>
      <c r="O985" t="b">
        <v>0</v>
      </c>
      <c r="P985">
        <v>0</v>
      </c>
      <c r="BB985">
        <v>0</v>
      </c>
      <c r="BC985" t="s">
        <v>306</v>
      </c>
      <c r="BD985" t="s">
        <v>270</v>
      </c>
      <c r="BE985" t="s">
        <v>117</v>
      </c>
      <c r="BF985">
        <v>0</v>
      </c>
      <c r="BG985">
        <v>0</v>
      </c>
      <c r="BH985">
        <v>0</v>
      </c>
    </row>
    <row r="986" spans="1:61">
      <c r="A986" s="164" t="s">
        <v>2538</v>
      </c>
      <c r="B986" t="s">
        <v>2539</v>
      </c>
      <c r="C986">
        <v>0</v>
      </c>
      <c r="D986" t="s">
        <v>304</v>
      </c>
      <c r="E986">
        <v>0</v>
      </c>
      <c r="F986" t="s">
        <v>269</v>
      </c>
      <c r="G986" t="s">
        <v>103</v>
      </c>
      <c r="H986" t="s">
        <v>104</v>
      </c>
      <c r="I986" t="s">
        <v>80</v>
      </c>
      <c r="J986" t="s">
        <v>196</v>
      </c>
      <c r="K986" t="s">
        <v>13</v>
      </c>
      <c r="L986" t="s">
        <v>83</v>
      </c>
      <c r="M986" t="s">
        <v>84</v>
      </c>
      <c r="N986">
        <v>1</v>
      </c>
      <c r="O986" t="b">
        <v>0</v>
      </c>
      <c r="P986">
        <v>0</v>
      </c>
      <c r="BB986">
        <v>0</v>
      </c>
      <c r="BC986" t="s">
        <v>306</v>
      </c>
      <c r="BD986" t="s">
        <v>270</v>
      </c>
      <c r="BE986" t="s">
        <v>117</v>
      </c>
      <c r="BF986">
        <v>0</v>
      </c>
      <c r="BG986">
        <v>0</v>
      </c>
      <c r="BH986">
        <v>0</v>
      </c>
    </row>
    <row r="987" spans="1:61">
      <c r="A987" s="164" t="s">
        <v>2540</v>
      </c>
      <c r="B987" t="s">
        <v>2541</v>
      </c>
      <c r="C987">
        <v>0</v>
      </c>
      <c r="D987" t="s">
        <v>304</v>
      </c>
      <c r="E987">
        <v>0</v>
      </c>
      <c r="F987" t="s">
        <v>269</v>
      </c>
      <c r="G987" t="s">
        <v>103</v>
      </c>
      <c r="H987" t="s">
        <v>104</v>
      </c>
      <c r="I987" t="s">
        <v>80</v>
      </c>
      <c r="J987" t="s">
        <v>196</v>
      </c>
      <c r="K987" t="s">
        <v>13</v>
      </c>
      <c r="L987" t="s">
        <v>83</v>
      </c>
      <c r="M987" t="s">
        <v>84</v>
      </c>
      <c r="N987">
        <v>1</v>
      </c>
      <c r="O987" t="b">
        <v>0</v>
      </c>
      <c r="P987">
        <v>0</v>
      </c>
      <c r="BB987">
        <v>0</v>
      </c>
      <c r="BC987" t="s">
        <v>306</v>
      </c>
      <c r="BD987" t="s">
        <v>270</v>
      </c>
      <c r="BE987" t="s">
        <v>117</v>
      </c>
      <c r="BF987">
        <v>0</v>
      </c>
      <c r="BG987">
        <v>0</v>
      </c>
      <c r="BH987">
        <v>0</v>
      </c>
    </row>
    <row r="988" spans="1:61">
      <c r="A988" s="164" t="s">
        <v>2542</v>
      </c>
      <c r="B988" t="s">
        <v>2543</v>
      </c>
      <c r="C988">
        <v>0</v>
      </c>
      <c r="D988" t="s">
        <v>304</v>
      </c>
      <c r="E988">
        <v>0</v>
      </c>
      <c r="F988" t="s">
        <v>342</v>
      </c>
      <c r="G988" t="s">
        <v>78</v>
      </c>
      <c r="H988" t="s">
        <v>79</v>
      </c>
      <c r="I988" t="s">
        <v>80</v>
      </c>
      <c r="J988" t="s">
        <v>196</v>
      </c>
      <c r="K988" t="s">
        <v>13</v>
      </c>
      <c r="L988" t="s">
        <v>83</v>
      </c>
      <c r="M988" t="s">
        <v>84</v>
      </c>
      <c r="N988">
        <v>1</v>
      </c>
      <c r="O988" t="b">
        <v>1</v>
      </c>
      <c r="P988">
        <v>0</v>
      </c>
      <c r="BB988">
        <v>0</v>
      </c>
      <c r="BC988" t="s">
        <v>306</v>
      </c>
      <c r="BD988" t="s">
        <v>343</v>
      </c>
      <c r="BE988" t="s">
        <v>117</v>
      </c>
      <c r="BF988">
        <v>0</v>
      </c>
      <c r="BG988">
        <v>25</v>
      </c>
      <c r="BH988">
        <v>10000</v>
      </c>
      <c r="BI988" t="s">
        <v>344</v>
      </c>
    </row>
    <row r="989" spans="1:61">
      <c r="A989" s="164" t="s">
        <v>2544</v>
      </c>
      <c r="B989" t="s">
        <v>2545</v>
      </c>
      <c r="C989">
        <v>0</v>
      </c>
      <c r="D989" t="s">
        <v>304</v>
      </c>
      <c r="E989">
        <v>0</v>
      </c>
      <c r="F989" t="s">
        <v>269</v>
      </c>
      <c r="G989" t="s">
        <v>103</v>
      </c>
      <c r="H989" t="s">
        <v>104</v>
      </c>
      <c r="I989" t="s">
        <v>80</v>
      </c>
      <c r="J989" t="s">
        <v>196</v>
      </c>
      <c r="K989" t="s">
        <v>13</v>
      </c>
      <c r="L989" t="s">
        <v>83</v>
      </c>
      <c r="M989" t="s">
        <v>84</v>
      </c>
      <c r="N989">
        <v>1</v>
      </c>
      <c r="O989" t="b">
        <v>0</v>
      </c>
      <c r="P989">
        <v>0</v>
      </c>
      <c r="BB989">
        <v>0</v>
      </c>
      <c r="BC989" t="s">
        <v>306</v>
      </c>
      <c r="BD989" t="s">
        <v>270</v>
      </c>
      <c r="BE989" t="s">
        <v>117</v>
      </c>
      <c r="BF989">
        <v>0</v>
      </c>
      <c r="BG989">
        <v>0</v>
      </c>
      <c r="BH989">
        <v>0</v>
      </c>
    </row>
    <row r="990" spans="1:61">
      <c r="A990" s="164" t="s">
        <v>2546</v>
      </c>
      <c r="B990" t="s">
        <v>2547</v>
      </c>
      <c r="C990">
        <v>0</v>
      </c>
      <c r="D990" t="s">
        <v>304</v>
      </c>
      <c r="E990">
        <v>0</v>
      </c>
      <c r="F990" t="s">
        <v>342</v>
      </c>
      <c r="G990" t="s">
        <v>78</v>
      </c>
      <c r="H990" t="s">
        <v>79</v>
      </c>
      <c r="I990" t="s">
        <v>80</v>
      </c>
      <c r="J990" t="s">
        <v>196</v>
      </c>
      <c r="K990" t="s">
        <v>13</v>
      </c>
      <c r="L990" t="s">
        <v>83</v>
      </c>
      <c r="M990" t="s">
        <v>84</v>
      </c>
      <c r="N990">
        <v>1</v>
      </c>
      <c r="O990" t="b">
        <v>1</v>
      </c>
      <c r="P990">
        <v>0</v>
      </c>
      <c r="BB990">
        <v>0</v>
      </c>
      <c r="BC990" t="s">
        <v>306</v>
      </c>
      <c r="BD990" t="s">
        <v>343</v>
      </c>
      <c r="BE990" t="s">
        <v>117</v>
      </c>
      <c r="BF990">
        <v>0</v>
      </c>
      <c r="BG990">
        <v>25</v>
      </c>
      <c r="BH990">
        <v>10000</v>
      </c>
      <c r="BI990" t="s">
        <v>344</v>
      </c>
    </row>
    <row r="991" spans="1:61">
      <c r="A991" s="164" t="s">
        <v>2548</v>
      </c>
      <c r="B991" t="s">
        <v>2549</v>
      </c>
      <c r="C991">
        <v>0</v>
      </c>
      <c r="D991" t="s">
        <v>304</v>
      </c>
      <c r="E991">
        <v>0</v>
      </c>
      <c r="F991" t="s">
        <v>342</v>
      </c>
      <c r="G991" t="s">
        <v>78</v>
      </c>
      <c r="H991" t="s">
        <v>79</v>
      </c>
      <c r="I991" t="s">
        <v>80</v>
      </c>
      <c r="J991" t="s">
        <v>196</v>
      </c>
      <c r="K991" t="s">
        <v>13</v>
      </c>
      <c r="L991" t="s">
        <v>83</v>
      </c>
      <c r="M991" t="s">
        <v>84</v>
      </c>
      <c r="N991">
        <v>1</v>
      </c>
      <c r="O991" t="b">
        <v>1</v>
      </c>
      <c r="P991">
        <v>0</v>
      </c>
      <c r="BB991">
        <v>0</v>
      </c>
      <c r="BC991" t="s">
        <v>306</v>
      </c>
      <c r="BD991" t="s">
        <v>343</v>
      </c>
      <c r="BE991" t="s">
        <v>117</v>
      </c>
      <c r="BF991">
        <v>0</v>
      </c>
      <c r="BG991">
        <v>25</v>
      </c>
      <c r="BH991">
        <v>10000</v>
      </c>
      <c r="BI991" t="s">
        <v>344</v>
      </c>
    </row>
    <row r="992" spans="1:61">
      <c r="A992" s="164" t="s">
        <v>2550</v>
      </c>
      <c r="B992" t="s">
        <v>2551</v>
      </c>
      <c r="C992">
        <v>0</v>
      </c>
      <c r="D992" t="s">
        <v>304</v>
      </c>
      <c r="E992">
        <v>0</v>
      </c>
      <c r="F992" t="s">
        <v>456</v>
      </c>
      <c r="G992" t="s">
        <v>78</v>
      </c>
      <c r="H992" t="s">
        <v>79</v>
      </c>
      <c r="I992" t="s">
        <v>80</v>
      </c>
      <c r="J992" t="s">
        <v>196</v>
      </c>
      <c r="K992" t="s">
        <v>13</v>
      </c>
      <c r="L992" t="s">
        <v>83</v>
      </c>
      <c r="M992" t="s">
        <v>84</v>
      </c>
      <c r="N992">
        <v>1</v>
      </c>
      <c r="O992" t="b">
        <v>1</v>
      </c>
      <c r="P992">
        <v>0</v>
      </c>
      <c r="BB992">
        <v>0</v>
      </c>
      <c r="BC992" t="s">
        <v>306</v>
      </c>
      <c r="BD992" t="s">
        <v>457</v>
      </c>
      <c r="BE992" t="s">
        <v>117</v>
      </c>
      <c r="BF992">
        <v>0</v>
      </c>
      <c r="BG992">
        <v>120</v>
      </c>
      <c r="BH992">
        <v>1000000</v>
      </c>
      <c r="BI992" t="s">
        <v>458</v>
      </c>
    </row>
    <row r="993" spans="1:61">
      <c r="A993" s="164" t="s">
        <v>2552</v>
      </c>
      <c r="B993" t="s">
        <v>2553</v>
      </c>
      <c r="C993">
        <v>0</v>
      </c>
      <c r="D993" t="s">
        <v>304</v>
      </c>
      <c r="E993">
        <v>0</v>
      </c>
      <c r="F993" t="s">
        <v>456</v>
      </c>
      <c r="G993" t="s">
        <v>78</v>
      </c>
      <c r="H993" t="s">
        <v>79</v>
      </c>
      <c r="I993" t="s">
        <v>80</v>
      </c>
      <c r="J993" t="s">
        <v>196</v>
      </c>
      <c r="K993" t="s">
        <v>13</v>
      </c>
      <c r="L993" t="s">
        <v>83</v>
      </c>
      <c r="M993" t="s">
        <v>84</v>
      </c>
      <c r="N993">
        <v>1</v>
      </c>
      <c r="O993" t="b">
        <v>1</v>
      </c>
      <c r="P993">
        <v>0</v>
      </c>
      <c r="BB993">
        <v>0</v>
      </c>
      <c r="BC993" t="s">
        <v>306</v>
      </c>
      <c r="BD993" t="s">
        <v>457</v>
      </c>
      <c r="BE993" t="s">
        <v>117</v>
      </c>
      <c r="BF993">
        <v>0</v>
      </c>
      <c r="BG993">
        <v>120</v>
      </c>
      <c r="BH993">
        <v>1000000</v>
      </c>
      <c r="BI993" t="s">
        <v>458</v>
      </c>
    </row>
    <row r="994" spans="1:61">
      <c r="A994" s="164" t="s">
        <v>2554</v>
      </c>
      <c r="B994" t="s">
        <v>2555</v>
      </c>
      <c r="C994">
        <v>0</v>
      </c>
      <c r="D994" t="s">
        <v>147</v>
      </c>
      <c r="E994">
        <v>0</v>
      </c>
      <c r="F994" t="s">
        <v>1158</v>
      </c>
      <c r="G994" t="s">
        <v>103</v>
      </c>
      <c r="H994" t="s">
        <v>104</v>
      </c>
      <c r="I994" t="s">
        <v>80</v>
      </c>
      <c r="J994" t="s">
        <v>81</v>
      </c>
      <c r="K994" t="s">
        <v>82</v>
      </c>
      <c r="L994" t="s">
        <v>83</v>
      </c>
      <c r="M994" t="s">
        <v>84</v>
      </c>
      <c r="N994">
        <v>0.18</v>
      </c>
      <c r="O994" t="b">
        <v>1</v>
      </c>
      <c r="P994">
        <v>45</v>
      </c>
      <c r="Q994" t="s">
        <v>85</v>
      </c>
      <c r="R994" t="s">
        <v>86</v>
      </c>
      <c r="S994">
        <v>0.18</v>
      </c>
      <c r="T994">
        <v>1</v>
      </c>
      <c r="U994" s="36">
        <v>0.28083500000000006</v>
      </c>
      <c r="V994" t="s">
        <v>87</v>
      </c>
      <c r="W994">
        <v>125</v>
      </c>
      <c r="X994">
        <v>0.38897500000000002</v>
      </c>
      <c r="Y994">
        <v>108</v>
      </c>
      <c r="Z994">
        <v>9.2592592592592587E-3</v>
      </c>
      <c r="AA994">
        <v>30</v>
      </c>
      <c r="AB994">
        <v>0</v>
      </c>
      <c r="AC994">
        <v>540</v>
      </c>
      <c r="AD994">
        <v>3000</v>
      </c>
      <c r="AE994" t="s">
        <v>143</v>
      </c>
      <c r="AF994" t="s">
        <v>1159</v>
      </c>
      <c r="AG994" t="s">
        <v>1160</v>
      </c>
      <c r="AH994">
        <v>0</v>
      </c>
      <c r="AI994">
        <v>0.9</v>
      </c>
      <c r="AJ994" t="s">
        <v>91</v>
      </c>
      <c r="AK994" t="s">
        <v>92</v>
      </c>
      <c r="AL994" t="s">
        <v>93</v>
      </c>
      <c r="AM994">
        <v>0.35588148148148147</v>
      </c>
      <c r="AN994">
        <v>0.23725432098765428</v>
      </c>
      <c r="AO994">
        <v>0.36774419753086418</v>
      </c>
      <c r="AP994">
        <v>0</v>
      </c>
      <c r="AQ994">
        <v>8.6691086691086688E-2</v>
      </c>
      <c r="AR994">
        <v>2.6666666666666505E-3</v>
      </c>
      <c r="AS994">
        <v>0</v>
      </c>
      <c r="AT994">
        <v>1.0866910866910866</v>
      </c>
      <c r="AU994">
        <v>1.0026666666666666</v>
      </c>
      <c r="AV994">
        <v>1</v>
      </c>
      <c r="AW994">
        <v>0</v>
      </c>
      <c r="AX994" t="s">
        <v>2556</v>
      </c>
      <c r="AY994">
        <v>0</v>
      </c>
      <c r="AZ994">
        <v>0</v>
      </c>
      <c r="BA994" t="s">
        <v>94</v>
      </c>
      <c r="BB994">
        <v>0</v>
      </c>
      <c r="BC994" t="s">
        <v>95</v>
      </c>
      <c r="BD994" t="s">
        <v>96</v>
      </c>
      <c r="BE994" t="s">
        <v>97</v>
      </c>
      <c r="BF994">
        <v>0</v>
      </c>
      <c r="BG994">
        <v>0</v>
      </c>
      <c r="BH994">
        <v>0</v>
      </c>
      <c r="BI994" t="s">
        <v>98</v>
      </c>
    </row>
    <row r="995" spans="1:61">
      <c r="A995" s="164" t="s">
        <v>2557</v>
      </c>
      <c r="B995" t="s">
        <v>2558</v>
      </c>
      <c r="C995">
        <v>0</v>
      </c>
      <c r="D995" t="s">
        <v>161</v>
      </c>
      <c r="E995">
        <v>0</v>
      </c>
      <c r="F995" t="s">
        <v>2559</v>
      </c>
      <c r="G995" t="s">
        <v>78</v>
      </c>
      <c r="H995" t="s">
        <v>79</v>
      </c>
      <c r="I995" t="s">
        <v>80</v>
      </c>
      <c r="J995" t="s">
        <v>163</v>
      </c>
      <c r="K995" t="s">
        <v>82</v>
      </c>
      <c r="L995" t="s">
        <v>83</v>
      </c>
      <c r="M995" t="s">
        <v>84</v>
      </c>
      <c r="N995">
        <v>0.45</v>
      </c>
      <c r="O995" t="b">
        <v>1</v>
      </c>
      <c r="P995">
        <v>35</v>
      </c>
      <c r="Q995" t="s">
        <v>137</v>
      </c>
      <c r="R995" t="s">
        <v>164</v>
      </c>
      <c r="S995">
        <v>0.45</v>
      </c>
      <c r="T995">
        <v>1</v>
      </c>
      <c r="U995" s="36">
        <v>1.2293700000000001</v>
      </c>
      <c r="V995" t="s">
        <v>165</v>
      </c>
      <c r="W995">
        <v>55</v>
      </c>
      <c r="X995">
        <v>0</v>
      </c>
      <c r="Y995">
        <v>45</v>
      </c>
      <c r="Z995">
        <v>0</v>
      </c>
      <c r="AA995">
        <v>35</v>
      </c>
      <c r="AB995">
        <v>0</v>
      </c>
      <c r="AC995">
        <v>0</v>
      </c>
      <c r="AD995">
        <v>360</v>
      </c>
      <c r="AE995" t="s">
        <v>166</v>
      </c>
      <c r="AF995" t="s">
        <v>2559</v>
      </c>
      <c r="AG995" t="s">
        <v>129</v>
      </c>
      <c r="AH995">
        <v>0</v>
      </c>
      <c r="AI995">
        <v>2.1</v>
      </c>
      <c r="AJ995" t="s">
        <v>167</v>
      </c>
      <c r="AM995">
        <v>2.11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0.33</v>
      </c>
      <c r="AX995" t="s">
        <v>2560</v>
      </c>
      <c r="AY995">
        <v>4.2363</v>
      </c>
      <c r="AZ995">
        <v>0</v>
      </c>
      <c r="BA995" t="s">
        <v>138</v>
      </c>
      <c r="BB995">
        <v>2.61</v>
      </c>
      <c r="BC995" t="s">
        <v>95</v>
      </c>
      <c r="BD995" t="s">
        <v>96</v>
      </c>
      <c r="BE995" t="s">
        <v>97</v>
      </c>
      <c r="BF995">
        <v>1</v>
      </c>
      <c r="BG995">
        <v>0</v>
      </c>
      <c r="BH995">
        <v>0</v>
      </c>
      <c r="BI995" t="s">
        <v>98</v>
      </c>
    </row>
    <row r="996" spans="1:61">
      <c r="A996" s="164" t="s">
        <v>2561</v>
      </c>
      <c r="B996" t="s">
        <v>2562</v>
      </c>
      <c r="C996">
        <v>0</v>
      </c>
      <c r="D996" t="s">
        <v>2563</v>
      </c>
      <c r="F996" t="s">
        <v>2564</v>
      </c>
      <c r="G996" t="s">
        <v>103</v>
      </c>
      <c r="H996" t="s">
        <v>104</v>
      </c>
      <c r="I996" t="s">
        <v>80</v>
      </c>
      <c r="J996" t="s">
        <v>163</v>
      </c>
      <c r="K996" t="s">
        <v>82</v>
      </c>
      <c r="L996" t="s">
        <v>83</v>
      </c>
      <c r="M996" t="s">
        <v>84</v>
      </c>
      <c r="O996" t="b">
        <v>0</v>
      </c>
      <c r="Q996" t="s">
        <v>137</v>
      </c>
      <c r="AE996" t="s">
        <v>129</v>
      </c>
      <c r="AF996" t="s">
        <v>2564</v>
      </c>
      <c r="AI996">
        <v>0</v>
      </c>
      <c r="BB996">
        <v>0</v>
      </c>
      <c r="BC996" t="s">
        <v>95</v>
      </c>
      <c r="BD996" t="s">
        <v>96</v>
      </c>
      <c r="BE996" t="s">
        <v>97</v>
      </c>
      <c r="BF996">
        <v>0</v>
      </c>
      <c r="BG996">
        <v>0</v>
      </c>
      <c r="BH996">
        <v>0</v>
      </c>
      <c r="BI996" t="s">
        <v>98</v>
      </c>
    </row>
    <row r="997" spans="1:61">
      <c r="A997" s="164" t="s">
        <v>2565</v>
      </c>
      <c r="B997" t="s">
        <v>2566</v>
      </c>
      <c r="C997">
        <v>0</v>
      </c>
      <c r="D997" t="s">
        <v>107</v>
      </c>
      <c r="F997" t="s">
        <v>108</v>
      </c>
      <c r="G997" t="s">
        <v>103</v>
      </c>
      <c r="H997" t="s">
        <v>104</v>
      </c>
      <c r="I997" t="s">
        <v>80</v>
      </c>
      <c r="J997" t="s">
        <v>81</v>
      </c>
      <c r="K997" t="s">
        <v>468</v>
      </c>
      <c r="L997" t="s">
        <v>111</v>
      </c>
      <c r="M997" t="s">
        <v>84</v>
      </c>
      <c r="O997" t="b">
        <v>0</v>
      </c>
      <c r="Q997" t="s">
        <v>85</v>
      </c>
      <c r="AI997">
        <v>0</v>
      </c>
      <c r="BB997">
        <v>0</v>
      </c>
      <c r="BC997" t="s">
        <v>95</v>
      </c>
      <c r="BD997" t="s">
        <v>469</v>
      </c>
      <c r="BE997" t="s">
        <v>97</v>
      </c>
      <c r="BF997">
        <v>0</v>
      </c>
      <c r="BG997">
        <v>0</v>
      </c>
      <c r="BH997">
        <v>0</v>
      </c>
      <c r="BI997" t="s">
        <v>98</v>
      </c>
    </row>
    <row r="998" spans="1:61">
      <c r="A998" s="164" t="s">
        <v>2567</v>
      </c>
      <c r="B998" t="s">
        <v>2568</v>
      </c>
      <c r="C998">
        <v>0</v>
      </c>
      <c r="D998" t="s">
        <v>107</v>
      </c>
      <c r="F998" t="s">
        <v>108</v>
      </c>
      <c r="G998" t="s">
        <v>103</v>
      </c>
      <c r="H998" t="s">
        <v>104</v>
      </c>
      <c r="I998" t="s">
        <v>80</v>
      </c>
      <c r="J998" t="s">
        <v>81</v>
      </c>
      <c r="K998" t="s">
        <v>468</v>
      </c>
      <c r="L998" t="s">
        <v>111</v>
      </c>
      <c r="M998" t="s">
        <v>84</v>
      </c>
      <c r="O998" t="b">
        <v>0</v>
      </c>
      <c r="Q998" t="s">
        <v>85</v>
      </c>
      <c r="AI998">
        <v>0</v>
      </c>
      <c r="BB998">
        <v>0</v>
      </c>
      <c r="BC998" t="s">
        <v>95</v>
      </c>
      <c r="BD998" t="s">
        <v>469</v>
      </c>
      <c r="BE998" t="s">
        <v>97</v>
      </c>
      <c r="BF998">
        <v>0</v>
      </c>
      <c r="BG998">
        <v>0</v>
      </c>
      <c r="BH998">
        <v>0</v>
      </c>
      <c r="BI998" t="s">
        <v>98</v>
      </c>
    </row>
    <row r="999" spans="1:61">
      <c r="A999" s="164" t="s">
        <v>2569</v>
      </c>
      <c r="B999" t="s">
        <v>2570</v>
      </c>
      <c r="C999">
        <v>0</v>
      </c>
      <c r="D999" t="s">
        <v>101</v>
      </c>
      <c r="F999" t="s">
        <v>102</v>
      </c>
      <c r="G999" t="s">
        <v>103</v>
      </c>
      <c r="H999" t="s">
        <v>104</v>
      </c>
      <c r="I999" t="s">
        <v>80</v>
      </c>
      <c r="J999" t="s">
        <v>81</v>
      </c>
      <c r="K999" t="s">
        <v>468</v>
      </c>
      <c r="L999" t="s">
        <v>111</v>
      </c>
      <c r="M999" t="s">
        <v>84</v>
      </c>
      <c r="O999" t="b">
        <v>0</v>
      </c>
      <c r="Q999" t="s">
        <v>85</v>
      </c>
      <c r="AI999">
        <v>0</v>
      </c>
      <c r="BB999">
        <v>0</v>
      </c>
      <c r="BC999" t="s">
        <v>95</v>
      </c>
      <c r="BD999" t="s">
        <v>96</v>
      </c>
      <c r="BE999" t="s">
        <v>97</v>
      </c>
      <c r="BF999">
        <v>0</v>
      </c>
      <c r="BG999">
        <v>0</v>
      </c>
      <c r="BH999">
        <v>0</v>
      </c>
      <c r="BI999" t="s">
        <v>98</v>
      </c>
    </row>
    <row r="1000" spans="1:61">
      <c r="A1000" s="164" t="s">
        <v>2571</v>
      </c>
      <c r="B1000" t="s">
        <v>2572</v>
      </c>
      <c r="C1000">
        <v>0</v>
      </c>
      <c r="D1000" t="s">
        <v>479</v>
      </c>
      <c r="F1000" t="s">
        <v>479</v>
      </c>
      <c r="G1000" t="s">
        <v>103</v>
      </c>
      <c r="H1000" t="s">
        <v>104</v>
      </c>
      <c r="I1000" t="s">
        <v>80</v>
      </c>
      <c r="J1000" t="s">
        <v>81</v>
      </c>
      <c r="K1000" t="s">
        <v>468</v>
      </c>
      <c r="L1000" t="s">
        <v>111</v>
      </c>
      <c r="M1000" t="s">
        <v>84</v>
      </c>
      <c r="O1000" t="b">
        <v>0</v>
      </c>
      <c r="Q1000" t="s">
        <v>479</v>
      </c>
      <c r="AI1000">
        <v>0</v>
      </c>
      <c r="BB1000">
        <v>0</v>
      </c>
      <c r="BC1000" t="s">
        <v>95</v>
      </c>
      <c r="BD1000" t="s">
        <v>2573</v>
      </c>
      <c r="BE1000" t="s">
        <v>97</v>
      </c>
      <c r="BF1000">
        <v>0</v>
      </c>
      <c r="BG1000">
        <v>0</v>
      </c>
      <c r="BH1000">
        <v>0</v>
      </c>
      <c r="BI1000" t="s">
        <v>98</v>
      </c>
    </row>
    <row r="1001" spans="1:61">
      <c r="A1001" s="164" t="s">
        <v>2574</v>
      </c>
      <c r="B1001" t="s">
        <v>2575</v>
      </c>
      <c r="C1001">
        <v>0</v>
      </c>
      <c r="D1001" t="s">
        <v>101</v>
      </c>
      <c r="F1001" t="s">
        <v>512</v>
      </c>
      <c r="G1001" t="s">
        <v>78</v>
      </c>
      <c r="H1001" t="s">
        <v>79</v>
      </c>
      <c r="I1001" t="s">
        <v>80</v>
      </c>
      <c r="J1001" t="s">
        <v>81</v>
      </c>
      <c r="K1001" t="s">
        <v>82</v>
      </c>
      <c r="L1001" t="s">
        <v>83</v>
      </c>
      <c r="M1001" t="s">
        <v>84</v>
      </c>
      <c r="N1001">
        <v>0.09</v>
      </c>
      <c r="O1001" t="b">
        <v>1</v>
      </c>
      <c r="P1001">
        <v>45</v>
      </c>
      <c r="Q1001" t="s">
        <v>85</v>
      </c>
      <c r="R1001" t="s">
        <v>86</v>
      </c>
      <c r="S1001">
        <v>0.1</v>
      </c>
      <c r="T1001">
        <v>0.87719298245614041</v>
      </c>
      <c r="U1001" s="36">
        <v>0.20507500000000001</v>
      </c>
      <c r="V1001" t="s">
        <v>87</v>
      </c>
      <c r="W1001">
        <v>150</v>
      </c>
      <c r="X1001">
        <v>0.45</v>
      </c>
      <c r="Y1001">
        <v>65</v>
      </c>
      <c r="Z1001">
        <v>1.2500000000000001E-2</v>
      </c>
      <c r="AA1001">
        <v>30</v>
      </c>
      <c r="AB1001">
        <v>0</v>
      </c>
      <c r="AC1001">
        <v>500</v>
      </c>
      <c r="AD1001">
        <v>5000</v>
      </c>
      <c r="AE1001" t="s">
        <v>88</v>
      </c>
      <c r="AF1001" t="s">
        <v>513</v>
      </c>
      <c r="AG1001" t="s">
        <v>514</v>
      </c>
      <c r="AH1001">
        <v>0</v>
      </c>
      <c r="AI1001">
        <v>0</v>
      </c>
      <c r="AJ1001" t="s">
        <v>91</v>
      </c>
      <c r="AK1001" t="s">
        <v>92</v>
      </c>
      <c r="AL1001" t="s">
        <v>93</v>
      </c>
      <c r="AM1001">
        <v>0.33631111111111106</v>
      </c>
      <c r="AN1001">
        <v>0.22420740740740738</v>
      </c>
      <c r="AO1001">
        <v>0.34752148148148143</v>
      </c>
      <c r="AP1001">
        <v>0</v>
      </c>
      <c r="AQ1001">
        <v>8.6691086691086688E-2</v>
      </c>
      <c r="AR1001">
        <v>2.6666666666666505E-3</v>
      </c>
      <c r="AS1001">
        <v>0</v>
      </c>
      <c r="AT1001">
        <v>1.0866910866910866</v>
      </c>
      <c r="AU1001">
        <v>1.0026666666666666</v>
      </c>
      <c r="AV1001">
        <v>1</v>
      </c>
      <c r="AW1001">
        <v>0</v>
      </c>
      <c r="AY1001">
        <v>15.98</v>
      </c>
      <c r="AZ1001">
        <v>0</v>
      </c>
      <c r="BA1001" t="s">
        <v>94</v>
      </c>
      <c r="BB1001">
        <v>0</v>
      </c>
      <c r="BC1001" t="s">
        <v>95</v>
      </c>
      <c r="BD1001" t="s">
        <v>96</v>
      </c>
      <c r="BE1001" t="s">
        <v>97</v>
      </c>
      <c r="BF1001">
        <v>1</v>
      </c>
      <c r="BG1001">
        <v>0</v>
      </c>
      <c r="BH1001">
        <v>0</v>
      </c>
      <c r="BI1001" t="s">
        <v>98</v>
      </c>
    </row>
    <row r="1002" spans="1:61">
      <c r="A1002" s="164" t="s">
        <v>2576</v>
      </c>
      <c r="B1002" t="s">
        <v>2577</v>
      </c>
      <c r="C1002">
        <v>0</v>
      </c>
      <c r="D1002" t="s">
        <v>486</v>
      </c>
      <c r="E1002">
        <v>0</v>
      </c>
      <c r="F1002" t="s">
        <v>684</v>
      </c>
      <c r="G1002" t="s">
        <v>103</v>
      </c>
      <c r="H1002" t="s">
        <v>104</v>
      </c>
      <c r="I1002" t="s">
        <v>80</v>
      </c>
      <c r="J1002" t="s">
        <v>163</v>
      </c>
      <c r="K1002" t="s">
        <v>82</v>
      </c>
      <c r="L1002" t="s">
        <v>83</v>
      </c>
      <c r="M1002" t="s">
        <v>205</v>
      </c>
      <c r="N1002">
        <v>1</v>
      </c>
      <c r="O1002" t="b">
        <v>1</v>
      </c>
      <c r="P1002">
        <v>60</v>
      </c>
      <c r="Q1002" t="s">
        <v>137</v>
      </c>
      <c r="S1002">
        <v>1</v>
      </c>
      <c r="T1002">
        <v>1</v>
      </c>
      <c r="V1002" t="s">
        <v>165</v>
      </c>
      <c r="X1002">
        <v>0</v>
      </c>
      <c r="Z1002">
        <v>0.1</v>
      </c>
      <c r="AB1002">
        <v>0</v>
      </c>
      <c r="AC1002">
        <v>0</v>
      </c>
      <c r="AE1002" t="s">
        <v>129</v>
      </c>
      <c r="AF1002" t="s">
        <v>684</v>
      </c>
      <c r="AG1002" t="s">
        <v>129</v>
      </c>
      <c r="AH1002">
        <v>0</v>
      </c>
      <c r="AI1002">
        <v>10.199999999999999</v>
      </c>
      <c r="AJ1002" t="s">
        <v>167</v>
      </c>
      <c r="AM1002">
        <v>10.38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 t="s">
        <v>2578</v>
      </c>
      <c r="AY1002">
        <v>0</v>
      </c>
      <c r="AZ1002">
        <v>0</v>
      </c>
      <c r="BA1002" t="s">
        <v>138</v>
      </c>
      <c r="BB1002">
        <v>0</v>
      </c>
      <c r="BC1002" t="s">
        <v>95</v>
      </c>
      <c r="BD1002" t="s">
        <v>96</v>
      </c>
      <c r="BE1002" t="s">
        <v>97</v>
      </c>
      <c r="BF1002">
        <v>0</v>
      </c>
      <c r="BG1002">
        <v>0</v>
      </c>
      <c r="BH1002">
        <v>0</v>
      </c>
      <c r="BI1002" t="s">
        <v>98</v>
      </c>
    </row>
    <row r="1003" spans="1:61">
      <c r="A1003" s="164" t="s">
        <v>2579</v>
      </c>
      <c r="B1003" t="s">
        <v>2580</v>
      </c>
      <c r="C1003">
        <v>0</v>
      </c>
      <c r="D1003" t="s">
        <v>107</v>
      </c>
      <c r="E1003">
        <v>0</v>
      </c>
      <c r="F1003" t="s">
        <v>2581</v>
      </c>
      <c r="G1003" t="s">
        <v>78</v>
      </c>
      <c r="H1003" t="s">
        <v>79</v>
      </c>
      <c r="I1003" t="s">
        <v>80</v>
      </c>
      <c r="J1003" t="s">
        <v>81</v>
      </c>
      <c r="K1003" t="s">
        <v>82</v>
      </c>
      <c r="L1003" t="s">
        <v>83</v>
      </c>
      <c r="M1003" t="s">
        <v>84</v>
      </c>
      <c r="N1003">
        <v>3.5</v>
      </c>
      <c r="O1003" t="b">
        <v>1</v>
      </c>
      <c r="P1003">
        <v>45</v>
      </c>
      <c r="Q1003" t="s">
        <v>85</v>
      </c>
      <c r="S1003">
        <v>3.5</v>
      </c>
      <c r="T1003">
        <v>1</v>
      </c>
      <c r="U1003" s="36">
        <v>2.9180649999999999</v>
      </c>
      <c r="V1003" t="s">
        <v>87</v>
      </c>
      <c r="W1003">
        <v>0</v>
      </c>
      <c r="X1003">
        <v>0</v>
      </c>
      <c r="Y1003">
        <v>4</v>
      </c>
      <c r="Z1003">
        <v>0.125</v>
      </c>
      <c r="AA1003">
        <v>0</v>
      </c>
      <c r="AB1003">
        <v>0</v>
      </c>
      <c r="AC1003">
        <v>0</v>
      </c>
      <c r="AD1003">
        <v>0</v>
      </c>
      <c r="AE1003" t="s">
        <v>2582</v>
      </c>
      <c r="AF1003" t="s">
        <v>1117</v>
      </c>
      <c r="AG1003" t="s">
        <v>114</v>
      </c>
      <c r="AH1003">
        <v>0</v>
      </c>
      <c r="AI1003">
        <v>0.6</v>
      </c>
      <c r="AJ1003" t="s">
        <v>167</v>
      </c>
      <c r="AM1003">
        <v>0.43188335694295682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 t="s">
        <v>2583</v>
      </c>
      <c r="AY1003">
        <v>129.6</v>
      </c>
      <c r="AZ1003">
        <v>8</v>
      </c>
      <c r="BA1003" t="s">
        <v>94</v>
      </c>
      <c r="BB1003">
        <v>5.71</v>
      </c>
      <c r="BC1003" t="s">
        <v>95</v>
      </c>
      <c r="BD1003" t="s">
        <v>96</v>
      </c>
      <c r="BE1003" t="s">
        <v>97</v>
      </c>
      <c r="BF1003">
        <v>1</v>
      </c>
      <c r="BG1003">
        <v>0</v>
      </c>
      <c r="BH1003">
        <v>0</v>
      </c>
      <c r="BI1003" t="s">
        <v>98</v>
      </c>
    </row>
    <row r="1004" spans="1:61">
      <c r="A1004" s="164" t="s">
        <v>2584</v>
      </c>
      <c r="B1004" t="s">
        <v>2585</v>
      </c>
      <c r="C1004">
        <v>0</v>
      </c>
      <c r="D1004" t="s">
        <v>486</v>
      </c>
      <c r="E1004">
        <v>0</v>
      </c>
      <c r="F1004" t="s">
        <v>1782</v>
      </c>
      <c r="G1004" t="s">
        <v>78</v>
      </c>
      <c r="H1004" t="s">
        <v>79</v>
      </c>
      <c r="I1004" t="s">
        <v>80</v>
      </c>
      <c r="J1004" t="s">
        <v>163</v>
      </c>
      <c r="K1004" t="s">
        <v>82</v>
      </c>
      <c r="L1004" t="s">
        <v>83</v>
      </c>
      <c r="M1004" t="s">
        <v>84</v>
      </c>
      <c r="N1004">
        <v>0.2</v>
      </c>
      <c r="O1004" t="b">
        <v>1</v>
      </c>
      <c r="P1004">
        <v>90</v>
      </c>
      <c r="Q1004" t="s">
        <v>137</v>
      </c>
      <c r="S1004">
        <v>0.2</v>
      </c>
      <c r="T1004">
        <v>1</v>
      </c>
      <c r="U1004" s="36">
        <v>1.6998099999999998</v>
      </c>
      <c r="V1004" t="s">
        <v>165</v>
      </c>
      <c r="X1004">
        <v>0</v>
      </c>
      <c r="Y1004">
        <v>120</v>
      </c>
      <c r="Z1004">
        <v>8.3333333333333332E-3</v>
      </c>
      <c r="AA1004">
        <v>35</v>
      </c>
      <c r="AB1004">
        <v>0</v>
      </c>
      <c r="AC1004">
        <v>0</v>
      </c>
      <c r="AE1004" t="s">
        <v>129</v>
      </c>
      <c r="AF1004" t="s">
        <v>1782</v>
      </c>
      <c r="AG1004" t="s">
        <v>129</v>
      </c>
      <c r="AH1004">
        <v>0</v>
      </c>
      <c r="AI1004">
        <v>10.199999999999999</v>
      </c>
      <c r="AJ1004" t="s">
        <v>167</v>
      </c>
      <c r="AM1004">
        <v>10.38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 t="s">
        <v>2586</v>
      </c>
      <c r="AY1004">
        <v>3.9216000000000002</v>
      </c>
      <c r="AZ1004">
        <v>0</v>
      </c>
      <c r="BA1004" t="s">
        <v>138</v>
      </c>
      <c r="BB1004">
        <v>3.5</v>
      </c>
      <c r="BC1004" t="s">
        <v>95</v>
      </c>
      <c r="BD1004" t="s">
        <v>96</v>
      </c>
      <c r="BE1004" t="s">
        <v>97</v>
      </c>
      <c r="BF1004">
        <v>1</v>
      </c>
      <c r="BG1004">
        <v>0</v>
      </c>
      <c r="BH1004">
        <v>0</v>
      </c>
      <c r="BI1004" t="s">
        <v>98</v>
      </c>
    </row>
    <row r="1005" spans="1:61">
      <c r="A1005" s="164" t="s">
        <v>2587</v>
      </c>
      <c r="B1005" t="s">
        <v>2588</v>
      </c>
      <c r="C1005">
        <v>0</v>
      </c>
      <c r="D1005" t="s">
        <v>107</v>
      </c>
      <c r="E1005">
        <v>0</v>
      </c>
      <c r="F1005" t="s">
        <v>499</v>
      </c>
      <c r="G1005" t="s">
        <v>78</v>
      </c>
      <c r="H1005" t="s">
        <v>79</v>
      </c>
      <c r="I1005" t="s">
        <v>80</v>
      </c>
      <c r="J1005" t="s">
        <v>81</v>
      </c>
      <c r="K1005" t="s">
        <v>82</v>
      </c>
      <c r="L1005" t="s">
        <v>83</v>
      </c>
      <c r="M1005" t="s">
        <v>84</v>
      </c>
      <c r="N1005">
        <v>0.12</v>
      </c>
      <c r="O1005" t="b">
        <v>1</v>
      </c>
      <c r="P1005">
        <v>45</v>
      </c>
      <c r="Q1005" t="s">
        <v>85</v>
      </c>
      <c r="R1005" t="s">
        <v>86</v>
      </c>
      <c r="S1005">
        <v>0.12</v>
      </c>
      <c r="T1005">
        <v>1</v>
      </c>
      <c r="U1005" s="36">
        <v>0.26012000000000002</v>
      </c>
      <c r="V1005" t="s">
        <v>87</v>
      </c>
      <c r="W1005">
        <v>260</v>
      </c>
      <c r="X1005">
        <v>0.38897500000000002</v>
      </c>
      <c r="Y1005">
        <v>182</v>
      </c>
      <c r="Z1005">
        <v>5.4945054945054949E-3</v>
      </c>
      <c r="AA1005">
        <v>30</v>
      </c>
      <c r="AB1005">
        <v>0</v>
      </c>
      <c r="AC1005">
        <v>500</v>
      </c>
      <c r="AD1005">
        <v>4166.666666666667</v>
      </c>
      <c r="AE1005" t="s">
        <v>143</v>
      </c>
      <c r="AF1005" t="s">
        <v>113</v>
      </c>
      <c r="AG1005" t="s">
        <v>114</v>
      </c>
      <c r="AH1005">
        <v>0</v>
      </c>
      <c r="AI1005">
        <v>0.9</v>
      </c>
      <c r="AJ1005" t="s">
        <v>91</v>
      </c>
      <c r="AK1005" t="s">
        <v>92</v>
      </c>
      <c r="AL1005" t="s">
        <v>93</v>
      </c>
      <c r="AM1005">
        <v>0.34043629629629629</v>
      </c>
      <c r="AN1005">
        <v>0.22695753086419751</v>
      </c>
      <c r="AO1005">
        <v>0.35178417283950614</v>
      </c>
      <c r="AP1005">
        <v>0</v>
      </c>
      <c r="AQ1005">
        <v>8.6691086691086688E-2</v>
      </c>
      <c r="AR1005">
        <v>2.6666666666666505E-3</v>
      </c>
      <c r="AS1005">
        <v>0</v>
      </c>
      <c r="AT1005">
        <v>1.0866910866910866</v>
      </c>
      <c r="AU1005">
        <v>1.0026666666666666</v>
      </c>
      <c r="AV1005">
        <v>1</v>
      </c>
      <c r="AW1005">
        <v>0</v>
      </c>
      <c r="AX1005" t="s">
        <v>2589</v>
      </c>
      <c r="AY1005">
        <v>12.5</v>
      </c>
      <c r="AZ1005">
        <v>0</v>
      </c>
      <c r="BA1005" t="s">
        <v>94</v>
      </c>
      <c r="BB1005">
        <v>0.65</v>
      </c>
      <c r="BC1005" t="s">
        <v>95</v>
      </c>
      <c r="BD1005" t="s">
        <v>96</v>
      </c>
      <c r="BE1005" t="s">
        <v>97</v>
      </c>
      <c r="BF1005">
        <v>1</v>
      </c>
      <c r="BG1005">
        <v>0</v>
      </c>
      <c r="BH1005">
        <v>0</v>
      </c>
      <c r="BI1005" t="s">
        <v>98</v>
      </c>
    </row>
    <row r="1006" spans="1:61">
      <c r="A1006" s="164" t="s">
        <v>2590</v>
      </c>
      <c r="B1006" t="s">
        <v>2591</v>
      </c>
      <c r="C1006">
        <v>0</v>
      </c>
      <c r="D1006" t="s">
        <v>2592</v>
      </c>
      <c r="E1006">
        <v>0</v>
      </c>
      <c r="F1006" t="s">
        <v>2593</v>
      </c>
      <c r="G1006" t="s">
        <v>103</v>
      </c>
      <c r="H1006" t="s">
        <v>104</v>
      </c>
      <c r="I1006" t="s">
        <v>80</v>
      </c>
      <c r="J1006" t="s">
        <v>163</v>
      </c>
      <c r="K1006" t="s">
        <v>82</v>
      </c>
      <c r="L1006" t="s">
        <v>83</v>
      </c>
      <c r="M1006" t="s">
        <v>84</v>
      </c>
      <c r="N1006">
        <v>4.5999999999999996</v>
      </c>
      <c r="O1006" t="b">
        <v>0</v>
      </c>
      <c r="P1006">
        <v>90</v>
      </c>
      <c r="Q1006" t="s">
        <v>188</v>
      </c>
      <c r="S1006">
        <v>0</v>
      </c>
      <c r="T1006">
        <v>1</v>
      </c>
      <c r="V1006" t="s">
        <v>87</v>
      </c>
      <c r="X1006">
        <v>0</v>
      </c>
      <c r="Z1006">
        <v>0.16666666666666666</v>
      </c>
      <c r="AB1006">
        <v>0</v>
      </c>
      <c r="AC1006">
        <v>0</v>
      </c>
      <c r="AE1006" t="s">
        <v>129</v>
      </c>
      <c r="AF1006" t="s">
        <v>2593</v>
      </c>
      <c r="AG1006" t="s">
        <v>129</v>
      </c>
      <c r="AH1006">
        <v>0</v>
      </c>
      <c r="AI1006">
        <v>2.1</v>
      </c>
      <c r="AJ1006" t="s">
        <v>167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Y1006">
        <v>0</v>
      </c>
      <c r="AZ1006">
        <v>5</v>
      </c>
      <c r="BA1006" t="s">
        <v>94</v>
      </c>
      <c r="BB1006">
        <v>0</v>
      </c>
      <c r="BC1006" t="s">
        <v>95</v>
      </c>
      <c r="BD1006" t="s">
        <v>96</v>
      </c>
      <c r="BE1006" t="s">
        <v>97</v>
      </c>
      <c r="BF1006">
        <v>0</v>
      </c>
      <c r="BG1006">
        <v>0</v>
      </c>
      <c r="BH1006">
        <v>0</v>
      </c>
      <c r="BI1006" t="s">
        <v>98</v>
      </c>
    </row>
    <row r="1007" spans="1:61">
      <c r="A1007" s="164" t="s">
        <v>2594</v>
      </c>
      <c r="B1007" t="s">
        <v>2595</v>
      </c>
      <c r="C1007">
        <v>0</v>
      </c>
      <c r="D1007" t="s">
        <v>1811</v>
      </c>
      <c r="E1007">
        <v>0</v>
      </c>
      <c r="F1007" t="s">
        <v>1812</v>
      </c>
      <c r="G1007" t="s">
        <v>103</v>
      </c>
      <c r="H1007" t="s">
        <v>104</v>
      </c>
      <c r="I1007" t="s">
        <v>80</v>
      </c>
      <c r="J1007" t="s">
        <v>163</v>
      </c>
      <c r="K1007" t="s">
        <v>82</v>
      </c>
      <c r="L1007" t="s">
        <v>83</v>
      </c>
      <c r="M1007" t="s">
        <v>84</v>
      </c>
      <c r="N1007">
        <v>0.125</v>
      </c>
      <c r="O1007" t="b">
        <v>1</v>
      </c>
      <c r="P1007">
        <v>40</v>
      </c>
      <c r="Q1007" t="s">
        <v>137</v>
      </c>
      <c r="S1007">
        <v>0.125</v>
      </c>
      <c r="T1007">
        <v>1</v>
      </c>
      <c r="U1007" s="36">
        <v>0.46228999999999998</v>
      </c>
      <c r="V1007" t="s">
        <v>991</v>
      </c>
      <c r="X1007">
        <v>0</v>
      </c>
      <c r="Y1007">
        <v>126</v>
      </c>
      <c r="Z1007">
        <v>1.8518518518518517E-2</v>
      </c>
      <c r="AA1007">
        <v>35</v>
      </c>
      <c r="AB1007">
        <v>0</v>
      </c>
      <c r="AC1007">
        <v>0</v>
      </c>
      <c r="AE1007" t="s">
        <v>129</v>
      </c>
      <c r="AF1007" t="s">
        <v>1812</v>
      </c>
      <c r="AG1007" t="s">
        <v>129</v>
      </c>
      <c r="AH1007">
        <v>0</v>
      </c>
      <c r="AI1007">
        <v>1.6</v>
      </c>
      <c r="AM1007">
        <v>1.6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1.4</v>
      </c>
      <c r="AX1007" t="s">
        <v>2596</v>
      </c>
      <c r="AY1007">
        <v>8.36</v>
      </c>
      <c r="AZ1007">
        <v>3</v>
      </c>
      <c r="BA1007" t="s">
        <v>138</v>
      </c>
      <c r="BB1007">
        <v>1.57</v>
      </c>
      <c r="BC1007" t="s">
        <v>95</v>
      </c>
      <c r="BD1007" t="s">
        <v>96</v>
      </c>
      <c r="BE1007" t="s">
        <v>97</v>
      </c>
      <c r="BF1007">
        <v>1</v>
      </c>
      <c r="BG1007">
        <v>0</v>
      </c>
      <c r="BH1007">
        <v>0</v>
      </c>
      <c r="BI1007" t="s">
        <v>98</v>
      </c>
    </row>
    <row r="1008" spans="1:61">
      <c r="A1008" s="164" t="s">
        <v>2597</v>
      </c>
      <c r="B1008" t="s">
        <v>2598</v>
      </c>
      <c r="C1008">
        <v>0</v>
      </c>
      <c r="D1008" t="s">
        <v>147</v>
      </c>
      <c r="E1008">
        <v>0</v>
      </c>
      <c r="F1008" t="s">
        <v>154</v>
      </c>
      <c r="G1008" t="s">
        <v>103</v>
      </c>
      <c r="H1008" t="s">
        <v>104</v>
      </c>
      <c r="I1008" t="s">
        <v>80</v>
      </c>
      <c r="J1008" t="s">
        <v>81</v>
      </c>
      <c r="K1008" t="s">
        <v>82</v>
      </c>
      <c r="L1008" t="s">
        <v>83</v>
      </c>
      <c r="M1008" t="s">
        <v>84</v>
      </c>
      <c r="N1008">
        <v>1</v>
      </c>
      <c r="O1008" t="b">
        <v>1</v>
      </c>
      <c r="P1008">
        <v>45</v>
      </c>
      <c r="Q1008" t="s">
        <v>85</v>
      </c>
      <c r="R1008" t="s">
        <v>86</v>
      </c>
      <c r="S1008">
        <v>1</v>
      </c>
      <c r="T1008">
        <v>1</v>
      </c>
      <c r="U1008" s="36">
        <v>1.1938300000000002</v>
      </c>
      <c r="V1008" t="s">
        <v>87</v>
      </c>
      <c r="W1008">
        <v>24</v>
      </c>
      <c r="X1008">
        <v>0.45019999999999999</v>
      </c>
      <c r="Y1008">
        <v>18</v>
      </c>
      <c r="Z1008">
        <v>5.5555555555555552E-2</v>
      </c>
      <c r="AA1008">
        <v>30</v>
      </c>
      <c r="AB1008">
        <v>0</v>
      </c>
      <c r="AC1008">
        <v>500</v>
      </c>
      <c r="AD1008">
        <v>500</v>
      </c>
      <c r="AE1008" t="s">
        <v>155</v>
      </c>
      <c r="AF1008" t="s">
        <v>156</v>
      </c>
      <c r="AG1008" t="s">
        <v>157</v>
      </c>
      <c r="AH1008">
        <v>0</v>
      </c>
      <c r="AI1008">
        <v>0.9</v>
      </c>
      <c r="AJ1008" t="s">
        <v>91</v>
      </c>
      <c r="AK1008" t="s">
        <v>92</v>
      </c>
      <c r="AL1008" t="s">
        <v>93</v>
      </c>
      <c r="AM1008">
        <v>0.33553925925925926</v>
      </c>
      <c r="AN1008">
        <v>0.22369283950617286</v>
      </c>
      <c r="AO1008">
        <v>0.34672390123456792</v>
      </c>
      <c r="AP1008">
        <v>0</v>
      </c>
      <c r="AQ1008">
        <v>8.6691086691086688E-2</v>
      </c>
      <c r="AR1008">
        <v>2.6666666666666505E-3</v>
      </c>
      <c r="AS1008">
        <v>0</v>
      </c>
      <c r="AT1008">
        <v>1.0866910866910866</v>
      </c>
      <c r="AU1008">
        <v>1.0026666666666666</v>
      </c>
      <c r="AV1008">
        <v>1</v>
      </c>
      <c r="AW1008">
        <v>0</v>
      </c>
      <c r="AX1008" t="s">
        <v>2435</v>
      </c>
      <c r="AY1008">
        <v>53.4</v>
      </c>
      <c r="AZ1008">
        <v>2</v>
      </c>
      <c r="BA1008" t="s">
        <v>94</v>
      </c>
      <c r="BB1008">
        <v>3.07</v>
      </c>
      <c r="BC1008" t="s">
        <v>95</v>
      </c>
      <c r="BD1008" t="s">
        <v>96</v>
      </c>
      <c r="BE1008" t="s">
        <v>97</v>
      </c>
      <c r="BF1008">
        <v>0</v>
      </c>
      <c r="BG1008">
        <v>0</v>
      </c>
      <c r="BH1008">
        <v>0</v>
      </c>
      <c r="BI1008" t="s">
        <v>98</v>
      </c>
    </row>
    <row r="1009" spans="1:60">
      <c r="A1009" s="164" t="s">
        <v>2599</v>
      </c>
      <c r="B1009" t="s">
        <v>2600</v>
      </c>
      <c r="C1009">
        <v>0</v>
      </c>
      <c r="D1009" t="s">
        <v>194</v>
      </c>
      <c r="E1009">
        <v>0</v>
      </c>
      <c r="F1009" t="s">
        <v>214</v>
      </c>
      <c r="G1009" t="s">
        <v>78</v>
      </c>
      <c r="H1009" t="s">
        <v>79</v>
      </c>
      <c r="I1009" t="s">
        <v>80</v>
      </c>
      <c r="J1009" t="s">
        <v>196</v>
      </c>
      <c r="K1009" t="s">
        <v>13</v>
      </c>
      <c r="L1009" t="s">
        <v>83</v>
      </c>
      <c r="M1009" t="s">
        <v>215</v>
      </c>
      <c r="N1009">
        <v>1</v>
      </c>
      <c r="O1009" t="b">
        <v>1</v>
      </c>
      <c r="P1009">
        <v>0</v>
      </c>
      <c r="BB1009">
        <v>0</v>
      </c>
      <c r="BC1009" t="s">
        <v>197</v>
      </c>
      <c r="BD1009" t="s">
        <v>216</v>
      </c>
      <c r="BE1009" t="s">
        <v>117</v>
      </c>
      <c r="BF1009">
        <v>0</v>
      </c>
      <c r="BG1009">
        <v>0</v>
      </c>
      <c r="BH1009">
        <v>0</v>
      </c>
    </row>
    <row r="1010" spans="1:60">
      <c r="A1010" s="164" t="s">
        <v>2601</v>
      </c>
      <c r="B1010" t="s">
        <v>2602</v>
      </c>
      <c r="C1010">
        <v>0</v>
      </c>
      <c r="D1010" t="s">
        <v>194</v>
      </c>
      <c r="E1010">
        <v>0</v>
      </c>
      <c r="F1010" t="s">
        <v>195</v>
      </c>
      <c r="G1010" t="s">
        <v>78</v>
      </c>
      <c r="H1010" t="s">
        <v>79</v>
      </c>
      <c r="I1010" t="s">
        <v>80</v>
      </c>
      <c r="J1010" t="s">
        <v>196</v>
      </c>
      <c r="K1010" t="s">
        <v>13</v>
      </c>
      <c r="L1010" t="s">
        <v>83</v>
      </c>
      <c r="M1010" t="s">
        <v>215</v>
      </c>
      <c r="N1010">
        <v>1</v>
      </c>
      <c r="O1010" t="b">
        <v>1</v>
      </c>
      <c r="P1010">
        <v>0</v>
      </c>
      <c r="BB1010">
        <v>0</v>
      </c>
      <c r="BC1010" t="s">
        <v>197</v>
      </c>
      <c r="BD1010" t="s">
        <v>198</v>
      </c>
      <c r="BE1010" t="s">
        <v>117</v>
      </c>
      <c r="BF1010">
        <v>0</v>
      </c>
      <c r="BG1010">
        <v>0</v>
      </c>
      <c r="BH1010">
        <v>0</v>
      </c>
    </row>
    <row r="1011" spans="1:60">
      <c r="A1011" s="164" t="s">
        <v>2603</v>
      </c>
      <c r="B1011" t="s">
        <v>2604</v>
      </c>
      <c r="C1011">
        <v>0</v>
      </c>
      <c r="D1011" t="s">
        <v>194</v>
      </c>
      <c r="E1011">
        <v>0</v>
      </c>
      <c r="F1011" t="s">
        <v>195</v>
      </c>
      <c r="G1011" t="s">
        <v>78</v>
      </c>
      <c r="H1011" t="s">
        <v>79</v>
      </c>
      <c r="I1011" t="s">
        <v>80</v>
      </c>
      <c r="J1011" t="s">
        <v>196</v>
      </c>
      <c r="K1011" t="s">
        <v>13</v>
      </c>
      <c r="L1011" t="s">
        <v>83</v>
      </c>
      <c r="M1011" t="s">
        <v>215</v>
      </c>
      <c r="N1011">
        <v>1</v>
      </c>
      <c r="O1011" t="b">
        <v>1</v>
      </c>
      <c r="P1011">
        <v>0</v>
      </c>
      <c r="BB1011">
        <v>0</v>
      </c>
      <c r="BC1011" t="s">
        <v>197</v>
      </c>
      <c r="BD1011" t="s">
        <v>198</v>
      </c>
      <c r="BE1011" t="s">
        <v>117</v>
      </c>
      <c r="BF1011">
        <v>0</v>
      </c>
      <c r="BG1011">
        <v>0</v>
      </c>
      <c r="BH1011">
        <v>0</v>
      </c>
    </row>
    <row r="1012" spans="1:60">
      <c r="A1012" s="164" t="s">
        <v>2605</v>
      </c>
      <c r="B1012" t="s">
        <v>2606</v>
      </c>
      <c r="C1012">
        <v>0</v>
      </c>
      <c r="D1012" t="s">
        <v>194</v>
      </c>
      <c r="E1012">
        <v>0</v>
      </c>
      <c r="F1012" t="s">
        <v>214</v>
      </c>
      <c r="G1012" t="s">
        <v>78</v>
      </c>
      <c r="H1012" t="s">
        <v>79</v>
      </c>
      <c r="I1012" t="s">
        <v>80</v>
      </c>
      <c r="J1012" t="s">
        <v>196</v>
      </c>
      <c r="K1012" t="s">
        <v>13</v>
      </c>
      <c r="L1012" t="s">
        <v>83</v>
      </c>
      <c r="M1012" t="s">
        <v>84</v>
      </c>
      <c r="N1012">
        <v>1</v>
      </c>
      <c r="O1012" t="b">
        <v>1</v>
      </c>
      <c r="P1012">
        <v>0</v>
      </c>
      <c r="BB1012">
        <v>0</v>
      </c>
      <c r="BC1012" t="s">
        <v>197</v>
      </c>
      <c r="BD1012" t="s">
        <v>216</v>
      </c>
      <c r="BE1012" t="s">
        <v>117</v>
      </c>
      <c r="BF1012">
        <v>0</v>
      </c>
      <c r="BG1012">
        <v>0</v>
      </c>
      <c r="BH1012">
        <v>0</v>
      </c>
    </row>
    <row r="1013" spans="1:60">
      <c r="A1013" s="164" t="s">
        <v>2607</v>
      </c>
      <c r="B1013" t="s">
        <v>2608</v>
      </c>
      <c r="C1013">
        <v>0</v>
      </c>
      <c r="D1013" t="s">
        <v>194</v>
      </c>
      <c r="E1013">
        <v>0</v>
      </c>
      <c r="F1013" t="s">
        <v>214</v>
      </c>
      <c r="G1013" t="s">
        <v>78</v>
      </c>
      <c r="H1013" t="s">
        <v>79</v>
      </c>
      <c r="I1013" t="s">
        <v>80</v>
      </c>
      <c r="J1013" t="s">
        <v>196</v>
      </c>
      <c r="K1013" t="s">
        <v>13</v>
      </c>
      <c r="L1013" t="s">
        <v>83</v>
      </c>
      <c r="M1013" t="s">
        <v>215</v>
      </c>
      <c r="N1013">
        <v>1</v>
      </c>
      <c r="O1013" t="b">
        <v>1</v>
      </c>
      <c r="P1013">
        <v>0</v>
      </c>
      <c r="BB1013">
        <v>0</v>
      </c>
      <c r="BC1013" t="s">
        <v>197</v>
      </c>
      <c r="BD1013" t="s">
        <v>216</v>
      </c>
      <c r="BE1013" t="s">
        <v>117</v>
      </c>
      <c r="BF1013">
        <v>0</v>
      </c>
      <c r="BG1013">
        <v>0</v>
      </c>
      <c r="BH1013">
        <v>0</v>
      </c>
    </row>
    <row r="1014" spans="1:60">
      <c r="A1014" s="164" t="s">
        <v>2609</v>
      </c>
      <c r="B1014" t="s">
        <v>2610</v>
      </c>
      <c r="C1014">
        <v>0</v>
      </c>
      <c r="D1014" t="s">
        <v>194</v>
      </c>
      <c r="E1014">
        <v>0</v>
      </c>
      <c r="F1014" t="s">
        <v>214</v>
      </c>
      <c r="G1014" t="s">
        <v>78</v>
      </c>
      <c r="H1014" t="s">
        <v>79</v>
      </c>
      <c r="I1014" t="s">
        <v>80</v>
      </c>
      <c r="J1014" t="s">
        <v>196</v>
      </c>
      <c r="K1014" t="s">
        <v>13</v>
      </c>
      <c r="L1014" t="s">
        <v>83</v>
      </c>
      <c r="M1014" t="s">
        <v>215</v>
      </c>
      <c r="N1014">
        <v>1</v>
      </c>
      <c r="O1014" t="b">
        <v>1</v>
      </c>
      <c r="P1014">
        <v>0</v>
      </c>
      <c r="BB1014">
        <v>0</v>
      </c>
      <c r="BC1014" t="s">
        <v>197</v>
      </c>
      <c r="BD1014" t="s">
        <v>216</v>
      </c>
      <c r="BE1014" t="s">
        <v>117</v>
      </c>
      <c r="BF1014">
        <v>0</v>
      </c>
      <c r="BG1014">
        <v>0</v>
      </c>
      <c r="BH1014">
        <v>0</v>
      </c>
    </row>
    <row r="1015" spans="1:60">
      <c r="A1015" s="164" t="s">
        <v>2611</v>
      </c>
      <c r="B1015" t="s">
        <v>2612</v>
      </c>
      <c r="C1015">
        <v>0</v>
      </c>
      <c r="D1015" t="s">
        <v>194</v>
      </c>
      <c r="E1015">
        <v>0</v>
      </c>
      <c r="F1015" t="s">
        <v>214</v>
      </c>
      <c r="G1015" t="s">
        <v>78</v>
      </c>
      <c r="H1015" t="s">
        <v>79</v>
      </c>
      <c r="I1015" t="s">
        <v>80</v>
      </c>
      <c r="J1015" t="s">
        <v>196</v>
      </c>
      <c r="K1015" t="s">
        <v>13</v>
      </c>
      <c r="L1015" t="s">
        <v>83</v>
      </c>
      <c r="M1015" t="s">
        <v>215</v>
      </c>
      <c r="N1015">
        <v>1</v>
      </c>
      <c r="O1015" t="b">
        <v>1</v>
      </c>
      <c r="P1015">
        <v>0</v>
      </c>
      <c r="BB1015">
        <v>0</v>
      </c>
      <c r="BC1015" t="s">
        <v>197</v>
      </c>
      <c r="BD1015" t="s">
        <v>216</v>
      </c>
      <c r="BE1015" t="s">
        <v>117</v>
      </c>
      <c r="BF1015">
        <v>0</v>
      </c>
      <c r="BG1015">
        <v>0</v>
      </c>
      <c r="BH1015">
        <v>0</v>
      </c>
    </row>
    <row r="1016" spans="1:60">
      <c r="A1016" s="164" t="s">
        <v>2613</v>
      </c>
      <c r="B1016" t="s">
        <v>2614</v>
      </c>
      <c r="C1016">
        <v>0</v>
      </c>
      <c r="D1016" t="s">
        <v>194</v>
      </c>
      <c r="E1016">
        <v>0</v>
      </c>
      <c r="F1016" t="s">
        <v>214</v>
      </c>
      <c r="G1016" t="s">
        <v>78</v>
      </c>
      <c r="H1016" t="s">
        <v>79</v>
      </c>
      <c r="I1016" t="s">
        <v>80</v>
      </c>
      <c r="J1016" t="s">
        <v>196</v>
      </c>
      <c r="K1016" t="s">
        <v>13</v>
      </c>
      <c r="L1016" t="s">
        <v>83</v>
      </c>
      <c r="M1016" t="s">
        <v>215</v>
      </c>
      <c r="N1016">
        <v>1</v>
      </c>
      <c r="O1016" t="b">
        <v>1</v>
      </c>
      <c r="P1016">
        <v>0</v>
      </c>
      <c r="BB1016">
        <v>0</v>
      </c>
      <c r="BC1016" t="s">
        <v>197</v>
      </c>
      <c r="BD1016" t="s">
        <v>216</v>
      </c>
      <c r="BE1016" t="s">
        <v>117</v>
      </c>
      <c r="BF1016">
        <v>0</v>
      </c>
      <c r="BG1016">
        <v>0</v>
      </c>
      <c r="BH1016">
        <v>0</v>
      </c>
    </row>
    <row r="1017" spans="1:60">
      <c r="A1017" s="164" t="s">
        <v>2615</v>
      </c>
      <c r="B1017" t="s">
        <v>2616</v>
      </c>
      <c r="C1017">
        <v>0</v>
      </c>
      <c r="D1017" t="s">
        <v>194</v>
      </c>
      <c r="E1017">
        <v>0</v>
      </c>
      <c r="F1017" t="s">
        <v>214</v>
      </c>
      <c r="G1017" t="s">
        <v>78</v>
      </c>
      <c r="H1017" t="s">
        <v>79</v>
      </c>
      <c r="I1017" t="s">
        <v>80</v>
      </c>
      <c r="J1017" t="s">
        <v>196</v>
      </c>
      <c r="K1017" t="s">
        <v>13</v>
      </c>
      <c r="L1017" t="s">
        <v>83</v>
      </c>
      <c r="M1017" t="s">
        <v>215</v>
      </c>
      <c r="N1017">
        <v>1</v>
      </c>
      <c r="O1017" t="b">
        <v>1</v>
      </c>
      <c r="P1017">
        <v>0</v>
      </c>
      <c r="BB1017">
        <v>0</v>
      </c>
      <c r="BC1017" t="s">
        <v>197</v>
      </c>
      <c r="BD1017" t="s">
        <v>216</v>
      </c>
      <c r="BE1017" t="s">
        <v>117</v>
      </c>
      <c r="BF1017">
        <v>0</v>
      </c>
      <c r="BG1017">
        <v>0</v>
      </c>
      <c r="BH1017">
        <v>0</v>
      </c>
    </row>
    <row r="1018" spans="1:60">
      <c r="A1018" s="164" t="s">
        <v>2617</v>
      </c>
      <c r="B1018" t="s">
        <v>2618</v>
      </c>
      <c r="C1018">
        <v>0</v>
      </c>
      <c r="D1018" t="s">
        <v>194</v>
      </c>
      <c r="E1018">
        <v>0</v>
      </c>
      <c r="F1018" t="s">
        <v>195</v>
      </c>
      <c r="G1018" t="s">
        <v>78</v>
      </c>
      <c r="H1018" t="s">
        <v>79</v>
      </c>
      <c r="I1018" t="s">
        <v>80</v>
      </c>
      <c r="J1018" t="s">
        <v>196</v>
      </c>
      <c r="K1018" t="s">
        <v>13</v>
      </c>
      <c r="L1018" t="s">
        <v>83</v>
      </c>
      <c r="M1018" t="s">
        <v>84</v>
      </c>
      <c r="N1018">
        <v>1</v>
      </c>
      <c r="O1018" t="b">
        <v>1</v>
      </c>
      <c r="P1018">
        <v>0</v>
      </c>
      <c r="BB1018">
        <v>0</v>
      </c>
      <c r="BC1018" t="s">
        <v>197</v>
      </c>
      <c r="BD1018" t="s">
        <v>198</v>
      </c>
      <c r="BE1018" t="s">
        <v>117</v>
      </c>
      <c r="BF1018">
        <v>0</v>
      </c>
      <c r="BG1018">
        <v>0</v>
      </c>
      <c r="BH1018">
        <v>0</v>
      </c>
    </row>
    <row r="1019" spans="1:60">
      <c r="A1019" s="164" t="s">
        <v>2619</v>
      </c>
      <c r="B1019" t="s">
        <v>2620</v>
      </c>
      <c r="C1019">
        <v>0</v>
      </c>
      <c r="D1019" t="s">
        <v>194</v>
      </c>
      <c r="E1019">
        <v>0</v>
      </c>
      <c r="F1019" t="s">
        <v>195</v>
      </c>
      <c r="G1019" t="s">
        <v>78</v>
      </c>
      <c r="H1019" t="s">
        <v>79</v>
      </c>
      <c r="I1019" t="s">
        <v>80</v>
      </c>
      <c r="J1019" t="s">
        <v>196</v>
      </c>
      <c r="K1019" t="s">
        <v>13</v>
      </c>
      <c r="L1019" t="s">
        <v>83</v>
      </c>
      <c r="M1019" t="s">
        <v>84</v>
      </c>
      <c r="N1019">
        <v>1</v>
      </c>
      <c r="O1019" t="b">
        <v>1</v>
      </c>
      <c r="P1019">
        <v>0</v>
      </c>
      <c r="BB1019">
        <v>0</v>
      </c>
      <c r="BC1019" t="s">
        <v>197</v>
      </c>
      <c r="BD1019" t="s">
        <v>198</v>
      </c>
      <c r="BE1019" t="s">
        <v>117</v>
      </c>
      <c r="BF1019">
        <v>0</v>
      </c>
      <c r="BG1019">
        <v>0</v>
      </c>
      <c r="BH1019">
        <v>0</v>
      </c>
    </row>
    <row r="1020" spans="1:60">
      <c r="A1020" s="164" t="s">
        <v>2621</v>
      </c>
      <c r="B1020" t="s">
        <v>2622</v>
      </c>
      <c r="C1020">
        <v>0</v>
      </c>
      <c r="D1020" t="s">
        <v>194</v>
      </c>
      <c r="E1020">
        <v>0</v>
      </c>
      <c r="F1020" t="s">
        <v>195</v>
      </c>
      <c r="G1020" t="s">
        <v>78</v>
      </c>
      <c r="H1020" t="s">
        <v>79</v>
      </c>
      <c r="I1020" t="s">
        <v>80</v>
      </c>
      <c r="J1020" t="s">
        <v>196</v>
      </c>
      <c r="K1020" t="s">
        <v>13</v>
      </c>
      <c r="L1020" t="s">
        <v>83</v>
      </c>
      <c r="M1020" t="s">
        <v>84</v>
      </c>
      <c r="N1020">
        <v>1</v>
      </c>
      <c r="O1020" t="b">
        <v>1</v>
      </c>
      <c r="P1020">
        <v>0</v>
      </c>
      <c r="BB1020">
        <v>0</v>
      </c>
      <c r="BC1020" t="s">
        <v>197</v>
      </c>
      <c r="BD1020" t="s">
        <v>198</v>
      </c>
      <c r="BE1020" t="s">
        <v>117</v>
      </c>
      <c r="BF1020">
        <v>0</v>
      </c>
      <c r="BG1020">
        <v>0</v>
      </c>
      <c r="BH1020">
        <v>0</v>
      </c>
    </row>
    <row r="1021" spans="1:60">
      <c r="A1021" s="164" t="s">
        <v>2623</v>
      </c>
      <c r="B1021" t="s">
        <v>2624</v>
      </c>
      <c r="C1021">
        <v>0</v>
      </c>
      <c r="D1021" t="s">
        <v>194</v>
      </c>
      <c r="E1021">
        <v>0</v>
      </c>
      <c r="F1021" t="s">
        <v>214</v>
      </c>
      <c r="G1021" t="s">
        <v>78</v>
      </c>
      <c r="H1021" t="s">
        <v>79</v>
      </c>
      <c r="I1021" t="s">
        <v>80</v>
      </c>
      <c r="J1021" t="s">
        <v>196</v>
      </c>
      <c r="K1021" t="s">
        <v>13</v>
      </c>
      <c r="L1021" t="s">
        <v>83</v>
      </c>
      <c r="M1021" t="s">
        <v>215</v>
      </c>
      <c r="N1021">
        <v>1</v>
      </c>
      <c r="O1021" t="b">
        <v>1</v>
      </c>
      <c r="P1021">
        <v>0</v>
      </c>
      <c r="BB1021">
        <v>0</v>
      </c>
      <c r="BC1021" t="s">
        <v>197</v>
      </c>
      <c r="BD1021" t="s">
        <v>216</v>
      </c>
      <c r="BE1021" t="s">
        <v>117</v>
      </c>
      <c r="BF1021">
        <v>0</v>
      </c>
      <c r="BG1021">
        <v>0</v>
      </c>
      <c r="BH1021">
        <v>0</v>
      </c>
    </row>
    <row r="1022" spans="1:60">
      <c r="A1022" s="164" t="s">
        <v>2625</v>
      </c>
      <c r="B1022" t="s">
        <v>2626</v>
      </c>
      <c r="C1022">
        <v>0</v>
      </c>
      <c r="D1022" t="s">
        <v>194</v>
      </c>
      <c r="E1022">
        <v>0</v>
      </c>
      <c r="F1022" t="s">
        <v>214</v>
      </c>
      <c r="G1022" t="s">
        <v>78</v>
      </c>
      <c r="H1022" t="s">
        <v>79</v>
      </c>
      <c r="I1022" t="s">
        <v>80</v>
      </c>
      <c r="J1022" t="s">
        <v>196</v>
      </c>
      <c r="K1022" t="s">
        <v>13</v>
      </c>
      <c r="L1022" t="s">
        <v>83</v>
      </c>
      <c r="M1022" t="s">
        <v>215</v>
      </c>
      <c r="N1022">
        <v>1</v>
      </c>
      <c r="O1022" t="b">
        <v>1</v>
      </c>
      <c r="P1022">
        <v>0</v>
      </c>
      <c r="BB1022">
        <v>0</v>
      </c>
      <c r="BC1022" t="s">
        <v>197</v>
      </c>
      <c r="BD1022" t="s">
        <v>216</v>
      </c>
      <c r="BE1022" t="s">
        <v>117</v>
      </c>
      <c r="BF1022">
        <v>0</v>
      </c>
      <c r="BG1022">
        <v>0</v>
      </c>
      <c r="BH1022">
        <v>0</v>
      </c>
    </row>
    <row r="1023" spans="1:60">
      <c r="A1023" s="164" t="s">
        <v>2627</v>
      </c>
      <c r="B1023" t="s">
        <v>2628</v>
      </c>
      <c r="C1023">
        <v>0</v>
      </c>
      <c r="D1023" t="s">
        <v>194</v>
      </c>
      <c r="E1023">
        <v>0</v>
      </c>
      <c r="F1023" t="s">
        <v>214</v>
      </c>
      <c r="G1023" t="s">
        <v>78</v>
      </c>
      <c r="H1023" t="s">
        <v>79</v>
      </c>
      <c r="I1023" t="s">
        <v>80</v>
      </c>
      <c r="J1023" t="s">
        <v>196</v>
      </c>
      <c r="K1023" t="s">
        <v>13</v>
      </c>
      <c r="L1023" t="s">
        <v>83</v>
      </c>
      <c r="M1023" t="s">
        <v>215</v>
      </c>
      <c r="N1023">
        <v>1</v>
      </c>
      <c r="O1023" t="b">
        <v>1</v>
      </c>
      <c r="P1023">
        <v>0</v>
      </c>
      <c r="BB1023">
        <v>0</v>
      </c>
      <c r="BC1023" t="s">
        <v>197</v>
      </c>
      <c r="BD1023" t="s">
        <v>216</v>
      </c>
      <c r="BE1023" t="s">
        <v>117</v>
      </c>
      <c r="BF1023">
        <v>0</v>
      </c>
      <c r="BG1023">
        <v>0</v>
      </c>
      <c r="BH1023">
        <v>0</v>
      </c>
    </row>
    <row r="1024" spans="1:60">
      <c r="A1024" s="164" t="s">
        <v>2629</v>
      </c>
      <c r="B1024" t="s">
        <v>2630</v>
      </c>
      <c r="C1024">
        <v>0</v>
      </c>
      <c r="D1024" t="s">
        <v>194</v>
      </c>
      <c r="E1024">
        <v>0</v>
      </c>
      <c r="F1024" t="s">
        <v>214</v>
      </c>
      <c r="G1024" t="s">
        <v>78</v>
      </c>
      <c r="H1024" t="s">
        <v>79</v>
      </c>
      <c r="I1024" t="s">
        <v>80</v>
      </c>
      <c r="J1024" t="s">
        <v>196</v>
      </c>
      <c r="K1024" t="s">
        <v>13</v>
      </c>
      <c r="L1024" t="s">
        <v>83</v>
      </c>
      <c r="M1024" t="s">
        <v>215</v>
      </c>
      <c r="N1024">
        <v>1</v>
      </c>
      <c r="O1024" t="b">
        <v>1</v>
      </c>
      <c r="P1024">
        <v>0</v>
      </c>
      <c r="BB1024">
        <v>0</v>
      </c>
      <c r="BC1024" t="s">
        <v>197</v>
      </c>
      <c r="BD1024" t="s">
        <v>216</v>
      </c>
      <c r="BE1024" t="s">
        <v>117</v>
      </c>
      <c r="BF1024">
        <v>0</v>
      </c>
      <c r="BG1024">
        <v>0</v>
      </c>
      <c r="BH1024">
        <v>0</v>
      </c>
    </row>
    <row r="1025" spans="1:61">
      <c r="A1025" s="164" t="s">
        <v>2631</v>
      </c>
      <c r="B1025" t="s">
        <v>2632</v>
      </c>
      <c r="C1025">
        <v>0</v>
      </c>
      <c r="D1025" t="s">
        <v>194</v>
      </c>
      <c r="E1025">
        <v>0</v>
      </c>
      <c r="F1025" t="s">
        <v>195</v>
      </c>
      <c r="G1025" t="s">
        <v>78</v>
      </c>
      <c r="H1025" t="s">
        <v>79</v>
      </c>
      <c r="I1025" t="s">
        <v>80</v>
      </c>
      <c r="J1025" t="s">
        <v>196</v>
      </c>
      <c r="K1025" t="s">
        <v>13</v>
      </c>
      <c r="L1025" t="s">
        <v>83</v>
      </c>
      <c r="M1025" t="s">
        <v>205</v>
      </c>
      <c r="N1025">
        <v>1</v>
      </c>
      <c r="O1025" t="b">
        <v>1</v>
      </c>
      <c r="P1025">
        <v>0</v>
      </c>
      <c r="BB1025">
        <v>0</v>
      </c>
      <c r="BC1025" t="s">
        <v>197</v>
      </c>
      <c r="BD1025" t="s">
        <v>198</v>
      </c>
      <c r="BE1025" t="s">
        <v>117</v>
      </c>
      <c r="BF1025">
        <v>0</v>
      </c>
      <c r="BG1025">
        <v>0</v>
      </c>
      <c r="BH1025">
        <v>0</v>
      </c>
    </row>
    <row r="1026" spans="1:61">
      <c r="A1026" s="164" t="s">
        <v>2633</v>
      </c>
      <c r="B1026" t="s">
        <v>2634</v>
      </c>
      <c r="C1026">
        <v>0</v>
      </c>
      <c r="D1026" t="s">
        <v>257</v>
      </c>
      <c r="E1026">
        <v>0</v>
      </c>
      <c r="F1026" t="s">
        <v>269</v>
      </c>
      <c r="G1026" t="s">
        <v>103</v>
      </c>
      <c r="H1026" t="s">
        <v>104</v>
      </c>
      <c r="I1026" t="s">
        <v>80</v>
      </c>
      <c r="J1026" t="s">
        <v>196</v>
      </c>
      <c r="K1026" t="s">
        <v>13</v>
      </c>
      <c r="L1026" t="s">
        <v>83</v>
      </c>
      <c r="M1026" t="s">
        <v>205</v>
      </c>
      <c r="N1026">
        <v>1</v>
      </c>
      <c r="O1026" t="b">
        <v>0</v>
      </c>
      <c r="P1026">
        <v>0</v>
      </c>
      <c r="BB1026">
        <v>0</v>
      </c>
      <c r="BC1026" t="s">
        <v>259</v>
      </c>
      <c r="BD1026" t="s">
        <v>270</v>
      </c>
      <c r="BE1026" t="s">
        <v>117</v>
      </c>
      <c r="BF1026">
        <v>0</v>
      </c>
      <c r="BG1026">
        <v>0</v>
      </c>
      <c r="BH1026">
        <v>0</v>
      </c>
    </row>
    <row r="1027" spans="1:61">
      <c r="A1027" s="164" t="s">
        <v>2635</v>
      </c>
      <c r="B1027" t="s">
        <v>2636</v>
      </c>
      <c r="C1027">
        <v>0</v>
      </c>
      <c r="D1027" t="s">
        <v>257</v>
      </c>
      <c r="E1027">
        <v>0</v>
      </c>
      <c r="F1027" t="s">
        <v>2637</v>
      </c>
      <c r="G1027" t="s">
        <v>78</v>
      </c>
      <c r="H1027" t="s">
        <v>79</v>
      </c>
      <c r="I1027" t="s">
        <v>80</v>
      </c>
      <c r="J1027" t="s">
        <v>196</v>
      </c>
      <c r="K1027" t="s">
        <v>13</v>
      </c>
      <c r="L1027" t="s">
        <v>83</v>
      </c>
      <c r="M1027" t="s">
        <v>205</v>
      </c>
      <c r="N1027">
        <v>1</v>
      </c>
      <c r="O1027" t="b">
        <v>1</v>
      </c>
      <c r="P1027">
        <v>0</v>
      </c>
      <c r="BB1027">
        <v>0</v>
      </c>
      <c r="BC1027" t="s">
        <v>259</v>
      </c>
      <c r="BD1027" t="s">
        <v>2638</v>
      </c>
      <c r="BE1027" t="s">
        <v>117</v>
      </c>
      <c r="BF1027">
        <v>0</v>
      </c>
      <c r="BG1027">
        <v>8</v>
      </c>
      <c r="BH1027">
        <v>200</v>
      </c>
      <c r="BI1027" t="s">
        <v>2639</v>
      </c>
    </row>
    <row r="1028" spans="1:61">
      <c r="A1028" s="164" t="s">
        <v>2640</v>
      </c>
      <c r="B1028" t="s">
        <v>2641</v>
      </c>
      <c r="C1028">
        <v>0</v>
      </c>
      <c r="D1028" t="s">
        <v>257</v>
      </c>
      <c r="E1028">
        <v>0</v>
      </c>
      <c r="F1028" t="s">
        <v>269</v>
      </c>
      <c r="G1028" t="s">
        <v>103</v>
      </c>
      <c r="H1028" t="s">
        <v>104</v>
      </c>
      <c r="I1028" t="s">
        <v>80</v>
      </c>
      <c r="J1028" t="s">
        <v>196</v>
      </c>
      <c r="K1028" t="s">
        <v>13</v>
      </c>
      <c r="L1028" t="s">
        <v>83</v>
      </c>
      <c r="M1028" t="s">
        <v>205</v>
      </c>
      <c r="N1028">
        <v>1</v>
      </c>
      <c r="O1028" t="b">
        <v>0</v>
      </c>
      <c r="P1028">
        <v>0</v>
      </c>
      <c r="BB1028">
        <v>0</v>
      </c>
      <c r="BC1028" t="s">
        <v>259</v>
      </c>
      <c r="BD1028" t="s">
        <v>270</v>
      </c>
      <c r="BE1028" t="s">
        <v>117</v>
      </c>
      <c r="BF1028">
        <v>0</v>
      </c>
      <c r="BG1028">
        <v>0</v>
      </c>
      <c r="BH1028">
        <v>0</v>
      </c>
    </row>
    <row r="1029" spans="1:61">
      <c r="A1029" s="164" t="s">
        <v>2642</v>
      </c>
      <c r="B1029" t="s">
        <v>2643</v>
      </c>
      <c r="C1029">
        <v>0</v>
      </c>
      <c r="D1029" t="s">
        <v>257</v>
      </c>
      <c r="E1029">
        <v>0</v>
      </c>
      <c r="F1029" t="s">
        <v>955</v>
      </c>
      <c r="G1029" t="s">
        <v>78</v>
      </c>
      <c r="H1029" t="s">
        <v>79</v>
      </c>
      <c r="I1029" t="s">
        <v>80</v>
      </c>
      <c r="J1029" t="s">
        <v>196</v>
      </c>
      <c r="K1029" t="s">
        <v>13</v>
      </c>
      <c r="L1029" t="s">
        <v>83</v>
      </c>
      <c r="M1029" t="s">
        <v>84</v>
      </c>
      <c r="N1029">
        <v>1</v>
      </c>
      <c r="O1029" t="b">
        <v>1</v>
      </c>
      <c r="P1029">
        <v>0</v>
      </c>
      <c r="BB1029">
        <v>0</v>
      </c>
      <c r="BC1029" t="s">
        <v>259</v>
      </c>
      <c r="BD1029" t="s">
        <v>956</v>
      </c>
      <c r="BE1029" t="s">
        <v>117</v>
      </c>
      <c r="BF1029">
        <v>0</v>
      </c>
      <c r="BG1029">
        <v>10</v>
      </c>
      <c r="BH1029">
        <v>10</v>
      </c>
      <c r="BI1029" t="s">
        <v>1324</v>
      </c>
    </row>
    <row r="1030" spans="1:61">
      <c r="A1030" s="164" t="s">
        <v>2644</v>
      </c>
      <c r="B1030" t="s">
        <v>2645</v>
      </c>
      <c r="C1030">
        <v>0</v>
      </c>
      <c r="D1030" t="s">
        <v>257</v>
      </c>
      <c r="E1030">
        <v>0</v>
      </c>
      <c r="F1030" t="s">
        <v>955</v>
      </c>
      <c r="G1030" t="s">
        <v>78</v>
      </c>
      <c r="H1030" t="s">
        <v>79</v>
      </c>
      <c r="I1030" t="s">
        <v>80</v>
      </c>
      <c r="J1030" t="s">
        <v>196</v>
      </c>
      <c r="K1030" t="s">
        <v>13</v>
      </c>
      <c r="L1030" t="s">
        <v>83</v>
      </c>
      <c r="M1030" t="s">
        <v>84</v>
      </c>
      <c r="N1030">
        <v>1</v>
      </c>
      <c r="O1030" t="b">
        <v>1</v>
      </c>
      <c r="P1030">
        <v>0</v>
      </c>
      <c r="BB1030">
        <v>0</v>
      </c>
      <c r="BC1030" t="s">
        <v>259</v>
      </c>
      <c r="BD1030" t="s">
        <v>956</v>
      </c>
      <c r="BE1030" t="s">
        <v>117</v>
      </c>
      <c r="BF1030">
        <v>0</v>
      </c>
      <c r="BG1030">
        <v>10</v>
      </c>
      <c r="BH1030">
        <v>10</v>
      </c>
      <c r="BI1030" t="s">
        <v>1324</v>
      </c>
    </row>
    <row r="1031" spans="1:61">
      <c r="A1031" s="164" t="s">
        <v>2646</v>
      </c>
      <c r="B1031" t="s">
        <v>2647</v>
      </c>
      <c r="C1031">
        <v>0</v>
      </c>
      <c r="D1031" t="s">
        <v>257</v>
      </c>
      <c r="E1031">
        <v>0</v>
      </c>
      <c r="F1031" t="s">
        <v>955</v>
      </c>
      <c r="G1031" t="s">
        <v>78</v>
      </c>
      <c r="H1031" t="s">
        <v>79</v>
      </c>
      <c r="I1031" t="s">
        <v>80</v>
      </c>
      <c r="J1031" t="s">
        <v>196</v>
      </c>
      <c r="K1031" t="s">
        <v>13</v>
      </c>
      <c r="L1031" t="s">
        <v>83</v>
      </c>
      <c r="M1031" t="s">
        <v>84</v>
      </c>
      <c r="N1031">
        <v>1</v>
      </c>
      <c r="O1031" t="b">
        <v>1</v>
      </c>
      <c r="P1031">
        <v>0</v>
      </c>
      <c r="BB1031">
        <v>0</v>
      </c>
      <c r="BC1031" t="s">
        <v>259</v>
      </c>
      <c r="BD1031" t="s">
        <v>956</v>
      </c>
      <c r="BE1031" t="s">
        <v>117</v>
      </c>
      <c r="BF1031">
        <v>0</v>
      </c>
      <c r="BG1031">
        <v>10</v>
      </c>
      <c r="BH1031">
        <v>10</v>
      </c>
      <c r="BI1031" t="s">
        <v>1324</v>
      </c>
    </row>
    <row r="1032" spans="1:61">
      <c r="A1032" s="164" t="s">
        <v>2648</v>
      </c>
      <c r="B1032" t="s">
        <v>2649</v>
      </c>
      <c r="C1032">
        <v>0</v>
      </c>
      <c r="D1032" t="s">
        <v>257</v>
      </c>
      <c r="E1032">
        <v>0</v>
      </c>
      <c r="F1032" t="s">
        <v>269</v>
      </c>
      <c r="G1032" t="s">
        <v>103</v>
      </c>
      <c r="H1032" t="s">
        <v>104</v>
      </c>
      <c r="I1032" t="s">
        <v>80</v>
      </c>
      <c r="J1032" t="s">
        <v>196</v>
      </c>
      <c r="K1032" t="s">
        <v>13</v>
      </c>
      <c r="L1032" t="s">
        <v>83</v>
      </c>
      <c r="M1032" t="s">
        <v>84</v>
      </c>
      <c r="N1032">
        <v>1</v>
      </c>
      <c r="O1032" t="b">
        <v>0</v>
      </c>
      <c r="P1032">
        <v>0</v>
      </c>
      <c r="BB1032">
        <v>0</v>
      </c>
      <c r="BC1032" t="s">
        <v>259</v>
      </c>
      <c r="BD1032" t="s">
        <v>270</v>
      </c>
      <c r="BE1032" t="s">
        <v>117</v>
      </c>
      <c r="BF1032">
        <v>0</v>
      </c>
      <c r="BG1032">
        <v>0</v>
      </c>
      <c r="BH1032">
        <v>0</v>
      </c>
    </row>
    <row r="1033" spans="1:61">
      <c r="A1033" s="164" t="s">
        <v>2650</v>
      </c>
      <c r="B1033" t="s">
        <v>2651</v>
      </c>
      <c r="C1033">
        <v>0</v>
      </c>
      <c r="D1033" t="s">
        <v>257</v>
      </c>
      <c r="E1033">
        <v>0</v>
      </c>
      <c r="F1033" t="s">
        <v>955</v>
      </c>
      <c r="G1033" t="s">
        <v>78</v>
      </c>
      <c r="H1033" t="s">
        <v>79</v>
      </c>
      <c r="I1033" t="s">
        <v>80</v>
      </c>
      <c r="J1033" t="s">
        <v>196</v>
      </c>
      <c r="K1033" t="s">
        <v>13</v>
      </c>
      <c r="L1033" t="s">
        <v>83</v>
      </c>
      <c r="M1033" t="s">
        <v>84</v>
      </c>
      <c r="N1033">
        <v>1</v>
      </c>
      <c r="O1033" t="b">
        <v>1</v>
      </c>
      <c r="P1033">
        <v>0</v>
      </c>
      <c r="BB1033">
        <v>0</v>
      </c>
      <c r="BC1033" t="s">
        <v>259</v>
      </c>
      <c r="BD1033" t="s">
        <v>956</v>
      </c>
      <c r="BE1033" t="s">
        <v>117</v>
      </c>
      <c r="BF1033">
        <v>0</v>
      </c>
      <c r="BG1033">
        <v>10</v>
      </c>
      <c r="BH1033">
        <v>10</v>
      </c>
      <c r="BI1033" t="s">
        <v>1324</v>
      </c>
    </row>
    <row r="1034" spans="1:61">
      <c r="A1034" s="164" t="s">
        <v>2652</v>
      </c>
      <c r="B1034" t="s">
        <v>2653</v>
      </c>
      <c r="C1034">
        <v>0</v>
      </c>
      <c r="D1034" t="s">
        <v>257</v>
      </c>
      <c r="E1034">
        <v>0</v>
      </c>
      <c r="F1034" t="s">
        <v>269</v>
      </c>
      <c r="G1034" t="s">
        <v>103</v>
      </c>
      <c r="H1034" t="s">
        <v>104</v>
      </c>
      <c r="I1034" t="s">
        <v>80</v>
      </c>
      <c r="J1034" t="s">
        <v>196</v>
      </c>
      <c r="K1034" t="s">
        <v>13</v>
      </c>
      <c r="L1034" t="s">
        <v>83</v>
      </c>
      <c r="M1034" t="s">
        <v>205</v>
      </c>
      <c r="N1034">
        <v>1</v>
      </c>
      <c r="O1034" t="b">
        <v>0</v>
      </c>
      <c r="P1034">
        <v>0</v>
      </c>
      <c r="BB1034">
        <v>0</v>
      </c>
      <c r="BC1034" t="s">
        <v>259</v>
      </c>
      <c r="BD1034" t="s">
        <v>270</v>
      </c>
      <c r="BE1034" t="s">
        <v>117</v>
      </c>
      <c r="BF1034">
        <v>0</v>
      </c>
      <c r="BG1034">
        <v>0</v>
      </c>
      <c r="BH1034">
        <v>0</v>
      </c>
    </row>
    <row r="1035" spans="1:61">
      <c r="A1035" s="164" t="s">
        <v>2654</v>
      </c>
      <c r="B1035" t="s">
        <v>2655</v>
      </c>
      <c r="C1035">
        <v>0</v>
      </c>
      <c r="D1035" t="s">
        <v>257</v>
      </c>
      <c r="E1035">
        <v>0</v>
      </c>
      <c r="F1035" t="s">
        <v>269</v>
      </c>
      <c r="G1035" t="s">
        <v>103</v>
      </c>
      <c r="H1035" t="s">
        <v>104</v>
      </c>
      <c r="I1035" t="s">
        <v>80</v>
      </c>
      <c r="J1035" t="s">
        <v>196</v>
      </c>
      <c r="K1035" t="s">
        <v>13</v>
      </c>
      <c r="L1035" t="s">
        <v>83</v>
      </c>
      <c r="M1035" t="s">
        <v>205</v>
      </c>
      <c r="N1035">
        <v>1</v>
      </c>
      <c r="O1035" t="b">
        <v>0</v>
      </c>
      <c r="P1035">
        <v>0</v>
      </c>
      <c r="BB1035">
        <v>0</v>
      </c>
      <c r="BC1035" t="s">
        <v>259</v>
      </c>
      <c r="BD1035" t="s">
        <v>270</v>
      </c>
      <c r="BE1035" t="s">
        <v>117</v>
      </c>
      <c r="BF1035">
        <v>0</v>
      </c>
      <c r="BG1035">
        <v>0</v>
      </c>
      <c r="BH1035">
        <v>0</v>
      </c>
    </row>
    <row r="1036" spans="1:61">
      <c r="A1036" s="164" t="s">
        <v>2656</v>
      </c>
      <c r="B1036" t="s">
        <v>2657</v>
      </c>
      <c r="C1036">
        <v>0</v>
      </c>
      <c r="D1036" t="s">
        <v>257</v>
      </c>
      <c r="E1036">
        <v>0</v>
      </c>
      <c r="F1036" t="s">
        <v>269</v>
      </c>
      <c r="G1036" t="s">
        <v>103</v>
      </c>
      <c r="H1036" t="s">
        <v>104</v>
      </c>
      <c r="I1036" t="s">
        <v>80</v>
      </c>
      <c r="J1036" t="s">
        <v>196</v>
      </c>
      <c r="K1036" t="s">
        <v>13</v>
      </c>
      <c r="L1036" t="s">
        <v>83</v>
      </c>
      <c r="M1036" t="s">
        <v>205</v>
      </c>
      <c r="N1036">
        <v>1</v>
      </c>
      <c r="O1036" t="b">
        <v>0</v>
      </c>
      <c r="P1036">
        <v>0</v>
      </c>
      <c r="BB1036">
        <v>0</v>
      </c>
      <c r="BC1036" t="s">
        <v>259</v>
      </c>
      <c r="BD1036" t="s">
        <v>270</v>
      </c>
      <c r="BE1036" t="s">
        <v>117</v>
      </c>
      <c r="BF1036">
        <v>0</v>
      </c>
      <c r="BG1036">
        <v>0</v>
      </c>
      <c r="BH1036">
        <v>0</v>
      </c>
    </row>
    <row r="1037" spans="1:61">
      <c r="A1037" s="164" t="s">
        <v>2658</v>
      </c>
      <c r="B1037" t="s">
        <v>2659</v>
      </c>
      <c r="C1037">
        <v>0</v>
      </c>
      <c r="D1037" t="s">
        <v>257</v>
      </c>
      <c r="E1037">
        <v>0</v>
      </c>
      <c r="F1037" t="s">
        <v>269</v>
      </c>
      <c r="G1037" t="s">
        <v>103</v>
      </c>
      <c r="H1037" t="s">
        <v>104</v>
      </c>
      <c r="I1037" t="s">
        <v>80</v>
      </c>
      <c r="J1037" t="s">
        <v>196</v>
      </c>
      <c r="K1037" t="s">
        <v>13</v>
      </c>
      <c r="L1037" t="s">
        <v>83</v>
      </c>
      <c r="M1037" t="s">
        <v>205</v>
      </c>
      <c r="N1037">
        <v>1</v>
      </c>
      <c r="O1037" t="b">
        <v>0</v>
      </c>
      <c r="P1037">
        <v>0</v>
      </c>
      <c r="BB1037">
        <v>0</v>
      </c>
      <c r="BC1037" t="s">
        <v>259</v>
      </c>
      <c r="BD1037" t="s">
        <v>270</v>
      </c>
      <c r="BE1037" t="s">
        <v>117</v>
      </c>
      <c r="BF1037">
        <v>0</v>
      </c>
      <c r="BG1037">
        <v>0</v>
      </c>
      <c r="BH1037">
        <v>0</v>
      </c>
    </row>
    <row r="1038" spans="1:61">
      <c r="A1038" s="164" t="s">
        <v>2660</v>
      </c>
      <c r="B1038" t="s">
        <v>2661</v>
      </c>
      <c r="C1038">
        <v>0</v>
      </c>
      <c r="D1038" t="s">
        <v>257</v>
      </c>
      <c r="E1038">
        <v>0</v>
      </c>
      <c r="F1038" t="s">
        <v>269</v>
      </c>
      <c r="G1038" t="s">
        <v>103</v>
      </c>
      <c r="H1038" t="s">
        <v>104</v>
      </c>
      <c r="I1038" t="s">
        <v>80</v>
      </c>
      <c r="J1038" t="s">
        <v>196</v>
      </c>
      <c r="K1038" t="s">
        <v>13</v>
      </c>
      <c r="L1038" t="s">
        <v>83</v>
      </c>
      <c r="M1038" t="s">
        <v>205</v>
      </c>
      <c r="N1038">
        <v>1</v>
      </c>
      <c r="O1038" t="b">
        <v>0</v>
      </c>
      <c r="P1038">
        <v>0</v>
      </c>
      <c r="BB1038">
        <v>0</v>
      </c>
      <c r="BC1038" t="s">
        <v>259</v>
      </c>
      <c r="BD1038" t="s">
        <v>270</v>
      </c>
      <c r="BE1038" t="s">
        <v>117</v>
      </c>
      <c r="BF1038">
        <v>0</v>
      </c>
      <c r="BG1038">
        <v>0</v>
      </c>
      <c r="BH1038">
        <v>0</v>
      </c>
    </row>
    <row r="1039" spans="1:61">
      <c r="A1039" s="164" t="s">
        <v>2662</v>
      </c>
      <c r="B1039" t="s">
        <v>2663</v>
      </c>
      <c r="C1039">
        <v>0</v>
      </c>
      <c r="D1039" t="s">
        <v>257</v>
      </c>
      <c r="E1039">
        <v>0</v>
      </c>
      <c r="F1039" t="s">
        <v>925</v>
      </c>
      <c r="G1039" t="s">
        <v>78</v>
      </c>
      <c r="H1039" t="s">
        <v>79</v>
      </c>
      <c r="I1039" t="s">
        <v>80</v>
      </c>
      <c r="J1039" t="s">
        <v>196</v>
      </c>
      <c r="K1039" t="s">
        <v>13</v>
      </c>
      <c r="L1039" t="s">
        <v>83</v>
      </c>
      <c r="M1039" t="s">
        <v>205</v>
      </c>
      <c r="N1039">
        <v>1</v>
      </c>
      <c r="O1039" t="b">
        <v>1</v>
      </c>
      <c r="P1039">
        <v>0</v>
      </c>
      <c r="BB1039">
        <v>0</v>
      </c>
      <c r="BC1039" t="s">
        <v>259</v>
      </c>
      <c r="BD1039" t="s">
        <v>926</v>
      </c>
      <c r="BE1039" t="s">
        <v>117</v>
      </c>
      <c r="BF1039">
        <v>0</v>
      </c>
      <c r="BG1039">
        <v>25</v>
      </c>
      <c r="BH1039">
        <v>25</v>
      </c>
      <c r="BI1039" t="s">
        <v>1967</v>
      </c>
    </row>
    <row r="1040" spans="1:61">
      <c r="A1040" s="164" t="s">
        <v>2664</v>
      </c>
      <c r="B1040" t="s">
        <v>2665</v>
      </c>
      <c r="C1040">
        <v>0</v>
      </c>
      <c r="D1040" t="s">
        <v>257</v>
      </c>
      <c r="E1040">
        <v>0</v>
      </c>
      <c r="F1040" t="s">
        <v>269</v>
      </c>
      <c r="G1040" t="s">
        <v>103</v>
      </c>
      <c r="H1040" t="s">
        <v>104</v>
      </c>
      <c r="I1040" t="s">
        <v>80</v>
      </c>
      <c r="J1040" t="s">
        <v>196</v>
      </c>
      <c r="K1040" t="s">
        <v>13</v>
      </c>
      <c r="L1040" t="s">
        <v>83</v>
      </c>
      <c r="M1040" t="s">
        <v>942</v>
      </c>
      <c r="N1040">
        <v>1</v>
      </c>
      <c r="O1040" t="b">
        <v>0</v>
      </c>
      <c r="P1040">
        <v>0</v>
      </c>
      <c r="BB1040">
        <v>0</v>
      </c>
      <c r="BC1040" t="s">
        <v>259</v>
      </c>
      <c r="BD1040" t="s">
        <v>270</v>
      </c>
      <c r="BE1040" t="s">
        <v>117</v>
      </c>
      <c r="BF1040">
        <v>0</v>
      </c>
      <c r="BG1040">
        <v>0</v>
      </c>
      <c r="BH1040">
        <v>0</v>
      </c>
    </row>
    <row r="1041" spans="1:61">
      <c r="A1041" s="164" t="s">
        <v>2666</v>
      </c>
      <c r="B1041" t="s">
        <v>2667</v>
      </c>
      <c r="C1041">
        <v>0</v>
      </c>
      <c r="D1041" t="s">
        <v>257</v>
      </c>
      <c r="E1041">
        <v>0</v>
      </c>
      <c r="F1041" t="s">
        <v>258</v>
      </c>
      <c r="G1041" t="s">
        <v>78</v>
      </c>
      <c r="H1041" t="s">
        <v>79</v>
      </c>
      <c r="I1041" t="s">
        <v>80</v>
      </c>
      <c r="J1041" t="s">
        <v>196</v>
      </c>
      <c r="K1041" t="s">
        <v>13</v>
      </c>
      <c r="L1041" t="s">
        <v>83</v>
      </c>
      <c r="M1041" t="s">
        <v>205</v>
      </c>
      <c r="N1041">
        <v>1</v>
      </c>
      <c r="O1041" t="b">
        <v>1</v>
      </c>
      <c r="P1041">
        <v>0</v>
      </c>
      <c r="BB1041">
        <v>0</v>
      </c>
      <c r="BC1041" t="s">
        <v>259</v>
      </c>
      <c r="BD1041" t="s">
        <v>260</v>
      </c>
      <c r="BE1041" t="s">
        <v>117</v>
      </c>
      <c r="BF1041">
        <v>0</v>
      </c>
      <c r="BG1041">
        <v>25</v>
      </c>
      <c r="BH1041">
        <v>18</v>
      </c>
      <c r="BI1041" t="s">
        <v>2668</v>
      </c>
    </row>
    <row r="1042" spans="1:61">
      <c r="A1042" s="164" t="s">
        <v>2669</v>
      </c>
      <c r="B1042" t="s">
        <v>2670</v>
      </c>
      <c r="C1042">
        <v>0</v>
      </c>
      <c r="D1042" t="s">
        <v>257</v>
      </c>
      <c r="E1042">
        <v>0</v>
      </c>
      <c r="F1042" t="s">
        <v>925</v>
      </c>
      <c r="G1042" t="s">
        <v>78</v>
      </c>
      <c r="H1042" t="s">
        <v>79</v>
      </c>
      <c r="I1042" t="s">
        <v>80</v>
      </c>
      <c r="J1042" t="s">
        <v>196</v>
      </c>
      <c r="K1042" t="s">
        <v>13</v>
      </c>
      <c r="L1042" t="s">
        <v>83</v>
      </c>
      <c r="M1042" t="s">
        <v>205</v>
      </c>
      <c r="N1042">
        <v>1</v>
      </c>
      <c r="O1042" t="b">
        <v>1</v>
      </c>
      <c r="P1042">
        <v>0</v>
      </c>
      <c r="BB1042">
        <v>0</v>
      </c>
      <c r="BC1042" t="s">
        <v>259</v>
      </c>
      <c r="BD1042" t="s">
        <v>926</v>
      </c>
      <c r="BE1042" t="s">
        <v>117</v>
      </c>
      <c r="BF1042">
        <v>0</v>
      </c>
      <c r="BG1042">
        <v>25</v>
      </c>
      <c r="BH1042">
        <v>25</v>
      </c>
      <c r="BI1042" t="s">
        <v>2671</v>
      </c>
    </row>
    <row r="1043" spans="1:61">
      <c r="A1043" s="164" t="s">
        <v>2672</v>
      </c>
      <c r="B1043" t="s">
        <v>2673</v>
      </c>
      <c r="C1043">
        <v>0</v>
      </c>
      <c r="D1043" t="s">
        <v>304</v>
      </c>
      <c r="E1043">
        <v>0</v>
      </c>
      <c r="F1043" t="s">
        <v>313</v>
      </c>
      <c r="G1043" t="s">
        <v>78</v>
      </c>
      <c r="H1043" t="s">
        <v>79</v>
      </c>
      <c r="I1043" t="s">
        <v>80</v>
      </c>
      <c r="J1043" t="s">
        <v>196</v>
      </c>
      <c r="K1043" t="s">
        <v>13</v>
      </c>
      <c r="L1043" t="s">
        <v>83</v>
      </c>
      <c r="M1043" t="s">
        <v>205</v>
      </c>
      <c r="N1043">
        <v>1</v>
      </c>
      <c r="O1043" t="b">
        <v>1</v>
      </c>
      <c r="P1043">
        <v>0</v>
      </c>
      <c r="BB1043">
        <v>0</v>
      </c>
      <c r="BC1043" t="s">
        <v>306</v>
      </c>
      <c r="BD1043" t="s">
        <v>314</v>
      </c>
      <c r="BE1043" t="s">
        <v>117</v>
      </c>
      <c r="BF1043">
        <v>0</v>
      </c>
      <c r="BG1043">
        <v>45</v>
      </c>
      <c r="BH1043">
        <v>300</v>
      </c>
      <c r="BI1043" t="s">
        <v>315</v>
      </c>
    </row>
    <row r="1044" spans="1:61">
      <c r="A1044" s="164" t="s">
        <v>2674</v>
      </c>
      <c r="B1044" t="s">
        <v>2675</v>
      </c>
      <c r="C1044">
        <v>0</v>
      </c>
      <c r="D1044" t="s">
        <v>304</v>
      </c>
      <c r="E1044">
        <v>0</v>
      </c>
      <c r="F1044" t="s">
        <v>342</v>
      </c>
      <c r="G1044" t="s">
        <v>78</v>
      </c>
      <c r="H1044" t="s">
        <v>79</v>
      </c>
      <c r="I1044" t="s">
        <v>80</v>
      </c>
      <c r="J1044" t="s">
        <v>196</v>
      </c>
      <c r="K1044" t="s">
        <v>13</v>
      </c>
      <c r="L1044" t="s">
        <v>83</v>
      </c>
      <c r="M1044" t="s">
        <v>84</v>
      </c>
      <c r="N1044">
        <v>1</v>
      </c>
      <c r="O1044" t="b">
        <v>1</v>
      </c>
      <c r="P1044">
        <v>0</v>
      </c>
      <c r="BB1044">
        <v>0</v>
      </c>
      <c r="BC1044" t="s">
        <v>306</v>
      </c>
      <c r="BD1044" t="s">
        <v>343</v>
      </c>
      <c r="BE1044" t="s">
        <v>117</v>
      </c>
      <c r="BF1044">
        <v>0</v>
      </c>
      <c r="BG1044">
        <v>25</v>
      </c>
      <c r="BH1044">
        <v>10000</v>
      </c>
      <c r="BI1044" t="s">
        <v>344</v>
      </c>
    </row>
    <row r="1045" spans="1:61">
      <c r="A1045" s="164" t="s">
        <v>2676</v>
      </c>
      <c r="B1045" t="s">
        <v>2677</v>
      </c>
      <c r="C1045">
        <v>0</v>
      </c>
      <c r="D1045" t="s">
        <v>304</v>
      </c>
      <c r="E1045">
        <v>0</v>
      </c>
      <c r="F1045" t="s">
        <v>269</v>
      </c>
      <c r="G1045" t="s">
        <v>103</v>
      </c>
      <c r="H1045" t="s">
        <v>104</v>
      </c>
      <c r="I1045" t="s">
        <v>80</v>
      </c>
      <c r="J1045" t="s">
        <v>196</v>
      </c>
      <c r="K1045" t="s">
        <v>13</v>
      </c>
      <c r="L1045" t="s">
        <v>83</v>
      </c>
      <c r="M1045" t="s">
        <v>84</v>
      </c>
      <c r="N1045">
        <v>1</v>
      </c>
      <c r="O1045" t="b">
        <v>0</v>
      </c>
      <c r="P1045">
        <v>0</v>
      </c>
      <c r="BB1045">
        <v>0</v>
      </c>
      <c r="BC1045" t="s">
        <v>306</v>
      </c>
      <c r="BD1045" t="s">
        <v>270</v>
      </c>
      <c r="BE1045" t="s">
        <v>117</v>
      </c>
      <c r="BF1045">
        <v>0</v>
      </c>
      <c r="BG1045">
        <v>0</v>
      </c>
      <c r="BH1045">
        <v>0</v>
      </c>
    </row>
    <row r="1046" spans="1:61">
      <c r="A1046" s="164" t="s">
        <v>2678</v>
      </c>
      <c r="B1046" t="s">
        <v>2679</v>
      </c>
      <c r="C1046">
        <v>0</v>
      </c>
      <c r="D1046" t="s">
        <v>304</v>
      </c>
      <c r="E1046">
        <v>0</v>
      </c>
      <c r="F1046" t="s">
        <v>313</v>
      </c>
      <c r="G1046" t="s">
        <v>78</v>
      </c>
      <c r="H1046" t="s">
        <v>79</v>
      </c>
      <c r="I1046" t="s">
        <v>80</v>
      </c>
      <c r="J1046" t="s">
        <v>196</v>
      </c>
      <c r="K1046" t="s">
        <v>13</v>
      </c>
      <c r="L1046" t="s">
        <v>83</v>
      </c>
      <c r="M1046" t="s">
        <v>84</v>
      </c>
      <c r="N1046">
        <v>1</v>
      </c>
      <c r="O1046" t="b">
        <v>1</v>
      </c>
      <c r="P1046">
        <v>0</v>
      </c>
      <c r="BB1046">
        <v>0</v>
      </c>
      <c r="BC1046" t="s">
        <v>306</v>
      </c>
      <c r="BD1046" t="s">
        <v>314</v>
      </c>
      <c r="BE1046" t="s">
        <v>117</v>
      </c>
      <c r="BF1046">
        <v>0</v>
      </c>
      <c r="BG1046">
        <v>45</v>
      </c>
      <c r="BH1046">
        <v>300</v>
      </c>
      <c r="BI1046" t="s">
        <v>315</v>
      </c>
    </row>
    <row r="1047" spans="1:61">
      <c r="A1047" s="164" t="s">
        <v>2680</v>
      </c>
      <c r="B1047" t="s">
        <v>2681</v>
      </c>
      <c r="C1047">
        <v>0</v>
      </c>
      <c r="D1047" t="s">
        <v>304</v>
      </c>
      <c r="E1047">
        <v>0</v>
      </c>
      <c r="F1047" t="s">
        <v>269</v>
      </c>
      <c r="G1047" t="s">
        <v>103</v>
      </c>
      <c r="H1047" t="s">
        <v>104</v>
      </c>
      <c r="I1047" t="s">
        <v>80</v>
      </c>
      <c r="J1047" t="s">
        <v>196</v>
      </c>
      <c r="K1047" t="s">
        <v>13</v>
      </c>
      <c r="L1047" t="s">
        <v>83</v>
      </c>
      <c r="M1047" t="s">
        <v>84</v>
      </c>
      <c r="N1047">
        <v>1</v>
      </c>
      <c r="O1047" t="b">
        <v>0</v>
      </c>
      <c r="P1047">
        <v>0</v>
      </c>
      <c r="BB1047">
        <v>0</v>
      </c>
      <c r="BC1047" t="s">
        <v>306</v>
      </c>
      <c r="BD1047" t="s">
        <v>270</v>
      </c>
      <c r="BE1047" t="s">
        <v>117</v>
      </c>
      <c r="BF1047">
        <v>0</v>
      </c>
      <c r="BG1047">
        <v>0</v>
      </c>
      <c r="BH1047">
        <v>0</v>
      </c>
    </row>
    <row r="1048" spans="1:61">
      <c r="A1048" s="164" t="s">
        <v>2682</v>
      </c>
      <c r="B1048" t="s">
        <v>2683</v>
      </c>
      <c r="C1048">
        <v>0</v>
      </c>
      <c r="D1048" t="s">
        <v>304</v>
      </c>
      <c r="E1048">
        <v>0</v>
      </c>
      <c r="F1048" t="s">
        <v>336</v>
      </c>
      <c r="G1048" t="s">
        <v>78</v>
      </c>
      <c r="H1048" t="s">
        <v>79</v>
      </c>
      <c r="I1048" t="s">
        <v>80</v>
      </c>
      <c r="J1048" t="s">
        <v>196</v>
      </c>
      <c r="K1048" t="s">
        <v>13</v>
      </c>
      <c r="L1048" t="s">
        <v>83</v>
      </c>
      <c r="M1048" t="s">
        <v>84</v>
      </c>
      <c r="N1048">
        <v>1</v>
      </c>
      <c r="O1048" t="b">
        <v>1</v>
      </c>
      <c r="P1048">
        <v>0</v>
      </c>
      <c r="BB1048">
        <v>0</v>
      </c>
      <c r="BC1048" t="s">
        <v>306</v>
      </c>
      <c r="BD1048" t="s">
        <v>337</v>
      </c>
      <c r="BE1048" t="s">
        <v>117</v>
      </c>
      <c r="BF1048">
        <v>0</v>
      </c>
      <c r="BG1048">
        <v>30</v>
      </c>
      <c r="BH1048">
        <v>30000</v>
      </c>
      <c r="BI1048" t="s">
        <v>593</v>
      </c>
    </row>
    <row r="1049" spans="1:61">
      <c r="A1049" s="164" t="s">
        <v>2684</v>
      </c>
      <c r="B1049" t="s">
        <v>2685</v>
      </c>
      <c r="C1049">
        <v>0</v>
      </c>
      <c r="D1049" t="s">
        <v>304</v>
      </c>
      <c r="E1049">
        <v>0</v>
      </c>
      <c r="F1049" t="s">
        <v>269</v>
      </c>
      <c r="G1049" t="s">
        <v>103</v>
      </c>
      <c r="H1049" t="s">
        <v>104</v>
      </c>
      <c r="I1049" t="s">
        <v>80</v>
      </c>
      <c r="J1049" t="s">
        <v>196</v>
      </c>
      <c r="K1049" t="s">
        <v>13</v>
      </c>
      <c r="L1049" t="s">
        <v>83</v>
      </c>
      <c r="M1049" t="s">
        <v>84</v>
      </c>
      <c r="N1049">
        <v>1</v>
      </c>
      <c r="O1049" t="b">
        <v>0</v>
      </c>
      <c r="P1049">
        <v>0</v>
      </c>
      <c r="BB1049">
        <v>0</v>
      </c>
      <c r="BC1049" t="s">
        <v>306</v>
      </c>
      <c r="BD1049" t="s">
        <v>270</v>
      </c>
      <c r="BE1049" t="s">
        <v>117</v>
      </c>
      <c r="BF1049">
        <v>0</v>
      </c>
      <c r="BG1049">
        <v>0</v>
      </c>
      <c r="BH1049">
        <v>0</v>
      </c>
    </row>
    <row r="1050" spans="1:61">
      <c r="A1050" s="164" t="s">
        <v>2686</v>
      </c>
      <c r="B1050" t="s">
        <v>2687</v>
      </c>
      <c r="C1050">
        <v>0</v>
      </c>
      <c r="D1050" t="s">
        <v>304</v>
      </c>
      <c r="E1050">
        <v>0</v>
      </c>
      <c r="F1050" t="s">
        <v>269</v>
      </c>
      <c r="G1050" t="s">
        <v>103</v>
      </c>
      <c r="H1050" t="s">
        <v>104</v>
      </c>
      <c r="I1050" t="s">
        <v>80</v>
      </c>
      <c r="J1050" t="s">
        <v>196</v>
      </c>
      <c r="K1050" t="s">
        <v>13</v>
      </c>
      <c r="L1050" t="s">
        <v>83</v>
      </c>
      <c r="M1050" t="s">
        <v>84</v>
      </c>
      <c r="N1050">
        <v>1</v>
      </c>
      <c r="O1050" t="b">
        <v>0</v>
      </c>
      <c r="P1050">
        <v>0</v>
      </c>
      <c r="BB1050">
        <v>0</v>
      </c>
      <c r="BC1050" t="s">
        <v>306</v>
      </c>
      <c r="BD1050" t="s">
        <v>270</v>
      </c>
      <c r="BE1050" t="s">
        <v>117</v>
      </c>
      <c r="BF1050">
        <v>0</v>
      </c>
      <c r="BG1050">
        <v>0</v>
      </c>
      <c r="BH1050">
        <v>0</v>
      </c>
    </row>
    <row r="1051" spans="1:61">
      <c r="A1051" s="164" t="s">
        <v>2688</v>
      </c>
      <c r="B1051" t="s">
        <v>2689</v>
      </c>
      <c r="C1051">
        <v>0</v>
      </c>
      <c r="D1051" t="s">
        <v>304</v>
      </c>
      <c r="E1051">
        <v>0</v>
      </c>
      <c r="F1051" t="s">
        <v>1917</v>
      </c>
      <c r="G1051" t="s">
        <v>78</v>
      </c>
      <c r="H1051" t="s">
        <v>79</v>
      </c>
      <c r="I1051" t="s">
        <v>80</v>
      </c>
      <c r="J1051" t="s">
        <v>196</v>
      </c>
      <c r="K1051" t="s">
        <v>13</v>
      </c>
      <c r="L1051" t="s">
        <v>83</v>
      </c>
      <c r="M1051" t="s">
        <v>84</v>
      </c>
      <c r="N1051">
        <v>1</v>
      </c>
      <c r="O1051" t="b">
        <v>1</v>
      </c>
      <c r="P1051">
        <v>0</v>
      </c>
      <c r="BB1051">
        <v>0</v>
      </c>
      <c r="BC1051" t="s">
        <v>306</v>
      </c>
      <c r="BD1051" t="s">
        <v>1919</v>
      </c>
      <c r="BE1051" t="s">
        <v>117</v>
      </c>
      <c r="BF1051">
        <v>0</v>
      </c>
      <c r="BG1051">
        <v>30</v>
      </c>
      <c r="BH1051">
        <v>100000</v>
      </c>
      <c r="BI1051" t="s">
        <v>1920</v>
      </c>
    </row>
    <row r="1052" spans="1:61">
      <c r="A1052" s="164" t="s">
        <v>2690</v>
      </c>
      <c r="B1052" t="s">
        <v>2691</v>
      </c>
      <c r="C1052">
        <v>0</v>
      </c>
      <c r="D1052" t="s">
        <v>304</v>
      </c>
      <c r="E1052">
        <v>0</v>
      </c>
      <c r="F1052" t="s">
        <v>456</v>
      </c>
      <c r="G1052" t="s">
        <v>78</v>
      </c>
      <c r="H1052" t="s">
        <v>79</v>
      </c>
      <c r="I1052" t="s">
        <v>80</v>
      </c>
      <c r="J1052" t="s">
        <v>196</v>
      </c>
      <c r="K1052" t="s">
        <v>13</v>
      </c>
      <c r="L1052" t="s">
        <v>83</v>
      </c>
      <c r="M1052" t="s">
        <v>84</v>
      </c>
      <c r="N1052">
        <v>1</v>
      </c>
      <c r="O1052" t="b">
        <v>1</v>
      </c>
      <c r="P1052">
        <v>0</v>
      </c>
      <c r="BB1052">
        <v>0</v>
      </c>
      <c r="BC1052" t="s">
        <v>306</v>
      </c>
      <c r="BD1052" t="s">
        <v>457</v>
      </c>
      <c r="BE1052" t="s">
        <v>117</v>
      </c>
      <c r="BF1052">
        <v>0</v>
      </c>
      <c r="BG1052">
        <v>120</v>
      </c>
      <c r="BH1052">
        <v>1000000</v>
      </c>
      <c r="BI1052" t="s">
        <v>458</v>
      </c>
    </row>
    <row r="1053" spans="1:61">
      <c r="A1053" s="164" t="s">
        <v>2692</v>
      </c>
      <c r="B1053" t="s">
        <v>2693</v>
      </c>
      <c r="C1053">
        <v>0</v>
      </c>
      <c r="D1053" t="s">
        <v>304</v>
      </c>
      <c r="E1053">
        <v>0</v>
      </c>
      <c r="F1053" t="s">
        <v>313</v>
      </c>
      <c r="G1053" t="s">
        <v>78</v>
      </c>
      <c r="H1053" t="s">
        <v>79</v>
      </c>
      <c r="I1053" t="s">
        <v>80</v>
      </c>
      <c r="J1053" t="s">
        <v>196</v>
      </c>
      <c r="K1053" t="s">
        <v>13</v>
      </c>
      <c r="L1053" t="s">
        <v>83</v>
      </c>
      <c r="M1053" t="s">
        <v>84</v>
      </c>
      <c r="N1053">
        <v>1</v>
      </c>
      <c r="O1053" t="b">
        <v>1</v>
      </c>
      <c r="P1053">
        <v>0</v>
      </c>
      <c r="BB1053">
        <v>0</v>
      </c>
      <c r="BC1053" t="s">
        <v>306</v>
      </c>
      <c r="BD1053" t="s">
        <v>314</v>
      </c>
      <c r="BE1053" t="s">
        <v>117</v>
      </c>
      <c r="BF1053">
        <v>0</v>
      </c>
      <c r="BG1053">
        <v>30</v>
      </c>
      <c r="BH1053">
        <v>30000</v>
      </c>
      <c r="BI1053" t="s">
        <v>328</v>
      </c>
    </row>
    <row r="1054" spans="1:61">
      <c r="A1054" s="164" t="s">
        <v>2694</v>
      </c>
      <c r="B1054" t="s">
        <v>2695</v>
      </c>
      <c r="C1054">
        <v>0</v>
      </c>
      <c r="D1054" t="s">
        <v>304</v>
      </c>
      <c r="E1054">
        <v>0</v>
      </c>
      <c r="F1054" t="s">
        <v>269</v>
      </c>
      <c r="G1054" t="s">
        <v>103</v>
      </c>
      <c r="H1054" t="s">
        <v>104</v>
      </c>
      <c r="I1054" t="s">
        <v>80</v>
      </c>
      <c r="J1054" t="s">
        <v>196</v>
      </c>
      <c r="K1054" t="s">
        <v>13</v>
      </c>
      <c r="L1054" t="s">
        <v>83</v>
      </c>
      <c r="M1054" t="s">
        <v>84</v>
      </c>
      <c r="N1054">
        <v>1</v>
      </c>
      <c r="O1054" t="b">
        <v>0</v>
      </c>
      <c r="P1054">
        <v>0</v>
      </c>
      <c r="BB1054">
        <v>0</v>
      </c>
      <c r="BC1054" t="s">
        <v>306</v>
      </c>
      <c r="BD1054" t="s">
        <v>270</v>
      </c>
      <c r="BE1054" t="s">
        <v>117</v>
      </c>
      <c r="BF1054">
        <v>0</v>
      </c>
      <c r="BG1054">
        <v>0</v>
      </c>
      <c r="BH1054">
        <v>0</v>
      </c>
    </row>
    <row r="1055" spans="1:61">
      <c r="A1055" s="164" t="s">
        <v>2696</v>
      </c>
      <c r="B1055" t="s">
        <v>2697</v>
      </c>
      <c r="C1055">
        <v>0</v>
      </c>
      <c r="D1055" t="s">
        <v>304</v>
      </c>
      <c r="E1055">
        <v>0</v>
      </c>
      <c r="F1055" t="s">
        <v>313</v>
      </c>
      <c r="G1055" t="s">
        <v>78</v>
      </c>
      <c r="H1055" t="s">
        <v>79</v>
      </c>
      <c r="I1055" t="s">
        <v>80</v>
      </c>
      <c r="J1055" t="s">
        <v>196</v>
      </c>
      <c r="K1055" t="s">
        <v>13</v>
      </c>
      <c r="L1055" t="s">
        <v>83</v>
      </c>
      <c r="M1055" t="s">
        <v>205</v>
      </c>
      <c r="N1055">
        <v>1</v>
      </c>
      <c r="O1055" t="b">
        <v>1</v>
      </c>
      <c r="P1055">
        <v>0</v>
      </c>
      <c r="BB1055">
        <v>0</v>
      </c>
      <c r="BC1055" t="s">
        <v>306</v>
      </c>
      <c r="BD1055" t="s">
        <v>314</v>
      </c>
      <c r="BE1055" t="s">
        <v>117</v>
      </c>
      <c r="BF1055">
        <v>0</v>
      </c>
      <c r="BG1055">
        <v>45</v>
      </c>
      <c r="BH1055">
        <v>300</v>
      </c>
      <c r="BI1055" t="s">
        <v>315</v>
      </c>
    </row>
    <row r="1056" spans="1:61">
      <c r="A1056" s="164" t="s">
        <v>2698</v>
      </c>
      <c r="B1056" t="s">
        <v>2699</v>
      </c>
      <c r="C1056">
        <v>0</v>
      </c>
      <c r="D1056" t="s">
        <v>304</v>
      </c>
      <c r="E1056">
        <v>0</v>
      </c>
      <c r="F1056" t="s">
        <v>342</v>
      </c>
      <c r="G1056" t="s">
        <v>78</v>
      </c>
      <c r="H1056" t="s">
        <v>79</v>
      </c>
      <c r="I1056" t="s">
        <v>80</v>
      </c>
      <c r="J1056" t="s">
        <v>196</v>
      </c>
      <c r="K1056" t="s">
        <v>13</v>
      </c>
      <c r="L1056" t="s">
        <v>83</v>
      </c>
      <c r="M1056" t="s">
        <v>84</v>
      </c>
      <c r="N1056">
        <v>1</v>
      </c>
      <c r="O1056" t="b">
        <v>1</v>
      </c>
      <c r="P1056">
        <v>0</v>
      </c>
      <c r="BB1056">
        <v>0</v>
      </c>
      <c r="BC1056" t="s">
        <v>306</v>
      </c>
      <c r="BD1056" t="s">
        <v>343</v>
      </c>
      <c r="BE1056" t="s">
        <v>117</v>
      </c>
      <c r="BF1056">
        <v>0</v>
      </c>
      <c r="BG1056">
        <v>25</v>
      </c>
      <c r="BH1056">
        <v>10000</v>
      </c>
      <c r="BI1056" t="s">
        <v>344</v>
      </c>
    </row>
    <row r="1057" spans="1:61">
      <c r="A1057" s="164" t="s">
        <v>2700</v>
      </c>
      <c r="B1057" t="s">
        <v>2701</v>
      </c>
      <c r="C1057">
        <v>0</v>
      </c>
      <c r="D1057" t="s">
        <v>304</v>
      </c>
      <c r="E1057">
        <v>0</v>
      </c>
      <c r="F1057" t="s">
        <v>342</v>
      </c>
      <c r="G1057" t="s">
        <v>78</v>
      </c>
      <c r="H1057" t="s">
        <v>79</v>
      </c>
      <c r="I1057" t="s">
        <v>80</v>
      </c>
      <c r="J1057" t="s">
        <v>196</v>
      </c>
      <c r="K1057" t="s">
        <v>13</v>
      </c>
      <c r="L1057" t="s">
        <v>83</v>
      </c>
      <c r="M1057" t="s">
        <v>84</v>
      </c>
      <c r="N1057">
        <v>1</v>
      </c>
      <c r="O1057" t="b">
        <v>1</v>
      </c>
      <c r="P1057">
        <v>0</v>
      </c>
      <c r="BB1057">
        <v>0</v>
      </c>
      <c r="BC1057" t="s">
        <v>306</v>
      </c>
      <c r="BD1057" t="s">
        <v>343</v>
      </c>
      <c r="BE1057" t="s">
        <v>117</v>
      </c>
      <c r="BF1057">
        <v>0</v>
      </c>
      <c r="BG1057">
        <v>25</v>
      </c>
      <c r="BH1057">
        <v>10000</v>
      </c>
      <c r="BI1057" t="s">
        <v>344</v>
      </c>
    </row>
    <row r="1058" spans="1:61">
      <c r="A1058" s="164" t="s">
        <v>2702</v>
      </c>
      <c r="B1058" t="s">
        <v>2703</v>
      </c>
      <c r="C1058">
        <v>0</v>
      </c>
      <c r="D1058" t="s">
        <v>304</v>
      </c>
      <c r="E1058">
        <v>0</v>
      </c>
      <c r="F1058" t="s">
        <v>342</v>
      </c>
      <c r="G1058" t="s">
        <v>78</v>
      </c>
      <c r="H1058" t="s">
        <v>79</v>
      </c>
      <c r="I1058" t="s">
        <v>80</v>
      </c>
      <c r="J1058" t="s">
        <v>196</v>
      </c>
      <c r="K1058" t="s">
        <v>13</v>
      </c>
      <c r="L1058" t="s">
        <v>83</v>
      </c>
      <c r="M1058" t="s">
        <v>84</v>
      </c>
      <c r="N1058">
        <v>1</v>
      </c>
      <c r="O1058" t="b">
        <v>1</v>
      </c>
      <c r="P1058">
        <v>0</v>
      </c>
      <c r="BB1058">
        <v>0</v>
      </c>
      <c r="BC1058" t="s">
        <v>306</v>
      </c>
      <c r="BD1058" t="s">
        <v>343</v>
      </c>
      <c r="BE1058" t="s">
        <v>117</v>
      </c>
      <c r="BF1058">
        <v>0</v>
      </c>
      <c r="BG1058">
        <v>25</v>
      </c>
      <c r="BH1058">
        <v>10000</v>
      </c>
      <c r="BI1058" t="s">
        <v>344</v>
      </c>
    </row>
    <row r="1059" spans="1:61">
      <c r="A1059" s="164" t="s">
        <v>2704</v>
      </c>
      <c r="B1059" t="s">
        <v>2705</v>
      </c>
      <c r="C1059">
        <v>0</v>
      </c>
      <c r="D1059" t="s">
        <v>304</v>
      </c>
      <c r="E1059">
        <v>0</v>
      </c>
      <c r="F1059" t="s">
        <v>313</v>
      </c>
      <c r="G1059" t="s">
        <v>78</v>
      </c>
      <c r="H1059" t="s">
        <v>79</v>
      </c>
      <c r="I1059" t="s">
        <v>80</v>
      </c>
      <c r="J1059" t="s">
        <v>196</v>
      </c>
      <c r="K1059" t="s">
        <v>13</v>
      </c>
      <c r="L1059" t="s">
        <v>83</v>
      </c>
      <c r="M1059" t="s">
        <v>84</v>
      </c>
      <c r="N1059">
        <v>1</v>
      </c>
      <c r="O1059" t="b">
        <v>1</v>
      </c>
      <c r="P1059">
        <v>0</v>
      </c>
      <c r="BB1059">
        <v>0</v>
      </c>
      <c r="BC1059" t="s">
        <v>306</v>
      </c>
      <c r="BD1059" t="s">
        <v>314</v>
      </c>
      <c r="BE1059" t="s">
        <v>117</v>
      </c>
      <c r="BF1059">
        <v>0</v>
      </c>
      <c r="BG1059">
        <v>60</v>
      </c>
      <c r="BH1059">
        <v>50000</v>
      </c>
      <c r="BI1059" t="s">
        <v>1509</v>
      </c>
    </row>
    <row r="1060" spans="1:61">
      <c r="A1060" s="164" t="s">
        <v>2706</v>
      </c>
      <c r="B1060" t="s">
        <v>2707</v>
      </c>
      <c r="C1060">
        <v>0</v>
      </c>
      <c r="D1060" t="s">
        <v>304</v>
      </c>
      <c r="E1060">
        <v>0</v>
      </c>
      <c r="F1060" t="s">
        <v>269</v>
      </c>
      <c r="G1060" t="s">
        <v>103</v>
      </c>
      <c r="H1060" t="s">
        <v>104</v>
      </c>
      <c r="I1060" t="s">
        <v>80</v>
      </c>
      <c r="J1060" t="s">
        <v>196</v>
      </c>
      <c r="K1060" t="s">
        <v>13</v>
      </c>
      <c r="L1060" t="s">
        <v>83</v>
      </c>
      <c r="M1060" t="s">
        <v>84</v>
      </c>
      <c r="N1060">
        <v>1</v>
      </c>
      <c r="O1060" t="b">
        <v>0</v>
      </c>
      <c r="P1060">
        <v>0</v>
      </c>
      <c r="BB1060">
        <v>0</v>
      </c>
      <c r="BC1060" t="s">
        <v>306</v>
      </c>
      <c r="BD1060" t="s">
        <v>270</v>
      </c>
      <c r="BE1060" t="s">
        <v>117</v>
      </c>
      <c r="BF1060">
        <v>0</v>
      </c>
      <c r="BG1060">
        <v>0</v>
      </c>
      <c r="BH1060">
        <v>0</v>
      </c>
    </row>
    <row r="1061" spans="1:61">
      <c r="A1061" s="164" t="s">
        <v>2708</v>
      </c>
      <c r="B1061" t="s">
        <v>2709</v>
      </c>
      <c r="C1061">
        <v>0</v>
      </c>
      <c r="D1061" t="s">
        <v>304</v>
      </c>
      <c r="E1061">
        <v>0</v>
      </c>
      <c r="F1061" t="s">
        <v>313</v>
      </c>
      <c r="G1061" t="s">
        <v>78</v>
      </c>
      <c r="H1061" t="s">
        <v>79</v>
      </c>
      <c r="I1061" t="s">
        <v>80</v>
      </c>
      <c r="J1061" t="s">
        <v>196</v>
      </c>
      <c r="K1061" t="s">
        <v>13</v>
      </c>
      <c r="L1061" t="s">
        <v>83</v>
      </c>
      <c r="M1061" t="s">
        <v>205</v>
      </c>
      <c r="N1061">
        <v>1</v>
      </c>
      <c r="O1061" t="b">
        <v>1</v>
      </c>
      <c r="P1061">
        <v>0</v>
      </c>
      <c r="BB1061">
        <v>0</v>
      </c>
      <c r="BC1061" t="s">
        <v>306</v>
      </c>
      <c r="BD1061" t="s">
        <v>314</v>
      </c>
      <c r="BE1061" t="s">
        <v>117</v>
      </c>
      <c r="BF1061">
        <v>0</v>
      </c>
      <c r="BG1061">
        <v>45</v>
      </c>
      <c r="BH1061">
        <v>300</v>
      </c>
      <c r="BI1061" t="s">
        <v>315</v>
      </c>
    </row>
    <row r="1062" spans="1:61">
      <c r="A1062" s="164" t="s">
        <v>2710</v>
      </c>
      <c r="B1062" t="s">
        <v>2711</v>
      </c>
      <c r="C1062">
        <v>0</v>
      </c>
      <c r="D1062" t="s">
        <v>304</v>
      </c>
      <c r="E1062">
        <v>0</v>
      </c>
      <c r="F1062" t="s">
        <v>1364</v>
      </c>
      <c r="G1062" t="s">
        <v>78</v>
      </c>
      <c r="H1062" t="s">
        <v>79</v>
      </c>
      <c r="I1062" t="s">
        <v>80</v>
      </c>
      <c r="J1062" t="s">
        <v>196</v>
      </c>
      <c r="K1062" t="s">
        <v>13</v>
      </c>
      <c r="L1062" t="s">
        <v>83</v>
      </c>
      <c r="M1062" t="s">
        <v>84</v>
      </c>
      <c r="N1062">
        <v>1</v>
      </c>
      <c r="O1062" t="b">
        <v>1</v>
      </c>
      <c r="P1062">
        <v>0</v>
      </c>
      <c r="BB1062">
        <v>0</v>
      </c>
      <c r="BC1062" t="s">
        <v>306</v>
      </c>
      <c r="BD1062" t="s">
        <v>1365</v>
      </c>
      <c r="BE1062" t="s">
        <v>117</v>
      </c>
      <c r="BF1062">
        <v>0</v>
      </c>
      <c r="BG1062">
        <v>90</v>
      </c>
      <c r="BH1062">
        <v>40000</v>
      </c>
      <c r="BI1062" t="s">
        <v>1419</v>
      </c>
    </row>
    <row r="1063" spans="1:61">
      <c r="A1063" s="164" t="s">
        <v>2712</v>
      </c>
      <c r="B1063" t="s">
        <v>2713</v>
      </c>
      <c r="C1063">
        <v>0</v>
      </c>
      <c r="D1063" t="s">
        <v>304</v>
      </c>
      <c r="E1063">
        <v>0</v>
      </c>
      <c r="F1063" t="s">
        <v>357</v>
      </c>
      <c r="G1063" t="s">
        <v>78</v>
      </c>
      <c r="H1063" t="s">
        <v>79</v>
      </c>
      <c r="I1063" t="s">
        <v>80</v>
      </c>
      <c r="J1063" t="s">
        <v>196</v>
      </c>
      <c r="K1063" t="s">
        <v>13</v>
      </c>
      <c r="L1063" t="s">
        <v>83</v>
      </c>
      <c r="M1063" t="s">
        <v>84</v>
      </c>
      <c r="N1063">
        <v>1</v>
      </c>
      <c r="O1063" t="b">
        <v>1</v>
      </c>
      <c r="P1063">
        <v>0</v>
      </c>
      <c r="BB1063">
        <v>0</v>
      </c>
      <c r="BC1063" t="s">
        <v>306</v>
      </c>
      <c r="BD1063" t="s">
        <v>358</v>
      </c>
      <c r="BE1063" t="s">
        <v>117</v>
      </c>
      <c r="BF1063">
        <v>0</v>
      </c>
      <c r="BG1063">
        <v>30</v>
      </c>
      <c r="BH1063">
        <v>500</v>
      </c>
      <c r="BI1063" t="s">
        <v>359</v>
      </c>
    </row>
    <row r="1064" spans="1:61">
      <c r="A1064" s="164" t="s">
        <v>2714</v>
      </c>
      <c r="B1064" t="s">
        <v>2715</v>
      </c>
      <c r="C1064">
        <v>0</v>
      </c>
      <c r="D1064" t="s">
        <v>304</v>
      </c>
      <c r="E1064">
        <v>0</v>
      </c>
      <c r="F1064" t="s">
        <v>269</v>
      </c>
      <c r="G1064" t="s">
        <v>103</v>
      </c>
      <c r="H1064" t="s">
        <v>104</v>
      </c>
      <c r="I1064" t="s">
        <v>80</v>
      </c>
      <c r="J1064" t="s">
        <v>196</v>
      </c>
      <c r="K1064" t="s">
        <v>13</v>
      </c>
      <c r="L1064" t="s">
        <v>83</v>
      </c>
      <c r="M1064" t="s">
        <v>84</v>
      </c>
      <c r="N1064">
        <v>1</v>
      </c>
      <c r="O1064" t="b">
        <v>0</v>
      </c>
      <c r="P1064">
        <v>0</v>
      </c>
      <c r="BB1064">
        <v>0</v>
      </c>
      <c r="BC1064" t="s">
        <v>306</v>
      </c>
      <c r="BD1064" t="s">
        <v>270</v>
      </c>
      <c r="BE1064" t="s">
        <v>117</v>
      </c>
      <c r="BF1064">
        <v>0</v>
      </c>
      <c r="BG1064">
        <v>0</v>
      </c>
      <c r="BH1064">
        <v>0</v>
      </c>
    </row>
    <row r="1065" spans="1:61">
      <c r="A1065" s="164" t="s">
        <v>2716</v>
      </c>
      <c r="B1065" t="s">
        <v>2717</v>
      </c>
      <c r="C1065">
        <v>0</v>
      </c>
      <c r="D1065" t="s">
        <v>304</v>
      </c>
      <c r="E1065">
        <v>0</v>
      </c>
      <c r="F1065" t="s">
        <v>269</v>
      </c>
      <c r="G1065" t="s">
        <v>103</v>
      </c>
      <c r="H1065" t="s">
        <v>104</v>
      </c>
      <c r="I1065" t="s">
        <v>80</v>
      </c>
      <c r="J1065" t="s">
        <v>196</v>
      </c>
      <c r="K1065" t="s">
        <v>13</v>
      </c>
      <c r="L1065" t="s">
        <v>83</v>
      </c>
      <c r="M1065" t="s">
        <v>84</v>
      </c>
      <c r="N1065">
        <v>1</v>
      </c>
      <c r="O1065" t="b">
        <v>0</v>
      </c>
      <c r="P1065">
        <v>0</v>
      </c>
      <c r="BB1065">
        <v>0</v>
      </c>
      <c r="BC1065" t="s">
        <v>306</v>
      </c>
      <c r="BD1065" t="s">
        <v>270</v>
      </c>
      <c r="BE1065" t="s">
        <v>117</v>
      </c>
      <c r="BF1065">
        <v>0</v>
      </c>
      <c r="BG1065">
        <v>0</v>
      </c>
      <c r="BH1065">
        <v>0</v>
      </c>
    </row>
    <row r="1066" spans="1:61">
      <c r="A1066" s="164" t="s">
        <v>2718</v>
      </c>
      <c r="B1066" t="s">
        <v>2719</v>
      </c>
      <c r="C1066">
        <v>0</v>
      </c>
      <c r="D1066" t="s">
        <v>304</v>
      </c>
      <c r="E1066">
        <v>0</v>
      </c>
      <c r="F1066" t="s">
        <v>342</v>
      </c>
      <c r="G1066" t="s">
        <v>78</v>
      </c>
      <c r="H1066" t="s">
        <v>79</v>
      </c>
      <c r="I1066" t="s">
        <v>80</v>
      </c>
      <c r="J1066" t="s">
        <v>196</v>
      </c>
      <c r="K1066" t="s">
        <v>13</v>
      </c>
      <c r="L1066" t="s">
        <v>83</v>
      </c>
      <c r="M1066" t="s">
        <v>84</v>
      </c>
      <c r="N1066">
        <v>1</v>
      </c>
      <c r="O1066" t="b">
        <v>1</v>
      </c>
      <c r="P1066">
        <v>0</v>
      </c>
      <c r="BB1066">
        <v>0</v>
      </c>
      <c r="BC1066" t="s">
        <v>306</v>
      </c>
      <c r="BD1066" t="s">
        <v>343</v>
      </c>
      <c r="BE1066" t="s">
        <v>117</v>
      </c>
      <c r="BF1066">
        <v>0</v>
      </c>
      <c r="BG1066">
        <v>25</v>
      </c>
      <c r="BH1066">
        <v>10000</v>
      </c>
      <c r="BI1066" t="s">
        <v>344</v>
      </c>
    </row>
    <row r="1067" spans="1:61">
      <c r="A1067" s="164" t="s">
        <v>2720</v>
      </c>
      <c r="B1067" t="s">
        <v>2721</v>
      </c>
      <c r="C1067">
        <v>0</v>
      </c>
      <c r="D1067" t="s">
        <v>304</v>
      </c>
      <c r="E1067">
        <v>0</v>
      </c>
      <c r="F1067" t="s">
        <v>456</v>
      </c>
      <c r="G1067" t="s">
        <v>78</v>
      </c>
      <c r="H1067" t="s">
        <v>79</v>
      </c>
      <c r="I1067" t="s">
        <v>80</v>
      </c>
      <c r="J1067" t="s">
        <v>196</v>
      </c>
      <c r="K1067" t="s">
        <v>13</v>
      </c>
      <c r="L1067" t="s">
        <v>83</v>
      </c>
      <c r="M1067" t="s">
        <v>84</v>
      </c>
      <c r="N1067">
        <v>1</v>
      </c>
      <c r="O1067" t="b">
        <v>1</v>
      </c>
      <c r="P1067">
        <v>0</v>
      </c>
      <c r="BB1067">
        <v>0</v>
      </c>
      <c r="BC1067" t="s">
        <v>306</v>
      </c>
      <c r="BD1067" t="s">
        <v>457</v>
      </c>
      <c r="BE1067" t="s">
        <v>117</v>
      </c>
      <c r="BF1067">
        <v>0</v>
      </c>
      <c r="BG1067">
        <v>120</v>
      </c>
      <c r="BH1067">
        <v>1000000</v>
      </c>
      <c r="BI1067" t="s">
        <v>458</v>
      </c>
    </row>
    <row r="1068" spans="1:61">
      <c r="A1068" s="164" t="s">
        <v>2722</v>
      </c>
      <c r="B1068" t="s">
        <v>2723</v>
      </c>
      <c r="C1068">
        <v>0</v>
      </c>
      <c r="D1068" t="s">
        <v>304</v>
      </c>
      <c r="E1068">
        <v>0</v>
      </c>
      <c r="F1068" t="s">
        <v>305</v>
      </c>
      <c r="G1068" t="s">
        <v>78</v>
      </c>
      <c r="H1068" t="s">
        <v>79</v>
      </c>
      <c r="I1068" t="s">
        <v>80</v>
      </c>
      <c r="J1068" t="s">
        <v>196</v>
      </c>
      <c r="K1068" t="s">
        <v>13</v>
      </c>
      <c r="L1068" t="s">
        <v>83</v>
      </c>
      <c r="M1068" t="s">
        <v>84</v>
      </c>
      <c r="N1068">
        <v>1</v>
      </c>
      <c r="O1068" t="b">
        <v>1</v>
      </c>
      <c r="P1068">
        <v>0</v>
      </c>
      <c r="BB1068">
        <v>0</v>
      </c>
      <c r="BC1068" t="s">
        <v>306</v>
      </c>
      <c r="BD1068" t="s">
        <v>307</v>
      </c>
      <c r="BE1068" t="s">
        <v>117</v>
      </c>
      <c r="BF1068">
        <v>0</v>
      </c>
      <c r="BG1068">
        <v>25</v>
      </c>
      <c r="BH1068">
        <v>10000</v>
      </c>
      <c r="BI1068" t="s">
        <v>308</v>
      </c>
    </row>
    <row r="1069" spans="1:61">
      <c r="A1069" s="164" t="s">
        <v>2724</v>
      </c>
      <c r="B1069" t="s">
        <v>2725</v>
      </c>
      <c r="C1069">
        <v>0</v>
      </c>
      <c r="D1069" t="s">
        <v>304</v>
      </c>
      <c r="E1069">
        <v>0</v>
      </c>
      <c r="F1069" t="s">
        <v>349</v>
      </c>
      <c r="G1069" t="s">
        <v>78</v>
      </c>
      <c r="H1069" t="s">
        <v>79</v>
      </c>
      <c r="I1069" t="s">
        <v>80</v>
      </c>
      <c r="J1069" t="s">
        <v>196</v>
      </c>
      <c r="K1069" t="s">
        <v>13</v>
      </c>
      <c r="L1069" t="s">
        <v>83</v>
      </c>
      <c r="M1069" t="s">
        <v>84</v>
      </c>
      <c r="N1069">
        <v>1</v>
      </c>
      <c r="O1069" t="b">
        <v>1</v>
      </c>
      <c r="P1069">
        <v>0</v>
      </c>
      <c r="BB1069">
        <v>0</v>
      </c>
      <c r="BC1069" t="s">
        <v>306</v>
      </c>
      <c r="BD1069" t="s">
        <v>350</v>
      </c>
      <c r="BE1069" t="s">
        <v>117</v>
      </c>
      <c r="BF1069">
        <v>0</v>
      </c>
      <c r="BG1069">
        <v>25</v>
      </c>
      <c r="BH1069">
        <v>10000</v>
      </c>
      <c r="BI1069" t="s">
        <v>344</v>
      </c>
    </row>
    <row r="1070" spans="1:61">
      <c r="A1070" s="164" t="s">
        <v>2726</v>
      </c>
      <c r="B1070" t="s">
        <v>638</v>
      </c>
      <c r="C1070">
        <v>0</v>
      </c>
      <c r="D1070" t="s">
        <v>304</v>
      </c>
      <c r="E1070">
        <v>0</v>
      </c>
      <c r="F1070" t="s">
        <v>269</v>
      </c>
      <c r="G1070" t="s">
        <v>103</v>
      </c>
      <c r="H1070" t="s">
        <v>104</v>
      </c>
      <c r="I1070" t="s">
        <v>80</v>
      </c>
      <c r="J1070" t="s">
        <v>196</v>
      </c>
      <c r="K1070" t="s">
        <v>13</v>
      </c>
      <c r="L1070" t="s">
        <v>83</v>
      </c>
      <c r="M1070" t="s">
        <v>84</v>
      </c>
      <c r="N1070">
        <v>1</v>
      </c>
      <c r="O1070" t="b">
        <v>0</v>
      </c>
      <c r="P1070">
        <v>0</v>
      </c>
      <c r="BB1070">
        <v>0</v>
      </c>
      <c r="BC1070" t="s">
        <v>306</v>
      </c>
      <c r="BD1070" t="s">
        <v>270</v>
      </c>
      <c r="BE1070" t="s">
        <v>117</v>
      </c>
      <c r="BF1070">
        <v>0</v>
      </c>
      <c r="BG1070">
        <v>0</v>
      </c>
      <c r="BH1070">
        <v>0</v>
      </c>
    </row>
    <row r="1071" spans="1:61">
      <c r="A1071" s="164" t="s">
        <v>2727</v>
      </c>
      <c r="B1071" t="s">
        <v>2728</v>
      </c>
      <c r="C1071">
        <v>0</v>
      </c>
      <c r="D1071" t="s">
        <v>304</v>
      </c>
      <c r="E1071">
        <v>0</v>
      </c>
      <c r="F1071" t="s">
        <v>269</v>
      </c>
      <c r="G1071" t="s">
        <v>103</v>
      </c>
      <c r="H1071" t="s">
        <v>104</v>
      </c>
      <c r="I1071" t="s">
        <v>80</v>
      </c>
      <c r="J1071" t="s">
        <v>196</v>
      </c>
      <c r="K1071" t="s">
        <v>13</v>
      </c>
      <c r="L1071" t="s">
        <v>83</v>
      </c>
      <c r="M1071" t="s">
        <v>84</v>
      </c>
      <c r="N1071">
        <v>1</v>
      </c>
      <c r="O1071" t="b">
        <v>0</v>
      </c>
      <c r="P1071">
        <v>0</v>
      </c>
      <c r="BB1071">
        <v>0</v>
      </c>
      <c r="BC1071" t="s">
        <v>306</v>
      </c>
      <c r="BD1071" t="s">
        <v>270</v>
      </c>
      <c r="BE1071" t="s">
        <v>117</v>
      </c>
      <c r="BF1071">
        <v>0</v>
      </c>
      <c r="BG1071">
        <v>0</v>
      </c>
      <c r="BH1071">
        <v>0</v>
      </c>
    </row>
    <row r="1072" spans="1:61">
      <c r="A1072" s="164" t="s">
        <v>2729</v>
      </c>
      <c r="B1072" t="s">
        <v>2730</v>
      </c>
      <c r="C1072">
        <v>0</v>
      </c>
      <c r="D1072" t="s">
        <v>304</v>
      </c>
      <c r="E1072">
        <v>0</v>
      </c>
      <c r="F1072" t="s">
        <v>305</v>
      </c>
      <c r="G1072" t="s">
        <v>78</v>
      </c>
      <c r="H1072" t="s">
        <v>79</v>
      </c>
      <c r="I1072" t="s">
        <v>80</v>
      </c>
      <c r="J1072" t="s">
        <v>196</v>
      </c>
      <c r="K1072" t="s">
        <v>13</v>
      </c>
      <c r="L1072" t="s">
        <v>83</v>
      </c>
      <c r="M1072" t="s">
        <v>84</v>
      </c>
      <c r="N1072">
        <v>1</v>
      </c>
      <c r="O1072" t="b">
        <v>1</v>
      </c>
      <c r="P1072">
        <v>0</v>
      </c>
      <c r="BB1072">
        <v>0</v>
      </c>
      <c r="BC1072" t="s">
        <v>306</v>
      </c>
      <c r="BD1072" t="s">
        <v>307</v>
      </c>
      <c r="BE1072" t="s">
        <v>117</v>
      </c>
      <c r="BF1072">
        <v>0</v>
      </c>
      <c r="BG1072">
        <v>25</v>
      </c>
      <c r="BH1072">
        <v>10000</v>
      </c>
      <c r="BI1072" t="s">
        <v>308</v>
      </c>
    </row>
    <row r="1073" spans="1:61">
      <c r="A1073" s="164" t="s">
        <v>2731</v>
      </c>
      <c r="B1073" t="s">
        <v>2732</v>
      </c>
      <c r="C1073">
        <v>0</v>
      </c>
      <c r="D1073" t="s">
        <v>304</v>
      </c>
      <c r="E1073">
        <v>0</v>
      </c>
      <c r="F1073" t="s">
        <v>342</v>
      </c>
      <c r="G1073" t="s">
        <v>78</v>
      </c>
      <c r="H1073" t="s">
        <v>79</v>
      </c>
      <c r="I1073" t="s">
        <v>80</v>
      </c>
      <c r="J1073" t="s">
        <v>196</v>
      </c>
      <c r="K1073" t="s">
        <v>13</v>
      </c>
      <c r="L1073" t="s">
        <v>83</v>
      </c>
      <c r="M1073" t="s">
        <v>84</v>
      </c>
      <c r="N1073">
        <v>1</v>
      </c>
      <c r="O1073" t="b">
        <v>1</v>
      </c>
      <c r="P1073">
        <v>0</v>
      </c>
      <c r="BB1073">
        <v>0</v>
      </c>
      <c r="BC1073" t="s">
        <v>306</v>
      </c>
      <c r="BD1073" t="s">
        <v>343</v>
      </c>
      <c r="BE1073" t="s">
        <v>117</v>
      </c>
      <c r="BF1073">
        <v>0</v>
      </c>
      <c r="BG1073">
        <v>25</v>
      </c>
      <c r="BH1073">
        <v>10000</v>
      </c>
      <c r="BI1073" t="s">
        <v>344</v>
      </c>
    </row>
    <row r="1074" spans="1:61">
      <c r="A1074" s="164" t="s">
        <v>2733</v>
      </c>
      <c r="B1074" t="s">
        <v>2734</v>
      </c>
      <c r="C1074">
        <v>0</v>
      </c>
      <c r="D1074" t="s">
        <v>304</v>
      </c>
      <c r="E1074">
        <v>0</v>
      </c>
      <c r="F1074" t="s">
        <v>342</v>
      </c>
      <c r="G1074" t="s">
        <v>78</v>
      </c>
      <c r="H1074" t="s">
        <v>79</v>
      </c>
      <c r="I1074" t="s">
        <v>80</v>
      </c>
      <c r="J1074" t="s">
        <v>196</v>
      </c>
      <c r="K1074" t="s">
        <v>13</v>
      </c>
      <c r="L1074" t="s">
        <v>83</v>
      </c>
      <c r="M1074" t="s">
        <v>84</v>
      </c>
      <c r="N1074">
        <v>1</v>
      </c>
      <c r="O1074" t="b">
        <v>1</v>
      </c>
      <c r="P1074">
        <v>0</v>
      </c>
      <c r="BB1074">
        <v>0</v>
      </c>
      <c r="BC1074" t="s">
        <v>306</v>
      </c>
      <c r="BD1074" t="s">
        <v>343</v>
      </c>
      <c r="BE1074" t="s">
        <v>117</v>
      </c>
      <c r="BF1074">
        <v>0</v>
      </c>
      <c r="BG1074">
        <v>25</v>
      </c>
      <c r="BH1074">
        <v>10000</v>
      </c>
      <c r="BI1074" t="s">
        <v>344</v>
      </c>
    </row>
    <row r="1075" spans="1:61">
      <c r="A1075" s="164" t="s">
        <v>2735</v>
      </c>
      <c r="B1075" t="s">
        <v>2736</v>
      </c>
      <c r="C1075">
        <v>0</v>
      </c>
      <c r="D1075" t="s">
        <v>304</v>
      </c>
      <c r="E1075">
        <v>0</v>
      </c>
      <c r="F1075" t="s">
        <v>342</v>
      </c>
      <c r="G1075" t="s">
        <v>78</v>
      </c>
      <c r="H1075" t="s">
        <v>79</v>
      </c>
      <c r="I1075" t="s">
        <v>80</v>
      </c>
      <c r="J1075" t="s">
        <v>196</v>
      </c>
      <c r="K1075" t="s">
        <v>13</v>
      </c>
      <c r="L1075" t="s">
        <v>83</v>
      </c>
      <c r="M1075" t="s">
        <v>84</v>
      </c>
      <c r="N1075">
        <v>1</v>
      </c>
      <c r="O1075" t="b">
        <v>1</v>
      </c>
      <c r="P1075">
        <v>0</v>
      </c>
      <c r="BB1075">
        <v>0</v>
      </c>
      <c r="BC1075" t="s">
        <v>306</v>
      </c>
      <c r="BD1075" t="s">
        <v>343</v>
      </c>
      <c r="BE1075" t="s">
        <v>117</v>
      </c>
      <c r="BF1075">
        <v>0</v>
      </c>
      <c r="BG1075">
        <v>25</v>
      </c>
      <c r="BH1075">
        <v>10000</v>
      </c>
      <c r="BI1075" t="s">
        <v>344</v>
      </c>
    </row>
    <row r="1076" spans="1:61">
      <c r="A1076" s="164" t="s">
        <v>2737</v>
      </c>
      <c r="B1076" t="s">
        <v>2738</v>
      </c>
      <c r="C1076">
        <v>0</v>
      </c>
      <c r="D1076" t="s">
        <v>304</v>
      </c>
      <c r="E1076">
        <v>0</v>
      </c>
      <c r="F1076" t="s">
        <v>342</v>
      </c>
      <c r="G1076" t="s">
        <v>78</v>
      </c>
      <c r="H1076" t="s">
        <v>79</v>
      </c>
      <c r="I1076" t="s">
        <v>80</v>
      </c>
      <c r="J1076" t="s">
        <v>196</v>
      </c>
      <c r="K1076" t="s">
        <v>13</v>
      </c>
      <c r="L1076" t="s">
        <v>83</v>
      </c>
      <c r="M1076" t="s">
        <v>84</v>
      </c>
      <c r="N1076">
        <v>1</v>
      </c>
      <c r="O1076" t="b">
        <v>1</v>
      </c>
      <c r="P1076">
        <v>0</v>
      </c>
      <c r="BB1076">
        <v>0</v>
      </c>
      <c r="BC1076" t="s">
        <v>306</v>
      </c>
      <c r="BD1076" t="s">
        <v>343</v>
      </c>
      <c r="BE1076" t="s">
        <v>117</v>
      </c>
      <c r="BF1076">
        <v>0</v>
      </c>
      <c r="BG1076">
        <v>25</v>
      </c>
      <c r="BH1076">
        <v>10000</v>
      </c>
      <c r="BI1076" t="s">
        <v>344</v>
      </c>
    </row>
    <row r="1077" spans="1:61">
      <c r="A1077" s="164" t="s">
        <v>2739</v>
      </c>
      <c r="B1077" t="s">
        <v>2740</v>
      </c>
      <c r="C1077">
        <v>0</v>
      </c>
      <c r="D1077" t="s">
        <v>304</v>
      </c>
      <c r="E1077">
        <v>0</v>
      </c>
      <c r="F1077" t="s">
        <v>342</v>
      </c>
      <c r="G1077" t="s">
        <v>78</v>
      </c>
      <c r="H1077" t="s">
        <v>79</v>
      </c>
      <c r="I1077" t="s">
        <v>80</v>
      </c>
      <c r="J1077" t="s">
        <v>196</v>
      </c>
      <c r="K1077" t="s">
        <v>13</v>
      </c>
      <c r="L1077" t="s">
        <v>83</v>
      </c>
      <c r="M1077" t="s">
        <v>84</v>
      </c>
      <c r="N1077">
        <v>1</v>
      </c>
      <c r="O1077" t="b">
        <v>1</v>
      </c>
      <c r="P1077">
        <v>0</v>
      </c>
      <c r="BB1077">
        <v>0</v>
      </c>
      <c r="BC1077" t="s">
        <v>306</v>
      </c>
      <c r="BD1077" t="s">
        <v>343</v>
      </c>
      <c r="BE1077" t="s">
        <v>117</v>
      </c>
      <c r="BF1077">
        <v>0</v>
      </c>
      <c r="BG1077">
        <v>25</v>
      </c>
      <c r="BH1077">
        <v>10000</v>
      </c>
      <c r="BI1077" t="s">
        <v>344</v>
      </c>
    </row>
    <row r="1078" spans="1:61">
      <c r="A1078" s="164" t="s">
        <v>2741</v>
      </c>
      <c r="B1078" t="s">
        <v>2742</v>
      </c>
      <c r="C1078">
        <v>0</v>
      </c>
      <c r="D1078" t="s">
        <v>304</v>
      </c>
      <c r="E1078">
        <v>0</v>
      </c>
      <c r="F1078" t="s">
        <v>342</v>
      </c>
      <c r="G1078" t="s">
        <v>78</v>
      </c>
      <c r="H1078" t="s">
        <v>79</v>
      </c>
      <c r="I1078" t="s">
        <v>80</v>
      </c>
      <c r="J1078" t="s">
        <v>196</v>
      </c>
      <c r="K1078" t="s">
        <v>13</v>
      </c>
      <c r="L1078" t="s">
        <v>83</v>
      </c>
      <c r="M1078" t="s">
        <v>205</v>
      </c>
      <c r="N1078">
        <v>1</v>
      </c>
      <c r="O1078" t="b">
        <v>1</v>
      </c>
      <c r="P1078">
        <v>0</v>
      </c>
      <c r="BB1078">
        <v>0</v>
      </c>
      <c r="BC1078" t="s">
        <v>306</v>
      </c>
      <c r="BD1078" t="s">
        <v>343</v>
      </c>
      <c r="BE1078" t="s">
        <v>117</v>
      </c>
      <c r="BF1078">
        <v>0</v>
      </c>
      <c r="BG1078">
        <v>25</v>
      </c>
      <c r="BH1078">
        <v>10000</v>
      </c>
      <c r="BI1078" t="s">
        <v>344</v>
      </c>
    </row>
    <row r="1079" spans="1:61">
      <c r="A1079" s="164" t="s">
        <v>2743</v>
      </c>
      <c r="B1079" t="s">
        <v>2744</v>
      </c>
      <c r="C1079">
        <v>0</v>
      </c>
      <c r="D1079" t="s">
        <v>304</v>
      </c>
      <c r="E1079">
        <v>0</v>
      </c>
      <c r="F1079" t="s">
        <v>342</v>
      </c>
      <c r="G1079" t="s">
        <v>78</v>
      </c>
      <c r="H1079" t="s">
        <v>79</v>
      </c>
      <c r="I1079" t="s">
        <v>80</v>
      </c>
      <c r="J1079" t="s">
        <v>196</v>
      </c>
      <c r="K1079" t="s">
        <v>13</v>
      </c>
      <c r="L1079" t="s">
        <v>83</v>
      </c>
      <c r="M1079" t="s">
        <v>84</v>
      </c>
      <c r="N1079">
        <v>1</v>
      </c>
      <c r="O1079" t="b">
        <v>1</v>
      </c>
      <c r="P1079">
        <v>0</v>
      </c>
      <c r="BB1079">
        <v>0</v>
      </c>
      <c r="BC1079" t="s">
        <v>306</v>
      </c>
      <c r="BD1079" t="s">
        <v>343</v>
      </c>
      <c r="BE1079" t="s">
        <v>117</v>
      </c>
      <c r="BF1079">
        <v>0</v>
      </c>
      <c r="BG1079">
        <v>25</v>
      </c>
      <c r="BH1079">
        <v>10000</v>
      </c>
      <c r="BI1079" t="s">
        <v>344</v>
      </c>
    </row>
    <row r="1080" spans="1:61">
      <c r="A1080" s="164" t="s">
        <v>2745</v>
      </c>
      <c r="B1080" t="s">
        <v>2746</v>
      </c>
      <c r="C1080">
        <v>0</v>
      </c>
      <c r="D1080" t="s">
        <v>304</v>
      </c>
      <c r="E1080">
        <v>0</v>
      </c>
      <c r="F1080" t="s">
        <v>342</v>
      </c>
      <c r="G1080" t="s">
        <v>78</v>
      </c>
      <c r="H1080" t="s">
        <v>79</v>
      </c>
      <c r="I1080" t="s">
        <v>80</v>
      </c>
      <c r="J1080" t="s">
        <v>196</v>
      </c>
      <c r="K1080" t="s">
        <v>13</v>
      </c>
      <c r="L1080" t="s">
        <v>83</v>
      </c>
      <c r="M1080" t="s">
        <v>84</v>
      </c>
      <c r="N1080">
        <v>1</v>
      </c>
      <c r="O1080" t="b">
        <v>1</v>
      </c>
      <c r="P1080">
        <v>0</v>
      </c>
      <c r="BB1080">
        <v>0</v>
      </c>
      <c r="BC1080" t="s">
        <v>306</v>
      </c>
      <c r="BD1080" t="s">
        <v>343</v>
      </c>
      <c r="BE1080" t="s">
        <v>117</v>
      </c>
      <c r="BF1080">
        <v>0</v>
      </c>
      <c r="BG1080">
        <v>25</v>
      </c>
      <c r="BH1080">
        <v>10000</v>
      </c>
      <c r="BI1080" t="s">
        <v>344</v>
      </c>
    </row>
    <row r="1081" spans="1:61">
      <c r="A1081" s="164" t="s">
        <v>2747</v>
      </c>
      <c r="B1081" t="s">
        <v>2748</v>
      </c>
      <c r="C1081">
        <v>0</v>
      </c>
      <c r="D1081" t="s">
        <v>304</v>
      </c>
      <c r="E1081">
        <v>0</v>
      </c>
      <c r="F1081" t="s">
        <v>342</v>
      </c>
      <c r="G1081" t="s">
        <v>78</v>
      </c>
      <c r="H1081" t="s">
        <v>79</v>
      </c>
      <c r="I1081" t="s">
        <v>80</v>
      </c>
      <c r="J1081" t="s">
        <v>196</v>
      </c>
      <c r="K1081" t="s">
        <v>13</v>
      </c>
      <c r="L1081" t="s">
        <v>83</v>
      </c>
      <c r="M1081" t="s">
        <v>84</v>
      </c>
      <c r="N1081">
        <v>1</v>
      </c>
      <c r="O1081" t="b">
        <v>1</v>
      </c>
      <c r="P1081">
        <v>0</v>
      </c>
      <c r="BB1081">
        <v>0</v>
      </c>
      <c r="BC1081" t="s">
        <v>306</v>
      </c>
      <c r="BD1081" t="s">
        <v>343</v>
      </c>
      <c r="BE1081" t="s">
        <v>117</v>
      </c>
      <c r="BF1081">
        <v>0</v>
      </c>
      <c r="BG1081">
        <v>25</v>
      </c>
      <c r="BH1081">
        <v>10000</v>
      </c>
      <c r="BI1081" t="s">
        <v>344</v>
      </c>
    </row>
    <row r="1082" spans="1:61">
      <c r="A1082" s="164" t="s">
        <v>2749</v>
      </c>
      <c r="B1082" t="s">
        <v>2750</v>
      </c>
      <c r="C1082">
        <v>0</v>
      </c>
      <c r="D1082" t="s">
        <v>304</v>
      </c>
      <c r="E1082">
        <v>0</v>
      </c>
      <c r="F1082" t="s">
        <v>269</v>
      </c>
      <c r="G1082" t="s">
        <v>103</v>
      </c>
      <c r="H1082" t="s">
        <v>104</v>
      </c>
      <c r="I1082" t="s">
        <v>80</v>
      </c>
      <c r="J1082" t="s">
        <v>196</v>
      </c>
      <c r="K1082" t="s">
        <v>13</v>
      </c>
      <c r="L1082" t="s">
        <v>83</v>
      </c>
      <c r="M1082" t="s">
        <v>84</v>
      </c>
      <c r="N1082">
        <v>1</v>
      </c>
      <c r="O1082" t="b">
        <v>0</v>
      </c>
      <c r="P1082">
        <v>0</v>
      </c>
      <c r="BB1082">
        <v>0</v>
      </c>
      <c r="BC1082" t="s">
        <v>306</v>
      </c>
      <c r="BD1082" t="s">
        <v>270</v>
      </c>
      <c r="BE1082" t="s">
        <v>117</v>
      </c>
      <c r="BF1082">
        <v>0</v>
      </c>
      <c r="BG1082">
        <v>0</v>
      </c>
      <c r="BH1082">
        <v>0</v>
      </c>
    </row>
    <row r="1083" spans="1:61">
      <c r="A1083" s="164" t="s">
        <v>2751</v>
      </c>
      <c r="B1083" t="s">
        <v>2752</v>
      </c>
      <c r="C1083">
        <v>0</v>
      </c>
      <c r="D1083" t="s">
        <v>304</v>
      </c>
      <c r="E1083">
        <v>0</v>
      </c>
      <c r="F1083" t="s">
        <v>269</v>
      </c>
      <c r="G1083" t="s">
        <v>103</v>
      </c>
      <c r="H1083" t="s">
        <v>104</v>
      </c>
      <c r="I1083" t="s">
        <v>80</v>
      </c>
      <c r="J1083" t="s">
        <v>196</v>
      </c>
      <c r="K1083" t="s">
        <v>13</v>
      </c>
      <c r="L1083" t="s">
        <v>83</v>
      </c>
      <c r="M1083" t="s">
        <v>84</v>
      </c>
      <c r="N1083">
        <v>1</v>
      </c>
      <c r="O1083" t="b">
        <v>0</v>
      </c>
      <c r="P1083">
        <v>0</v>
      </c>
      <c r="BB1083">
        <v>0</v>
      </c>
      <c r="BC1083" t="s">
        <v>306</v>
      </c>
      <c r="BD1083" t="s">
        <v>270</v>
      </c>
      <c r="BE1083" t="s">
        <v>117</v>
      </c>
      <c r="BF1083">
        <v>0</v>
      </c>
      <c r="BG1083">
        <v>0</v>
      </c>
      <c r="BH1083">
        <v>0</v>
      </c>
    </row>
    <row r="1084" spans="1:61">
      <c r="A1084" s="164" t="s">
        <v>2753</v>
      </c>
      <c r="B1084" t="s">
        <v>2754</v>
      </c>
      <c r="C1084">
        <v>0</v>
      </c>
      <c r="D1084" t="s">
        <v>304</v>
      </c>
      <c r="E1084">
        <v>0</v>
      </c>
      <c r="F1084" t="s">
        <v>331</v>
      </c>
      <c r="G1084" t="s">
        <v>78</v>
      </c>
      <c r="H1084" t="s">
        <v>79</v>
      </c>
      <c r="I1084" t="s">
        <v>80</v>
      </c>
      <c r="J1084" t="s">
        <v>196</v>
      </c>
      <c r="K1084" t="s">
        <v>13</v>
      </c>
      <c r="L1084" t="s">
        <v>83</v>
      </c>
      <c r="M1084" t="s">
        <v>84</v>
      </c>
      <c r="N1084">
        <v>1</v>
      </c>
      <c r="O1084" t="b">
        <v>1</v>
      </c>
      <c r="P1084">
        <v>0</v>
      </c>
      <c r="BB1084">
        <v>0</v>
      </c>
      <c r="BC1084" t="s">
        <v>306</v>
      </c>
      <c r="BD1084" t="s">
        <v>332</v>
      </c>
      <c r="BE1084" t="s">
        <v>117</v>
      </c>
      <c r="BF1084">
        <v>0</v>
      </c>
      <c r="BG1084">
        <v>60</v>
      </c>
      <c r="BH1084">
        <v>200000</v>
      </c>
      <c r="BI1084" t="s">
        <v>333</v>
      </c>
    </row>
    <row r="1085" spans="1:61">
      <c r="A1085" s="164" t="s">
        <v>2755</v>
      </c>
      <c r="B1085" t="s">
        <v>2756</v>
      </c>
      <c r="C1085">
        <v>0</v>
      </c>
      <c r="D1085" t="s">
        <v>304</v>
      </c>
      <c r="E1085">
        <v>0</v>
      </c>
      <c r="F1085" t="s">
        <v>326</v>
      </c>
      <c r="G1085" t="s">
        <v>78</v>
      </c>
      <c r="H1085" t="s">
        <v>79</v>
      </c>
      <c r="I1085" t="s">
        <v>80</v>
      </c>
      <c r="J1085" t="s">
        <v>196</v>
      </c>
      <c r="K1085" t="s">
        <v>13</v>
      </c>
      <c r="L1085" t="s">
        <v>83</v>
      </c>
      <c r="M1085" t="s">
        <v>84</v>
      </c>
      <c r="N1085">
        <v>1</v>
      </c>
      <c r="O1085" t="b">
        <v>1</v>
      </c>
      <c r="P1085">
        <v>0</v>
      </c>
      <c r="BB1085">
        <v>0</v>
      </c>
      <c r="BC1085" t="s">
        <v>306</v>
      </c>
      <c r="BD1085" t="s">
        <v>327</v>
      </c>
      <c r="BE1085" t="s">
        <v>117</v>
      </c>
      <c r="BF1085">
        <v>0</v>
      </c>
      <c r="BG1085">
        <v>30</v>
      </c>
      <c r="BH1085">
        <v>30000</v>
      </c>
      <c r="BI1085" t="s">
        <v>328</v>
      </c>
    </row>
    <row r="1086" spans="1:61">
      <c r="A1086" s="164" t="s">
        <v>2757</v>
      </c>
      <c r="B1086" t="s">
        <v>2758</v>
      </c>
      <c r="C1086">
        <v>0</v>
      </c>
      <c r="D1086" t="s">
        <v>304</v>
      </c>
      <c r="E1086">
        <v>0</v>
      </c>
      <c r="F1086" t="s">
        <v>349</v>
      </c>
      <c r="G1086" t="s">
        <v>78</v>
      </c>
      <c r="H1086" t="s">
        <v>79</v>
      </c>
      <c r="I1086" t="s">
        <v>80</v>
      </c>
      <c r="J1086" t="s">
        <v>196</v>
      </c>
      <c r="K1086" t="s">
        <v>13</v>
      </c>
      <c r="L1086" t="s">
        <v>83</v>
      </c>
      <c r="M1086" t="s">
        <v>84</v>
      </c>
      <c r="N1086">
        <v>1</v>
      </c>
      <c r="O1086" t="b">
        <v>1</v>
      </c>
      <c r="P1086">
        <v>0</v>
      </c>
      <c r="BB1086">
        <v>0</v>
      </c>
      <c r="BC1086" t="s">
        <v>306</v>
      </c>
      <c r="BD1086" t="s">
        <v>350</v>
      </c>
      <c r="BE1086" t="s">
        <v>117</v>
      </c>
      <c r="BF1086">
        <v>0</v>
      </c>
      <c r="BG1086">
        <v>25</v>
      </c>
      <c r="BH1086">
        <v>10000</v>
      </c>
      <c r="BI1086" t="s">
        <v>344</v>
      </c>
    </row>
    <row r="1087" spans="1:61">
      <c r="A1087" s="164" t="s">
        <v>2759</v>
      </c>
      <c r="B1087" t="s">
        <v>2760</v>
      </c>
      <c r="C1087">
        <v>0</v>
      </c>
      <c r="D1087" t="s">
        <v>304</v>
      </c>
      <c r="E1087">
        <v>0</v>
      </c>
      <c r="F1087" t="s">
        <v>349</v>
      </c>
      <c r="G1087" t="s">
        <v>78</v>
      </c>
      <c r="H1087" t="s">
        <v>79</v>
      </c>
      <c r="I1087" t="s">
        <v>80</v>
      </c>
      <c r="J1087" t="s">
        <v>196</v>
      </c>
      <c r="K1087" t="s">
        <v>13</v>
      </c>
      <c r="L1087" t="s">
        <v>83</v>
      </c>
      <c r="M1087" t="s">
        <v>84</v>
      </c>
      <c r="N1087">
        <v>1</v>
      </c>
      <c r="O1087" t="b">
        <v>1</v>
      </c>
      <c r="P1087">
        <v>0</v>
      </c>
      <c r="BB1087">
        <v>0</v>
      </c>
      <c r="BC1087" t="s">
        <v>306</v>
      </c>
      <c r="BD1087" t="s">
        <v>350</v>
      </c>
      <c r="BE1087" t="s">
        <v>117</v>
      </c>
      <c r="BF1087">
        <v>0</v>
      </c>
      <c r="BG1087">
        <v>25</v>
      </c>
      <c r="BH1087">
        <v>10000</v>
      </c>
      <c r="BI1087" t="s">
        <v>344</v>
      </c>
    </row>
    <row r="1088" spans="1:61">
      <c r="A1088" s="164" t="s">
        <v>2761</v>
      </c>
      <c r="B1088" t="s">
        <v>2762</v>
      </c>
      <c r="C1088">
        <v>0</v>
      </c>
      <c r="D1088" t="s">
        <v>304</v>
      </c>
      <c r="E1088">
        <v>0</v>
      </c>
      <c r="F1088" t="s">
        <v>313</v>
      </c>
      <c r="G1088" t="s">
        <v>78</v>
      </c>
      <c r="H1088" t="s">
        <v>79</v>
      </c>
      <c r="I1088" t="s">
        <v>80</v>
      </c>
      <c r="J1088" t="s">
        <v>196</v>
      </c>
      <c r="K1088" t="s">
        <v>13</v>
      </c>
      <c r="L1088" t="s">
        <v>83</v>
      </c>
      <c r="M1088" t="s">
        <v>205</v>
      </c>
      <c r="N1088">
        <v>1</v>
      </c>
      <c r="O1088" t="b">
        <v>1</v>
      </c>
      <c r="P1088">
        <v>0</v>
      </c>
      <c r="BB1088">
        <v>0</v>
      </c>
      <c r="BC1088" t="s">
        <v>306</v>
      </c>
      <c r="BD1088" t="s">
        <v>314</v>
      </c>
      <c r="BE1088" t="s">
        <v>117</v>
      </c>
      <c r="BF1088">
        <v>0</v>
      </c>
      <c r="BG1088">
        <v>45</v>
      </c>
      <c r="BH1088">
        <v>1000</v>
      </c>
      <c r="BI1088" t="s">
        <v>315</v>
      </c>
    </row>
    <row r="1089" spans="1:61">
      <c r="A1089" s="164" t="s">
        <v>2763</v>
      </c>
      <c r="B1089" t="s">
        <v>2764</v>
      </c>
      <c r="C1089">
        <v>0</v>
      </c>
      <c r="D1089" t="s">
        <v>304</v>
      </c>
      <c r="E1089">
        <v>0</v>
      </c>
      <c r="F1089" t="s">
        <v>342</v>
      </c>
      <c r="G1089" t="s">
        <v>78</v>
      </c>
      <c r="H1089" t="s">
        <v>79</v>
      </c>
      <c r="I1089" t="s">
        <v>80</v>
      </c>
      <c r="J1089" t="s">
        <v>196</v>
      </c>
      <c r="K1089" t="s">
        <v>13</v>
      </c>
      <c r="L1089" t="s">
        <v>83</v>
      </c>
      <c r="M1089" t="s">
        <v>84</v>
      </c>
      <c r="N1089">
        <v>1</v>
      </c>
      <c r="O1089" t="b">
        <v>1</v>
      </c>
      <c r="P1089">
        <v>0</v>
      </c>
      <c r="BB1089">
        <v>0</v>
      </c>
      <c r="BC1089" t="s">
        <v>306</v>
      </c>
      <c r="BD1089" t="s">
        <v>343</v>
      </c>
      <c r="BE1089" t="s">
        <v>117</v>
      </c>
      <c r="BF1089">
        <v>0</v>
      </c>
      <c r="BG1089">
        <v>25</v>
      </c>
      <c r="BH1089">
        <v>10000</v>
      </c>
      <c r="BI1089" t="s">
        <v>344</v>
      </c>
    </row>
    <row r="1090" spans="1:61">
      <c r="A1090" s="164" t="s">
        <v>2765</v>
      </c>
      <c r="B1090" t="s">
        <v>2766</v>
      </c>
      <c r="C1090">
        <v>0</v>
      </c>
      <c r="D1090" t="s">
        <v>304</v>
      </c>
      <c r="E1090">
        <v>0</v>
      </c>
      <c r="F1090" t="s">
        <v>269</v>
      </c>
      <c r="G1090" t="s">
        <v>103</v>
      </c>
      <c r="H1090" t="s">
        <v>104</v>
      </c>
      <c r="I1090" t="s">
        <v>80</v>
      </c>
      <c r="J1090" t="s">
        <v>196</v>
      </c>
      <c r="K1090" t="s">
        <v>13</v>
      </c>
      <c r="L1090" t="s">
        <v>83</v>
      </c>
      <c r="M1090" t="s">
        <v>84</v>
      </c>
      <c r="N1090">
        <v>1</v>
      </c>
      <c r="O1090" t="b">
        <v>0</v>
      </c>
      <c r="P1090">
        <v>0</v>
      </c>
      <c r="BB1090">
        <v>0</v>
      </c>
      <c r="BC1090" t="s">
        <v>306</v>
      </c>
      <c r="BD1090" t="s">
        <v>270</v>
      </c>
      <c r="BE1090" t="s">
        <v>117</v>
      </c>
      <c r="BF1090">
        <v>0</v>
      </c>
      <c r="BG1090">
        <v>0</v>
      </c>
      <c r="BH1090">
        <v>0</v>
      </c>
    </row>
    <row r="1091" spans="1:61">
      <c r="A1091" s="164" t="s">
        <v>2767</v>
      </c>
      <c r="B1091" t="s">
        <v>2768</v>
      </c>
      <c r="C1091">
        <v>0</v>
      </c>
      <c r="D1091" t="s">
        <v>304</v>
      </c>
      <c r="E1091">
        <v>0</v>
      </c>
      <c r="F1091" t="s">
        <v>269</v>
      </c>
      <c r="G1091" t="s">
        <v>103</v>
      </c>
      <c r="H1091" t="s">
        <v>104</v>
      </c>
      <c r="I1091" t="s">
        <v>80</v>
      </c>
      <c r="J1091" t="s">
        <v>196</v>
      </c>
      <c r="K1091" t="s">
        <v>13</v>
      </c>
      <c r="L1091" t="s">
        <v>83</v>
      </c>
      <c r="M1091" t="s">
        <v>84</v>
      </c>
      <c r="N1091">
        <v>1</v>
      </c>
      <c r="O1091" t="b">
        <v>0</v>
      </c>
      <c r="P1091">
        <v>0</v>
      </c>
      <c r="BB1091">
        <v>0</v>
      </c>
      <c r="BC1091" t="s">
        <v>306</v>
      </c>
      <c r="BD1091" t="s">
        <v>270</v>
      </c>
      <c r="BE1091" t="s">
        <v>117</v>
      </c>
      <c r="BF1091">
        <v>0</v>
      </c>
      <c r="BG1091">
        <v>0</v>
      </c>
      <c r="BH1091">
        <v>0</v>
      </c>
    </row>
    <row r="1092" spans="1:61">
      <c r="A1092" s="164" t="s">
        <v>2769</v>
      </c>
      <c r="B1092" t="s">
        <v>2770</v>
      </c>
      <c r="C1092">
        <v>0</v>
      </c>
      <c r="D1092" t="s">
        <v>304</v>
      </c>
      <c r="E1092">
        <v>0</v>
      </c>
      <c r="F1092" t="s">
        <v>342</v>
      </c>
      <c r="G1092" t="s">
        <v>78</v>
      </c>
      <c r="H1092" t="s">
        <v>79</v>
      </c>
      <c r="I1092" t="s">
        <v>80</v>
      </c>
      <c r="J1092" t="s">
        <v>196</v>
      </c>
      <c r="K1092" t="s">
        <v>13</v>
      </c>
      <c r="L1092" t="s">
        <v>83</v>
      </c>
      <c r="M1092" t="s">
        <v>84</v>
      </c>
      <c r="N1092">
        <v>1</v>
      </c>
      <c r="O1092" t="b">
        <v>1</v>
      </c>
      <c r="P1092">
        <v>0</v>
      </c>
      <c r="BB1092">
        <v>0</v>
      </c>
      <c r="BC1092" t="s">
        <v>306</v>
      </c>
      <c r="BD1092" t="s">
        <v>343</v>
      </c>
      <c r="BE1092" t="s">
        <v>117</v>
      </c>
      <c r="BF1092">
        <v>0</v>
      </c>
      <c r="BG1092">
        <v>25</v>
      </c>
      <c r="BH1092">
        <v>10000</v>
      </c>
      <c r="BI1092" t="s">
        <v>344</v>
      </c>
    </row>
    <row r="1093" spans="1:61">
      <c r="A1093" s="164" t="s">
        <v>2771</v>
      </c>
      <c r="B1093" t="s">
        <v>2772</v>
      </c>
      <c r="C1093">
        <v>0</v>
      </c>
      <c r="D1093" t="s">
        <v>304</v>
      </c>
      <c r="E1093">
        <v>0</v>
      </c>
      <c r="F1093" t="s">
        <v>342</v>
      </c>
      <c r="G1093" t="s">
        <v>78</v>
      </c>
      <c r="H1093" t="s">
        <v>79</v>
      </c>
      <c r="I1093" t="s">
        <v>80</v>
      </c>
      <c r="J1093" t="s">
        <v>196</v>
      </c>
      <c r="K1093" t="s">
        <v>13</v>
      </c>
      <c r="L1093" t="s">
        <v>83</v>
      </c>
      <c r="M1093" t="s">
        <v>84</v>
      </c>
      <c r="N1093">
        <v>1</v>
      </c>
      <c r="O1093" t="b">
        <v>1</v>
      </c>
      <c r="P1093">
        <v>0</v>
      </c>
      <c r="BB1093">
        <v>0</v>
      </c>
      <c r="BC1093" t="s">
        <v>306</v>
      </c>
      <c r="BD1093" t="s">
        <v>343</v>
      </c>
      <c r="BE1093" t="s">
        <v>117</v>
      </c>
      <c r="BF1093">
        <v>0</v>
      </c>
      <c r="BG1093">
        <v>25</v>
      </c>
      <c r="BH1093">
        <v>10000</v>
      </c>
      <c r="BI1093" t="s">
        <v>344</v>
      </c>
    </row>
    <row r="1094" spans="1:61">
      <c r="A1094" s="164" t="s">
        <v>2773</v>
      </c>
      <c r="B1094" t="s">
        <v>2774</v>
      </c>
      <c r="C1094">
        <v>0</v>
      </c>
      <c r="D1094" t="s">
        <v>304</v>
      </c>
      <c r="E1094">
        <v>0</v>
      </c>
      <c r="F1094" t="s">
        <v>269</v>
      </c>
      <c r="G1094" t="s">
        <v>103</v>
      </c>
      <c r="H1094" t="s">
        <v>104</v>
      </c>
      <c r="I1094" t="s">
        <v>80</v>
      </c>
      <c r="J1094" t="s">
        <v>196</v>
      </c>
      <c r="K1094" t="s">
        <v>13</v>
      </c>
      <c r="L1094" t="s">
        <v>83</v>
      </c>
      <c r="M1094" t="s">
        <v>84</v>
      </c>
      <c r="N1094">
        <v>1</v>
      </c>
      <c r="O1094" t="b">
        <v>0</v>
      </c>
      <c r="P1094">
        <v>0</v>
      </c>
      <c r="BB1094">
        <v>0</v>
      </c>
      <c r="BC1094" t="s">
        <v>306</v>
      </c>
      <c r="BD1094" t="s">
        <v>270</v>
      </c>
      <c r="BE1094" t="s">
        <v>117</v>
      </c>
      <c r="BF1094">
        <v>0</v>
      </c>
      <c r="BG1094">
        <v>0</v>
      </c>
      <c r="BH1094">
        <v>0</v>
      </c>
    </row>
    <row r="1095" spans="1:61">
      <c r="A1095" s="164" t="s">
        <v>2775</v>
      </c>
      <c r="B1095" t="s">
        <v>2776</v>
      </c>
      <c r="C1095">
        <v>0</v>
      </c>
      <c r="D1095" t="s">
        <v>304</v>
      </c>
      <c r="E1095">
        <v>0</v>
      </c>
      <c r="F1095" t="s">
        <v>647</v>
      </c>
      <c r="G1095" t="s">
        <v>78</v>
      </c>
      <c r="H1095" t="s">
        <v>79</v>
      </c>
      <c r="I1095" t="s">
        <v>80</v>
      </c>
      <c r="J1095" t="s">
        <v>196</v>
      </c>
      <c r="K1095" t="s">
        <v>13</v>
      </c>
      <c r="L1095" t="s">
        <v>83</v>
      </c>
      <c r="M1095" t="s">
        <v>84</v>
      </c>
      <c r="N1095">
        <v>1</v>
      </c>
      <c r="O1095" t="b">
        <v>1</v>
      </c>
      <c r="P1095">
        <v>0</v>
      </c>
      <c r="BB1095">
        <v>0</v>
      </c>
      <c r="BC1095" t="s">
        <v>306</v>
      </c>
      <c r="BD1095" t="s">
        <v>649</v>
      </c>
      <c r="BE1095" t="s">
        <v>117</v>
      </c>
      <c r="BF1095">
        <v>0</v>
      </c>
      <c r="BG1095">
        <v>15</v>
      </c>
      <c r="BH1095">
        <v>720</v>
      </c>
      <c r="BI1095" t="s">
        <v>2777</v>
      </c>
    </row>
    <row r="1096" spans="1:61">
      <c r="A1096" s="164" t="s">
        <v>2778</v>
      </c>
      <c r="B1096" t="s">
        <v>2779</v>
      </c>
      <c r="C1096">
        <v>0</v>
      </c>
      <c r="D1096" t="s">
        <v>304</v>
      </c>
      <c r="E1096">
        <v>0</v>
      </c>
      <c r="F1096" t="s">
        <v>331</v>
      </c>
      <c r="G1096" t="s">
        <v>78</v>
      </c>
      <c r="H1096" t="s">
        <v>79</v>
      </c>
      <c r="I1096" t="s">
        <v>80</v>
      </c>
      <c r="J1096" t="s">
        <v>196</v>
      </c>
      <c r="K1096" t="s">
        <v>13</v>
      </c>
      <c r="L1096" t="s">
        <v>83</v>
      </c>
      <c r="M1096" t="s">
        <v>84</v>
      </c>
      <c r="N1096">
        <v>1</v>
      </c>
      <c r="O1096" t="b">
        <v>1</v>
      </c>
      <c r="P1096">
        <v>0</v>
      </c>
      <c r="BB1096">
        <v>0</v>
      </c>
      <c r="BC1096" t="s">
        <v>306</v>
      </c>
      <c r="BD1096" t="s">
        <v>332</v>
      </c>
      <c r="BE1096" t="s">
        <v>117</v>
      </c>
      <c r="BF1096">
        <v>0</v>
      </c>
      <c r="BG1096">
        <v>60</v>
      </c>
      <c r="BH1096">
        <v>200000</v>
      </c>
      <c r="BI1096" t="s">
        <v>333</v>
      </c>
    </row>
    <row r="1097" spans="1:61">
      <c r="A1097" s="164" t="s">
        <v>2780</v>
      </c>
      <c r="B1097" t="s">
        <v>2781</v>
      </c>
      <c r="C1097">
        <v>0</v>
      </c>
      <c r="D1097" t="s">
        <v>304</v>
      </c>
      <c r="E1097">
        <v>0</v>
      </c>
      <c r="F1097" t="s">
        <v>2782</v>
      </c>
      <c r="G1097" t="s">
        <v>78</v>
      </c>
      <c r="H1097" t="s">
        <v>79</v>
      </c>
      <c r="I1097" t="s">
        <v>80</v>
      </c>
      <c r="J1097" t="s">
        <v>196</v>
      </c>
      <c r="K1097" t="s">
        <v>13</v>
      </c>
      <c r="L1097" t="s">
        <v>83</v>
      </c>
      <c r="M1097" t="s">
        <v>84</v>
      </c>
      <c r="N1097">
        <v>1</v>
      </c>
      <c r="O1097" t="b">
        <v>1</v>
      </c>
      <c r="P1097">
        <v>0</v>
      </c>
      <c r="BB1097">
        <v>0</v>
      </c>
      <c r="BC1097" t="s">
        <v>306</v>
      </c>
      <c r="BD1097" t="s">
        <v>2783</v>
      </c>
      <c r="BE1097" t="s">
        <v>117</v>
      </c>
      <c r="BF1097">
        <v>0</v>
      </c>
      <c r="BG1097">
        <v>25</v>
      </c>
      <c r="BH1097">
        <v>30000</v>
      </c>
      <c r="BI1097" t="s">
        <v>328</v>
      </c>
    </row>
    <row r="1098" spans="1:61">
      <c r="A1098" s="164" t="s">
        <v>2784</v>
      </c>
      <c r="B1098" t="s">
        <v>2785</v>
      </c>
      <c r="C1098">
        <v>0</v>
      </c>
      <c r="D1098" t="s">
        <v>304</v>
      </c>
      <c r="E1098">
        <v>0</v>
      </c>
      <c r="F1098" t="s">
        <v>342</v>
      </c>
      <c r="G1098" t="s">
        <v>78</v>
      </c>
      <c r="H1098" t="s">
        <v>79</v>
      </c>
      <c r="I1098" t="s">
        <v>80</v>
      </c>
      <c r="J1098" t="s">
        <v>196</v>
      </c>
      <c r="K1098" t="s">
        <v>13</v>
      </c>
      <c r="L1098" t="s">
        <v>83</v>
      </c>
      <c r="M1098" t="s">
        <v>84</v>
      </c>
      <c r="N1098">
        <v>1</v>
      </c>
      <c r="O1098" t="b">
        <v>1</v>
      </c>
      <c r="P1098">
        <v>0</v>
      </c>
      <c r="BB1098">
        <v>0</v>
      </c>
      <c r="BC1098" t="s">
        <v>306</v>
      </c>
      <c r="BD1098" t="s">
        <v>343</v>
      </c>
      <c r="BE1098" t="s">
        <v>117</v>
      </c>
      <c r="BF1098">
        <v>0</v>
      </c>
      <c r="BG1098">
        <v>25</v>
      </c>
      <c r="BH1098">
        <v>10000</v>
      </c>
      <c r="BI1098" t="s">
        <v>344</v>
      </c>
    </row>
    <row r="1099" spans="1:61">
      <c r="A1099" s="164" t="s">
        <v>2786</v>
      </c>
      <c r="B1099" t="s">
        <v>2787</v>
      </c>
      <c r="C1099">
        <v>0</v>
      </c>
      <c r="D1099" t="s">
        <v>304</v>
      </c>
      <c r="E1099">
        <v>0</v>
      </c>
      <c r="F1099" t="s">
        <v>670</v>
      </c>
      <c r="G1099" t="s">
        <v>78</v>
      </c>
      <c r="H1099" t="s">
        <v>79</v>
      </c>
      <c r="I1099" t="s">
        <v>80</v>
      </c>
      <c r="J1099" t="s">
        <v>196</v>
      </c>
      <c r="K1099" t="s">
        <v>13</v>
      </c>
      <c r="L1099" t="s">
        <v>83</v>
      </c>
      <c r="M1099" t="s">
        <v>84</v>
      </c>
      <c r="N1099">
        <v>1</v>
      </c>
      <c r="O1099" t="b">
        <v>1</v>
      </c>
      <c r="P1099">
        <v>0</v>
      </c>
      <c r="BB1099">
        <v>0</v>
      </c>
      <c r="BC1099" t="s">
        <v>306</v>
      </c>
      <c r="BD1099" t="s">
        <v>671</v>
      </c>
      <c r="BE1099" t="s">
        <v>117</v>
      </c>
      <c r="BF1099">
        <v>0</v>
      </c>
      <c r="BG1099">
        <v>30</v>
      </c>
      <c r="BH1099">
        <v>10000</v>
      </c>
      <c r="BI1099" t="s">
        <v>2788</v>
      </c>
    </row>
    <row r="1100" spans="1:61">
      <c r="A1100" s="164" t="s">
        <v>2789</v>
      </c>
      <c r="B1100" t="s">
        <v>2790</v>
      </c>
      <c r="C1100">
        <v>0</v>
      </c>
      <c r="D1100" t="s">
        <v>304</v>
      </c>
      <c r="E1100">
        <v>0</v>
      </c>
      <c r="F1100" t="s">
        <v>305</v>
      </c>
      <c r="G1100" t="s">
        <v>78</v>
      </c>
      <c r="H1100" t="s">
        <v>79</v>
      </c>
      <c r="I1100" t="s">
        <v>80</v>
      </c>
      <c r="J1100" t="s">
        <v>196</v>
      </c>
      <c r="K1100" t="s">
        <v>13</v>
      </c>
      <c r="L1100" t="s">
        <v>83</v>
      </c>
      <c r="M1100" t="s">
        <v>84</v>
      </c>
      <c r="N1100">
        <v>1</v>
      </c>
      <c r="O1100" t="b">
        <v>1</v>
      </c>
      <c r="P1100">
        <v>0</v>
      </c>
      <c r="BB1100">
        <v>0</v>
      </c>
      <c r="BC1100" t="s">
        <v>306</v>
      </c>
      <c r="BD1100" t="s">
        <v>307</v>
      </c>
      <c r="BE1100" t="s">
        <v>117</v>
      </c>
      <c r="BF1100">
        <v>0</v>
      </c>
      <c r="BG1100">
        <v>25</v>
      </c>
      <c r="BH1100">
        <v>20000</v>
      </c>
      <c r="BI1100" t="s">
        <v>308</v>
      </c>
    </row>
    <row r="1101" spans="1:61">
      <c r="A1101" s="164" t="s">
        <v>2791</v>
      </c>
      <c r="B1101" t="s">
        <v>2792</v>
      </c>
      <c r="C1101">
        <v>0</v>
      </c>
      <c r="D1101" t="s">
        <v>304</v>
      </c>
      <c r="E1101">
        <v>0</v>
      </c>
      <c r="F1101" t="s">
        <v>269</v>
      </c>
      <c r="G1101" t="s">
        <v>103</v>
      </c>
      <c r="H1101" t="s">
        <v>104</v>
      </c>
      <c r="I1101" t="s">
        <v>80</v>
      </c>
      <c r="J1101" t="s">
        <v>196</v>
      </c>
      <c r="K1101" t="s">
        <v>13</v>
      </c>
      <c r="L1101" t="s">
        <v>83</v>
      </c>
      <c r="M1101" t="s">
        <v>84</v>
      </c>
      <c r="N1101">
        <v>1</v>
      </c>
      <c r="O1101" t="b">
        <v>0</v>
      </c>
      <c r="P1101">
        <v>0</v>
      </c>
      <c r="BB1101">
        <v>0</v>
      </c>
      <c r="BC1101" t="s">
        <v>306</v>
      </c>
      <c r="BD1101" t="s">
        <v>270</v>
      </c>
      <c r="BE1101" t="s">
        <v>117</v>
      </c>
      <c r="BF1101">
        <v>0</v>
      </c>
      <c r="BG1101">
        <v>0</v>
      </c>
      <c r="BH1101">
        <v>0</v>
      </c>
    </row>
    <row r="1102" spans="1:61">
      <c r="A1102" s="164" t="s">
        <v>2793</v>
      </c>
      <c r="B1102" t="s">
        <v>2794</v>
      </c>
      <c r="C1102">
        <v>0</v>
      </c>
      <c r="D1102" t="s">
        <v>304</v>
      </c>
      <c r="E1102">
        <v>0</v>
      </c>
      <c r="F1102" t="s">
        <v>357</v>
      </c>
      <c r="G1102" t="s">
        <v>78</v>
      </c>
      <c r="H1102" t="s">
        <v>79</v>
      </c>
      <c r="I1102" t="s">
        <v>80</v>
      </c>
      <c r="J1102" t="s">
        <v>196</v>
      </c>
      <c r="K1102" t="s">
        <v>13</v>
      </c>
      <c r="L1102" t="s">
        <v>83</v>
      </c>
      <c r="M1102" t="s">
        <v>84</v>
      </c>
      <c r="N1102">
        <v>1</v>
      </c>
      <c r="O1102" t="b">
        <v>1</v>
      </c>
      <c r="P1102">
        <v>0</v>
      </c>
      <c r="BB1102">
        <v>0</v>
      </c>
      <c r="BC1102" t="s">
        <v>306</v>
      </c>
      <c r="BD1102" t="s">
        <v>358</v>
      </c>
      <c r="BE1102" t="s">
        <v>117</v>
      </c>
      <c r="BF1102">
        <v>0</v>
      </c>
      <c r="BG1102">
        <v>25</v>
      </c>
      <c r="BH1102">
        <v>500</v>
      </c>
      <c r="BI1102" t="s">
        <v>359</v>
      </c>
    </row>
    <row r="1103" spans="1:61">
      <c r="A1103" s="164" t="s">
        <v>2795</v>
      </c>
      <c r="B1103" t="s">
        <v>2796</v>
      </c>
      <c r="C1103">
        <v>0</v>
      </c>
      <c r="D1103" t="s">
        <v>304</v>
      </c>
      <c r="E1103">
        <v>0</v>
      </c>
      <c r="F1103" t="s">
        <v>269</v>
      </c>
      <c r="G1103" t="s">
        <v>103</v>
      </c>
      <c r="H1103" t="s">
        <v>104</v>
      </c>
      <c r="I1103" t="s">
        <v>80</v>
      </c>
      <c r="J1103" t="s">
        <v>196</v>
      </c>
      <c r="K1103" t="s">
        <v>13</v>
      </c>
      <c r="L1103" t="s">
        <v>83</v>
      </c>
      <c r="M1103" t="s">
        <v>84</v>
      </c>
      <c r="N1103">
        <v>1</v>
      </c>
      <c r="O1103" t="b">
        <v>0</v>
      </c>
      <c r="P1103">
        <v>0</v>
      </c>
      <c r="BB1103">
        <v>0</v>
      </c>
      <c r="BC1103" t="s">
        <v>306</v>
      </c>
      <c r="BD1103" t="s">
        <v>270</v>
      </c>
      <c r="BE1103" t="s">
        <v>117</v>
      </c>
      <c r="BF1103">
        <v>0</v>
      </c>
      <c r="BG1103">
        <v>0</v>
      </c>
      <c r="BH1103">
        <v>0</v>
      </c>
    </row>
    <row r="1104" spans="1:61">
      <c r="A1104" s="164" t="s">
        <v>2797</v>
      </c>
      <c r="B1104" t="s">
        <v>2798</v>
      </c>
      <c r="C1104">
        <v>0</v>
      </c>
      <c r="D1104" t="s">
        <v>304</v>
      </c>
      <c r="E1104">
        <v>0</v>
      </c>
      <c r="F1104" t="s">
        <v>313</v>
      </c>
      <c r="G1104" t="s">
        <v>78</v>
      </c>
      <c r="H1104" t="s">
        <v>79</v>
      </c>
      <c r="I1104" t="s">
        <v>80</v>
      </c>
      <c r="J1104" t="s">
        <v>196</v>
      </c>
      <c r="K1104" t="s">
        <v>13</v>
      </c>
      <c r="L1104" t="s">
        <v>83</v>
      </c>
      <c r="M1104" t="s">
        <v>205</v>
      </c>
      <c r="N1104">
        <v>1</v>
      </c>
      <c r="O1104" t="b">
        <v>1</v>
      </c>
      <c r="P1104">
        <v>0</v>
      </c>
      <c r="BB1104">
        <v>0</v>
      </c>
      <c r="BC1104" t="s">
        <v>306</v>
      </c>
      <c r="BD1104" t="s">
        <v>314</v>
      </c>
      <c r="BE1104" t="s">
        <v>117</v>
      </c>
      <c r="BF1104">
        <v>0</v>
      </c>
      <c r="BG1104">
        <v>45</v>
      </c>
      <c r="BH1104">
        <v>300</v>
      </c>
      <c r="BI1104" t="s">
        <v>315</v>
      </c>
    </row>
    <row r="1105" spans="1:61">
      <c r="A1105" s="164" t="s">
        <v>2799</v>
      </c>
      <c r="B1105" t="s">
        <v>2800</v>
      </c>
      <c r="C1105">
        <v>0</v>
      </c>
      <c r="D1105" t="s">
        <v>304</v>
      </c>
      <c r="E1105">
        <v>0</v>
      </c>
      <c r="F1105" t="s">
        <v>305</v>
      </c>
      <c r="G1105" t="s">
        <v>78</v>
      </c>
      <c r="H1105" t="s">
        <v>79</v>
      </c>
      <c r="I1105" t="s">
        <v>80</v>
      </c>
      <c r="J1105" t="s">
        <v>196</v>
      </c>
      <c r="K1105" t="s">
        <v>13</v>
      </c>
      <c r="L1105" t="s">
        <v>83</v>
      </c>
      <c r="M1105" t="s">
        <v>84</v>
      </c>
      <c r="N1105">
        <v>1</v>
      </c>
      <c r="O1105" t="b">
        <v>1</v>
      </c>
      <c r="P1105">
        <v>0</v>
      </c>
      <c r="BB1105">
        <v>0</v>
      </c>
      <c r="BC1105" t="s">
        <v>306</v>
      </c>
      <c r="BD1105" t="s">
        <v>307</v>
      </c>
      <c r="BE1105" t="s">
        <v>117</v>
      </c>
      <c r="BF1105">
        <v>0</v>
      </c>
      <c r="BG1105">
        <v>20</v>
      </c>
      <c r="BH1105">
        <v>30000</v>
      </c>
      <c r="BI1105" t="s">
        <v>308</v>
      </c>
    </row>
    <row r="1106" spans="1:61">
      <c r="A1106" s="164" t="s">
        <v>2801</v>
      </c>
      <c r="B1106" t="s">
        <v>2802</v>
      </c>
      <c r="C1106">
        <v>0</v>
      </c>
      <c r="D1106" t="s">
        <v>304</v>
      </c>
      <c r="E1106">
        <v>0</v>
      </c>
      <c r="F1106" t="s">
        <v>342</v>
      </c>
      <c r="G1106" t="s">
        <v>78</v>
      </c>
      <c r="H1106" t="s">
        <v>79</v>
      </c>
      <c r="I1106" t="s">
        <v>80</v>
      </c>
      <c r="J1106" t="s">
        <v>196</v>
      </c>
      <c r="K1106" t="s">
        <v>13</v>
      </c>
      <c r="L1106" t="s">
        <v>83</v>
      </c>
      <c r="M1106" t="s">
        <v>84</v>
      </c>
      <c r="N1106">
        <v>1</v>
      </c>
      <c r="O1106" t="b">
        <v>1</v>
      </c>
      <c r="P1106">
        <v>0</v>
      </c>
      <c r="BB1106">
        <v>0</v>
      </c>
      <c r="BC1106" t="s">
        <v>306</v>
      </c>
      <c r="BD1106" t="s">
        <v>343</v>
      </c>
      <c r="BE1106" t="s">
        <v>117</v>
      </c>
      <c r="BF1106">
        <v>0</v>
      </c>
      <c r="BG1106">
        <v>25</v>
      </c>
      <c r="BH1106">
        <v>10000</v>
      </c>
      <c r="BI1106" t="s">
        <v>344</v>
      </c>
    </row>
    <row r="1107" spans="1:61">
      <c r="A1107" s="164" t="s">
        <v>2803</v>
      </c>
      <c r="B1107" t="s">
        <v>2804</v>
      </c>
      <c r="C1107">
        <v>0</v>
      </c>
      <c r="D1107" t="s">
        <v>304</v>
      </c>
      <c r="E1107">
        <v>0</v>
      </c>
      <c r="F1107" t="s">
        <v>313</v>
      </c>
      <c r="G1107" t="s">
        <v>78</v>
      </c>
      <c r="H1107" t="s">
        <v>79</v>
      </c>
      <c r="I1107" t="s">
        <v>80</v>
      </c>
      <c r="J1107" t="s">
        <v>196</v>
      </c>
      <c r="K1107" t="s">
        <v>13</v>
      </c>
      <c r="L1107" t="s">
        <v>83</v>
      </c>
      <c r="M1107" t="s">
        <v>205</v>
      </c>
      <c r="N1107">
        <v>1</v>
      </c>
      <c r="O1107" t="b">
        <v>1</v>
      </c>
      <c r="P1107">
        <v>0</v>
      </c>
      <c r="BB1107">
        <v>0</v>
      </c>
      <c r="BC1107" t="s">
        <v>306</v>
      </c>
      <c r="BD1107" t="s">
        <v>314</v>
      </c>
      <c r="BE1107" t="s">
        <v>117</v>
      </c>
      <c r="BF1107">
        <v>0</v>
      </c>
      <c r="BG1107">
        <v>45</v>
      </c>
      <c r="BH1107">
        <v>300</v>
      </c>
      <c r="BI1107" t="s">
        <v>315</v>
      </c>
    </row>
    <row r="1108" spans="1:61">
      <c r="A1108" s="164" t="s">
        <v>2805</v>
      </c>
      <c r="B1108" t="s">
        <v>2806</v>
      </c>
      <c r="C1108">
        <v>0</v>
      </c>
      <c r="D1108" t="s">
        <v>304</v>
      </c>
      <c r="E1108">
        <v>0</v>
      </c>
      <c r="F1108" t="s">
        <v>269</v>
      </c>
      <c r="G1108" t="s">
        <v>103</v>
      </c>
      <c r="H1108" t="s">
        <v>104</v>
      </c>
      <c r="I1108" t="s">
        <v>80</v>
      </c>
      <c r="J1108" t="s">
        <v>196</v>
      </c>
      <c r="K1108" t="s">
        <v>13</v>
      </c>
      <c r="L1108" t="s">
        <v>83</v>
      </c>
      <c r="M1108" t="s">
        <v>84</v>
      </c>
      <c r="N1108">
        <v>1</v>
      </c>
      <c r="O1108" t="b">
        <v>0</v>
      </c>
      <c r="P1108">
        <v>0</v>
      </c>
      <c r="BB1108">
        <v>0</v>
      </c>
      <c r="BC1108" t="s">
        <v>306</v>
      </c>
      <c r="BD1108" t="s">
        <v>270</v>
      </c>
      <c r="BE1108" t="s">
        <v>117</v>
      </c>
      <c r="BF1108">
        <v>0</v>
      </c>
      <c r="BG1108">
        <v>0</v>
      </c>
      <c r="BH1108">
        <v>0</v>
      </c>
    </row>
    <row r="1109" spans="1:61">
      <c r="A1109" s="164" t="s">
        <v>2807</v>
      </c>
      <c r="B1109" t="s">
        <v>2808</v>
      </c>
      <c r="C1109">
        <v>0</v>
      </c>
      <c r="D1109" t="s">
        <v>304</v>
      </c>
      <c r="E1109">
        <v>0</v>
      </c>
      <c r="F1109" t="s">
        <v>589</v>
      </c>
      <c r="G1109" t="s">
        <v>78</v>
      </c>
      <c r="H1109" t="s">
        <v>79</v>
      </c>
      <c r="I1109" t="s">
        <v>80</v>
      </c>
      <c r="J1109" t="s">
        <v>196</v>
      </c>
      <c r="K1109" t="s">
        <v>13</v>
      </c>
      <c r="L1109" t="s">
        <v>83</v>
      </c>
      <c r="M1109" t="s">
        <v>84</v>
      </c>
      <c r="N1109">
        <v>1</v>
      </c>
      <c r="O1109" t="b">
        <v>1</v>
      </c>
      <c r="P1109">
        <v>0</v>
      </c>
      <c r="BB1109">
        <v>0</v>
      </c>
      <c r="BC1109" t="s">
        <v>306</v>
      </c>
      <c r="BD1109" t="s">
        <v>590</v>
      </c>
      <c r="BE1109" t="s">
        <v>117</v>
      </c>
      <c r="BF1109">
        <v>0</v>
      </c>
      <c r="BG1109">
        <v>25</v>
      </c>
      <c r="BH1109">
        <v>10000</v>
      </c>
      <c r="BI1109" t="s">
        <v>344</v>
      </c>
    </row>
    <row r="1110" spans="1:61">
      <c r="A1110" s="164" t="s">
        <v>2809</v>
      </c>
      <c r="B1110" t="s">
        <v>2810</v>
      </c>
      <c r="C1110">
        <v>0</v>
      </c>
      <c r="D1110" t="s">
        <v>304</v>
      </c>
      <c r="E1110">
        <v>0</v>
      </c>
      <c r="F1110" t="s">
        <v>357</v>
      </c>
      <c r="G1110" t="s">
        <v>78</v>
      </c>
      <c r="H1110" t="s">
        <v>79</v>
      </c>
      <c r="I1110" t="s">
        <v>80</v>
      </c>
      <c r="J1110" t="s">
        <v>196</v>
      </c>
      <c r="K1110" t="s">
        <v>13</v>
      </c>
      <c r="L1110" t="s">
        <v>83</v>
      </c>
      <c r="M1110" t="s">
        <v>84</v>
      </c>
      <c r="N1110">
        <v>1</v>
      </c>
      <c r="O1110" t="b">
        <v>1</v>
      </c>
      <c r="P1110">
        <v>0</v>
      </c>
      <c r="BB1110">
        <v>0</v>
      </c>
      <c r="BC1110" t="s">
        <v>306</v>
      </c>
      <c r="BD1110" t="s">
        <v>358</v>
      </c>
      <c r="BE1110" t="s">
        <v>117</v>
      </c>
      <c r="BF1110">
        <v>0</v>
      </c>
      <c r="BG1110">
        <v>25</v>
      </c>
      <c r="BH1110">
        <v>500</v>
      </c>
      <c r="BI1110" t="s">
        <v>359</v>
      </c>
    </row>
    <row r="1111" spans="1:61">
      <c r="A1111" s="164" t="s">
        <v>2811</v>
      </c>
      <c r="B1111" t="s">
        <v>2812</v>
      </c>
      <c r="C1111">
        <v>0</v>
      </c>
      <c r="D1111" t="s">
        <v>304</v>
      </c>
      <c r="E1111">
        <v>0</v>
      </c>
      <c r="F1111" t="s">
        <v>357</v>
      </c>
      <c r="G1111" t="s">
        <v>78</v>
      </c>
      <c r="H1111" t="s">
        <v>79</v>
      </c>
      <c r="I1111" t="s">
        <v>80</v>
      </c>
      <c r="J1111" t="s">
        <v>196</v>
      </c>
      <c r="K1111" t="s">
        <v>13</v>
      </c>
      <c r="L1111" t="s">
        <v>83</v>
      </c>
      <c r="M1111" t="s">
        <v>84</v>
      </c>
      <c r="N1111">
        <v>1</v>
      </c>
      <c r="O1111" t="b">
        <v>1</v>
      </c>
      <c r="P1111">
        <v>0</v>
      </c>
      <c r="BB1111">
        <v>0</v>
      </c>
      <c r="BC1111" t="s">
        <v>306</v>
      </c>
      <c r="BD1111" t="s">
        <v>358</v>
      </c>
      <c r="BE1111" t="s">
        <v>117</v>
      </c>
      <c r="BF1111">
        <v>0</v>
      </c>
      <c r="BG1111">
        <v>25</v>
      </c>
      <c r="BH1111">
        <v>500</v>
      </c>
      <c r="BI1111" t="s">
        <v>359</v>
      </c>
    </row>
    <row r="1112" spans="1:61">
      <c r="A1112" s="164" t="s">
        <v>2813</v>
      </c>
      <c r="B1112" t="s">
        <v>2814</v>
      </c>
      <c r="C1112">
        <v>0</v>
      </c>
      <c r="D1112" t="s">
        <v>304</v>
      </c>
      <c r="E1112">
        <v>0</v>
      </c>
      <c r="F1112" t="s">
        <v>357</v>
      </c>
      <c r="G1112" t="s">
        <v>78</v>
      </c>
      <c r="H1112" t="s">
        <v>79</v>
      </c>
      <c r="I1112" t="s">
        <v>80</v>
      </c>
      <c r="J1112" t="s">
        <v>196</v>
      </c>
      <c r="K1112" t="s">
        <v>13</v>
      </c>
      <c r="L1112" t="s">
        <v>83</v>
      </c>
      <c r="M1112" t="s">
        <v>84</v>
      </c>
      <c r="N1112">
        <v>1</v>
      </c>
      <c r="O1112" t="b">
        <v>1</v>
      </c>
      <c r="P1112">
        <v>0</v>
      </c>
      <c r="BB1112">
        <v>0</v>
      </c>
      <c r="BC1112" t="s">
        <v>306</v>
      </c>
      <c r="BD1112" t="s">
        <v>358</v>
      </c>
      <c r="BE1112" t="s">
        <v>117</v>
      </c>
      <c r="BF1112">
        <v>0</v>
      </c>
      <c r="BG1112">
        <v>25</v>
      </c>
      <c r="BH1112">
        <v>500</v>
      </c>
      <c r="BI1112" t="s">
        <v>359</v>
      </c>
    </row>
    <row r="1113" spans="1:61">
      <c r="A1113" s="164" t="s">
        <v>2815</v>
      </c>
      <c r="B1113" t="s">
        <v>2816</v>
      </c>
      <c r="C1113">
        <v>0</v>
      </c>
      <c r="D1113" t="s">
        <v>304</v>
      </c>
      <c r="E1113">
        <v>0</v>
      </c>
      <c r="F1113" t="s">
        <v>357</v>
      </c>
      <c r="G1113" t="s">
        <v>78</v>
      </c>
      <c r="H1113" t="s">
        <v>79</v>
      </c>
      <c r="I1113" t="s">
        <v>80</v>
      </c>
      <c r="J1113" t="s">
        <v>196</v>
      </c>
      <c r="K1113" t="s">
        <v>13</v>
      </c>
      <c r="L1113" t="s">
        <v>83</v>
      </c>
      <c r="M1113" t="s">
        <v>84</v>
      </c>
      <c r="N1113">
        <v>1</v>
      </c>
      <c r="O1113" t="b">
        <v>1</v>
      </c>
      <c r="P1113">
        <v>0</v>
      </c>
      <c r="BB1113">
        <v>0</v>
      </c>
      <c r="BC1113" t="s">
        <v>306</v>
      </c>
      <c r="BD1113" t="s">
        <v>358</v>
      </c>
      <c r="BE1113" t="s">
        <v>117</v>
      </c>
      <c r="BF1113">
        <v>0</v>
      </c>
      <c r="BG1113">
        <v>25</v>
      </c>
      <c r="BH1113">
        <v>500</v>
      </c>
      <c r="BI1113" t="s">
        <v>359</v>
      </c>
    </row>
    <row r="1114" spans="1:61">
      <c r="A1114" s="164" t="s">
        <v>2817</v>
      </c>
      <c r="B1114" t="s">
        <v>2818</v>
      </c>
      <c r="C1114">
        <v>0</v>
      </c>
      <c r="D1114" t="s">
        <v>304</v>
      </c>
      <c r="E1114">
        <v>0</v>
      </c>
      <c r="F1114" t="s">
        <v>357</v>
      </c>
      <c r="G1114" t="s">
        <v>78</v>
      </c>
      <c r="H1114" t="s">
        <v>79</v>
      </c>
      <c r="I1114" t="s">
        <v>80</v>
      </c>
      <c r="J1114" t="s">
        <v>196</v>
      </c>
      <c r="K1114" t="s">
        <v>13</v>
      </c>
      <c r="L1114" t="s">
        <v>83</v>
      </c>
      <c r="M1114" t="s">
        <v>84</v>
      </c>
      <c r="N1114">
        <v>1</v>
      </c>
      <c r="O1114" t="b">
        <v>1</v>
      </c>
      <c r="P1114">
        <v>0</v>
      </c>
      <c r="BB1114">
        <v>0</v>
      </c>
      <c r="BC1114" t="s">
        <v>306</v>
      </c>
      <c r="BD1114" t="s">
        <v>358</v>
      </c>
      <c r="BE1114" t="s">
        <v>117</v>
      </c>
      <c r="BF1114">
        <v>0</v>
      </c>
      <c r="BG1114">
        <v>25</v>
      </c>
      <c r="BH1114">
        <v>500</v>
      </c>
      <c r="BI1114" t="s">
        <v>359</v>
      </c>
    </row>
    <row r="1115" spans="1:61">
      <c r="A1115" s="164" t="s">
        <v>2819</v>
      </c>
      <c r="B1115" t="s">
        <v>2820</v>
      </c>
      <c r="C1115">
        <v>0</v>
      </c>
      <c r="D1115" t="s">
        <v>304</v>
      </c>
      <c r="E1115">
        <v>0</v>
      </c>
      <c r="F1115" t="s">
        <v>357</v>
      </c>
      <c r="G1115" t="s">
        <v>78</v>
      </c>
      <c r="H1115" t="s">
        <v>79</v>
      </c>
      <c r="I1115" t="s">
        <v>80</v>
      </c>
      <c r="J1115" t="s">
        <v>196</v>
      </c>
      <c r="K1115" t="s">
        <v>13</v>
      </c>
      <c r="L1115" t="s">
        <v>83</v>
      </c>
      <c r="M1115" t="s">
        <v>84</v>
      </c>
      <c r="N1115">
        <v>1</v>
      </c>
      <c r="O1115" t="b">
        <v>1</v>
      </c>
      <c r="P1115">
        <v>0</v>
      </c>
      <c r="BB1115">
        <v>0</v>
      </c>
      <c r="BC1115" t="s">
        <v>306</v>
      </c>
      <c r="BD1115" t="s">
        <v>358</v>
      </c>
      <c r="BE1115" t="s">
        <v>117</v>
      </c>
      <c r="BF1115">
        <v>0</v>
      </c>
      <c r="BG1115">
        <v>25</v>
      </c>
      <c r="BH1115">
        <v>500</v>
      </c>
      <c r="BI1115" t="s">
        <v>359</v>
      </c>
    </row>
    <row r="1116" spans="1:61">
      <c r="A1116" s="164" t="s">
        <v>2821</v>
      </c>
      <c r="B1116" t="s">
        <v>2822</v>
      </c>
      <c r="C1116">
        <v>0</v>
      </c>
      <c r="D1116" t="s">
        <v>304</v>
      </c>
      <c r="E1116">
        <v>0</v>
      </c>
      <c r="F1116" t="s">
        <v>313</v>
      </c>
      <c r="G1116" t="s">
        <v>78</v>
      </c>
      <c r="H1116" t="s">
        <v>79</v>
      </c>
      <c r="I1116" t="s">
        <v>80</v>
      </c>
      <c r="J1116" t="s">
        <v>196</v>
      </c>
      <c r="K1116" t="s">
        <v>13</v>
      </c>
      <c r="L1116" t="s">
        <v>83</v>
      </c>
      <c r="M1116" t="s">
        <v>205</v>
      </c>
      <c r="N1116">
        <v>1</v>
      </c>
      <c r="O1116" t="b">
        <v>1</v>
      </c>
      <c r="P1116">
        <v>0</v>
      </c>
      <c r="BB1116">
        <v>0</v>
      </c>
      <c r="BC1116" t="s">
        <v>306</v>
      </c>
      <c r="BD1116" t="s">
        <v>314</v>
      </c>
      <c r="BE1116" t="s">
        <v>117</v>
      </c>
      <c r="BF1116">
        <v>0</v>
      </c>
      <c r="BG1116">
        <v>45</v>
      </c>
      <c r="BH1116">
        <v>1000</v>
      </c>
      <c r="BI1116" t="s">
        <v>315</v>
      </c>
    </row>
    <row r="1117" spans="1:61">
      <c r="A1117" s="164" t="s">
        <v>2823</v>
      </c>
      <c r="B1117" t="s">
        <v>2824</v>
      </c>
      <c r="C1117">
        <v>0</v>
      </c>
      <c r="D1117" t="s">
        <v>304</v>
      </c>
      <c r="E1117">
        <v>0</v>
      </c>
      <c r="F1117" t="s">
        <v>313</v>
      </c>
      <c r="G1117" t="s">
        <v>78</v>
      </c>
      <c r="H1117" t="s">
        <v>79</v>
      </c>
      <c r="I1117" t="s">
        <v>80</v>
      </c>
      <c r="J1117" t="s">
        <v>196</v>
      </c>
      <c r="K1117" t="s">
        <v>13</v>
      </c>
      <c r="L1117" t="s">
        <v>83</v>
      </c>
      <c r="M1117" t="s">
        <v>205</v>
      </c>
      <c r="N1117">
        <v>1</v>
      </c>
      <c r="O1117" t="b">
        <v>1</v>
      </c>
      <c r="P1117">
        <v>0</v>
      </c>
      <c r="BB1117">
        <v>0</v>
      </c>
      <c r="BC1117" t="s">
        <v>306</v>
      </c>
      <c r="BD1117" t="s">
        <v>314</v>
      </c>
      <c r="BE1117" t="s">
        <v>117</v>
      </c>
      <c r="BF1117">
        <v>0</v>
      </c>
      <c r="BG1117">
        <v>45</v>
      </c>
      <c r="BH1117">
        <v>300</v>
      </c>
      <c r="BI1117" t="s">
        <v>315</v>
      </c>
    </row>
    <row r="1118" spans="1:61">
      <c r="A1118" s="164" t="s">
        <v>2825</v>
      </c>
      <c r="B1118" t="s">
        <v>2826</v>
      </c>
      <c r="C1118">
        <v>0</v>
      </c>
      <c r="D1118" t="s">
        <v>304</v>
      </c>
      <c r="E1118">
        <v>0</v>
      </c>
      <c r="F1118" t="s">
        <v>269</v>
      </c>
      <c r="G1118" t="s">
        <v>103</v>
      </c>
      <c r="H1118" t="s">
        <v>104</v>
      </c>
      <c r="I1118" t="s">
        <v>80</v>
      </c>
      <c r="J1118" t="s">
        <v>196</v>
      </c>
      <c r="K1118" t="s">
        <v>13</v>
      </c>
      <c r="L1118" t="s">
        <v>83</v>
      </c>
      <c r="M1118" t="s">
        <v>84</v>
      </c>
      <c r="N1118">
        <v>1</v>
      </c>
      <c r="O1118" t="b">
        <v>0</v>
      </c>
      <c r="P1118">
        <v>0</v>
      </c>
      <c r="BB1118">
        <v>0</v>
      </c>
      <c r="BC1118" t="s">
        <v>306</v>
      </c>
      <c r="BD1118" t="s">
        <v>270</v>
      </c>
      <c r="BE1118" t="s">
        <v>117</v>
      </c>
      <c r="BF1118">
        <v>0</v>
      </c>
      <c r="BG1118">
        <v>0</v>
      </c>
      <c r="BH1118">
        <v>0</v>
      </c>
    </row>
    <row r="1119" spans="1:61">
      <c r="A1119" s="164" t="s">
        <v>2827</v>
      </c>
      <c r="B1119" t="s">
        <v>2828</v>
      </c>
      <c r="C1119">
        <v>0</v>
      </c>
      <c r="D1119" t="s">
        <v>161</v>
      </c>
      <c r="E1119">
        <v>0</v>
      </c>
      <c r="F1119" t="s">
        <v>2829</v>
      </c>
      <c r="G1119" t="s">
        <v>78</v>
      </c>
      <c r="H1119" t="s">
        <v>79</v>
      </c>
      <c r="I1119" t="s">
        <v>80</v>
      </c>
      <c r="J1119" t="s">
        <v>163</v>
      </c>
      <c r="K1119" t="s">
        <v>82</v>
      </c>
      <c r="L1119" t="s">
        <v>83</v>
      </c>
      <c r="M1119" t="s">
        <v>84</v>
      </c>
      <c r="N1119">
        <v>0.5</v>
      </c>
      <c r="O1119" t="b">
        <v>1</v>
      </c>
      <c r="P1119">
        <v>40</v>
      </c>
      <c r="Q1119" t="s">
        <v>137</v>
      </c>
      <c r="R1119" t="s">
        <v>164</v>
      </c>
      <c r="S1119">
        <v>0.5</v>
      </c>
      <c r="T1119">
        <v>1</v>
      </c>
      <c r="U1119" s="36">
        <v>1.38263</v>
      </c>
      <c r="V1119" t="s">
        <v>165</v>
      </c>
      <c r="W1119">
        <v>2</v>
      </c>
      <c r="X1119">
        <v>0</v>
      </c>
      <c r="Y1119">
        <v>50</v>
      </c>
      <c r="Z1119">
        <v>0</v>
      </c>
      <c r="AA1119">
        <v>35</v>
      </c>
      <c r="AB1119">
        <v>0</v>
      </c>
      <c r="AC1119">
        <v>0</v>
      </c>
      <c r="AD1119">
        <v>360</v>
      </c>
      <c r="AE1119" t="s">
        <v>166</v>
      </c>
      <c r="AF1119" t="s">
        <v>2829</v>
      </c>
      <c r="AG1119" t="s">
        <v>129</v>
      </c>
      <c r="AH1119">
        <v>0</v>
      </c>
      <c r="AI1119">
        <v>2.1</v>
      </c>
      <c r="AJ1119" t="s">
        <v>167</v>
      </c>
      <c r="AM1119">
        <v>2.11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0.33</v>
      </c>
      <c r="AX1119" t="s">
        <v>2830</v>
      </c>
      <c r="AY1119">
        <v>6.52</v>
      </c>
      <c r="AZ1119">
        <v>0</v>
      </c>
      <c r="BA1119" t="s">
        <v>138</v>
      </c>
      <c r="BB1119">
        <v>3.65</v>
      </c>
      <c r="BC1119" t="s">
        <v>95</v>
      </c>
      <c r="BD1119" t="s">
        <v>96</v>
      </c>
      <c r="BE1119" t="s">
        <v>97</v>
      </c>
      <c r="BF1119">
        <v>1</v>
      </c>
      <c r="BG1119">
        <v>0</v>
      </c>
      <c r="BH1119">
        <v>0</v>
      </c>
      <c r="BI1119" t="s">
        <v>98</v>
      </c>
    </row>
    <row r="1120" spans="1:61">
      <c r="A1120" s="164" t="s">
        <v>2831</v>
      </c>
      <c r="B1120" t="s">
        <v>2832</v>
      </c>
      <c r="C1120">
        <v>0</v>
      </c>
      <c r="D1120" t="s">
        <v>107</v>
      </c>
      <c r="E1120">
        <v>0</v>
      </c>
      <c r="F1120" t="s">
        <v>742</v>
      </c>
      <c r="G1120" t="s">
        <v>103</v>
      </c>
      <c r="H1120" t="s">
        <v>104</v>
      </c>
      <c r="I1120" t="s">
        <v>80</v>
      </c>
      <c r="J1120" t="s">
        <v>774</v>
      </c>
      <c r="K1120" t="s">
        <v>565</v>
      </c>
      <c r="L1120" t="s">
        <v>83</v>
      </c>
      <c r="M1120" t="s">
        <v>84</v>
      </c>
      <c r="N1120">
        <v>1.08</v>
      </c>
      <c r="O1120" t="b">
        <v>0</v>
      </c>
      <c r="P1120">
        <v>45</v>
      </c>
      <c r="Q1120" t="s">
        <v>85</v>
      </c>
      <c r="S1120">
        <v>0</v>
      </c>
      <c r="T1120">
        <v>1</v>
      </c>
      <c r="U1120" s="36">
        <v>1.325</v>
      </c>
      <c r="V1120" t="s">
        <v>87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G1120" t="s">
        <v>129</v>
      </c>
      <c r="AH1120">
        <v>0</v>
      </c>
      <c r="AI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Y1120">
        <v>0</v>
      </c>
      <c r="AZ1120">
        <v>0</v>
      </c>
      <c r="BA1120" t="s">
        <v>94</v>
      </c>
      <c r="BB1120">
        <v>0</v>
      </c>
      <c r="BC1120" t="s">
        <v>95</v>
      </c>
      <c r="BD1120" t="s">
        <v>139</v>
      </c>
      <c r="BE1120" t="s">
        <v>97</v>
      </c>
      <c r="BF1120">
        <v>0</v>
      </c>
      <c r="BG1120">
        <v>0</v>
      </c>
      <c r="BH1120">
        <v>0</v>
      </c>
      <c r="BI1120" t="s">
        <v>98</v>
      </c>
    </row>
    <row r="1121" spans="1:61">
      <c r="A1121" s="164" t="s">
        <v>2833</v>
      </c>
      <c r="B1121" t="s">
        <v>2834</v>
      </c>
      <c r="C1121">
        <v>0</v>
      </c>
      <c r="D1121" t="s">
        <v>76</v>
      </c>
      <c r="E1121">
        <v>0</v>
      </c>
      <c r="F1121" t="s">
        <v>142</v>
      </c>
      <c r="G1121" t="s">
        <v>103</v>
      </c>
      <c r="H1121" t="s">
        <v>104</v>
      </c>
      <c r="I1121" t="s">
        <v>80</v>
      </c>
      <c r="J1121" t="s">
        <v>81</v>
      </c>
      <c r="K1121" t="s">
        <v>82</v>
      </c>
      <c r="L1121" t="s">
        <v>83</v>
      </c>
      <c r="M1121" t="s">
        <v>84</v>
      </c>
      <c r="N1121">
        <v>0.18</v>
      </c>
      <c r="O1121" t="b">
        <v>0</v>
      </c>
      <c r="P1121">
        <v>45</v>
      </c>
      <c r="Q1121" t="s">
        <v>85</v>
      </c>
      <c r="S1121">
        <v>0.18</v>
      </c>
      <c r="T1121">
        <v>1</v>
      </c>
      <c r="U1121" s="36">
        <v>0.24284</v>
      </c>
      <c r="V1121" t="s">
        <v>87</v>
      </c>
      <c r="W1121">
        <v>0</v>
      </c>
      <c r="X1121">
        <v>0.38897500000000002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t="s">
        <v>143</v>
      </c>
      <c r="AF1121" t="s">
        <v>89</v>
      </c>
      <c r="AG1121" t="s">
        <v>129</v>
      </c>
      <c r="AH1121">
        <v>0</v>
      </c>
      <c r="AI1121">
        <v>1</v>
      </c>
      <c r="AJ1121" t="s">
        <v>91</v>
      </c>
      <c r="AK1121" t="s">
        <v>92</v>
      </c>
      <c r="AL1121" t="s">
        <v>93</v>
      </c>
      <c r="AM1121">
        <v>0.98220000000000007</v>
      </c>
      <c r="AN1121">
        <v>0</v>
      </c>
      <c r="AO1121">
        <v>0</v>
      </c>
      <c r="AP1121">
        <v>0</v>
      </c>
      <c r="AQ1121">
        <v>8.6691086691086688E-2</v>
      </c>
      <c r="AR1121">
        <v>2.6666666666666505E-3</v>
      </c>
      <c r="AS1121">
        <v>0</v>
      </c>
      <c r="AT1121">
        <v>1.0866910866910866</v>
      </c>
      <c r="AU1121">
        <v>1.0026666666666666</v>
      </c>
      <c r="AV1121">
        <v>1</v>
      </c>
      <c r="AW1121">
        <v>0</v>
      </c>
      <c r="AY1121">
        <v>0</v>
      </c>
      <c r="AZ1121">
        <v>0</v>
      </c>
      <c r="BA1121" t="s">
        <v>94</v>
      </c>
      <c r="BB1121">
        <v>0</v>
      </c>
      <c r="BC1121" t="s">
        <v>95</v>
      </c>
      <c r="BD1121" t="s">
        <v>96</v>
      </c>
      <c r="BE1121" t="s">
        <v>97</v>
      </c>
      <c r="BF1121">
        <v>0</v>
      </c>
      <c r="BG1121">
        <v>0</v>
      </c>
      <c r="BH1121">
        <v>0</v>
      </c>
      <c r="BI1121" t="s">
        <v>98</v>
      </c>
    </row>
    <row r="1122" spans="1:61">
      <c r="A1122" s="164" t="s">
        <v>2835</v>
      </c>
      <c r="B1122" t="s">
        <v>2836</v>
      </c>
      <c r="C1122">
        <v>0</v>
      </c>
      <c r="D1122" t="s">
        <v>486</v>
      </c>
      <c r="E1122">
        <v>0</v>
      </c>
      <c r="F1122" t="s">
        <v>1248</v>
      </c>
      <c r="G1122" t="s">
        <v>78</v>
      </c>
      <c r="H1122" t="s">
        <v>79</v>
      </c>
      <c r="I1122" t="s">
        <v>80</v>
      </c>
      <c r="J1122" t="s">
        <v>163</v>
      </c>
      <c r="K1122" t="s">
        <v>82</v>
      </c>
      <c r="L1122" t="s">
        <v>83</v>
      </c>
      <c r="M1122" t="s">
        <v>205</v>
      </c>
      <c r="N1122">
        <v>1</v>
      </c>
      <c r="O1122" t="b">
        <v>1</v>
      </c>
      <c r="P1122">
        <v>90</v>
      </c>
      <c r="Q1122" t="s">
        <v>137</v>
      </c>
      <c r="S1122">
        <v>1</v>
      </c>
      <c r="T1122">
        <v>1</v>
      </c>
      <c r="U1122" s="36">
        <v>7.9599600000000006</v>
      </c>
      <c r="V1122" t="s">
        <v>165</v>
      </c>
      <c r="X1122">
        <v>0</v>
      </c>
      <c r="Y1122">
        <v>10</v>
      </c>
      <c r="Z1122">
        <v>0.1</v>
      </c>
      <c r="AA1122">
        <v>35</v>
      </c>
      <c r="AB1122">
        <v>0</v>
      </c>
      <c r="AC1122">
        <v>0</v>
      </c>
      <c r="AE1122" t="s">
        <v>129</v>
      </c>
      <c r="AF1122" t="s">
        <v>1248</v>
      </c>
      <c r="AG1122" t="s">
        <v>129</v>
      </c>
      <c r="AH1122">
        <v>0</v>
      </c>
      <c r="AI1122">
        <v>13.4</v>
      </c>
      <c r="AJ1122" t="s">
        <v>177</v>
      </c>
      <c r="AM1122">
        <v>13.87</v>
      </c>
      <c r="AN1122">
        <v>0</v>
      </c>
      <c r="AO1122">
        <v>0</v>
      </c>
      <c r="AP1122">
        <v>0</v>
      </c>
      <c r="AQ1122">
        <v>2.8571428571428564E-2</v>
      </c>
      <c r="AR1122">
        <v>0</v>
      </c>
      <c r="AS1122">
        <v>0</v>
      </c>
      <c r="AT1122">
        <v>1.0285714285714285</v>
      </c>
      <c r="AU1122">
        <v>0</v>
      </c>
      <c r="AV1122">
        <v>0</v>
      </c>
      <c r="AW1122">
        <v>0</v>
      </c>
      <c r="AX1122" t="s">
        <v>2837</v>
      </c>
      <c r="AY1122">
        <v>8.1455000000000002</v>
      </c>
      <c r="AZ1122">
        <v>0</v>
      </c>
      <c r="BA1122" t="s">
        <v>138</v>
      </c>
      <c r="BB1122">
        <v>16.77</v>
      </c>
      <c r="BC1122" t="s">
        <v>95</v>
      </c>
      <c r="BD1122" t="s">
        <v>96</v>
      </c>
      <c r="BE1122" t="s">
        <v>97</v>
      </c>
      <c r="BF1122">
        <v>2.4</v>
      </c>
      <c r="BG1122">
        <v>0</v>
      </c>
      <c r="BH1122">
        <v>0</v>
      </c>
      <c r="BI1122" t="s">
        <v>98</v>
      </c>
    </row>
    <row r="1123" spans="1:61">
      <c r="A1123" s="164" t="s">
        <v>2838</v>
      </c>
      <c r="B1123" t="s">
        <v>2839</v>
      </c>
      <c r="C1123">
        <v>0</v>
      </c>
      <c r="D1123" t="s">
        <v>101</v>
      </c>
      <c r="E1123">
        <v>0</v>
      </c>
      <c r="F1123" t="s">
        <v>102</v>
      </c>
      <c r="G1123" t="s">
        <v>103</v>
      </c>
      <c r="H1123" t="s">
        <v>104</v>
      </c>
      <c r="I1123" t="s">
        <v>80</v>
      </c>
      <c r="J1123" t="s">
        <v>81</v>
      </c>
      <c r="K1123" t="s">
        <v>82</v>
      </c>
      <c r="L1123" t="s">
        <v>83</v>
      </c>
      <c r="M1123" t="s">
        <v>84</v>
      </c>
      <c r="N1123">
        <v>0.17</v>
      </c>
      <c r="O1123" t="b">
        <v>0</v>
      </c>
      <c r="P1123">
        <v>45</v>
      </c>
      <c r="Q1123" t="s">
        <v>85</v>
      </c>
      <c r="S1123">
        <v>0</v>
      </c>
      <c r="T1123">
        <v>1</v>
      </c>
      <c r="V1123" t="s">
        <v>87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G1123" t="s">
        <v>129</v>
      </c>
      <c r="AH1123">
        <v>0</v>
      </c>
      <c r="AI1123">
        <v>0.8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 t="s">
        <v>2840</v>
      </c>
      <c r="AY1123">
        <v>0</v>
      </c>
      <c r="AZ1123">
        <v>3</v>
      </c>
      <c r="BA1123" t="s">
        <v>94</v>
      </c>
      <c r="BB1123">
        <v>0</v>
      </c>
      <c r="BC1123" t="s">
        <v>95</v>
      </c>
      <c r="BD1123" t="s">
        <v>96</v>
      </c>
      <c r="BE1123" t="s">
        <v>97</v>
      </c>
      <c r="BF1123">
        <v>0</v>
      </c>
      <c r="BG1123">
        <v>0</v>
      </c>
      <c r="BH1123">
        <v>0</v>
      </c>
      <c r="BI1123" t="s">
        <v>98</v>
      </c>
    </row>
    <row r="1124" spans="1:61">
      <c r="A1124" s="164" t="s">
        <v>2841</v>
      </c>
      <c r="B1124" t="s">
        <v>2842</v>
      </c>
      <c r="C1124">
        <v>0</v>
      </c>
      <c r="D1124" t="s">
        <v>486</v>
      </c>
      <c r="E1124">
        <v>0</v>
      </c>
      <c r="F1124" t="s">
        <v>2261</v>
      </c>
      <c r="G1124" t="s">
        <v>78</v>
      </c>
      <c r="H1124" t="s">
        <v>79</v>
      </c>
      <c r="I1124" t="s">
        <v>80</v>
      </c>
      <c r="J1124" t="s">
        <v>163</v>
      </c>
      <c r="K1124" t="s">
        <v>82</v>
      </c>
      <c r="L1124" t="s">
        <v>83</v>
      </c>
      <c r="M1124" t="s">
        <v>84</v>
      </c>
      <c r="N1124">
        <v>0.15</v>
      </c>
      <c r="O1124" t="b">
        <v>1</v>
      </c>
      <c r="P1124">
        <v>60</v>
      </c>
      <c r="Q1124" t="s">
        <v>137</v>
      </c>
      <c r="S1124">
        <v>0.15</v>
      </c>
      <c r="T1124">
        <v>1</v>
      </c>
      <c r="U1124" s="36">
        <v>1.1024050000000001</v>
      </c>
      <c r="V1124" t="s">
        <v>165</v>
      </c>
      <c r="X1124">
        <v>0</v>
      </c>
      <c r="Y1124">
        <v>50</v>
      </c>
      <c r="Z1124">
        <v>3.3333333333333333E-2</v>
      </c>
      <c r="AA1124">
        <v>35</v>
      </c>
      <c r="AB1124">
        <v>0</v>
      </c>
      <c r="AC1124">
        <v>0</v>
      </c>
      <c r="AE1124" t="s">
        <v>129</v>
      </c>
      <c r="AF1124" t="s">
        <v>2261</v>
      </c>
      <c r="AG1124" t="s">
        <v>129</v>
      </c>
      <c r="AH1124">
        <v>0</v>
      </c>
      <c r="AI1124">
        <v>10.199999999999999</v>
      </c>
      <c r="AJ1124" t="s">
        <v>167</v>
      </c>
      <c r="AM1124">
        <v>10.38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 t="s">
        <v>2384</v>
      </c>
      <c r="AY1124">
        <v>10.15</v>
      </c>
      <c r="AZ1124">
        <v>3</v>
      </c>
      <c r="BA1124" t="s">
        <v>138</v>
      </c>
      <c r="BB1124">
        <v>2.77</v>
      </c>
      <c r="BC1124" t="s">
        <v>95</v>
      </c>
      <c r="BD1124" t="s">
        <v>96</v>
      </c>
      <c r="BE1124" t="s">
        <v>97</v>
      </c>
      <c r="BF1124">
        <v>1</v>
      </c>
      <c r="BG1124">
        <v>0</v>
      </c>
      <c r="BH1124">
        <v>0</v>
      </c>
      <c r="BI1124" t="s">
        <v>98</v>
      </c>
    </row>
    <row r="1125" spans="1:61">
      <c r="A1125" s="164" t="s">
        <v>2843</v>
      </c>
      <c r="B1125" t="s">
        <v>2844</v>
      </c>
      <c r="C1125">
        <v>0</v>
      </c>
      <c r="D1125" t="s">
        <v>76</v>
      </c>
      <c r="E1125">
        <v>0</v>
      </c>
      <c r="F1125" t="s">
        <v>972</v>
      </c>
      <c r="G1125" t="s">
        <v>78</v>
      </c>
      <c r="H1125" t="s">
        <v>79</v>
      </c>
      <c r="I1125" t="s">
        <v>80</v>
      </c>
      <c r="J1125" t="s">
        <v>81</v>
      </c>
      <c r="K1125" t="s">
        <v>82</v>
      </c>
      <c r="L1125" t="s">
        <v>83</v>
      </c>
      <c r="M1125" t="s">
        <v>84</v>
      </c>
      <c r="N1125">
        <v>0.95</v>
      </c>
      <c r="O1125" t="b">
        <v>1</v>
      </c>
      <c r="P1125">
        <v>45</v>
      </c>
      <c r="Q1125" t="s">
        <v>85</v>
      </c>
      <c r="R1125" t="s">
        <v>86</v>
      </c>
      <c r="S1125">
        <v>0.95</v>
      </c>
      <c r="T1125">
        <v>1</v>
      </c>
      <c r="U1125" s="36">
        <v>1.4163950000000001</v>
      </c>
      <c r="V1125" t="s">
        <v>87</v>
      </c>
      <c r="W1125">
        <v>24</v>
      </c>
      <c r="X1125">
        <v>0.45019999999999999</v>
      </c>
      <c r="Y1125">
        <v>18</v>
      </c>
      <c r="Z1125">
        <v>5.5555555555555552E-2</v>
      </c>
      <c r="AA1125">
        <v>30</v>
      </c>
      <c r="AB1125">
        <v>0</v>
      </c>
      <c r="AC1125">
        <v>540</v>
      </c>
      <c r="AD1125">
        <v>568.42105263157896</v>
      </c>
      <c r="AE1125" t="s">
        <v>155</v>
      </c>
      <c r="AF1125" t="s">
        <v>89</v>
      </c>
      <c r="AG1125" t="s">
        <v>90</v>
      </c>
      <c r="AH1125">
        <v>0</v>
      </c>
      <c r="AI1125">
        <v>1</v>
      </c>
      <c r="AJ1125" t="s">
        <v>91</v>
      </c>
      <c r="AK1125" t="s">
        <v>92</v>
      </c>
      <c r="AL1125" t="s">
        <v>93</v>
      </c>
      <c r="AM1125">
        <v>0.98220000000000007</v>
      </c>
      <c r="AN1125">
        <v>0</v>
      </c>
      <c r="AO1125">
        <v>0</v>
      </c>
      <c r="AP1125">
        <v>0</v>
      </c>
      <c r="AQ1125">
        <v>8.6691086691086688E-2</v>
      </c>
      <c r="AR1125">
        <v>2.6666666666666505E-3</v>
      </c>
      <c r="AS1125">
        <v>0</v>
      </c>
      <c r="AT1125">
        <v>1.0866910866910866</v>
      </c>
      <c r="AU1125">
        <v>1.0026666666666666</v>
      </c>
      <c r="AV1125">
        <v>1</v>
      </c>
      <c r="AW1125">
        <v>0</v>
      </c>
      <c r="AX1125" t="s">
        <v>2265</v>
      </c>
      <c r="AY1125">
        <v>53.4</v>
      </c>
      <c r="AZ1125">
        <v>3</v>
      </c>
      <c r="BA1125" t="s">
        <v>94</v>
      </c>
      <c r="BB1125">
        <v>3.03</v>
      </c>
      <c r="BC1125" t="s">
        <v>95</v>
      </c>
      <c r="BD1125" t="s">
        <v>96</v>
      </c>
      <c r="BE1125" t="s">
        <v>97</v>
      </c>
      <c r="BF1125">
        <v>1</v>
      </c>
      <c r="BG1125">
        <v>0</v>
      </c>
      <c r="BH1125">
        <v>0</v>
      </c>
      <c r="BI1125" t="s">
        <v>98</v>
      </c>
    </row>
    <row r="1126" spans="1:61">
      <c r="A1126" s="164" t="s">
        <v>2845</v>
      </c>
      <c r="B1126" t="s">
        <v>2846</v>
      </c>
      <c r="C1126">
        <v>0</v>
      </c>
      <c r="D1126" t="s">
        <v>76</v>
      </c>
      <c r="E1126">
        <v>0</v>
      </c>
      <c r="F1126" t="s">
        <v>972</v>
      </c>
      <c r="G1126" t="s">
        <v>78</v>
      </c>
      <c r="H1126" t="s">
        <v>79</v>
      </c>
      <c r="I1126" t="s">
        <v>80</v>
      </c>
      <c r="J1126" t="s">
        <v>81</v>
      </c>
      <c r="K1126" t="s">
        <v>82</v>
      </c>
      <c r="L1126" t="s">
        <v>83</v>
      </c>
      <c r="M1126" t="s">
        <v>84</v>
      </c>
      <c r="N1126">
        <v>1.67</v>
      </c>
      <c r="O1126" t="b">
        <v>1</v>
      </c>
      <c r="P1126">
        <v>45</v>
      </c>
      <c r="Q1126" t="s">
        <v>85</v>
      </c>
      <c r="R1126" t="s">
        <v>86</v>
      </c>
      <c r="S1126">
        <v>1.67</v>
      </c>
      <c r="T1126">
        <v>1</v>
      </c>
      <c r="U1126" s="36">
        <v>2.4703599999999999</v>
      </c>
      <c r="V1126" t="s">
        <v>87</v>
      </c>
      <c r="W1126">
        <v>24</v>
      </c>
      <c r="X1126">
        <v>0.45019999999999999</v>
      </c>
      <c r="Y1126">
        <v>12</v>
      </c>
      <c r="Z1126">
        <v>8.3333333333333329E-2</v>
      </c>
      <c r="AA1126">
        <v>30</v>
      </c>
      <c r="AB1126">
        <v>0</v>
      </c>
      <c r="AC1126">
        <v>530</v>
      </c>
      <c r="AD1126">
        <v>317.36526946107784</v>
      </c>
      <c r="AE1126" t="s">
        <v>155</v>
      </c>
      <c r="AF1126" t="s">
        <v>89</v>
      </c>
      <c r="AG1126" t="s">
        <v>90</v>
      </c>
      <c r="AH1126">
        <v>0</v>
      </c>
      <c r="AI1126">
        <v>1</v>
      </c>
      <c r="AJ1126" t="s">
        <v>91</v>
      </c>
      <c r="AK1126" t="s">
        <v>92</v>
      </c>
      <c r="AL1126" t="s">
        <v>93</v>
      </c>
      <c r="AM1126">
        <v>0.98220000000000007</v>
      </c>
      <c r="AN1126">
        <v>0</v>
      </c>
      <c r="AO1126">
        <v>0</v>
      </c>
      <c r="AP1126">
        <v>0</v>
      </c>
      <c r="AQ1126">
        <v>8.6691086691086688E-2</v>
      </c>
      <c r="AR1126">
        <v>2.6666666666666505E-3</v>
      </c>
      <c r="AS1126">
        <v>0</v>
      </c>
      <c r="AT1126">
        <v>1.0866910866910866</v>
      </c>
      <c r="AU1126">
        <v>1.0026666666666666</v>
      </c>
      <c r="AV1126">
        <v>1</v>
      </c>
      <c r="AW1126">
        <v>0</v>
      </c>
      <c r="AX1126" t="s">
        <v>2847</v>
      </c>
      <c r="AY1126">
        <v>89.4</v>
      </c>
      <c r="AZ1126">
        <v>0</v>
      </c>
      <c r="BA1126" t="s">
        <v>94</v>
      </c>
      <c r="BB1126">
        <v>5.08</v>
      </c>
      <c r="BC1126" t="s">
        <v>95</v>
      </c>
      <c r="BD1126" t="s">
        <v>96</v>
      </c>
      <c r="BE1126" t="s">
        <v>97</v>
      </c>
      <c r="BF1126">
        <v>1</v>
      </c>
      <c r="BG1126">
        <v>0</v>
      </c>
      <c r="BH1126">
        <v>0</v>
      </c>
      <c r="BI1126" t="s">
        <v>98</v>
      </c>
    </row>
    <row r="1127" spans="1:61">
      <c r="A1127" s="164" t="s">
        <v>2848</v>
      </c>
      <c r="B1127" t="s">
        <v>2849</v>
      </c>
      <c r="C1127">
        <v>0</v>
      </c>
      <c r="D1127" t="s">
        <v>748</v>
      </c>
      <c r="E1127">
        <v>0</v>
      </c>
      <c r="F1127" t="s">
        <v>748</v>
      </c>
      <c r="G1127" t="s">
        <v>103</v>
      </c>
      <c r="H1127" t="s">
        <v>104</v>
      </c>
      <c r="I1127" t="s">
        <v>80</v>
      </c>
      <c r="J1127" t="s">
        <v>81</v>
      </c>
      <c r="K1127" t="s">
        <v>468</v>
      </c>
      <c r="L1127" t="s">
        <v>111</v>
      </c>
      <c r="M1127" t="s">
        <v>84</v>
      </c>
      <c r="N1127">
        <v>0.85</v>
      </c>
      <c r="O1127" t="b">
        <v>0</v>
      </c>
      <c r="P1127">
        <v>90</v>
      </c>
      <c r="Q1127" t="s">
        <v>188</v>
      </c>
      <c r="S1127">
        <v>0</v>
      </c>
      <c r="T1127">
        <v>1</v>
      </c>
      <c r="V1127" t="s">
        <v>87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G1127" t="s">
        <v>129</v>
      </c>
      <c r="AH1127">
        <v>0</v>
      </c>
      <c r="AI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Y1127">
        <v>0</v>
      </c>
      <c r="AZ1127">
        <v>0</v>
      </c>
      <c r="BA1127" t="s">
        <v>94</v>
      </c>
      <c r="BB1127">
        <v>0</v>
      </c>
      <c r="BC1127" t="s">
        <v>95</v>
      </c>
      <c r="BD1127" t="s">
        <v>469</v>
      </c>
      <c r="BE1127" t="s">
        <v>97</v>
      </c>
      <c r="BF1127">
        <v>0</v>
      </c>
      <c r="BG1127">
        <v>0</v>
      </c>
      <c r="BH1127">
        <v>0</v>
      </c>
      <c r="BI1127" t="s">
        <v>98</v>
      </c>
    </row>
    <row r="1128" spans="1:61">
      <c r="A1128" s="164" t="s">
        <v>2850</v>
      </c>
      <c r="B1128" t="s">
        <v>2851</v>
      </c>
      <c r="C1128">
        <v>0</v>
      </c>
      <c r="D1128" t="s">
        <v>124</v>
      </c>
      <c r="E1128">
        <v>0</v>
      </c>
      <c r="F1128" t="s">
        <v>125</v>
      </c>
      <c r="G1128" t="s">
        <v>103</v>
      </c>
      <c r="H1128" t="s">
        <v>104</v>
      </c>
      <c r="I1128" t="s">
        <v>80</v>
      </c>
      <c r="J1128" t="s">
        <v>81</v>
      </c>
      <c r="K1128" t="s">
        <v>468</v>
      </c>
      <c r="L1128" t="s">
        <v>111</v>
      </c>
      <c r="M1128" t="s">
        <v>84</v>
      </c>
      <c r="N1128">
        <v>1.75</v>
      </c>
      <c r="O1128" t="b">
        <v>0</v>
      </c>
      <c r="P1128">
        <v>180</v>
      </c>
      <c r="Q1128" t="s">
        <v>85</v>
      </c>
      <c r="S1128">
        <v>0</v>
      </c>
      <c r="T1128">
        <v>1</v>
      </c>
      <c r="V1128" t="s">
        <v>87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G1128" t="s">
        <v>129</v>
      </c>
      <c r="AH1128">
        <v>0</v>
      </c>
      <c r="AI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Y1128">
        <v>0</v>
      </c>
      <c r="AZ1128">
        <v>0</v>
      </c>
      <c r="BA1128" t="s">
        <v>94</v>
      </c>
      <c r="BB1128">
        <v>0</v>
      </c>
      <c r="BC1128" t="s">
        <v>95</v>
      </c>
      <c r="BD1128" t="s">
        <v>469</v>
      </c>
      <c r="BE1128" t="s">
        <v>97</v>
      </c>
      <c r="BF1128">
        <v>0</v>
      </c>
      <c r="BG1128">
        <v>0</v>
      </c>
      <c r="BH1128">
        <v>0</v>
      </c>
      <c r="BI1128" t="s">
        <v>98</v>
      </c>
    </row>
    <row r="1129" spans="1:61">
      <c r="A1129" s="164" t="s">
        <v>2852</v>
      </c>
      <c r="B1129" t="s">
        <v>2853</v>
      </c>
      <c r="C1129">
        <v>0</v>
      </c>
      <c r="D1129" t="s">
        <v>124</v>
      </c>
      <c r="E1129">
        <v>0</v>
      </c>
      <c r="F1129" t="s">
        <v>125</v>
      </c>
      <c r="G1129" t="s">
        <v>103</v>
      </c>
      <c r="H1129" t="s">
        <v>104</v>
      </c>
      <c r="I1129" t="s">
        <v>80</v>
      </c>
      <c r="J1129" t="s">
        <v>81</v>
      </c>
      <c r="K1129" t="s">
        <v>468</v>
      </c>
      <c r="L1129" t="s">
        <v>111</v>
      </c>
      <c r="M1129" t="s">
        <v>84</v>
      </c>
      <c r="N1129">
        <v>0.25</v>
      </c>
      <c r="O1129" t="b">
        <v>0</v>
      </c>
      <c r="P1129">
        <v>180</v>
      </c>
      <c r="Q1129" t="s">
        <v>85</v>
      </c>
      <c r="S1129">
        <v>0</v>
      </c>
      <c r="T1129">
        <v>1</v>
      </c>
      <c r="V1129" t="s">
        <v>87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G1129" t="s">
        <v>129</v>
      </c>
      <c r="AH1129">
        <v>0</v>
      </c>
      <c r="AI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 t="s">
        <v>2854</v>
      </c>
      <c r="AY1129">
        <v>0</v>
      </c>
      <c r="AZ1129">
        <v>0</v>
      </c>
      <c r="BA1129" t="s">
        <v>94</v>
      </c>
      <c r="BB1129">
        <v>0</v>
      </c>
      <c r="BC1129" t="s">
        <v>95</v>
      </c>
      <c r="BD1129" t="s">
        <v>1187</v>
      </c>
      <c r="BE1129" t="s">
        <v>97</v>
      </c>
      <c r="BF1129">
        <v>0</v>
      </c>
      <c r="BG1129">
        <v>0</v>
      </c>
      <c r="BH1129">
        <v>0</v>
      </c>
      <c r="BI1129" t="s">
        <v>98</v>
      </c>
    </row>
    <row r="1130" spans="1:61">
      <c r="A1130" s="164" t="s">
        <v>2855</v>
      </c>
      <c r="B1130" t="s">
        <v>2856</v>
      </c>
      <c r="C1130">
        <v>0</v>
      </c>
      <c r="D1130" t="s">
        <v>101</v>
      </c>
      <c r="E1130">
        <v>0</v>
      </c>
      <c r="F1130" t="s">
        <v>102</v>
      </c>
      <c r="G1130" t="s">
        <v>103</v>
      </c>
      <c r="H1130" t="s">
        <v>104</v>
      </c>
      <c r="I1130" t="s">
        <v>80</v>
      </c>
      <c r="J1130" t="s">
        <v>81</v>
      </c>
      <c r="K1130" t="s">
        <v>82</v>
      </c>
      <c r="L1130" t="s">
        <v>83</v>
      </c>
      <c r="M1130" t="s">
        <v>84</v>
      </c>
      <c r="N1130">
        <v>0.16200000000000001</v>
      </c>
      <c r="O1130" t="b">
        <v>1</v>
      </c>
      <c r="P1130">
        <v>45</v>
      </c>
      <c r="Q1130" t="s">
        <v>85</v>
      </c>
      <c r="R1130" t="s">
        <v>86</v>
      </c>
      <c r="S1130">
        <v>0.14499999999999999</v>
      </c>
      <c r="T1130">
        <v>0.88957055214723912</v>
      </c>
      <c r="U1130" s="36">
        <v>0.28370000000000001</v>
      </c>
      <c r="V1130" t="s">
        <v>87</v>
      </c>
      <c r="W1130">
        <v>150</v>
      </c>
      <c r="X1130">
        <v>0.45</v>
      </c>
      <c r="Y1130">
        <v>60</v>
      </c>
      <c r="Z1130">
        <v>1.6666666666666666E-2</v>
      </c>
      <c r="AA1130">
        <v>30</v>
      </c>
      <c r="AB1130">
        <v>0</v>
      </c>
      <c r="AC1130">
        <v>500</v>
      </c>
      <c r="AD1130">
        <v>3448.2758620689656</v>
      </c>
      <c r="AE1130" t="s">
        <v>88</v>
      </c>
      <c r="AF1130" t="s">
        <v>513</v>
      </c>
      <c r="AG1130" t="s">
        <v>514</v>
      </c>
      <c r="AH1130">
        <v>0</v>
      </c>
      <c r="AI1130">
        <v>0.8</v>
      </c>
      <c r="AJ1130" t="s">
        <v>91</v>
      </c>
      <c r="AK1130" t="s">
        <v>92</v>
      </c>
      <c r="AL1130" t="s">
        <v>93</v>
      </c>
      <c r="AM1130">
        <v>0.33631111111111106</v>
      </c>
      <c r="AN1130">
        <v>0.22420740740740738</v>
      </c>
      <c r="AO1130">
        <v>0.34752148148148143</v>
      </c>
      <c r="AP1130">
        <v>0</v>
      </c>
      <c r="AQ1130">
        <v>8.6691086691086688E-2</v>
      </c>
      <c r="AR1130">
        <v>2.6666666666666505E-3</v>
      </c>
      <c r="AS1130">
        <v>0</v>
      </c>
      <c r="AT1130">
        <v>1.0866910866910866</v>
      </c>
      <c r="AU1130">
        <v>1.0026666666666666</v>
      </c>
      <c r="AV1130">
        <v>1</v>
      </c>
      <c r="AW1130">
        <v>0</v>
      </c>
      <c r="AX1130" t="s">
        <v>2857</v>
      </c>
      <c r="AY1130">
        <v>15.98</v>
      </c>
      <c r="AZ1130">
        <v>7</v>
      </c>
      <c r="BA1130" t="s">
        <v>94</v>
      </c>
      <c r="BB1130">
        <v>0.77</v>
      </c>
      <c r="BC1130" t="s">
        <v>95</v>
      </c>
      <c r="BD1130" t="s">
        <v>96</v>
      </c>
      <c r="BE1130" t="s">
        <v>97</v>
      </c>
      <c r="BF1130">
        <v>0</v>
      </c>
      <c r="BG1130">
        <v>0</v>
      </c>
      <c r="BH1130">
        <v>0</v>
      </c>
      <c r="BI1130" t="s">
        <v>98</v>
      </c>
    </row>
    <row r="1131" spans="1:61">
      <c r="A1131" s="164" t="s">
        <v>2858</v>
      </c>
      <c r="B1131" t="s">
        <v>2859</v>
      </c>
      <c r="C1131">
        <v>0</v>
      </c>
      <c r="D1131" t="s">
        <v>107</v>
      </c>
      <c r="E1131">
        <v>0</v>
      </c>
      <c r="F1131" t="s">
        <v>108</v>
      </c>
      <c r="G1131" t="s">
        <v>78</v>
      </c>
      <c r="H1131" t="s">
        <v>79</v>
      </c>
      <c r="I1131" t="s">
        <v>80</v>
      </c>
      <c r="J1131" t="s">
        <v>81</v>
      </c>
      <c r="K1131" t="s">
        <v>82</v>
      </c>
      <c r="L1131" t="s">
        <v>83</v>
      </c>
      <c r="M1131" t="s">
        <v>84</v>
      </c>
      <c r="N1131">
        <v>0.9</v>
      </c>
      <c r="O1131" t="b">
        <v>1</v>
      </c>
      <c r="P1131">
        <v>45</v>
      </c>
      <c r="Q1131" t="s">
        <v>85</v>
      </c>
      <c r="R1131" t="s">
        <v>86</v>
      </c>
      <c r="S1131">
        <v>0.9</v>
      </c>
      <c r="T1131">
        <v>1</v>
      </c>
      <c r="U1131" s="36">
        <v>0.63201499999999999</v>
      </c>
      <c r="V1131" t="s">
        <v>87</v>
      </c>
      <c r="W1131">
        <v>34</v>
      </c>
      <c r="X1131">
        <v>0.62562499999999999</v>
      </c>
      <c r="Y1131">
        <v>15</v>
      </c>
      <c r="Z1131">
        <v>6.6666666666666666E-2</v>
      </c>
      <c r="AA1131">
        <v>60</v>
      </c>
      <c r="AB1131">
        <v>0</v>
      </c>
      <c r="AC1131">
        <v>500</v>
      </c>
      <c r="AD1131">
        <v>555.55555555555554</v>
      </c>
      <c r="AE1131" t="s">
        <v>112</v>
      </c>
      <c r="AF1131" t="s">
        <v>1117</v>
      </c>
      <c r="AG1131" t="s">
        <v>114</v>
      </c>
      <c r="AH1131">
        <v>0</v>
      </c>
      <c r="AI1131">
        <v>0.6</v>
      </c>
      <c r="AJ1131" t="s">
        <v>91</v>
      </c>
      <c r="AK1131" t="s">
        <v>92</v>
      </c>
      <c r="AL1131" t="s">
        <v>93</v>
      </c>
      <c r="AM1131">
        <v>0.34043629629629629</v>
      </c>
      <c r="AN1131">
        <v>0.22695753086419751</v>
      </c>
      <c r="AO1131">
        <v>0.35178417283950614</v>
      </c>
      <c r="AP1131">
        <v>0</v>
      </c>
      <c r="AQ1131">
        <v>8.6691086691086688E-2</v>
      </c>
      <c r="AR1131">
        <v>2.6666666666666505E-3</v>
      </c>
      <c r="AS1131">
        <v>0</v>
      </c>
      <c r="AT1131">
        <v>1.0866910866910866</v>
      </c>
      <c r="AU1131">
        <v>1.0026666666666666</v>
      </c>
      <c r="AV1131">
        <v>1</v>
      </c>
      <c r="AW1131">
        <v>0</v>
      </c>
      <c r="AX1131" t="s">
        <v>2860</v>
      </c>
      <c r="AY1131">
        <v>5.34</v>
      </c>
      <c r="AZ1131">
        <v>2</v>
      </c>
      <c r="BA1131" t="s">
        <v>94</v>
      </c>
      <c r="BB1131">
        <v>1.21</v>
      </c>
      <c r="BC1131" t="s">
        <v>95</v>
      </c>
      <c r="BD1131" t="s">
        <v>96</v>
      </c>
      <c r="BE1131" t="s">
        <v>97</v>
      </c>
      <c r="BF1131">
        <v>1</v>
      </c>
      <c r="BG1131">
        <v>0</v>
      </c>
      <c r="BH1131">
        <v>0</v>
      </c>
      <c r="BI1131" t="s">
        <v>98</v>
      </c>
    </row>
    <row r="1132" spans="1:61">
      <c r="A1132" s="164" t="s">
        <v>2861</v>
      </c>
      <c r="B1132" t="s">
        <v>485</v>
      </c>
      <c r="C1132">
        <v>0</v>
      </c>
      <c r="D1132" t="s">
        <v>486</v>
      </c>
      <c r="E1132">
        <v>0</v>
      </c>
      <c r="F1132" t="s">
        <v>2261</v>
      </c>
      <c r="G1132" t="s">
        <v>78</v>
      </c>
      <c r="H1132" t="s">
        <v>79</v>
      </c>
      <c r="I1132" t="s">
        <v>80</v>
      </c>
      <c r="J1132" t="s">
        <v>163</v>
      </c>
      <c r="K1132" t="s">
        <v>82</v>
      </c>
      <c r="L1132" t="s">
        <v>83</v>
      </c>
      <c r="M1132" t="s">
        <v>84</v>
      </c>
      <c r="N1132">
        <v>0.15</v>
      </c>
      <c r="O1132" t="b">
        <v>1</v>
      </c>
      <c r="P1132">
        <v>60</v>
      </c>
      <c r="Q1132" t="s">
        <v>137</v>
      </c>
      <c r="S1132">
        <v>0.15</v>
      </c>
      <c r="T1132">
        <v>1</v>
      </c>
      <c r="U1132" s="36">
        <v>2.68</v>
      </c>
      <c r="V1132" t="s">
        <v>165</v>
      </c>
      <c r="X1132">
        <v>0</v>
      </c>
      <c r="Y1132">
        <v>30</v>
      </c>
      <c r="Z1132">
        <v>3.3333333333333333E-2</v>
      </c>
      <c r="AA1132">
        <v>35</v>
      </c>
      <c r="AB1132">
        <v>0</v>
      </c>
      <c r="AC1132">
        <v>0</v>
      </c>
      <c r="AE1132" t="s">
        <v>129</v>
      </c>
      <c r="AF1132" t="s">
        <v>2261</v>
      </c>
      <c r="AG1132" t="s">
        <v>129</v>
      </c>
      <c r="AH1132">
        <v>0</v>
      </c>
      <c r="AI1132">
        <v>10.199999999999999</v>
      </c>
      <c r="AJ1132" t="s">
        <v>167</v>
      </c>
      <c r="AM1132">
        <v>10.38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 t="s">
        <v>2862</v>
      </c>
      <c r="AY1132">
        <v>10.15</v>
      </c>
      <c r="AZ1132">
        <v>8</v>
      </c>
      <c r="BA1132" t="s">
        <v>138</v>
      </c>
      <c r="BB1132">
        <v>0</v>
      </c>
      <c r="BC1132" t="s">
        <v>95</v>
      </c>
      <c r="BD1132" t="s">
        <v>96</v>
      </c>
      <c r="BE1132" t="s">
        <v>97</v>
      </c>
      <c r="BF1132">
        <v>1</v>
      </c>
      <c r="BG1132">
        <v>0</v>
      </c>
      <c r="BH1132">
        <v>0</v>
      </c>
      <c r="BI1132" t="s">
        <v>98</v>
      </c>
    </row>
    <row r="1133" spans="1:61">
      <c r="A1133" s="164" t="s">
        <v>2863</v>
      </c>
      <c r="B1133" t="s">
        <v>2864</v>
      </c>
      <c r="C1133">
        <v>0</v>
      </c>
      <c r="D1133" t="s">
        <v>133</v>
      </c>
      <c r="E1133">
        <v>0</v>
      </c>
      <c r="F1133" t="s">
        <v>2865</v>
      </c>
      <c r="G1133" t="s">
        <v>103</v>
      </c>
      <c r="H1133" t="s">
        <v>104</v>
      </c>
      <c r="I1133" t="s">
        <v>80</v>
      </c>
      <c r="J1133" t="s">
        <v>2866</v>
      </c>
      <c r="K1133" t="s">
        <v>82</v>
      </c>
      <c r="L1133" t="s">
        <v>83</v>
      </c>
      <c r="M1133" t="s">
        <v>84</v>
      </c>
      <c r="N1133">
        <v>0.25</v>
      </c>
      <c r="O1133" t="b">
        <v>1</v>
      </c>
      <c r="P1133">
        <v>70</v>
      </c>
      <c r="Q1133" t="s">
        <v>137</v>
      </c>
      <c r="R1133" t="s">
        <v>128</v>
      </c>
      <c r="S1133">
        <v>0.25</v>
      </c>
      <c r="T1133">
        <v>1</v>
      </c>
      <c r="U1133" s="36">
        <v>0.702345</v>
      </c>
      <c r="V1133" t="s">
        <v>87</v>
      </c>
      <c r="W1133">
        <v>0</v>
      </c>
      <c r="X1133">
        <v>0</v>
      </c>
      <c r="Y1133">
        <v>60</v>
      </c>
      <c r="Z1133">
        <v>1.6666666666666666E-2</v>
      </c>
      <c r="AA1133">
        <v>50</v>
      </c>
      <c r="AB1133">
        <v>0</v>
      </c>
      <c r="AC1133">
        <v>0</v>
      </c>
      <c r="AD1133">
        <v>0</v>
      </c>
      <c r="AG1133" t="s">
        <v>129</v>
      </c>
      <c r="AH1133">
        <v>0</v>
      </c>
      <c r="AI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 t="s">
        <v>2867</v>
      </c>
      <c r="AY1133">
        <v>2.67</v>
      </c>
      <c r="AZ1133">
        <v>0</v>
      </c>
      <c r="BA1133" t="s">
        <v>138</v>
      </c>
      <c r="BB1133">
        <v>1.23</v>
      </c>
      <c r="BC1133" t="s">
        <v>95</v>
      </c>
      <c r="BD1133" t="s">
        <v>96</v>
      </c>
      <c r="BE1133" t="s">
        <v>97</v>
      </c>
      <c r="BF1133">
        <v>0</v>
      </c>
      <c r="BG1133">
        <v>0</v>
      </c>
      <c r="BH1133">
        <v>0</v>
      </c>
      <c r="BI1133" t="s">
        <v>98</v>
      </c>
    </row>
    <row r="1134" spans="1:61">
      <c r="A1134" s="164" t="s">
        <v>2868</v>
      </c>
      <c r="B1134" t="s">
        <v>2869</v>
      </c>
      <c r="C1134">
        <v>0</v>
      </c>
      <c r="D1134" t="s">
        <v>124</v>
      </c>
      <c r="E1134">
        <v>0</v>
      </c>
      <c r="F1134" t="s">
        <v>125</v>
      </c>
      <c r="G1134" t="s">
        <v>78</v>
      </c>
      <c r="H1134" t="s">
        <v>79</v>
      </c>
      <c r="I1134" t="s">
        <v>126</v>
      </c>
      <c r="J1134" t="s">
        <v>1611</v>
      </c>
      <c r="K1134" t="s">
        <v>565</v>
      </c>
      <c r="L1134" t="s">
        <v>83</v>
      </c>
      <c r="M1134" t="s">
        <v>84</v>
      </c>
      <c r="N1134">
        <v>1.5</v>
      </c>
      <c r="O1134" t="b">
        <v>1</v>
      </c>
      <c r="P1134">
        <v>180</v>
      </c>
      <c r="Q1134" t="s">
        <v>85</v>
      </c>
      <c r="R1134" t="s">
        <v>1126</v>
      </c>
      <c r="S1134">
        <v>1.5</v>
      </c>
      <c r="T1134">
        <v>1</v>
      </c>
      <c r="U1134" s="36">
        <v>2.4714</v>
      </c>
      <c r="V1134" t="s">
        <v>87</v>
      </c>
      <c r="W1134">
        <v>0</v>
      </c>
      <c r="X1134">
        <v>0</v>
      </c>
      <c r="Y1134">
        <v>12</v>
      </c>
      <c r="Z1134">
        <v>8.3333333333333329E-2</v>
      </c>
      <c r="AA1134">
        <v>30</v>
      </c>
      <c r="AB1134">
        <v>0</v>
      </c>
      <c r="AC1134">
        <v>0</v>
      </c>
      <c r="AD1134">
        <v>0</v>
      </c>
      <c r="AG1134" t="s">
        <v>129</v>
      </c>
      <c r="AH1134">
        <v>0</v>
      </c>
      <c r="AI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 t="s">
        <v>1612</v>
      </c>
      <c r="AY1134">
        <v>7</v>
      </c>
      <c r="AZ1134">
        <v>7</v>
      </c>
      <c r="BA1134" t="s">
        <v>94</v>
      </c>
      <c r="BB1134">
        <v>5.53</v>
      </c>
      <c r="BC1134" t="s">
        <v>95</v>
      </c>
      <c r="BD1134" t="s">
        <v>139</v>
      </c>
      <c r="BE1134" t="s">
        <v>97</v>
      </c>
      <c r="BF1134">
        <v>1</v>
      </c>
      <c r="BG1134">
        <v>0</v>
      </c>
      <c r="BH1134">
        <v>0</v>
      </c>
      <c r="BI1134" t="s">
        <v>98</v>
      </c>
    </row>
    <row r="1135" spans="1:61">
      <c r="A1135" s="164" t="s">
        <v>2870</v>
      </c>
      <c r="B1135" t="s">
        <v>2871</v>
      </c>
      <c r="C1135">
        <v>0</v>
      </c>
      <c r="D1135" t="s">
        <v>1553</v>
      </c>
      <c r="E1135">
        <v>0</v>
      </c>
      <c r="F1135" t="s">
        <v>120</v>
      </c>
      <c r="G1135" t="s">
        <v>103</v>
      </c>
      <c r="H1135" t="s">
        <v>104</v>
      </c>
      <c r="I1135" t="s">
        <v>80</v>
      </c>
      <c r="J1135" t="s">
        <v>81</v>
      </c>
      <c r="K1135" t="s">
        <v>82</v>
      </c>
      <c r="L1135" t="s">
        <v>83</v>
      </c>
      <c r="M1135" t="s">
        <v>84</v>
      </c>
      <c r="N1135">
        <v>0.5</v>
      </c>
      <c r="O1135" t="b">
        <v>1</v>
      </c>
      <c r="P1135">
        <v>45</v>
      </c>
      <c r="Q1135" t="s">
        <v>85</v>
      </c>
      <c r="T1135">
        <v>1</v>
      </c>
      <c r="U1135" s="36">
        <v>0.99451000000000001</v>
      </c>
      <c r="V1135" t="s">
        <v>87</v>
      </c>
      <c r="W1135">
        <v>135</v>
      </c>
      <c r="X1135">
        <v>0</v>
      </c>
      <c r="Y1135">
        <v>0</v>
      </c>
      <c r="Z1135">
        <v>1.5625E-2</v>
      </c>
      <c r="AA1135">
        <v>30</v>
      </c>
      <c r="AB1135">
        <v>3.3333333333333333E-2</v>
      </c>
      <c r="AC1135">
        <v>500</v>
      </c>
      <c r="AD1135">
        <v>3333.3333333333335</v>
      </c>
      <c r="AE1135" t="s">
        <v>88</v>
      </c>
      <c r="AF1135" t="s">
        <v>1554</v>
      </c>
      <c r="AG1135" t="s">
        <v>1555</v>
      </c>
      <c r="AH1135">
        <v>0</v>
      </c>
      <c r="AI1135">
        <v>0.9</v>
      </c>
      <c r="AJ1135" t="s">
        <v>91</v>
      </c>
      <c r="AL1135" t="s">
        <v>93</v>
      </c>
      <c r="AM1135">
        <v>0.52300000000000002</v>
      </c>
      <c r="AN1135">
        <v>0</v>
      </c>
      <c r="AO1135">
        <v>0.4</v>
      </c>
      <c r="AP1135">
        <v>0</v>
      </c>
      <c r="AQ1135">
        <v>8.6691086691086688E-2</v>
      </c>
      <c r="AR1135">
        <v>0</v>
      </c>
      <c r="AS1135">
        <v>0</v>
      </c>
      <c r="AT1135">
        <v>1.0866910866910866</v>
      </c>
      <c r="AU1135">
        <v>0</v>
      </c>
      <c r="AV1135">
        <v>1</v>
      </c>
      <c r="AW1135">
        <v>0</v>
      </c>
      <c r="AX1135" t="s">
        <v>2872</v>
      </c>
      <c r="AY1135">
        <v>23.299999999999997</v>
      </c>
      <c r="AZ1135">
        <v>8</v>
      </c>
      <c r="BA1135" t="s">
        <v>94</v>
      </c>
      <c r="BB1135">
        <v>3.61</v>
      </c>
      <c r="BC1135" t="s">
        <v>95</v>
      </c>
      <c r="BD1135" t="s">
        <v>96</v>
      </c>
      <c r="BE1135" t="s">
        <v>97</v>
      </c>
      <c r="BF1135">
        <v>0</v>
      </c>
      <c r="BG1135">
        <v>0</v>
      </c>
      <c r="BH1135">
        <v>0</v>
      </c>
      <c r="BI1135" t="s">
        <v>98</v>
      </c>
    </row>
    <row r="1136" spans="1:61">
      <c r="A1136" s="164" t="s">
        <v>2873</v>
      </c>
      <c r="B1136" t="s">
        <v>2874</v>
      </c>
      <c r="C1136">
        <v>0</v>
      </c>
      <c r="D1136" t="s">
        <v>175</v>
      </c>
      <c r="E1136">
        <v>0</v>
      </c>
      <c r="F1136" t="s">
        <v>480</v>
      </c>
      <c r="G1136" t="s">
        <v>103</v>
      </c>
      <c r="H1136" t="s">
        <v>104</v>
      </c>
      <c r="I1136" t="s">
        <v>80</v>
      </c>
      <c r="J1136" t="s">
        <v>163</v>
      </c>
      <c r="K1136" t="s">
        <v>468</v>
      </c>
      <c r="L1136" t="s">
        <v>111</v>
      </c>
      <c r="M1136" t="s">
        <v>84</v>
      </c>
      <c r="N1136">
        <v>0.25</v>
      </c>
      <c r="O1136" t="b">
        <v>0</v>
      </c>
      <c r="P1136">
        <v>40</v>
      </c>
      <c r="Q1136" t="s">
        <v>479</v>
      </c>
      <c r="S1136">
        <v>0</v>
      </c>
      <c r="T1136">
        <v>1</v>
      </c>
      <c r="U1136" s="36">
        <v>1.0079199999999999</v>
      </c>
      <c r="V1136" t="s">
        <v>468</v>
      </c>
      <c r="X1136">
        <v>0</v>
      </c>
      <c r="Z1136">
        <v>0</v>
      </c>
      <c r="AB1136">
        <v>0</v>
      </c>
      <c r="AC1136">
        <v>0</v>
      </c>
      <c r="AE1136" t="s">
        <v>129</v>
      </c>
      <c r="AG1136" t="s">
        <v>129</v>
      </c>
      <c r="AH1136">
        <v>0</v>
      </c>
      <c r="AI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 t="s">
        <v>1768</v>
      </c>
      <c r="AY1136">
        <v>0</v>
      </c>
      <c r="AZ1136">
        <v>3</v>
      </c>
      <c r="BA1136" t="s">
        <v>138</v>
      </c>
      <c r="BB1136">
        <v>0</v>
      </c>
      <c r="BC1136" t="s">
        <v>95</v>
      </c>
      <c r="BD1136" t="s">
        <v>469</v>
      </c>
      <c r="BE1136" t="s">
        <v>97</v>
      </c>
      <c r="BF1136">
        <v>0</v>
      </c>
      <c r="BG1136">
        <v>0</v>
      </c>
      <c r="BH1136">
        <v>0</v>
      </c>
      <c r="BI1136" t="s">
        <v>98</v>
      </c>
    </row>
    <row r="1137" spans="1:61">
      <c r="A1137" s="164" t="s">
        <v>2875</v>
      </c>
      <c r="B1137" t="s">
        <v>2876</v>
      </c>
      <c r="C1137">
        <v>0</v>
      </c>
      <c r="D1137" t="s">
        <v>101</v>
      </c>
      <c r="E1137">
        <v>0</v>
      </c>
      <c r="F1137" t="s">
        <v>102</v>
      </c>
      <c r="G1137" t="s">
        <v>78</v>
      </c>
      <c r="H1137" t="s">
        <v>79</v>
      </c>
      <c r="I1137" t="s">
        <v>80</v>
      </c>
      <c r="J1137" t="s">
        <v>81</v>
      </c>
      <c r="K1137" t="s">
        <v>82</v>
      </c>
      <c r="L1137" t="s">
        <v>83</v>
      </c>
      <c r="M1137" t="s">
        <v>84</v>
      </c>
      <c r="N1137">
        <v>0.154</v>
      </c>
      <c r="O1137" t="b">
        <v>1</v>
      </c>
      <c r="P1137">
        <v>45</v>
      </c>
      <c r="Q1137" t="s">
        <v>85</v>
      </c>
      <c r="R1137" t="s">
        <v>86</v>
      </c>
      <c r="S1137">
        <v>0.14499999999999999</v>
      </c>
      <c r="T1137">
        <v>0.88957055214723912</v>
      </c>
      <c r="U1137" s="36">
        <v>0.295705</v>
      </c>
      <c r="V1137" t="s">
        <v>87</v>
      </c>
      <c r="W1137">
        <v>150</v>
      </c>
      <c r="X1137">
        <v>0.45</v>
      </c>
      <c r="Y1137">
        <v>60</v>
      </c>
      <c r="Z1137">
        <v>1.6666666666666666E-2</v>
      </c>
      <c r="AA1137">
        <v>30</v>
      </c>
      <c r="AB1137">
        <v>0</v>
      </c>
      <c r="AC1137">
        <v>500</v>
      </c>
      <c r="AD1137">
        <v>3448.2758620689656</v>
      </c>
      <c r="AE1137" t="s">
        <v>88</v>
      </c>
      <c r="AF1137" t="s">
        <v>513</v>
      </c>
      <c r="AG1137" t="s">
        <v>514</v>
      </c>
      <c r="AH1137">
        <v>0</v>
      </c>
      <c r="AI1137">
        <v>0.8</v>
      </c>
      <c r="AJ1137" t="s">
        <v>91</v>
      </c>
      <c r="AK1137" t="s">
        <v>92</v>
      </c>
      <c r="AL1137" t="s">
        <v>93</v>
      </c>
      <c r="AM1137">
        <v>0.33631111111111106</v>
      </c>
      <c r="AN1137">
        <v>0.22420740740740738</v>
      </c>
      <c r="AO1137">
        <v>0.34752148148148143</v>
      </c>
      <c r="AP1137">
        <v>0</v>
      </c>
      <c r="AQ1137">
        <v>8.6691086691086688E-2</v>
      </c>
      <c r="AR1137">
        <v>2.6666666666666505E-3</v>
      </c>
      <c r="AS1137">
        <v>0</v>
      </c>
      <c r="AT1137">
        <v>1.0866910866910866</v>
      </c>
      <c r="AU1137">
        <v>1.0026666666666666</v>
      </c>
      <c r="AV1137">
        <v>1</v>
      </c>
      <c r="AW1137">
        <v>0</v>
      </c>
      <c r="AX1137" t="s">
        <v>2877</v>
      </c>
      <c r="AY1137">
        <v>15.98</v>
      </c>
      <c r="AZ1137">
        <v>6</v>
      </c>
      <c r="BA1137" t="s">
        <v>94</v>
      </c>
      <c r="BB1137">
        <v>0.77</v>
      </c>
      <c r="BC1137" t="s">
        <v>95</v>
      </c>
      <c r="BD1137" t="s">
        <v>96</v>
      </c>
      <c r="BE1137" t="s">
        <v>97</v>
      </c>
      <c r="BF1137">
        <v>1</v>
      </c>
      <c r="BG1137">
        <v>0</v>
      </c>
      <c r="BH1137">
        <v>0</v>
      </c>
      <c r="BI1137" t="s">
        <v>98</v>
      </c>
    </row>
    <row r="1138" spans="1:61">
      <c r="A1138" s="164" t="s">
        <v>2878</v>
      </c>
      <c r="B1138" t="s">
        <v>2879</v>
      </c>
      <c r="C1138">
        <v>0</v>
      </c>
      <c r="D1138" t="s">
        <v>101</v>
      </c>
      <c r="E1138">
        <v>0</v>
      </c>
      <c r="F1138" t="s">
        <v>102</v>
      </c>
      <c r="G1138" t="s">
        <v>103</v>
      </c>
      <c r="H1138" t="s">
        <v>104</v>
      </c>
      <c r="I1138" t="s">
        <v>80</v>
      </c>
      <c r="J1138" t="s">
        <v>774</v>
      </c>
      <c r="K1138" t="s">
        <v>565</v>
      </c>
      <c r="L1138" t="s">
        <v>83</v>
      </c>
      <c r="M1138" t="s">
        <v>84</v>
      </c>
      <c r="N1138">
        <v>0.97799999999999998</v>
      </c>
      <c r="O1138" t="b">
        <v>0</v>
      </c>
      <c r="P1138">
        <v>45</v>
      </c>
      <c r="Q1138" t="s">
        <v>85</v>
      </c>
      <c r="R1138" t="s">
        <v>86</v>
      </c>
      <c r="S1138">
        <v>0</v>
      </c>
      <c r="T1138">
        <v>1</v>
      </c>
      <c r="V1138" t="s">
        <v>87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G1138" t="s">
        <v>129</v>
      </c>
      <c r="AH1138">
        <v>0</v>
      </c>
      <c r="AI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Y1138">
        <v>0</v>
      </c>
      <c r="AZ1138">
        <v>9</v>
      </c>
      <c r="BA1138" t="s">
        <v>94</v>
      </c>
      <c r="BB1138">
        <v>0</v>
      </c>
      <c r="BC1138" t="s">
        <v>95</v>
      </c>
      <c r="BD1138" t="s">
        <v>139</v>
      </c>
      <c r="BE1138" t="s">
        <v>97</v>
      </c>
      <c r="BF1138">
        <v>0</v>
      </c>
      <c r="BG1138">
        <v>0</v>
      </c>
      <c r="BH1138">
        <v>0</v>
      </c>
      <c r="BI1138" t="s">
        <v>98</v>
      </c>
    </row>
    <row r="1139" spans="1:61">
      <c r="A1139" s="164" t="s">
        <v>2880</v>
      </c>
      <c r="B1139" t="s">
        <v>2881</v>
      </c>
      <c r="C1139">
        <v>0</v>
      </c>
      <c r="D1139" t="s">
        <v>2592</v>
      </c>
      <c r="E1139">
        <v>0</v>
      </c>
      <c r="F1139" t="s">
        <v>2882</v>
      </c>
      <c r="G1139" t="s">
        <v>78</v>
      </c>
      <c r="H1139" t="s">
        <v>79</v>
      </c>
      <c r="I1139" t="s">
        <v>80</v>
      </c>
      <c r="J1139" t="s">
        <v>163</v>
      </c>
      <c r="K1139" t="s">
        <v>82</v>
      </c>
      <c r="L1139" t="s">
        <v>83</v>
      </c>
      <c r="M1139" t="s">
        <v>84</v>
      </c>
      <c r="N1139">
        <v>0.1</v>
      </c>
      <c r="O1139" t="b">
        <v>1</v>
      </c>
      <c r="P1139">
        <v>180</v>
      </c>
      <c r="Q1139" t="s">
        <v>188</v>
      </c>
      <c r="S1139">
        <v>0.1</v>
      </c>
      <c r="T1139">
        <v>1</v>
      </c>
      <c r="U1139" s="36">
        <v>0.28448000000000001</v>
      </c>
      <c r="V1139" t="s">
        <v>189</v>
      </c>
      <c r="W1139">
        <v>16</v>
      </c>
      <c r="X1139">
        <v>0</v>
      </c>
      <c r="Y1139">
        <v>112</v>
      </c>
      <c r="Z1139">
        <v>2.7777777777777776E-2</v>
      </c>
      <c r="AA1139">
        <v>35</v>
      </c>
      <c r="AB1139">
        <v>0</v>
      </c>
      <c r="AC1139">
        <v>0</v>
      </c>
      <c r="AD1139">
        <v>3000</v>
      </c>
      <c r="AE1139" t="s">
        <v>1699</v>
      </c>
      <c r="AF1139" t="s">
        <v>2882</v>
      </c>
      <c r="AG1139" t="s">
        <v>129</v>
      </c>
      <c r="AH1139">
        <v>0</v>
      </c>
      <c r="AI1139">
        <v>2.1</v>
      </c>
      <c r="AJ1139" t="s">
        <v>167</v>
      </c>
      <c r="AM1139">
        <v>2.2000000000000002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 t="s">
        <v>2883</v>
      </c>
      <c r="AY1139">
        <v>22.24</v>
      </c>
      <c r="AZ1139">
        <v>3</v>
      </c>
      <c r="BA1139" t="s">
        <v>94</v>
      </c>
      <c r="BB1139">
        <v>0.7</v>
      </c>
      <c r="BC1139" t="s">
        <v>95</v>
      </c>
      <c r="BD1139" t="s">
        <v>96</v>
      </c>
      <c r="BE1139" t="s">
        <v>97</v>
      </c>
      <c r="BF1139">
        <v>1</v>
      </c>
      <c r="BG1139">
        <v>0</v>
      </c>
      <c r="BH1139">
        <v>0</v>
      </c>
      <c r="BI1139" t="s">
        <v>98</v>
      </c>
    </row>
    <row r="1140" spans="1:61">
      <c r="A1140" s="164" t="s">
        <v>2884</v>
      </c>
      <c r="B1140" t="s">
        <v>2885</v>
      </c>
      <c r="C1140">
        <v>0</v>
      </c>
      <c r="D1140" t="s">
        <v>304</v>
      </c>
      <c r="E1140">
        <v>0</v>
      </c>
      <c r="F1140" t="s">
        <v>342</v>
      </c>
      <c r="G1140" t="s">
        <v>78</v>
      </c>
      <c r="H1140" t="s">
        <v>79</v>
      </c>
      <c r="I1140" t="s">
        <v>80</v>
      </c>
      <c r="J1140" t="s">
        <v>196</v>
      </c>
      <c r="K1140" t="s">
        <v>13</v>
      </c>
      <c r="L1140" t="s">
        <v>83</v>
      </c>
      <c r="M1140" t="s">
        <v>84</v>
      </c>
      <c r="N1140">
        <v>1</v>
      </c>
      <c r="O1140" t="b">
        <v>1</v>
      </c>
      <c r="P1140">
        <v>0</v>
      </c>
      <c r="BB1140">
        <v>0</v>
      </c>
      <c r="BC1140" t="s">
        <v>306</v>
      </c>
      <c r="BD1140" t="s">
        <v>343</v>
      </c>
      <c r="BE1140" t="s">
        <v>117</v>
      </c>
      <c r="BF1140">
        <v>0</v>
      </c>
      <c r="BG1140">
        <v>25</v>
      </c>
      <c r="BH1140">
        <v>10000</v>
      </c>
      <c r="BI1140" t="s">
        <v>344</v>
      </c>
    </row>
    <row r="1141" spans="1:61">
      <c r="A1141" s="164" t="s">
        <v>2886</v>
      </c>
      <c r="B1141" t="s">
        <v>2887</v>
      </c>
      <c r="C1141">
        <v>0</v>
      </c>
      <c r="D1141" t="s">
        <v>304</v>
      </c>
      <c r="E1141">
        <v>0</v>
      </c>
      <c r="F1141" t="s">
        <v>342</v>
      </c>
      <c r="G1141" t="s">
        <v>78</v>
      </c>
      <c r="H1141" t="s">
        <v>79</v>
      </c>
      <c r="I1141" t="s">
        <v>80</v>
      </c>
      <c r="J1141" t="s">
        <v>196</v>
      </c>
      <c r="K1141" t="s">
        <v>13</v>
      </c>
      <c r="L1141" t="s">
        <v>83</v>
      </c>
      <c r="M1141" t="s">
        <v>84</v>
      </c>
      <c r="N1141">
        <v>1</v>
      </c>
      <c r="O1141" t="b">
        <v>1</v>
      </c>
      <c r="P1141">
        <v>0</v>
      </c>
      <c r="BB1141">
        <v>0</v>
      </c>
      <c r="BC1141" t="s">
        <v>306</v>
      </c>
      <c r="BD1141" t="s">
        <v>343</v>
      </c>
      <c r="BE1141" t="s">
        <v>117</v>
      </c>
      <c r="BF1141">
        <v>0</v>
      </c>
      <c r="BG1141">
        <v>25</v>
      </c>
      <c r="BH1141">
        <v>10000</v>
      </c>
      <c r="BI1141" t="s">
        <v>344</v>
      </c>
    </row>
    <row r="1142" spans="1:61">
      <c r="A1142" s="164" t="s">
        <v>2888</v>
      </c>
      <c r="B1142" t="s">
        <v>2889</v>
      </c>
      <c r="C1142">
        <v>0</v>
      </c>
      <c r="D1142" t="s">
        <v>304</v>
      </c>
      <c r="E1142">
        <v>0</v>
      </c>
      <c r="F1142" t="s">
        <v>313</v>
      </c>
      <c r="G1142" t="s">
        <v>78</v>
      </c>
      <c r="H1142" t="s">
        <v>79</v>
      </c>
      <c r="I1142" t="s">
        <v>80</v>
      </c>
      <c r="J1142" t="s">
        <v>196</v>
      </c>
      <c r="K1142" t="s">
        <v>13</v>
      </c>
      <c r="L1142" t="s">
        <v>83</v>
      </c>
      <c r="M1142" t="s">
        <v>205</v>
      </c>
      <c r="N1142">
        <v>1</v>
      </c>
      <c r="O1142" t="b">
        <v>1</v>
      </c>
      <c r="P1142">
        <v>0</v>
      </c>
      <c r="BB1142">
        <v>0</v>
      </c>
      <c r="BC1142" t="s">
        <v>306</v>
      </c>
      <c r="BD1142" t="s">
        <v>314</v>
      </c>
      <c r="BE1142" t="s">
        <v>117</v>
      </c>
      <c r="BF1142">
        <v>0</v>
      </c>
      <c r="BG1142">
        <v>45</v>
      </c>
      <c r="BH1142">
        <v>100</v>
      </c>
      <c r="BI1142" t="s">
        <v>584</v>
      </c>
    </row>
    <row r="1143" spans="1:61">
      <c r="A1143" s="164" t="s">
        <v>2890</v>
      </c>
      <c r="B1143" t="s">
        <v>2891</v>
      </c>
      <c r="C1143">
        <v>0</v>
      </c>
      <c r="D1143" t="s">
        <v>304</v>
      </c>
      <c r="E1143">
        <v>0</v>
      </c>
      <c r="F1143" t="s">
        <v>1507</v>
      </c>
      <c r="G1143" t="s">
        <v>78</v>
      </c>
      <c r="H1143" t="s">
        <v>79</v>
      </c>
      <c r="I1143" t="s">
        <v>80</v>
      </c>
      <c r="J1143" t="s">
        <v>196</v>
      </c>
      <c r="K1143" t="s">
        <v>13</v>
      </c>
      <c r="L1143" t="s">
        <v>83</v>
      </c>
      <c r="M1143" t="s">
        <v>84</v>
      </c>
      <c r="N1143">
        <v>1</v>
      </c>
      <c r="O1143" t="b">
        <v>1</v>
      </c>
      <c r="P1143">
        <v>0</v>
      </c>
      <c r="BB1143">
        <v>0</v>
      </c>
      <c r="BC1143" t="s">
        <v>306</v>
      </c>
      <c r="BD1143" t="s">
        <v>1508</v>
      </c>
      <c r="BE1143" t="s">
        <v>117</v>
      </c>
      <c r="BF1143">
        <v>0</v>
      </c>
      <c r="BG1143">
        <v>60</v>
      </c>
      <c r="BH1143">
        <v>50000</v>
      </c>
      <c r="BI1143" t="s">
        <v>1509</v>
      </c>
    </row>
    <row r="1144" spans="1:61">
      <c r="A1144" s="164" t="s">
        <v>2892</v>
      </c>
      <c r="B1144" t="s">
        <v>2893</v>
      </c>
      <c r="C1144">
        <v>0</v>
      </c>
      <c r="D1144" t="s">
        <v>304</v>
      </c>
      <c r="E1144">
        <v>0</v>
      </c>
      <c r="F1144" t="s">
        <v>1507</v>
      </c>
      <c r="G1144" t="s">
        <v>78</v>
      </c>
      <c r="H1144" t="s">
        <v>79</v>
      </c>
      <c r="I1144" t="s">
        <v>80</v>
      </c>
      <c r="J1144" t="s">
        <v>196</v>
      </c>
      <c r="K1144" t="s">
        <v>13</v>
      </c>
      <c r="L1144" t="s">
        <v>83</v>
      </c>
      <c r="M1144" t="s">
        <v>84</v>
      </c>
      <c r="N1144">
        <v>1</v>
      </c>
      <c r="O1144" t="b">
        <v>1</v>
      </c>
      <c r="P1144">
        <v>0</v>
      </c>
      <c r="BB1144">
        <v>0</v>
      </c>
      <c r="BC1144" t="s">
        <v>306</v>
      </c>
      <c r="BD1144" t="s">
        <v>1508</v>
      </c>
      <c r="BE1144" t="s">
        <v>117</v>
      </c>
      <c r="BF1144">
        <v>0</v>
      </c>
      <c r="BG1144">
        <v>60</v>
      </c>
      <c r="BH1144">
        <v>50000</v>
      </c>
      <c r="BI1144" t="s">
        <v>315</v>
      </c>
    </row>
    <row r="1145" spans="1:61">
      <c r="A1145" s="164" t="s">
        <v>2894</v>
      </c>
      <c r="B1145" t="s">
        <v>2895</v>
      </c>
      <c r="C1145">
        <v>0</v>
      </c>
      <c r="D1145" t="s">
        <v>304</v>
      </c>
      <c r="E1145">
        <v>0</v>
      </c>
      <c r="F1145" t="s">
        <v>357</v>
      </c>
      <c r="G1145" t="s">
        <v>78</v>
      </c>
      <c r="H1145" t="s">
        <v>79</v>
      </c>
      <c r="I1145" t="s">
        <v>80</v>
      </c>
      <c r="J1145" t="s">
        <v>196</v>
      </c>
      <c r="K1145" t="s">
        <v>13</v>
      </c>
      <c r="L1145" t="s">
        <v>83</v>
      </c>
      <c r="M1145" t="s">
        <v>84</v>
      </c>
      <c r="N1145">
        <v>1</v>
      </c>
      <c r="O1145" t="b">
        <v>1</v>
      </c>
      <c r="P1145">
        <v>0</v>
      </c>
      <c r="BB1145">
        <v>0</v>
      </c>
      <c r="BC1145" t="s">
        <v>306</v>
      </c>
      <c r="BD1145" t="s">
        <v>358</v>
      </c>
      <c r="BE1145" t="s">
        <v>117</v>
      </c>
      <c r="BF1145">
        <v>0</v>
      </c>
      <c r="BG1145">
        <v>25</v>
      </c>
      <c r="BH1145">
        <v>500</v>
      </c>
      <c r="BI1145" t="s">
        <v>359</v>
      </c>
    </row>
    <row r="1146" spans="1:61">
      <c r="A1146" s="164" t="s">
        <v>2896</v>
      </c>
      <c r="B1146" t="s">
        <v>2897</v>
      </c>
      <c r="C1146">
        <v>0</v>
      </c>
      <c r="D1146" t="s">
        <v>304</v>
      </c>
      <c r="E1146">
        <v>0</v>
      </c>
      <c r="F1146" t="s">
        <v>305</v>
      </c>
      <c r="G1146" t="s">
        <v>78</v>
      </c>
      <c r="H1146" t="s">
        <v>79</v>
      </c>
      <c r="I1146" t="s">
        <v>80</v>
      </c>
      <c r="J1146" t="s">
        <v>196</v>
      </c>
      <c r="K1146" t="s">
        <v>13</v>
      </c>
      <c r="L1146" t="s">
        <v>83</v>
      </c>
      <c r="M1146" t="s">
        <v>84</v>
      </c>
      <c r="N1146">
        <v>1</v>
      </c>
      <c r="O1146" t="b">
        <v>1</v>
      </c>
      <c r="P1146">
        <v>0</v>
      </c>
      <c r="BB1146">
        <v>0</v>
      </c>
      <c r="BC1146" t="s">
        <v>306</v>
      </c>
      <c r="BD1146" t="s">
        <v>307</v>
      </c>
      <c r="BE1146" t="s">
        <v>117</v>
      </c>
      <c r="BF1146">
        <v>0</v>
      </c>
      <c r="BG1146">
        <v>25</v>
      </c>
      <c r="BH1146">
        <v>20000</v>
      </c>
      <c r="BI1146" t="s">
        <v>308</v>
      </c>
    </row>
    <row r="1147" spans="1:61">
      <c r="A1147" s="164" t="s">
        <v>2898</v>
      </c>
      <c r="B1147" t="s">
        <v>2899</v>
      </c>
      <c r="C1147">
        <v>0</v>
      </c>
      <c r="D1147" t="s">
        <v>304</v>
      </c>
      <c r="E1147">
        <v>0</v>
      </c>
      <c r="F1147" t="s">
        <v>305</v>
      </c>
      <c r="G1147" t="s">
        <v>78</v>
      </c>
      <c r="H1147" t="s">
        <v>79</v>
      </c>
      <c r="I1147" t="s">
        <v>80</v>
      </c>
      <c r="J1147" t="s">
        <v>196</v>
      </c>
      <c r="K1147" t="s">
        <v>13</v>
      </c>
      <c r="L1147" t="s">
        <v>83</v>
      </c>
      <c r="M1147" t="s">
        <v>84</v>
      </c>
      <c r="N1147">
        <v>1</v>
      </c>
      <c r="O1147" t="b">
        <v>1</v>
      </c>
      <c r="P1147">
        <v>0</v>
      </c>
      <c r="BB1147">
        <v>0</v>
      </c>
      <c r="BC1147" t="s">
        <v>306</v>
      </c>
      <c r="BD1147" t="s">
        <v>307</v>
      </c>
      <c r="BE1147" t="s">
        <v>117</v>
      </c>
      <c r="BF1147">
        <v>0</v>
      </c>
      <c r="BG1147">
        <v>25</v>
      </c>
      <c r="BH1147">
        <v>20000</v>
      </c>
      <c r="BI1147" t="s">
        <v>308</v>
      </c>
    </row>
    <row r="1148" spans="1:61">
      <c r="A1148" s="164" t="s">
        <v>2900</v>
      </c>
      <c r="B1148" t="s">
        <v>2901</v>
      </c>
      <c r="C1148">
        <v>0</v>
      </c>
      <c r="D1148" t="s">
        <v>304</v>
      </c>
      <c r="E1148">
        <v>0</v>
      </c>
      <c r="F1148" t="s">
        <v>326</v>
      </c>
      <c r="G1148" t="s">
        <v>78</v>
      </c>
      <c r="H1148" t="s">
        <v>79</v>
      </c>
      <c r="I1148" t="s">
        <v>80</v>
      </c>
      <c r="J1148" t="s">
        <v>196</v>
      </c>
      <c r="K1148" t="s">
        <v>13</v>
      </c>
      <c r="L1148" t="s">
        <v>83</v>
      </c>
      <c r="M1148" t="s">
        <v>84</v>
      </c>
      <c r="N1148">
        <v>1</v>
      </c>
      <c r="O1148" t="b">
        <v>1</v>
      </c>
      <c r="P1148">
        <v>0</v>
      </c>
      <c r="BB1148">
        <v>0</v>
      </c>
      <c r="BC1148" t="s">
        <v>306</v>
      </c>
      <c r="BD1148" t="s">
        <v>327</v>
      </c>
      <c r="BE1148" t="s">
        <v>117</v>
      </c>
      <c r="BF1148">
        <v>0</v>
      </c>
      <c r="BG1148">
        <v>30</v>
      </c>
      <c r="BH1148">
        <v>30000</v>
      </c>
      <c r="BI1148" t="s">
        <v>328</v>
      </c>
    </row>
    <row r="1149" spans="1:61">
      <c r="A1149" s="164" t="s">
        <v>2902</v>
      </c>
      <c r="B1149" t="s">
        <v>2903</v>
      </c>
      <c r="C1149">
        <v>0</v>
      </c>
      <c r="D1149" t="s">
        <v>304</v>
      </c>
      <c r="E1149">
        <v>0</v>
      </c>
      <c r="F1149" t="s">
        <v>336</v>
      </c>
      <c r="G1149" t="s">
        <v>78</v>
      </c>
      <c r="H1149" t="s">
        <v>79</v>
      </c>
      <c r="I1149" t="s">
        <v>80</v>
      </c>
      <c r="J1149" t="s">
        <v>196</v>
      </c>
      <c r="K1149" t="s">
        <v>13</v>
      </c>
      <c r="L1149" t="s">
        <v>83</v>
      </c>
      <c r="M1149" t="s">
        <v>84</v>
      </c>
      <c r="N1149">
        <v>1</v>
      </c>
      <c r="O1149" t="b">
        <v>1</v>
      </c>
      <c r="P1149">
        <v>0</v>
      </c>
      <c r="BB1149">
        <v>0</v>
      </c>
      <c r="BC1149" t="s">
        <v>306</v>
      </c>
      <c r="BD1149" t="s">
        <v>337</v>
      </c>
      <c r="BE1149" t="s">
        <v>117</v>
      </c>
      <c r="BF1149">
        <v>0</v>
      </c>
      <c r="BG1149">
        <v>60</v>
      </c>
      <c r="BH1149">
        <v>150000</v>
      </c>
      <c r="BI1149" t="s">
        <v>333</v>
      </c>
    </row>
    <row r="1150" spans="1:61">
      <c r="A1150" s="164" t="s">
        <v>2904</v>
      </c>
      <c r="B1150" t="s">
        <v>2905</v>
      </c>
      <c r="C1150">
        <v>0</v>
      </c>
      <c r="D1150" t="s">
        <v>304</v>
      </c>
      <c r="E1150">
        <v>0</v>
      </c>
      <c r="F1150" t="s">
        <v>331</v>
      </c>
      <c r="G1150" t="s">
        <v>78</v>
      </c>
      <c r="H1150" t="s">
        <v>79</v>
      </c>
      <c r="I1150" t="s">
        <v>80</v>
      </c>
      <c r="J1150" t="s">
        <v>196</v>
      </c>
      <c r="K1150" t="s">
        <v>13</v>
      </c>
      <c r="L1150" t="s">
        <v>83</v>
      </c>
      <c r="M1150" t="s">
        <v>84</v>
      </c>
      <c r="N1150">
        <v>1</v>
      </c>
      <c r="O1150" t="b">
        <v>1</v>
      </c>
      <c r="P1150">
        <v>0</v>
      </c>
      <c r="BB1150">
        <v>0</v>
      </c>
      <c r="BC1150" t="s">
        <v>306</v>
      </c>
      <c r="BD1150" t="s">
        <v>332</v>
      </c>
      <c r="BE1150" t="s">
        <v>117</v>
      </c>
      <c r="BF1150">
        <v>0</v>
      </c>
      <c r="BG1150">
        <v>60</v>
      </c>
      <c r="BH1150">
        <v>200000</v>
      </c>
      <c r="BI1150" t="s">
        <v>333</v>
      </c>
    </row>
    <row r="1151" spans="1:61">
      <c r="A1151" s="164" t="s">
        <v>2906</v>
      </c>
      <c r="B1151" t="s">
        <v>2907</v>
      </c>
      <c r="C1151">
        <v>0</v>
      </c>
      <c r="D1151" t="s">
        <v>304</v>
      </c>
      <c r="E1151">
        <v>0</v>
      </c>
      <c r="F1151" t="s">
        <v>313</v>
      </c>
      <c r="G1151" t="s">
        <v>78</v>
      </c>
      <c r="H1151" t="s">
        <v>79</v>
      </c>
      <c r="I1151" t="s">
        <v>80</v>
      </c>
      <c r="J1151" t="s">
        <v>196</v>
      </c>
      <c r="K1151" t="s">
        <v>13</v>
      </c>
      <c r="L1151" t="s">
        <v>83</v>
      </c>
      <c r="M1151" t="s">
        <v>84</v>
      </c>
      <c r="N1151">
        <v>1</v>
      </c>
      <c r="O1151" t="b">
        <v>1</v>
      </c>
      <c r="P1151">
        <v>0</v>
      </c>
      <c r="BB1151">
        <v>0</v>
      </c>
      <c r="BC1151" t="s">
        <v>306</v>
      </c>
      <c r="BD1151" t="s">
        <v>314</v>
      </c>
      <c r="BE1151" t="s">
        <v>117</v>
      </c>
      <c r="BF1151">
        <v>0</v>
      </c>
      <c r="BG1151">
        <v>25</v>
      </c>
      <c r="BH1151">
        <v>20000</v>
      </c>
      <c r="BI1151" t="s">
        <v>344</v>
      </c>
    </row>
    <row r="1152" spans="1:61">
      <c r="A1152" s="164" t="s">
        <v>2908</v>
      </c>
      <c r="B1152" t="s">
        <v>2909</v>
      </c>
      <c r="C1152">
        <v>0</v>
      </c>
      <c r="D1152" t="s">
        <v>304</v>
      </c>
      <c r="E1152">
        <v>0</v>
      </c>
      <c r="F1152" t="s">
        <v>269</v>
      </c>
      <c r="G1152" t="s">
        <v>103</v>
      </c>
      <c r="H1152" t="s">
        <v>104</v>
      </c>
      <c r="I1152" t="s">
        <v>80</v>
      </c>
      <c r="J1152" t="s">
        <v>196</v>
      </c>
      <c r="K1152" t="s">
        <v>13</v>
      </c>
      <c r="L1152" t="s">
        <v>83</v>
      </c>
      <c r="M1152" t="s">
        <v>84</v>
      </c>
      <c r="N1152">
        <v>1</v>
      </c>
      <c r="O1152" t="b">
        <v>0</v>
      </c>
      <c r="P1152">
        <v>0</v>
      </c>
      <c r="BB1152">
        <v>0</v>
      </c>
      <c r="BC1152" t="s">
        <v>306</v>
      </c>
      <c r="BD1152" t="s">
        <v>270</v>
      </c>
      <c r="BE1152" t="s">
        <v>117</v>
      </c>
      <c r="BF1152">
        <v>0</v>
      </c>
      <c r="BG1152">
        <v>0</v>
      </c>
      <c r="BH1152">
        <v>0</v>
      </c>
    </row>
    <row r="1153" spans="1:61">
      <c r="A1153" s="164" t="s">
        <v>2910</v>
      </c>
      <c r="B1153" t="s">
        <v>2911</v>
      </c>
      <c r="C1153">
        <v>0</v>
      </c>
      <c r="D1153" t="s">
        <v>304</v>
      </c>
      <c r="E1153">
        <v>0</v>
      </c>
      <c r="F1153" t="s">
        <v>357</v>
      </c>
      <c r="G1153" t="s">
        <v>78</v>
      </c>
      <c r="H1153" t="s">
        <v>79</v>
      </c>
      <c r="I1153" t="s">
        <v>80</v>
      </c>
      <c r="J1153" t="s">
        <v>196</v>
      </c>
      <c r="K1153" t="s">
        <v>13</v>
      </c>
      <c r="L1153" t="s">
        <v>83</v>
      </c>
      <c r="M1153" t="s">
        <v>84</v>
      </c>
      <c r="N1153">
        <v>1</v>
      </c>
      <c r="O1153" t="b">
        <v>1</v>
      </c>
      <c r="P1153">
        <v>0</v>
      </c>
      <c r="BB1153">
        <v>0</v>
      </c>
      <c r="BC1153" t="s">
        <v>306</v>
      </c>
      <c r="BD1153" t="s">
        <v>358</v>
      </c>
      <c r="BE1153" t="s">
        <v>117</v>
      </c>
      <c r="BF1153">
        <v>0</v>
      </c>
      <c r="BG1153">
        <v>25</v>
      </c>
      <c r="BH1153">
        <v>500</v>
      </c>
      <c r="BI1153" t="s">
        <v>359</v>
      </c>
    </row>
    <row r="1154" spans="1:61">
      <c r="A1154" s="164" t="s">
        <v>2912</v>
      </c>
      <c r="B1154" t="s">
        <v>2913</v>
      </c>
      <c r="C1154">
        <v>0</v>
      </c>
      <c r="D1154" t="s">
        <v>304</v>
      </c>
      <c r="E1154">
        <v>0</v>
      </c>
      <c r="F1154" t="s">
        <v>1364</v>
      </c>
      <c r="G1154" t="s">
        <v>78</v>
      </c>
      <c r="H1154" t="s">
        <v>79</v>
      </c>
      <c r="I1154" t="s">
        <v>80</v>
      </c>
      <c r="J1154" t="s">
        <v>196</v>
      </c>
      <c r="K1154" t="s">
        <v>13</v>
      </c>
      <c r="L1154" t="s">
        <v>83</v>
      </c>
      <c r="M1154" t="s">
        <v>84</v>
      </c>
      <c r="N1154">
        <v>1</v>
      </c>
      <c r="O1154" t="b">
        <v>1</v>
      </c>
      <c r="P1154">
        <v>0</v>
      </c>
      <c r="BB1154">
        <v>0</v>
      </c>
      <c r="BC1154" t="s">
        <v>306</v>
      </c>
      <c r="BD1154" t="s">
        <v>1365</v>
      </c>
      <c r="BE1154" t="s">
        <v>117</v>
      </c>
      <c r="BF1154">
        <v>0</v>
      </c>
      <c r="BG1154">
        <v>60</v>
      </c>
      <c r="BH1154">
        <v>50000</v>
      </c>
      <c r="BI1154" t="s">
        <v>1509</v>
      </c>
    </row>
    <row r="1155" spans="1:61">
      <c r="A1155" s="164" t="s">
        <v>2914</v>
      </c>
      <c r="B1155" t="s">
        <v>2915</v>
      </c>
      <c r="C1155">
        <v>0</v>
      </c>
      <c r="D1155" t="s">
        <v>304</v>
      </c>
      <c r="E1155">
        <v>0</v>
      </c>
      <c r="F1155" t="s">
        <v>336</v>
      </c>
      <c r="G1155" t="s">
        <v>78</v>
      </c>
      <c r="H1155" t="s">
        <v>79</v>
      </c>
      <c r="I1155" t="s">
        <v>80</v>
      </c>
      <c r="J1155" t="s">
        <v>196</v>
      </c>
      <c r="K1155" t="s">
        <v>13</v>
      </c>
      <c r="L1155" t="s">
        <v>83</v>
      </c>
      <c r="M1155" t="s">
        <v>84</v>
      </c>
      <c r="N1155">
        <v>1</v>
      </c>
      <c r="O1155" t="b">
        <v>1</v>
      </c>
      <c r="P1155">
        <v>0</v>
      </c>
      <c r="BB1155">
        <v>0</v>
      </c>
      <c r="BC1155" t="s">
        <v>306</v>
      </c>
      <c r="BD1155" t="s">
        <v>337</v>
      </c>
      <c r="BE1155" t="s">
        <v>117</v>
      </c>
      <c r="BF1155">
        <v>0</v>
      </c>
      <c r="BG1155">
        <v>30</v>
      </c>
      <c r="BH1155">
        <v>30000</v>
      </c>
      <c r="BI1155" t="s">
        <v>593</v>
      </c>
    </row>
    <row r="1156" spans="1:61">
      <c r="A1156" s="164" t="s">
        <v>2916</v>
      </c>
      <c r="B1156" t="s">
        <v>2917</v>
      </c>
      <c r="C1156">
        <v>0</v>
      </c>
      <c r="D1156" t="s">
        <v>304</v>
      </c>
      <c r="E1156">
        <v>0</v>
      </c>
      <c r="F1156" t="s">
        <v>589</v>
      </c>
      <c r="G1156" t="s">
        <v>78</v>
      </c>
      <c r="H1156" t="s">
        <v>79</v>
      </c>
      <c r="I1156" t="s">
        <v>80</v>
      </c>
      <c r="J1156" t="s">
        <v>196</v>
      </c>
      <c r="K1156" t="s">
        <v>13</v>
      </c>
      <c r="L1156" t="s">
        <v>83</v>
      </c>
      <c r="M1156" t="s">
        <v>84</v>
      </c>
      <c r="N1156">
        <v>1</v>
      </c>
      <c r="O1156" t="b">
        <v>1</v>
      </c>
      <c r="P1156">
        <v>0</v>
      </c>
      <c r="BB1156">
        <v>0</v>
      </c>
      <c r="BC1156" t="s">
        <v>306</v>
      </c>
      <c r="BD1156" t="s">
        <v>590</v>
      </c>
      <c r="BE1156" t="s">
        <v>117</v>
      </c>
      <c r="BF1156">
        <v>0</v>
      </c>
      <c r="BG1156">
        <v>25</v>
      </c>
      <c r="BH1156">
        <v>10000</v>
      </c>
      <c r="BI1156" t="s">
        <v>344</v>
      </c>
    </row>
    <row r="1157" spans="1:61">
      <c r="A1157" s="164" t="s">
        <v>2918</v>
      </c>
      <c r="B1157" t="s">
        <v>2919</v>
      </c>
      <c r="C1157">
        <v>0</v>
      </c>
      <c r="D1157" t="s">
        <v>147</v>
      </c>
      <c r="E1157">
        <v>0</v>
      </c>
      <c r="F1157" t="s">
        <v>773</v>
      </c>
      <c r="G1157" t="s">
        <v>78</v>
      </c>
      <c r="H1157" t="s">
        <v>79</v>
      </c>
      <c r="I1157" t="s">
        <v>80</v>
      </c>
      <c r="J1157" t="s">
        <v>81</v>
      </c>
      <c r="K1157" t="s">
        <v>82</v>
      </c>
      <c r="L1157" t="s">
        <v>83</v>
      </c>
      <c r="M1157" t="s">
        <v>84</v>
      </c>
      <c r="N1157">
        <v>0.15</v>
      </c>
      <c r="O1157" t="b">
        <v>1</v>
      </c>
      <c r="P1157">
        <v>45</v>
      </c>
      <c r="Q1157" t="s">
        <v>85</v>
      </c>
      <c r="R1157" t="s">
        <v>86</v>
      </c>
      <c r="S1157">
        <v>0.15</v>
      </c>
      <c r="T1157">
        <v>1</v>
      </c>
      <c r="U1157" s="36">
        <v>0.231765</v>
      </c>
      <c r="V1157" t="s">
        <v>87</v>
      </c>
      <c r="W1157">
        <v>150</v>
      </c>
      <c r="X1157">
        <v>0.45</v>
      </c>
      <c r="Y1157">
        <v>108</v>
      </c>
      <c r="Z1157">
        <v>9.2592592592592587E-3</v>
      </c>
      <c r="AA1157">
        <v>30</v>
      </c>
      <c r="AB1157">
        <v>0</v>
      </c>
      <c r="AC1157">
        <v>540</v>
      </c>
      <c r="AD1157">
        <v>3600</v>
      </c>
      <c r="AE1157" t="s">
        <v>88</v>
      </c>
      <c r="AF1157" t="s">
        <v>2219</v>
      </c>
      <c r="AG1157" t="s">
        <v>240</v>
      </c>
      <c r="AH1157">
        <v>0</v>
      </c>
      <c r="AI1157">
        <v>0.9</v>
      </c>
      <c r="AJ1157" t="s">
        <v>91</v>
      </c>
      <c r="AK1157" t="s">
        <v>92</v>
      </c>
      <c r="AL1157" t="s">
        <v>93</v>
      </c>
      <c r="AM1157">
        <v>0.33553925925925926</v>
      </c>
      <c r="AN1157">
        <v>0.22369283950617286</v>
      </c>
      <c r="AO1157">
        <v>0.34672390123456792</v>
      </c>
      <c r="AP1157">
        <v>0</v>
      </c>
      <c r="AQ1157">
        <v>8.6691086691086688E-2</v>
      </c>
      <c r="AR1157">
        <v>2.6666666666666505E-3</v>
      </c>
      <c r="AS1157">
        <v>0</v>
      </c>
      <c r="AT1157">
        <v>1.0866910866910866</v>
      </c>
      <c r="AU1157">
        <v>1.0026666666666666</v>
      </c>
      <c r="AV1157">
        <v>1</v>
      </c>
      <c r="AW1157">
        <v>0</v>
      </c>
      <c r="AX1157" t="s">
        <v>2920</v>
      </c>
      <c r="AY1157">
        <v>8.9</v>
      </c>
      <c r="AZ1157">
        <v>4</v>
      </c>
      <c r="BA1157" t="s">
        <v>94</v>
      </c>
      <c r="BB1157">
        <v>0.71</v>
      </c>
      <c r="BC1157" t="s">
        <v>95</v>
      </c>
      <c r="BD1157" t="s">
        <v>96</v>
      </c>
      <c r="BE1157" t="s">
        <v>97</v>
      </c>
      <c r="BF1157">
        <v>1</v>
      </c>
      <c r="BG1157">
        <v>0</v>
      </c>
      <c r="BH1157">
        <v>0</v>
      </c>
      <c r="BI1157" t="s">
        <v>98</v>
      </c>
    </row>
    <row r="1158" spans="1:61">
      <c r="A1158" s="164" t="s">
        <v>2921</v>
      </c>
      <c r="B1158" t="s">
        <v>2922</v>
      </c>
      <c r="C1158">
        <v>0</v>
      </c>
      <c r="D1158" t="s">
        <v>147</v>
      </c>
      <c r="E1158">
        <v>0</v>
      </c>
      <c r="F1158" t="s">
        <v>773</v>
      </c>
      <c r="G1158" t="s">
        <v>78</v>
      </c>
      <c r="H1158" t="s">
        <v>79</v>
      </c>
      <c r="I1158" t="s">
        <v>80</v>
      </c>
      <c r="J1158" t="s">
        <v>81</v>
      </c>
      <c r="K1158" t="s">
        <v>82</v>
      </c>
      <c r="L1158" t="s">
        <v>83</v>
      </c>
      <c r="M1158" t="s">
        <v>84</v>
      </c>
      <c r="N1158">
        <v>0.15</v>
      </c>
      <c r="O1158" t="b">
        <v>1</v>
      </c>
      <c r="P1158">
        <v>45</v>
      </c>
      <c r="Q1158" t="s">
        <v>85</v>
      </c>
      <c r="R1158" t="s">
        <v>86</v>
      </c>
      <c r="S1158">
        <v>0.15</v>
      </c>
      <c r="T1158">
        <v>1</v>
      </c>
      <c r="U1158" s="36">
        <v>0.234985</v>
      </c>
      <c r="V1158" t="s">
        <v>87</v>
      </c>
      <c r="W1158">
        <v>150</v>
      </c>
      <c r="X1158">
        <v>0.45</v>
      </c>
      <c r="Y1158">
        <v>108</v>
      </c>
      <c r="Z1158">
        <v>9.2592592592592587E-3</v>
      </c>
      <c r="AA1158">
        <v>30</v>
      </c>
      <c r="AB1158">
        <v>0</v>
      </c>
      <c r="AC1158">
        <v>540</v>
      </c>
      <c r="AD1158">
        <v>3600</v>
      </c>
      <c r="AE1158" t="s">
        <v>88</v>
      </c>
      <c r="AF1158" t="s">
        <v>2219</v>
      </c>
      <c r="AG1158" t="s">
        <v>240</v>
      </c>
      <c r="AH1158">
        <v>0</v>
      </c>
      <c r="AI1158">
        <v>0.9</v>
      </c>
      <c r="AJ1158" t="s">
        <v>91</v>
      </c>
      <c r="AK1158" t="s">
        <v>92</v>
      </c>
      <c r="AL1158" t="s">
        <v>93</v>
      </c>
      <c r="AM1158">
        <v>0.33553925925925926</v>
      </c>
      <c r="AN1158">
        <v>0.22369283950617286</v>
      </c>
      <c r="AO1158">
        <v>0.34672390123456792</v>
      </c>
      <c r="AP1158">
        <v>0</v>
      </c>
      <c r="AQ1158">
        <v>8.6691086691086688E-2</v>
      </c>
      <c r="AR1158">
        <v>2.6666666666666505E-3</v>
      </c>
      <c r="AS1158">
        <v>0</v>
      </c>
      <c r="AT1158">
        <v>1.0866910866910866</v>
      </c>
      <c r="AU1158">
        <v>1.0026666666666666</v>
      </c>
      <c r="AV1158">
        <v>1</v>
      </c>
      <c r="AW1158">
        <v>0</v>
      </c>
      <c r="AX1158" t="s">
        <v>2923</v>
      </c>
      <c r="AY1158">
        <v>8.9</v>
      </c>
      <c r="AZ1158">
        <v>7</v>
      </c>
      <c r="BA1158" t="s">
        <v>94</v>
      </c>
      <c r="BB1158">
        <v>0.71</v>
      </c>
      <c r="BC1158" t="s">
        <v>95</v>
      </c>
      <c r="BD1158" t="s">
        <v>96</v>
      </c>
      <c r="BE1158" t="s">
        <v>97</v>
      </c>
      <c r="BF1158">
        <v>1</v>
      </c>
      <c r="BG1158">
        <v>0</v>
      </c>
      <c r="BH1158">
        <v>0</v>
      </c>
      <c r="BI1158" t="s">
        <v>98</v>
      </c>
    </row>
    <row r="1159" spans="1:61">
      <c r="A1159" s="164" t="s">
        <v>2924</v>
      </c>
      <c r="B1159" t="s">
        <v>2925</v>
      </c>
      <c r="C1159">
        <v>0</v>
      </c>
      <c r="D1159" t="s">
        <v>1811</v>
      </c>
      <c r="E1159">
        <v>0</v>
      </c>
      <c r="F1159" t="s">
        <v>2926</v>
      </c>
      <c r="G1159" t="s">
        <v>78</v>
      </c>
      <c r="H1159" t="s">
        <v>79</v>
      </c>
      <c r="I1159" t="s">
        <v>80</v>
      </c>
      <c r="J1159" t="s">
        <v>163</v>
      </c>
      <c r="K1159" t="s">
        <v>82</v>
      </c>
      <c r="L1159" t="s">
        <v>83</v>
      </c>
      <c r="M1159" t="s">
        <v>84</v>
      </c>
      <c r="N1159">
        <v>1</v>
      </c>
      <c r="O1159" t="b">
        <v>1</v>
      </c>
      <c r="P1159">
        <v>40</v>
      </c>
      <c r="Q1159" t="s">
        <v>137</v>
      </c>
      <c r="S1159">
        <v>0</v>
      </c>
      <c r="T1159">
        <v>1</v>
      </c>
      <c r="U1159" s="36">
        <v>4.3502849999999995</v>
      </c>
      <c r="V1159" t="s">
        <v>991</v>
      </c>
      <c r="X1159">
        <v>0</v>
      </c>
      <c r="Y1159">
        <v>5</v>
      </c>
      <c r="Z1159">
        <v>3.125E-2</v>
      </c>
      <c r="AA1159">
        <v>0</v>
      </c>
      <c r="AB1159">
        <v>0</v>
      </c>
      <c r="AC1159">
        <v>0</v>
      </c>
      <c r="AE1159" t="s">
        <v>129</v>
      </c>
      <c r="AF1159" t="s">
        <v>2926</v>
      </c>
      <c r="AG1159" t="s">
        <v>129</v>
      </c>
      <c r="AH1159">
        <v>0</v>
      </c>
      <c r="AI1159">
        <v>1.8</v>
      </c>
      <c r="AM1159">
        <v>1.6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1.4</v>
      </c>
      <c r="AX1159" t="s">
        <v>2927</v>
      </c>
      <c r="AY1159">
        <v>210.80100000000002</v>
      </c>
      <c r="AZ1159">
        <v>0</v>
      </c>
      <c r="BA1159" t="s">
        <v>138</v>
      </c>
      <c r="BB1159">
        <v>5.0999999999999996</v>
      </c>
      <c r="BC1159" t="s">
        <v>95</v>
      </c>
      <c r="BD1159" t="s">
        <v>96</v>
      </c>
      <c r="BE1159" t="s">
        <v>97</v>
      </c>
      <c r="BF1159">
        <v>1</v>
      </c>
      <c r="BG1159">
        <v>0</v>
      </c>
      <c r="BH1159">
        <v>0</v>
      </c>
      <c r="BI1159" t="s">
        <v>98</v>
      </c>
    </row>
    <row r="1160" spans="1:61">
      <c r="A1160" s="164" t="s">
        <v>2928</v>
      </c>
      <c r="B1160" t="s">
        <v>2929</v>
      </c>
      <c r="C1160">
        <v>0</v>
      </c>
      <c r="D1160" t="s">
        <v>748</v>
      </c>
      <c r="E1160">
        <v>0</v>
      </c>
      <c r="F1160" t="s">
        <v>748</v>
      </c>
      <c r="G1160" t="s">
        <v>103</v>
      </c>
      <c r="H1160" t="s">
        <v>104</v>
      </c>
      <c r="I1160" t="s">
        <v>80</v>
      </c>
      <c r="J1160" t="s">
        <v>81</v>
      </c>
      <c r="K1160" t="s">
        <v>82</v>
      </c>
      <c r="L1160" t="s">
        <v>83</v>
      </c>
      <c r="M1160" t="s">
        <v>84</v>
      </c>
      <c r="N1160">
        <v>0.17</v>
      </c>
      <c r="O1160" t="b">
        <v>1</v>
      </c>
      <c r="P1160">
        <v>90</v>
      </c>
      <c r="Q1160" t="s">
        <v>188</v>
      </c>
      <c r="R1160" t="s">
        <v>86</v>
      </c>
      <c r="S1160">
        <v>0.17</v>
      </c>
      <c r="T1160">
        <v>1</v>
      </c>
      <c r="U1160" s="36">
        <v>0.27941000000000005</v>
      </c>
      <c r="V1160" t="s">
        <v>87</v>
      </c>
      <c r="W1160">
        <v>160</v>
      </c>
      <c r="X1160">
        <v>0.45</v>
      </c>
      <c r="Y1160">
        <v>43</v>
      </c>
      <c r="Z1160">
        <v>2.3255813953488372E-2</v>
      </c>
      <c r="AA1160">
        <v>30</v>
      </c>
      <c r="AB1160">
        <v>0</v>
      </c>
      <c r="AC1160">
        <v>500</v>
      </c>
      <c r="AD1160">
        <v>2941.1764705882351</v>
      </c>
      <c r="AE1160" t="s">
        <v>88</v>
      </c>
      <c r="AF1160" t="s">
        <v>749</v>
      </c>
      <c r="AG1160" t="s">
        <v>750</v>
      </c>
      <c r="AH1160">
        <v>0</v>
      </c>
      <c r="AI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 t="s">
        <v>2930</v>
      </c>
      <c r="AY1160">
        <v>0</v>
      </c>
      <c r="AZ1160">
        <v>3</v>
      </c>
      <c r="BA1160" t="s">
        <v>94</v>
      </c>
      <c r="BB1160">
        <v>0</v>
      </c>
      <c r="BC1160" t="s">
        <v>95</v>
      </c>
      <c r="BD1160" t="s">
        <v>96</v>
      </c>
      <c r="BE1160" t="s">
        <v>97</v>
      </c>
      <c r="BF1160">
        <v>0</v>
      </c>
      <c r="BG1160">
        <v>0</v>
      </c>
      <c r="BH1160">
        <v>0</v>
      </c>
      <c r="BI1160" t="s">
        <v>98</v>
      </c>
    </row>
    <row r="1161" spans="1:61">
      <c r="A1161" s="164" t="s">
        <v>2931</v>
      </c>
      <c r="B1161" t="s">
        <v>2932</v>
      </c>
      <c r="C1161">
        <v>0</v>
      </c>
      <c r="D1161" t="s">
        <v>107</v>
      </c>
      <c r="E1161">
        <v>0</v>
      </c>
      <c r="F1161" t="s">
        <v>120</v>
      </c>
      <c r="G1161" t="s">
        <v>78</v>
      </c>
      <c r="H1161" t="s">
        <v>79</v>
      </c>
      <c r="I1161" t="s">
        <v>80</v>
      </c>
      <c r="J1161" t="s">
        <v>81</v>
      </c>
      <c r="K1161" t="s">
        <v>82</v>
      </c>
      <c r="L1161" t="s">
        <v>83</v>
      </c>
      <c r="M1161" t="s">
        <v>84</v>
      </c>
      <c r="N1161">
        <v>0.12</v>
      </c>
      <c r="O1161" t="b">
        <v>1</v>
      </c>
      <c r="P1161">
        <v>45</v>
      </c>
      <c r="Q1161" t="s">
        <v>85</v>
      </c>
      <c r="S1161">
        <v>0.12</v>
      </c>
      <c r="U1161" s="36">
        <v>0.37374000000000002</v>
      </c>
      <c r="V1161" t="s">
        <v>87</v>
      </c>
      <c r="AF1161" t="s">
        <v>121</v>
      </c>
      <c r="AI1161">
        <v>0.9</v>
      </c>
      <c r="AZ1161">
        <v>0</v>
      </c>
      <c r="BA1161" t="s">
        <v>94</v>
      </c>
      <c r="BB1161">
        <v>1.1499999999999999</v>
      </c>
      <c r="BC1161" t="s">
        <v>95</v>
      </c>
      <c r="BD1161" t="s">
        <v>96</v>
      </c>
      <c r="BE1161" t="s">
        <v>97</v>
      </c>
      <c r="BF1161">
        <v>1</v>
      </c>
      <c r="BG1161">
        <v>0</v>
      </c>
      <c r="BH1161">
        <v>0</v>
      </c>
      <c r="BI1161" t="s">
        <v>98</v>
      </c>
    </row>
    <row r="1162" spans="1:61">
      <c r="A1162" s="164" t="s">
        <v>2933</v>
      </c>
      <c r="B1162" t="s">
        <v>2934</v>
      </c>
      <c r="C1162">
        <v>0</v>
      </c>
      <c r="D1162" t="s">
        <v>1125</v>
      </c>
      <c r="E1162">
        <v>0</v>
      </c>
      <c r="F1162" t="s">
        <v>1125</v>
      </c>
      <c r="G1162" t="s">
        <v>78</v>
      </c>
      <c r="H1162" t="s">
        <v>79</v>
      </c>
      <c r="I1162" t="s">
        <v>126</v>
      </c>
      <c r="J1162" t="s">
        <v>127</v>
      </c>
      <c r="K1162" t="s">
        <v>82</v>
      </c>
      <c r="L1162" t="s">
        <v>83</v>
      </c>
      <c r="M1162" t="s">
        <v>84</v>
      </c>
      <c r="N1162">
        <v>0.14000000000000001</v>
      </c>
      <c r="O1162" t="b">
        <v>1</v>
      </c>
      <c r="P1162">
        <v>60</v>
      </c>
      <c r="Q1162" t="s">
        <v>188</v>
      </c>
      <c r="R1162" t="s">
        <v>1126</v>
      </c>
      <c r="S1162">
        <v>0</v>
      </c>
      <c r="T1162">
        <v>1</v>
      </c>
      <c r="U1162" s="36">
        <v>0.48450000000000004</v>
      </c>
      <c r="V1162" t="s">
        <v>87</v>
      </c>
      <c r="W1162">
        <v>0</v>
      </c>
      <c r="X1162">
        <v>0</v>
      </c>
      <c r="Y1162">
        <v>30</v>
      </c>
      <c r="Z1162">
        <v>3.3333333333333333E-2</v>
      </c>
      <c r="AA1162">
        <v>0</v>
      </c>
      <c r="AB1162">
        <v>0</v>
      </c>
      <c r="AC1162">
        <v>0</v>
      </c>
      <c r="AD1162">
        <v>0</v>
      </c>
      <c r="AG1162" t="s">
        <v>129</v>
      </c>
      <c r="AH1162">
        <v>0</v>
      </c>
      <c r="AI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 t="s">
        <v>2935</v>
      </c>
      <c r="AY1162">
        <v>9.6</v>
      </c>
      <c r="AZ1162">
        <v>0</v>
      </c>
      <c r="BA1162" t="s">
        <v>94</v>
      </c>
      <c r="BB1162">
        <v>1.18</v>
      </c>
      <c r="BC1162" t="s">
        <v>1128</v>
      </c>
      <c r="BD1162" t="s">
        <v>1129</v>
      </c>
      <c r="BE1162" t="s">
        <v>97</v>
      </c>
      <c r="BF1162">
        <v>1</v>
      </c>
      <c r="BG1162">
        <v>0</v>
      </c>
      <c r="BH1162">
        <v>0</v>
      </c>
      <c r="BI1162" t="s">
        <v>98</v>
      </c>
    </row>
    <row r="1163" spans="1:61">
      <c r="A1163" s="164" t="s">
        <v>2936</v>
      </c>
      <c r="B1163" t="s">
        <v>2937</v>
      </c>
      <c r="C1163">
        <v>0</v>
      </c>
      <c r="D1163" t="s">
        <v>186</v>
      </c>
      <c r="E1163">
        <v>0</v>
      </c>
      <c r="F1163" t="s">
        <v>2938</v>
      </c>
      <c r="G1163" t="s">
        <v>103</v>
      </c>
      <c r="H1163" t="s">
        <v>104</v>
      </c>
      <c r="I1163" t="s">
        <v>80</v>
      </c>
      <c r="J1163" t="s">
        <v>163</v>
      </c>
      <c r="K1163" t="s">
        <v>82</v>
      </c>
      <c r="L1163" t="s">
        <v>83</v>
      </c>
      <c r="M1163" t="s">
        <v>84</v>
      </c>
      <c r="N1163">
        <v>2.5</v>
      </c>
      <c r="O1163" t="b">
        <v>0</v>
      </c>
      <c r="P1163">
        <v>180</v>
      </c>
      <c r="Q1163" t="s">
        <v>188</v>
      </c>
      <c r="S1163">
        <v>0</v>
      </c>
      <c r="T1163">
        <v>1</v>
      </c>
      <c r="V1163" t="s">
        <v>87</v>
      </c>
      <c r="X1163">
        <v>0</v>
      </c>
      <c r="Z1163">
        <v>0.125</v>
      </c>
      <c r="AB1163">
        <v>0</v>
      </c>
      <c r="AC1163">
        <v>0</v>
      </c>
      <c r="AE1163" t="s">
        <v>129</v>
      </c>
      <c r="AF1163" t="s">
        <v>2938</v>
      </c>
      <c r="AG1163" t="s">
        <v>129</v>
      </c>
      <c r="AH1163">
        <v>0</v>
      </c>
      <c r="AI1163">
        <v>2.6</v>
      </c>
      <c r="AJ1163" t="s">
        <v>167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Y1163">
        <v>0</v>
      </c>
      <c r="AZ1163">
        <v>0</v>
      </c>
      <c r="BA1163" t="s">
        <v>94</v>
      </c>
      <c r="BB1163">
        <v>0</v>
      </c>
      <c r="BC1163" t="s">
        <v>95</v>
      </c>
      <c r="BD1163" t="s">
        <v>96</v>
      </c>
      <c r="BE1163" t="s">
        <v>97</v>
      </c>
      <c r="BF1163">
        <v>0</v>
      </c>
      <c r="BG1163">
        <v>0</v>
      </c>
      <c r="BH1163">
        <v>0</v>
      </c>
      <c r="BI1163" t="s">
        <v>98</v>
      </c>
    </row>
    <row r="1164" spans="1:61">
      <c r="A1164" s="164" t="s">
        <v>2939</v>
      </c>
      <c r="B1164" t="s">
        <v>2940</v>
      </c>
      <c r="C1164">
        <v>0</v>
      </c>
      <c r="D1164" t="s">
        <v>479</v>
      </c>
      <c r="E1164">
        <v>0</v>
      </c>
      <c r="F1164" t="s">
        <v>857</v>
      </c>
      <c r="G1164" t="s">
        <v>103</v>
      </c>
      <c r="H1164" t="s">
        <v>104</v>
      </c>
      <c r="I1164" t="s">
        <v>80</v>
      </c>
      <c r="J1164" t="s">
        <v>467</v>
      </c>
      <c r="K1164" t="s">
        <v>468</v>
      </c>
      <c r="L1164" t="s">
        <v>111</v>
      </c>
      <c r="M1164" t="s">
        <v>84</v>
      </c>
      <c r="N1164">
        <v>2.851</v>
      </c>
      <c r="O1164" t="b">
        <v>0</v>
      </c>
      <c r="P1164">
        <v>0</v>
      </c>
      <c r="Q1164" t="s">
        <v>479</v>
      </c>
      <c r="S1164">
        <v>0</v>
      </c>
      <c r="T1164">
        <v>1</v>
      </c>
      <c r="V1164" t="s">
        <v>87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G1164" t="s">
        <v>129</v>
      </c>
      <c r="AH1164">
        <v>0</v>
      </c>
      <c r="AI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Y1164">
        <v>0</v>
      </c>
      <c r="AZ1164">
        <v>1</v>
      </c>
      <c r="BB1164">
        <v>0</v>
      </c>
      <c r="BC1164" t="s">
        <v>95</v>
      </c>
      <c r="BD1164" t="s">
        <v>1187</v>
      </c>
      <c r="BE1164" t="s">
        <v>97</v>
      </c>
      <c r="BF1164">
        <v>0</v>
      </c>
      <c r="BG1164">
        <v>0</v>
      </c>
      <c r="BH1164">
        <v>0</v>
      </c>
      <c r="BI1164" t="s">
        <v>98</v>
      </c>
    </row>
    <row r="1165" spans="1:61">
      <c r="A1165" s="164" t="s">
        <v>2941</v>
      </c>
      <c r="B1165" t="s">
        <v>2942</v>
      </c>
      <c r="C1165">
        <v>0</v>
      </c>
      <c r="D1165" t="s">
        <v>304</v>
      </c>
      <c r="E1165">
        <v>0</v>
      </c>
      <c r="F1165" t="s">
        <v>336</v>
      </c>
      <c r="G1165" t="s">
        <v>78</v>
      </c>
      <c r="H1165" t="s">
        <v>79</v>
      </c>
      <c r="I1165" t="s">
        <v>80</v>
      </c>
      <c r="J1165" t="s">
        <v>196</v>
      </c>
      <c r="K1165" t="s">
        <v>13</v>
      </c>
      <c r="L1165" t="s">
        <v>83</v>
      </c>
      <c r="M1165" t="s">
        <v>84</v>
      </c>
      <c r="N1165">
        <v>1</v>
      </c>
      <c r="O1165" t="b">
        <v>1</v>
      </c>
      <c r="P1165">
        <v>0</v>
      </c>
      <c r="BB1165">
        <v>0</v>
      </c>
      <c r="BC1165" t="s">
        <v>306</v>
      </c>
      <c r="BD1165" t="s">
        <v>337</v>
      </c>
      <c r="BE1165" t="s">
        <v>117</v>
      </c>
      <c r="BF1165">
        <v>0</v>
      </c>
      <c r="BG1165">
        <v>30</v>
      </c>
      <c r="BH1165">
        <v>30000</v>
      </c>
      <c r="BI1165" t="s">
        <v>328</v>
      </c>
    </row>
    <row r="1166" spans="1:61">
      <c r="A1166" s="164" t="s">
        <v>2943</v>
      </c>
      <c r="B1166" t="s">
        <v>2944</v>
      </c>
      <c r="C1166">
        <v>0</v>
      </c>
      <c r="D1166" t="s">
        <v>304</v>
      </c>
      <c r="E1166">
        <v>0</v>
      </c>
      <c r="F1166" t="s">
        <v>342</v>
      </c>
      <c r="G1166" t="s">
        <v>78</v>
      </c>
      <c r="H1166" t="s">
        <v>79</v>
      </c>
      <c r="I1166" t="s">
        <v>80</v>
      </c>
      <c r="J1166" t="s">
        <v>196</v>
      </c>
      <c r="K1166" t="s">
        <v>13</v>
      </c>
      <c r="L1166" t="s">
        <v>83</v>
      </c>
      <c r="M1166" t="s">
        <v>84</v>
      </c>
      <c r="N1166">
        <v>1</v>
      </c>
      <c r="O1166" t="b">
        <v>1</v>
      </c>
      <c r="P1166">
        <v>0</v>
      </c>
      <c r="BB1166">
        <v>0</v>
      </c>
      <c r="BC1166" t="s">
        <v>306</v>
      </c>
      <c r="BD1166" t="s">
        <v>343</v>
      </c>
      <c r="BE1166" t="s">
        <v>117</v>
      </c>
      <c r="BF1166">
        <v>0</v>
      </c>
      <c r="BG1166">
        <v>25</v>
      </c>
      <c r="BH1166">
        <v>10000</v>
      </c>
      <c r="BI1166" t="s">
        <v>344</v>
      </c>
    </row>
    <row r="1167" spans="1:61">
      <c r="A1167" s="164" t="s">
        <v>2945</v>
      </c>
      <c r="B1167" t="s">
        <v>2946</v>
      </c>
      <c r="C1167">
        <v>0</v>
      </c>
      <c r="D1167" t="s">
        <v>304</v>
      </c>
      <c r="E1167">
        <v>0</v>
      </c>
      <c r="F1167" t="s">
        <v>342</v>
      </c>
      <c r="G1167" t="s">
        <v>78</v>
      </c>
      <c r="H1167" t="s">
        <v>79</v>
      </c>
      <c r="I1167" t="s">
        <v>80</v>
      </c>
      <c r="J1167" t="s">
        <v>196</v>
      </c>
      <c r="K1167" t="s">
        <v>13</v>
      </c>
      <c r="L1167" t="s">
        <v>83</v>
      </c>
      <c r="M1167" t="s">
        <v>84</v>
      </c>
      <c r="N1167">
        <v>1</v>
      </c>
      <c r="O1167" t="b">
        <v>1</v>
      </c>
      <c r="P1167">
        <v>0</v>
      </c>
      <c r="BB1167">
        <v>0</v>
      </c>
      <c r="BC1167" t="s">
        <v>306</v>
      </c>
      <c r="BD1167" t="s">
        <v>343</v>
      </c>
      <c r="BE1167" t="s">
        <v>117</v>
      </c>
      <c r="BF1167">
        <v>0</v>
      </c>
      <c r="BG1167">
        <v>25</v>
      </c>
      <c r="BH1167">
        <v>10000</v>
      </c>
      <c r="BI1167" t="s">
        <v>344</v>
      </c>
    </row>
    <row r="1168" spans="1:61">
      <c r="A1168" s="164" t="s">
        <v>2947</v>
      </c>
      <c r="B1168" t="s">
        <v>2948</v>
      </c>
      <c r="C1168">
        <v>0</v>
      </c>
      <c r="D1168" t="s">
        <v>304</v>
      </c>
      <c r="E1168">
        <v>0</v>
      </c>
      <c r="F1168" t="s">
        <v>269</v>
      </c>
      <c r="G1168" t="s">
        <v>103</v>
      </c>
      <c r="H1168" t="s">
        <v>104</v>
      </c>
      <c r="I1168" t="s">
        <v>80</v>
      </c>
      <c r="J1168" t="s">
        <v>196</v>
      </c>
      <c r="K1168" t="s">
        <v>13</v>
      </c>
      <c r="L1168" t="s">
        <v>83</v>
      </c>
      <c r="M1168" t="s">
        <v>84</v>
      </c>
      <c r="N1168">
        <v>1</v>
      </c>
      <c r="O1168" t="b">
        <v>0</v>
      </c>
      <c r="P1168">
        <v>0</v>
      </c>
      <c r="BB1168">
        <v>0</v>
      </c>
      <c r="BC1168" t="s">
        <v>306</v>
      </c>
      <c r="BD1168" t="s">
        <v>270</v>
      </c>
      <c r="BE1168" t="s">
        <v>117</v>
      </c>
      <c r="BF1168">
        <v>0</v>
      </c>
      <c r="BG1168">
        <v>0</v>
      </c>
      <c r="BH1168">
        <v>0</v>
      </c>
    </row>
    <row r="1169" spans="1:61">
      <c r="A1169" s="164" t="s">
        <v>2949</v>
      </c>
      <c r="B1169" t="s">
        <v>2950</v>
      </c>
      <c r="C1169">
        <v>0</v>
      </c>
      <c r="D1169" t="s">
        <v>304</v>
      </c>
      <c r="E1169">
        <v>0</v>
      </c>
      <c r="F1169" t="s">
        <v>305</v>
      </c>
      <c r="G1169" t="s">
        <v>78</v>
      </c>
      <c r="H1169" t="s">
        <v>79</v>
      </c>
      <c r="I1169" t="s">
        <v>80</v>
      </c>
      <c r="J1169" t="s">
        <v>196</v>
      </c>
      <c r="K1169" t="s">
        <v>13</v>
      </c>
      <c r="L1169" t="s">
        <v>83</v>
      </c>
      <c r="M1169" t="s">
        <v>84</v>
      </c>
      <c r="N1169">
        <v>1</v>
      </c>
      <c r="O1169" t="b">
        <v>1</v>
      </c>
      <c r="P1169">
        <v>0</v>
      </c>
      <c r="BB1169">
        <v>0</v>
      </c>
      <c r="BC1169" t="s">
        <v>306</v>
      </c>
      <c r="BD1169" t="s">
        <v>307</v>
      </c>
      <c r="BE1169" t="s">
        <v>117</v>
      </c>
      <c r="BF1169">
        <v>0</v>
      </c>
      <c r="BG1169">
        <v>25</v>
      </c>
      <c r="BH1169">
        <v>20000</v>
      </c>
      <c r="BI1169" t="s">
        <v>308</v>
      </c>
    </row>
    <row r="1170" spans="1:61">
      <c r="A1170" s="164" t="s">
        <v>2951</v>
      </c>
      <c r="B1170" t="s">
        <v>2952</v>
      </c>
      <c r="C1170">
        <v>0</v>
      </c>
      <c r="D1170" t="s">
        <v>304</v>
      </c>
      <c r="E1170">
        <v>0</v>
      </c>
      <c r="F1170" t="s">
        <v>305</v>
      </c>
      <c r="G1170" t="s">
        <v>78</v>
      </c>
      <c r="H1170" t="s">
        <v>79</v>
      </c>
      <c r="I1170" t="s">
        <v>80</v>
      </c>
      <c r="J1170" t="s">
        <v>196</v>
      </c>
      <c r="K1170" t="s">
        <v>13</v>
      </c>
      <c r="L1170" t="s">
        <v>83</v>
      </c>
      <c r="M1170" t="s">
        <v>84</v>
      </c>
      <c r="N1170">
        <v>1</v>
      </c>
      <c r="O1170" t="b">
        <v>1</v>
      </c>
      <c r="P1170">
        <v>0</v>
      </c>
      <c r="BB1170">
        <v>0</v>
      </c>
      <c r="BC1170" t="s">
        <v>306</v>
      </c>
      <c r="BD1170" t="s">
        <v>307</v>
      </c>
      <c r="BE1170" t="s">
        <v>117</v>
      </c>
      <c r="BF1170">
        <v>0</v>
      </c>
      <c r="BG1170">
        <v>25</v>
      </c>
      <c r="BH1170">
        <v>20000</v>
      </c>
      <c r="BI1170" t="s">
        <v>308</v>
      </c>
    </row>
    <row r="1171" spans="1:61">
      <c r="A1171" s="164" t="s">
        <v>2953</v>
      </c>
      <c r="B1171" t="s">
        <v>2954</v>
      </c>
      <c r="C1171">
        <v>0</v>
      </c>
      <c r="D1171" t="s">
        <v>304</v>
      </c>
      <c r="E1171">
        <v>0</v>
      </c>
      <c r="F1171" t="s">
        <v>305</v>
      </c>
      <c r="G1171" t="s">
        <v>78</v>
      </c>
      <c r="H1171" t="s">
        <v>79</v>
      </c>
      <c r="I1171" t="s">
        <v>80</v>
      </c>
      <c r="J1171" t="s">
        <v>196</v>
      </c>
      <c r="K1171" t="s">
        <v>13</v>
      </c>
      <c r="L1171" t="s">
        <v>83</v>
      </c>
      <c r="M1171" t="s">
        <v>84</v>
      </c>
      <c r="N1171">
        <v>1</v>
      </c>
      <c r="O1171" t="b">
        <v>1</v>
      </c>
      <c r="P1171">
        <v>0</v>
      </c>
      <c r="BB1171">
        <v>0</v>
      </c>
      <c r="BC1171" t="s">
        <v>306</v>
      </c>
      <c r="BD1171" t="s">
        <v>307</v>
      </c>
      <c r="BE1171" t="s">
        <v>117</v>
      </c>
      <c r="BF1171">
        <v>0</v>
      </c>
      <c r="BG1171">
        <v>25</v>
      </c>
      <c r="BH1171">
        <v>20000</v>
      </c>
      <c r="BI1171" t="s">
        <v>308</v>
      </c>
    </row>
    <row r="1172" spans="1:61">
      <c r="A1172" s="164" t="s">
        <v>2955</v>
      </c>
      <c r="B1172" t="s">
        <v>2956</v>
      </c>
      <c r="C1172">
        <v>0</v>
      </c>
      <c r="D1172" t="s">
        <v>304</v>
      </c>
      <c r="E1172">
        <v>0</v>
      </c>
      <c r="F1172" t="s">
        <v>313</v>
      </c>
      <c r="G1172" t="s">
        <v>78</v>
      </c>
      <c r="H1172" t="s">
        <v>79</v>
      </c>
      <c r="I1172" t="s">
        <v>80</v>
      </c>
      <c r="J1172" t="s">
        <v>196</v>
      </c>
      <c r="K1172" t="s">
        <v>13</v>
      </c>
      <c r="L1172" t="s">
        <v>83</v>
      </c>
      <c r="M1172" t="s">
        <v>84</v>
      </c>
      <c r="N1172">
        <v>1</v>
      </c>
      <c r="O1172" t="b">
        <v>1</v>
      </c>
      <c r="P1172">
        <v>0</v>
      </c>
      <c r="BB1172">
        <v>0</v>
      </c>
      <c r="BC1172" t="s">
        <v>306</v>
      </c>
      <c r="BD1172" t="s">
        <v>314</v>
      </c>
      <c r="BE1172" t="s">
        <v>117</v>
      </c>
      <c r="BF1172">
        <v>0</v>
      </c>
      <c r="BG1172">
        <v>25</v>
      </c>
      <c r="BH1172">
        <v>2000</v>
      </c>
      <c r="BI1172" t="s">
        <v>2957</v>
      </c>
    </row>
    <row r="1173" spans="1:61">
      <c r="A1173" s="164" t="s">
        <v>2958</v>
      </c>
      <c r="B1173" t="s">
        <v>2959</v>
      </c>
      <c r="C1173">
        <v>0</v>
      </c>
      <c r="D1173" t="s">
        <v>304</v>
      </c>
      <c r="E1173">
        <v>0</v>
      </c>
      <c r="F1173" t="s">
        <v>313</v>
      </c>
      <c r="G1173" t="s">
        <v>78</v>
      </c>
      <c r="H1173" t="s">
        <v>79</v>
      </c>
      <c r="I1173" t="s">
        <v>80</v>
      </c>
      <c r="J1173" t="s">
        <v>196</v>
      </c>
      <c r="K1173" t="s">
        <v>13</v>
      </c>
      <c r="L1173" t="s">
        <v>83</v>
      </c>
      <c r="M1173" t="s">
        <v>84</v>
      </c>
      <c r="N1173">
        <v>1</v>
      </c>
      <c r="O1173" t="b">
        <v>1</v>
      </c>
      <c r="P1173">
        <v>0</v>
      </c>
      <c r="BB1173">
        <v>0</v>
      </c>
      <c r="BC1173" t="s">
        <v>306</v>
      </c>
      <c r="BD1173" t="s">
        <v>314</v>
      </c>
      <c r="BE1173" t="s">
        <v>117</v>
      </c>
      <c r="BF1173">
        <v>0</v>
      </c>
      <c r="BG1173">
        <v>25</v>
      </c>
      <c r="BH1173">
        <v>2000</v>
      </c>
      <c r="BI1173" t="s">
        <v>2957</v>
      </c>
    </row>
    <row r="1174" spans="1:61">
      <c r="A1174" s="164" t="s">
        <v>2960</v>
      </c>
      <c r="B1174" t="s">
        <v>2961</v>
      </c>
      <c r="C1174">
        <v>0</v>
      </c>
      <c r="D1174" t="s">
        <v>124</v>
      </c>
      <c r="E1174">
        <v>0</v>
      </c>
      <c r="F1174" t="s">
        <v>125</v>
      </c>
      <c r="G1174" t="s">
        <v>78</v>
      </c>
      <c r="H1174" t="s">
        <v>79</v>
      </c>
      <c r="I1174" t="s">
        <v>126</v>
      </c>
      <c r="J1174" t="s">
        <v>127</v>
      </c>
      <c r="K1174" t="s">
        <v>82</v>
      </c>
      <c r="L1174" t="s">
        <v>83</v>
      </c>
      <c r="M1174" t="s">
        <v>84</v>
      </c>
      <c r="N1174">
        <v>0.25</v>
      </c>
      <c r="O1174" t="b">
        <v>1</v>
      </c>
      <c r="P1174">
        <v>180</v>
      </c>
      <c r="Q1174" t="s">
        <v>85</v>
      </c>
      <c r="R1174" t="s">
        <v>128</v>
      </c>
      <c r="S1174">
        <v>0.25</v>
      </c>
      <c r="T1174">
        <v>1</v>
      </c>
      <c r="U1174" s="36">
        <v>0.40961000000000003</v>
      </c>
      <c r="V1174" t="s">
        <v>87</v>
      </c>
      <c r="W1174">
        <v>0</v>
      </c>
      <c r="X1174">
        <v>0</v>
      </c>
      <c r="Y1174">
        <v>48</v>
      </c>
      <c r="Z1174">
        <v>2.0833333333333332E-2</v>
      </c>
      <c r="AA1174">
        <v>56</v>
      </c>
      <c r="AB1174">
        <v>0</v>
      </c>
      <c r="AC1174">
        <v>0</v>
      </c>
      <c r="AD1174">
        <v>0</v>
      </c>
      <c r="AG1174" t="s">
        <v>129</v>
      </c>
      <c r="AH1174">
        <v>0</v>
      </c>
      <c r="AI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 t="s">
        <v>2962</v>
      </c>
      <c r="AY1174">
        <v>9.6</v>
      </c>
      <c r="AZ1174">
        <v>0</v>
      </c>
      <c r="BA1174" t="s">
        <v>94</v>
      </c>
      <c r="BB1174">
        <v>0.92</v>
      </c>
      <c r="BC1174" t="s">
        <v>1128</v>
      </c>
      <c r="BD1174" t="s">
        <v>1129</v>
      </c>
      <c r="BE1174" t="s">
        <v>97</v>
      </c>
      <c r="BF1174">
        <v>1</v>
      </c>
      <c r="BG1174">
        <v>0</v>
      </c>
      <c r="BH1174">
        <v>0</v>
      </c>
      <c r="BI1174" t="s">
        <v>98</v>
      </c>
    </row>
    <row r="1175" spans="1:61">
      <c r="A1175" s="164" t="s">
        <v>2963</v>
      </c>
      <c r="B1175" t="s">
        <v>2964</v>
      </c>
      <c r="C1175">
        <v>0</v>
      </c>
      <c r="D1175" t="s">
        <v>124</v>
      </c>
      <c r="E1175">
        <v>0</v>
      </c>
      <c r="F1175" t="s">
        <v>125</v>
      </c>
      <c r="G1175" t="s">
        <v>103</v>
      </c>
      <c r="H1175" t="s">
        <v>104</v>
      </c>
      <c r="I1175" t="s">
        <v>126</v>
      </c>
      <c r="J1175" t="s">
        <v>127</v>
      </c>
      <c r="K1175" t="s">
        <v>82</v>
      </c>
      <c r="L1175" t="s">
        <v>83</v>
      </c>
      <c r="M1175" t="s">
        <v>84</v>
      </c>
      <c r="N1175">
        <v>0.25</v>
      </c>
      <c r="O1175" t="b">
        <v>1</v>
      </c>
      <c r="P1175">
        <v>180</v>
      </c>
      <c r="Q1175" t="s">
        <v>85</v>
      </c>
      <c r="R1175" t="s">
        <v>128</v>
      </c>
      <c r="S1175">
        <v>0</v>
      </c>
      <c r="T1175">
        <v>1</v>
      </c>
      <c r="U1175" s="36">
        <v>0.36212</v>
      </c>
      <c r="V1175" t="s">
        <v>87</v>
      </c>
      <c r="W1175">
        <v>0</v>
      </c>
      <c r="X1175">
        <v>0</v>
      </c>
      <c r="Y1175">
        <v>48</v>
      </c>
      <c r="Z1175">
        <v>2.0833333333333332E-2</v>
      </c>
      <c r="AA1175">
        <v>56</v>
      </c>
      <c r="AB1175">
        <v>0</v>
      </c>
      <c r="AC1175">
        <v>0</v>
      </c>
      <c r="AD1175">
        <v>0</v>
      </c>
      <c r="AG1175" t="s">
        <v>129</v>
      </c>
      <c r="AH1175">
        <v>0</v>
      </c>
      <c r="AI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 t="s">
        <v>2965</v>
      </c>
      <c r="AY1175">
        <v>0</v>
      </c>
      <c r="AZ1175">
        <v>7</v>
      </c>
      <c r="BA1175" t="s">
        <v>94</v>
      </c>
      <c r="BB1175">
        <v>0</v>
      </c>
      <c r="BC1175" t="s">
        <v>95</v>
      </c>
      <c r="BD1175" t="s">
        <v>96</v>
      </c>
      <c r="BE1175" t="s">
        <v>97</v>
      </c>
      <c r="BF1175">
        <v>0</v>
      </c>
      <c r="BG1175">
        <v>0</v>
      </c>
      <c r="BH1175">
        <v>0</v>
      </c>
      <c r="BI1175" t="s">
        <v>98</v>
      </c>
    </row>
    <row r="1176" spans="1:61">
      <c r="A1176" s="164" t="s">
        <v>2966</v>
      </c>
      <c r="B1176" t="s">
        <v>2967</v>
      </c>
      <c r="C1176">
        <v>0</v>
      </c>
      <c r="D1176" t="s">
        <v>76</v>
      </c>
      <c r="E1176">
        <v>0</v>
      </c>
      <c r="F1176" t="s">
        <v>142</v>
      </c>
      <c r="G1176" t="s">
        <v>78</v>
      </c>
      <c r="H1176" t="s">
        <v>79</v>
      </c>
      <c r="I1176" t="s">
        <v>80</v>
      </c>
      <c r="J1176" t="s">
        <v>774</v>
      </c>
      <c r="K1176" t="s">
        <v>565</v>
      </c>
      <c r="L1176" t="s">
        <v>83</v>
      </c>
      <c r="M1176" t="s">
        <v>84</v>
      </c>
      <c r="N1176">
        <v>0.72</v>
      </c>
      <c r="O1176" t="b">
        <v>1</v>
      </c>
      <c r="P1176">
        <v>45</v>
      </c>
      <c r="Q1176" t="s">
        <v>85</v>
      </c>
      <c r="R1176" t="s">
        <v>86</v>
      </c>
      <c r="S1176">
        <v>0.72</v>
      </c>
      <c r="T1176">
        <v>1</v>
      </c>
      <c r="U1176" s="36">
        <v>1.325315</v>
      </c>
      <c r="V1176" t="s">
        <v>87</v>
      </c>
      <c r="W1176">
        <v>0</v>
      </c>
      <c r="X1176">
        <v>0</v>
      </c>
      <c r="Y1176">
        <v>6</v>
      </c>
      <c r="Z1176">
        <v>0.16666666666666666</v>
      </c>
      <c r="AA1176">
        <v>30</v>
      </c>
      <c r="AB1176">
        <v>0</v>
      </c>
      <c r="AC1176">
        <v>0</v>
      </c>
      <c r="AD1176">
        <v>0</v>
      </c>
      <c r="AG1176" t="s">
        <v>129</v>
      </c>
      <c r="AH1176">
        <v>0</v>
      </c>
      <c r="AI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 t="s">
        <v>2968</v>
      </c>
      <c r="AY1176">
        <v>3.9</v>
      </c>
      <c r="AZ1176">
        <v>0</v>
      </c>
      <c r="BA1176" t="s">
        <v>94</v>
      </c>
      <c r="BB1176">
        <v>2.78</v>
      </c>
      <c r="BC1176" t="s">
        <v>95</v>
      </c>
      <c r="BD1176" t="s">
        <v>96</v>
      </c>
      <c r="BE1176" t="s">
        <v>97</v>
      </c>
      <c r="BF1176">
        <v>1</v>
      </c>
      <c r="BG1176">
        <v>0</v>
      </c>
      <c r="BH1176">
        <v>0</v>
      </c>
      <c r="BI1176" t="s">
        <v>98</v>
      </c>
    </row>
    <row r="1177" spans="1:61">
      <c r="A1177" s="164" t="s">
        <v>2969</v>
      </c>
      <c r="B1177" t="s">
        <v>2970</v>
      </c>
      <c r="C1177">
        <v>0</v>
      </c>
      <c r="D1177" t="s">
        <v>479</v>
      </c>
      <c r="E1177">
        <v>0</v>
      </c>
      <c r="F1177" t="s">
        <v>480</v>
      </c>
      <c r="G1177" t="s">
        <v>103</v>
      </c>
      <c r="H1177" t="s">
        <v>104</v>
      </c>
      <c r="I1177" t="s">
        <v>80</v>
      </c>
      <c r="J1177" t="s">
        <v>467</v>
      </c>
      <c r="K1177" t="s">
        <v>468</v>
      </c>
      <c r="L1177" t="s">
        <v>111</v>
      </c>
      <c r="M1177" t="s">
        <v>84</v>
      </c>
      <c r="N1177">
        <v>0.5</v>
      </c>
      <c r="O1177" t="b">
        <v>0</v>
      </c>
      <c r="P1177">
        <v>120</v>
      </c>
      <c r="Q1177" t="s">
        <v>479</v>
      </c>
      <c r="S1177">
        <v>0.5</v>
      </c>
      <c r="T1177">
        <v>1</v>
      </c>
      <c r="U1177" s="36">
        <v>2.0076800000000001</v>
      </c>
      <c r="V1177" t="s">
        <v>468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H1177">
        <v>0</v>
      </c>
      <c r="AI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X1177" t="s">
        <v>2971</v>
      </c>
      <c r="AY1177">
        <v>0</v>
      </c>
      <c r="AZ1177">
        <v>9</v>
      </c>
      <c r="BA1177" t="s">
        <v>138</v>
      </c>
      <c r="BB1177">
        <v>0</v>
      </c>
      <c r="BC1177" t="s">
        <v>95</v>
      </c>
      <c r="BD1177" t="s">
        <v>469</v>
      </c>
      <c r="BE1177" t="s">
        <v>97</v>
      </c>
      <c r="BF1177">
        <v>0</v>
      </c>
      <c r="BG1177">
        <v>0</v>
      </c>
      <c r="BH1177">
        <v>0</v>
      </c>
      <c r="BI1177" t="s">
        <v>98</v>
      </c>
    </row>
    <row r="1178" spans="1:61">
      <c r="A1178" s="164" t="s">
        <v>2972</v>
      </c>
      <c r="B1178" t="s">
        <v>2973</v>
      </c>
      <c r="C1178">
        <v>0</v>
      </c>
      <c r="D1178" t="s">
        <v>1553</v>
      </c>
      <c r="E1178">
        <v>0</v>
      </c>
      <c r="F1178" t="s">
        <v>2974</v>
      </c>
      <c r="G1178" t="s">
        <v>103</v>
      </c>
      <c r="H1178" t="s">
        <v>104</v>
      </c>
      <c r="I1178" t="s">
        <v>126</v>
      </c>
      <c r="J1178" t="s">
        <v>127</v>
      </c>
      <c r="K1178" t="s">
        <v>82</v>
      </c>
      <c r="L1178" t="s">
        <v>83</v>
      </c>
      <c r="M1178" t="s">
        <v>84</v>
      </c>
      <c r="N1178">
        <v>0.15</v>
      </c>
      <c r="O1178" t="b">
        <v>1</v>
      </c>
      <c r="P1178">
        <v>60</v>
      </c>
      <c r="Q1178" t="s">
        <v>85</v>
      </c>
      <c r="R1178" t="s">
        <v>1126</v>
      </c>
      <c r="S1178">
        <v>0</v>
      </c>
      <c r="T1178">
        <v>1</v>
      </c>
      <c r="U1178" s="36">
        <v>8.1110000000000002E-2</v>
      </c>
      <c r="V1178" t="s">
        <v>87</v>
      </c>
      <c r="W1178">
        <v>0</v>
      </c>
      <c r="X1178">
        <v>0</v>
      </c>
      <c r="Y1178">
        <v>96</v>
      </c>
      <c r="Z1178">
        <v>1.0416666666666666E-2</v>
      </c>
      <c r="AA1178">
        <v>30</v>
      </c>
      <c r="AB1178">
        <v>0</v>
      </c>
      <c r="AC1178">
        <v>0</v>
      </c>
      <c r="AD1178">
        <v>0</v>
      </c>
      <c r="AG1178" t="s">
        <v>129</v>
      </c>
      <c r="AH1178">
        <v>0</v>
      </c>
      <c r="AI1178">
        <v>0.9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 t="s">
        <v>2975</v>
      </c>
      <c r="AY1178">
        <v>0</v>
      </c>
      <c r="AZ1178">
        <v>7</v>
      </c>
      <c r="BA1178" t="s">
        <v>94</v>
      </c>
      <c r="BB1178">
        <v>0</v>
      </c>
      <c r="BC1178" t="s">
        <v>95</v>
      </c>
      <c r="BD1178" t="s">
        <v>96</v>
      </c>
      <c r="BE1178" t="s">
        <v>97</v>
      </c>
      <c r="BF1178">
        <v>0</v>
      </c>
      <c r="BG1178">
        <v>0</v>
      </c>
      <c r="BH1178">
        <v>0</v>
      </c>
      <c r="BI1178" t="s">
        <v>98</v>
      </c>
    </row>
    <row r="1179" spans="1:61">
      <c r="A1179" s="164" t="s">
        <v>2976</v>
      </c>
      <c r="B1179" t="s">
        <v>2977</v>
      </c>
      <c r="C1179">
        <v>0</v>
      </c>
      <c r="D1179" t="s">
        <v>2978</v>
      </c>
      <c r="E1179">
        <v>0</v>
      </c>
      <c r="F1179" t="s">
        <v>508</v>
      </c>
      <c r="G1179" t="s">
        <v>103</v>
      </c>
      <c r="H1179" t="s">
        <v>104</v>
      </c>
      <c r="I1179" t="s">
        <v>80</v>
      </c>
      <c r="J1179" t="s">
        <v>467</v>
      </c>
      <c r="K1179" t="s">
        <v>468</v>
      </c>
      <c r="L1179" t="s">
        <v>111</v>
      </c>
      <c r="M1179" t="s">
        <v>84</v>
      </c>
      <c r="N1179">
        <v>2.7</v>
      </c>
      <c r="O1179" t="b">
        <v>0</v>
      </c>
      <c r="P1179">
        <v>40</v>
      </c>
      <c r="Q1179" t="s">
        <v>479</v>
      </c>
      <c r="S1179">
        <v>0</v>
      </c>
      <c r="T1179">
        <v>1</v>
      </c>
      <c r="U1179" s="36">
        <v>2.5999300000000001</v>
      </c>
      <c r="V1179" t="s">
        <v>87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G1179" t="s">
        <v>129</v>
      </c>
      <c r="AH1179">
        <v>0</v>
      </c>
      <c r="AI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Y1179">
        <v>0</v>
      </c>
      <c r="AZ1179">
        <v>0</v>
      </c>
      <c r="BA1179" t="s">
        <v>138</v>
      </c>
      <c r="BB1179">
        <v>0</v>
      </c>
      <c r="BC1179" t="s">
        <v>95</v>
      </c>
      <c r="BD1179" t="s">
        <v>469</v>
      </c>
      <c r="BE1179" t="s">
        <v>97</v>
      </c>
      <c r="BF1179">
        <v>0</v>
      </c>
      <c r="BG1179">
        <v>0</v>
      </c>
      <c r="BH1179">
        <v>0</v>
      </c>
      <c r="BI1179" t="s">
        <v>98</v>
      </c>
    </row>
    <row r="1180" spans="1:61">
      <c r="A1180" s="164" t="s">
        <v>2979</v>
      </c>
      <c r="B1180" t="s">
        <v>2980</v>
      </c>
      <c r="C1180">
        <v>0</v>
      </c>
      <c r="D1180" t="s">
        <v>181</v>
      </c>
      <c r="E1180">
        <v>0</v>
      </c>
      <c r="F1180" t="s">
        <v>181</v>
      </c>
      <c r="G1180" t="s">
        <v>103</v>
      </c>
      <c r="H1180" t="s">
        <v>104</v>
      </c>
      <c r="I1180" t="s">
        <v>80</v>
      </c>
      <c r="J1180" t="s">
        <v>163</v>
      </c>
      <c r="K1180" t="s">
        <v>82</v>
      </c>
      <c r="L1180" t="s">
        <v>83</v>
      </c>
      <c r="M1180" t="s">
        <v>84</v>
      </c>
      <c r="N1180">
        <v>0.24</v>
      </c>
      <c r="O1180" t="b">
        <v>1</v>
      </c>
      <c r="P1180">
        <v>90</v>
      </c>
      <c r="Q1180" t="s">
        <v>137</v>
      </c>
      <c r="S1180">
        <v>0.24</v>
      </c>
      <c r="T1180">
        <v>1</v>
      </c>
      <c r="U1180" s="36">
        <v>1.0077699999999998</v>
      </c>
      <c r="V1180" t="s">
        <v>165</v>
      </c>
      <c r="X1180">
        <v>0</v>
      </c>
      <c r="Y1180">
        <v>54</v>
      </c>
      <c r="Z1180">
        <v>1.8518518518518517E-2</v>
      </c>
      <c r="AA1180">
        <v>35</v>
      </c>
      <c r="AB1180">
        <v>0</v>
      </c>
      <c r="AC1180">
        <v>0</v>
      </c>
      <c r="AE1180" t="s">
        <v>129</v>
      </c>
      <c r="AF1180" t="s">
        <v>181</v>
      </c>
      <c r="AG1180" t="s">
        <v>129</v>
      </c>
      <c r="AH1180">
        <v>0</v>
      </c>
      <c r="AI1180">
        <v>11</v>
      </c>
      <c r="AM1180">
        <v>3.52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 t="s">
        <v>2981</v>
      </c>
      <c r="AY1180">
        <v>16.299999999999997</v>
      </c>
      <c r="AZ1180">
        <v>0</v>
      </c>
      <c r="BA1180" t="s">
        <v>138</v>
      </c>
      <c r="BB1180">
        <v>2.4</v>
      </c>
      <c r="BC1180" t="s">
        <v>95</v>
      </c>
      <c r="BD1180" t="s">
        <v>96</v>
      </c>
      <c r="BE1180" t="s">
        <v>97</v>
      </c>
      <c r="BF1180">
        <v>0</v>
      </c>
      <c r="BG1180">
        <v>0</v>
      </c>
      <c r="BH1180">
        <v>0</v>
      </c>
      <c r="BI1180" t="s">
        <v>98</v>
      </c>
    </row>
    <row r="1181" spans="1:61">
      <c r="A1181" s="164" t="s">
        <v>2982</v>
      </c>
      <c r="B1181" t="s">
        <v>2983</v>
      </c>
      <c r="C1181">
        <v>0</v>
      </c>
      <c r="D1181" t="s">
        <v>1609</v>
      </c>
      <c r="E1181">
        <v>0</v>
      </c>
      <c r="F1181" t="s">
        <v>1610</v>
      </c>
      <c r="G1181" t="s">
        <v>103</v>
      </c>
      <c r="H1181" t="s">
        <v>104</v>
      </c>
      <c r="I1181" t="s">
        <v>80</v>
      </c>
      <c r="J1181" t="s">
        <v>81</v>
      </c>
      <c r="K1181" t="s">
        <v>468</v>
      </c>
      <c r="L1181" t="s">
        <v>111</v>
      </c>
      <c r="M1181" t="s">
        <v>84</v>
      </c>
      <c r="N1181">
        <v>0.25</v>
      </c>
      <c r="O1181" t="b">
        <v>0</v>
      </c>
      <c r="P1181">
        <v>180</v>
      </c>
      <c r="Q1181" t="s">
        <v>85</v>
      </c>
      <c r="S1181">
        <v>0</v>
      </c>
      <c r="T1181">
        <v>1</v>
      </c>
      <c r="V1181" t="s">
        <v>87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G1181" t="s">
        <v>129</v>
      </c>
      <c r="AH1181">
        <v>0</v>
      </c>
      <c r="AI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 t="s">
        <v>2984</v>
      </c>
      <c r="AY1181">
        <v>0</v>
      </c>
      <c r="AZ1181">
        <v>0</v>
      </c>
      <c r="BA1181" t="s">
        <v>94</v>
      </c>
      <c r="BB1181">
        <v>0</v>
      </c>
      <c r="BC1181" t="s">
        <v>95</v>
      </c>
      <c r="BD1181" t="s">
        <v>1187</v>
      </c>
      <c r="BE1181" t="s">
        <v>97</v>
      </c>
      <c r="BF1181">
        <v>0</v>
      </c>
      <c r="BG1181">
        <v>0</v>
      </c>
      <c r="BH1181">
        <v>0</v>
      </c>
      <c r="BI1181" t="s">
        <v>98</v>
      </c>
    </row>
    <row r="1182" spans="1:61">
      <c r="A1182" s="164" t="s">
        <v>2985</v>
      </c>
      <c r="B1182" t="s">
        <v>2986</v>
      </c>
      <c r="C1182">
        <v>0</v>
      </c>
      <c r="D1182" t="s">
        <v>304</v>
      </c>
      <c r="E1182">
        <v>0</v>
      </c>
      <c r="F1182" t="s">
        <v>305</v>
      </c>
      <c r="G1182" t="s">
        <v>78</v>
      </c>
      <c r="H1182" t="s">
        <v>79</v>
      </c>
      <c r="I1182" t="s">
        <v>80</v>
      </c>
      <c r="J1182" t="s">
        <v>196</v>
      </c>
      <c r="K1182" t="s">
        <v>13</v>
      </c>
      <c r="L1182" t="s">
        <v>83</v>
      </c>
      <c r="M1182" t="s">
        <v>84</v>
      </c>
      <c r="N1182">
        <v>1</v>
      </c>
      <c r="O1182" t="b">
        <v>1</v>
      </c>
      <c r="P1182">
        <v>0</v>
      </c>
      <c r="BB1182">
        <v>0</v>
      </c>
      <c r="BC1182" t="s">
        <v>306</v>
      </c>
      <c r="BD1182" t="s">
        <v>307</v>
      </c>
      <c r="BE1182" t="s">
        <v>117</v>
      </c>
      <c r="BF1182">
        <v>0</v>
      </c>
      <c r="BG1182">
        <v>25</v>
      </c>
      <c r="BH1182">
        <v>10000</v>
      </c>
      <c r="BI1182" t="s">
        <v>308</v>
      </c>
    </row>
    <row r="1183" spans="1:61">
      <c r="A1183" s="164" t="s">
        <v>2987</v>
      </c>
      <c r="B1183" t="s">
        <v>2988</v>
      </c>
      <c r="C1183">
        <v>0</v>
      </c>
      <c r="D1183" t="s">
        <v>304</v>
      </c>
      <c r="E1183">
        <v>0</v>
      </c>
      <c r="F1183" t="s">
        <v>336</v>
      </c>
      <c r="G1183" t="s">
        <v>78</v>
      </c>
      <c r="H1183" t="s">
        <v>79</v>
      </c>
      <c r="I1183" t="s">
        <v>80</v>
      </c>
      <c r="J1183" t="s">
        <v>196</v>
      </c>
      <c r="K1183" t="s">
        <v>13</v>
      </c>
      <c r="L1183" t="s">
        <v>83</v>
      </c>
      <c r="M1183" t="s">
        <v>84</v>
      </c>
      <c r="N1183">
        <v>1</v>
      </c>
      <c r="O1183" t="b">
        <v>1</v>
      </c>
      <c r="P1183">
        <v>0</v>
      </c>
      <c r="BB1183">
        <v>0</v>
      </c>
      <c r="BC1183" t="s">
        <v>306</v>
      </c>
      <c r="BD1183" t="s">
        <v>337</v>
      </c>
      <c r="BE1183" t="s">
        <v>117</v>
      </c>
      <c r="BF1183">
        <v>0</v>
      </c>
      <c r="BG1183">
        <v>30</v>
      </c>
      <c r="BH1183">
        <v>30000</v>
      </c>
      <c r="BI1183" t="s">
        <v>593</v>
      </c>
    </row>
    <row r="1184" spans="1:61">
      <c r="A1184" s="164" t="s">
        <v>2989</v>
      </c>
      <c r="B1184" t="s">
        <v>2990</v>
      </c>
      <c r="C1184">
        <v>0</v>
      </c>
      <c r="D1184" t="s">
        <v>304</v>
      </c>
      <c r="E1184">
        <v>0</v>
      </c>
      <c r="F1184" t="s">
        <v>269</v>
      </c>
      <c r="G1184" t="s">
        <v>103</v>
      </c>
      <c r="H1184" t="s">
        <v>104</v>
      </c>
      <c r="I1184" t="s">
        <v>80</v>
      </c>
      <c r="J1184" t="s">
        <v>196</v>
      </c>
      <c r="K1184" t="s">
        <v>13</v>
      </c>
      <c r="L1184" t="s">
        <v>83</v>
      </c>
      <c r="M1184" t="s">
        <v>84</v>
      </c>
      <c r="N1184">
        <v>1</v>
      </c>
      <c r="O1184" t="b">
        <v>0</v>
      </c>
      <c r="P1184">
        <v>0</v>
      </c>
      <c r="BB1184">
        <v>0</v>
      </c>
      <c r="BC1184" t="s">
        <v>306</v>
      </c>
      <c r="BD1184" t="s">
        <v>270</v>
      </c>
      <c r="BE1184" t="s">
        <v>117</v>
      </c>
      <c r="BF1184">
        <v>0</v>
      </c>
      <c r="BG1184">
        <v>0</v>
      </c>
      <c r="BH1184">
        <v>0</v>
      </c>
    </row>
    <row r="1185" spans="1:61">
      <c r="A1185" s="164" t="s">
        <v>2991</v>
      </c>
      <c r="B1185" t="s">
        <v>2992</v>
      </c>
      <c r="C1185">
        <v>0</v>
      </c>
      <c r="D1185" t="s">
        <v>304</v>
      </c>
      <c r="E1185">
        <v>0</v>
      </c>
      <c r="F1185" t="s">
        <v>313</v>
      </c>
      <c r="G1185" t="s">
        <v>78</v>
      </c>
      <c r="H1185" t="s">
        <v>79</v>
      </c>
      <c r="I1185" t="s">
        <v>80</v>
      </c>
      <c r="J1185" t="s">
        <v>196</v>
      </c>
      <c r="K1185" t="s">
        <v>13</v>
      </c>
      <c r="L1185" t="s">
        <v>83</v>
      </c>
      <c r="M1185" t="s">
        <v>84</v>
      </c>
      <c r="N1185">
        <v>1</v>
      </c>
      <c r="O1185" t="b">
        <v>1</v>
      </c>
      <c r="P1185">
        <v>0</v>
      </c>
      <c r="BB1185">
        <v>0</v>
      </c>
      <c r="BC1185" t="s">
        <v>306</v>
      </c>
      <c r="BD1185" t="s">
        <v>314</v>
      </c>
      <c r="BE1185" t="s">
        <v>117</v>
      </c>
      <c r="BF1185">
        <v>0</v>
      </c>
      <c r="BG1185">
        <v>45</v>
      </c>
      <c r="BH1185">
        <v>300</v>
      </c>
      <c r="BI1185" t="s">
        <v>315</v>
      </c>
    </row>
    <row r="1186" spans="1:61">
      <c r="A1186" s="164" t="s">
        <v>2993</v>
      </c>
      <c r="B1186" t="s">
        <v>2994</v>
      </c>
      <c r="C1186">
        <v>0</v>
      </c>
      <c r="D1186" t="s">
        <v>304</v>
      </c>
      <c r="E1186">
        <v>0</v>
      </c>
      <c r="F1186" t="s">
        <v>342</v>
      </c>
      <c r="G1186" t="s">
        <v>78</v>
      </c>
      <c r="H1186" t="s">
        <v>79</v>
      </c>
      <c r="I1186" t="s">
        <v>80</v>
      </c>
      <c r="J1186" t="s">
        <v>196</v>
      </c>
      <c r="K1186" t="s">
        <v>13</v>
      </c>
      <c r="L1186" t="s">
        <v>83</v>
      </c>
      <c r="M1186" t="s">
        <v>84</v>
      </c>
      <c r="N1186">
        <v>1</v>
      </c>
      <c r="O1186" t="b">
        <v>1</v>
      </c>
      <c r="P1186">
        <v>0</v>
      </c>
      <c r="BB1186">
        <v>0</v>
      </c>
      <c r="BC1186" t="s">
        <v>306</v>
      </c>
      <c r="BD1186" t="s">
        <v>343</v>
      </c>
      <c r="BE1186" t="s">
        <v>117</v>
      </c>
      <c r="BF1186">
        <v>0</v>
      </c>
      <c r="BG1186">
        <v>25</v>
      </c>
      <c r="BH1186">
        <v>10000</v>
      </c>
      <c r="BI1186" t="s">
        <v>344</v>
      </c>
    </row>
    <row r="1187" spans="1:61">
      <c r="A1187" s="164" t="s">
        <v>2995</v>
      </c>
      <c r="B1187" t="s">
        <v>2677</v>
      </c>
      <c r="C1187">
        <v>0</v>
      </c>
      <c r="D1187" t="s">
        <v>304</v>
      </c>
      <c r="E1187">
        <v>0</v>
      </c>
      <c r="F1187" t="s">
        <v>269</v>
      </c>
      <c r="G1187" t="s">
        <v>103</v>
      </c>
      <c r="H1187" t="s">
        <v>104</v>
      </c>
      <c r="I1187" t="s">
        <v>80</v>
      </c>
      <c r="J1187" t="s">
        <v>196</v>
      </c>
      <c r="K1187" t="s">
        <v>13</v>
      </c>
      <c r="L1187" t="s">
        <v>83</v>
      </c>
      <c r="M1187" t="s">
        <v>205</v>
      </c>
      <c r="N1187">
        <v>1</v>
      </c>
      <c r="O1187" t="b">
        <v>0</v>
      </c>
      <c r="P1187">
        <v>0</v>
      </c>
      <c r="BB1187">
        <v>0</v>
      </c>
      <c r="BC1187" t="s">
        <v>306</v>
      </c>
      <c r="BD1187" t="s">
        <v>270</v>
      </c>
      <c r="BE1187" t="s">
        <v>117</v>
      </c>
      <c r="BF1187">
        <v>0</v>
      </c>
      <c r="BG1187">
        <v>0</v>
      </c>
      <c r="BH1187">
        <v>0</v>
      </c>
    </row>
    <row r="1188" spans="1:61">
      <c r="A1188" s="164" t="s">
        <v>2996</v>
      </c>
      <c r="B1188" t="s">
        <v>2997</v>
      </c>
      <c r="C1188">
        <v>0</v>
      </c>
      <c r="D1188" t="s">
        <v>304</v>
      </c>
      <c r="E1188">
        <v>0</v>
      </c>
      <c r="F1188" t="s">
        <v>456</v>
      </c>
      <c r="G1188" t="s">
        <v>78</v>
      </c>
      <c r="H1188" t="s">
        <v>79</v>
      </c>
      <c r="I1188" t="s">
        <v>80</v>
      </c>
      <c r="J1188" t="s">
        <v>196</v>
      </c>
      <c r="K1188" t="s">
        <v>13</v>
      </c>
      <c r="L1188" t="s">
        <v>83</v>
      </c>
      <c r="M1188" t="s">
        <v>84</v>
      </c>
      <c r="N1188">
        <v>1</v>
      </c>
      <c r="O1188" t="b">
        <v>1</v>
      </c>
      <c r="P1188">
        <v>0</v>
      </c>
      <c r="BB1188">
        <v>0</v>
      </c>
      <c r="BC1188" t="s">
        <v>306</v>
      </c>
      <c r="BD1188" t="s">
        <v>457</v>
      </c>
      <c r="BE1188" t="s">
        <v>117</v>
      </c>
      <c r="BF1188">
        <v>0</v>
      </c>
      <c r="BG1188">
        <v>120</v>
      </c>
      <c r="BH1188">
        <v>1000000</v>
      </c>
      <c r="BI1188" t="s">
        <v>458</v>
      </c>
    </row>
    <row r="1189" spans="1:61">
      <c r="A1189" s="164" t="s">
        <v>2998</v>
      </c>
      <c r="B1189" t="s">
        <v>2999</v>
      </c>
      <c r="C1189">
        <v>0</v>
      </c>
      <c r="D1189" t="s">
        <v>304</v>
      </c>
      <c r="E1189">
        <v>0</v>
      </c>
      <c r="F1189" t="s">
        <v>269</v>
      </c>
      <c r="G1189" t="s">
        <v>103</v>
      </c>
      <c r="H1189" t="s">
        <v>104</v>
      </c>
      <c r="I1189" t="s">
        <v>80</v>
      </c>
      <c r="J1189" t="s">
        <v>196</v>
      </c>
      <c r="K1189" t="s">
        <v>13</v>
      </c>
      <c r="L1189" t="s">
        <v>83</v>
      </c>
      <c r="M1189" t="s">
        <v>84</v>
      </c>
      <c r="N1189">
        <v>1</v>
      </c>
      <c r="O1189" t="b">
        <v>0</v>
      </c>
      <c r="P1189">
        <v>0</v>
      </c>
      <c r="BB1189">
        <v>0</v>
      </c>
      <c r="BC1189" t="s">
        <v>306</v>
      </c>
      <c r="BD1189" t="s">
        <v>270</v>
      </c>
      <c r="BE1189" t="s">
        <v>117</v>
      </c>
      <c r="BF1189">
        <v>0</v>
      </c>
      <c r="BG1189">
        <v>0</v>
      </c>
      <c r="BH1189">
        <v>0</v>
      </c>
    </row>
    <row r="1190" spans="1:61">
      <c r="A1190" s="164" t="s">
        <v>3000</v>
      </c>
      <c r="B1190" t="s">
        <v>3001</v>
      </c>
      <c r="C1190">
        <v>0</v>
      </c>
      <c r="D1190" t="s">
        <v>304</v>
      </c>
      <c r="E1190">
        <v>0</v>
      </c>
      <c r="F1190" t="s">
        <v>2782</v>
      </c>
      <c r="G1190" t="s">
        <v>78</v>
      </c>
      <c r="H1190" t="s">
        <v>79</v>
      </c>
      <c r="I1190" t="s">
        <v>80</v>
      </c>
      <c r="J1190" t="s">
        <v>196</v>
      </c>
      <c r="K1190" t="s">
        <v>13</v>
      </c>
      <c r="L1190" t="s">
        <v>83</v>
      </c>
      <c r="M1190" t="s">
        <v>84</v>
      </c>
      <c r="N1190">
        <v>1</v>
      </c>
      <c r="O1190" t="b">
        <v>1</v>
      </c>
      <c r="P1190">
        <v>0</v>
      </c>
      <c r="BB1190">
        <v>0</v>
      </c>
      <c r="BC1190" t="s">
        <v>306</v>
      </c>
      <c r="BD1190" t="s">
        <v>2783</v>
      </c>
      <c r="BE1190" t="s">
        <v>117</v>
      </c>
      <c r="BF1190">
        <v>0</v>
      </c>
      <c r="BG1190">
        <v>25</v>
      </c>
      <c r="BH1190">
        <v>30000</v>
      </c>
      <c r="BI1190" t="s">
        <v>328</v>
      </c>
    </row>
    <row r="1191" spans="1:61">
      <c r="A1191" s="164" t="s">
        <v>3002</v>
      </c>
      <c r="B1191" t="s">
        <v>3003</v>
      </c>
      <c r="C1191">
        <v>0</v>
      </c>
      <c r="D1191" t="s">
        <v>76</v>
      </c>
      <c r="E1191">
        <v>0</v>
      </c>
      <c r="F1191" t="s">
        <v>142</v>
      </c>
      <c r="G1191" t="s">
        <v>78</v>
      </c>
      <c r="H1191" t="s">
        <v>79</v>
      </c>
      <c r="I1191" t="s">
        <v>80</v>
      </c>
      <c r="J1191" t="s">
        <v>81</v>
      </c>
      <c r="K1191" t="s">
        <v>82</v>
      </c>
      <c r="L1191" t="s">
        <v>83</v>
      </c>
      <c r="M1191" t="s">
        <v>84</v>
      </c>
      <c r="N1191">
        <v>0.18</v>
      </c>
      <c r="O1191" t="b">
        <v>1</v>
      </c>
      <c r="P1191">
        <v>45</v>
      </c>
      <c r="Q1191" t="s">
        <v>85</v>
      </c>
      <c r="R1191" t="s">
        <v>86</v>
      </c>
      <c r="S1191">
        <v>0.18</v>
      </c>
      <c r="T1191">
        <v>1</v>
      </c>
      <c r="U1191" s="36">
        <v>0.31489500000000004</v>
      </c>
      <c r="V1191" t="s">
        <v>87</v>
      </c>
      <c r="W1191">
        <v>24</v>
      </c>
      <c r="X1191">
        <v>0.38897500000000002</v>
      </c>
      <c r="Y1191">
        <v>108</v>
      </c>
      <c r="Z1191">
        <v>9.2592592592592587E-3</v>
      </c>
      <c r="AA1191">
        <v>30</v>
      </c>
      <c r="AB1191">
        <v>0</v>
      </c>
      <c r="AC1191">
        <v>540</v>
      </c>
      <c r="AD1191">
        <v>3000</v>
      </c>
      <c r="AE1191" t="s">
        <v>143</v>
      </c>
      <c r="AF1191" t="s">
        <v>89</v>
      </c>
      <c r="AG1191" t="s">
        <v>90</v>
      </c>
      <c r="AH1191">
        <v>0</v>
      </c>
      <c r="AI1191">
        <v>1</v>
      </c>
      <c r="AJ1191" t="s">
        <v>91</v>
      </c>
      <c r="AK1191" t="s">
        <v>92</v>
      </c>
      <c r="AL1191" t="s">
        <v>93</v>
      </c>
      <c r="AM1191">
        <v>0.98220000000000007</v>
      </c>
      <c r="AN1191">
        <v>0</v>
      </c>
      <c r="AO1191">
        <v>0</v>
      </c>
      <c r="AP1191">
        <v>0</v>
      </c>
      <c r="AQ1191">
        <v>8.6691086691086688E-2</v>
      </c>
      <c r="AR1191">
        <v>2.6666666666666505E-3</v>
      </c>
      <c r="AS1191">
        <v>0</v>
      </c>
      <c r="AT1191">
        <v>1.0866910866910866</v>
      </c>
      <c r="AU1191">
        <v>1.0026666666666666</v>
      </c>
      <c r="AV1191">
        <v>1</v>
      </c>
      <c r="AW1191">
        <v>0</v>
      </c>
      <c r="AX1191" t="s">
        <v>3004</v>
      </c>
      <c r="AY1191">
        <v>16.5</v>
      </c>
      <c r="AZ1191">
        <v>9</v>
      </c>
      <c r="BA1191" t="s">
        <v>94</v>
      </c>
      <c r="BB1191">
        <v>0.77</v>
      </c>
      <c r="BC1191" t="s">
        <v>95</v>
      </c>
      <c r="BD1191" t="s">
        <v>96</v>
      </c>
      <c r="BE1191" t="s">
        <v>97</v>
      </c>
      <c r="BF1191">
        <v>1</v>
      </c>
      <c r="BG1191">
        <v>0</v>
      </c>
      <c r="BH1191">
        <v>0</v>
      </c>
      <c r="BI1191" t="s">
        <v>98</v>
      </c>
    </row>
    <row r="1192" spans="1:61">
      <c r="A1192" s="164" t="s">
        <v>3005</v>
      </c>
      <c r="B1192" t="s">
        <v>3006</v>
      </c>
      <c r="C1192">
        <v>0</v>
      </c>
      <c r="D1192" t="s">
        <v>1553</v>
      </c>
      <c r="E1192">
        <v>0</v>
      </c>
      <c r="F1192" t="s">
        <v>120</v>
      </c>
      <c r="G1192" t="s">
        <v>103</v>
      </c>
      <c r="H1192" t="s">
        <v>104</v>
      </c>
      <c r="I1192" t="s">
        <v>80</v>
      </c>
      <c r="J1192" t="s">
        <v>81</v>
      </c>
      <c r="K1192" t="s">
        <v>82</v>
      </c>
      <c r="L1192" t="s">
        <v>83</v>
      </c>
      <c r="M1192" t="s">
        <v>84</v>
      </c>
      <c r="N1192">
        <v>0.15</v>
      </c>
      <c r="O1192" t="b">
        <v>1</v>
      </c>
      <c r="P1192">
        <v>45</v>
      </c>
      <c r="Q1192" t="s">
        <v>85</v>
      </c>
      <c r="R1192" t="s">
        <v>1126</v>
      </c>
      <c r="S1192">
        <v>0</v>
      </c>
      <c r="T1192">
        <v>1</v>
      </c>
      <c r="U1192" s="36">
        <v>0.45688000000000001</v>
      </c>
      <c r="V1192" t="s">
        <v>87</v>
      </c>
      <c r="W1192">
        <v>135</v>
      </c>
      <c r="X1192">
        <v>0</v>
      </c>
      <c r="Y1192">
        <v>0</v>
      </c>
      <c r="Z1192">
        <v>1.5625E-2</v>
      </c>
      <c r="AA1192">
        <v>30</v>
      </c>
      <c r="AB1192">
        <v>3.3333333333333333E-2</v>
      </c>
      <c r="AC1192">
        <v>500</v>
      </c>
      <c r="AD1192">
        <v>3333.3333333333335</v>
      </c>
      <c r="AE1192" t="s">
        <v>88</v>
      </c>
      <c r="AF1192" t="s">
        <v>1554</v>
      </c>
      <c r="AG1192" t="s">
        <v>1555</v>
      </c>
      <c r="AH1192">
        <v>0</v>
      </c>
      <c r="AI1192">
        <v>0.9</v>
      </c>
      <c r="AJ1192" t="s">
        <v>91</v>
      </c>
      <c r="AL1192" t="s">
        <v>93</v>
      </c>
      <c r="AM1192">
        <v>0.52300000000000002</v>
      </c>
      <c r="AN1192">
        <v>0</v>
      </c>
      <c r="AO1192">
        <v>0.4</v>
      </c>
      <c r="AP1192">
        <v>0</v>
      </c>
      <c r="AQ1192">
        <v>8.6691086691086688E-2</v>
      </c>
      <c r="AR1192">
        <v>0</v>
      </c>
      <c r="AS1192">
        <v>0</v>
      </c>
      <c r="AT1192">
        <v>1.0866910866910866</v>
      </c>
      <c r="AU1192">
        <v>0</v>
      </c>
      <c r="AV1192">
        <v>1</v>
      </c>
      <c r="AW1192">
        <v>0</v>
      </c>
      <c r="AX1192" t="s">
        <v>3007</v>
      </c>
      <c r="AY1192">
        <v>0</v>
      </c>
      <c r="AZ1192">
        <v>3</v>
      </c>
      <c r="BA1192" t="s">
        <v>94</v>
      </c>
      <c r="BB1192">
        <v>1.37</v>
      </c>
      <c r="BC1192" t="s">
        <v>95</v>
      </c>
      <c r="BD1192" t="s">
        <v>96</v>
      </c>
      <c r="BE1192" t="s">
        <v>97</v>
      </c>
      <c r="BF1192">
        <v>0</v>
      </c>
      <c r="BG1192">
        <v>0</v>
      </c>
      <c r="BH1192">
        <v>0</v>
      </c>
      <c r="BI1192" t="s">
        <v>98</v>
      </c>
    </row>
    <row r="1193" spans="1:61">
      <c r="A1193" s="164" t="s">
        <v>3008</v>
      </c>
      <c r="B1193" t="s">
        <v>3009</v>
      </c>
      <c r="C1193">
        <v>0</v>
      </c>
      <c r="D1193" t="s">
        <v>101</v>
      </c>
      <c r="E1193">
        <v>0</v>
      </c>
      <c r="F1193" t="s">
        <v>102</v>
      </c>
      <c r="G1193" t="s">
        <v>103</v>
      </c>
      <c r="H1193" t="s">
        <v>104</v>
      </c>
      <c r="I1193" t="s">
        <v>80</v>
      </c>
      <c r="J1193" t="s">
        <v>109</v>
      </c>
      <c r="K1193" t="s">
        <v>110</v>
      </c>
      <c r="L1193" t="s">
        <v>111</v>
      </c>
      <c r="M1193" t="s">
        <v>84</v>
      </c>
      <c r="N1193">
        <v>0.97799999999999998</v>
      </c>
      <c r="O1193" t="b">
        <v>0</v>
      </c>
      <c r="P1193">
        <v>45</v>
      </c>
      <c r="Q1193" t="s">
        <v>85</v>
      </c>
      <c r="S1193">
        <v>0</v>
      </c>
      <c r="T1193">
        <v>0</v>
      </c>
      <c r="V1193" t="s">
        <v>87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F1193" t="s">
        <v>513</v>
      </c>
      <c r="AH1193">
        <v>0</v>
      </c>
      <c r="AI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 t="s">
        <v>3010</v>
      </c>
      <c r="AY1193">
        <v>0</v>
      </c>
      <c r="AZ1193">
        <v>8</v>
      </c>
      <c r="BA1193" t="s">
        <v>94</v>
      </c>
      <c r="BB1193">
        <v>0</v>
      </c>
      <c r="BC1193" t="s">
        <v>115</v>
      </c>
      <c r="BD1193" t="s">
        <v>116</v>
      </c>
      <c r="BE1193" t="s">
        <v>117</v>
      </c>
      <c r="BF1193">
        <v>0</v>
      </c>
      <c r="BG1193">
        <v>0</v>
      </c>
      <c r="BH1193">
        <v>0</v>
      </c>
      <c r="BI1193" t="s">
        <v>98</v>
      </c>
    </row>
    <row r="1194" spans="1:61">
      <c r="A1194" s="164" t="s">
        <v>3011</v>
      </c>
      <c r="B1194" t="s">
        <v>3012</v>
      </c>
      <c r="C1194">
        <v>0</v>
      </c>
      <c r="D1194" t="s">
        <v>479</v>
      </c>
      <c r="E1194">
        <v>0</v>
      </c>
      <c r="F1194" t="s">
        <v>480</v>
      </c>
      <c r="G1194" t="s">
        <v>103</v>
      </c>
      <c r="H1194" t="s">
        <v>104</v>
      </c>
      <c r="I1194" t="s">
        <v>80</v>
      </c>
      <c r="J1194" t="s">
        <v>467</v>
      </c>
      <c r="K1194" t="s">
        <v>468</v>
      </c>
      <c r="L1194" t="s">
        <v>111</v>
      </c>
      <c r="M1194" t="s">
        <v>84</v>
      </c>
      <c r="N1194">
        <v>4.2270000000000003</v>
      </c>
      <c r="O1194" t="b">
        <v>0</v>
      </c>
      <c r="P1194">
        <v>0</v>
      </c>
      <c r="Q1194" t="s">
        <v>479</v>
      </c>
      <c r="S1194">
        <v>4.2270000000000003</v>
      </c>
      <c r="T1194">
        <v>1</v>
      </c>
      <c r="V1194" t="s">
        <v>165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H1194">
        <v>0</v>
      </c>
      <c r="AI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Y1194">
        <v>0</v>
      </c>
      <c r="AZ1194">
        <v>0</v>
      </c>
      <c r="BA1194" t="s">
        <v>138</v>
      </c>
      <c r="BB1194">
        <v>0</v>
      </c>
      <c r="BC1194" t="s">
        <v>95</v>
      </c>
      <c r="BD1194" t="s">
        <v>139</v>
      </c>
      <c r="BE1194" t="s">
        <v>97</v>
      </c>
      <c r="BF1194">
        <v>0</v>
      </c>
      <c r="BG1194">
        <v>0</v>
      </c>
      <c r="BH1194">
        <v>0</v>
      </c>
      <c r="BI1194" t="s">
        <v>98</v>
      </c>
    </row>
    <row r="1195" spans="1:61">
      <c r="A1195" s="164" t="s">
        <v>3013</v>
      </c>
      <c r="B1195" t="s">
        <v>3014</v>
      </c>
      <c r="C1195">
        <v>0</v>
      </c>
      <c r="D1195" t="s">
        <v>748</v>
      </c>
      <c r="E1195">
        <v>0</v>
      </c>
      <c r="F1195" t="s">
        <v>748</v>
      </c>
      <c r="G1195" t="s">
        <v>103</v>
      </c>
      <c r="H1195" t="s">
        <v>104</v>
      </c>
      <c r="I1195" t="s">
        <v>80</v>
      </c>
      <c r="J1195" t="s">
        <v>81</v>
      </c>
      <c r="K1195" t="s">
        <v>82</v>
      </c>
      <c r="L1195" t="s">
        <v>83</v>
      </c>
      <c r="M1195" t="s">
        <v>84</v>
      </c>
      <c r="N1195">
        <v>0.17</v>
      </c>
      <c r="O1195" t="b">
        <v>1</v>
      </c>
      <c r="P1195">
        <v>90</v>
      </c>
      <c r="Q1195" t="s">
        <v>188</v>
      </c>
      <c r="R1195" t="s">
        <v>86</v>
      </c>
      <c r="S1195">
        <v>0.17</v>
      </c>
      <c r="T1195">
        <v>1</v>
      </c>
      <c r="U1195" s="36">
        <v>0.31812000000000001</v>
      </c>
      <c r="V1195" t="s">
        <v>87</v>
      </c>
      <c r="W1195">
        <v>160</v>
      </c>
      <c r="X1195">
        <v>0.45</v>
      </c>
      <c r="Y1195">
        <v>43</v>
      </c>
      <c r="Z1195">
        <v>2.3255813953488372E-2</v>
      </c>
      <c r="AA1195">
        <v>30</v>
      </c>
      <c r="AB1195">
        <v>0</v>
      </c>
      <c r="AC1195">
        <v>500</v>
      </c>
      <c r="AD1195">
        <v>2941.1764705882351</v>
      </c>
      <c r="AE1195" t="s">
        <v>88</v>
      </c>
      <c r="AF1195" t="s">
        <v>749</v>
      </c>
      <c r="AG1195" t="s">
        <v>750</v>
      </c>
      <c r="AH1195">
        <v>0</v>
      </c>
      <c r="AI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 t="s">
        <v>3015</v>
      </c>
      <c r="AY1195">
        <v>0</v>
      </c>
      <c r="AZ1195">
        <v>0</v>
      </c>
      <c r="BA1195" t="s">
        <v>94</v>
      </c>
      <c r="BB1195">
        <v>0</v>
      </c>
      <c r="BC1195" t="s">
        <v>95</v>
      </c>
      <c r="BD1195" t="s">
        <v>96</v>
      </c>
      <c r="BE1195" t="s">
        <v>97</v>
      </c>
      <c r="BF1195">
        <v>0</v>
      </c>
      <c r="BG1195">
        <v>0</v>
      </c>
      <c r="BH1195">
        <v>0</v>
      </c>
      <c r="BI1195" t="s">
        <v>98</v>
      </c>
    </row>
    <row r="1196" spans="1:61">
      <c r="A1196" s="164" t="s">
        <v>3016</v>
      </c>
      <c r="B1196" t="s">
        <v>3017</v>
      </c>
      <c r="C1196">
        <v>0</v>
      </c>
      <c r="D1196" t="s">
        <v>479</v>
      </c>
      <c r="E1196">
        <v>0</v>
      </c>
      <c r="F1196" t="s">
        <v>480</v>
      </c>
      <c r="G1196" t="s">
        <v>103</v>
      </c>
      <c r="H1196" t="s">
        <v>104</v>
      </c>
      <c r="I1196" t="s">
        <v>80</v>
      </c>
      <c r="J1196" t="s">
        <v>467</v>
      </c>
      <c r="K1196" t="s">
        <v>468</v>
      </c>
      <c r="L1196" t="s">
        <v>111</v>
      </c>
      <c r="M1196" t="s">
        <v>84</v>
      </c>
      <c r="O1196" t="b">
        <v>0</v>
      </c>
      <c r="P1196">
        <v>40</v>
      </c>
      <c r="Q1196" t="s">
        <v>479</v>
      </c>
      <c r="S1196">
        <v>0.39</v>
      </c>
      <c r="U1196" s="36">
        <v>20.689925000000002</v>
      </c>
      <c r="V1196" t="s">
        <v>468</v>
      </c>
      <c r="AI1196">
        <v>0</v>
      </c>
      <c r="AZ1196">
        <v>7</v>
      </c>
      <c r="BA1196" t="s">
        <v>138</v>
      </c>
      <c r="BB1196">
        <v>0</v>
      </c>
      <c r="BC1196" t="s">
        <v>95</v>
      </c>
      <c r="BD1196" t="s">
        <v>2573</v>
      </c>
      <c r="BE1196" t="s">
        <v>97</v>
      </c>
      <c r="BF1196">
        <v>1</v>
      </c>
      <c r="BG1196">
        <v>0</v>
      </c>
      <c r="BH1196">
        <v>0</v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>
      <c r="D1197" t="s">
        <v>479</v>
      </c>
      <c r="E1197">
        <v>0</v>
      </c>
      <c r="F1197" t="s">
        <v>480</v>
      </c>
      <c r="G1197" t="s">
        <v>103</v>
      </c>
      <c r="H1197" t="s">
        <v>104</v>
      </c>
      <c r="I1197" t="s">
        <v>80</v>
      </c>
      <c r="J1197" t="s">
        <v>467</v>
      </c>
      <c r="K1197" t="s">
        <v>468</v>
      </c>
      <c r="L1197" t="s">
        <v>111</v>
      </c>
      <c r="M1197" t="s">
        <v>84</v>
      </c>
      <c r="O1197" t="b">
        <v>0</v>
      </c>
      <c r="P1197">
        <v>40</v>
      </c>
      <c r="Q1197" t="s">
        <v>479</v>
      </c>
      <c r="S1197">
        <v>0.39</v>
      </c>
      <c r="U1197" s="36">
        <v>14.158495</v>
      </c>
      <c r="V1197" t="s">
        <v>468</v>
      </c>
      <c r="AI1197">
        <v>0</v>
      </c>
      <c r="AZ1197">
        <v>0</v>
      </c>
      <c r="BA1197" t="s">
        <v>138</v>
      </c>
      <c r="BB1197">
        <v>0</v>
      </c>
      <c r="BC1197" t="s">
        <v>95</v>
      </c>
      <c r="BD1197" t="s">
        <v>2573</v>
      </c>
      <c r="BE1197" t="s">
        <v>97</v>
      </c>
      <c r="BF1197">
        <v>1</v>
      </c>
      <c r="BG1197">
        <v>0</v>
      </c>
      <c r="BH1197">
        <v>0</v>
      </c>
      <c r="BI1197" t="s">
        <v>98</v>
      </c>
    </row>
    <row r="1198" spans="1:61">
      <c r="A1198" s="164" t="s">
        <v>3020</v>
      </c>
      <c r="B1198" t="s">
        <v>3021</v>
      </c>
      <c r="C1198">
        <v>0</v>
      </c>
      <c r="D1198" t="s">
        <v>486</v>
      </c>
      <c r="E1198">
        <v>0</v>
      </c>
      <c r="F1198" t="s">
        <v>1178</v>
      </c>
      <c r="G1198" t="s">
        <v>78</v>
      </c>
      <c r="H1198" t="s">
        <v>79</v>
      </c>
      <c r="I1198" t="s">
        <v>80</v>
      </c>
      <c r="J1198" t="s">
        <v>163</v>
      </c>
      <c r="K1198" t="s">
        <v>82</v>
      </c>
      <c r="L1198" t="s">
        <v>83</v>
      </c>
      <c r="M1198" t="s">
        <v>84</v>
      </c>
      <c r="N1198">
        <v>0.15</v>
      </c>
      <c r="O1198" t="b">
        <v>1</v>
      </c>
      <c r="P1198">
        <v>60</v>
      </c>
      <c r="Q1198" t="s">
        <v>137</v>
      </c>
      <c r="S1198">
        <v>0.3</v>
      </c>
      <c r="T1198">
        <v>1</v>
      </c>
      <c r="U1198" s="36">
        <v>1.1246900000000002</v>
      </c>
      <c r="V1198" t="s">
        <v>165</v>
      </c>
      <c r="X1198">
        <v>0</v>
      </c>
      <c r="Y1198">
        <v>120</v>
      </c>
      <c r="Z1198">
        <v>1.3333333333333334E-2</v>
      </c>
      <c r="AA1198">
        <v>35</v>
      </c>
      <c r="AB1198">
        <v>0</v>
      </c>
      <c r="AC1198">
        <v>0</v>
      </c>
      <c r="AE1198" t="s">
        <v>129</v>
      </c>
      <c r="AF1198" t="s">
        <v>1178</v>
      </c>
      <c r="AG1198" t="s">
        <v>129</v>
      </c>
      <c r="AH1198">
        <v>0</v>
      </c>
      <c r="AI1198">
        <v>11</v>
      </c>
      <c r="AM1198">
        <v>9.4599999999999991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 t="s">
        <v>3022</v>
      </c>
      <c r="AY1198">
        <v>0</v>
      </c>
      <c r="AZ1198">
        <v>7</v>
      </c>
      <c r="BA1198" t="s">
        <v>138</v>
      </c>
      <c r="BB1198">
        <v>2.64</v>
      </c>
      <c r="BC1198" t="s">
        <v>95</v>
      </c>
      <c r="BD1198" t="s">
        <v>96</v>
      </c>
      <c r="BE1198" t="s">
        <v>97</v>
      </c>
      <c r="BF1198">
        <v>1</v>
      </c>
      <c r="BG1198">
        <v>0</v>
      </c>
      <c r="BH1198">
        <v>0</v>
      </c>
      <c r="BI1198" t="s">
        <v>98</v>
      </c>
    </row>
    <row r="1199" spans="1:61">
      <c r="A1199" s="164" t="s">
        <v>3023</v>
      </c>
      <c r="B1199" t="s">
        <v>3024</v>
      </c>
      <c r="C1199">
        <v>0</v>
      </c>
      <c r="D1199" t="s">
        <v>304</v>
      </c>
      <c r="E1199">
        <v>0</v>
      </c>
      <c r="F1199" t="s">
        <v>269</v>
      </c>
      <c r="G1199" t="s">
        <v>103</v>
      </c>
      <c r="H1199" t="s">
        <v>104</v>
      </c>
      <c r="I1199" t="s">
        <v>80</v>
      </c>
      <c r="J1199" t="s">
        <v>196</v>
      </c>
      <c r="K1199" t="s">
        <v>13</v>
      </c>
      <c r="L1199" t="s">
        <v>83</v>
      </c>
      <c r="M1199" t="s">
        <v>84</v>
      </c>
      <c r="N1199">
        <v>1</v>
      </c>
      <c r="O1199" t="b">
        <v>0</v>
      </c>
      <c r="P1199">
        <v>0</v>
      </c>
      <c r="BB1199">
        <v>0</v>
      </c>
      <c r="BC1199" t="s">
        <v>306</v>
      </c>
      <c r="BD1199" t="s">
        <v>270</v>
      </c>
      <c r="BE1199" t="s">
        <v>117</v>
      </c>
      <c r="BF1199">
        <v>0</v>
      </c>
      <c r="BG1199">
        <v>0</v>
      </c>
      <c r="BH1199">
        <v>0</v>
      </c>
    </row>
    <row r="1200" spans="1:61">
      <c r="A1200" s="164" t="s">
        <v>3025</v>
      </c>
      <c r="B1200" t="s">
        <v>3026</v>
      </c>
      <c r="C1200">
        <v>0</v>
      </c>
      <c r="D1200" t="s">
        <v>304</v>
      </c>
      <c r="E1200">
        <v>0</v>
      </c>
      <c r="F1200" t="s">
        <v>269</v>
      </c>
      <c r="G1200" t="s">
        <v>103</v>
      </c>
      <c r="H1200" t="s">
        <v>104</v>
      </c>
      <c r="I1200" t="s">
        <v>80</v>
      </c>
      <c r="J1200" t="s">
        <v>196</v>
      </c>
      <c r="K1200" t="s">
        <v>13</v>
      </c>
      <c r="L1200" t="s">
        <v>83</v>
      </c>
      <c r="M1200" t="s">
        <v>84</v>
      </c>
      <c r="N1200">
        <v>1</v>
      </c>
      <c r="O1200" t="b">
        <v>0</v>
      </c>
      <c r="P1200">
        <v>0</v>
      </c>
      <c r="BB1200">
        <v>0</v>
      </c>
      <c r="BC1200" t="s">
        <v>306</v>
      </c>
      <c r="BD1200" t="s">
        <v>270</v>
      </c>
      <c r="BE1200" t="s">
        <v>117</v>
      </c>
      <c r="BF1200">
        <v>0</v>
      </c>
      <c r="BG1200">
        <v>0</v>
      </c>
      <c r="BH1200">
        <v>0</v>
      </c>
    </row>
    <row r="1201" spans="1:61">
      <c r="A1201" s="164" t="s">
        <v>3027</v>
      </c>
      <c r="B1201" t="s">
        <v>3028</v>
      </c>
      <c r="C1201">
        <v>0</v>
      </c>
      <c r="D1201" t="s">
        <v>304</v>
      </c>
      <c r="E1201">
        <v>0</v>
      </c>
      <c r="F1201" t="s">
        <v>269</v>
      </c>
      <c r="G1201" t="s">
        <v>103</v>
      </c>
      <c r="H1201" t="s">
        <v>104</v>
      </c>
      <c r="I1201" t="s">
        <v>80</v>
      </c>
      <c r="J1201" t="s">
        <v>196</v>
      </c>
      <c r="K1201" t="s">
        <v>13</v>
      </c>
      <c r="L1201" t="s">
        <v>83</v>
      </c>
      <c r="M1201" t="s">
        <v>84</v>
      </c>
      <c r="N1201">
        <v>1</v>
      </c>
      <c r="O1201" t="b">
        <v>0</v>
      </c>
      <c r="P1201">
        <v>0</v>
      </c>
      <c r="BB1201">
        <v>0</v>
      </c>
      <c r="BC1201" t="s">
        <v>306</v>
      </c>
      <c r="BD1201" t="s">
        <v>270</v>
      </c>
      <c r="BE1201" t="s">
        <v>117</v>
      </c>
      <c r="BF1201">
        <v>0</v>
      </c>
      <c r="BG1201">
        <v>0</v>
      </c>
      <c r="BH1201">
        <v>0</v>
      </c>
    </row>
    <row r="1202" spans="1:61">
      <c r="A1202" s="164" t="s">
        <v>3029</v>
      </c>
      <c r="B1202" t="s">
        <v>3030</v>
      </c>
      <c r="C1202">
        <v>0</v>
      </c>
      <c r="D1202" t="s">
        <v>304</v>
      </c>
      <c r="E1202">
        <v>0</v>
      </c>
      <c r="F1202" t="s">
        <v>313</v>
      </c>
      <c r="G1202" t="s">
        <v>78</v>
      </c>
      <c r="H1202" t="s">
        <v>79</v>
      </c>
      <c r="I1202" t="s">
        <v>80</v>
      </c>
      <c r="J1202" t="s">
        <v>196</v>
      </c>
      <c r="K1202" t="s">
        <v>13</v>
      </c>
      <c r="L1202" t="s">
        <v>83</v>
      </c>
      <c r="M1202" t="s">
        <v>205</v>
      </c>
      <c r="N1202">
        <v>1</v>
      </c>
      <c r="O1202" t="b">
        <v>1</v>
      </c>
      <c r="P1202">
        <v>0</v>
      </c>
      <c r="BB1202">
        <v>0</v>
      </c>
      <c r="BC1202" t="s">
        <v>306</v>
      </c>
      <c r="BD1202" t="s">
        <v>314</v>
      </c>
      <c r="BE1202" t="s">
        <v>117</v>
      </c>
      <c r="BF1202">
        <v>0</v>
      </c>
      <c r="BG1202">
        <v>45</v>
      </c>
      <c r="BH1202">
        <v>300</v>
      </c>
      <c r="BI1202" t="s">
        <v>315</v>
      </c>
    </row>
    <row r="1203" spans="1:61">
      <c r="A1203" s="164" t="s">
        <v>3031</v>
      </c>
      <c r="B1203" t="s">
        <v>3032</v>
      </c>
      <c r="C1203">
        <v>0</v>
      </c>
      <c r="D1203" t="s">
        <v>304</v>
      </c>
      <c r="E1203">
        <v>0</v>
      </c>
      <c r="F1203" t="s">
        <v>313</v>
      </c>
      <c r="G1203" t="s">
        <v>78</v>
      </c>
      <c r="H1203" t="s">
        <v>79</v>
      </c>
      <c r="I1203" t="s">
        <v>80</v>
      </c>
      <c r="J1203" t="s">
        <v>196</v>
      </c>
      <c r="K1203" t="s">
        <v>13</v>
      </c>
      <c r="L1203" t="s">
        <v>83</v>
      </c>
      <c r="M1203" t="s">
        <v>205</v>
      </c>
      <c r="N1203">
        <v>1</v>
      </c>
      <c r="O1203" t="b">
        <v>1</v>
      </c>
      <c r="P1203">
        <v>0</v>
      </c>
      <c r="BB1203">
        <v>0</v>
      </c>
      <c r="BC1203" t="s">
        <v>306</v>
      </c>
      <c r="BD1203" t="s">
        <v>314</v>
      </c>
      <c r="BE1203" t="s">
        <v>117</v>
      </c>
      <c r="BF1203">
        <v>0</v>
      </c>
      <c r="BG1203">
        <v>45</v>
      </c>
      <c r="BH1203">
        <v>300</v>
      </c>
      <c r="BI1203" t="s">
        <v>315</v>
      </c>
    </row>
    <row r="1204" spans="1:61">
      <c r="A1204" s="164" t="s">
        <v>3033</v>
      </c>
      <c r="B1204" t="s">
        <v>3034</v>
      </c>
      <c r="C1204">
        <v>0</v>
      </c>
      <c r="D1204" t="s">
        <v>304</v>
      </c>
      <c r="E1204">
        <v>0</v>
      </c>
      <c r="F1204" t="s">
        <v>342</v>
      </c>
      <c r="G1204" t="s">
        <v>78</v>
      </c>
      <c r="H1204" t="s">
        <v>79</v>
      </c>
      <c r="I1204" t="s">
        <v>80</v>
      </c>
      <c r="J1204" t="s">
        <v>196</v>
      </c>
      <c r="K1204" t="s">
        <v>13</v>
      </c>
      <c r="L1204" t="s">
        <v>83</v>
      </c>
      <c r="M1204" t="s">
        <v>84</v>
      </c>
      <c r="N1204">
        <v>1</v>
      </c>
      <c r="O1204" t="b">
        <v>1</v>
      </c>
      <c r="P1204">
        <v>0</v>
      </c>
      <c r="BB1204">
        <v>0</v>
      </c>
      <c r="BC1204" t="s">
        <v>306</v>
      </c>
      <c r="BD1204" t="s">
        <v>343</v>
      </c>
      <c r="BE1204" t="s">
        <v>117</v>
      </c>
      <c r="BF1204">
        <v>0</v>
      </c>
      <c r="BG1204">
        <v>25</v>
      </c>
      <c r="BH1204">
        <v>10000</v>
      </c>
      <c r="BI1204" t="s">
        <v>344</v>
      </c>
    </row>
    <row r="1205" spans="1:61">
      <c r="A1205" s="164" t="s">
        <v>3035</v>
      </c>
      <c r="B1205" t="s">
        <v>3036</v>
      </c>
      <c r="C1205">
        <v>0</v>
      </c>
      <c r="D1205" t="s">
        <v>304</v>
      </c>
      <c r="E1205">
        <v>0</v>
      </c>
      <c r="F1205" t="s">
        <v>305</v>
      </c>
      <c r="G1205" t="s">
        <v>78</v>
      </c>
      <c r="H1205" t="s">
        <v>79</v>
      </c>
      <c r="I1205" t="s">
        <v>80</v>
      </c>
      <c r="J1205" t="s">
        <v>196</v>
      </c>
      <c r="K1205" t="s">
        <v>13</v>
      </c>
      <c r="L1205" t="s">
        <v>83</v>
      </c>
      <c r="M1205" t="s">
        <v>84</v>
      </c>
      <c r="N1205">
        <v>1</v>
      </c>
      <c r="O1205" t="b">
        <v>1</v>
      </c>
      <c r="P1205">
        <v>0</v>
      </c>
      <c r="BB1205">
        <v>0</v>
      </c>
      <c r="BC1205" t="s">
        <v>306</v>
      </c>
      <c r="BD1205" t="s">
        <v>307</v>
      </c>
      <c r="BE1205" t="s">
        <v>117</v>
      </c>
      <c r="BF1205">
        <v>0</v>
      </c>
      <c r="BG1205">
        <v>25</v>
      </c>
      <c r="BH1205">
        <v>10000</v>
      </c>
      <c r="BI1205" t="s">
        <v>308</v>
      </c>
    </row>
    <row r="1206" spans="1:61">
      <c r="A1206" s="164" t="s">
        <v>3037</v>
      </c>
      <c r="B1206" t="s">
        <v>3038</v>
      </c>
      <c r="C1206">
        <v>0</v>
      </c>
      <c r="D1206" t="s">
        <v>304</v>
      </c>
      <c r="E1206">
        <v>0</v>
      </c>
      <c r="F1206" t="s">
        <v>305</v>
      </c>
      <c r="G1206" t="s">
        <v>78</v>
      </c>
      <c r="H1206" t="s">
        <v>79</v>
      </c>
      <c r="I1206" t="s">
        <v>80</v>
      </c>
      <c r="J1206" t="s">
        <v>196</v>
      </c>
      <c r="K1206" t="s">
        <v>13</v>
      </c>
      <c r="L1206" t="s">
        <v>83</v>
      </c>
      <c r="M1206" t="s">
        <v>84</v>
      </c>
      <c r="N1206">
        <v>1</v>
      </c>
      <c r="O1206" t="b">
        <v>1</v>
      </c>
      <c r="P1206">
        <v>0</v>
      </c>
      <c r="BB1206">
        <v>0</v>
      </c>
      <c r="BC1206" t="s">
        <v>306</v>
      </c>
      <c r="BD1206" t="s">
        <v>307</v>
      </c>
      <c r="BE1206" t="s">
        <v>117</v>
      </c>
      <c r="BF1206">
        <v>0</v>
      </c>
      <c r="BG1206">
        <v>25</v>
      </c>
      <c r="BH1206">
        <v>10000</v>
      </c>
      <c r="BI1206" t="s">
        <v>308</v>
      </c>
    </row>
    <row r="1207" spans="1:61">
      <c r="A1207" s="164" t="s">
        <v>3039</v>
      </c>
      <c r="B1207" t="s">
        <v>3040</v>
      </c>
      <c r="C1207">
        <v>0</v>
      </c>
      <c r="D1207" t="s">
        <v>194</v>
      </c>
      <c r="E1207">
        <v>0</v>
      </c>
      <c r="F1207" t="s">
        <v>214</v>
      </c>
      <c r="G1207" t="s">
        <v>78</v>
      </c>
      <c r="H1207" t="s">
        <v>79</v>
      </c>
      <c r="I1207" t="s">
        <v>80</v>
      </c>
      <c r="J1207" t="s">
        <v>196</v>
      </c>
      <c r="K1207" t="s">
        <v>13</v>
      </c>
      <c r="L1207" t="s">
        <v>83</v>
      </c>
      <c r="M1207" t="s">
        <v>215</v>
      </c>
      <c r="N1207">
        <v>1</v>
      </c>
      <c r="O1207" t="b">
        <v>1</v>
      </c>
      <c r="P1207">
        <v>0</v>
      </c>
      <c r="BB1207">
        <v>0</v>
      </c>
      <c r="BC1207" t="s">
        <v>197</v>
      </c>
      <c r="BD1207" t="s">
        <v>216</v>
      </c>
      <c r="BE1207" t="s">
        <v>117</v>
      </c>
      <c r="BF1207">
        <v>0</v>
      </c>
      <c r="BG1207">
        <v>0</v>
      </c>
      <c r="BH1207">
        <v>0</v>
      </c>
    </row>
    <row r="1208" spans="1:61">
      <c r="A1208" s="164" t="s">
        <v>3041</v>
      </c>
      <c r="B1208" t="s">
        <v>3042</v>
      </c>
      <c r="C1208">
        <v>0</v>
      </c>
      <c r="D1208" t="s">
        <v>194</v>
      </c>
      <c r="E1208">
        <v>0</v>
      </c>
      <c r="F1208" t="s">
        <v>195</v>
      </c>
      <c r="G1208" t="s">
        <v>78</v>
      </c>
      <c r="H1208" t="s">
        <v>79</v>
      </c>
      <c r="I1208" t="s">
        <v>80</v>
      </c>
      <c r="J1208" t="s">
        <v>196</v>
      </c>
      <c r="K1208" t="s">
        <v>13</v>
      </c>
      <c r="L1208" t="s">
        <v>83</v>
      </c>
      <c r="M1208" t="s">
        <v>215</v>
      </c>
      <c r="N1208">
        <v>1</v>
      </c>
      <c r="O1208" t="b">
        <v>1</v>
      </c>
      <c r="P1208">
        <v>0</v>
      </c>
      <c r="BB1208">
        <v>0</v>
      </c>
      <c r="BC1208" t="s">
        <v>197</v>
      </c>
      <c r="BD1208" t="s">
        <v>198</v>
      </c>
      <c r="BE1208" t="s">
        <v>117</v>
      </c>
      <c r="BF1208">
        <v>0</v>
      </c>
      <c r="BG1208">
        <v>0</v>
      </c>
      <c r="BH1208">
        <v>0</v>
      </c>
    </row>
    <row r="1209" spans="1:61">
      <c r="A1209" s="164" t="s">
        <v>3043</v>
      </c>
      <c r="B1209" t="s">
        <v>560</v>
      </c>
      <c r="C1209">
        <v>0</v>
      </c>
      <c r="D1209" t="s">
        <v>194</v>
      </c>
      <c r="E1209">
        <v>0</v>
      </c>
      <c r="F1209" t="s">
        <v>195</v>
      </c>
      <c r="G1209" t="s">
        <v>78</v>
      </c>
      <c r="H1209" t="s">
        <v>79</v>
      </c>
      <c r="I1209" t="s">
        <v>80</v>
      </c>
      <c r="J1209" t="s">
        <v>196</v>
      </c>
      <c r="K1209" t="s">
        <v>13</v>
      </c>
      <c r="L1209" t="s">
        <v>83</v>
      </c>
      <c r="M1209" t="s">
        <v>205</v>
      </c>
      <c r="N1209">
        <v>1</v>
      </c>
      <c r="O1209" t="b">
        <v>1</v>
      </c>
      <c r="P1209">
        <v>0</v>
      </c>
      <c r="BB1209">
        <v>0</v>
      </c>
      <c r="BC1209" t="s">
        <v>197</v>
      </c>
      <c r="BD1209" t="s">
        <v>198</v>
      </c>
      <c r="BE1209" t="s">
        <v>117</v>
      </c>
      <c r="BF1209">
        <v>0</v>
      </c>
      <c r="BG1209">
        <v>0</v>
      </c>
      <c r="BH1209">
        <v>0</v>
      </c>
    </row>
    <row r="1210" spans="1:61">
      <c r="A1210" s="164" t="s">
        <v>3044</v>
      </c>
      <c r="B1210" t="s">
        <v>3045</v>
      </c>
      <c r="C1210">
        <v>0</v>
      </c>
      <c r="D1210" t="s">
        <v>194</v>
      </c>
      <c r="E1210">
        <v>0</v>
      </c>
      <c r="F1210" t="s">
        <v>214</v>
      </c>
      <c r="G1210" t="s">
        <v>78</v>
      </c>
      <c r="H1210" t="s">
        <v>79</v>
      </c>
      <c r="I1210" t="s">
        <v>80</v>
      </c>
      <c r="J1210" t="s">
        <v>196</v>
      </c>
      <c r="K1210" t="s">
        <v>13</v>
      </c>
      <c r="L1210" t="s">
        <v>83</v>
      </c>
      <c r="M1210" t="s">
        <v>215</v>
      </c>
      <c r="N1210">
        <v>1</v>
      </c>
      <c r="O1210" t="b">
        <v>1</v>
      </c>
      <c r="P1210">
        <v>0</v>
      </c>
      <c r="BB1210">
        <v>0</v>
      </c>
      <c r="BC1210" t="s">
        <v>197</v>
      </c>
      <c r="BD1210" t="s">
        <v>216</v>
      </c>
      <c r="BE1210" t="s">
        <v>117</v>
      </c>
      <c r="BF1210">
        <v>0</v>
      </c>
      <c r="BG1210">
        <v>0</v>
      </c>
      <c r="BH1210">
        <v>0</v>
      </c>
    </row>
    <row r="1211" spans="1:61">
      <c r="A1211" s="164" t="s">
        <v>3046</v>
      </c>
      <c r="B1211" t="s">
        <v>157</v>
      </c>
      <c r="C1211">
        <v>0</v>
      </c>
      <c r="D1211" t="s">
        <v>194</v>
      </c>
      <c r="E1211">
        <v>0</v>
      </c>
      <c r="F1211" t="s">
        <v>195</v>
      </c>
      <c r="G1211" t="s">
        <v>78</v>
      </c>
      <c r="H1211" t="s">
        <v>79</v>
      </c>
      <c r="I1211" t="s">
        <v>80</v>
      </c>
      <c r="J1211" t="s">
        <v>196</v>
      </c>
      <c r="K1211" t="s">
        <v>13</v>
      </c>
      <c r="L1211" t="s">
        <v>83</v>
      </c>
      <c r="M1211" t="s">
        <v>205</v>
      </c>
      <c r="N1211">
        <v>1</v>
      </c>
      <c r="O1211" t="b">
        <v>1</v>
      </c>
      <c r="P1211">
        <v>0</v>
      </c>
      <c r="BB1211">
        <v>0</v>
      </c>
      <c r="BC1211" t="s">
        <v>197</v>
      </c>
      <c r="BD1211" t="s">
        <v>198</v>
      </c>
      <c r="BE1211" t="s">
        <v>117</v>
      </c>
      <c r="BF1211">
        <v>0</v>
      </c>
      <c r="BG1211">
        <v>0</v>
      </c>
      <c r="BH1211">
        <v>0</v>
      </c>
    </row>
    <row r="1212" spans="1:61">
      <c r="A1212" s="164" t="s">
        <v>3047</v>
      </c>
      <c r="B1212" t="s">
        <v>3048</v>
      </c>
      <c r="C1212">
        <v>0</v>
      </c>
      <c r="D1212" t="s">
        <v>194</v>
      </c>
      <c r="E1212">
        <v>0</v>
      </c>
      <c r="F1212" t="s">
        <v>1264</v>
      </c>
      <c r="G1212" t="s">
        <v>78</v>
      </c>
      <c r="H1212" t="s">
        <v>79</v>
      </c>
      <c r="I1212" t="s">
        <v>80</v>
      </c>
      <c r="J1212" t="s">
        <v>196</v>
      </c>
      <c r="K1212" t="s">
        <v>13</v>
      </c>
      <c r="L1212" t="s">
        <v>83</v>
      </c>
      <c r="M1212" t="s">
        <v>84</v>
      </c>
      <c r="N1212">
        <v>1</v>
      </c>
      <c r="O1212" t="b">
        <v>1</v>
      </c>
      <c r="P1212">
        <v>0</v>
      </c>
      <c r="BB1212">
        <v>0</v>
      </c>
      <c r="BC1212" t="s">
        <v>197</v>
      </c>
      <c r="BD1212" t="s">
        <v>1265</v>
      </c>
      <c r="BE1212" t="s">
        <v>117</v>
      </c>
      <c r="BF1212">
        <v>0</v>
      </c>
      <c r="BG1212">
        <v>0</v>
      </c>
      <c r="BH1212">
        <v>0</v>
      </c>
    </row>
    <row r="1213" spans="1:61">
      <c r="A1213" s="164" t="s">
        <v>3049</v>
      </c>
      <c r="B1213" t="s">
        <v>3050</v>
      </c>
      <c r="C1213">
        <v>0</v>
      </c>
      <c r="D1213" t="s">
        <v>194</v>
      </c>
      <c r="E1213">
        <v>0</v>
      </c>
      <c r="F1213" t="s">
        <v>195</v>
      </c>
      <c r="G1213" t="s">
        <v>78</v>
      </c>
      <c r="H1213" t="s">
        <v>79</v>
      </c>
      <c r="I1213" t="s">
        <v>80</v>
      </c>
      <c r="J1213" t="s">
        <v>196</v>
      </c>
      <c r="K1213" t="s">
        <v>13</v>
      </c>
      <c r="L1213" t="s">
        <v>83</v>
      </c>
      <c r="M1213" t="s">
        <v>84</v>
      </c>
      <c r="N1213">
        <v>1</v>
      </c>
      <c r="O1213" t="b">
        <v>1</v>
      </c>
      <c r="P1213">
        <v>0</v>
      </c>
      <c r="BB1213">
        <v>0</v>
      </c>
      <c r="BC1213" t="s">
        <v>197</v>
      </c>
      <c r="BD1213" t="s">
        <v>198</v>
      </c>
      <c r="BE1213" t="s">
        <v>117</v>
      </c>
      <c r="BF1213">
        <v>0</v>
      </c>
      <c r="BG1213">
        <v>0</v>
      </c>
      <c r="BH1213">
        <v>0</v>
      </c>
    </row>
    <row r="1214" spans="1:61">
      <c r="A1214" s="164" t="s">
        <v>3051</v>
      </c>
      <c r="B1214" t="s">
        <v>3052</v>
      </c>
      <c r="C1214">
        <v>0</v>
      </c>
      <c r="D1214" t="s">
        <v>194</v>
      </c>
      <c r="E1214">
        <v>0</v>
      </c>
      <c r="F1214" t="s">
        <v>233</v>
      </c>
      <c r="G1214" t="s">
        <v>78</v>
      </c>
      <c r="H1214" t="s">
        <v>79</v>
      </c>
      <c r="I1214" t="s">
        <v>80</v>
      </c>
      <c r="J1214" t="s">
        <v>196</v>
      </c>
      <c r="K1214" t="s">
        <v>13</v>
      </c>
      <c r="L1214" t="s">
        <v>83</v>
      </c>
      <c r="M1214" t="s">
        <v>84</v>
      </c>
      <c r="N1214">
        <v>1</v>
      </c>
      <c r="O1214" t="b">
        <v>1</v>
      </c>
      <c r="P1214">
        <v>0</v>
      </c>
      <c r="BB1214">
        <v>0</v>
      </c>
      <c r="BC1214" t="s">
        <v>197</v>
      </c>
      <c r="BD1214" t="s">
        <v>234</v>
      </c>
      <c r="BE1214" t="s">
        <v>117</v>
      </c>
      <c r="BF1214">
        <v>0</v>
      </c>
      <c r="BG1214">
        <v>0</v>
      </c>
      <c r="BH1214">
        <v>0</v>
      </c>
    </row>
    <row r="1215" spans="1:61">
      <c r="A1215" s="164" t="s">
        <v>3053</v>
      </c>
      <c r="B1215" t="s">
        <v>3054</v>
      </c>
      <c r="C1215">
        <v>0</v>
      </c>
      <c r="D1215" t="s">
        <v>194</v>
      </c>
      <c r="E1215">
        <v>0</v>
      </c>
      <c r="F1215" t="s">
        <v>195</v>
      </c>
      <c r="G1215" t="s">
        <v>78</v>
      </c>
      <c r="H1215" t="s">
        <v>79</v>
      </c>
      <c r="I1215" t="s">
        <v>80</v>
      </c>
      <c r="J1215" t="s">
        <v>196</v>
      </c>
      <c r="K1215" t="s">
        <v>13</v>
      </c>
      <c r="L1215" t="s">
        <v>83</v>
      </c>
      <c r="M1215" t="s">
        <v>84</v>
      </c>
      <c r="N1215">
        <v>1</v>
      </c>
      <c r="O1215" t="b">
        <v>1</v>
      </c>
      <c r="P1215">
        <v>0</v>
      </c>
      <c r="BB1215">
        <v>0</v>
      </c>
      <c r="BC1215" t="s">
        <v>197</v>
      </c>
      <c r="BD1215" t="s">
        <v>198</v>
      </c>
      <c r="BE1215" t="s">
        <v>117</v>
      </c>
      <c r="BF1215">
        <v>0</v>
      </c>
      <c r="BG1215">
        <v>0</v>
      </c>
      <c r="BH1215">
        <v>0</v>
      </c>
    </row>
    <row r="1216" spans="1:61">
      <c r="A1216" s="164" t="s">
        <v>3055</v>
      </c>
      <c r="B1216" t="s">
        <v>3056</v>
      </c>
      <c r="C1216">
        <v>0</v>
      </c>
      <c r="D1216" t="s">
        <v>107</v>
      </c>
      <c r="E1216">
        <v>0</v>
      </c>
      <c r="F1216" t="s">
        <v>1730</v>
      </c>
      <c r="G1216" t="s">
        <v>78</v>
      </c>
      <c r="H1216" t="s">
        <v>79</v>
      </c>
      <c r="I1216" t="s">
        <v>80</v>
      </c>
      <c r="J1216" t="s">
        <v>81</v>
      </c>
      <c r="K1216" t="s">
        <v>82</v>
      </c>
      <c r="L1216" t="s">
        <v>83</v>
      </c>
      <c r="M1216" t="s">
        <v>84</v>
      </c>
      <c r="N1216">
        <v>0.95</v>
      </c>
      <c r="O1216" t="b">
        <v>1</v>
      </c>
      <c r="P1216">
        <v>45</v>
      </c>
      <c r="Q1216" t="s">
        <v>85</v>
      </c>
      <c r="R1216" t="s">
        <v>86</v>
      </c>
      <c r="S1216">
        <v>0.95</v>
      </c>
      <c r="T1216">
        <v>1</v>
      </c>
      <c r="U1216" s="36">
        <v>1.055175</v>
      </c>
      <c r="V1216" t="s">
        <v>87</v>
      </c>
      <c r="W1216">
        <v>24</v>
      </c>
      <c r="X1216">
        <v>0.45019999999999999</v>
      </c>
      <c r="Y1216">
        <v>18</v>
      </c>
      <c r="Z1216">
        <v>5.5555555555555552E-2</v>
      </c>
      <c r="AA1216">
        <v>30</v>
      </c>
      <c r="AB1216">
        <v>0</v>
      </c>
      <c r="AC1216">
        <v>500</v>
      </c>
      <c r="AD1216">
        <v>526.31578947368428</v>
      </c>
      <c r="AE1216" t="s">
        <v>155</v>
      </c>
      <c r="AF1216" t="s">
        <v>113</v>
      </c>
      <c r="AG1216" t="s">
        <v>114</v>
      </c>
      <c r="AH1216">
        <v>0</v>
      </c>
      <c r="AI1216">
        <v>0.9</v>
      </c>
      <c r="AJ1216" t="s">
        <v>91</v>
      </c>
      <c r="AK1216" t="s">
        <v>92</v>
      </c>
      <c r="AL1216" t="s">
        <v>93</v>
      </c>
      <c r="AM1216">
        <v>0.34043629629629629</v>
      </c>
      <c r="AN1216">
        <v>0.22695753086419751</v>
      </c>
      <c r="AO1216">
        <v>0.35178417283950614</v>
      </c>
      <c r="AP1216">
        <v>0</v>
      </c>
      <c r="AQ1216">
        <v>8.6691086691086688E-2</v>
      </c>
      <c r="AR1216">
        <v>2.6666666666666505E-3</v>
      </c>
      <c r="AS1216">
        <v>0</v>
      </c>
      <c r="AT1216">
        <v>1.0866910866910866</v>
      </c>
      <c r="AU1216">
        <v>1.0026666666666666</v>
      </c>
      <c r="AV1216">
        <v>1</v>
      </c>
      <c r="AW1216">
        <v>0</v>
      </c>
      <c r="AX1216" t="s">
        <v>3057</v>
      </c>
      <c r="AY1216">
        <v>53.4</v>
      </c>
      <c r="AZ1216">
        <v>0</v>
      </c>
      <c r="BA1216" t="s">
        <v>94</v>
      </c>
      <c r="BB1216">
        <v>2.87</v>
      </c>
      <c r="BC1216" t="s">
        <v>95</v>
      </c>
      <c r="BD1216" t="s">
        <v>96</v>
      </c>
      <c r="BE1216" t="s">
        <v>97</v>
      </c>
      <c r="BF1216">
        <v>1</v>
      </c>
      <c r="BG1216">
        <v>0</v>
      </c>
      <c r="BH1216">
        <v>0</v>
      </c>
      <c r="BI1216" t="s">
        <v>98</v>
      </c>
    </row>
    <row r="1217" spans="1:61">
      <c r="A1217" s="164" t="s">
        <v>3058</v>
      </c>
      <c r="B1217" t="s">
        <v>3059</v>
      </c>
      <c r="C1217">
        <v>0</v>
      </c>
      <c r="D1217" t="s">
        <v>101</v>
      </c>
      <c r="E1217">
        <v>0</v>
      </c>
      <c r="F1217" t="s">
        <v>1723</v>
      </c>
      <c r="G1217" t="s">
        <v>103</v>
      </c>
      <c r="H1217" t="s">
        <v>104</v>
      </c>
      <c r="I1217" t="s">
        <v>80</v>
      </c>
      <c r="J1217" t="s">
        <v>81</v>
      </c>
      <c r="K1217" t="s">
        <v>82</v>
      </c>
      <c r="L1217" t="s">
        <v>83</v>
      </c>
      <c r="M1217" t="s">
        <v>84</v>
      </c>
      <c r="N1217">
        <v>0.109</v>
      </c>
      <c r="O1217" t="b">
        <v>0</v>
      </c>
      <c r="P1217">
        <v>45</v>
      </c>
      <c r="Q1217" t="s">
        <v>85</v>
      </c>
      <c r="S1217">
        <v>0</v>
      </c>
      <c r="T1217">
        <v>1</v>
      </c>
      <c r="V1217" t="s">
        <v>87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G1217" t="s">
        <v>129</v>
      </c>
      <c r="AH1217">
        <v>0</v>
      </c>
      <c r="AI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Y1217">
        <v>0</v>
      </c>
      <c r="AZ1217">
        <v>0</v>
      </c>
      <c r="BA1217" t="s">
        <v>94</v>
      </c>
      <c r="BB1217">
        <v>0</v>
      </c>
      <c r="BC1217" t="s">
        <v>95</v>
      </c>
      <c r="BD1217" t="s">
        <v>96</v>
      </c>
      <c r="BE1217" t="s">
        <v>97</v>
      </c>
      <c r="BF1217">
        <v>0</v>
      </c>
      <c r="BG1217">
        <v>0</v>
      </c>
      <c r="BH1217">
        <v>0</v>
      </c>
      <c r="BI1217" t="s">
        <v>98</v>
      </c>
    </row>
    <row r="1218" spans="1:61">
      <c r="A1218" s="164" t="s">
        <v>3060</v>
      </c>
      <c r="B1218" t="s">
        <v>3061</v>
      </c>
      <c r="C1218">
        <v>0</v>
      </c>
      <c r="D1218" t="s">
        <v>107</v>
      </c>
      <c r="E1218">
        <v>0</v>
      </c>
      <c r="F1218" t="s">
        <v>1730</v>
      </c>
      <c r="G1218" t="s">
        <v>78</v>
      </c>
      <c r="H1218" t="s">
        <v>79</v>
      </c>
      <c r="I1218" t="s">
        <v>80</v>
      </c>
      <c r="J1218" t="s">
        <v>81</v>
      </c>
      <c r="K1218" t="s">
        <v>82</v>
      </c>
      <c r="L1218" t="s">
        <v>83</v>
      </c>
      <c r="M1218" t="s">
        <v>84</v>
      </c>
      <c r="N1218">
        <v>0.95</v>
      </c>
      <c r="O1218" t="b">
        <v>1</v>
      </c>
      <c r="P1218">
        <v>45</v>
      </c>
      <c r="Q1218" t="s">
        <v>85</v>
      </c>
      <c r="R1218" t="s">
        <v>86</v>
      </c>
      <c r="S1218">
        <v>0.95</v>
      </c>
      <c r="T1218">
        <v>1</v>
      </c>
      <c r="U1218" s="36">
        <v>1.0303550000000001</v>
      </c>
      <c r="V1218" t="s">
        <v>87</v>
      </c>
      <c r="W1218">
        <v>24</v>
      </c>
      <c r="X1218">
        <v>0.45019999999999999</v>
      </c>
      <c r="Y1218">
        <v>18</v>
      </c>
      <c r="Z1218">
        <v>5.5555555555555552E-2</v>
      </c>
      <c r="AA1218">
        <v>30</v>
      </c>
      <c r="AB1218">
        <v>0</v>
      </c>
      <c r="AC1218">
        <v>500</v>
      </c>
      <c r="AD1218">
        <v>526.31578947368428</v>
      </c>
      <c r="AE1218" t="s">
        <v>155</v>
      </c>
      <c r="AF1218" t="s">
        <v>113</v>
      </c>
      <c r="AG1218" t="s">
        <v>114</v>
      </c>
      <c r="AH1218">
        <v>0</v>
      </c>
      <c r="AI1218">
        <v>0.9</v>
      </c>
      <c r="AJ1218" t="s">
        <v>91</v>
      </c>
      <c r="AK1218" t="s">
        <v>92</v>
      </c>
      <c r="AL1218" t="s">
        <v>93</v>
      </c>
      <c r="AM1218">
        <v>0.34043629629629629</v>
      </c>
      <c r="AN1218">
        <v>0.22695753086419751</v>
      </c>
      <c r="AO1218">
        <v>0.35178417283950614</v>
      </c>
      <c r="AP1218">
        <v>0</v>
      </c>
      <c r="AQ1218">
        <v>8.6691086691086688E-2</v>
      </c>
      <c r="AR1218">
        <v>2.6666666666666505E-3</v>
      </c>
      <c r="AS1218">
        <v>0</v>
      </c>
      <c r="AT1218">
        <v>1.0866910866910866</v>
      </c>
      <c r="AU1218">
        <v>1.0026666666666666</v>
      </c>
      <c r="AV1218">
        <v>1</v>
      </c>
      <c r="AW1218">
        <v>0</v>
      </c>
      <c r="AX1218" t="s">
        <v>3062</v>
      </c>
      <c r="AY1218">
        <v>53.4</v>
      </c>
      <c r="AZ1218">
        <v>5</v>
      </c>
      <c r="BA1218" t="s">
        <v>94</v>
      </c>
      <c r="BB1218">
        <v>2.87</v>
      </c>
      <c r="BC1218" t="s">
        <v>95</v>
      </c>
      <c r="BD1218" t="s">
        <v>96</v>
      </c>
      <c r="BE1218" t="s">
        <v>97</v>
      </c>
      <c r="BF1218">
        <v>1</v>
      </c>
      <c r="BG1218">
        <v>0</v>
      </c>
      <c r="BH1218">
        <v>0</v>
      </c>
      <c r="BI1218" t="s">
        <v>98</v>
      </c>
    </row>
    <row r="1219" spans="1:61">
      <c r="A1219" s="164" t="s">
        <v>3063</v>
      </c>
      <c r="B1219" t="s">
        <v>3064</v>
      </c>
      <c r="C1219">
        <v>0</v>
      </c>
      <c r="D1219" t="s">
        <v>107</v>
      </c>
      <c r="E1219">
        <v>0</v>
      </c>
      <c r="F1219" t="s">
        <v>499</v>
      </c>
      <c r="G1219" t="s">
        <v>103</v>
      </c>
      <c r="H1219" t="s">
        <v>104</v>
      </c>
      <c r="I1219" t="s">
        <v>80</v>
      </c>
      <c r="J1219" t="s">
        <v>81</v>
      </c>
      <c r="K1219" t="s">
        <v>82</v>
      </c>
      <c r="L1219" t="s">
        <v>83</v>
      </c>
      <c r="M1219" t="s">
        <v>84</v>
      </c>
      <c r="N1219">
        <v>0.18</v>
      </c>
      <c r="O1219" t="b">
        <v>0</v>
      </c>
      <c r="P1219">
        <v>45</v>
      </c>
      <c r="Q1219" t="s">
        <v>85</v>
      </c>
      <c r="S1219">
        <v>0</v>
      </c>
      <c r="T1219">
        <v>1</v>
      </c>
      <c r="U1219" s="36">
        <v>0.20461000000000001</v>
      </c>
      <c r="V1219" t="s">
        <v>87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G1219" t="s">
        <v>129</v>
      </c>
      <c r="AH1219">
        <v>0</v>
      </c>
      <c r="AI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Y1219">
        <v>0</v>
      </c>
      <c r="AZ1219">
        <v>6</v>
      </c>
      <c r="BA1219" t="s">
        <v>94</v>
      </c>
      <c r="BB1219">
        <v>0</v>
      </c>
      <c r="BC1219" t="s">
        <v>95</v>
      </c>
      <c r="BD1219" t="s">
        <v>96</v>
      </c>
      <c r="BE1219" t="s">
        <v>97</v>
      </c>
      <c r="BF1219">
        <v>0</v>
      </c>
      <c r="BG1219">
        <v>0</v>
      </c>
      <c r="BH1219">
        <v>0</v>
      </c>
      <c r="BI1219" t="s">
        <v>98</v>
      </c>
    </row>
    <row r="1220" spans="1:61">
      <c r="A1220" s="164" t="s">
        <v>3065</v>
      </c>
      <c r="B1220" t="s">
        <v>3066</v>
      </c>
      <c r="C1220">
        <v>0</v>
      </c>
      <c r="D1220" t="s">
        <v>181</v>
      </c>
      <c r="E1220">
        <v>0</v>
      </c>
      <c r="F1220" t="s">
        <v>181</v>
      </c>
      <c r="G1220" t="s">
        <v>103</v>
      </c>
      <c r="H1220" t="s">
        <v>104</v>
      </c>
      <c r="I1220" t="s">
        <v>80</v>
      </c>
      <c r="J1220" t="s">
        <v>564</v>
      </c>
      <c r="K1220" t="s">
        <v>565</v>
      </c>
      <c r="L1220" t="s">
        <v>83</v>
      </c>
      <c r="M1220" t="s">
        <v>84</v>
      </c>
      <c r="N1220">
        <v>0.18</v>
      </c>
      <c r="O1220" t="b">
        <v>1</v>
      </c>
      <c r="P1220">
        <v>90</v>
      </c>
      <c r="Q1220" t="s">
        <v>137</v>
      </c>
      <c r="R1220" t="s">
        <v>86</v>
      </c>
      <c r="S1220">
        <v>0.18</v>
      </c>
      <c r="T1220">
        <v>1</v>
      </c>
      <c r="U1220" s="36">
        <v>0.88049999999999995</v>
      </c>
      <c r="V1220" t="s">
        <v>468</v>
      </c>
      <c r="X1220">
        <v>0</v>
      </c>
      <c r="Y1220">
        <v>81</v>
      </c>
      <c r="Z1220">
        <v>1.2345679012345678E-2</v>
      </c>
      <c r="AA1220">
        <v>30</v>
      </c>
      <c r="AB1220">
        <v>0</v>
      </c>
      <c r="AC1220">
        <v>0</v>
      </c>
      <c r="AE1220" t="s">
        <v>129</v>
      </c>
      <c r="AF1220" t="s">
        <v>181</v>
      </c>
      <c r="AG1220" t="s">
        <v>129</v>
      </c>
      <c r="AH1220">
        <v>0</v>
      </c>
      <c r="AI1220">
        <v>11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 t="s">
        <v>3067</v>
      </c>
      <c r="AY1220">
        <v>1.5</v>
      </c>
      <c r="AZ1220">
        <v>3</v>
      </c>
      <c r="BA1220" t="s">
        <v>138</v>
      </c>
      <c r="BB1220">
        <v>2.14</v>
      </c>
      <c r="BC1220" t="s">
        <v>95</v>
      </c>
      <c r="BD1220" t="s">
        <v>1187</v>
      </c>
      <c r="BE1220" t="s">
        <v>97</v>
      </c>
      <c r="BF1220">
        <v>0</v>
      </c>
      <c r="BG1220">
        <v>0</v>
      </c>
      <c r="BH1220">
        <v>0</v>
      </c>
      <c r="BI1220" t="s">
        <v>98</v>
      </c>
    </row>
    <row r="1221" spans="1:61">
      <c r="A1221" s="164" t="s">
        <v>3068</v>
      </c>
      <c r="B1221" t="s">
        <v>3069</v>
      </c>
      <c r="C1221">
        <v>0</v>
      </c>
      <c r="D1221" t="s">
        <v>2298</v>
      </c>
      <c r="E1221">
        <v>0</v>
      </c>
      <c r="F1221" t="s">
        <v>2298</v>
      </c>
      <c r="G1221" t="s">
        <v>103</v>
      </c>
      <c r="H1221" t="s">
        <v>104</v>
      </c>
      <c r="I1221" t="s">
        <v>126</v>
      </c>
      <c r="J1221" t="s">
        <v>127</v>
      </c>
      <c r="K1221" t="s">
        <v>82</v>
      </c>
      <c r="L1221" t="s">
        <v>83</v>
      </c>
      <c r="M1221" t="s">
        <v>84</v>
      </c>
      <c r="N1221">
        <v>0.15</v>
      </c>
      <c r="O1221" t="b">
        <v>0</v>
      </c>
      <c r="P1221">
        <v>45</v>
      </c>
      <c r="Q1221" t="s">
        <v>85</v>
      </c>
      <c r="S1221">
        <v>0</v>
      </c>
      <c r="T1221">
        <v>1</v>
      </c>
      <c r="V1221" t="s">
        <v>87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G1221" t="s">
        <v>129</v>
      </c>
      <c r="AH1221">
        <v>0</v>
      </c>
      <c r="AI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Y1221">
        <v>13.200000000000001</v>
      </c>
      <c r="AZ1221">
        <v>5</v>
      </c>
      <c r="BA1221" t="s">
        <v>94</v>
      </c>
      <c r="BB1221">
        <v>0</v>
      </c>
      <c r="BC1221" t="s">
        <v>1128</v>
      </c>
      <c r="BD1221" t="s">
        <v>1129</v>
      </c>
      <c r="BE1221" t="s">
        <v>97</v>
      </c>
      <c r="BF1221">
        <v>0</v>
      </c>
      <c r="BG1221">
        <v>0</v>
      </c>
      <c r="BH1221">
        <v>0</v>
      </c>
      <c r="BI1221" t="s">
        <v>98</v>
      </c>
    </row>
    <row r="1222" spans="1:61">
      <c r="A1222" s="164" t="s">
        <v>3070</v>
      </c>
      <c r="B1222" t="s">
        <v>3071</v>
      </c>
      <c r="C1222">
        <v>0</v>
      </c>
      <c r="D1222" t="s">
        <v>101</v>
      </c>
      <c r="E1222">
        <v>0</v>
      </c>
      <c r="F1222" t="s">
        <v>102</v>
      </c>
      <c r="G1222" t="s">
        <v>78</v>
      </c>
      <c r="H1222" t="s">
        <v>79</v>
      </c>
      <c r="I1222" t="s">
        <v>80</v>
      </c>
      <c r="J1222" t="s">
        <v>81</v>
      </c>
      <c r="K1222" t="s">
        <v>82</v>
      </c>
      <c r="L1222" t="s">
        <v>83</v>
      </c>
      <c r="M1222" t="s">
        <v>84</v>
      </c>
      <c r="N1222">
        <v>0.16500000000000001</v>
      </c>
      <c r="O1222" t="b">
        <v>1</v>
      </c>
      <c r="P1222">
        <v>45</v>
      </c>
      <c r="Q1222" t="s">
        <v>85</v>
      </c>
      <c r="R1222" t="s">
        <v>86</v>
      </c>
      <c r="S1222">
        <v>0.14499999999999999</v>
      </c>
      <c r="T1222">
        <v>0.87878787878787867</v>
      </c>
      <c r="U1222" s="36">
        <v>0.35961500000000002</v>
      </c>
      <c r="V1222" t="s">
        <v>87</v>
      </c>
      <c r="W1222">
        <v>150</v>
      </c>
      <c r="X1222">
        <v>0.45</v>
      </c>
      <c r="Y1222">
        <v>60</v>
      </c>
      <c r="Z1222">
        <v>1.6666666666666666E-2</v>
      </c>
      <c r="AA1222">
        <v>30</v>
      </c>
      <c r="AB1222">
        <v>0</v>
      </c>
      <c r="AC1222">
        <v>500</v>
      </c>
      <c r="AD1222">
        <v>3448.2758620689656</v>
      </c>
      <c r="AE1222" t="s">
        <v>88</v>
      </c>
      <c r="AF1222" t="s">
        <v>513</v>
      </c>
      <c r="AG1222" t="s">
        <v>514</v>
      </c>
      <c r="AH1222">
        <v>0</v>
      </c>
      <c r="AI1222">
        <v>0.8</v>
      </c>
      <c r="AJ1222" t="s">
        <v>91</v>
      </c>
      <c r="AK1222" t="s">
        <v>92</v>
      </c>
      <c r="AL1222" t="s">
        <v>93</v>
      </c>
      <c r="AM1222">
        <v>0.33631111111111106</v>
      </c>
      <c r="AN1222">
        <v>0.22420740740740738</v>
      </c>
      <c r="AO1222">
        <v>0.34752148148148143</v>
      </c>
      <c r="AP1222">
        <v>0</v>
      </c>
      <c r="AQ1222">
        <v>8.6691086691086688E-2</v>
      </c>
      <c r="AR1222">
        <v>2.6666666666666505E-3</v>
      </c>
      <c r="AS1222">
        <v>0</v>
      </c>
      <c r="AT1222">
        <v>1.0866910866910866</v>
      </c>
      <c r="AU1222">
        <v>1.0026666666666666</v>
      </c>
      <c r="AV1222">
        <v>1</v>
      </c>
      <c r="AW1222">
        <v>0</v>
      </c>
      <c r="AX1222" t="s">
        <v>3072</v>
      </c>
      <c r="AY1222">
        <v>15.98</v>
      </c>
      <c r="AZ1222">
        <v>8</v>
      </c>
      <c r="BA1222" t="s">
        <v>94</v>
      </c>
      <c r="BB1222">
        <v>0.77</v>
      </c>
      <c r="BC1222" t="s">
        <v>95</v>
      </c>
      <c r="BD1222" t="s">
        <v>96</v>
      </c>
      <c r="BE1222" t="s">
        <v>97</v>
      </c>
      <c r="BF1222">
        <v>1</v>
      </c>
      <c r="BG1222">
        <v>0</v>
      </c>
      <c r="BH1222">
        <v>0</v>
      </c>
      <c r="BI1222" t="s">
        <v>98</v>
      </c>
    </row>
    <row r="1223" spans="1:61">
      <c r="A1223" s="164" t="s">
        <v>3073</v>
      </c>
      <c r="B1223" t="s">
        <v>3074</v>
      </c>
      <c r="C1223">
        <v>0</v>
      </c>
      <c r="D1223" t="s">
        <v>194</v>
      </c>
      <c r="E1223">
        <v>0</v>
      </c>
      <c r="F1223" t="s">
        <v>195</v>
      </c>
      <c r="G1223" t="s">
        <v>78</v>
      </c>
      <c r="H1223" t="s">
        <v>79</v>
      </c>
      <c r="I1223" t="s">
        <v>80</v>
      </c>
      <c r="J1223" t="s">
        <v>196</v>
      </c>
      <c r="K1223" t="s">
        <v>13</v>
      </c>
      <c r="L1223" t="s">
        <v>83</v>
      </c>
      <c r="M1223" t="s">
        <v>84</v>
      </c>
      <c r="N1223">
        <v>1</v>
      </c>
      <c r="O1223" t="b">
        <v>1</v>
      </c>
      <c r="P1223">
        <v>0</v>
      </c>
      <c r="BB1223">
        <v>0</v>
      </c>
      <c r="BC1223" t="s">
        <v>197</v>
      </c>
      <c r="BD1223" t="s">
        <v>198</v>
      </c>
      <c r="BE1223" t="s">
        <v>117</v>
      </c>
      <c r="BF1223">
        <v>0</v>
      </c>
      <c r="BG1223">
        <v>0</v>
      </c>
      <c r="BH1223">
        <v>0</v>
      </c>
    </row>
    <row r="1224" spans="1:61">
      <c r="A1224" s="164" t="s">
        <v>3075</v>
      </c>
      <c r="B1224" t="s">
        <v>3076</v>
      </c>
      <c r="C1224">
        <v>0</v>
      </c>
      <c r="D1224" t="s">
        <v>194</v>
      </c>
      <c r="E1224">
        <v>0</v>
      </c>
      <c r="F1224" t="s">
        <v>195</v>
      </c>
      <c r="G1224" t="s">
        <v>78</v>
      </c>
      <c r="H1224" t="s">
        <v>79</v>
      </c>
      <c r="I1224" t="s">
        <v>80</v>
      </c>
      <c r="J1224" t="s">
        <v>196</v>
      </c>
      <c r="K1224" t="s">
        <v>13</v>
      </c>
      <c r="L1224" t="s">
        <v>83</v>
      </c>
      <c r="M1224" t="s">
        <v>84</v>
      </c>
      <c r="N1224">
        <v>1</v>
      </c>
      <c r="O1224" t="b">
        <v>1</v>
      </c>
      <c r="P1224">
        <v>0</v>
      </c>
      <c r="BB1224">
        <v>0</v>
      </c>
      <c r="BC1224" t="s">
        <v>197</v>
      </c>
      <c r="BD1224" t="s">
        <v>198</v>
      </c>
      <c r="BE1224" t="s">
        <v>117</v>
      </c>
      <c r="BF1224">
        <v>0</v>
      </c>
      <c r="BG1224">
        <v>0</v>
      </c>
      <c r="BH1224">
        <v>0</v>
      </c>
    </row>
    <row r="1225" spans="1:61">
      <c r="A1225" s="164" t="s">
        <v>3077</v>
      </c>
      <c r="B1225" t="s">
        <v>3078</v>
      </c>
      <c r="C1225">
        <v>0</v>
      </c>
      <c r="D1225" t="s">
        <v>194</v>
      </c>
      <c r="E1225">
        <v>0</v>
      </c>
      <c r="F1225" t="s">
        <v>214</v>
      </c>
      <c r="G1225" t="s">
        <v>78</v>
      </c>
      <c r="H1225" t="s">
        <v>79</v>
      </c>
      <c r="I1225" t="s">
        <v>80</v>
      </c>
      <c r="J1225" t="s">
        <v>196</v>
      </c>
      <c r="K1225" t="s">
        <v>13</v>
      </c>
      <c r="L1225" t="s">
        <v>83</v>
      </c>
      <c r="M1225" t="s">
        <v>84</v>
      </c>
      <c r="N1225">
        <v>1</v>
      </c>
      <c r="O1225" t="b">
        <v>1</v>
      </c>
      <c r="P1225">
        <v>0</v>
      </c>
      <c r="BB1225">
        <v>0</v>
      </c>
      <c r="BC1225" t="s">
        <v>197</v>
      </c>
      <c r="BD1225" t="s">
        <v>216</v>
      </c>
      <c r="BE1225" t="s">
        <v>117</v>
      </c>
      <c r="BF1225">
        <v>0</v>
      </c>
      <c r="BG1225">
        <v>0</v>
      </c>
      <c r="BH1225">
        <v>0</v>
      </c>
    </row>
    <row r="1226" spans="1:61">
      <c r="A1226" s="164" t="s">
        <v>3079</v>
      </c>
      <c r="B1226" t="s">
        <v>3080</v>
      </c>
      <c r="C1226">
        <v>0</v>
      </c>
      <c r="D1226" t="s">
        <v>194</v>
      </c>
      <c r="E1226">
        <v>0</v>
      </c>
      <c r="F1226" t="s">
        <v>195</v>
      </c>
      <c r="G1226" t="s">
        <v>78</v>
      </c>
      <c r="H1226" t="s">
        <v>79</v>
      </c>
      <c r="I1226" t="s">
        <v>80</v>
      </c>
      <c r="J1226" t="s">
        <v>196</v>
      </c>
      <c r="K1226" t="s">
        <v>13</v>
      </c>
      <c r="L1226" t="s">
        <v>83</v>
      </c>
      <c r="M1226" t="s">
        <v>215</v>
      </c>
      <c r="N1226">
        <v>1</v>
      </c>
      <c r="O1226" t="b">
        <v>1</v>
      </c>
      <c r="P1226">
        <v>0</v>
      </c>
      <c r="BB1226">
        <v>0</v>
      </c>
      <c r="BC1226" t="s">
        <v>197</v>
      </c>
      <c r="BD1226" t="s">
        <v>198</v>
      </c>
      <c r="BE1226" t="s">
        <v>117</v>
      </c>
      <c r="BF1226">
        <v>0</v>
      </c>
      <c r="BG1226">
        <v>0</v>
      </c>
      <c r="BH1226">
        <v>0</v>
      </c>
    </row>
    <row r="1227" spans="1:61">
      <c r="A1227" s="164" t="s">
        <v>3081</v>
      </c>
      <c r="B1227" t="s">
        <v>3082</v>
      </c>
      <c r="C1227">
        <v>0</v>
      </c>
      <c r="D1227" t="s">
        <v>194</v>
      </c>
      <c r="E1227">
        <v>0</v>
      </c>
      <c r="F1227" t="s">
        <v>195</v>
      </c>
      <c r="G1227" t="s">
        <v>78</v>
      </c>
      <c r="H1227" t="s">
        <v>79</v>
      </c>
      <c r="I1227" t="s">
        <v>80</v>
      </c>
      <c r="J1227" t="s">
        <v>196</v>
      </c>
      <c r="K1227" t="s">
        <v>13</v>
      </c>
      <c r="L1227" t="s">
        <v>83</v>
      </c>
      <c r="M1227" t="s">
        <v>205</v>
      </c>
      <c r="N1227">
        <v>1</v>
      </c>
      <c r="O1227" t="b">
        <v>1</v>
      </c>
      <c r="P1227">
        <v>0</v>
      </c>
      <c r="BB1227">
        <v>0</v>
      </c>
      <c r="BC1227" t="s">
        <v>197</v>
      </c>
      <c r="BD1227" t="s">
        <v>198</v>
      </c>
      <c r="BE1227" t="s">
        <v>117</v>
      </c>
      <c r="BF1227">
        <v>0</v>
      </c>
      <c r="BG1227">
        <v>0</v>
      </c>
      <c r="BH1227">
        <v>0</v>
      </c>
    </row>
    <row r="1228" spans="1:61">
      <c r="A1228" s="164" t="s">
        <v>3083</v>
      </c>
      <c r="B1228" t="s">
        <v>3084</v>
      </c>
      <c r="C1228">
        <v>0</v>
      </c>
      <c r="D1228" t="s">
        <v>194</v>
      </c>
      <c r="E1228">
        <v>0</v>
      </c>
      <c r="F1228" t="s">
        <v>195</v>
      </c>
      <c r="G1228" t="s">
        <v>78</v>
      </c>
      <c r="H1228" t="s">
        <v>79</v>
      </c>
      <c r="I1228" t="s">
        <v>80</v>
      </c>
      <c r="J1228" t="s">
        <v>196</v>
      </c>
      <c r="K1228" t="s">
        <v>13</v>
      </c>
      <c r="L1228" t="s">
        <v>83</v>
      </c>
      <c r="M1228" t="s">
        <v>205</v>
      </c>
      <c r="N1228">
        <v>1</v>
      </c>
      <c r="O1228" t="b">
        <v>1</v>
      </c>
      <c r="P1228">
        <v>0</v>
      </c>
      <c r="BB1228">
        <v>0</v>
      </c>
      <c r="BC1228" t="s">
        <v>197</v>
      </c>
      <c r="BD1228" t="s">
        <v>198</v>
      </c>
      <c r="BE1228" t="s">
        <v>117</v>
      </c>
      <c r="BF1228">
        <v>0</v>
      </c>
      <c r="BG1228">
        <v>0</v>
      </c>
      <c r="BH1228">
        <v>0</v>
      </c>
    </row>
    <row r="1229" spans="1:61">
      <c r="A1229" s="164" t="s">
        <v>3085</v>
      </c>
      <c r="B1229" t="s">
        <v>3086</v>
      </c>
      <c r="C1229">
        <v>0</v>
      </c>
      <c r="D1229" t="s">
        <v>194</v>
      </c>
      <c r="E1229">
        <v>0</v>
      </c>
      <c r="F1229" t="s">
        <v>195</v>
      </c>
      <c r="G1229" t="s">
        <v>78</v>
      </c>
      <c r="H1229" t="s">
        <v>79</v>
      </c>
      <c r="I1229" t="s">
        <v>80</v>
      </c>
      <c r="J1229" t="s">
        <v>196</v>
      </c>
      <c r="K1229" t="s">
        <v>13</v>
      </c>
      <c r="L1229" t="s">
        <v>83</v>
      </c>
      <c r="M1229" t="s">
        <v>84</v>
      </c>
      <c r="N1229">
        <v>1</v>
      </c>
      <c r="O1229" t="b">
        <v>1</v>
      </c>
      <c r="P1229">
        <v>0</v>
      </c>
      <c r="BB1229">
        <v>0</v>
      </c>
      <c r="BC1229" t="s">
        <v>197</v>
      </c>
      <c r="BD1229" t="s">
        <v>198</v>
      </c>
      <c r="BE1229" t="s">
        <v>117</v>
      </c>
      <c r="BF1229">
        <v>0</v>
      </c>
      <c r="BG1229">
        <v>0</v>
      </c>
      <c r="BH1229">
        <v>0</v>
      </c>
    </row>
    <row r="1230" spans="1:61">
      <c r="A1230" s="164" t="s">
        <v>3087</v>
      </c>
      <c r="B1230" t="s">
        <v>3088</v>
      </c>
      <c r="C1230">
        <v>0</v>
      </c>
      <c r="D1230" t="s">
        <v>194</v>
      </c>
      <c r="E1230">
        <v>0</v>
      </c>
      <c r="F1230" t="s">
        <v>195</v>
      </c>
      <c r="G1230" t="s">
        <v>78</v>
      </c>
      <c r="H1230" t="s">
        <v>79</v>
      </c>
      <c r="I1230" t="s">
        <v>80</v>
      </c>
      <c r="J1230" t="s">
        <v>196</v>
      </c>
      <c r="K1230" t="s">
        <v>13</v>
      </c>
      <c r="L1230" t="s">
        <v>83</v>
      </c>
      <c r="M1230" t="s">
        <v>84</v>
      </c>
      <c r="N1230">
        <v>1</v>
      </c>
      <c r="O1230" t="b">
        <v>1</v>
      </c>
      <c r="P1230">
        <v>0</v>
      </c>
      <c r="BB1230">
        <v>0</v>
      </c>
      <c r="BC1230" t="s">
        <v>197</v>
      </c>
      <c r="BD1230" t="s">
        <v>198</v>
      </c>
      <c r="BE1230" t="s">
        <v>117</v>
      </c>
      <c r="BF1230">
        <v>0</v>
      </c>
      <c r="BG1230">
        <v>0</v>
      </c>
      <c r="BH1230">
        <v>0</v>
      </c>
    </row>
    <row r="1231" spans="1:61">
      <c r="A1231" s="164" t="s">
        <v>3089</v>
      </c>
      <c r="B1231" t="s">
        <v>3090</v>
      </c>
      <c r="C1231">
        <v>0</v>
      </c>
      <c r="D1231" t="s">
        <v>304</v>
      </c>
      <c r="E1231">
        <v>0</v>
      </c>
      <c r="F1231" t="s">
        <v>269</v>
      </c>
      <c r="G1231" t="s">
        <v>103</v>
      </c>
      <c r="H1231" t="s">
        <v>104</v>
      </c>
      <c r="I1231" t="s">
        <v>80</v>
      </c>
      <c r="J1231" t="s">
        <v>196</v>
      </c>
      <c r="K1231" t="s">
        <v>13</v>
      </c>
      <c r="L1231" t="s">
        <v>83</v>
      </c>
      <c r="M1231" t="s">
        <v>84</v>
      </c>
      <c r="N1231">
        <v>1</v>
      </c>
      <c r="O1231" t="b">
        <v>0</v>
      </c>
      <c r="P1231">
        <v>0</v>
      </c>
      <c r="BB1231">
        <v>0</v>
      </c>
      <c r="BC1231" t="s">
        <v>306</v>
      </c>
      <c r="BD1231" t="s">
        <v>270</v>
      </c>
      <c r="BE1231" t="s">
        <v>117</v>
      </c>
      <c r="BF1231">
        <v>0</v>
      </c>
      <c r="BG1231">
        <v>0</v>
      </c>
      <c r="BH1231">
        <v>0</v>
      </c>
    </row>
    <row r="1232" spans="1:61">
      <c r="A1232" s="164" t="s">
        <v>3091</v>
      </c>
      <c r="B1232" t="s">
        <v>3092</v>
      </c>
      <c r="C1232">
        <v>0</v>
      </c>
      <c r="D1232" t="s">
        <v>304</v>
      </c>
      <c r="E1232">
        <v>0</v>
      </c>
      <c r="F1232" t="s">
        <v>269</v>
      </c>
      <c r="G1232" t="s">
        <v>103</v>
      </c>
      <c r="H1232" t="s">
        <v>104</v>
      </c>
      <c r="I1232" t="s">
        <v>80</v>
      </c>
      <c r="J1232" t="s">
        <v>196</v>
      </c>
      <c r="K1232" t="s">
        <v>13</v>
      </c>
      <c r="L1232" t="s">
        <v>83</v>
      </c>
      <c r="M1232" t="s">
        <v>84</v>
      </c>
      <c r="N1232">
        <v>1</v>
      </c>
      <c r="O1232" t="b">
        <v>0</v>
      </c>
      <c r="P1232">
        <v>0</v>
      </c>
      <c r="BB1232">
        <v>0</v>
      </c>
      <c r="BC1232" t="s">
        <v>306</v>
      </c>
      <c r="BD1232" t="s">
        <v>270</v>
      </c>
      <c r="BE1232" t="s">
        <v>117</v>
      </c>
      <c r="BF1232">
        <v>0</v>
      </c>
      <c r="BG1232">
        <v>0</v>
      </c>
      <c r="BH1232">
        <v>0</v>
      </c>
    </row>
    <row r="1233" spans="1:61">
      <c r="A1233" s="164" t="s">
        <v>3093</v>
      </c>
      <c r="B1233" t="s">
        <v>3094</v>
      </c>
      <c r="C1233">
        <v>0</v>
      </c>
      <c r="D1233" t="s">
        <v>304</v>
      </c>
      <c r="E1233">
        <v>0</v>
      </c>
      <c r="F1233" t="s">
        <v>269</v>
      </c>
      <c r="G1233" t="s">
        <v>103</v>
      </c>
      <c r="H1233" t="s">
        <v>104</v>
      </c>
      <c r="I1233" t="s">
        <v>80</v>
      </c>
      <c r="J1233" t="s">
        <v>196</v>
      </c>
      <c r="K1233" t="s">
        <v>13</v>
      </c>
      <c r="L1233" t="s">
        <v>83</v>
      </c>
      <c r="M1233" t="s">
        <v>205</v>
      </c>
      <c r="N1233">
        <v>1</v>
      </c>
      <c r="O1233" t="b">
        <v>0</v>
      </c>
      <c r="P1233">
        <v>0</v>
      </c>
      <c r="BB1233">
        <v>0</v>
      </c>
      <c r="BC1233" t="s">
        <v>306</v>
      </c>
      <c r="BD1233" t="s">
        <v>270</v>
      </c>
      <c r="BE1233" t="s">
        <v>117</v>
      </c>
      <c r="BF1233">
        <v>0</v>
      </c>
      <c r="BG1233">
        <v>0</v>
      </c>
      <c r="BH1233">
        <v>0</v>
      </c>
    </row>
    <row r="1234" spans="1:61">
      <c r="A1234" s="164" t="s">
        <v>3095</v>
      </c>
      <c r="B1234" t="s">
        <v>3096</v>
      </c>
      <c r="C1234">
        <v>0</v>
      </c>
      <c r="D1234" t="s">
        <v>304</v>
      </c>
      <c r="E1234">
        <v>0</v>
      </c>
      <c r="F1234" t="s">
        <v>269</v>
      </c>
      <c r="G1234" t="s">
        <v>103</v>
      </c>
      <c r="H1234" t="s">
        <v>104</v>
      </c>
      <c r="I1234" t="s">
        <v>80</v>
      </c>
      <c r="J1234" t="s">
        <v>196</v>
      </c>
      <c r="K1234" t="s">
        <v>13</v>
      </c>
      <c r="L1234" t="s">
        <v>83</v>
      </c>
      <c r="M1234" t="s">
        <v>606</v>
      </c>
      <c r="N1234">
        <v>1</v>
      </c>
      <c r="O1234" t="b">
        <v>0</v>
      </c>
      <c r="P1234">
        <v>0</v>
      </c>
      <c r="BB1234">
        <v>0</v>
      </c>
      <c r="BC1234" t="s">
        <v>306</v>
      </c>
      <c r="BD1234" t="s">
        <v>270</v>
      </c>
      <c r="BE1234" t="s">
        <v>117</v>
      </c>
      <c r="BF1234">
        <v>0</v>
      </c>
      <c r="BG1234">
        <v>0</v>
      </c>
      <c r="BH1234">
        <v>0</v>
      </c>
    </row>
    <row r="1235" spans="1:61">
      <c r="A1235" s="164" t="s">
        <v>3097</v>
      </c>
      <c r="B1235" t="s">
        <v>3098</v>
      </c>
      <c r="C1235">
        <v>0</v>
      </c>
      <c r="D1235" t="s">
        <v>304</v>
      </c>
      <c r="E1235">
        <v>0</v>
      </c>
      <c r="F1235" t="s">
        <v>269</v>
      </c>
      <c r="G1235" t="s">
        <v>103</v>
      </c>
      <c r="H1235" t="s">
        <v>104</v>
      </c>
      <c r="I1235" t="s">
        <v>80</v>
      </c>
      <c r="J1235" t="s">
        <v>196</v>
      </c>
      <c r="K1235" t="s">
        <v>13</v>
      </c>
      <c r="L1235" t="s">
        <v>83</v>
      </c>
      <c r="M1235" t="s">
        <v>606</v>
      </c>
      <c r="N1235">
        <v>1</v>
      </c>
      <c r="O1235" t="b">
        <v>0</v>
      </c>
      <c r="P1235">
        <v>0</v>
      </c>
      <c r="BB1235">
        <v>0</v>
      </c>
      <c r="BC1235" t="s">
        <v>306</v>
      </c>
      <c r="BD1235" t="s">
        <v>270</v>
      </c>
      <c r="BE1235" t="s">
        <v>117</v>
      </c>
      <c r="BF1235">
        <v>0</v>
      </c>
      <c r="BG1235">
        <v>0</v>
      </c>
      <c r="BH1235">
        <v>0</v>
      </c>
    </row>
    <row r="1236" spans="1:61">
      <c r="A1236" s="164" t="s">
        <v>3099</v>
      </c>
      <c r="B1236" t="s">
        <v>3100</v>
      </c>
      <c r="C1236">
        <v>0</v>
      </c>
      <c r="D1236" t="s">
        <v>304</v>
      </c>
      <c r="E1236">
        <v>0</v>
      </c>
      <c r="F1236" t="s">
        <v>269</v>
      </c>
      <c r="G1236" t="s">
        <v>103</v>
      </c>
      <c r="H1236" t="s">
        <v>104</v>
      </c>
      <c r="I1236" t="s">
        <v>80</v>
      </c>
      <c r="J1236" t="s">
        <v>196</v>
      </c>
      <c r="K1236" t="s">
        <v>13</v>
      </c>
      <c r="L1236" t="s">
        <v>83</v>
      </c>
      <c r="M1236" t="s">
        <v>205</v>
      </c>
      <c r="N1236">
        <v>1</v>
      </c>
      <c r="O1236" t="b">
        <v>0</v>
      </c>
      <c r="P1236">
        <v>0</v>
      </c>
      <c r="BB1236">
        <v>0</v>
      </c>
      <c r="BC1236" t="s">
        <v>306</v>
      </c>
      <c r="BD1236" t="s">
        <v>270</v>
      </c>
      <c r="BE1236" t="s">
        <v>117</v>
      </c>
      <c r="BF1236">
        <v>0</v>
      </c>
      <c r="BG1236">
        <v>0</v>
      </c>
      <c r="BH1236">
        <v>0</v>
      </c>
    </row>
    <row r="1237" spans="1:61">
      <c r="A1237" s="164" t="s">
        <v>3101</v>
      </c>
      <c r="B1237" t="s">
        <v>3102</v>
      </c>
      <c r="C1237">
        <v>0</v>
      </c>
      <c r="D1237" t="s">
        <v>304</v>
      </c>
      <c r="E1237">
        <v>0</v>
      </c>
      <c r="F1237" t="s">
        <v>342</v>
      </c>
      <c r="G1237" t="s">
        <v>78</v>
      </c>
      <c r="H1237" t="s">
        <v>79</v>
      </c>
      <c r="I1237" t="s">
        <v>80</v>
      </c>
      <c r="J1237" t="s">
        <v>196</v>
      </c>
      <c r="K1237" t="s">
        <v>13</v>
      </c>
      <c r="L1237" t="s">
        <v>83</v>
      </c>
      <c r="M1237" t="s">
        <v>84</v>
      </c>
      <c r="N1237">
        <v>1</v>
      </c>
      <c r="O1237" t="b">
        <v>1</v>
      </c>
      <c r="P1237">
        <v>0</v>
      </c>
      <c r="BB1237">
        <v>0</v>
      </c>
      <c r="BC1237" t="s">
        <v>306</v>
      </c>
      <c r="BD1237" t="s">
        <v>343</v>
      </c>
      <c r="BE1237" t="s">
        <v>117</v>
      </c>
      <c r="BF1237">
        <v>0</v>
      </c>
      <c r="BG1237">
        <v>25</v>
      </c>
      <c r="BH1237">
        <v>10000</v>
      </c>
      <c r="BI1237" t="s">
        <v>344</v>
      </c>
    </row>
    <row r="1238" spans="1:61">
      <c r="A1238" s="164" t="s">
        <v>3103</v>
      </c>
      <c r="B1238" t="s">
        <v>3104</v>
      </c>
      <c r="C1238">
        <v>0</v>
      </c>
      <c r="D1238" t="s">
        <v>304</v>
      </c>
      <c r="E1238">
        <v>0</v>
      </c>
      <c r="F1238" t="s">
        <v>342</v>
      </c>
      <c r="G1238" t="s">
        <v>78</v>
      </c>
      <c r="H1238" t="s">
        <v>79</v>
      </c>
      <c r="I1238" t="s">
        <v>80</v>
      </c>
      <c r="J1238" t="s">
        <v>196</v>
      </c>
      <c r="K1238" t="s">
        <v>13</v>
      </c>
      <c r="L1238" t="s">
        <v>83</v>
      </c>
      <c r="M1238" t="s">
        <v>84</v>
      </c>
      <c r="N1238">
        <v>1</v>
      </c>
      <c r="O1238" t="b">
        <v>1</v>
      </c>
      <c r="P1238">
        <v>0</v>
      </c>
      <c r="BB1238">
        <v>0</v>
      </c>
      <c r="BC1238" t="s">
        <v>306</v>
      </c>
      <c r="BD1238" t="s">
        <v>343</v>
      </c>
      <c r="BE1238" t="s">
        <v>117</v>
      </c>
      <c r="BF1238">
        <v>0</v>
      </c>
      <c r="BG1238">
        <v>25</v>
      </c>
      <c r="BH1238">
        <v>10000</v>
      </c>
      <c r="BI1238" t="s">
        <v>344</v>
      </c>
    </row>
    <row r="1239" spans="1:61">
      <c r="A1239" s="164" t="s">
        <v>3105</v>
      </c>
      <c r="B1239" t="s">
        <v>3106</v>
      </c>
      <c r="C1239">
        <v>0</v>
      </c>
      <c r="D1239" t="s">
        <v>257</v>
      </c>
      <c r="E1239">
        <v>0</v>
      </c>
      <c r="F1239" t="s">
        <v>269</v>
      </c>
      <c r="G1239" t="s">
        <v>103</v>
      </c>
      <c r="H1239" t="s">
        <v>104</v>
      </c>
      <c r="I1239" t="s">
        <v>80</v>
      </c>
      <c r="J1239" t="s">
        <v>196</v>
      </c>
      <c r="K1239" t="s">
        <v>13</v>
      </c>
      <c r="L1239" t="s">
        <v>83</v>
      </c>
      <c r="M1239" t="s">
        <v>205</v>
      </c>
      <c r="N1239">
        <v>1</v>
      </c>
      <c r="O1239" t="b">
        <v>0</v>
      </c>
      <c r="P1239">
        <v>0</v>
      </c>
      <c r="BB1239">
        <v>0</v>
      </c>
      <c r="BC1239" t="s">
        <v>259</v>
      </c>
      <c r="BD1239" t="s">
        <v>270</v>
      </c>
      <c r="BE1239" t="s">
        <v>117</v>
      </c>
      <c r="BF1239">
        <v>0</v>
      </c>
      <c r="BG1239">
        <v>0</v>
      </c>
      <c r="BH1239">
        <v>0</v>
      </c>
    </row>
    <row r="1240" spans="1:61">
      <c r="A1240" s="164" t="s">
        <v>3107</v>
      </c>
      <c r="B1240" t="s">
        <v>3108</v>
      </c>
      <c r="C1240">
        <v>0</v>
      </c>
      <c r="D1240" t="s">
        <v>257</v>
      </c>
      <c r="E1240">
        <v>0</v>
      </c>
      <c r="F1240" t="s">
        <v>269</v>
      </c>
      <c r="G1240" t="s">
        <v>103</v>
      </c>
      <c r="H1240" t="s">
        <v>104</v>
      </c>
      <c r="I1240" t="s">
        <v>80</v>
      </c>
      <c r="J1240" t="s">
        <v>196</v>
      </c>
      <c r="K1240" t="s">
        <v>13</v>
      </c>
      <c r="L1240" t="s">
        <v>83</v>
      </c>
      <c r="M1240" t="s">
        <v>84</v>
      </c>
      <c r="N1240">
        <v>1</v>
      </c>
      <c r="O1240" t="b">
        <v>0</v>
      </c>
      <c r="P1240">
        <v>0</v>
      </c>
      <c r="BB1240">
        <v>0</v>
      </c>
      <c r="BC1240" t="s">
        <v>259</v>
      </c>
      <c r="BD1240" t="s">
        <v>270</v>
      </c>
      <c r="BE1240" t="s">
        <v>117</v>
      </c>
      <c r="BF1240">
        <v>0</v>
      </c>
      <c r="BG1240">
        <v>0</v>
      </c>
      <c r="BH1240">
        <v>0</v>
      </c>
    </row>
    <row r="1241" spans="1:61">
      <c r="A1241" s="164" t="s">
        <v>3109</v>
      </c>
      <c r="B1241" t="s">
        <v>3110</v>
      </c>
      <c r="C1241">
        <v>0</v>
      </c>
      <c r="D1241" t="s">
        <v>257</v>
      </c>
      <c r="E1241">
        <v>0</v>
      </c>
      <c r="F1241" t="s">
        <v>269</v>
      </c>
      <c r="G1241" t="s">
        <v>103</v>
      </c>
      <c r="H1241" t="s">
        <v>104</v>
      </c>
      <c r="I1241" t="s">
        <v>80</v>
      </c>
      <c r="J1241" t="s">
        <v>196</v>
      </c>
      <c r="K1241" t="s">
        <v>13</v>
      </c>
      <c r="L1241" t="s">
        <v>83</v>
      </c>
      <c r="M1241" t="s">
        <v>84</v>
      </c>
      <c r="N1241">
        <v>1</v>
      </c>
      <c r="O1241" t="b">
        <v>0</v>
      </c>
      <c r="P1241">
        <v>0</v>
      </c>
      <c r="BB1241">
        <v>0</v>
      </c>
      <c r="BC1241" t="s">
        <v>259</v>
      </c>
      <c r="BD1241" t="s">
        <v>270</v>
      </c>
      <c r="BE1241" t="s">
        <v>117</v>
      </c>
      <c r="BF1241">
        <v>0</v>
      </c>
      <c r="BG1241">
        <v>0</v>
      </c>
      <c r="BH1241">
        <v>0</v>
      </c>
    </row>
    <row r="1242" spans="1:61">
      <c r="A1242" s="164" t="s">
        <v>3111</v>
      </c>
      <c r="B1242" t="s">
        <v>3112</v>
      </c>
      <c r="C1242">
        <v>0</v>
      </c>
      <c r="D1242" t="s">
        <v>257</v>
      </c>
      <c r="E1242">
        <v>0</v>
      </c>
      <c r="F1242" t="s">
        <v>269</v>
      </c>
      <c r="G1242" t="s">
        <v>103</v>
      </c>
      <c r="H1242" t="s">
        <v>104</v>
      </c>
      <c r="I1242" t="s">
        <v>80</v>
      </c>
      <c r="J1242" t="s">
        <v>196</v>
      </c>
      <c r="K1242" t="s">
        <v>13</v>
      </c>
      <c r="L1242" t="s">
        <v>83</v>
      </c>
      <c r="M1242" t="s">
        <v>205</v>
      </c>
      <c r="N1242">
        <v>1</v>
      </c>
      <c r="O1242" t="b">
        <v>0</v>
      </c>
      <c r="P1242">
        <v>0</v>
      </c>
      <c r="BB1242">
        <v>0</v>
      </c>
      <c r="BC1242" t="s">
        <v>259</v>
      </c>
      <c r="BD1242" t="s">
        <v>270</v>
      </c>
      <c r="BE1242" t="s">
        <v>117</v>
      </c>
      <c r="BF1242">
        <v>0</v>
      </c>
      <c r="BG1242">
        <v>0</v>
      </c>
      <c r="BH1242">
        <v>0</v>
      </c>
    </row>
    <row r="1243" spans="1:61">
      <c r="A1243" s="164" t="s">
        <v>3113</v>
      </c>
      <c r="B1243" t="s">
        <v>3114</v>
      </c>
      <c r="C1243">
        <v>0</v>
      </c>
      <c r="D1243" t="s">
        <v>257</v>
      </c>
      <c r="E1243">
        <v>0</v>
      </c>
      <c r="F1243" t="s">
        <v>269</v>
      </c>
      <c r="G1243" t="s">
        <v>103</v>
      </c>
      <c r="H1243" t="s">
        <v>104</v>
      </c>
      <c r="I1243" t="s">
        <v>80</v>
      </c>
      <c r="J1243" t="s">
        <v>196</v>
      </c>
      <c r="K1243" t="s">
        <v>13</v>
      </c>
      <c r="L1243" t="s">
        <v>83</v>
      </c>
      <c r="M1243" t="s">
        <v>84</v>
      </c>
      <c r="N1243">
        <v>1</v>
      </c>
      <c r="O1243" t="b">
        <v>0</v>
      </c>
      <c r="P1243">
        <v>0</v>
      </c>
      <c r="BB1243">
        <v>0</v>
      </c>
      <c r="BC1243" t="s">
        <v>259</v>
      </c>
      <c r="BD1243" t="s">
        <v>270</v>
      </c>
      <c r="BE1243" t="s">
        <v>117</v>
      </c>
      <c r="BF1243">
        <v>0</v>
      </c>
      <c r="BG1243">
        <v>0</v>
      </c>
      <c r="BH1243">
        <v>0</v>
      </c>
    </row>
    <row r="1244" spans="1:61">
      <c r="A1244" s="164" t="s">
        <v>3115</v>
      </c>
      <c r="B1244" t="s">
        <v>3116</v>
      </c>
      <c r="C1244">
        <v>0</v>
      </c>
      <c r="D1244" t="s">
        <v>257</v>
      </c>
      <c r="E1244">
        <v>0</v>
      </c>
      <c r="F1244" t="s">
        <v>269</v>
      </c>
      <c r="G1244" t="s">
        <v>103</v>
      </c>
      <c r="H1244" t="s">
        <v>104</v>
      </c>
      <c r="I1244" t="s">
        <v>80</v>
      </c>
      <c r="J1244" t="s">
        <v>196</v>
      </c>
      <c r="K1244" t="s">
        <v>13</v>
      </c>
      <c r="L1244" t="s">
        <v>83</v>
      </c>
      <c r="M1244" t="s">
        <v>205</v>
      </c>
      <c r="N1244">
        <v>1</v>
      </c>
      <c r="O1244" t="b">
        <v>0</v>
      </c>
      <c r="P1244">
        <v>0</v>
      </c>
      <c r="BB1244">
        <v>0</v>
      </c>
      <c r="BC1244" t="s">
        <v>259</v>
      </c>
      <c r="BD1244" t="s">
        <v>270</v>
      </c>
      <c r="BE1244" t="s">
        <v>117</v>
      </c>
      <c r="BF1244">
        <v>0</v>
      </c>
      <c r="BG1244">
        <v>0</v>
      </c>
      <c r="BH1244">
        <v>0</v>
      </c>
    </row>
    <row r="1245" spans="1:61">
      <c r="A1245" s="164" t="s">
        <v>3117</v>
      </c>
      <c r="B1245" t="s">
        <v>3118</v>
      </c>
      <c r="C1245">
        <v>0</v>
      </c>
      <c r="D1245" t="s">
        <v>257</v>
      </c>
      <c r="E1245">
        <v>0</v>
      </c>
      <c r="F1245" t="s">
        <v>269</v>
      </c>
      <c r="G1245" t="s">
        <v>103</v>
      </c>
      <c r="H1245" t="s">
        <v>104</v>
      </c>
      <c r="I1245" t="s">
        <v>80</v>
      </c>
      <c r="J1245" t="s">
        <v>196</v>
      </c>
      <c r="K1245" t="s">
        <v>13</v>
      </c>
      <c r="L1245" t="s">
        <v>83</v>
      </c>
      <c r="M1245" t="s">
        <v>205</v>
      </c>
      <c r="N1245">
        <v>1</v>
      </c>
      <c r="O1245" t="b">
        <v>0</v>
      </c>
      <c r="P1245">
        <v>0</v>
      </c>
      <c r="BB1245">
        <v>0</v>
      </c>
      <c r="BC1245" t="s">
        <v>259</v>
      </c>
      <c r="BD1245" t="s">
        <v>270</v>
      </c>
      <c r="BE1245" t="s">
        <v>117</v>
      </c>
      <c r="BF1245">
        <v>0</v>
      </c>
      <c r="BG1245">
        <v>0</v>
      </c>
      <c r="BH1245">
        <v>0</v>
      </c>
    </row>
    <row r="1246" spans="1:61">
      <c r="A1246" s="164" t="s">
        <v>3119</v>
      </c>
      <c r="B1246" t="s">
        <v>3120</v>
      </c>
      <c r="C1246">
        <v>0</v>
      </c>
      <c r="D1246" t="s">
        <v>257</v>
      </c>
      <c r="E1246">
        <v>0</v>
      </c>
      <c r="F1246" t="s">
        <v>269</v>
      </c>
      <c r="G1246" t="s">
        <v>103</v>
      </c>
      <c r="H1246" t="s">
        <v>104</v>
      </c>
      <c r="I1246" t="s">
        <v>80</v>
      </c>
      <c r="J1246" t="s">
        <v>196</v>
      </c>
      <c r="K1246" t="s">
        <v>13</v>
      </c>
      <c r="L1246" t="s">
        <v>83</v>
      </c>
      <c r="M1246" t="s">
        <v>84</v>
      </c>
      <c r="N1246">
        <v>1</v>
      </c>
      <c r="O1246" t="b">
        <v>0</v>
      </c>
      <c r="P1246">
        <v>0</v>
      </c>
      <c r="BB1246">
        <v>0</v>
      </c>
      <c r="BC1246" t="s">
        <v>259</v>
      </c>
      <c r="BD1246" t="s">
        <v>270</v>
      </c>
      <c r="BE1246" t="s">
        <v>117</v>
      </c>
      <c r="BF1246">
        <v>0</v>
      </c>
      <c r="BG1246">
        <v>0</v>
      </c>
      <c r="BH1246">
        <v>0</v>
      </c>
    </row>
    <row r="1247" spans="1:61">
      <c r="A1247" s="164" t="s">
        <v>3121</v>
      </c>
      <c r="B1247" t="s">
        <v>3122</v>
      </c>
      <c r="C1247">
        <v>0</v>
      </c>
      <c r="D1247" t="s">
        <v>257</v>
      </c>
      <c r="E1247">
        <v>0</v>
      </c>
      <c r="F1247" t="s">
        <v>955</v>
      </c>
      <c r="G1247" t="s">
        <v>78</v>
      </c>
      <c r="H1247" t="s">
        <v>79</v>
      </c>
      <c r="I1247" t="s">
        <v>80</v>
      </c>
      <c r="J1247" t="s">
        <v>196</v>
      </c>
      <c r="K1247" t="s">
        <v>13</v>
      </c>
      <c r="L1247" t="s">
        <v>83</v>
      </c>
      <c r="M1247" t="s">
        <v>84</v>
      </c>
      <c r="N1247">
        <v>1</v>
      </c>
      <c r="O1247" t="b">
        <v>1</v>
      </c>
      <c r="P1247">
        <v>0</v>
      </c>
      <c r="BB1247">
        <v>0</v>
      </c>
      <c r="BC1247" t="s">
        <v>259</v>
      </c>
      <c r="BD1247" t="s">
        <v>956</v>
      </c>
      <c r="BE1247" t="s">
        <v>117</v>
      </c>
      <c r="BF1247">
        <v>0</v>
      </c>
      <c r="BG1247">
        <v>40</v>
      </c>
      <c r="BH1247">
        <v>10</v>
      </c>
      <c r="BI1247" t="s">
        <v>3123</v>
      </c>
    </row>
    <row r="1248" spans="1:61">
      <c r="A1248" s="164" t="s">
        <v>3124</v>
      </c>
      <c r="B1248" t="s">
        <v>3125</v>
      </c>
      <c r="C1248">
        <v>0</v>
      </c>
      <c r="D1248" t="s">
        <v>76</v>
      </c>
      <c r="E1248">
        <v>0</v>
      </c>
      <c r="F1248" t="s">
        <v>972</v>
      </c>
      <c r="G1248" t="s">
        <v>103</v>
      </c>
      <c r="H1248" t="s">
        <v>104</v>
      </c>
      <c r="I1248" t="s">
        <v>80</v>
      </c>
      <c r="J1248" t="s">
        <v>81</v>
      </c>
      <c r="K1248" t="s">
        <v>82</v>
      </c>
      <c r="L1248" t="s">
        <v>83</v>
      </c>
      <c r="M1248" t="s">
        <v>84</v>
      </c>
      <c r="N1248">
        <v>0.95</v>
      </c>
      <c r="O1248" t="b">
        <v>0</v>
      </c>
      <c r="P1248">
        <v>45</v>
      </c>
      <c r="Q1248" t="s">
        <v>85</v>
      </c>
      <c r="R1248" t="s">
        <v>86</v>
      </c>
      <c r="S1248">
        <v>0.95</v>
      </c>
      <c r="T1248">
        <v>1</v>
      </c>
      <c r="U1248" s="36">
        <v>1.12957</v>
      </c>
      <c r="V1248" t="s">
        <v>87</v>
      </c>
      <c r="W1248">
        <v>24</v>
      </c>
      <c r="X1248">
        <v>0.45019999999999999</v>
      </c>
      <c r="Y1248">
        <v>18</v>
      </c>
      <c r="Z1248">
        <v>5.5555555555555552E-2</v>
      </c>
      <c r="AA1248">
        <v>30</v>
      </c>
      <c r="AB1248">
        <v>0</v>
      </c>
      <c r="AC1248">
        <v>500</v>
      </c>
      <c r="AD1248">
        <v>526.31578947368428</v>
      </c>
      <c r="AE1248" t="s">
        <v>155</v>
      </c>
      <c r="AF1248" t="s">
        <v>89</v>
      </c>
      <c r="AG1248" t="s">
        <v>90</v>
      </c>
      <c r="AH1248">
        <v>0</v>
      </c>
      <c r="AI1248">
        <v>1</v>
      </c>
      <c r="AJ1248" t="s">
        <v>91</v>
      </c>
      <c r="AK1248" t="s">
        <v>92</v>
      </c>
      <c r="AL1248" t="s">
        <v>93</v>
      </c>
      <c r="AM1248">
        <v>0.98220000000000007</v>
      </c>
      <c r="AN1248">
        <v>0</v>
      </c>
      <c r="AO1248">
        <v>0</v>
      </c>
      <c r="AP1248">
        <v>0</v>
      </c>
      <c r="AQ1248">
        <v>8.6691086691086688E-2</v>
      </c>
      <c r="AR1248">
        <v>2.6666666666666505E-3</v>
      </c>
      <c r="AS1248">
        <v>0</v>
      </c>
      <c r="AT1248">
        <v>1.0866910866910866</v>
      </c>
      <c r="AU1248">
        <v>1.0026666666666666</v>
      </c>
      <c r="AV1248">
        <v>1</v>
      </c>
      <c r="AW1248">
        <v>0</v>
      </c>
      <c r="AX1248" t="s">
        <v>3126</v>
      </c>
      <c r="AY1248">
        <v>0</v>
      </c>
      <c r="AZ1248">
        <v>0</v>
      </c>
      <c r="BA1248" t="s">
        <v>94</v>
      </c>
      <c r="BB1248">
        <v>0</v>
      </c>
      <c r="BC1248" t="s">
        <v>95</v>
      </c>
      <c r="BD1248" t="s">
        <v>96</v>
      </c>
      <c r="BE1248" t="s">
        <v>97</v>
      </c>
      <c r="BF1248">
        <v>0</v>
      </c>
      <c r="BG1248">
        <v>0</v>
      </c>
      <c r="BH1248">
        <v>0</v>
      </c>
      <c r="BI1248" t="s">
        <v>98</v>
      </c>
    </row>
    <row r="1249" spans="1:61">
      <c r="A1249" s="164" t="s">
        <v>3127</v>
      </c>
      <c r="B1249" t="s">
        <v>3128</v>
      </c>
      <c r="C1249">
        <v>0</v>
      </c>
      <c r="D1249" t="s">
        <v>147</v>
      </c>
      <c r="E1249">
        <v>0</v>
      </c>
      <c r="F1249" t="s">
        <v>2431</v>
      </c>
      <c r="G1249" t="s">
        <v>78</v>
      </c>
      <c r="H1249" t="s">
        <v>79</v>
      </c>
      <c r="I1249" t="s">
        <v>80</v>
      </c>
      <c r="J1249" t="s">
        <v>81</v>
      </c>
      <c r="K1249" t="s">
        <v>82</v>
      </c>
      <c r="L1249" t="s">
        <v>83</v>
      </c>
      <c r="M1249" t="s">
        <v>84</v>
      </c>
      <c r="N1249">
        <v>1</v>
      </c>
      <c r="O1249" t="b">
        <v>1</v>
      </c>
      <c r="P1249">
        <v>45</v>
      </c>
      <c r="Q1249" t="s">
        <v>85</v>
      </c>
      <c r="R1249" t="s">
        <v>86</v>
      </c>
      <c r="S1249">
        <v>1</v>
      </c>
      <c r="T1249">
        <v>1</v>
      </c>
      <c r="U1249" s="36">
        <v>1.4067150000000002</v>
      </c>
      <c r="V1249" t="s">
        <v>87</v>
      </c>
      <c r="W1249">
        <v>24</v>
      </c>
      <c r="X1249">
        <v>0.45019999999999999</v>
      </c>
      <c r="Y1249">
        <v>18</v>
      </c>
      <c r="Z1249">
        <v>5.5555555555555552E-2</v>
      </c>
      <c r="AA1249">
        <v>30</v>
      </c>
      <c r="AB1249">
        <v>0</v>
      </c>
      <c r="AC1249">
        <v>540</v>
      </c>
      <c r="AD1249">
        <v>540</v>
      </c>
      <c r="AE1249" t="s">
        <v>155</v>
      </c>
      <c r="AF1249" t="s">
        <v>2219</v>
      </c>
      <c r="AG1249" t="s">
        <v>240</v>
      </c>
      <c r="AH1249">
        <v>0</v>
      </c>
      <c r="AI1249">
        <v>0.9</v>
      </c>
      <c r="AJ1249" t="s">
        <v>91</v>
      </c>
      <c r="AK1249" t="s">
        <v>92</v>
      </c>
      <c r="AL1249" t="s">
        <v>93</v>
      </c>
      <c r="AM1249">
        <v>0.33553925925925926</v>
      </c>
      <c r="AN1249">
        <v>0.22369283950617286</v>
      </c>
      <c r="AO1249">
        <v>0.34672390123456792</v>
      </c>
      <c r="AP1249">
        <v>0</v>
      </c>
      <c r="AQ1249">
        <v>8.6691086691086688E-2</v>
      </c>
      <c r="AR1249">
        <v>2.6666666666666505E-3</v>
      </c>
      <c r="AS1249">
        <v>0</v>
      </c>
      <c r="AT1249">
        <v>1.0866910866910866</v>
      </c>
      <c r="AU1249">
        <v>1.0026666666666666</v>
      </c>
      <c r="AV1249">
        <v>1</v>
      </c>
      <c r="AW1249">
        <v>0</v>
      </c>
      <c r="AX1249" t="s">
        <v>3129</v>
      </c>
      <c r="AY1249">
        <v>53.4</v>
      </c>
      <c r="AZ1249">
        <v>4</v>
      </c>
      <c r="BA1249" t="s">
        <v>94</v>
      </c>
      <c r="BB1249">
        <v>3.31</v>
      </c>
      <c r="BC1249" t="s">
        <v>95</v>
      </c>
      <c r="BD1249" t="s">
        <v>96</v>
      </c>
      <c r="BE1249" t="s">
        <v>97</v>
      </c>
      <c r="BF1249">
        <v>1</v>
      </c>
      <c r="BG1249">
        <v>0</v>
      </c>
      <c r="BH1249">
        <v>0</v>
      </c>
      <c r="BI1249" t="s">
        <v>98</v>
      </c>
    </row>
    <row r="1250" spans="1:61">
      <c r="A1250" s="164" t="s">
        <v>3130</v>
      </c>
      <c r="B1250" t="s">
        <v>3131</v>
      </c>
      <c r="C1250">
        <v>0</v>
      </c>
      <c r="D1250" t="s">
        <v>486</v>
      </c>
      <c r="E1250">
        <v>0</v>
      </c>
      <c r="F1250" t="s">
        <v>983</v>
      </c>
      <c r="G1250" t="s">
        <v>78</v>
      </c>
      <c r="H1250" t="s">
        <v>79</v>
      </c>
      <c r="I1250" t="s">
        <v>80</v>
      </c>
      <c r="J1250" t="s">
        <v>163</v>
      </c>
      <c r="K1250" t="s">
        <v>82</v>
      </c>
      <c r="L1250" t="s">
        <v>83</v>
      </c>
      <c r="M1250" t="s">
        <v>84</v>
      </c>
      <c r="N1250">
        <v>1.5</v>
      </c>
      <c r="O1250" t="b">
        <v>0</v>
      </c>
      <c r="P1250">
        <v>60</v>
      </c>
      <c r="Q1250" t="s">
        <v>137</v>
      </c>
      <c r="S1250">
        <v>1.5</v>
      </c>
      <c r="T1250">
        <v>1</v>
      </c>
      <c r="U1250" s="36">
        <v>10.255265</v>
      </c>
      <c r="V1250" t="s">
        <v>165</v>
      </c>
      <c r="X1250">
        <v>0</v>
      </c>
      <c r="Y1250">
        <v>10</v>
      </c>
      <c r="Z1250">
        <v>0</v>
      </c>
      <c r="AA1250">
        <v>35</v>
      </c>
      <c r="AB1250">
        <v>0</v>
      </c>
      <c r="AC1250">
        <v>0</v>
      </c>
      <c r="AE1250" t="s">
        <v>129</v>
      </c>
      <c r="AF1250" t="s">
        <v>983</v>
      </c>
      <c r="AG1250" t="s">
        <v>129</v>
      </c>
      <c r="AH1250">
        <v>0</v>
      </c>
      <c r="AI1250">
        <v>10.199999999999999</v>
      </c>
      <c r="AJ1250" t="s">
        <v>167</v>
      </c>
      <c r="AM1250">
        <v>10.38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 t="s">
        <v>3132</v>
      </c>
      <c r="AY1250">
        <v>11.9755</v>
      </c>
      <c r="AZ1250">
        <v>5</v>
      </c>
      <c r="BA1250" t="s">
        <v>138</v>
      </c>
      <c r="BB1250">
        <v>11.41</v>
      </c>
      <c r="BC1250" t="s">
        <v>95</v>
      </c>
      <c r="BD1250" t="s">
        <v>96</v>
      </c>
      <c r="BE1250" t="s">
        <v>97</v>
      </c>
      <c r="BF1250">
        <v>1</v>
      </c>
      <c r="BG1250">
        <v>0</v>
      </c>
      <c r="BH1250">
        <v>0</v>
      </c>
      <c r="BI1250" t="s">
        <v>98</v>
      </c>
    </row>
    <row r="1251" spans="1:61">
      <c r="A1251" s="164" t="s">
        <v>3133</v>
      </c>
      <c r="B1251" t="s">
        <v>3134</v>
      </c>
      <c r="C1251">
        <v>0</v>
      </c>
      <c r="D1251" t="s">
        <v>147</v>
      </c>
      <c r="E1251">
        <v>0</v>
      </c>
      <c r="F1251" t="s">
        <v>965</v>
      </c>
      <c r="G1251" t="s">
        <v>78</v>
      </c>
      <c r="H1251" t="s">
        <v>79</v>
      </c>
      <c r="I1251" t="s">
        <v>80</v>
      </c>
      <c r="J1251" t="s">
        <v>81</v>
      </c>
      <c r="K1251" t="s">
        <v>82</v>
      </c>
      <c r="L1251" t="s">
        <v>83</v>
      </c>
      <c r="M1251" t="s">
        <v>84</v>
      </c>
      <c r="N1251">
        <v>1</v>
      </c>
      <c r="O1251" t="b">
        <v>1</v>
      </c>
      <c r="P1251">
        <v>45</v>
      </c>
      <c r="Q1251" t="s">
        <v>85</v>
      </c>
      <c r="R1251" t="s">
        <v>86</v>
      </c>
      <c r="S1251">
        <v>1</v>
      </c>
      <c r="T1251">
        <v>1</v>
      </c>
      <c r="U1251" s="36">
        <v>1.39574</v>
      </c>
      <c r="V1251" t="s">
        <v>87</v>
      </c>
      <c r="W1251">
        <v>24</v>
      </c>
      <c r="X1251">
        <v>0.45019999999999999</v>
      </c>
      <c r="Y1251">
        <v>18</v>
      </c>
      <c r="Z1251">
        <v>5.5555555555555552E-2</v>
      </c>
      <c r="AA1251">
        <v>30</v>
      </c>
      <c r="AB1251">
        <v>0</v>
      </c>
      <c r="AC1251">
        <v>540</v>
      </c>
      <c r="AD1251">
        <v>540</v>
      </c>
      <c r="AE1251" t="s">
        <v>155</v>
      </c>
      <c r="AF1251" t="s">
        <v>1159</v>
      </c>
      <c r="AG1251" t="s">
        <v>1160</v>
      </c>
      <c r="AH1251">
        <v>0</v>
      </c>
      <c r="AI1251">
        <v>0.9</v>
      </c>
      <c r="AJ1251" t="s">
        <v>91</v>
      </c>
      <c r="AK1251" t="s">
        <v>92</v>
      </c>
      <c r="AL1251" t="s">
        <v>93</v>
      </c>
      <c r="AM1251">
        <v>0.35588148148148147</v>
      </c>
      <c r="AN1251">
        <v>0.23725432098765428</v>
      </c>
      <c r="AO1251">
        <v>0.36774419753086418</v>
      </c>
      <c r="AP1251">
        <v>0</v>
      </c>
      <c r="AQ1251">
        <v>8.6691086691086688E-2</v>
      </c>
      <c r="AR1251">
        <v>2.6666666666666505E-3</v>
      </c>
      <c r="AS1251">
        <v>0</v>
      </c>
      <c r="AT1251">
        <v>1.0866910866910866</v>
      </c>
      <c r="AU1251">
        <v>1.0026666666666666</v>
      </c>
      <c r="AV1251">
        <v>1</v>
      </c>
      <c r="AW1251">
        <v>0</v>
      </c>
      <c r="AX1251" t="s">
        <v>3135</v>
      </c>
      <c r="AY1251">
        <v>53.4</v>
      </c>
      <c r="AZ1251">
        <v>0</v>
      </c>
      <c r="BA1251" t="s">
        <v>94</v>
      </c>
      <c r="BB1251">
        <v>3.3</v>
      </c>
      <c r="BC1251" t="s">
        <v>95</v>
      </c>
      <c r="BD1251" t="s">
        <v>96</v>
      </c>
      <c r="BE1251" t="s">
        <v>97</v>
      </c>
      <c r="BF1251">
        <v>1</v>
      </c>
      <c r="BG1251">
        <v>0</v>
      </c>
      <c r="BH1251">
        <v>0</v>
      </c>
      <c r="BI1251" t="s">
        <v>98</v>
      </c>
    </row>
    <row r="1252" spans="1:61">
      <c r="A1252" s="164" t="s">
        <v>3136</v>
      </c>
      <c r="B1252" t="s">
        <v>3137</v>
      </c>
      <c r="C1252">
        <v>0</v>
      </c>
      <c r="D1252" t="s">
        <v>1553</v>
      </c>
      <c r="E1252">
        <v>0</v>
      </c>
      <c r="F1252" t="s">
        <v>120</v>
      </c>
      <c r="G1252" t="s">
        <v>103</v>
      </c>
      <c r="H1252" t="s">
        <v>104</v>
      </c>
      <c r="I1252" t="s">
        <v>80</v>
      </c>
      <c r="J1252" t="s">
        <v>81</v>
      </c>
      <c r="K1252" t="s">
        <v>82</v>
      </c>
      <c r="L1252" t="s">
        <v>83</v>
      </c>
      <c r="M1252" t="s">
        <v>84</v>
      </c>
      <c r="N1252">
        <v>0.5</v>
      </c>
      <c r="O1252" t="b">
        <v>1</v>
      </c>
      <c r="P1252">
        <v>45</v>
      </c>
      <c r="Q1252" t="s">
        <v>85</v>
      </c>
      <c r="R1252" t="s">
        <v>1126</v>
      </c>
      <c r="S1252">
        <v>0.5</v>
      </c>
      <c r="T1252">
        <v>1</v>
      </c>
      <c r="U1252" s="36">
        <v>1.092595</v>
      </c>
      <c r="V1252" t="s">
        <v>87</v>
      </c>
      <c r="W1252">
        <v>0</v>
      </c>
      <c r="X1252">
        <v>0</v>
      </c>
      <c r="Y1252">
        <v>8</v>
      </c>
      <c r="Z1252">
        <v>0</v>
      </c>
      <c r="AA1252">
        <v>0</v>
      </c>
      <c r="AB1252">
        <v>0</v>
      </c>
      <c r="AC1252">
        <v>0</v>
      </c>
      <c r="AD1252">
        <v>0</v>
      </c>
      <c r="AF1252" t="s">
        <v>1554</v>
      </c>
      <c r="AG1252" t="s">
        <v>1555</v>
      </c>
      <c r="AH1252">
        <v>0</v>
      </c>
      <c r="AI1252">
        <v>0.9</v>
      </c>
      <c r="AJ1252" t="s">
        <v>91</v>
      </c>
      <c r="AL1252" t="s">
        <v>93</v>
      </c>
      <c r="AM1252">
        <v>0.52300000000000002</v>
      </c>
      <c r="AN1252">
        <v>0</v>
      </c>
      <c r="AO1252">
        <v>0.4</v>
      </c>
      <c r="AP1252">
        <v>0</v>
      </c>
      <c r="AQ1252">
        <v>8.6691086691086688E-2</v>
      </c>
      <c r="AR1252">
        <v>0</v>
      </c>
      <c r="AS1252">
        <v>0</v>
      </c>
      <c r="AT1252">
        <v>1.0866910866910866</v>
      </c>
      <c r="AU1252">
        <v>0</v>
      </c>
      <c r="AV1252">
        <v>1</v>
      </c>
      <c r="AW1252">
        <v>0</v>
      </c>
      <c r="AX1252" t="s">
        <v>3138</v>
      </c>
      <c r="AY1252">
        <v>23.299999999999997</v>
      </c>
      <c r="AZ1252">
        <v>5</v>
      </c>
      <c r="BA1252" t="s">
        <v>94</v>
      </c>
      <c r="BB1252">
        <v>3.61</v>
      </c>
      <c r="BC1252" t="s">
        <v>95</v>
      </c>
      <c r="BD1252" t="s">
        <v>96</v>
      </c>
      <c r="BE1252" t="s">
        <v>97</v>
      </c>
      <c r="BF1252">
        <v>0</v>
      </c>
      <c r="BG1252">
        <v>0</v>
      </c>
      <c r="BH1252">
        <v>0</v>
      </c>
      <c r="BI1252" t="s">
        <v>98</v>
      </c>
    </row>
    <row r="1253" spans="1:61">
      <c r="A1253" s="164" t="s">
        <v>3139</v>
      </c>
      <c r="B1253" t="s">
        <v>3140</v>
      </c>
      <c r="C1253">
        <v>0</v>
      </c>
      <c r="D1253" t="s">
        <v>107</v>
      </c>
      <c r="E1253">
        <v>0</v>
      </c>
      <c r="F1253" t="s">
        <v>1730</v>
      </c>
      <c r="G1253" t="s">
        <v>78</v>
      </c>
      <c r="H1253" t="s">
        <v>79</v>
      </c>
      <c r="I1253" t="s">
        <v>80</v>
      </c>
      <c r="J1253" t="s">
        <v>81</v>
      </c>
      <c r="K1253" t="s">
        <v>82</v>
      </c>
      <c r="L1253" t="s">
        <v>83</v>
      </c>
      <c r="M1253" t="s">
        <v>84</v>
      </c>
      <c r="N1253">
        <v>1.7</v>
      </c>
      <c r="O1253" t="b">
        <v>1</v>
      </c>
      <c r="P1253">
        <v>45</v>
      </c>
      <c r="Q1253" t="s">
        <v>85</v>
      </c>
      <c r="R1253" t="s">
        <v>86</v>
      </c>
      <c r="S1253">
        <v>1.7</v>
      </c>
      <c r="T1253">
        <v>1</v>
      </c>
      <c r="U1253" s="36">
        <v>1.7276500000000001</v>
      </c>
      <c r="V1253" t="s">
        <v>87</v>
      </c>
      <c r="W1253">
        <v>24</v>
      </c>
      <c r="X1253">
        <v>0.45019999999999999</v>
      </c>
      <c r="Y1253">
        <v>12</v>
      </c>
      <c r="Z1253">
        <v>8.3333333333333329E-2</v>
      </c>
      <c r="AA1253">
        <v>30</v>
      </c>
      <c r="AB1253">
        <v>0</v>
      </c>
      <c r="AC1253">
        <v>500</v>
      </c>
      <c r="AD1253">
        <v>526.31578947368428</v>
      </c>
      <c r="AE1253" t="s">
        <v>155</v>
      </c>
      <c r="AF1253" t="s">
        <v>113</v>
      </c>
      <c r="AG1253" t="s">
        <v>114</v>
      </c>
      <c r="AH1253">
        <v>0</v>
      </c>
      <c r="AI1253">
        <v>0.9</v>
      </c>
      <c r="AJ1253" t="s">
        <v>91</v>
      </c>
      <c r="AK1253" t="s">
        <v>92</v>
      </c>
      <c r="AL1253" t="s">
        <v>93</v>
      </c>
      <c r="AM1253">
        <v>0.34043629629629629</v>
      </c>
      <c r="AN1253">
        <v>0.22695753086419751</v>
      </c>
      <c r="AO1253">
        <v>0.35178417283950614</v>
      </c>
      <c r="AP1253">
        <v>0</v>
      </c>
      <c r="AQ1253">
        <v>8.6691086691086688E-2</v>
      </c>
      <c r="AR1253">
        <v>2.6666666666666505E-3</v>
      </c>
      <c r="AS1253">
        <v>0</v>
      </c>
      <c r="AT1253">
        <v>1.0866910866910866</v>
      </c>
      <c r="AU1253">
        <v>1.0026666666666666</v>
      </c>
      <c r="AV1253">
        <v>1</v>
      </c>
      <c r="AW1253">
        <v>0</v>
      </c>
      <c r="AX1253" t="s">
        <v>3141</v>
      </c>
      <c r="AY1253">
        <v>83.4</v>
      </c>
      <c r="AZ1253">
        <v>0</v>
      </c>
      <c r="BA1253" t="s">
        <v>94</v>
      </c>
      <c r="BB1253">
        <v>4.57</v>
      </c>
      <c r="BC1253" t="s">
        <v>95</v>
      </c>
      <c r="BD1253" t="s">
        <v>96</v>
      </c>
      <c r="BE1253" t="s">
        <v>97</v>
      </c>
      <c r="BF1253">
        <v>1</v>
      </c>
      <c r="BG1253">
        <v>0</v>
      </c>
      <c r="BH1253">
        <v>0</v>
      </c>
      <c r="BI1253" t="s">
        <v>98</v>
      </c>
    </row>
    <row r="1254" spans="1:61">
      <c r="A1254" s="164" t="s">
        <v>3142</v>
      </c>
      <c r="B1254" t="s">
        <v>3143</v>
      </c>
      <c r="C1254">
        <v>0</v>
      </c>
      <c r="D1254" t="s">
        <v>257</v>
      </c>
      <c r="E1254">
        <v>0</v>
      </c>
      <c r="F1254" t="s">
        <v>269</v>
      </c>
      <c r="G1254" t="s">
        <v>103</v>
      </c>
      <c r="H1254" t="s">
        <v>104</v>
      </c>
      <c r="I1254" t="s">
        <v>80</v>
      </c>
      <c r="J1254" t="s">
        <v>196</v>
      </c>
      <c r="K1254" t="s">
        <v>13</v>
      </c>
      <c r="L1254" t="s">
        <v>83</v>
      </c>
      <c r="M1254" t="s">
        <v>205</v>
      </c>
      <c r="N1254">
        <v>1</v>
      </c>
      <c r="O1254" t="b">
        <v>0</v>
      </c>
      <c r="P1254">
        <v>0</v>
      </c>
      <c r="BB1254">
        <v>0</v>
      </c>
      <c r="BC1254" t="s">
        <v>259</v>
      </c>
      <c r="BD1254" t="s">
        <v>270</v>
      </c>
      <c r="BE1254" t="s">
        <v>117</v>
      </c>
      <c r="BF1254">
        <v>0</v>
      </c>
      <c r="BG1254">
        <v>0</v>
      </c>
      <c r="BH1254">
        <v>0</v>
      </c>
    </row>
    <row r="1255" spans="1:61">
      <c r="A1255" s="164" t="s">
        <v>3144</v>
      </c>
      <c r="B1255" t="s">
        <v>3145</v>
      </c>
      <c r="C1255">
        <v>0</v>
      </c>
      <c r="D1255" t="s">
        <v>257</v>
      </c>
      <c r="E1255">
        <v>0</v>
      </c>
      <c r="F1255" t="s">
        <v>293</v>
      </c>
      <c r="G1255" t="s">
        <v>78</v>
      </c>
      <c r="H1255" t="s">
        <v>79</v>
      </c>
      <c r="I1255" t="s">
        <v>80</v>
      </c>
      <c r="J1255" t="s">
        <v>196</v>
      </c>
      <c r="K1255" t="s">
        <v>13</v>
      </c>
      <c r="L1255" t="s">
        <v>83</v>
      </c>
      <c r="M1255" t="s">
        <v>205</v>
      </c>
      <c r="N1255">
        <v>1</v>
      </c>
      <c r="O1255" t="b">
        <v>1</v>
      </c>
      <c r="P1255">
        <v>0</v>
      </c>
      <c r="BB1255">
        <v>0</v>
      </c>
      <c r="BC1255" t="s">
        <v>259</v>
      </c>
      <c r="BD1255" t="s">
        <v>294</v>
      </c>
      <c r="BE1255" t="s">
        <v>117</v>
      </c>
      <c r="BF1255">
        <v>0</v>
      </c>
      <c r="BG1255">
        <v>10</v>
      </c>
      <c r="BH1255">
        <v>150</v>
      </c>
      <c r="BI1255" t="s">
        <v>295</v>
      </c>
    </row>
    <row r="1256" spans="1:61">
      <c r="A1256" s="164" t="s">
        <v>3146</v>
      </c>
      <c r="B1256" t="s">
        <v>3147</v>
      </c>
      <c r="C1256">
        <v>0</v>
      </c>
      <c r="D1256" t="s">
        <v>257</v>
      </c>
      <c r="E1256">
        <v>0</v>
      </c>
      <c r="F1256" t="s">
        <v>293</v>
      </c>
      <c r="G1256" t="s">
        <v>78</v>
      </c>
      <c r="H1256" t="s">
        <v>79</v>
      </c>
      <c r="I1256" t="s">
        <v>80</v>
      </c>
      <c r="J1256" t="s">
        <v>196</v>
      </c>
      <c r="K1256" t="s">
        <v>13</v>
      </c>
      <c r="L1256" t="s">
        <v>83</v>
      </c>
      <c r="M1256" t="s">
        <v>205</v>
      </c>
      <c r="N1256">
        <v>1</v>
      </c>
      <c r="O1256" t="b">
        <v>1</v>
      </c>
      <c r="P1256">
        <v>0</v>
      </c>
      <c r="BB1256">
        <v>0</v>
      </c>
      <c r="BC1256" t="s">
        <v>259</v>
      </c>
      <c r="BD1256" t="s">
        <v>294</v>
      </c>
      <c r="BE1256" t="s">
        <v>117</v>
      </c>
      <c r="BF1256">
        <v>0</v>
      </c>
      <c r="BG1256">
        <v>10</v>
      </c>
      <c r="BH1256">
        <v>1000</v>
      </c>
      <c r="BI1256" t="s">
        <v>295</v>
      </c>
    </row>
    <row r="1257" spans="1:61">
      <c r="A1257" s="164" t="s">
        <v>3148</v>
      </c>
      <c r="B1257" t="s">
        <v>3149</v>
      </c>
      <c r="C1257">
        <v>0</v>
      </c>
      <c r="D1257" t="s">
        <v>257</v>
      </c>
      <c r="E1257">
        <v>0</v>
      </c>
      <c r="F1257" t="s">
        <v>930</v>
      </c>
      <c r="G1257" t="s">
        <v>78</v>
      </c>
      <c r="H1257" t="s">
        <v>79</v>
      </c>
      <c r="I1257" t="s">
        <v>80</v>
      </c>
      <c r="J1257" t="s">
        <v>196</v>
      </c>
      <c r="K1257" t="s">
        <v>13</v>
      </c>
      <c r="L1257" t="s">
        <v>83</v>
      </c>
      <c r="M1257" t="s">
        <v>205</v>
      </c>
      <c r="N1257">
        <v>1</v>
      </c>
      <c r="O1257" t="b">
        <v>1</v>
      </c>
      <c r="P1257">
        <v>0</v>
      </c>
      <c r="BB1257">
        <v>0</v>
      </c>
      <c r="BC1257" t="s">
        <v>259</v>
      </c>
      <c r="BD1257" t="s">
        <v>931</v>
      </c>
      <c r="BE1257" t="s">
        <v>117</v>
      </c>
      <c r="BF1257">
        <v>0</v>
      </c>
      <c r="BG1257">
        <v>25</v>
      </c>
      <c r="BH1257">
        <v>400</v>
      </c>
      <c r="BI1257" t="s">
        <v>932</v>
      </c>
    </row>
    <row r="1258" spans="1:61">
      <c r="A1258" s="164" t="s">
        <v>3150</v>
      </c>
      <c r="B1258" t="s">
        <v>3151</v>
      </c>
      <c r="C1258">
        <v>0</v>
      </c>
      <c r="D1258" t="s">
        <v>257</v>
      </c>
      <c r="E1258">
        <v>0</v>
      </c>
      <c r="F1258" t="s">
        <v>925</v>
      </c>
      <c r="G1258" t="s">
        <v>78</v>
      </c>
      <c r="H1258" t="s">
        <v>79</v>
      </c>
      <c r="I1258" t="s">
        <v>80</v>
      </c>
      <c r="J1258" t="s">
        <v>196</v>
      </c>
      <c r="K1258" t="s">
        <v>13</v>
      </c>
      <c r="L1258" t="s">
        <v>83</v>
      </c>
      <c r="M1258" t="s">
        <v>205</v>
      </c>
      <c r="N1258">
        <v>1</v>
      </c>
      <c r="O1258" t="b">
        <v>1</v>
      </c>
      <c r="P1258">
        <v>0</v>
      </c>
      <c r="BB1258">
        <v>0</v>
      </c>
      <c r="BC1258" t="s">
        <v>259</v>
      </c>
      <c r="BD1258" t="s">
        <v>926</v>
      </c>
      <c r="BE1258" t="s">
        <v>117</v>
      </c>
      <c r="BF1258">
        <v>0</v>
      </c>
      <c r="BG1258">
        <v>20</v>
      </c>
      <c r="BH1258">
        <v>25</v>
      </c>
      <c r="BI1258" t="s">
        <v>2671</v>
      </c>
    </row>
    <row r="1259" spans="1:61">
      <c r="A1259" s="164" t="s">
        <v>3152</v>
      </c>
      <c r="B1259" t="s">
        <v>3153</v>
      </c>
      <c r="C1259">
        <v>0</v>
      </c>
      <c r="D1259" t="s">
        <v>257</v>
      </c>
      <c r="E1259">
        <v>0</v>
      </c>
      <c r="F1259" t="s">
        <v>925</v>
      </c>
      <c r="G1259" t="s">
        <v>78</v>
      </c>
      <c r="H1259" t="s">
        <v>79</v>
      </c>
      <c r="I1259" t="s">
        <v>80</v>
      </c>
      <c r="J1259" t="s">
        <v>196</v>
      </c>
      <c r="K1259" t="s">
        <v>13</v>
      </c>
      <c r="L1259" t="s">
        <v>83</v>
      </c>
      <c r="M1259" t="s">
        <v>205</v>
      </c>
      <c r="N1259">
        <v>1</v>
      </c>
      <c r="O1259" t="b">
        <v>1</v>
      </c>
      <c r="P1259">
        <v>0</v>
      </c>
      <c r="BB1259">
        <v>0</v>
      </c>
      <c r="BC1259" t="s">
        <v>259</v>
      </c>
      <c r="BD1259" t="s">
        <v>926</v>
      </c>
      <c r="BE1259" t="s">
        <v>117</v>
      </c>
      <c r="BF1259">
        <v>0</v>
      </c>
      <c r="BG1259">
        <v>25</v>
      </c>
      <c r="BH1259">
        <v>25</v>
      </c>
      <c r="BI1259" t="s">
        <v>3154</v>
      </c>
    </row>
    <row r="1260" spans="1:61">
      <c r="A1260" s="164" t="s">
        <v>3155</v>
      </c>
      <c r="B1260" t="s">
        <v>3156</v>
      </c>
      <c r="C1260">
        <v>0</v>
      </c>
      <c r="D1260" t="s">
        <v>257</v>
      </c>
      <c r="E1260">
        <v>0</v>
      </c>
      <c r="F1260" t="s">
        <v>930</v>
      </c>
      <c r="G1260" t="s">
        <v>78</v>
      </c>
      <c r="H1260" t="s">
        <v>79</v>
      </c>
      <c r="I1260" t="s">
        <v>80</v>
      </c>
      <c r="J1260" t="s">
        <v>196</v>
      </c>
      <c r="K1260" t="s">
        <v>13</v>
      </c>
      <c r="L1260" t="s">
        <v>83</v>
      </c>
      <c r="M1260" t="s">
        <v>205</v>
      </c>
      <c r="N1260">
        <v>1</v>
      </c>
      <c r="O1260" t="b">
        <v>1</v>
      </c>
      <c r="P1260">
        <v>0</v>
      </c>
      <c r="BB1260">
        <v>0</v>
      </c>
      <c r="BC1260" t="s">
        <v>259</v>
      </c>
      <c r="BD1260" t="s">
        <v>931</v>
      </c>
      <c r="BE1260" t="s">
        <v>117</v>
      </c>
      <c r="BF1260">
        <v>0</v>
      </c>
      <c r="BG1260">
        <v>40</v>
      </c>
      <c r="BH1260">
        <v>400</v>
      </c>
      <c r="BI1260" t="s">
        <v>1314</v>
      </c>
    </row>
    <row r="1261" spans="1:61">
      <c r="A1261" s="164" t="s">
        <v>3157</v>
      </c>
      <c r="B1261" t="s">
        <v>3158</v>
      </c>
      <c r="C1261">
        <v>0</v>
      </c>
      <c r="D1261" t="s">
        <v>257</v>
      </c>
      <c r="E1261">
        <v>0</v>
      </c>
      <c r="F1261" t="s">
        <v>258</v>
      </c>
      <c r="G1261" t="s">
        <v>78</v>
      </c>
      <c r="H1261" t="s">
        <v>79</v>
      </c>
      <c r="I1261" t="s">
        <v>80</v>
      </c>
      <c r="J1261" t="s">
        <v>196</v>
      </c>
      <c r="K1261" t="s">
        <v>13</v>
      </c>
      <c r="L1261" t="s">
        <v>83</v>
      </c>
      <c r="M1261" t="s">
        <v>205</v>
      </c>
      <c r="N1261">
        <v>1</v>
      </c>
      <c r="O1261" t="b">
        <v>1</v>
      </c>
      <c r="P1261">
        <v>0</v>
      </c>
      <c r="BB1261">
        <v>0</v>
      </c>
      <c r="BC1261" t="s">
        <v>259</v>
      </c>
      <c r="BD1261" t="s">
        <v>260</v>
      </c>
      <c r="BE1261" t="s">
        <v>117</v>
      </c>
      <c r="BF1261">
        <v>0</v>
      </c>
      <c r="BG1261">
        <v>120</v>
      </c>
      <c r="BH1261">
        <v>15</v>
      </c>
      <c r="BI1261" t="s">
        <v>947</v>
      </c>
    </row>
    <row r="1262" spans="1:61">
      <c r="A1262" s="164" t="s">
        <v>3159</v>
      </c>
      <c r="B1262" t="s">
        <v>3160</v>
      </c>
      <c r="C1262">
        <v>0</v>
      </c>
      <c r="D1262" t="s">
        <v>257</v>
      </c>
      <c r="E1262">
        <v>0</v>
      </c>
      <c r="F1262" t="s">
        <v>258</v>
      </c>
      <c r="G1262" t="s">
        <v>78</v>
      </c>
      <c r="H1262" t="s">
        <v>79</v>
      </c>
      <c r="I1262" t="s">
        <v>80</v>
      </c>
      <c r="J1262" t="s">
        <v>196</v>
      </c>
      <c r="K1262" t="s">
        <v>13</v>
      </c>
      <c r="L1262" t="s">
        <v>83</v>
      </c>
      <c r="M1262" t="s">
        <v>205</v>
      </c>
      <c r="N1262">
        <v>1</v>
      </c>
      <c r="O1262" t="b">
        <v>1</v>
      </c>
      <c r="P1262">
        <v>0</v>
      </c>
      <c r="BB1262">
        <v>0</v>
      </c>
      <c r="BC1262" t="s">
        <v>259</v>
      </c>
      <c r="BD1262" t="s">
        <v>260</v>
      </c>
      <c r="BE1262" t="s">
        <v>117</v>
      </c>
      <c r="BF1262">
        <v>0</v>
      </c>
      <c r="BG1262">
        <v>30</v>
      </c>
      <c r="BH1262">
        <v>30</v>
      </c>
      <c r="BI1262" t="s">
        <v>947</v>
      </c>
    </row>
    <row r="1263" spans="1:61">
      <c r="A1263" s="164" t="s">
        <v>3161</v>
      </c>
      <c r="B1263" t="s">
        <v>3162</v>
      </c>
      <c r="C1263">
        <v>0</v>
      </c>
      <c r="D1263" t="s">
        <v>304</v>
      </c>
      <c r="E1263">
        <v>0</v>
      </c>
      <c r="F1263" t="s">
        <v>269</v>
      </c>
      <c r="G1263" t="s">
        <v>103</v>
      </c>
      <c r="H1263" t="s">
        <v>104</v>
      </c>
      <c r="I1263" t="s">
        <v>80</v>
      </c>
      <c r="J1263" t="s">
        <v>196</v>
      </c>
      <c r="K1263" t="s">
        <v>13</v>
      </c>
      <c r="L1263" t="s">
        <v>83</v>
      </c>
      <c r="M1263" t="s">
        <v>84</v>
      </c>
      <c r="N1263">
        <v>1</v>
      </c>
      <c r="O1263" t="b">
        <v>0</v>
      </c>
      <c r="P1263">
        <v>0</v>
      </c>
      <c r="BB1263">
        <v>0</v>
      </c>
      <c r="BC1263" t="s">
        <v>306</v>
      </c>
      <c r="BD1263" t="s">
        <v>270</v>
      </c>
      <c r="BE1263" t="s">
        <v>117</v>
      </c>
      <c r="BF1263">
        <v>0</v>
      </c>
      <c r="BG1263">
        <v>0</v>
      </c>
      <c r="BH1263">
        <v>0</v>
      </c>
    </row>
    <row r="1264" spans="1:61">
      <c r="A1264" s="164" t="s">
        <v>3163</v>
      </c>
      <c r="B1264" t="s">
        <v>3164</v>
      </c>
      <c r="C1264">
        <v>0</v>
      </c>
      <c r="D1264" t="s">
        <v>304</v>
      </c>
      <c r="E1264">
        <v>0</v>
      </c>
      <c r="F1264" t="s">
        <v>269</v>
      </c>
      <c r="G1264" t="s">
        <v>103</v>
      </c>
      <c r="H1264" t="s">
        <v>104</v>
      </c>
      <c r="I1264" t="s">
        <v>80</v>
      </c>
      <c r="J1264" t="s">
        <v>196</v>
      </c>
      <c r="K1264" t="s">
        <v>13</v>
      </c>
      <c r="L1264" t="s">
        <v>83</v>
      </c>
      <c r="M1264" t="s">
        <v>84</v>
      </c>
      <c r="N1264">
        <v>1</v>
      </c>
      <c r="O1264" t="b">
        <v>0</v>
      </c>
      <c r="P1264">
        <v>0</v>
      </c>
      <c r="BB1264">
        <v>0</v>
      </c>
      <c r="BC1264" t="s">
        <v>306</v>
      </c>
      <c r="BD1264" t="s">
        <v>270</v>
      </c>
      <c r="BE1264" t="s">
        <v>117</v>
      </c>
      <c r="BF1264">
        <v>0</v>
      </c>
      <c r="BG1264">
        <v>0</v>
      </c>
      <c r="BH1264">
        <v>0</v>
      </c>
    </row>
    <row r="1265" spans="1:61">
      <c r="A1265" s="164" t="s">
        <v>3165</v>
      </c>
      <c r="B1265" t="s">
        <v>3166</v>
      </c>
      <c r="C1265">
        <v>0</v>
      </c>
      <c r="D1265" t="s">
        <v>304</v>
      </c>
      <c r="E1265">
        <v>0</v>
      </c>
      <c r="F1265" t="s">
        <v>269</v>
      </c>
      <c r="G1265" t="s">
        <v>103</v>
      </c>
      <c r="H1265" t="s">
        <v>104</v>
      </c>
      <c r="I1265" t="s">
        <v>80</v>
      </c>
      <c r="J1265" t="s">
        <v>196</v>
      </c>
      <c r="K1265" t="s">
        <v>13</v>
      </c>
      <c r="L1265" t="s">
        <v>83</v>
      </c>
      <c r="M1265" t="s">
        <v>84</v>
      </c>
      <c r="N1265">
        <v>1</v>
      </c>
      <c r="O1265" t="b">
        <v>0</v>
      </c>
      <c r="P1265">
        <v>0</v>
      </c>
      <c r="BB1265">
        <v>0</v>
      </c>
      <c r="BC1265" t="s">
        <v>306</v>
      </c>
      <c r="BD1265" t="s">
        <v>270</v>
      </c>
      <c r="BE1265" t="s">
        <v>117</v>
      </c>
      <c r="BF1265">
        <v>0</v>
      </c>
      <c r="BG1265">
        <v>0</v>
      </c>
      <c r="BH1265">
        <v>0</v>
      </c>
    </row>
    <row r="1266" spans="1:61">
      <c r="A1266" s="164" t="s">
        <v>3167</v>
      </c>
      <c r="B1266" t="s">
        <v>3168</v>
      </c>
      <c r="C1266">
        <v>0</v>
      </c>
      <c r="D1266" t="s">
        <v>304</v>
      </c>
      <c r="E1266">
        <v>0</v>
      </c>
      <c r="F1266" t="s">
        <v>336</v>
      </c>
      <c r="G1266" t="s">
        <v>78</v>
      </c>
      <c r="H1266" t="s">
        <v>79</v>
      </c>
      <c r="I1266" t="s">
        <v>80</v>
      </c>
      <c r="J1266" t="s">
        <v>196</v>
      </c>
      <c r="K1266" t="s">
        <v>13</v>
      </c>
      <c r="L1266" t="s">
        <v>83</v>
      </c>
      <c r="M1266" t="s">
        <v>84</v>
      </c>
      <c r="N1266">
        <v>1</v>
      </c>
      <c r="O1266" t="b">
        <v>1</v>
      </c>
      <c r="P1266">
        <v>0</v>
      </c>
      <c r="BB1266">
        <v>0</v>
      </c>
      <c r="BC1266" t="s">
        <v>306</v>
      </c>
      <c r="BD1266" t="s">
        <v>337</v>
      </c>
      <c r="BE1266" t="s">
        <v>117</v>
      </c>
      <c r="BF1266">
        <v>0</v>
      </c>
      <c r="BG1266">
        <v>30</v>
      </c>
      <c r="BH1266">
        <v>30000</v>
      </c>
      <c r="BI1266" t="s">
        <v>593</v>
      </c>
    </row>
    <row r="1267" spans="1:61">
      <c r="A1267" s="164" t="s">
        <v>3169</v>
      </c>
      <c r="B1267" t="s">
        <v>3170</v>
      </c>
      <c r="C1267">
        <v>0</v>
      </c>
      <c r="D1267" t="s">
        <v>304</v>
      </c>
      <c r="E1267">
        <v>0</v>
      </c>
      <c r="F1267" t="s">
        <v>269</v>
      </c>
      <c r="G1267" t="s">
        <v>103</v>
      </c>
      <c r="H1267" t="s">
        <v>104</v>
      </c>
      <c r="I1267" t="s">
        <v>80</v>
      </c>
      <c r="J1267" t="s">
        <v>196</v>
      </c>
      <c r="K1267" t="s">
        <v>13</v>
      </c>
      <c r="L1267" t="s">
        <v>83</v>
      </c>
      <c r="M1267" t="s">
        <v>84</v>
      </c>
      <c r="N1267">
        <v>1</v>
      </c>
      <c r="O1267" t="b">
        <v>0</v>
      </c>
      <c r="P1267">
        <v>0</v>
      </c>
      <c r="BB1267">
        <v>0</v>
      </c>
      <c r="BC1267" t="s">
        <v>306</v>
      </c>
      <c r="BD1267" t="s">
        <v>270</v>
      </c>
      <c r="BE1267" t="s">
        <v>117</v>
      </c>
      <c r="BF1267">
        <v>0</v>
      </c>
      <c r="BG1267">
        <v>0</v>
      </c>
      <c r="BH1267">
        <v>0</v>
      </c>
    </row>
    <row r="1268" spans="1:61">
      <c r="A1268" s="164" t="s">
        <v>3171</v>
      </c>
      <c r="B1268" t="s">
        <v>3172</v>
      </c>
      <c r="C1268">
        <v>0</v>
      </c>
      <c r="D1268" t="s">
        <v>304</v>
      </c>
      <c r="E1268">
        <v>0</v>
      </c>
      <c r="F1268" t="s">
        <v>342</v>
      </c>
      <c r="G1268" t="s">
        <v>78</v>
      </c>
      <c r="H1268" t="s">
        <v>79</v>
      </c>
      <c r="I1268" t="s">
        <v>80</v>
      </c>
      <c r="J1268" t="s">
        <v>196</v>
      </c>
      <c r="K1268" t="s">
        <v>13</v>
      </c>
      <c r="L1268" t="s">
        <v>83</v>
      </c>
      <c r="M1268" t="s">
        <v>84</v>
      </c>
      <c r="N1268">
        <v>1</v>
      </c>
      <c r="O1268" t="b">
        <v>1</v>
      </c>
      <c r="P1268">
        <v>0</v>
      </c>
      <c r="BB1268">
        <v>0</v>
      </c>
      <c r="BC1268" t="s">
        <v>306</v>
      </c>
      <c r="BD1268" t="s">
        <v>343</v>
      </c>
      <c r="BE1268" t="s">
        <v>117</v>
      </c>
      <c r="BF1268">
        <v>0</v>
      </c>
      <c r="BG1268">
        <v>25</v>
      </c>
      <c r="BH1268">
        <v>10000</v>
      </c>
      <c r="BI1268" t="s">
        <v>344</v>
      </c>
    </row>
    <row r="1269" spans="1:61">
      <c r="A1269" s="164" t="s">
        <v>3173</v>
      </c>
      <c r="B1269" t="s">
        <v>3174</v>
      </c>
      <c r="C1269">
        <v>0</v>
      </c>
      <c r="D1269" t="s">
        <v>304</v>
      </c>
      <c r="E1269">
        <v>0</v>
      </c>
      <c r="F1269" t="s">
        <v>342</v>
      </c>
      <c r="G1269" t="s">
        <v>78</v>
      </c>
      <c r="H1269" t="s">
        <v>79</v>
      </c>
      <c r="I1269" t="s">
        <v>80</v>
      </c>
      <c r="J1269" t="s">
        <v>196</v>
      </c>
      <c r="K1269" t="s">
        <v>13</v>
      </c>
      <c r="L1269" t="s">
        <v>83</v>
      </c>
      <c r="M1269" t="s">
        <v>84</v>
      </c>
      <c r="N1269">
        <v>1</v>
      </c>
      <c r="O1269" t="b">
        <v>1</v>
      </c>
      <c r="P1269">
        <v>0</v>
      </c>
      <c r="BB1269">
        <v>0</v>
      </c>
      <c r="BC1269" t="s">
        <v>306</v>
      </c>
      <c r="BD1269" t="s">
        <v>343</v>
      </c>
      <c r="BE1269" t="s">
        <v>117</v>
      </c>
      <c r="BF1269">
        <v>0</v>
      </c>
      <c r="BG1269">
        <v>25</v>
      </c>
      <c r="BH1269">
        <v>10000</v>
      </c>
      <c r="BI1269" t="s">
        <v>344</v>
      </c>
    </row>
    <row r="1270" spans="1:61">
      <c r="A1270" s="164" t="s">
        <v>3175</v>
      </c>
      <c r="B1270" t="s">
        <v>3176</v>
      </c>
      <c r="C1270">
        <v>0</v>
      </c>
      <c r="D1270" t="s">
        <v>304</v>
      </c>
      <c r="E1270">
        <v>0</v>
      </c>
      <c r="F1270" t="s">
        <v>342</v>
      </c>
      <c r="G1270" t="s">
        <v>78</v>
      </c>
      <c r="H1270" t="s">
        <v>79</v>
      </c>
      <c r="I1270" t="s">
        <v>80</v>
      </c>
      <c r="J1270" t="s">
        <v>196</v>
      </c>
      <c r="K1270" t="s">
        <v>13</v>
      </c>
      <c r="L1270" t="s">
        <v>83</v>
      </c>
      <c r="M1270" t="s">
        <v>84</v>
      </c>
      <c r="N1270">
        <v>1</v>
      </c>
      <c r="O1270" t="b">
        <v>1</v>
      </c>
      <c r="P1270">
        <v>0</v>
      </c>
      <c r="BB1270">
        <v>0</v>
      </c>
      <c r="BC1270" t="s">
        <v>306</v>
      </c>
      <c r="BD1270" t="s">
        <v>343</v>
      </c>
      <c r="BE1270" t="s">
        <v>117</v>
      </c>
      <c r="BF1270">
        <v>0</v>
      </c>
      <c r="BG1270">
        <v>25</v>
      </c>
      <c r="BH1270">
        <v>10000</v>
      </c>
      <c r="BI1270" t="s">
        <v>344</v>
      </c>
    </row>
    <row r="1271" spans="1:61">
      <c r="A1271" s="164" t="s">
        <v>3177</v>
      </c>
      <c r="B1271" t="s">
        <v>3178</v>
      </c>
      <c r="C1271">
        <v>0</v>
      </c>
      <c r="D1271" t="s">
        <v>304</v>
      </c>
      <c r="E1271">
        <v>0</v>
      </c>
      <c r="F1271" t="s">
        <v>349</v>
      </c>
      <c r="G1271" t="s">
        <v>78</v>
      </c>
      <c r="H1271" t="s">
        <v>79</v>
      </c>
      <c r="I1271" t="s">
        <v>80</v>
      </c>
      <c r="J1271" t="s">
        <v>196</v>
      </c>
      <c r="K1271" t="s">
        <v>13</v>
      </c>
      <c r="L1271" t="s">
        <v>83</v>
      </c>
      <c r="M1271" t="s">
        <v>84</v>
      </c>
      <c r="N1271">
        <v>1</v>
      </c>
      <c r="O1271" t="b">
        <v>1</v>
      </c>
      <c r="P1271">
        <v>0</v>
      </c>
      <c r="BB1271">
        <v>0</v>
      </c>
      <c r="BC1271" t="s">
        <v>306</v>
      </c>
      <c r="BD1271" t="s">
        <v>350</v>
      </c>
      <c r="BE1271" t="s">
        <v>117</v>
      </c>
      <c r="BF1271">
        <v>0</v>
      </c>
      <c r="BG1271">
        <v>25</v>
      </c>
      <c r="BH1271">
        <v>10000</v>
      </c>
      <c r="BI1271" t="s">
        <v>344</v>
      </c>
    </row>
    <row r="1272" spans="1:61">
      <c r="A1272" s="164" t="s">
        <v>3179</v>
      </c>
      <c r="B1272" t="s">
        <v>3180</v>
      </c>
      <c r="C1272">
        <v>0</v>
      </c>
      <c r="D1272" t="s">
        <v>304</v>
      </c>
      <c r="E1272">
        <v>0</v>
      </c>
      <c r="F1272" t="s">
        <v>269</v>
      </c>
      <c r="G1272" t="s">
        <v>103</v>
      </c>
      <c r="H1272" t="s">
        <v>104</v>
      </c>
      <c r="I1272" t="s">
        <v>80</v>
      </c>
      <c r="J1272" t="s">
        <v>196</v>
      </c>
      <c r="K1272" t="s">
        <v>13</v>
      </c>
      <c r="L1272" t="s">
        <v>83</v>
      </c>
      <c r="M1272" t="s">
        <v>84</v>
      </c>
      <c r="N1272">
        <v>1</v>
      </c>
      <c r="O1272" t="b">
        <v>0</v>
      </c>
      <c r="P1272">
        <v>0</v>
      </c>
      <c r="BB1272">
        <v>0</v>
      </c>
      <c r="BC1272" t="s">
        <v>306</v>
      </c>
      <c r="BD1272" t="s">
        <v>270</v>
      </c>
      <c r="BE1272" t="s">
        <v>117</v>
      </c>
      <c r="BF1272">
        <v>0</v>
      </c>
      <c r="BG1272">
        <v>0</v>
      </c>
      <c r="BH1272">
        <v>0</v>
      </c>
    </row>
    <row r="1273" spans="1:61">
      <c r="A1273" s="164" t="s">
        <v>3181</v>
      </c>
      <c r="B1273" t="s">
        <v>3182</v>
      </c>
      <c r="C1273">
        <v>0</v>
      </c>
      <c r="D1273" t="s">
        <v>304</v>
      </c>
      <c r="E1273">
        <v>0</v>
      </c>
      <c r="F1273" t="s">
        <v>342</v>
      </c>
      <c r="G1273" t="s">
        <v>78</v>
      </c>
      <c r="H1273" t="s">
        <v>79</v>
      </c>
      <c r="I1273" t="s">
        <v>80</v>
      </c>
      <c r="J1273" t="s">
        <v>196</v>
      </c>
      <c r="K1273" t="s">
        <v>13</v>
      </c>
      <c r="L1273" t="s">
        <v>83</v>
      </c>
      <c r="M1273" t="s">
        <v>84</v>
      </c>
      <c r="N1273">
        <v>1</v>
      </c>
      <c r="O1273" t="b">
        <v>1</v>
      </c>
      <c r="P1273">
        <v>0</v>
      </c>
      <c r="BB1273">
        <v>0</v>
      </c>
      <c r="BC1273" t="s">
        <v>306</v>
      </c>
      <c r="BD1273" t="s">
        <v>343</v>
      </c>
      <c r="BE1273" t="s">
        <v>117</v>
      </c>
      <c r="BF1273">
        <v>0</v>
      </c>
      <c r="BG1273">
        <v>25</v>
      </c>
      <c r="BH1273">
        <v>10000</v>
      </c>
      <c r="BI1273" t="s">
        <v>344</v>
      </c>
    </row>
    <row r="1274" spans="1:61">
      <c r="A1274" s="164" t="s">
        <v>3183</v>
      </c>
      <c r="B1274" t="s">
        <v>3184</v>
      </c>
      <c r="C1274">
        <v>0</v>
      </c>
      <c r="D1274" t="s">
        <v>304</v>
      </c>
      <c r="E1274">
        <v>0</v>
      </c>
      <c r="F1274" t="s">
        <v>342</v>
      </c>
      <c r="G1274" t="s">
        <v>78</v>
      </c>
      <c r="H1274" t="s">
        <v>79</v>
      </c>
      <c r="I1274" t="s">
        <v>80</v>
      </c>
      <c r="J1274" t="s">
        <v>196</v>
      </c>
      <c r="K1274" t="s">
        <v>13</v>
      </c>
      <c r="L1274" t="s">
        <v>83</v>
      </c>
      <c r="M1274" t="s">
        <v>84</v>
      </c>
      <c r="N1274">
        <v>1</v>
      </c>
      <c r="O1274" t="b">
        <v>1</v>
      </c>
      <c r="P1274">
        <v>0</v>
      </c>
      <c r="BB1274">
        <v>0</v>
      </c>
      <c r="BC1274" t="s">
        <v>306</v>
      </c>
      <c r="BD1274" t="s">
        <v>343</v>
      </c>
      <c r="BE1274" t="s">
        <v>117</v>
      </c>
      <c r="BF1274">
        <v>0</v>
      </c>
      <c r="BG1274">
        <v>25</v>
      </c>
      <c r="BH1274">
        <v>10000</v>
      </c>
      <c r="BI1274" t="s">
        <v>344</v>
      </c>
    </row>
    <row r="1275" spans="1:61">
      <c r="A1275" s="164" t="s">
        <v>3185</v>
      </c>
      <c r="B1275" t="s">
        <v>3186</v>
      </c>
      <c r="C1275">
        <v>0</v>
      </c>
      <c r="D1275" t="s">
        <v>304</v>
      </c>
      <c r="E1275">
        <v>0</v>
      </c>
      <c r="F1275" t="s">
        <v>269</v>
      </c>
      <c r="G1275" t="s">
        <v>103</v>
      </c>
      <c r="H1275" t="s">
        <v>104</v>
      </c>
      <c r="I1275" t="s">
        <v>80</v>
      </c>
      <c r="J1275" t="s">
        <v>196</v>
      </c>
      <c r="K1275" t="s">
        <v>13</v>
      </c>
      <c r="L1275" t="s">
        <v>83</v>
      </c>
      <c r="M1275" t="s">
        <v>84</v>
      </c>
      <c r="N1275">
        <v>1</v>
      </c>
      <c r="O1275" t="b">
        <v>0</v>
      </c>
      <c r="P1275">
        <v>0</v>
      </c>
      <c r="BB1275">
        <v>0</v>
      </c>
      <c r="BC1275" t="s">
        <v>306</v>
      </c>
      <c r="BD1275" t="s">
        <v>270</v>
      </c>
      <c r="BE1275" t="s">
        <v>117</v>
      </c>
      <c r="BF1275">
        <v>0</v>
      </c>
      <c r="BG1275">
        <v>0</v>
      </c>
      <c r="BH1275">
        <v>0</v>
      </c>
    </row>
    <row r="1276" spans="1:61">
      <c r="A1276" s="164" t="s">
        <v>3187</v>
      </c>
      <c r="B1276" t="s">
        <v>3188</v>
      </c>
      <c r="C1276">
        <v>0</v>
      </c>
      <c r="D1276" t="s">
        <v>304</v>
      </c>
      <c r="E1276">
        <v>0</v>
      </c>
      <c r="F1276" t="s">
        <v>269</v>
      </c>
      <c r="G1276" t="s">
        <v>103</v>
      </c>
      <c r="H1276" t="s">
        <v>104</v>
      </c>
      <c r="I1276" t="s">
        <v>80</v>
      </c>
      <c r="J1276" t="s">
        <v>196</v>
      </c>
      <c r="K1276" t="s">
        <v>13</v>
      </c>
      <c r="L1276" t="s">
        <v>83</v>
      </c>
      <c r="M1276" t="s">
        <v>84</v>
      </c>
      <c r="N1276">
        <v>1</v>
      </c>
      <c r="O1276" t="b">
        <v>0</v>
      </c>
      <c r="P1276">
        <v>0</v>
      </c>
      <c r="BB1276">
        <v>0</v>
      </c>
      <c r="BC1276" t="s">
        <v>306</v>
      </c>
      <c r="BD1276" t="s">
        <v>270</v>
      </c>
      <c r="BE1276" t="s">
        <v>117</v>
      </c>
      <c r="BF1276">
        <v>0</v>
      </c>
      <c r="BG1276">
        <v>0</v>
      </c>
      <c r="BH1276">
        <v>0</v>
      </c>
    </row>
    <row r="1277" spans="1:61">
      <c r="A1277" s="164" t="s">
        <v>3189</v>
      </c>
      <c r="B1277" t="s">
        <v>3190</v>
      </c>
      <c r="C1277">
        <v>0</v>
      </c>
      <c r="D1277" t="s">
        <v>304</v>
      </c>
      <c r="E1277">
        <v>0</v>
      </c>
      <c r="F1277" t="s">
        <v>269</v>
      </c>
      <c r="G1277" t="s">
        <v>103</v>
      </c>
      <c r="H1277" t="s">
        <v>104</v>
      </c>
      <c r="I1277" t="s">
        <v>80</v>
      </c>
      <c r="J1277" t="s">
        <v>196</v>
      </c>
      <c r="K1277" t="s">
        <v>13</v>
      </c>
      <c r="L1277" t="s">
        <v>83</v>
      </c>
      <c r="M1277" t="s">
        <v>84</v>
      </c>
      <c r="N1277">
        <v>1</v>
      </c>
      <c r="O1277" t="b">
        <v>0</v>
      </c>
      <c r="P1277">
        <v>0</v>
      </c>
      <c r="BB1277">
        <v>0</v>
      </c>
      <c r="BC1277" t="s">
        <v>306</v>
      </c>
      <c r="BD1277" t="s">
        <v>270</v>
      </c>
      <c r="BE1277" t="s">
        <v>117</v>
      </c>
      <c r="BF1277">
        <v>0</v>
      </c>
      <c r="BG1277">
        <v>0</v>
      </c>
      <c r="BH1277">
        <v>0</v>
      </c>
    </row>
    <row r="1278" spans="1:61">
      <c r="A1278" s="164" t="s">
        <v>3191</v>
      </c>
      <c r="B1278" t="s">
        <v>3192</v>
      </c>
      <c r="C1278">
        <v>0</v>
      </c>
      <c r="D1278" t="s">
        <v>304</v>
      </c>
      <c r="E1278">
        <v>0</v>
      </c>
      <c r="F1278" t="s">
        <v>269</v>
      </c>
      <c r="G1278" t="s">
        <v>103</v>
      </c>
      <c r="H1278" t="s">
        <v>104</v>
      </c>
      <c r="I1278" t="s">
        <v>80</v>
      </c>
      <c r="J1278" t="s">
        <v>196</v>
      </c>
      <c r="K1278" t="s">
        <v>13</v>
      </c>
      <c r="L1278" t="s">
        <v>83</v>
      </c>
      <c r="M1278" t="s">
        <v>84</v>
      </c>
      <c r="N1278">
        <v>1</v>
      </c>
      <c r="O1278" t="b">
        <v>0</v>
      </c>
      <c r="P1278">
        <v>0</v>
      </c>
      <c r="BB1278">
        <v>0</v>
      </c>
      <c r="BC1278" t="s">
        <v>306</v>
      </c>
      <c r="BD1278" t="s">
        <v>270</v>
      </c>
      <c r="BE1278" t="s">
        <v>117</v>
      </c>
      <c r="BF1278">
        <v>0</v>
      </c>
      <c r="BG1278">
        <v>0</v>
      </c>
      <c r="BH1278">
        <v>0</v>
      </c>
    </row>
    <row r="1279" spans="1:61">
      <c r="A1279" s="164" t="s">
        <v>3193</v>
      </c>
      <c r="B1279" t="s">
        <v>3194</v>
      </c>
      <c r="C1279">
        <v>0</v>
      </c>
      <c r="D1279" t="s">
        <v>304</v>
      </c>
      <c r="E1279">
        <v>0</v>
      </c>
      <c r="F1279" t="s">
        <v>349</v>
      </c>
      <c r="G1279" t="s">
        <v>78</v>
      </c>
      <c r="H1279" t="s">
        <v>79</v>
      </c>
      <c r="I1279" t="s">
        <v>80</v>
      </c>
      <c r="J1279" t="s">
        <v>196</v>
      </c>
      <c r="K1279" t="s">
        <v>13</v>
      </c>
      <c r="L1279" t="s">
        <v>83</v>
      </c>
      <c r="M1279" t="s">
        <v>84</v>
      </c>
      <c r="N1279">
        <v>1</v>
      </c>
      <c r="O1279" t="b">
        <v>1</v>
      </c>
      <c r="P1279">
        <v>0</v>
      </c>
      <c r="BB1279">
        <v>0</v>
      </c>
      <c r="BC1279" t="s">
        <v>306</v>
      </c>
      <c r="BD1279" t="s">
        <v>350</v>
      </c>
      <c r="BE1279" t="s">
        <v>117</v>
      </c>
      <c r="BF1279">
        <v>0</v>
      </c>
      <c r="BG1279">
        <v>25</v>
      </c>
      <c r="BH1279">
        <v>10000</v>
      </c>
      <c r="BI1279" t="s">
        <v>344</v>
      </c>
    </row>
    <row r="1280" spans="1:61">
      <c r="A1280" s="164" t="s">
        <v>3195</v>
      </c>
      <c r="B1280" t="s">
        <v>3196</v>
      </c>
      <c r="C1280">
        <v>0</v>
      </c>
      <c r="D1280" t="s">
        <v>304</v>
      </c>
      <c r="E1280">
        <v>0</v>
      </c>
      <c r="F1280" t="s">
        <v>269</v>
      </c>
      <c r="G1280" t="s">
        <v>103</v>
      </c>
      <c r="H1280" t="s">
        <v>104</v>
      </c>
      <c r="I1280" t="s">
        <v>80</v>
      </c>
      <c r="J1280" t="s">
        <v>196</v>
      </c>
      <c r="K1280" t="s">
        <v>13</v>
      </c>
      <c r="L1280" t="s">
        <v>83</v>
      </c>
      <c r="M1280" t="s">
        <v>205</v>
      </c>
      <c r="N1280">
        <v>1</v>
      </c>
      <c r="O1280" t="b">
        <v>0</v>
      </c>
      <c r="P1280">
        <v>0</v>
      </c>
      <c r="BB1280">
        <v>0</v>
      </c>
      <c r="BC1280" t="s">
        <v>306</v>
      </c>
      <c r="BD1280" t="s">
        <v>270</v>
      </c>
      <c r="BE1280" t="s">
        <v>117</v>
      </c>
      <c r="BF1280">
        <v>0</v>
      </c>
      <c r="BG1280">
        <v>0</v>
      </c>
      <c r="BH1280">
        <v>0</v>
      </c>
    </row>
    <row r="1281" spans="1:61">
      <c r="A1281" s="164" t="s">
        <v>3197</v>
      </c>
      <c r="B1281" t="s">
        <v>3198</v>
      </c>
      <c r="C1281">
        <v>0</v>
      </c>
      <c r="D1281" t="s">
        <v>304</v>
      </c>
      <c r="E1281">
        <v>0</v>
      </c>
      <c r="F1281" t="s">
        <v>342</v>
      </c>
      <c r="G1281" t="s">
        <v>78</v>
      </c>
      <c r="H1281" t="s">
        <v>79</v>
      </c>
      <c r="I1281" t="s">
        <v>80</v>
      </c>
      <c r="J1281" t="s">
        <v>196</v>
      </c>
      <c r="K1281" t="s">
        <v>13</v>
      </c>
      <c r="L1281" t="s">
        <v>83</v>
      </c>
      <c r="M1281" t="s">
        <v>84</v>
      </c>
      <c r="N1281">
        <v>1</v>
      </c>
      <c r="O1281" t="b">
        <v>1</v>
      </c>
      <c r="P1281">
        <v>0</v>
      </c>
      <c r="BB1281">
        <v>0</v>
      </c>
      <c r="BC1281" t="s">
        <v>306</v>
      </c>
      <c r="BD1281" t="s">
        <v>343</v>
      </c>
      <c r="BE1281" t="s">
        <v>117</v>
      </c>
      <c r="BF1281">
        <v>0</v>
      </c>
      <c r="BG1281">
        <v>25</v>
      </c>
      <c r="BH1281">
        <v>10000</v>
      </c>
      <c r="BI1281" t="s">
        <v>344</v>
      </c>
    </row>
    <row r="1282" spans="1:61">
      <c r="A1282" s="164" t="s">
        <v>3199</v>
      </c>
      <c r="B1282" t="s">
        <v>3200</v>
      </c>
      <c r="C1282">
        <v>0</v>
      </c>
      <c r="D1282" t="s">
        <v>304</v>
      </c>
      <c r="E1282">
        <v>0</v>
      </c>
      <c r="F1282" t="s">
        <v>342</v>
      </c>
      <c r="G1282" t="s">
        <v>78</v>
      </c>
      <c r="H1282" t="s">
        <v>79</v>
      </c>
      <c r="I1282" t="s">
        <v>80</v>
      </c>
      <c r="J1282" t="s">
        <v>196</v>
      </c>
      <c r="K1282" t="s">
        <v>13</v>
      </c>
      <c r="L1282" t="s">
        <v>83</v>
      </c>
      <c r="M1282" t="s">
        <v>84</v>
      </c>
      <c r="N1282">
        <v>1</v>
      </c>
      <c r="O1282" t="b">
        <v>1</v>
      </c>
      <c r="P1282">
        <v>0</v>
      </c>
      <c r="BB1282">
        <v>0</v>
      </c>
      <c r="BC1282" t="s">
        <v>306</v>
      </c>
      <c r="BD1282" t="s">
        <v>343</v>
      </c>
      <c r="BE1282" t="s">
        <v>117</v>
      </c>
      <c r="BF1282">
        <v>0</v>
      </c>
      <c r="BG1282">
        <v>25</v>
      </c>
      <c r="BH1282">
        <v>10000</v>
      </c>
      <c r="BI1282" t="s">
        <v>344</v>
      </c>
    </row>
    <row r="1283" spans="1:61">
      <c r="A1283" s="164" t="s">
        <v>3201</v>
      </c>
      <c r="B1283" t="s">
        <v>3202</v>
      </c>
      <c r="C1283">
        <v>0</v>
      </c>
      <c r="D1283" t="s">
        <v>304</v>
      </c>
      <c r="E1283">
        <v>0</v>
      </c>
      <c r="F1283" t="s">
        <v>269</v>
      </c>
      <c r="G1283" t="s">
        <v>103</v>
      </c>
      <c r="H1283" t="s">
        <v>104</v>
      </c>
      <c r="I1283" t="s">
        <v>80</v>
      </c>
      <c r="J1283" t="s">
        <v>196</v>
      </c>
      <c r="K1283" t="s">
        <v>13</v>
      </c>
      <c r="L1283" t="s">
        <v>83</v>
      </c>
      <c r="M1283" t="s">
        <v>84</v>
      </c>
      <c r="N1283">
        <v>1</v>
      </c>
      <c r="O1283" t="b">
        <v>0</v>
      </c>
      <c r="P1283">
        <v>0</v>
      </c>
      <c r="BB1283">
        <v>0</v>
      </c>
      <c r="BC1283" t="s">
        <v>306</v>
      </c>
      <c r="BD1283" t="s">
        <v>270</v>
      </c>
      <c r="BE1283" t="s">
        <v>117</v>
      </c>
      <c r="BF1283">
        <v>0</v>
      </c>
      <c r="BG1283">
        <v>0</v>
      </c>
      <c r="BH1283">
        <v>0</v>
      </c>
    </row>
    <row r="1284" spans="1:61">
      <c r="A1284" s="164" t="s">
        <v>3203</v>
      </c>
      <c r="B1284" t="s">
        <v>3204</v>
      </c>
      <c r="C1284">
        <v>0</v>
      </c>
      <c r="D1284" t="s">
        <v>304</v>
      </c>
      <c r="E1284">
        <v>0</v>
      </c>
      <c r="F1284" t="s">
        <v>313</v>
      </c>
      <c r="G1284" t="s">
        <v>78</v>
      </c>
      <c r="H1284" t="s">
        <v>79</v>
      </c>
      <c r="I1284" t="s">
        <v>80</v>
      </c>
      <c r="J1284" t="s">
        <v>196</v>
      </c>
      <c r="K1284" t="s">
        <v>13</v>
      </c>
      <c r="L1284" t="s">
        <v>83</v>
      </c>
      <c r="M1284" t="s">
        <v>205</v>
      </c>
      <c r="N1284">
        <v>1</v>
      </c>
      <c r="O1284" t="b">
        <v>1</v>
      </c>
      <c r="P1284">
        <v>0</v>
      </c>
      <c r="BB1284">
        <v>0</v>
      </c>
      <c r="BC1284" t="s">
        <v>306</v>
      </c>
      <c r="BD1284" t="s">
        <v>314</v>
      </c>
      <c r="BE1284" t="s">
        <v>117</v>
      </c>
      <c r="BF1284">
        <v>0</v>
      </c>
      <c r="BG1284">
        <v>45</v>
      </c>
      <c r="BH1284">
        <v>300</v>
      </c>
      <c r="BI1284" t="s">
        <v>315</v>
      </c>
    </row>
    <row r="1285" spans="1:61">
      <c r="A1285" s="164" t="s">
        <v>3205</v>
      </c>
      <c r="B1285" t="s">
        <v>3206</v>
      </c>
      <c r="C1285">
        <v>0</v>
      </c>
      <c r="D1285" t="s">
        <v>304</v>
      </c>
      <c r="E1285">
        <v>0</v>
      </c>
      <c r="F1285" t="s">
        <v>336</v>
      </c>
      <c r="G1285" t="s">
        <v>78</v>
      </c>
      <c r="H1285" t="s">
        <v>79</v>
      </c>
      <c r="I1285" t="s">
        <v>80</v>
      </c>
      <c r="J1285" t="s">
        <v>196</v>
      </c>
      <c r="K1285" t="s">
        <v>13</v>
      </c>
      <c r="L1285" t="s">
        <v>83</v>
      </c>
      <c r="M1285" t="s">
        <v>84</v>
      </c>
      <c r="N1285">
        <v>1</v>
      </c>
      <c r="O1285" t="b">
        <v>1</v>
      </c>
      <c r="P1285">
        <v>0</v>
      </c>
      <c r="BB1285">
        <v>0</v>
      </c>
      <c r="BC1285" t="s">
        <v>306</v>
      </c>
      <c r="BD1285" t="s">
        <v>337</v>
      </c>
      <c r="BE1285" t="s">
        <v>117</v>
      </c>
      <c r="BF1285">
        <v>0</v>
      </c>
      <c r="BG1285">
        <v>30</v>
      </c>
      <c r="BH1285">
        <v>100000</v>
      </c>
      <c r="BI1285" t="s">
        <v>593</v>
      </c>
    </row>
    <row r="1286" spans="1:61">
      <c r="A1286" s="164" t="s">
        <v>3207</v>
      </c>
      <c r="B1286" t="s">
        <v>3208</v>
      </c>
      <c r="C1286">
        <v>0</v>
      </c>
      <c r="D1286" t="s">
        <v>304</v>
      </c>
      <c r="E1286">
        <v>0</v>
      </c>
      <c r="F1286" t="s">
        <v>342</v>
      </c>
      <c r="G1286" t="s">
        <v>78</v>
      </c>
      <c r="H1286" t="s">
        <v>79</v>
      </c>
      <c r="I1286" t="s">
        <v>80</v>
      </c>
      <c r="J1286" t="s">
        <v>196</v>
      </c>
      <c r="K1286" t="s">
        <v>13</v>
      </c>
      <c r="L1286" t="s">
        <v>83</v>
      </c>
      <c r="M1286" t="s">
        <v>84</v>
      </c>
      <c r="N1286">
        <v>1</v>
      </c>
      <c r="O1286" t="b">
        <v>1</v>
      </c>
      <c r="P1286">
        <v>0</v>
      </c>
      <c r="BB1286">
        <v>0</v>
      </c>
      <c r="BC1286" t="s">
        <v>306</v>
      </c>
      <c r="BD1286" t="s">
        <v>343</v>
      </c>
      <c r="BE1286" t="s">
        <v>117</v>
      </c>
      <c r="BF1286">
        <v>0</v>
      </c>
      <c r="BG1286">
        <v>25</v>
      </c>
      <c r="BH1286">
        <v>10000</v>
      </c>
      <c r="BI1286" t="s">
        <v>344</v>
      </c>
    </row>
    <row r="1287" spans="1:61">
      <c r="A1287" s="164" t="s">
        <v>3209</v>
      </c>
      <c r="B1287" t="s">
        <v>3210</v>
      </c>
      <c r="C1287">
        <v>0</v>
      </c>
      <c r="D1287" t="s">
        <v>147</v>
      </c>
      <c r="E1287">
        <v>0</v>
      </c>
      <c r="F1287" t="s">
        <v>154</v>
      </c>
      <c r="G1287" t="s">
        <v>78</v>
      </c>
      <c r="H1287" t="s">
        <v>79</v>
      </c>
      <c r="I1287" t="s">
        <v>80</v>
      </c>
      <c r="J1287" t="s">
        <v>81</v>
      </c>
      <c r="K1287" t="s">
        <v>82</v>
      </c>
      <c r="L1287" t="s">
        <v>83</v>
      </c>
      <c r="M1287" t="s">
        <v>84</v>
      </c>
      <c r="N1287">
        <v>1</v>
      </c>
      <c r="O1287" t="b">
        <v>1</v>
      </c>
      <c r="P1287">
        <v>45</v>
      </c>
      <c r="Q1287" t="s">
        <v>85</v>
      </c>
      <c r="R1287" t="s">
        <v>86</v>
      </c>
      <c r="S1287">
        <v>1</v>
      </c>
      <c r="T1287">
        <v>1</v>
      </c>
      <c r="U1287" s="36">
        <v>1.3744550000000002</v>
      </c>
      <c r="V1287" t="s">
        <v>87</v>
      </c>
      <c r="W1287">
        <v>24</v>
      </c>
      <c r="X1287">
        <v>0.45019999999999999</v>
      </c>
      <c r="Y1287">
        <v>18</v>
      </c>
      <c r="Z1287">
        <v>5.5555555555555552E-2</v>
      </c>
      <c r="AA1287">
        <v>30</v>
      </c>
      <c r="AB1287">
        <v>0</v>
      </c>
      <c r="AC1287">
        <v>515</v>
      </c>
      <c r="AD1287">
        <v>515</v>
      </c>
      <c r="AE1287" t="s">
        <v>155</v>
      </c>
      <c r="AF1287" t="s">
        <v>156</v>
      </c>
      <c r="AG1287" t="s">
        <v>240</v>
      </c>
      <c r="AH1287">
        <v>0</v>
      </c>
      <c r="AI1287">
        <v>0.9</v>
      </c>
      <c r="AJ1287" t="s">
        <v>91</v>
      </c>
      <c r="AK1287" t="s">
        <v>92</v>
      </c>
      <c r="AL1287" t="s">
        <v>93</v>
      </c>
      <c r="AM1287">
        <v>0.33553925925925926</v>
      </c>
      <c r="AN1287">
        <v>0.22369283950617286</v>
      </c>
      <c r="AO1287">
        <v>0.34672390123456792</v>
      </c>
      <c r="AP1287">
        <v>0</v>
      </c>
      <c r="AQ1287">
        <v>8.6691086691086688E-2</v>
      </c>
      <c r="AR1287">
        <v>2.6666666666666505E-3</v>
      </c>
      <c r="AS1287">
        <v>0</v>
      </c>
      <c r="AT1287">
        <v>1.0866910866910866</v>
      </c>
      <c r="AU1287">
        <v>1.0026666666666666</v>
      </c>
      <c r="AV1287">
        <v>1</v>
      </c>
      <c r="AW1287">
        <v>0</v>
      </c>
      <c r="AX1287" t="s">
        <v>3211</v>
      </c>
      <c r="AY1287">
        <v>53.4</v>
      </c>
      <c r="AZ1287">
        <v>5</v>
      </c>
      <c r="BA1287" t="s">
        <v>94</v>
      </c>
      <c r="BB1287">
        <v>3.07</v>
      </c>
      <c r="BC1287" t="s">
        <v>95</v>
      </c>
      <c r="BD1287" t="s">
        <v>96</v>
      </c>
      <c r="BE1287" t="s">
        <v>97</v>
      </c>
      <c r="BF1287">
        <v>1</v>
      </c>
      <c r="BG1287">
        <v>0</v>
      </c>
      <c r="BH1287">
        <v>0</v>
      </c>
      <c r="BI1287" t="s">
        <v>98</v>
      </c>
    </row>
    <row r="1288" spans="1:61">
      <c r="A1288" s="164" t="s">
        <v>3212</v>
      </c>
      <c r="B1288" t="s">
        <v>3213</v>
      </c>
      <c r="C1288">
        <v>0</v>
      </c>
      <c r="D1288" t="s">
        <v>147</v>
      </c>
      <c r="E1288">
        <v>0</v>
      </c>
      <c r="F1288" t="s">
        <v>472</v>
      </c>
      <c r="G1288" t="s">
        <v>78</v>
      </c>
      <c r="H1288" t="s">
        <v>79</v>
      </c>
      <c r="I1288" t="s">
        <v>80</v>
      </c>
      <c r="J1288" t="s">
        <v>81</v>
      </c>
      <c r="K1288" t="s">
        <v>82</v>
      </c>
      <c r="L1288" t="s">
        <v>83</v>
      </c>
      <c r="M1288" t="s">
        <v>84</v>
      </c>
      <c r="N1288">
        <v>0.18</v>
      </c>
      <c r="O1288" t="b">
        <v>1</v>
      </c>
      <c r="P1288">
        <v>45</v>
      </c>
      <c r="Q1288" t="s">
        <v>85</v>
      </c>
      <c r="R1288" t="s">
        <v>86</v>
      </c>
      <c r="S1288">
        <v>0.18</v>
      </c>
      <c r="T1288">
        <v>1</v>
      </c>
      <c r="U1288" s="36">
        <v>0.30145500000000003</v>
      </c>
      <c r="V1288" t="s">
        <v>87</v>
      </c>
      <c r="W1288">
        <v>125</v>
      </c>
      <c r="X1288">
        <v>0.38897500000000002</v>
      </c>
      <c r="Y1288">
        <v>108</v>
      </c>
      <c r="Z1288">
        <v>9.2592592592592587E-3</v>
      </c>
      <c r="AA1288">
        <v>30</v>
      </c>
      <c r="AB1288">
        <v>0</v>
      </c>
      <c r="AC1288">
        <v>515</v>
      </c>
      <c r="AD1288">
        <v>2861.1111111111113</v>
      </c>
      <c r="AE1288" t="s">
        <v>143</v>
      </c>
      <c r="AF1288" t="s">
        <v>156</v>
      </c>
      <c r="AG1288" t="s">
        <v>240</v>
      </c>
      <c r="AH1288">
        <v>0</v>
      </c>
      <c r="AI1288">
        <v>0.9</v>
      </c>
      <c r="AJ1288" t="s">
        <v>91</v>
      </c>
      <c r="AK1288" t="s">
        <v>92</v>
      </c>
      <c r="AL1288" t="s">
        <v>93</v>
      </c>
      <c r="AM1288">
        <v>0.33553925925925926</v>
      </c>
      <c r="AN1288">
        <v>0.22369283950617286</v>
      </c>
      <c r="AO1288">
        <v>0.34672390123456792</v>
      </c>
      <c r="AP1288">
        <v>0</v>
      </c>
      <c r="AQ1288">
        <v>8.6691086691086688E-2</v>
      </c>
      <c r="AR1288">
        <v>2.6666666666666505E-3</v>
      </c>
      <c r="AS1288">
        <v>0</v>
      </c>
      <c r="AT1288">
        <v>1.0866910866910866</v>
      </c>
      <c r="AU1288">
        <v>1.0026666666666666</v>
      </c>
      <c r="AV1288">
        <v>1</v>
      </c>
      <c r="AW1288">
        <v>0</v>
      </c>
      <c r="AX1288" t="s">
        <v>3214</v>
      </c>
      <c r="AY1288">
        <v>16.5</v>
      </c>
      <c r="AZ1288">
        <v>2</v>
      </c>
      <c r="BA1288" t="s">
        <v>94</v>
      </c>
      <c r="BB1288">
        <v>0.76</v>
      </c>
      <c r="BC1288" t="s">
        <v>95</v>
      </c>
      <c r="BD1288" t="s">
        <v>96</v>
      </c>
      <c r="BE1288" t="s">
        <v>97</v>
      </c>
      <c r="BF1288">
        <v>1</v>
      </c>
      <c r="BG1288">
        <v>0</v>
      </c>
      <c r="BH1288">
        <v>0</v>
      </c>
      <c r="BI1288" t="s">
        <v>98</v>
      </c>
    </row>
    <row r="1289" spans="1:61">
      <c r="A1289" s="164" t="s">
        <v>3215</v>
      </c>
      <c r="B1289" t="s">
        <v>3216</v>
      </c>
      <c r="C1289">
        <v>0</v>
      </c>
      <c r="D1289" t="s">
        <v>486</v>
      </c>
      <c r="E1289">
        <v>0</v>
      </c>
      <c r="F1289" t="s">
        <v>684</v>
      </c>
      <c r="G1289" t="s">
        <v>78</v>
      </c>
      <c r="H1289" t="s">
        <v>79</v>
      </c>
      <c r="I1289" t="s">
        <v>80</v>
      </c>
      <c r="J1289" t="s">
        <v>163</v>
      </c>
      <c r="K1289" t="s">
        <v>82</v>
      </c>
      <c r="L1289" t="s">
        <v>83</v>
      </c>
      <c r="M1289" t="s">
        <v>84</v>
      </c>
      <c r="N1289">
        <v>0.5</v>
      </c>
      <c r="O1289" t="b">
        <v>1</v>
      </c>
      <c r="P1289">
        <v>90</v>
      </c>
      <c r="Q1289" t="s">
        <v>137</v>
      </c>
      <c r="S1289">
        <v>0.5</v>
      </c>
      <c r="T1289">
        <v>1</v>
      </c>
      <c r="U1289" s="36">
        <v>4.3248100000000003</v>
      </c>
      <c r="V1289" t="s">
        <v>165</v>
      </c>
      <c r="X1289">
        <v>0</v>
      </c>
      <c r="Y1289">
        <v>45</v>
      </c>
      <c r="Z1289">
        <v>2.5000000000000001E-2</v>
      </c>
      <c r="AA1289">
        <v>35</v>
      </c>
      <c r="AB1289">
        <v>0</v>
      </c>
      <c r="AC1289">
        <v>0</v>
      </c>
      <c r="AE1289" t="s">
        <v>129</v>
      </c>
      <c r="AF1289" t="s">
        <v>684</v>
      </c>
      <c r="AG1289" t="s">
        <v>129</v>
      </c>
      <c r="AH1289">
        <v>0</v>
      </c>
      <c r="AI1289">
        <v>10.199999999999999</v>
      </c>
      <c r="AJ1289" t="s">
        <v>167</v>
      </c>
      <c r="AM1289">
        <v>10.38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 t="s">
        <v>3217</v>
      </c>
      <c r="AY1289">
        <v>22.4755</v>
      </c>
      <c r="AZ1289">
        <v>0</v>
      </c>
      <c r="BA1289" t="s">
        <v>138</v>
      </c>
      <c r="BB1289">
        <v>4.18</v>
      </c>
      <c r="BC1289" t="s">
        <v>95</v>
      </c>
      <c r="BD1289" t="s">
        <v>96</v>
      </c>
      <c r="BE1289" t="s">
        <v>97</v>
      </c>
      <c r="BF1289">
        <v>1</v>
      </c>
      <c r="BG1289">
        <v>0</v>
      </c>
      <c r="BH1289">
        <v>0</v>
      </c>
      <c r="BI1289" t="s">
        <v>98</v>
      </c>
    </row>
    <row r="1290" spans="1:61">
      <c r="A1290" s="164" t="s">
        <v>3218</v>
      </c>
      <c r="B1290" t="s">
        <v>3219</v>
      </c>
      <c r="C1290">
        <v>0</v>
      </c>
      <c r="D1290" t="s">
        <v>175</v>
      </c>
      <c r="E1290">
        <v>0</v>
      </c>
      <c r="F1290" t="s">
        <v>508</v>
      </c>
      <c r="G1290" t="s">
        <v>78</v>
      </c>
      <c r="H1290" t="s">
        <v>79</v>
      </c>
      <c r="I1290" t="s">
        <v>80</v>
      </c>
      <c r="J1290" t="s">
        <v>163</v>
      </c>
      <c r="K1290" t="s">
        <v>82</v>
      </c>
      <c r="L1290" t="s">
        <v>83</v>
      </c>
      <c r="M1290" t="s">
        <v>84</v>
      </c>
      <c r="N1290">
        <v>0.5</v>
      </c>
      <c r="O1290" t="b">
        <v>1</v>
      </c>
      <c r="P1290">
        <v>40</v>
      </c>
      <c r="Q1290" t="s">
        <v>137</v>
      </c>
      <c r="U1290" s="36">
        <v>2.4256149999999996</v>
      </c>
      <c r="V1290" t="s">
        <v>165</v>
      </c>
      <c r="W1290">
        <v>55</v>
      </c>
      <c r="X1290">
        <v>0</v>
      </c>
      <c r="Y1290">
        <v>45</v>
      </c>
      <c r="Z1290">
        <v>0</v>
      </c>
      <c r="AA1290">
        <v>35</v>
      </c>
      <c r="AB1290">
        <v>0</v>
      </c>
      <c r="AC1290">
        <v>0</v>
      </c>
      <c r="AD1290">
        <v>800</v>
      </c>
      <c r="AE1290" t="s">
        <v>166</v>
      </c>
      <c r="AF1290" t="s">
        <v>508</v>
      </c>
      <c r="AH1290">
        <v>0</v>
      </c>
      <c r="AI1290">
        <v>7.8</v>
      </c>
      <c r="AX1290" t="s">
        <v>3220</v>
      </c>
      <c r="AY1290">
        <v>0</v>
      </c>
      <c r="AZ1290">
        <v>0</v>
      </c>
      <c r="BA1290" t="s">
        <v>138</v>
      </c>
      <c r="BB1290">
        <v>5.76</v>
      </c>
      <c r="BC1290" t="s">
        <v>95</v>
      </c>
      <c r="BD1290" t="s">
        <v>96</v>
      </c>
      <c r="BE1290" t="s">
        <v>97</v>
      </c>
      <c r="BF1290">
        <v>1</v>
      </c>
      <c r="BG1290">
        <v>0</v>
      </c>
      <c r="BH1290">
        <v>0</v>
      </c>
      <c r="BI1290" t="s">
        <v>98</v>
      </c>
    </row>
    <row r="1291" spans="1:61">
      <c r="A1291" s="164" t="s">
        <v>3221</v>
      </c>
      <c r="B1291" t="s">
        <v>3222</v>
      </c>
      <c r="C1291">
        <v>0</v>
      </c>
      <c r="D1291" t="s">
        <v>107</v>
      </c>
      <c r="E1291">
        <v>0</v>
      </c>
      <c r="F1291" t="s">
        <v>1116</v>
      </c>
      <c r="G1291" t="s">
        <v>78</v>
      </c>
      <c r="H1291" t="s">
        <v>79</v>
      </c>
      <c r="I1291" t="s">
        <v>80</v>
      </c>
      <c r="J1291" t="s">
        <v>81</v>
      </c>
      <c r="K1291" t="s">
        <v>82</v>
      </c>
      <c r="L1291" t="s">
        <v>83</v>
      </c>
      <c r="M1291" t="s">
        <v>84</v>
      </c>
      <c r="N1291">
        <v>0.15</v>
      </c>
      <c r="O1291" t="b">
        <v>1</v>
      </c>
      <c r="P1291">
        <v>45</v>
      </c>
      <c r="Q1291" t="s">
        <v>85</v>
      </c>
      <c r="R1291" t="s">
        <v>86</v>
      </c>
      <c r="S1291">
        <v>0.15</v>
      </c>
      <c r="T1291">
        <v>1</v>
      </c>
      <c r="U1291" s="36">
        <v>0.11866</v>
      </c>
      <c r="V1291" t="s">
        <v>87</v>
      </c>
      <c r="W1291">
        <v>34</v>
      </c>
      <c r="X1291">
        <v>0.62562499999999999</v>
      </c>
      <c r="Y1291">
        <v>15</v>
      </c>
      <c r="Z1291">
        <v>6.6666666666666666E-2</v>
      </c>
      <c r="AA1291">
        <v>60</v>
      </c>
      <c r="AB1291">
        <v>0</v>
      </c>
      <c r="AC1291">
        <v>500</v>
      </c>
      <c r="AD1291">
        <v>555.55555555555554</v>
      </c>
      <c r="AE1291" t="s">
        <v>112</v>
      </c>
      <c r="AF1291" t="s">
        <v>1117</v>
      </c>
      <c r="AG1291" t="s">
        <v>114</v>
      </c>
      <c r="AH1291">
        <v>0</v>
      </c>
      <c r="AI1291">
        <v>0.6</v>
      </c>
      <c r="AJ1291" t="s">
        <v>91</v>
      </c>
      <c r="AK1291" t="s">
        <v>92</v>
      </c>
      <c r="AL1291" t="s">
        <v>93</v>
      </c>
      <c r="AM1291">
        <v>0.34043629629629629</v>
      </c>
      <c r="AN1291">
        <v>0.22695753086419751</v>
      </c>
      <c r="AO1291">
        <v>0.35178417283950614</v>
      </c>
      <c r="AP1291">
        <v>0</v>
      </c>
      <c r="AQ1291">
        <v>8.6691086691086688E-2</v>
      </c>
      <c r="AR1291">
        <v>2.6666666666666505E-3</v>
      </c>
      <c r="AS1291">
        <v>0</v>
      </c>
      <c r="AT1291">
        <v>1.0866910866910866</v>
      </c>
      <c r="AU1291">
        <v>1.0026666666666666</v>
      </c>
      <c r="AV1291">
        <v>1</v>
      </c>
      <c r="AW1291">
        <v>0</v>
      </c>
      <c r="AX1291" t="s">
        <v>1118</v>
      </c>
      <c r="AY1291">
        <v>5.34</v>
      </c>
      <c r="AZ1291">
        <v>0</v>
      </c>
      <c r="BA1291" t="s">
        <v>94</v>
      </c>
      <c r="BB1291">
        <v>0.18</v>
      </c>
      <c r="BC1291" t="s">
        <v>95</v>
      </c>
      <c r="BD1291" t="s">
        <v>96</v>
      </c>
      <c r="BE1291" t="s">
        <v>97</v>
      </c>
      <c r="BF1291">
        <v>1</v>
      </c>
      <c r="BG1291">
        <v>0</v>
      </c>
      <c r="BH1291">
        <v>0</v>
      </c>
      <c r="BI1291" t="s">
        <v>98</v>
      </c>
    </row>
    <row r="1292" spans="1:61">
      <c r="A1292" s="164" t="s">
        <v>3223</v>
      </c>
      <c r="B1292" t="s">
        <v>3224</v>
      </c>
      <c r="C1292">
        <v>0</v>
      </c>
      <c r="D1292" t="s">
        <v>107</v>
      </c>
      <c r="E1292">
        <v>0</v>
      </c>
      <c r="F1292" t="s">
        <v>1730</v>
      </c>
      <c r="G1292" t="s">
        <v>78</v>
      </c>
      <c r="H1292" t="s">
        <v>79</v>
      </c>
      <c r="I1292" t="s">
        <v>80</v>
      </c>
      <c r="J1292" t="s">
        <v>81</v>
      </c>
      <c r="K1292" t="s">
        <v>82</v>
      </c>
      <c r="L1292" t="s">
        <v>83</v>
      </c>
      <c r="M1292" t="s">
        <v>84</v>
      </c>
      <c r="N1292">
        <v>0.95</v>
      </c>
      <c r="O1292" t="b">
        <v>1</v>
      </c>
      <c r="P1292">
        <v>45</v>
      </c>
      <c r="Q1292" t="s">
        <v>85</v>
      </c>
      <c r="R1292" t="s">
        <v>86</v>
      </c>
      <c r="S1292">
        <v>0.95</v>
      </c>
      <c r="T1292">
        <v>1</v>
      </c>
      <c r="U1292" s="36">
        <v>1.02759</v>
      </c>
      <c r="V1292" t="s">
        <v>87</v>
      </c>
      <c r="W1292">
        <v>24</v>
      </c>
      <c r="X1292">
        <v>0.45019999999999999</v>
      </c>
      <c r="Y1292">
        <v>18</v>
      </c>
      <c r="Z1292">
        <v>5.5555555555555552E-2</v>
      </c>
      <c r="AA1292">
        <v>30</v>
      </c>
      <c r="AB1292">
        <v>0</v>
      </c>
      <c r="AC1292">
        <v>500</v>
      </c>
      <c r="AD1292">
        <v>526.31578947368428</v>
      </c>
      <c r="AE1292" t="s">
        <v>155</v>
      </c>
      <c r="AF1292" t="s">
        <v>113</v>
      </c>
      <c r="AG1292" t="s">
        <v>114</v>
      </c>
      <c r="AH1292">
        <v>0</v>
      </c>
      <c r="AI1292">
        <v>0.9</v>
      </c>
      <c r="AJ1292" t="s">
        <v>91</v>
      </c>
      <c r="AK1292" t="s">
        <v>92</v>
      </c>
      <c r="AL1292" t="s">
        <v>93</v>
      </c>
      <c r="AM1292">
        <v>0.34043629629629629</v>
      </c>
      <c r="AN1292">
        <v>0.22695753086419751</v>
      </c>
      <c r="AO1292">
        <v>0.35178417283950614</v>
      </c>
      <c r="AP1292">
        <v>0</v>
      </c>
      <c r="AQ1292">
        <v>8.6691086691086688E-2</v>
      </c>
      <c r="AR1292">
        <v>2.6666666666666505E-3</v>
      </c>
      <c r="AS1292">
        <v>0</v>
      </c>
      <c r="AT1292">
        <v>1.0866910866910866</v>
      </c>
      <c r="AU1292">
        <v>1.0026666666666666</v>
      </c>
      <c r="AV1292">
        <v>1</v>
      </c>
      <c r="AW1292">
        <v>0</v>
      </c>
      <c r="AX1292" t="s">
        <v>3225</v>
      </c>
      <c r="AY1292">
        <v>53.4</v>
      </c>
      <c r="AZ1292">
        <v>7</v>
      </c>
      <c r="BA1292" t="s">
        <v>94</v>
      </c>
      <c r="BB1292">
        <v>2.87</v>
      </c>
      <c r="BC1292" t="s">
        <v>95</v>
      </c>
      <c r="BD1292" t="s">
        <v>96</v>
      </c>
      <c r="BE1292" t="s">
        <v>97</v>
      </c>
      <c r="BF1292">
        <v>1</v>
      </c>
      <c r="BG1292">
        <v>0</v>
      </c>
      <c r="BH1292">
        <v>0</v>
      </c>
      <c r="BI1292" t="s">
        <v>98</v>
      </c>
    </row>
    <row r="1293" spans="1:61">
      <c r="A1293" s="164" t="s">
        <v>3226</v>
      </c>
      <c r="B1293" t="s">
        <v>3227</v>
      </c>
      <c r="C1293">
        <v>0</v>
      </c>
      <c r="D1293" t="s">
        <v>748</v>
      </c>
      <c r="E1293">
        <v>0</v>
      </c>
      <c r="F1293" t="s">
        <v>748</v>
      </c>
      <c r="G1293" t="s">
        <v>103</v>
      </c>
      <c r="H1293" t="s">
        <v>104</v>
      </c>
      <c r="I1293" t="s">
        <v>80</v>
      </c>
      <c r="J1293" t="s">
        <v>467</v>
      </c>
      <c r="K1293" t="s">
        <v>468</v>
      </c>
      <c r="L1293" t="s">
        <v>111</v>
      </c>
      <c r="M1293" t="s">
        <v>84</v>
      </c>
      <c r="N1293">
        <v>1.19</v>
      </c>
      <c r="O1293" t="b">
        <v>0</v>
      </c>
      <c r="P1293">
        <v>90</v>
      </c>
      <c r="Q1293" t="s">
        <v>188</v>
      </c>
      <c r="S1293">
        <v>0</v>
      </c>
      <c r="T1293">
        <v>1</v>
      </c>
      <c r="V1293" t="s">
        <v>87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G1293" t="s">
        <v>129</v>
      </c>
      <c r="AH1293">
        <v>0</v>
      </c>
      <c r="AI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Y1293">
        <v>0</v>
      </c>
      <c r="AZ1293">
        <v>2</v>
      </c>
      <c r="BA1293" t="s">
        <v>94</v>
      </c>
      <c r="BB1293">
        <v>0</v>
      </c>
      <c r="BC1293" t="s">
        <v>95</v>
      </c>
      <c r="BD1293" t="s">
        <v>469</v>
      </c>
      <c r="BE1293" t="s">
        <v>97</v>
      </c>
      <c r="BF1293">
        <v>0</v>
      </c>
      <c r="BG1293">
        <v>0</v>
      </c>
      <c r="BH1293">
        <v>0</v>
      </c>
      <c r="BI1293" t="s">
        <v>98</v>
      </c>
    </row>
    <row r="1294" spans="1:61">
      <c r="A1294" s="164" t="s">
        <v>3228</v>
      </c>
      <c r="B1294" t="s">
        <v>3229</v>
      </c>
      <c r="C1294">
        <v>0</v>
      </c>
      <c r="D1294" t="s">
        <v>101</v>
      </c>
      <c r="E1294">
        <v>0</v>
      </c>
      <c r="F1294" t="s">
        <v>102</v>
      </c>
      <c r="G1294" t="s">
        <v>103</v>
      </c>
      <c r="H1294" t="s">
        <v>104</v>
      </c>
      <c r="I1294" t="s">
        <v>80</v>
      </c>
      <c r="J1294" t="s">
        <v>81</v>
      </c>
      <c r="K1294" t="s">
        <v>82</v>
      </c>
      <c r="L1294" t="s">
        <v>83</v>
      </c>
      <c r="M1294" t="s">
        <v>84</v>
      </c>
      <c r="N1294">
        <v>1.08</v>
      </c>
      <c r="O1294" t="b">
        <v>0</v>
      </c>
      <c r="P1294">
        <v>45</v>
      </c>
      <c r="Q1294" t="s">
        <v>85</v>
      </c>
      <c r="R1294" t="s">
        <v>86</v>
      </c>
      <c r="S1294">
        <v>1.08</v>
      </c>
      <c r="T1294">
        <v>1</v>
      </c>
      <c r="U1294" s="36">
        <v>1.4610300000000001</v>
      </c>
      <c r="V1294" t="s">
        <v>87</v>
      </c>
      <c r="W1294">
        <v>0</v>
      </c>
      <c r="X1294">
        <v>0</v>
      </c>
      <c r="Y1294">
        <v>9</v>
      </c>
      <c r="Z1294">
        <v>0</v>
      </c>
      <c r="AA1294">
        <v>0</v>
      </c>
      <c r="AB1294">
        <v>0</v>
      </c>
      <c r="AC1294">
        <v>0</v>
      </c>
      <c r="AD1294">
        <v>0</v>
      </c>
      <c r="AF1294" t="s">
        <v>513</v>
      </c>
      <c r="AG1294" t="s">
        <v>129</v>
      </c>
      <c r="AH1294">
        <v>0</v>
      </c>
      <c r="AI1294">
        <v>0.8</v>
      </c>
      <c r="AJ1294" t="s">
        <v>91</v>
      </c>
      <c r="AK1294" t="s">
        <v>92</v>
      </c>
      <c r="AL1294" t="s">
        <v>93</v>
      </c>
      <c r="AM1294">
        <v>0.33631111111111106</v>
      </c>
      <c r="AN1294">
        <v>0.22420740740740738</v>
      </c>
      <c r="AO1294">
        <v>0.34752148148148143</v>
      </c>
      <c r="AP1294">
        <v>0</v>
      </c>
      <c r="AQ1294">
        <v>8.6691086691086688E-2</v>
      </c>
      <c r="AR1294">
        <v>2.6666666666666505E-3</v>
      </c>
      <c r="AS1294">
        <v>0</v>
      </c>
      <c r="AT1294">
        <v>1.0866910866910866</v>
      </c>
      <c r="AU1294">
        <v>1.0026666666666666</v>
      </c>
      <c r="AV1294">
        <v>1</v>
      </c>
      <c r="AW1294">
        <v>0</v>
      </c>
      <c r="AX1294" t="s">
        <v>3230</v>
      </c>
      <c r="AY1294">
        <v>0</v>
      </c>
      <c r="AZ1294">
        <v>0</v>
      </c>
      <c r="BA1294" t="s">
        <v>94</v>
      </c>
      <c r="BB1294">
        <v>0</v>
      </c>
      <c r="BC1294" t="s">
        <v>95</v>
      </c>
      <c r="BD1294" t="s">
        <v>139</v>
      </c>
      <c r="BE1294" t="s">
        <v>97</v>
      </c>
      <c r="BF1294">
        <v>0</v>
      </c>
      <c r="BG1294">
        <v>0</v>
      </c>
      <c r="BH1294">
        <v>0</v>
      </c>
      <c r="BI1294" t="s">
        <v>98</v>
      </c>
    </row>
    <row r="1295" spans="1:61">
      <c r="A1295" s="164" t="s">
        <v>3231</v>
      </c>
      <c r="B1295" t="s">
        <v>3232</v>
      </c>
      <c r="C1295">
        <v>0</v>
      </c>
      <c r="D1295" t="s">
        <v>101</v>
      </c>
      <c r="E1295">
        <v>0</v>
      </c>
      <c r="F1295" t="s">
        <v>102</v>
      </c>
      <c r="G1295" t="s">
        <v>103</v>
      </c>
      <c r="H1295" t="s">
        <v>104</v>
      </c>
      <c r="I1295" t="s">
        <v>80</v>
      </c>
      <c r="J1295" t="s">
        <v>81</v>
      </c>
      <c r="K1295" t="s">
        <v>468</v>
      </c>
      <c r="L1295" t="s">
        <v>111</v>
      </c>
      <c r="M1295" t="s">
        <v>84</v>
      </c>
      <c r="N1295">
        <v>0.99</v>
      </c>
      <c r="O1295" t="b">
        <v>0</v>
      </c>
      <c r="P1295">
        <v>45</v>
      </c>
      <c r="Q1295" t="s">
        <v>85</v>
      </c>
      <c r="S1295">
        <v>0</v>
      </c>
      <c r="T1295">
        <v>1</v>
      </c>
      <c r="V1295" t="s">
        <v>87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G1295" t="s">
        <v>129</v>
      </c>
      <c r="AH1295">
        <v>0</v>
      </c>
      <c r="AI1295">
        <v>0.8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Y1295">
        <v>0</v>
      </c>
      <c r="AZ1295">
        <v>7</v>
      </c>
      <c r="BA1295" t="s">
        <v>94</v>
      </c>
      <c r="BB1295">
        <v>0</v>
      </c>
      <c r="BC1295" t="s">
        <v>95</v>
      </c>
      <c r="BD1295" t="s">
        <v>469</v>
      </c>
      <c r="BE1295" t="s">
        <v>97</v>
      </c>
      <c r="BF1295">
        <v>0</v>
      </c>
      <c r="BG1295">
        <v>0</v>
      </c>
      <c r="BH1295">
        <v>0</v>
      </c>
      <c r="BI1295" t="s">
        <v>98</v>
      </c>
    </row>
    <row r="1296" spans="1:61">
      <c r="A1296" s="164" t="s">
        <v>3233</v>
      </c>
      <c r="B1296" t="s">
        <v>3234</v>
      </c>
      <c r="C1296">
        <v>0</v>
      </c>
      <c r="D1296" t="s">
        <v>101</v>
      </c>
      <c r="E1296">
        <v>0</v>
      </c>
      <c r="F1296" t="s">
        <v>102</v>
      </c>
      <c r="G1296" t="s">
        <v>103</v>
      </c>
      <c r="H1296" t="s">
        <v>104</v>
      </c>
      <c r="I1296" t="s">
        <v>80</v>
      </c>
      <c r="J1296" t="s">
        <v>81</v>
      </c>
      <c r="K1296" t="s">
        <v>468</v>
      </c>
      <c r="L1296" t="s">
        <v>111</v>
      </c>
      <c r="M1296" t="s">
        <v>84</v>
      </c>
      <c r="N1296">
        <v>0.99</v>
      </c>
      <c r="O1296" t="b">
        <v>0</v>
      </c>
      <c r="P1296">
        <v>45</v>
      </c>
      <c r="Q1296" t="s">
        <v>85</v>
      </c>
      <c r="S1296">
        <v>0</v>
      </c>
      <c r="T1296">
        <v>1</v>
      </c>
      <c r="V1296" t="s">
        <v>87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G1296" t="s">
        <v>129</v>
      </c>
      <c r="AH1296">
        <v>0</v>
      </c>
      <c r="AI1296">
        <v>0.8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Y1296">
        <v>0</v>
      </c>
      <c r="AZ1296">
        <v>2</v>
      </c>
      <c r="BA1296" t="s">
        <v>94</v>
      </c>
      <c r="BB1296">
        <v>0</v>
      </c>
      <c r="BC1296" t="s">
        <v>95</v>
      </c>
      <c r="BD1296" t="s">
        <v>469</v>
      </c>
      <c r="BE1296" t="s">
        <v>97</v>
      </c>
      <c r="BF1296">
        <v>0</v>
      </c>
      <c r="BG1296">
        <v>0</v>
      </c>
      <c r="BH1296">
        <v>0</v>
      </c>
      <c r="BI1296" t="s">
        <v>98</v>
      </c>
    </row>
    <row r="1297" spans="1:61">
      <c r="A1297" s="164" t="s">
        <v>3235</v>
      </c>
      <c r="B1297" t="s">
        <v>3236</v>
      </c>
      <c r="C1297">
        <v>0</v>
      </c>
      <c r="D1297" t="s">
        <v>101</v>
      </c>
      <c r="F1297" t="s">
        <v>102</v>
      </c>
      <c r="G1297" t="s">
        <v>103</v>
      </c>
      <c r="H1297" t="s">
        <v>104</v>
      </c>
      <c r="I1297" t="s">
        <v>80</v>
      </c>
      <c r="J1297" t="s">
        <v>81</v>
      </c>
      <c r="K1297" t="s">
        <v>468</v>
      </c>
      <c r="L1297" t="s">
        <v>111</v>
      </c>
      <c r="M1297" t="s">
        <v>84</v>
      </c>
      <c r="O1297" t="b">
        <v>0</v>
      </c>
      <c r="Q1297" t="s">
        <v>85</v>
      </c>
      <c r="AI1297">
        <v>0</v>
      </c>
      <c r="BB1297">
        <v>0</v>
      </c>
      <c r="BC1297" t="s">
        <v>95</v>
      </c>
      <c r="BD1297" t="s">
        <v>1187</v>
      </c>
      <c r="BE1297" t="s">
        <v>97</v>
      </c>
      <c r="BF1297">
        <v>0</v>
      </c>
      <c r="BG1297">
        <v>0</v>
      </c>
      <c r="BH1297">
        <v>0</v>
      </c>
      <c r="BI1297" t="s">
        <v>98</v>
      </c>
    </row>
    <row r="1298" spans="1:61">
      <c r="A1298" s="164" t="s">
        <v>3237</v>
      </c>
      <c r="B1298" t="s">
        <v>3238</v>
      </c>
      <c r="C1298">
        <v>0</v>
      </c>
      <c r="D1298" t="s">
        <v>3238</v>
      </c>
      <c r="F1298" t="s">
        <v>3238</v>
      </c>
      <c r="G1298" t="s">
        <v>103</v>
      </c>
      <c r="O1298" t="b">
        <v>0</v>
      </c>
      <c r="AI1298">
        <v>0</v>
      </c>
      <c r="BB1298">
        <v>0</v>
      </c>
      <c r="BC1298" t="s">
        <v>95</v>
      </c>
      <c r="BD1298" t="s">
        <v>96</v>
      </c>
      <c r="BE1298" t="s">
        <v>97</v>
      </c>
      <c r="BF1298">
        <v>0</v>
      </c>
      <c r="BG1298">
        <v>0</v>
      </c>
      <c r="BH1298">
        <v>0</v>
      </c>
      <c r="BI1298" t="s">
        <v>98</v>
      </c>
    </row>
    <row r="1299" spans="1:61">
      <c r="A1299" s="164" t="s">
        <v>3239</v>
      </c>
      <c r="B1299" t="s">
        <v>3240</v>
      </c>
      <c r="C1299">
        <v>0</v>
      </c>
      <c r="D1299" t="s">
        <v>479</v>
      </c>
      <c r="E1299">
        <v>0</v>
      </c>
      <c r="F1299" t="s">
        <v>480</v>
      </c>
      <c r="G1299" t="s">
        <v>103</v>
      </c>
      <c r="H1299" t="s">
        <v>104</v>
      </c>
      <c r="I1299" t="s">
        <v>80</v>
      </c>
      <c r="J1299" t="s">
        <v>467</v>
      </c>
      <c r="K1299" t="s">
        <v>468</v>
      </c>
      <c r="L1299" t="s">
        <v>111</v>
      </c>
      <c r="M1299" t="s">
        <v>84</v>
      </c>
      <c r="N1299">
        <v>0.6</v>
      </c>
      <c r="O1299" t="b">
        <v>0</v>
      </c>
      <c r="P1299">
        <v>45</v>
      </c>
      <c r="Q1299" t="s">
        <v>479</v>
      </c>
      <c r="S1299">
        <v>0.6</v>
      </c>
      <c r="T1299">
        <v>1</v>
      </c>
      <c r="V1299" t="s">
        <v>87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H1299">
        <v>0</v>
      </c>
      <c r="AI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Y1299">
        <v>0</v>
      </c>
      <c r="AZ1299">
        <v>3</v>
      </c>
      <c r="BA1299" t="s">
        <v>138</v>
      </c>
      <c r="BB1299">
        <v>0</v>
      </c>
      <c r="BC1299" t="s">
        <v>95</v>
      </c>
      <c r="BD1299" t="s">
        <v>469</v>
      </c>
      <c r="BE1299" t="s">
        <v>97</v>
      </c>
      <c r="BF1299">
        <v>0</v>
      </c>
      <c r="BG1299">
        <v>0</v>
      </c>
      <c r="BH1299">
        <v>0</v>
      </c>
      <c r="BI1299" t="s">
        <v>98</v>
      </c>
    </row>
    <row r="1300" spans="1:61">
      <c r="A1300" s="164" t="s">
        <v>3241</v>
      </c>
      <c r="B1300" t="s">
        <v>3242</v>
      </c>
      <c r="C1300">
        <v>0</v>
      </c>
      <c r="D1300" t="s">
        <v>107</v>
      </c>
      <c r="E1300">
        <v>0</v>
      </c>
      <c r="F1300" t="s">
        <v>108</v>
      </c>
      <c r="G1300" t="s">
        <v>103</v>
      </c>
      <c r="H1300" t="s">
        <v>104</v>
      </c>
      <c r="I1300" t="s">
        <v>80</v>
      </c>
      <c r="J1300" t="s">
        <v>81</v>
      </c>
      <c r="K1300" t="s">
        <v>468</v>
      </c>
      <c r="L1300" t="s">
        <v>111</v>
      </c>
      <c r="M1300" t="s">
        <v>84</v>
      </c>
      <c r="N1300">
        <v>4.5</v>
      </c>
      <c r="O1300" t="b">
        <v>0</v>
      </c>
      <c r="P1300">
        <v>45</v>
      </c>
      <c r="Q1300" t="s">
        <v>85</v>
      </c>
      <c r="S1300">
        <v>0</v>
      </c>
      <c r="T1300">
        <v>1</v>
      </c>
      <c r="U1300" s="36">
        <v>3.8226</v>
      </c>
      <c r="V1300" t="s">
        <v>87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G1300" t="s">
        <v>129</v>
      </c>
      <c r="AH1300">
        <v>0</v>
      </c>
      <c r="AI1300">
        <v>0.6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Y1300">
        <v>0</v>
      </c>
      <c r="AZ1300">
        <v>0</v>
      </c>
      <c r="BA1300" t="s">
        <v>94</v>
      </c>
      <c r="BB1300">
        <v>0</v>
      </c>
      <c r="BC1300" t="s">
        <v>95</v>
      </c>
      <c r="BD1300" t="s">
        <v>469</v>
      </c>
      <c r="BE1300" t="s">
        <v>97</v>
      </c>
      <c r="BF1300">
        <v>0</v>
      </c>
      <c r="BG1300">
        <v>0</v>
      </c>
      <c r="BH1300">
        <v>0</v>
      </c>
      <c r="BI1300" t="s">
        <v>98</v>
      </c>
    </row>
    <row r="1301" spans="1:61">
      <c r="A1301" s="164" t="s">
        <v>3243</v>
      </c>
      <c r="B1301" t="s">
        <v>3244</v>
      </c>
      <c r="C1301">
        <v>0</v>
      </c>
      <c r="D1301" t="s">
        <v>101</v>
      </c>
      <c r="E1301">
        <v>0</v>
      </c>
      <c r="F1301" t="s">
        <v>512</v>
      </c>
      <c r="G1301" t="s">
        <v>78</v>
      </c>
      <c r="H1301" t="s">
        <v>79</v>
      </c>
      <c r="I1301" t="s">
        <v>80</v>
      </c>
      <c r="J1301" t="s">
        <v>81</v>
      </c>
      <c r="K1301" t="s">
        <v>82</v>
      </c>
      <c r="L1301" t="s">
        <v>83</v>
      </c>
      <c r="M1301" t="s">
        <v>84</v>
      </c>
      <c r="N1301">
        <v>8.6999999999999994E-2</v>
      </c>
      <c r="O1301" t="b">
        <v>1</v>
      </c>
      <c r="P1301">
        <v>45</v>
      </c>
      <c r="Q1301" t="s">
        <v>85</v>
      </c>
      <c r="R1301" t="s">
        <v>86</v>
      </c>
      <c r="S1301">
        <v>0.1</v>
      </c>
      <c r="T1301">
        <v>0.87719298245614041</v>
      </c>
      <c r="U1301" s="36">
        <v>0.20752000000000001</v>
      </c>
      <c r="V1301" t="s">
        <v>87</v>
      </c>
      <c r="W1301">
        <v>150</v>
      </c>
      <c r="X1301">
        <v>0.45</v>
      </c>
      <c r="Y1301">
        <v>65</v>
      </c>
      <c r="Z1301">
        <v>1.2500000000000001E-2</v>
      </c>
      <c r="AA1301">
        <v>30</v>
      </c>
      <c r="AB1301">
        <v>0</v>
      </c>
      <c r="AC1301">
        <v>500</v>
      </c>
      <c r="AD1301">
        <v>5000</v>
      </c>
      <c r="AE1301" t="s">
        <v>88</v>
      </c>
      <c r="AF1301" t="s">
        <v>513</v>
      </c>
      <c r="AG1301" t="s">
        <v>514</v>
      </c>
      <c r="AH1301">
        <v>0</v>
      </c>
      <c r="AI1301">
        <v>0.6</v>
      </c>
      <c r="AJ1301" t="s">
        <v>91</v>
      </c>
      <c r="AK1301" t="s">
        <v>92</v>
      </c>
      <c r="AL1301" t="s">
        <v>93</v>
      </c>
      <c r="AM1301">
        <v>0.33631111111111106</v>
      </c>
      <c r="AN1301">
        <v>0.22420740740740738</v>
      </c>
      <c r="AO1301">
        <v>0.34752148148148143</v>
      </c>
      <c r="AP1301">
        <v>0</v>
      </c>
      <c r="AQ1301">
        <v>8.6691086691086688E-2</v>
      </c>
      <c r="AR1301">
        <v>2.6666666666666505E-3</v>
      </c>
      <c r="AS1301">
        <v>0</v>
      </c>
      <c r="AT1301">
        <v>1.0866910866910866</v>
      </c>
      <c r="AU1301">
        <v>1.0026666666666666</v>
      </c>
      <c r="AV1301">
        <v>1</v>
      </c>
      <c r="AW1301">
        <v>0</v>
      </c>
      <c r="AY1301">
        <v>15.98</v>
      </c>
      <c r="AZ1301">
        <v>0</v>
      </c>
      <c r="BA1301" t="s">
        <v>94</v>
      </c>
      <c r="BB1301">
        <v>0</v>
      </c>
      <c r="BC1301" t="s">
        <v>95</v>
      </c>
      <c r="BD1301" t="s">
        <v>96</v>
      </c>
      <c r="BE1301" t="s">
        <v>97</v>
      </c>
      <c r="BF1301">
        <v>1</v>
      </c>
      <c r="BG1301">
        <v>0</v>
      </c>
      <c r="BH1301">
        <v>0</v>
      </c>
      <c r="BI1301" t="s">
        <v>98</v>
      </c>
    </row>
    <row r="1302" spans="1:61">
      <c r="A1302" s="164" t="s">
        <v>3245</v>
      </c>
      <c r="B1302" t="s">
        <v>3246</v>
      </c>
      <c r="C1302">
        <v>0</v>
      </c>
      <c r="D1302" t="s">
        <v>194</v>
      </c>
      <c r="E1302">
        <v>0</v>
      </c>
      <c r="F1302" t="s">
        <v>195</v>
      </c>
      <c r="G1302" t="s">
        <v>78</v>
      </c>
      <c r="H1302" t="s">
        <v>79</v>
      </c>
      <c r="I1302" t="s">
        <v>80</v>
      </c>
      <c r="J1302" t="s">
        <v>196</v>
      </c>
      <c r="K1302" t="s">
        <v>13</v>
      </c>
      <c r="L1302" t="s">
        <v>83</v>
      </c>
      <c r="M1302" t="s">
        <v>84</v>
      </c>
      <c r="N1302">
        <v>1</v>
      </c>
      <c r="O1302" t="b">
        <v>1</v>
      </c>
      <c r="P1302">
        <v>0</v>
      </c>
      <c r="BB1302">
        <v>0</v>
      </c>
      <c r="BC1302" t="s">
        <v>197</v>
      </c>
      <c r="BD1302" t="s">
        <v>198</v>
      </c>
      <c r="BE1302" t="s">
        <v>117</v>
      </c>
      <c r="BF1302">
        <v>0</v>
      </c>
      <c r="BG1302">
        <v>0</v>
      </c>
      <c r="BH1302">
        <v>0</v>
      </c>
    </row>
    <row r="1303" spans="1:61">
      <c r="A1303" s="164" t="s">
        <v>3247</v>
      </c>
      <c r="B1303" t="s">
        <v>3248</v>
      </c>
      <c r="C1303">
        <v>0</v>
      </c>
      <c r="D1303" t="s">
        <v>194</v>
      </c>
      <c r="E1303">
        <v>0</v>
      </c>
      <c r="F1303" t="s">
        <v>195</v>
      </c>
      <c r="G1303" t="s">
        <v>78</v>
      </c>
      <c r="H1303" t="s">
        <v>79</v>
      </c>
      <c r="I1303" t="s">
        <v>80</v>
      </c>
      <c r="J1303" t="s">
        <v>196</v>
      </c>
      <c r="K1303" t="s">
        <v>13</v>
      </c>
      <c r="L1303" t="s">
        <v>83</v>
      </c>
      <c r="M1303" t="s">
        <v>84</v>
      </c>
      <c r="N1303">
        <v>1</v>
      </c>
      <c r="O1303" t="b">
        <v>1</v>
      </c>
      <c r="P1303">
        <v>0</v>
      </c>
      <c r="BB1303">
        <v>0</v>
      </c>
      <c r="BC1303" t="s">
        <v>197</v>
      </c>
      <c r="BD1303" t="s">
        <v>198</v>
      </c>
      <c r="BE1303" t="s">
        <v>117</v>
      </c>
      <c r="BF1303">
        <v>0</v>
      </c>
      <c r="BG1303">
        <v>0</v>
      </c>
      <c r="BH1303">
        <v>0</v>
      </c>
    </row>
    <row r="1304" spans="1:61">
      <c r="A1304" s="164" t="s">
        <v>3249</v>
      </c>
      <c r="B1304" t="s">
        <v>3250</v>
      </c>
      <c r="C1304">
        <v>0</v>
      </c>
      <c r="D1304" t="s">
        <v>194</v>
      </c>
      <c r="E1304">
        <v>0</v>
      </c>
      <c r="F1304" t="s">
        <v>195</v>
      </c>
      <c r="G1304" t="s">
        <v>78</v>
      </c>
      <c r="H1304" t="s">
        <v>79</v>
      </c>
      <c r="I1304" t="s">
        <v>80</v>
      </c>
      <c r="J1304" t="s">
        <v>196</v>
      </c>
      <c r="K1304" t="s">
        <v>13</v>
      </c>
      <c r="L1304" t="s">
        <v>83</v>
      </c>
      <c r="M1304" t="s">
        <v>84</v>
      </c>
      <c r="N1304">
        <v>1</v>
      </c>
      <c r="O1304" t="b">
        <v>1</v>
      </c>
      <c r="P1304">
        <v>0</v>
      </c>
      <c r="BB1304">
        <v>0</v>
      </c>
      <c r="BC1304" t="s">
        <v>197</v>
      </c>
      <c r="BD1304" t="s">
        <v>198</v>
      </c>
      <c r="BE1304" t="s">
        <v>117</v>
      </c>
      <c r="BF1304">
        <v>0</v>
      </c>
      <c r="BG1304">
        <v>0</v>
      </c>
      <c r="BH1304">
        <v>0</v>
      </c>
    </row>
    <row r="1305" spans="1:61">
      <c r="A1305" s="164" t="s">
        <v>3251</v>
      </c>
      <c r="B1305" t="s">
        <v>3252</v>
      </c>
      <c r="C1305">
        <v>0</v>
      </c>
      <c r="D1305" t="s">
        <v>194</v>
      </c>
      <c r="E1305">
        <v>0</v>
      </c>
      <c r="F1305" t="s">
        <v>195</v>
      </c>
      <c r="G1305" t="s">
        <v>78</v>
      </c>
      <c r="H1305" t="s">
        <v>79</v>
      </c>
      <c r="I1305" t="s">
        <v>80</v>
      </c>
      <c r="J1305" t="s">
        <v>196</v>
      </c>
      <c r="K1305" t="s">
        <v>13</v>
      </c>
      <c r="L1305" t="s">
        <v>83</v>
      </c>
      <c r="M1305" t="s">
        <v>84</v>
      </c>
      <c r="N1305">
        <v>1</v>
      </c>
      <c r="O1305" t="b">
        <v>1</v>
      </c>
      <c r="P1305">
        <v>0</v>
      </c>
      <c r="BB1305">
        <v>0</v>
      </c>
      <c r="BC1305" t="s">
        <v>197</v>
      </c>
      <c r="BD1305" t="s">
        <v>198</v>
      </c>
      <c r="BE1305" t="s">
        <v>117</v>
      </c>
      <c r="BF1305">
        <v>0</v>
      </c>
      <c r="BG1305">
        <v>0</v>
      </c>
      <c r="BH1305">
        <v>0</v>
      </c>
    </row>
    <row r="1306" spans="1:61">
      <c r="A1306" s="164" t="s">
        <v>3253</v>
      </c>
      <c r="B1306" t="s">
        <v>3254</v>
      </c>
      <c r="C1306">
        <v>0</v>
      </c>
      <c r="D1306" t="s">
        <v>194</v>
      </c>
      <c r="E1306">
        <v>0</v>
      </c>
      <c r="F1306" t="s">
        <v>214</v>
      </c>
      <c r="G1306" t="s">
        <v>78</v>
      </c>
      <c r="H1306" t="s">
        <v>79</v>
      </c>
      <c r="I1306" t="s">
        <v>80</v>
      </c>
      <c r="J1306" t="s">
        <v>196</v>
      </c>
      <c r="K1306" t="s">
        <v>13</v>
      </c>
      <c r="L1306" t="s">
        <v>83</v>
      </c>
      <c r="M1306" t="s">
        <v>215</v>
      </c>
      <c r="N1306">
        <v>1</v>
      </c>
      <c r="O1306" t="b">
        <v>1</v>
      </c>
      <c r="P1306">
        <v>0</v>
      </c>
      <c r="BB1306">
        <v>0</v>
      </c>
      <c r="BC1306" t="s">
        <v>197</v>
      </c>
      <c r="BD1306" t="s">
        <v>216</v>
      </c>
      <c r="BE1306" t="s">
        <v>117</v>
      </c>
      <c r="BF1306">
        <v>0</v>
      </c>
      <c r="BG1306">
        <v>0</v>
      </c>
      <c r="BH1306">
        <v>0</v>
      </c>
    </row>
    <row r="1307" spans="1:61">
      <c r="A1307" s="164" t="s">
        <v>3255</v>
      </c>
      <c r="B1307" t="s">
        <v>3256</v>
      </c>
      <c r="C1307">
        <v>0</v>
      </c>
      <c r="D1307" t="s">
        <v>194</v>
      </c>
      <c r="E1307">
        <v>0</v>
      </c>
      <c r="F1307" t="s">
        <v>214</v>
      </c>
      <c r="G1307" t="s">
        <v>78</v>
      </c>
      <c r="H1307" t="s">
        <v>79</v>
      </c>
      <c r="I1307" t="s">
        <v>80</v>
      </c>
      <c r="J1307" t="s">
        <v>196</v>
      </c>
      <c r="K1307" t="s">
        <v>13</v>
      </c>
      <c r="L1307" t="s">
        <v>83</v>
      </c>
      <c r="M1307" t="s">
        <v>215</v>
      </c>
      <c r="N1307">
        <v>1</v>
      </c>
      <c r="O1307" t="b">
        <v>1</v>
      </c>
      <c r="P1307">
        <v>0</v>
      </c>
      <c r="BB1307">
        <v>0</v>
      </c>
      <c r="BC1307" t="s">
        <v>197</v>
      </c>
      <c r="BD1307" t="s">
        <v>216</v>
      </c>
      <c r="BE1307" t="s">
        <v>117</v>
      </c>
      <c r="BF1307">
        <v>0</v>
      </c>
      <c r="BG1307">
        <v>0</v>
      </c>
      <c r="BH1307">
        <v>0</v>
      </c>
    </row>
    <row r="1308" spans="1:61">
      <c r="A1308" s="164" t="s">
        <v>3257</v>
      </c>
      <c r="B1308" t="s">
        <v>3258</v>
      </c>
      <c r="C1308">
        <v>0</v>
      </c>
      <c r="D1308" t="s">
        <v>194</v>
      </c>
      <c r="E1308">
        <v>0</v>
      </c>
      <c r="F1308" t="s">
        <v>195</v>
      </c>
      <c r="G1308" t="s">
        <v>78</v>
      </c>
      <c r="H1308" t="s">
        <v>79</v>
      </c>
      <c r="I1308" t="s">
        <v>80</v>
      </c>
      <c r="J1308" t="s">
        <v>196</v>
      </c>
      <c r="K1308" t="s">
        <v>13</v>
      </c>
      <c r="L1308" t="s">
        <v>83</v>
      </c>
      <c r="M1308" t="s">
        <v>205</v>
      </c>
      <c r="N1308">
        <v>1</v>
      </c>
      <c r="O1308" t="b">
        <v>1</v>
      </c>
      <c r="P1308">
        <v>0</v>
      </c>
      <c r="BB1308">
        <v>0</v>
      </c>
      <c r="BC1308" t="s">
        <v>197</v>
      </c>
      <c r="BD1308" t="s">
        <v>198</v>
      </c>
      <c r="BE1308" t="s">
        <v>117</v>
      </c>
      <c r="BF1308">
        <v>0</v>
      </c>
      <c r="BG1308">
        <v>0</v>
      </c>
      <c r="BH1308">
        <v>0</v>
      </c>
    </row>
    <row r="1309" spans="1:61">
      <c r="A1309" s="164" t="s">
        <v>3259</v>
      </c>
      <c r="B1309" t="s">
        <v>3260</v>
      </c>
      <c r="C1309">
        <v>0</v>
      </c>
      <c r="D1309" t="s">
        <v>194</v>
      </c>
      <c r="E1309">
        <v>0</v>
      </c>
      <c r="F1309" t="s">
        <v>195</v>
      </c>
      <c r="G1309" t="s">
        <v>78</v>
      </c>
      <c r="H1309" t="s">
        <v>79</v>
      </c>
      <c r="I1309" t="s">
        <v>80</v>
      </c>
      <c r="J1309" t="s">
        <v>196</v>
      </c>
      <c r="K1309" t="s">
        <v>13</v>
      </c>
      <c r="L1309" t="s">
        <v>83</v>
      </c>
      <c r="M1309" t="s">
        <v>205</v>
      </c>
      <c r="N1309">
        <v>1</v>
      </c>
      <c r="O1309" t="b">
        <v>1</v>
      </c>
      <c r="P1309">
        <v>0</v>
      </c>
      <c r="BB1309">
        <v>0</v>
      </c>
      <c r="BC1309" t="s">
        <v>197</v>
      </c>
      <c r="BD1309" t="s">
        <v>198</v>
      </c>
      <c r="BE1309" t="s">
        <v>117</v>
      </c>
      <c r="BF1309">
        <v>0</v>
      </c>
      <c r="BG1309">
        <v>0</v>
      </c>
      <c r="BH1309">
        <v>0</v>
      </c>
    </row>
    <row r="1310" spans="1:61">
      <c r="A1310" s="164" t="s">
        <v>3261</v>
      </c>
      <c r="B1310" t="s">
        <v>3262</v>
      </c>
      <c r="C1310">
        <v>0</v>
      </c>
      <c r="D1310" t="s">
        <v>194</v>
      </c>
      <c r="E1310">
        <v>0</v>
      </c>
      <c r="F1310" t="s">
        <v>195</v>
      </c>
      <c r="G1310" t="s">
        <v>78</v>
      </c>
      <c r="H1310" t="s">
        <v>79</v>
      </c>
      <c r="I1310" t="s">
        <v>80</v>
      </c>
      <c r="J1310" t="s">
        <v>196</v>
      </c>
      <c r="K1310" t="s">
        <v>13</v>
      </c>
      <c r="L1310" t="s">
        <v>83</v>
      </c>
      <c r="M1310" t="s">
        <v>205</v>
      </c>
      <c r="N1310">
        <v>1</v>
      </c>
      <c r="O1310" t="b">
        <v>1</v>
      </c>
      <c r="P1310">
        <v>0</v>
      </c>
      <c r="BB1310">
        <v>0</v>
      </c>
      <c r="BC1310" t="s">
        <v>197</v>
      </c>
      <c r="BD1310" t="s">
        <v>198</v>
      </c>
      <c r="BE1310" t="s">
        <v>117</v>
      </c>
      <c r="BF1310">
        <v>0</v>
      </c>
      <c r="BG1310">
        <v>0</v>
      </c>
      <c r="BH1310">
        <v>0</v>
      </c>
    </row>
    <row r="1311" spans="1:61">
      <c r="A1311" s="164" t="s">
        <v>3263</v>
      </c>
      <c r="B1311" t="s">
        <v>3264</v>
      </c>
      <c r="C1311">
        <v>0</v>
      </c>
      <c r="D1311" t="s">
        <v>194</v>
      </c>
      <c r="E1311">
        <v>0</v>
      </c>
      <c r="F1311" t="s">
        <v>195</v>
      </c>
      <c r="G1311" t="s">
        <v>78</v>
      </c>
      <c r="H1311" t="s">
        <v>79</v>
      </c>
      <c r="I1311" t="s">
        <v>80</v>
      </c>
      <c r="J1311" t="s">
        <v>196</v>
      </c>
      <c r="K1311" t="s">
        <v>13</v>
      </c>
      <c r="L1311" t="s">
        <v>83</v>
      </c>
      <c r="M1311" t="s">
        <v>215</v>
      </c>
      <c r="N1311">
        <v>1</v>
      </c>
      <c r="O1311" t="b">
        <v>1</v>
      </c>
      <c r="P1311">
        <v>0</v>
      </c>
      <c r="BB1311">
        <v>0</v>
      </c>
      <c r="BC1311" t="s">
        <v>197</v>
      </c>
      <c r="BD1311" t="s">
        <v>198</v>
      </c>
      <c r="BE1311" t="s">
        <v>117</v>
      </c>
      <c r="BF1311">
        <v>0</v>
      </c>
      <c r="BG1311">
        <v>0</v>
      </c>
      <c r="BH1311">
        <v>0</v>
      </c>
    </row>
    <row r="1312" spans="1:61">
      <c r="A1312" s="164" t="s">
        <v>3265</v>
      </c>
      <c r="B1312" t="s">
        <v>3266</v>
      </c>
      <c r="C1312">
        <v>0</v>
      </c>
      <c r="D1312" t="s">
        <v>194</v>
      </c>
      <c r="E1312">
        <v>0</v>
      </c>
      <c r="F1312" t="s">
        <v>195</v>
      </c>
      <c r="G1312" t="s">
        <v>78</v>
      </c>
      <c r="H1312" t="s">
        <v>79</v>
      </c>
      <c r="I1312" t="s">
        <v>80</v>
      </c>
      <c r="J1312" t="s">
        <v>196</v>
      </c>
      <c r="K1312" t="s">
        <v>13</v>
      </c>
      <c r="L1312" t="s">
        <v>83</v>
      </c>
      <c r="M1312" t="s">
        <v>84</v>
      </c>
      <c r="N1312">
        <v>1</v>
      </c>
      <c r="O1312" t="b">
        <v>1</v>
      </c>
      <c r="P1312">
        <v>0</v>
      </c>
      <c r="BB1312">
        <v>0</v>
      </c>
      <c r="BC1312" t="s">
        <v>197</v>
      </c>
      <c r="BD1312" t="s">
        <v>198</v>
      </c>
      <c r="BE1312" t="s">
        <v>117</v>
      </c>
      <c r="BF1312">
        <v>0</v>
      </c>
      <c r="BG1312">
        <v>0</v>
      </c>
      <c r="BH1312">
        <v>0</v>
      </c>
    </row>
    <row r="1313" spans="1:61">
      <c r="A1313" s="164" t="s">
        <v>3267</v>
      </c>
      <c r="B1313" t="s">
        <v>3268</v>
      </c>
      <c r="C1313">
        <v>0</v>
      </c>
      <c r="D1313" t="s">
        <v>194</v>
      </c>
      <c r="E1313">
        <v>0</v>
      </c>
      <c r="F1313" t="s">
        <v>195</v>
      </c>
      <c r="G1313" t="s">
        <v>78</v>
      </c>
      <c r="H1313" t="s">
        <v>79</v>
      </c>
      <c r="I1313" t="s">
        <v>80</v>
      </c>
      <c r="J1313" t="s">
        <v>196</v>
      </c>
      <c r="K1313" t="s">
        <v>13</v>
      </c>
      <c r="L1313" t="s">
        <v>83</v>
      </c>
      <c r="M1313" t="s">
        <v>84</v>
      </c>
      <c r="N1313">
        <v>1</v>
      </c>
      <c r="O1313" t="b">
        <v>1</v>
      </c>
      <c r="P1313">
        <v>0</v>
      </c>
      <c r="BB1313">
        <v>0</v>
      </c>
      <c r="BC1313" t="s">
        <v>197</v>
      </c>
      <c r="BD1313" t="s">
        <v>198</v>
      </c>
      <c r="BE1313" t="s">
        <v>117</v>
      </c>
      <c r="BF1313">
        <v>0</v>
      </c>
      <c r="BG1313">
        <v>0</v>
      </c>
      <c r="BH1313">
        <v>0</v>
      </c>
    </row>
    <row r="1314" spans="1:61">
      <c r="A1314" s="164" t="s">
        <v>3269</v>
      </c>
      <c r="B1314" t="s">
        <v>3270</v>
      </c>
      <c r="C1314">
        <v>0</v>
      </c>
      <c r="D1314" t="s">
        <v>194</v>
      </c>
      <c r="E1314">
        <v>0</v>
      </c>
      <c r="F1314" t="s">
        <v>195</v>
      </c>
      <c r="G1314" t="s">
        <v>78</v>
      </c>
      <c r="H1314" t="s">
        <v>79</v>
      </c>
      <c r="I1314" t="s">
        <v>80</v>
      </c>
      <c r="J1314" t="s">
        <v>196</v>
      </c>
      <c r="K1314" t="s">
        <v>13</v>
      </c>
      <c r="L1314" t="s">
        <v>83</v>
      </c>
      <c r="M1314" t="s">
        <v>84</v>
      </c>
      <c r="N1314">
        <v>1</v>
      </c>
      <c r="O1314" t="b">
        <v>1</v>
      </c>
      <c r="P1314">
        <v>0</v>
      </c>
      <c r="BB1314">
        <v>0</v>
      </c>
      <c r="BC1314" t="s">
        <v>197</v>
      </c>
      <c r="BD1314" t="s">
        <v>198</v>
      </c>
      <c r="BE1314" t="s">
        <v>117</v>
      </c>
      <c r="BF1314">
        <v>0</v>
      </c>
      <c r="BG1314">
        <v>0</v>
      </c>
      <c r="BH1314">
        <v>0</v>
      </c>
    </row>
    <row r="1315" spans="1:61">
      <c r="A1315" s="164" t="s">
        <v>3271</v>
      </c>
      <c r="B1315" t="s">
        <v>3272</v>
      </c>
      <c r="C1315">
        <v>0</v>
      </c>
      <c r="D1315" t="s">
        <v>194</v>
      </c>
      <c r="E1315">
        <v>0</v>
      </c>
      <c r="F1315" t="s">
        <v>195</v>
      </c>
      <c r="G1315" t="s">
        <v>78</v>
      </c>
      <c r="H1315" t="s">
        <v>79</v>
      </c>
      <c r="I1315" t="s">
        <v>80</v>
      </c>
      <c r="J1315" t="s">
        <v>196</v>
      </c>
      <c r="K1315" t="s">
        <v>13</v>
      </c>
      <c r="L1315" t="s">
        <v>83</v>
      </c>
      <c r="M1315" t="s">
        <v>84</v>
      </c>
      <c r="N1315">
        <v>1</v>
      </c>
      <c r="O1315" t="b">
        <v>1</v>
      </c>
      <c r="P1315">
        <v>0</v>
      </c>
      <c r="BB1315">
        <v>0</v>
      </c>
      <c r="BC1315" t="s">
        <v>197</v>
      </c>
      <c r="BD1315" t="s">
        <v>198</v>
      </c>
      <c r="BE1315" t="s">
        <v>117</v>
      </c>
      <c r="BF1315">
        <v>0</v>
      </c>
      <c r="BG1315">
        <v>0</v>
      </c>
      <c r="BH1315">
        <v>0</v>
      </c>
    </row>
    <row r="1316" spans="1:61">
      <c r="A1316" s="164" t="s">
        <v>3273</v>
      </c>
      <c r="B1316" t="s">
        <v>3274</v>
      </c>
      <c r="C1316">
        <v>0</v>
      </c>
      <c r="D1316" t="s">
        <v>194</v>
      </c>
      <c r="E1316">
        <v>0</v>
      </c>
      <c r="F1316" t="s">
        <v>195</v>
      </c>
      <c r="G1316" t="s">
        <v>78</v>
      </c>
      <c r="H1316" t="s">
        <v>79</v>
      </c>
      <c r="I1316" t="s">
        <v>80</v>
      </c>
      <c r="J1316" t="s">
        <v>196</v>
      </c>
      <c r="K1316" t="s">
        <v>13</v>
      </c>
      <c r="L1316" t="s">
        <v>83</v>
      </c>
      <c r="M1316" t="s">
        <v>84</v>
      </c>
      <c r="N1316">
        <v>1</v>
      </c>
      <c r="O1316" t="b">
        <v>1</v>
      </c>
      <c r="P1316">
        <v>0</v>
      </c>
      <c r="BB1316">
        <v>0</v>
      </c>
      <c r="BC1316" t="s">
        <v>197</v>
      </c>
      <c r="BD1316" t="s">
        <v>198</v>
      </c>
      <c r="BE1316" t="s">
        <v>117</v>
      </c>
      <c r="BF1316">
        <v>0</v>
      </c>
      <c r="BG1316">
        <v>0</v>
      </c>
      <c r="BH1316">
        <v>0</v>
      </c>
    </row>
    <row r="1317" spans="1:61">
      <c r="A1317" s="164" t="s">
        <v>3275</v>
      </c>
      <c r="B1317" t="s">
        <v>3276</v>
      </c>
      <c r="C1317">
        <v>0</v>
      </c>
      <c r="D1317" t="s">
        <v>194</v>
      </c>
      <c r="E1317">
        <v>0</v>
      </c>
      <c r="F1317" t="s">
        <v>195</v>
      </c>
      <c r="G1317" t="s">
        <v>78</v>
      </c>
      <c r="H1317" t="s">
        <v>79</v>
      </c>
      <c r="I1317" t="s">
        <v>80</v>
      </c>
      <c r="J1317" t="s">
        <v>196</v>
      </c>
      <c r="K1317" t="s">
        <v>13</v>
      </c>
      <c r="L1317" t="s">
        <v>83</v>
      </c>
      <c r="M1317" t="s">
        <v>84</v>
      </c>
      <c r="N1317">
        <v>1</v>
      </c>
      <c r="O1317" t="b">
        <v>1</v>
      </c>
      <c r="P1317">
        <v>0</v>
      </c>
      <c r="BB1317">
        <v>0</v>
      </c>
      <c r="BC1317" t="s">
        <v>197</v>
      </c>
      <c r="BD1317" t="s">
        <v>198</v>
      </c>
      <c r="BE1317" t="s">
        <v>117</v>
      </c>
      <c r="BF1317">
        <v>0</v>
      </c>
      <c r="BG1317">
        <v>0</v>
      </c>
      <c r="BH1317">
        <v>0</v>
      </c>
    </row>
    <row r="1318" spans="1:61">
      <c r="A1318" s="164" t="s">
        <v>3277</v>
      </c>
      <c r="B1318" t="s">
        <v>3278</v>
      </c>
      <c r="C1318">
        <v>0</v>
      </c>
      <c r="D1318" t="s">
        <v>194</v>
      </c>
      <c r="E1318">
        <v>0</v>
      </c>
      <c r="F1318" t="s">
        <v>195</v>
      </c>
      <c r="G1318" t="s">
        <v>78</v>
      </c>
      <c r="H1318" t="s">
        <v>79</v>
      </c>
      <c r="I1318" t="s">
        <v>80</v>
      </c>
      <c r="J1318" t="s">
        <v>196</v>
      </c>
      <c r="K1318" t="s">
        <v>13</v>
      </c>
      <c r="L1318" t="s">
        <v>83</v>
      </c>
      <c r="M1318" t="s">
        <v>84</v>
      </c>
      <c r="N1318">
        <v>1</v>
      </c>
      <c r="O1318" t="b">
        <v>1</v>
      </c>
      <c r="P1318">
        <v>0</v>
      </c>
      <c r="BB1318">
        <v>0</v>
      </c>
      <c r="BC1318" t="s">
        <v>197</v>
      </c>
      <c r="BD1318" t="s">
        <v>198</v>
      </c>
      <c r="BE1318" t="s">
        <v>117</v>
      </c>
      <c r="BF1318">
        <v>0</v>
      </c>
      <c r="BG1318">
        <v>0</v>
      </c>
      <c r="BH1318">
        <v>0</v>
      </c>
    </row>
    <row r="1319" spans="1:61">
      <c r="A1319" s="164" t="s">
        <v>3279</v>
      </c>
      <c r="B1319" t="s">
        <v>3280</v>
      </c>
      <c r="C1319">
        <v>0</v>
      </c>
      <c r="D1319" t="s">
        <v>194</v>
      </c>
      <c r="E1319">
        <v>0</v>
      </c>
      <c r="F1319" t="s">
        <v>214</v>
      </c>
      <c r="G1319" t="s">
        <v>78</v>
      </c>
      <c r="H1319" t="s">
        <v>79</v>
      </c>
      <c r="I1319" t="s">
        <v>80</v>
      </c>
      <c r="J1319" t="s">
        <v>196</v>
      </c>
      <c r="K1319" t="s">
        <v>13</v>
      </c>
      <c r="L1319" t="s">
        <v>83</v>
      </c>
      <c r="M1319" t="s">
        <v>215</v>
      </c>
      <c r="N1319">
        <v>1</v>
      </c>
      <c r="O1319" t="b">
        <v>1</v>
      </c>
      <c r="P1319">
        <v>0</v>
      </c>
      <c r="BB1319">
        <v>0</v>
      </c>
      <c r="BC1319" t="s">
        <v>197</v>
      </c>
      <c r="BD1319" t="s">
        <v>216</v>
      </c>
      <c r="BE1319" t="s">
        <v>117</v>
      </c>
      <c r="BF1319">
        <v>0</v>
      </c>
      <c r="BG1319">
        <v>0</v>
      </c>
      <c r="BH1319">
        <v>0</v>
      </c>
    </row>
    <row r="1320" spans="1:61">
      <c r="A1320" s="164" t="s">
        <v>3281</v>
      </c>
      <c r="B1320" t="s">
        <v>3282</v>
      </c>
      <c r="C1320">
        <v>0</v>
      </c>
      <c r="D1320" t="s">
        <v>257</v>
      </c>
      <c r="E1320">
        <v>0</v>
      </c>
      <c r="F1320" t="s">
        <v>955</v>
      </c>
      <c r="G1320" t="s">
        <v>78</v>
      </c>
      <c r="H1320" t="s">
        <v>79</v>
      </c>
      <c r="I1320" t="s">
        <v>80</v>
      </c>
      <c r="J1320" t="s">
        <v>196</v>
      </c>
      <c r="K1320" t="s">
        <v>13</v>
      </c>
      <c r="L1320" t="s">
        <v>83</v>
      </c>
      <c r="M1320" t="s">
        <v>84</v>
      </c>
      <c r="N1320">
        <v>1</v>
      </c>
      <c r="O1320" t="b">
        <v>1</v>
      </c>
      <c r="P1320">
        <v>0</v>
      </c>
      <c r="BB1320">
        <v>0</v>
      </c>
      <c r="BC1320" t="s">
        <v>259</v>
      </c>
      <c r="BD1320" t="s">
        <v>956</v>
      </c>
      <c r="BE1320" t="s">
        <v>117</v>
      </c>
      <c r="BF1320">
        <v>0</v>
      </c>
      <c r="BG1320">
        <v>50</v>
      </c>
      <c r="BH1320">
        <v>50</v>
      </c>
      <c r="BI1320" t="s">
        <v>1347</v>
      </c>
    </row>
    <row r="1321" spans="1:61">
      <c r="A1321" s="164" t="s">
        <v>3283</v>
      </c>
      <c r="B1321" t="s">
        <v>3284</v>
      </c>
      <c r="C1321">
        <v>0</v>
      </c>
      <c r="D1321" t="s">
        <v>257</v>
      </c>
      <c r="E1321">
        <v>0</v>
      </c>
      <c r="F1321" t="s">
        <v>258</v>
      </c>
      <c r="G1321" t="s">
        <v>78</v>
      </c>
      <c r="H1321" t="s">
        <v>79</v>
      </c>
      <c r="I1321" t="s">
        <v>80</v>
      </c>
      <c r="J1321" t="s">
        <v>196</v>
      </c>
      <c r="K1321" t="s">
        <v>13</v>
      </c>
      <c r="L1321" t="s">
        <v>83</v>
      </c>
      <c r="M1321" t="s">
        <v>84</v>
      </c>
      <c r="N1321">
        <v>1</v>
      </c>
      <c r="O1321" t="b">
        <v>1</v>
      </c>
      <c r="P1321">
        <v>0</v>
      </c>
      <c r="BB1321">
        <v>0</v>
      </c>
      <c r="BC1321" t="s">
        <v>259</v>
      </c>
      <c r="BD1321" t="s">
        <v>260</v>
      </c>
      <c r="BE1321" t="s">
        <v>117</v>
      </c>
      <c r="BF1321">
        <v>0</v>
      </c>
      <c r="BG1321">
        <v>60</v>
      </c>
      <c r="BH1321">
        <v>20</v>
      </c>
      <c r="BI1321" t="s">
        <v>1897</v>
      </c>
    </row>
    <row r="1322" spans="1:61">
      <c r="A1322" s="164" t="s">
        <v>3285</v>
      </c>
      <c r="B1322" t="s">
        <v>3286</v>
      </c>
      <c r="C1322">
        <v>0</v>
      </c>
      <c r="D1322" t="s">
        <v>257</v>
      </c>
      <c r="E1322">
        <v>0</v>
      </c>
      <c r="F1322" t="s">
        <v>269</v>
      </c>
      <c r="G1322" t="s">
        <v>103</v>
      </c>
      <c r="H1322" t="s">
        <v>104</v>
      </c>
      <c r="I1322" t="s">
        <v>80</v>
      </c>
      <c r="J1322" t="s">
        <v>196</v>
      </c>
      <c r="K1322" t="s">
        <v>13</v>
      </c>
      <c r="L1322" t="s">
        <v>83</v>
      </c>
      <c r="M1322" t="s">
        <v>205</v>
      </c>
      <c r="N1322">
        <v>1</v>
      </c>
      <c r="O1322" t="b">
        <v>0</v>
      </c>
      <c r="P1322">
        <v>0</v>
      </c>
      <c r="BB1322">
        <v>0</v>
      </c>
      <c r="BC1322" t="s">
        <v>259</v>
      </c>
      <c r="BD1322" t="s">
        <v>270</v>
      </c>
      <c r="BE1322" t="s">
        <v>117</v>
      </c>
      <c r="BF1322">
        <v>0</v>
      </c>
      <c r="BG1322">
        <v>0</v>
      </c>
      <c r="BH1322">
        <v>0</v>
      </c>
    </row>
    <row r="1323" spans="1:61">
      <c r="A1323" s="164" t="s">
        <v>3287</v>
      </c>
      <c r="B1323" t="s">
        <v>3288</v>
      </c>
      <c r="C1323">
        <v>0</v>
      </c>
      <c r="D1323" t="s">
        <v>257</v>
      </c>
      <c r="E1323">
        <v>0</v>
      </c>
      <c r="F1323" t="s">
        <v>269</v>
      </c>
      <c r="G1323" t="s">
        <v>103</v>
      </c>
      <c r="H1323" t="s">
        <v>104</v>
      </c>
      <c r="I1323" t="s">
        <v>80</v>
      </c>
      <c r="J1323" t="s">
        <v>196</v>
      </c>
      <c r="K1323" t="s">
        <v>13</v>
      </c>
      <c r="L1323" t="s">
        <v>83</v>
      </c>
      <c r="M1323" t="s">
        <v>84</v>
      </c>
      <c r="N1323">
        <v>1</v>
      </c>
      <c r="O1323" t="b">
        <v>0</v>
      </c>
      <c r="P1323">
        <v>0</v>
      </c>
      <c r="BB1323">
        <v>0</v>
      </c>
      <c r="BC1323" t="s">
        <v>259</v>
      </c>
      <c r="BD1323" t="s">
        <v>270</v>
      </c>
      <c r="BE1323" t="s">
        <v>117</v>
      </c>
      <c r="BF1323">
        <v>0</v>
      </c>
      <c r="BG1323">
        <v>0</v>
      </c>
      <c r="BH1323">
        <v>0</v>
      </c>
    </row>
    <row r="1324" spans="1:61">
      <c r="A1324" s="164" t="s">
        <v>3289</v>
      </c>
      <c r="B1324" t="s">
        <v>3290</v>
      </c>
      <c r="C1324">
        <v>0</v>
      </c>
      <c r="D1324" t="s">
        <v>257</v>
      </c>
      <c r="E1324">
        <v>0</v>
      </c>
      <c r="F1324" t="s">
        <v>269</v>
      </c>
      <c r="G1324" t="s">
        <v>103</v>
      </c>
      <c r="H1324" t="s">
        <v>104</v>
      </c>
      <c r="I1324" t="s">
        <v>80</v>
      </c>
      <c r="J1324" t="s">
        <v>196</v>
      </c>
      <c r="K1324" t="s">
        <v>13</v>
      </c>
      <c r="L1324" t="s">
        <v>83</v>
      </c>
      <c r="M1324" t="s">
        <v>548</v>
      </c>
      <c r="N1324">
        <v>1</v>
      </c>
      <c r="O1324" t="b">
        <v>0</v>
      </c>
      <c r="P1324">
        <v>0</v>
      </c>
      <c r="BB1324">
        <v>0</v>
      </c>
      <c r="BC1324" t="s">
        <v>259</v>
      </c>
      <c r="BD1324" t="s">
        <v>270</v>
      </c>
      <c r="BE1324" t="s">
        <v>117</v>
      </c>
      <c r="BF1324">
        <v>0</v>
      </c>
      <c r="BG1324">
        <v>0</v>
      </c>
      <c r="BH1324">
        <v>0</v>
      </c>
    </row>
    <row r="1325" spans="1:61">
      <c r="A1325" s="164" t="s">
        <v>3291</v>
      </c>
      <c r="B1325" t="s">
        <v>3292</v>
      </c>
      <c r="C1325">
        <v>0</v>
      </c>
      <c r="D1325" t="s">
        <v>257</v>
      </c>
      <c r="E1325">
        <v>0</v>
      </c>
      <c r="F1325" t="s">
        <v>925</v>
      </c>
      <c r="G1325" t="s">
        <v>78</v>
      </c>
      <c r="H1325" t="s">
        <v>79</v>
      </c>
      <c r="I1325" t="s">
        <v>80</v>
      </c>
      <c r="J1325" t="s">
        <v>196</v>
      </c>
      <c r="K1325" t="s">
        <v>13</v>
      </c>
      <c r="L1325" t="s">
        <v>83</v>
      </c>
      <c r="M1325" t="s">
        <v>205</v>
      </c>
      <c r="N1325">
        <v>1</v>
      </c>
      <c r="O1325" t="b">
        <v>1</v>
      </c>
      <c r="P1325">
        <v>0</v>
      </c>
      <c r="BB1325">
        <v>0</v>
      </c>
      <c r="BC1325" t="s">
        <v>259</v>
      </c>
      <c r="BD1325" t="s">
        <v>926</v>
      </c>
      <c r="BE1325" t="s">
        <v>117</v>
      </c>
      <c r="BF1325">
        <v>0</v>
      </c>
      <c r="BG1325">
        <v>25</v>
      </c>
      <c r="BH1325">
        <v>25</v>
      </c>
      <c r="BI1325" t="s">
        <v>1304</v>
      </c>
    </row>
    <row r="1326" spans="1:61">
      <c r="A1326" s="164" t="s">
        <v>3293</v>
      </c>
      <c r="B1326" t="s">
        <v>3294</v>
      </c>
      <c r="C1326">
        <v>0</v>
      </c>
      <c r="D1326" t="s">
        <v>257</v>
      </c>
      <c r="E1326">
        <v>0</v>
      </c>
      <c r="F1326" t="s">
        <v>925</v>
      </c>
      <c r="G1326" t="s">
        <v>78</v>
      </c>
      <c r="H1326" t="s">
        <v>79</v>
      </c>
      <c r="I1326" t="s">
        <v>80</v>
      </c>
      <c r="J1326" t="s">
        <v>196</v>
      </c>
      <c r="K1326" t="s">
        <v>13</v>
      </c>
      <c r="L1326" t="s">
        <v>83</v>
      </c>
      <c r="M1326" t="s">
        <v>205</v>
      </c>
      <c r="N1326">
        <v>1</v>
      </c>
      <c r="O1326" t="b">
        <v>1</v>
      </c>
      <c r="P1326">
        <v>0</v>
      </c>
      <c r="BB1326">
        <v>0</v>
      </c>
      <c r="BC1326" t="s">
        <v>259</v>
      </c>
      <c r="BD1326" t="s">
        <v>926</v>
      </c>
      <c r="BE1326" t="s">
        <v>117</v>
      </c>
      <c r="BF1326">
        <v>0</v>
      </c>
      <c r="BG1326">
        <v>120</v>
      </c>
      <c r="BH1326">
        <v>17000</v>
      </c>
      <c r="BI1326" t="s">
        <v>3295</v>
      </c>
    </row>
    <row r="1327" spans="1:61">
      <c r="A1327" s="164" t="s">
        <v>3296</v>
      </c>
      <c r="B1327" t="s">
        <v>3297</v>
      </c>
      <c r="C1327">
        <v>0</v>
      </c>
      <c r="D1327" t="s">
        <v>257</v>
      </c>
      <c r="E1327">
        <v>0</v>
      </c>
      <c r="F1327" t="s">
        <v>925</v>
      </c>
      <c r="G1327" t="s">
        <v>78</v>
      </c>
      <c r="H1327" t="s">
        <v>79</v>
      </c>
      <c r="I1327" t="s">
        <v>80</v>
      </c>
      <c r="J1327" t="s">
        <v>196</v>
      </c>
      <c r="K1327" t="s">
        <v>13</v>
      </c>
      <c r="L1327" t="s">
        <v>83</v>
      </c>
      <c r="M1327" t="s">
        <v>205</v>
      </c>
      <c r="N1327">
        <v>1</v>
      </c>
      <c r="O1327" t="b">
        <v>1</v>
      </c>
      <c r="P1327">
        <v>0</v>
      </c>
      <c r="BB1327">
        <v>0</v>
      </c>
      <c r="BC1327" t="s">
        <v>259</v>
      </c>
      <c r="BD1327" t="s">
        <v>926</v>
      </c>
      <c r="BE1327" t="s">
        <v>117</v>
      </c>
      <c r="BF1327">
        <v>0</v>
      </c>
      <c r="BG1327">
        <v>25</v>
      </c>
      <c r="BH1327">
        <v>51.75</v>
      </c>
      <c r="BI1327" t="s">
        <v>927</v>
      </c>
    </row>
    <row r="1328" spans="1:61">
      <c r="A1328" s="164" t="s">
        <v>3298</v>
      </c>
      <c r="B1328" t="s">
        <v>3299</v>
      </c>
      <c r="C1328">
        <v>0</v>
      </c>
      <c r="D1328" t="s">
        <v>257</v>
      </c>
      <c r="E1328">
        <v>0</v>
      </c>
      <c r="F1328" t="s">
        <v>925</v>
      </c>
      <c r="G1328" t="s">
        <v>78</v>
      </c>
      <c r="H1328" t="s">
        <v>79</v>
      </c>
      <c r="I1328" t="s">
        <v>80</v>
      </c>
      <c r="J1328" t="s">
        <v>196</v>
      </c>
      <c r="K1328" t="s">
        <v>13</v>
      </c>
      <c r="L1328" t="s">
        <v>83</v>
      </c>
      <c r="M1328" t="s">
        <v>205</v>
      </c>
      <c r="N1328">
        <v>1</v>
      </c>
      <c r="O1328" t="b">
        <v>1</v>
      </c>
      <c r="P1328">
        <v>0</v>
      </c>
      <c r="BB1328">
        <v>0</v>
      </c>
      <c r="BC1328" t="s">
        <v>259</v>
      </c>
      <c r="BD1328" t="s">
        <v>926</v>
      </c>
      <c r="BE1328" t="s">
        <v>117</v>
      </c>
      <c r="BF1328">
        <v>0</v>
      </c>
      <c r="BG1328">
        <v>120</v>
      </c>
      <c r="BH1328">
        <v>19000</v>
      </c>
      <c r="BI1328" t="s">
        <v>3300</v>
      </c>
    </row>
    <row r="1329" spans="1:61">
      <c r="A1329" s="164" t="s">
        <v>3301</v>
      </c>
      <c r="B1329" t="s">
        <v>3302</v>
      </c>
      <c r="C1329">
        <v>0</v>
      </c>
      <c r="D1329" t="s">
        <v>257</v>
      </c>
      <c r="E1329">
        <v>0</v>
      </c>
      <c r="F1329" t="s">
        <v>925</v>
      </c>
      <c r="G1329" t="s">
        <v>78</v>
      </c>
      <c r="H1329" t="s">
        <v>79</v>
      </c>
      <c r="I1329" t="s">
        <v>80</v>
      </c>
      <c r="J1329" t="s">
        <v>196</v>
      </c>
      <c r="K1329" t="s">
        <v>13</v>
      </c>
      <c r="L1329" t="s">
        <v>83</v>
      </c>
      <c r="M1329" t="s">
        <v>205</v>
      </c>
      <c r="N1329">
        <v>1</v>
      </c>
      <c r="O1329" t="b">
        <v>1</v>
      </c>
      <c r="P1329">
        <v>0</v>
      </c>
      <c r="BB1329">
        <v>0</v>
      </c>
      <c r="BC1329" t="s">
        <v>259</v>
      </c>
      <c r="BD1329" t="s">
        <v>926</v>
      </c>
      <c r="BE1329" t="s">
        <v>117</v>
      </c>
      <c r="BF1329">
        <v>0</v>
      </c>
      <c r="BG1329">
        <v>25</v>
      </c>
      <c r="BH1329">
        <v>500</v>
      </c>
      <c r="BI1329" t="s">
        <v>3303</v>
      </c>
    </row>
    <row r="1330" spans="1:61">
      <c r="A1330" s="164" t="s">
        <v>3304</v>
      </c>
      <c r="B1330" t="s">
        <v>3305</v>
      </c>
      <c r="C1330">
        <v>0</v>
      </c>
      <c r="D1330" t="s">
        <v>257</v>
      </c>
      <c r="E1330">
        <v>0</v>
      </c>
      <c r="F1330" t="s">
        <v>258</v>
      </c>
      <c r="G1330" t="s">
        <v>78</v>
      </c>
      <c r="H1330" t="s">
        <v>79</v>
      </c>
      <c r="I1330" t="s">
        <v>80</v>
      </c>
      <c r="J1330" t="s">
        <v>196</v>
      </c>
      <c r="K1330" t="s">
        <v>13</v>
      </c>
      <c r="L1330" t="s">
        <v>83</v>
      </c>
      <c r="M1330" t="s">
        <v>205</v>
      </c>
      <c r="N1330">
        <v>1</v>
      </c>
      <c r="O1330" t="b">
        <v>1</v>
      </c>
      <c r="P1330">
        <v>0</v>
      </c>
      <c r="BB1330">
        <v>0</v>
      </c>
      <c r="BC1330" t="s">
        <v>259</v>
      </c>
      <c r="BD1330" t="s">
        <v>260</v>
      </c>
      <c r="BE1330" t="s">
        <v>117</v>
      </c>
      <c r="BF1330">
        <v>0</v>
      </c>
      <c r="BG1330">
        <v>15</v>
      </c>
      <c r="BH1330">
        <v>10</v>
      </c>
      <c r="BI1330" t="s">
        <v>927</v>
      </c>
    </row>
    <row r="1331" spans="1:61">
      <c r="A1331" s="164" t="s">
        <v>3306</v>
      </c>
      <c r="B1331" t="s">
        <v>3307</v>
      </c>
      <c r="C1331">
        <v>0</v>
      </c>
      <c r="D1331" t="s">
        <v>257</v>
      </c>
      <c r="E1331">
        <v>0</v>
      </c>
      <c r="F1331" t="s">
        <v>925</v>
      </c>
      <c r="G1331" t="s">
        <v>78</v>
      </c>
      <c r="H1331" t="s">
        <v>79</v>
      </c>
      <c r="I1331" t="s">
        <v>80</v>
      </c>
      <c r="J1331" t="s">
        <v>196</v>
      </c>
      <c r="K1331" t="s">
        <v>13</v>
      </c>
      <c r="L1331" t="s">
        <v>83</v>
      </c>
      <c r="M1331" t="s">
        <v>205</v>
      </c>
      <c r="N1331">
        <v>1</v>
      </c>
      <c r="O1331" t="b">
        <v>1</v>
      </c>
      <c r="P1331">
        <v>0</v>
      </c>
      <c r="BB1331">
        <v>0</v>
      </c>
      <c r="BC1331" t="s">
        <v>259</v>
      </c>
      <c r="BD1331" t="s">
        <v>926</v>
      </c>
      <c r="BE1331" t="s">
        <v>117</v>
      </c>
      <c r="BF1331">
        <v>0</v>
      </c>
      <c r="BG1331">
        <v>15</v>
      </c>
      <c r="BH1331">
        <v>2</v>
      </c>
      <c r="BI1331" t="s">
        <v>1339</v>
      </c>
    </row>
    <row r="1332" spans="1:61">
      <c r="A1332" s="164" t="s">
        <v>3308</v>
      </c>
      <c r="B1332" t="s">
        <v>3309</v>
      </c>
      <c r="C1332">
        <v>0</v>
      </c>
      <c r="D1332" t="s">
        <v>257</v>
      </c>
      <c r="E1332">
        <v>0</v>
      </c>
      <c r="F1332" t="s">
        <v>955</v>
      </c>
      <c r="G1332" t="s">
        <v>78</v>
      </c>
      <c r="H1332" t="s">
        <v>79</v>
      </c>
      <c r="I1332" t="s">
        <v>80</v>
      </c>
      <c r="J1332" t="s">
        <v>196</v>
      </c>
      <c r="K1332" t="s">
        <v>13</v>
      </c>
      <c r="L1332" t="s">
        <v>83</v>
      </c>
      <c r="M1332" t="s">
        <v>205</v>
      </c>
      <c r="N1332">
        <v>1</v>
      </c>
      <c r="O1332" t="b">
        <v>1</v>
      </c>
      <c r="P1332">
        <v>0</v>
      </c>
      <c r="BB1332">
        <v>0</v>
      </c>
      <c r="BC1332" t="s">
        <v>259</v>
      </c>
      <c r="BD1332" t="s">
        <v>956</v>
      </c>
      <c r="BE1332" t="s">
        <v>117</v>
      </c>
      <c r="BF1332">
        <v>0</v>
      </c>
      <c r="BG1332">
        <v>50</v>
      </c>
      <c r="BH1332">
        <v>25</v>
      </c>
      <c r="BI1332" t="s">
        <v>3310</v>
      </c>
    </row>
    <row r="1333" spans="1:61">
      <c r="A1333" s="164" t="s">
        <v>3311</v>
      </c>
      <c r="B1333" t="s">
        <v>3312</v>
      </c>
      <c r="C1333">
        <v>0</v>
      </c>
      <c r="D1333" t="s">
        <v>257</v>
      </c>
      <c r="E1333">
        <v>0</v>
      </c>
      <c r="F1333" t="s">
        <v>269</v>
      </c>
      <c r="G1333" t="s">
        <v>103</v>
      </c>
      <c r="H1333" t="s">
        <v>104</v>
      </c>
      <c r="I1333" t="s">
        <v>80</v>
      </c>
      <c r="J1333" t="s">
        <v>196</v>
      </c>
      <c r="K1333" t="s">
        <v>13</v>
      </c>
      <c r="L1333" t="s">
        <v>83</v>
      </c>
      <c r="M1333" t="s">
        <v>205</v>
      </c>
      <c r="N1333">
        <v>1</v>
      </c>
      <c r="O1333" t="b">
        <v>0</v>
      </c>
      <c r="P1333">
        <v>0</v>
      </c>
      <c r="BB1333">
        <v>0</v>
      </c>
      <c r="BC1333" t="s">
        <v>259</v>
      </c>
      <c r="BD1333" t="s">
        <v>270</v>
      </c>
      <c r="BE1333" t="s">
        <v>117</v>
      </c>
      <c r="BF1333">
        <v>0</v>
      </c>
      <c r="BG1333">
        <v>0</v>
      </c>
      <c r="BH1333">
        <v>0</v>
      </c>
    </row>
    <row r="1334" spans="1:61">
      <c r="A1334" s="164" t="s">
        <v>3313</v>
      </c>
      <c r="B1334" t="s">
        <v>3314</v>
      </c>
      <c r="C1334">
        <v>0</v>
      </c>
      <c r="D1334" t="s">
        <v>257</v>
      </c>
      <c r="E1334">
        <v>0</v>
      </c>
      <c r="F1334" t="s">
        <v>925</v>
      </c>
      <c r="G1334" t="s">
        <v>78</v>
      </c>
      <c r="H1334" t="s">
        <v>79</v>
      </c>
      <c r="I1334" t="s">
        <v>80</v>
      </c>
      <c r="J1334" t="s">
        <v>196</v>
      </c>
      <c r="K1334" t="s">
        <v>13</v>
      </c>
      <c r="L1334" t="s">
        <v>83</v>
      </c>
      <c r="M1334" t="s">
        <v>205</v>
      </c>
      <c r="N1334">
        <v>1</v>
      </c>
      <c r="O1334" t="b">
        <v>1</v>
      </c>
      <c r="P1334">
        <v>0</v>
      </c>
      <c r="BB1334">
        <v>0</v>
      </c>
      <c r="BC1334" t="s">
        <v>259</v>
      </c>
      <c r="BD1334" t="s">
        <v>926</v>
      </c>
      <c r="BE1334" t="s">
        <v>117</v>
      </c>
      <c r="BF1334">
        <v>0</v>
      </c>
      <c r="BG1334">
        <v>25</v>
      </c>
      <c r="BH1334">
        <v>29.25</v>
      </c>
      <c r="BI1334" t="s">
        <v>927</v>
      </c>
    </row>
    <row r="1335" spans="1:61">
      <c r="A1335" s="164" t="s">
        <v>3315</v>
      </c>
      <c r="B1335" t="s">
        <v>3316</v>
      </c>
      <c r="C1335">
        <v>0</v>
      </c>
      <c r="D1335" t="s">
        <v>257</v>
      </c>
      <c r="E1335">
        <v>0</v>
      </c>
      <c r="F1335" t="s">
        <v>269</v>
      </c>
      <c r="G1335" t="s">
        <v>103</v>
      </c>
      <c r="H1335" t="s">
        <v>104</v>
      </c>
      <c r="I1335" t="s">
        <v>80</v>
      </c>
      <c r="J1335" t="s">
        <v>196</v>
      </c>
      <c r="K1335" t="s">
        <v>13</v>
      </c>
      <c r="L1335" t="s">
        <v>83</v>
      </c>
      <c r="M1335" t="s">
        <v>205</v>
      </c>
      <c r="N1335">
        <v>1</v>
      </c>
      <c r="O1335" t="b">
        <v>0</v>
      </c>
      <c r="P1335">
        <v>0</v>
      </c>
      <c r="BB1335">
        <v>0</v>
      </c>
      <c r="BC1335" t="s">
        <v>259</v>
      </c>
      <c r="BD1335" t="s">
        <v>270</v>
      </c>
      <c r="BE1335" t="s">
        <v>117</v>
      </c>
      <c r="BF1335">
        <v>0</v>
      </c>
      <c r="BG1335">
        <v>0</v>
      </c>
      <c r="BH1335">
        <v>0</v>
      </c>
    </row>
    <row r="1336" spans="1:61">
      <c r="A1336" s="164" t="s">
        <v>3317</v>
      </c>
      <c r="B1336" t="s">
        <v>3318</v>
      </c>
      <c r="C1336">
        <v>0</v>
      </c>
      <c r="D1336" t="s">
        <v>257</v>
      </c>
      <c r="E1336">
        <v>0</v>
      </c>
      <c r="F1336" t="s">
        <v>269</v>
      </c>
      <c r="G1336" t="s">
        <v>103</v>
      </c>
      <c r="H1336" t="s">
        <v>104</v>
      </c>
      <c r="I1336" t="s">
        <v>80</v>
      </c>
      <c r="J1336" t="s">
        <v>196</v>
      </c>
      <c r="K1336" t="s">
        <v>13</v>
      </c>
      <c r="L1336" t="s">
        <v>83</v>
      </c>
      <c r="M1336" t="s">
        <v>205</v>
      </c>
      <c r="N1336">
        <v>1</v>
      </c>
      <c r="O1336" t="b">
        <v>0</v>
      </c>
      <c r="P1336">
        <v>0</v>
      </c>
      <c r="BB1336">
        <v>0</v>
      </c>
      <c r="BC1336" t="s">
        <v>259</v>
      </c>
      <c r="BD1336" t="s">
        <v>270</v>
      </c>
      <c r="BE1336" t="s">
        <v>117</v>
      </c>
      <c r="BF1336">
        <v>0</v>
      </c>
      <c r="BG1336">
        <v>0</v>
      </c>
      <c r="BH1336">
        <v>0</v>
      </c>
    </row>
    <row r="1337" spans="1:61">
      <c r="A1337" s="164" t="s">
        <v>3319</v>
      </c>
      <c r="B1337" t="s">
        <v>3320</v>
      </c>
      <c r="C1337">
        <v>0</v>
      </c>
      <c r="D1337" t="s">
        <v>257</v>
      </c>
      <c r="E1337">
        <v>0</v>
      </c>
      <c r="F1337" t="s">
        <v>269</v>
      </c>
      <c r="G1337" t="s">
        <v>103</v>
      </c>
      <c r="H1337" t="s">
        <v>104</v>
      </c>
      <c r="I1337" t="s">
        <v>80</v>
      </c>
      <c r="J1337" t="s">
        <v>196</v>
      </c>
      <c r="K1337" t="s">
        <v>13</v>
      </c>
      <c r="L1337" t="s">
        <v>83</v>
      </c>
      <c r="M1337" t="s">
        <v>205</v>
      </c>
      <c r="N1337">
        <v>1</v>
      </c>
      <c r="O1337" t="b">
        <v>0</v>
      </c>
      <c r="P1337">
        <v>0</v>
      </c>
      <c r="BB1337">
        <v>0</v>
      </c>
      <c r="BC1337" t="s">
        <v>259</v>
      </c>
      <c r="BD1337" t="s">
        <v>270</v>
      </c>
      <c r="BE1337" t="s">
        <v>117</v>
      </c>
      <c r="BF1337">
        <v>0</v>
      </c>
      <c r="BG1337">
        <v>0</v>
      </c>
      <c r="BH1337">
        <v>0</v>
      </c>
    </row>
    <row r="1338" spans="1:61">
      <c r="A1338" s="164" t="s">
        <v>3321</v>
      </c>
      <c r="B1338" t="s">
        <v>3322</v>
      </c>
      <c r="C1338">
        <v>0</v>
      </c>
      <c r="D1338" t="s">
        <v>304</v>
      </c>
      <c r="E1338">
        <v>0</v>
      </c>
      <c r="F1338" t="s">
        <v>336</v>
      </c>
      <c r="G1338" t="s">
        <v>78</v>
      </c>
      <c r="H1338" t="s">
        <v>79</v>
      </c>
      <c r="I1338" t="s">
        <v>80</v>
      </c>
      <c r="J1338" t="s">
        <v>196</v>
      </c>
      <c r="K1338" t="s">
        <v>13</v>
      </c>
      <c r="L1338" t="s">
        <v>83</v>
      </c>
      <c r="M1338" t="s">
        <v>84</v>
      </c>
      <c r="N1338">
        <v>1</v>
      </c>
      <c r="O1338" t="b">
        <v>1</v>
      </c>
      <c r="P1338">
        <v>0</v>
      </c>
      <c r="BB1338">
        <v>0</v>
      </c>
      <c r="BC1338" t="s">
        <v>306</v>
      </c>
      <c r="BD1338" t="s">
        <v>337</v>
      </c>
      <c r="BE1338" t="s">
        <v>117</v>
      </c>
      <c r="BF1338">
        <v>0</v>
      </c>
      <c r="BG1338">
        <v>30</v>
      </c>
      <c r="BH1338">
        <v>100000</v>
      </c>
      <c r="BI1338" t="s">
        <v>593</v>
      </c>
    </row>
    <row r="1339" spans="1:61">
      <c r="A1339" s="164" t="s">
        <v>3323</v>
      </c>
      <c r="B1339" t="s">
        <v>3324</v>
      </c>
      <c r="C1339">
        <v>0</v>
      </c>
      <c r="D1339" t="s">
        <v>304</v>
      </c>
      <c r="E1339">
        <v>0</v>
      </c>
      <c r="F1339" t="s">
        <v>342</v>
      </c>
      <c r="G1339" t="s">
        <v>78</v>
      </c>
      <c r="H1339" t="s">
        <v>79</v>
      </c>
      <c r="I1339" t="s">
        <v>80</v>
      </c>
      <c r="J1339" t="s">
        <v>196</v>
      </c>
      <c r="K1339" t="s">
        <v>13</v>
      </c>
      <c r="L1339" t="s">
        <v>83</v>
      </c>
      <c r="M1339" t="s">
        <v>84</v>
      </c>
      <c r="N1339">
        <v>1</v>
      </c>
      <c r="O1339" t="b">
        <v>1</v>
      </c>
      <c r="P1339">
        <v>0</v>
      </c>
      <c r="BB1339">
        <v>0</v>
      </c>
      <c r="BC1339" t="s">
        <v>306</v>
      </c>
      <c r="BD1339" t="s">
        <v>343</v>
      </c>
      <c r="BE1339" t="s">
        <v>117</v>
      </c>
      <c r="BF1339">
        <v>0</v>
      </c>
      <c r="BG1339">
        <v>25</v>
      </c>
      <c r="BH1339">
        <v>10000</v>
      </c>
      <c r="BI1339" t="s">
        <v>344</v>
      </c>
    </row>
    <row r="1340" spans="1:61">
      <c r="A1340" s="164" t="s">
        <v>3325</v>
      </c>
      <c r="B1340" t="s">
        <v>3326</v>
      </c>
      <c r="C1340">
        <v>0</v>
      </c>
      <c r="D1340" t="s">
        <v>304</v>
      </c>
      <c r="E1340">
        <v>0</v>
      </c>
      <c r="F1340" t="s">
        <v>1364</v>
      </c>
      <c r="G1340" t="s">
        <v>78</v>
      </c>
      <c r="H1340" t="s">
        <v>79</v>
      </c>
      <c r="I1340" t="s">
        <v>80</v>
      </c>
      <c r="J1340" t="s">
        <v>196</v>
      </c>
      <c r="K1340" t="s">
        <v>13</v>
      </c>
      <c r="L1340" t="s">
        <v>83</v>
      </c>
      <c r="M1340" t="s">
        <v>84</v>
      </c>
      <c r="N1340">
        <v>1</v>
      </c>
      <c r="O1340" t="b">
        <v>1</v>
      </c>
      <c r="P1340">
        <v>0</v>
      </c>
      <c r="BB1340">
        <v>0</v>
      </c>
      <c r="BC1340" t="s">
        <v>306</v>
      </c>
      <c r="BD1340" t="s">
        <v>1365</v>
      </c>
      <c r="BE1340" t="s">
        <v>117</v>
      </c>
      <c r="BF1340">
        <v>0</v>
      </c>
      <c r="BG1340">
        <v>90</v>
      </c>
      <c r="BH1340">
        <v>3000</v>
      </c>
      <c r="BI1340" t="s">
        <v>1419</v>
      </c>
    </row>
    <row r="1341" spans="1:61">
      <c r="A1341" s="164" t="s">
        <v>3327</v>
      </c>
      <c r="B1341" t="s">
        <v>3328</v>
      </c>
      <c r="C1341">
        <v>0</v>
      </c>
      <c r="D1341" t="s">
        <v>304</v>
      </c>
      <c r="E1341">
        <v>0</v>
      </c>
      <c r="F1341" t="s">
        <v>269</v>
      </c>
      <c r="G1341" t="s">
        <v>103</v>
      </c>
      <c r="H1341" t="s">
        <v>104</v>
      </c>
      <c r="I1341" t="s">
        <v>80</v>
      </c>
      <c r="J1341" t="s">
        <v>196</v>
      </c>
      <c r="K1341" t="s">
        <v>13</v>
      </c>
      <c r="L1341" t="s">
        <v>83</v>
      </c>
      <c r="M1341" t="s">
        <v>84</v>
      </c>
      <c r="N1341">
        <v>1</v>
      </c>
      <c r="O1341" t="b">
        <v>0</v>
      </c>
      <c r="P1341">
        <v>0</v>
      </c>
      <c r="BB1341">
        <v>0</v>
      </c>
      <c r="BC1341" t="s">
        <v>306</v>
      </c>
      <c r="BD1341" t="s">
        <v>270</v>
      </c>
      <c r="BE1341" t="s">
        <v>117</v>
      </c>
      <c r="BF1341">
        <v>0</v>
      </c>
      <c r="BG1341">
        <v>0</v>
      </c>
      <c r="BH1341">
        <v>0</v>
      </c>
    </row>
    <row r="1342" spans="1:61">
      <c r="A1342" s="164" t="s">
        <v>3329</v>
      </c>
      <c r="B1342" t="s">
        <v>3330</v>
      </c>
      <c r="C1342">
        <v>0</v>
      </c>
      <c r="D1342" t="s">
        <v>304</v>
      </c>
      <c r="E1342">
        <v>0</v>
      </c>
      <c r="F1342" t="s">
        <v>269</v>
      </c>
      <c r="G1342" t="s">
        <v>103</v>
      </c>
      <c r="H1342" t="s">
        <v>104</v>
      </c>
      <c r="I1342" t="s">
        <v>80</v>
      </c>
      <c r="J1342" t="s">
        <v>196</v>
      </c>
      <c r="K1342" t="s">
        <v>13</v>
      </c>
      <c r="L1342" t="s">
        <v>83</v>
      </c>
      <c r="M1342" t="s">
        <v>84</v>
      </c>
      <c r="N1342">
        <v>1</v>
      </c>
      <c r="O1342" t="b">
        <v>0</v>
      </c>
      <c r="P1342">
        <v>0</v>
      </c>
      <c r="BB1342">
        <v>0</v>
      </c>
      <c r="BC1342" t="s">
        <v>306</v>
      </c>
      <c r="BD1342" t="s">
        <v>270</v>
      </c>
      <c r="BE1342" t="s">
        <v>117</v>
      </c>
      <c r="BF1342">
        <v>0</v>
      </c>
      <c r="BG1342">
        <v>0</v>
      </c>
      <c r="BH1342">
        <v>0</v>
      </c>
    </row>
    <row r="1343" spans="1:61">
      <c r="A1343" s="164" t="s">
        <v>3331</v>
      </c>
      <c r="B1343" t="s">
        <v>3332</v>
      </c>
      <c r="C1343">
        <v>0</v>
      </c>
      <c r="D1343" t="s">
        <v>304</v>
      </c>
      <c r="E1343">
        <v>0</v>
      </c>
      <c r="F1343" t="s">
        <v>305</v>
      </c>
      <c r="G1343" t="s">
        <v>78</v>
      </c>
      <c r="H1343" t="s">
        <v>79</v>
      </c>
      <c r="I1343" t="s">
        <v>80</v>
      </c>
      <c r="J1343" t="s">
        <v>196</v>
      </c>
      <c r="K1343" t="s">
        <v>13</v>
      </c>
      <c r="L1343" t="s">
        <v>83</v>
      </c>
      <c r="M1343" t="s">
        <v>84</v>
      </c>
      <c r="N1343">
        <v>1</v>
      </c>
      <c r="O1343" t="b">
        <v>1</v>
      </c>
      <c r="P1343">
        <v>0</v>
      </c>
      <c r="BB1343">
        <v>0</v>
      </c>
      <c r="BC1343" t="s">
        <v>306</v>
      </c>
      <c r="BD1343" t="s">
        <v>307</v>
      </c>
      <c r="BE1343" t="s">
        <v>117</v>
      </c>
      <c r="BF1343">
        <v>0</v>
      </c>
      <c r="BG1343">
        <v>25</v>
      </c>
      <c r="BH1343">
        <v>10000</v>
      </c>
      <c r="BI1343" t="s">
        <v>308</v>
      </c>
    </row>
    <row r="1344" spans="1:61">
      <c r="A1344" s="164" t="s">
        <v>3333</v>
      </c>
      <c r="B1344" t="s">
        <v>3334</v>
      </c>
      <c r="C1344">
        <v>0</v>
      </c>
      <c r="D1344" t="s">
        <v>304</v>
      </c>
      <c r="E1344">
        <v>0</v>
      </c>
      <c r="F1344" t="s">
        <v>305</v>
      </c>
      <c r="G1344" t="s">
        <v>78</v>
      </c>
      <c r="H1344" t="s">
        <v>79</v>
      </c>
      <c r="I1344" t="s">
        <v>80</v>
      </c>
      <c r="J1344" t="s">
        <v>196</v>
      </c>
      <c r="K1344" t="s">
        <v>13</v>
      </c>
      <c r="L1344" t="s">
        <v>83</v>
      </c>
      <c r="M1344" t="s">
        <v>84</v>
      </c>
      <c r="N1344">
        <v>1</v>
      </c>
      <c r="O1344" t="b">
        <v>1</v>
      </c>
      <c r="P1344">
        <v>0</v>
      </c>
      <c r="BB1344">
        <v>0</v>
      </c>
      <c r="BC1344" t="s">
        <v>306</v>
      </c>
      <c r="BD1344" t="s">
        <v>307</v>
      </c>
      <c r="BE1344" t="s">
        <v>117</v>
      </c>
      <c r="BF1344">
        <v>0</v>
      </c>
      <c r="BG1344">
        <v>25</v>
      </c>
      <c r="BH1344">
        <v>10000</v>
      </c>
      <c r="BI1344" t="s">
        <v>308</v>
      </c>
    </row>
    <row r="1345" spans="1:61">
      <c r="A1345" s="164" t="s">
        <v>3335</v>
      </c>
      <c r="B1345" t="s">
        <v>3336</v>
      </c>
      <c r="C1345">
        <v>0</v>
      </c>
      <c r="D1345" t="s">
        <v>304</v>
      </c>
      <c r="E1345">
        <v>0</v>
      </c>
      <c r="F1345" t="s">
        <v>670</v>
      </c>
      <c r="G1345" t="s">
        <v>78</v>
      </c>
      <c r="H1345" t="s">
        <v>79</v>
      </c>
      <c r="I1345" t="s">
        <v>80</v>
      </c>
      <c r="J1345" t="s">
        <v>196</v>
      </c>
      <c r="K1345" t="s">
        <v>13</v>
      </c>
      <c r="L1345" t="s">
        <v>83</v>
      </c>
      <c r="M1345" t="s">
        <v>205</v>
      </c>
      <c r="N1345">
        <v>1</v>
      </c>
      <c r="O1345" t="b">
        <v>1</v>
      </c>
      <c r="P1345">
        <v>0</v>
      </c>
      <c r="BB1345">
        <v>0</v>
      </c>
      <c r="BC1345" t="s">
        <v>306</v>
      </c>
      <c r="BD1345" t="s">
        <v>671</v>
      </c>
      <c r="BE1345" t="s">
        <v>117</v>
      </c>
      <c r="BF1345">
        <v>0</v>
      </c>
      <c r="BG1345">
        <v>25</v>
      </c>
      <c r="BH1345">
        <v>100</v>
      </c>
      <c r="BI1345" t="s">
        <v>3337</v>
      </c>
    </row>
    <row r="1346" spans="1:61">
      <c r="A1346" s="164" t="s">
        <v>3338</v>
      </c>
      <c r="B1346" t="s">
        <v>3339</v>
      </c>
      <c r="C1346">
        <v>0</v>
      </c>
      <c r="D1346" t="s">
        <v>304</v>
      </c>
      <c r="E1346">
        <v>0</v>
      </c>
      <c r="F1346" t="s">
        <v>342</v>
      </c>
      <c r="G1346" t="s">
        <v>78</v>
      </c>
      <c r="H1346" t="s">
        <v>79</v>
      </c>
      <c r="I1346" t="s">
        <v>80</v>
      </c>
      <c r="J1346" t="s">
        <v>196</v>
      </c>
      <c r="K1346" t="s">
        <v>13</v>
      </c>
      <c r="L1346" t="s">
        <v>83</v>
      </c>
      <c r="M1346" t="s">
        <v>84</v>
      </c>
      <c r="N1346">
        <v>1</v>
      </c>
      <c r="O1346" t="b">
        <v>1</v>
      </c>
      <c r="P1346">
        <v>0</v>
      </c>
      <c r="BB1346">
        <v>0</v>
      </c>
      <c r="BC1346" t="s">
        <v>306</v>
      </c>
      <c r="BD1346" t="s">
        <v>343</v>
      </c>
      <c r="BE1346" t="s">
        <v>117</v>
      </c>
      <c r="BF1346">
        <v>0</v>
      </c>
      <c r="BG1346">
        <v>25</v>
      </c>
      <c r="BH1346">
        <v>10000</v>
      </c>
      <c r="BI1346" t="s">
        <v>344</v>
      </c>
    </row>
    <row r="1347" spans="1:61">
      <c r="A1347" s="164" t="s">
        <v>3340</v>
      </c>
      <c r="B1347" t="s">
        <v>3341</v>
      </c>
      <c r="C1347">
        <v>0</v>
      </c>
      <c r="D1347" t="s">
        <v>304</v>
      </c>
      <c r="E1347">
        <v>0</v>
      </c>
      <c r="F1347" t="s">
        <v>269</v>
      </c>
      <c r="G1347" t="s">
        <v>103</v>
      </c>
      <c r="H1347" t="s">
        <v>104</v>
      </c>
      <c r="I1347" t="s">
        <v>80</v>
      </c>
      <c r="J1347" t="s">
        <v>196</v>
      </c>
      <c r="K1347" t="s">
        <v>13</v>
      </c>
      <c r="L1347" t="s">
        <v>83</v>
      </c>
      <c r="M1347" t="s">
        <v>84</v>
      </c>
      <c r="N1347">
        <v>1</v>
      </c>
      <c r="O1347" t="b">
        <v>0</v>
      </c>
      <c r="P1347">
        <v>0</v>
      </c>
      <c r="BB1347">
        <v>0</v>
      </c>
      <c r="BC1347" t="s">
        <v>306</v>
      </c>
      <c r="BD1347" t="s">
        <v>270</v>
      </c>
      <c r="BE1347" t="s">
        <v>117</v>
      </c>
      <c r="BF1347">
        <v>0</v>
      </c>
      <c r="BG1347">
        <v>0</v>
      </c>
      <c r="BH1347">
        <v>0</v>
      </c>
    </row>
    <row r="1348" spans="1:61">
      <c r="A1348" s="164" t="s">
        <v>3342</v>
      </c>
      <c r="B1348" t="s">
        <v>3343</v>
      </c>
      <c r="C1348">
        <v>0</v>
      </c>
      <c r="D1348" t="s">
        <v>304</v>
      </c>
      <c r="E1348">
        <v>0</v>
      </c>
      <c r="F1348" t="s">
        <v>269</v>
      </c>
      <c r="G1348" t="s">
        <v>103</v>
      </c>
      <c r="H1348" t="s">
        <v>104</v>
      </c>
      <c r="I1348" t="s">
        <v>80</v>
      </c>
      <c r="J1348" t="s">
        <v>196</v>
      </c>
      <c r="K1348" t="s">
        <v>13</v>
      </c>
      <c r="L1348" t="s">
        <v>83</v>
      </c>
      <c r="M1348" t="s">
        <v>84</v>
      </c>
      <c r="N1348">
        <v>1</v>
      </c>
      <c r="O1348" t="b">
        <v>0</v>
      </c>
      <c r="P1348">
        <v>0</v>
      </c>
      <c r="BB1348">
        <v>0</v>
      </c>
      <c r="BC1348" t="s">
        <v>306</v>
      </c>
      <c r="BD1348" t="s">
        <v>270</v>
      </c>
      <c r="BE1348" t="s">
        <v>117</v>
      </c>
      <c r="BF1348">
        <v>0</v>
      </c>
      <c r="BG1348">
        <v>0</v>
      </c>
      <c r="BH1348">
        <v>0</v>
      </c>
    </row>
    <row r="1349" spans="1:61">
      <c r="A1349" s="164" t="s">
        <v>3344</v>
      </c>
      <c r="B1349" t="s">
        <v>3345</v>
      </c>
      <c r="C1349">
        <v>0</v>
      </c>
      <c r="D1349" t="s">
        <v>304</v>
      </c>
      <c r="E1349">
        <v>0</v>
      </c>
      <c r="F1349" t="s">
        <v>2782</v>
      </c>
      <c r="G1349" t="s">
        <v>78</v>
      </c>
      <c r="H1349" t="s">
        <v>79</v>
      </c>
      <c r="I1349" t="s">
        <v>80</v>
      </c>
      <c r="J1349" t="s">
        <v>196</v>
      </c>
      <c r="K1349" t="s">
        <v>13</v>
      </c>
      <c r="L1349" t="s">
        <v>83</v>
      </c>
      <c r="M1349" t="s">
        <v>84</v>
      </c>
      <c r="N1349">
        <v>1</v>
      </c>
      <c r="O1349" t="b">
        <v>1</v>
      </c>
      <c r="P1349">
        <v>0</v>
      </c>
      <c r="BB1349">
        <v>0</v>
      </c>
      <c r="BC1349" t="s">
        <v>306</v>
      </c>
      <c r="BD1349" t="s">
        <v>2783</v>
      </c>
      <c r="BE1349" t="s">
        <v>117</v>
      </c>
      <c r="BF1349">
        <v>0</v>
      </c>
      <c r="BG1349">
        <v>15</v>
      </c>
      <c r="BH1349">
        <v>10000</v>
      </c>
      <c r="BI1349" t="s">
        <v>1366</v>
      </c>
    </row>
    <row r="1350" spans="1:61">
      <c r="A1350" s="164" t="s">
        <v>3346</v>
      </c>
      <c r="B1350" t="s">
        <v>3347</v>
      </c>
      <c r="C1350">
        <v>0</v>
      </c>
      <c r="D1350" t="s">
        <v>304</v>
      </c>
      <c r="E1350">
        <v>0</v>
      </c>
      <c r="F1350" t="s">
        <v>331</v>
      </c>
      <c r="G1350" t="s">
        <v>78</v>
      </c>
      <c r="H1350" t="s">
        <v>79</v>
      </c>
      <c r="I1350" t="s">
        <v>80</v>
      </c>
      <c r="J1350" t="s">
        <v>196</v>
      </c>
      <c r="K1350" t="s">
        <v>13</v>
      </c>
      <c r="L1350" t="s">
        <v>83</v>
      </c>
      <c r="M1350" t="s">
        <v>84</v>
      </c>
      <c r="N1350">
        <v>1</v>
      </c>
      <c r="O1350" t="b">
        <v>1</v>
      </c>
      <c r="P1350">
        <v>0</v>
      </c>
      <c r="BB1350">
        <v>0</v>
      </c>
      <c r="BC1350" t="s">
        <v>306</v>
      </c>
      <c r="BD1350" t="s">
        <v>332</v>
      </c>
      <c r="BE1350" t="s">
        <v>117</v>
      </c>
      <c r="BF1350">
        <v>0</v>
      </c>
      <c r="BG1350">
        <v>50</v>
      </c>
      <c r="BH1350">
        <v>100000</v>
      </c>
      <c r="BI1350" t="s">
        <v>3348</v>
      </c>
    </row>
    <row r="1351" spans="1:61">
      <c r="A1351" s="164" t="s">
        <v>3349</v>
      </c>
      <c r="B1351" t="s">
        <v>3350</v>
      </c>
      <c r="C1351">
        <v>0</v>
      </c>
      <c r="D1351" t="s">
        <v>304</v>
      </c>
      <c r="E1351">
        <v>0</v>
      </c>
      <c r="F1351" t="s">
        <v>342</v>
      </c>
      <c r="G1351" t="s">
        <v>78</v>
      </c>
      <c r="H1351" t="s">
        <v>79</v>
      </c>
      <c r="I1351" t="s">
        <v>80</v>
      </c>
      <c r="J1351" t="s">
        <v>196</v>
      </c>
      <c r="K1351" t="s">
        <v>13</v>
      </c>
      <c r="L1351" t="s">
        <v>83</v>
      </c>
      <c r="M1351" t="s">
        <v>84</v>
      </c>
      <c r="N1351">
        <v>1</v>
      </c>
      <c r="O1351" t="b">
        <v>1</v>
      </c>
      <c r="P1351">
        <v>0</v>
      </c>
      <c r="BB1351">
        <v>0</v>
      </c>
      <c r="BC1351" t="s">
        <v>306</v>
      </c>
      <c r="BD1351" t="s">
        <v>343</v>
      </c>
      <c r="BE1351" t="s">
        <v>117</v>
      </c>
      <c r="BF1351">
        <v>0</v>
      </c>
      <c r="BG1351">
        <v>25</v>
      </c>
      <c r="BH1351">
        <v>10000</v>
      </c>
      <c r="BI1351" t="s">
        <v>344</v>
      </c>
    </row>
    <row r="1352" spans="1:61">
      <c r="A1352" s="164" t="s">
        <v>3351</v>
      </c>
      <c r="B1352" t="s">
        <v>3352</v>
      </c>
      <c r="C1352">
        <v>0</v>
      </c>
      <c r="D1352" t="s">
        <v>304</v>
      </c>
      <c r="E1352">
        <v>0</v>
      </c>
      <c r="F1352" t="s">
        <v>342</v>
      </c>
      <c r="G1352" t="s">
        <v>78</v>
      </c>
      <c r="H1352" t="s">
        <v>79</v>
      </c>
      <c r="I1352" t="s">
        <v>80</v>
      </c>
      <c r="J1352" t="s">
        <v>196</v>
      </c>
      <c r="K1352" t="s">
        <v>13</v>
      </c>
      <c r="L1352" t="s">
        <v>83</v>
      </c>
      <c r="M1352" t="s">
        <v>84</v>
      </c>
      <c r="N1352">
        <v>1</v>
      </c>
      <c r="O1352" t="b">
        <v>1</v>
      </c>
      <c r="P1352">
        <v>0</v>
      </c>
      <c r="BB1352">
        <v>0</v>
      </c>
      <c r="BC1352" t="s">
        <v>306</v>
      </c>
      <c r="BD1352" t="s">
        <v>343</v>
      </c>
      <c r="BE1352" t="s">
        <v>117</v>
      </c>
      <c r="BF1352">
        <v>0</v>
      </c>
      <c r="BG1352">
        <v>25</v>
      </c>
      <c r="BH1352">
        <v>10000</v>
      </c>
      <c r="BI1352" t="s">
        <v>344</v>
      </c>
    </row>
    <row r="1353" spans="1:61">
      <c r="A1353" s="164" t="s">
        <v>3353</v>
      </c>
      <c r="B1353" t="s">
        <v>3354</v>
      </c>
      <c r="C1353">
        <v>0</v>
      </c>
      <c r="D1353" t="s">
        <v>304</v>
      </c>
      <c r="E1353">
        <v>0</v>
      </c>
      <c r="F1353" t="s">
        <v>342</v>
      </c>
      <c r="G1353" t="s">
        <v>78</v>
      </c>
      <c r="H1353" t="s">
        <v>79</v>
      </c>
      <c r="I1353" t="s">
        <v>80</v>
      </c>
      <c r="J1353" t="s">
        <v>196</v>
      </c>
      <c r="K1353" t="s">
        <v>13</v>
      </c>
      <c r="L1353" t="s">
        <v>83</v>
      </c>
      <c r="M1353" t="s">
        <v>84</v>
      </c>
      <c r="N1353">
        <v>1</v>
      </c>
      <c r="O1353" t="b">
        <v>1</v>
      </c>
      <c r="P1353">
        <v>0</v>
      </c>
      <c r="BB1353">
        <v>0</v>
      </c>
      <c r="BC1353" t="s">
        <v>306</v>
      </c>
      <c r="BD1353" t="s">
        <v>343</v>
      </c>
      <c r="BE1353" t="s">
        <v>117</v>
      </c>
      <c r="BF1353">
        <v>0</v>
      </c>
      <c r="BG1353">
        <v>25</v>
      </c>
      <c r="BH1353">
        <v>10000</v>
      </c>
      <c r="BI1353" t="s">
        <v>344</v>
      </c>
    </row>
    <row r="1354" spans="1:61">
      <c r="A1354" s="164" t="s">
        <v>3355</v>
      </c>
      <c r="B1354" t="s">
        <v>3356</v>
      </c>
      <c r="C1354">
        <v>0</v>
      </c>
      <c r="D1354" t="s">
        <v>304</v>
      </c>
      <c r="E1354">
        <v>0</v>
      </c>
      <c r="F1354" t="s">
        <v>305</v>
      </c>
      <c r="G1354" t="s">
        <v>78</v>
      </c>
      <c r="H1354" t="s">
        <v>79</v>
      </c>
      <c r="I1354" t="s">
        <v>80</v>
      </c>
      <c r="J1354" t="s">
        <v>196</v>
      </c>
      <c r="K1354" t="s">
        <v>13</v>
      </c>
      <c r="L1354" t="s">
        <v>83</v>
      </c>
      <c r="M1354" t="s">
        <v>84</v>
      </c>
      <c r="N1354">
        <v>1</v>
      </c>
      <c r="O1354" t="b">
        <v>1</v>
      </c>
      <c r="P1354">
        <v>0</v>
      </c>
      <c r="BB1354">
        <v>0</v>
      </c>
      <c r="BC1354" t="s">
        <v>306</v>
      </c>
      <c r="BD1354" t="s">
        <v>307</v>
      </c>
      <c r="BE1354" t="s">
        <v>117</v>
      </c>
      <c r="BF1354">
        <v>0</v>
      </c>
      <c r="BG1354">
        <v>25</v>
      </c>
      <c r="BH1354">
        <v>10000</v>
      </c>
      <c r="BI1354" t="s">
        <v>308</v>
      </c>
    </row>
    <row r="1355" spans="1:61">
      <c r="A1355" s="164" t="s">
        <v>3357</v>
      </c>
      <c r="B1355" t="s">
        <v>3208</v>
      </c>
      <c r="C1355">
        <v>0</v>
      </c>
      <c r="D1355" t="s">
        <v>304</v>
      </c>
      <c r="E1355">
        <v>0</v>
      </c>
      <c r="F1355" t="s">
        <v>342</v>
      </c>
      <c r="G1355" t="s">
        <v>78</v>
      </c>
      <c r="H1355" t="s">
        <v>79</v>
      </c>
      <c r="I1355" t="s">
        <v>80</v>
      </c>
      <c r="J1355" t="s">
        <v>196</v>
      </c>
      <c r="K1355" t="s">
        <v>13</v>
      </c>
      <c r="L1355" t="s">
        <v>83</v>
      </c>
      <c r="M1355" t="s">
        <v>84</v>
      </c>
      <c r="N1355">
        <v>1</v>
      </c>
      <c r="O1355" t="b">
        <v>1</v>
      </c>
      <c r="P1355">
        <v>0</v>
      </c>
      <c r="BB1355">
        <v>0</v>
      </c>
      <c r="BC1355" t="s">
        <v>306</v>
      </c>
      <c r="BD1355" t="s">
        <v>343</v>
      </c>
      <c r="BE1355" t="s">
        <v>117</v>
      </c>
      <c r="BF1355">
        <v>0</v>
      </c>
      <c r="BG1355">
        <v>25</v>
      </c>
      <c r="BH1355">
        <v>10000</v>
      </c>
      <c r="BI1355" t="s">
        <v>344</v>
      </c>
    </row>
    <row r="1356" spans="1:61">
      <c r="A1356" s="164" t="s">
        <v>3358</v>
      </c>
      <c r="B1356" t="s">
        <v>3359</v>
      </c>
      <c r="C1356">
        <v>0</v>
      </c>
      <c r="D1356" t="s">
        <v>304</v>
      </c>
      <c r="E1356">
        <v>0</v>
      </c>
      <c r="F1356" t="s">
        <v>269</v>
      </c>
      <c r="G1356" t="s">
        <v>103</v>
      </c>
      <c r="H1356" t="s">
        <v>104</v>
      </c>
      <c r="I1356" t="s">
        <v>80</v>
      </c>
      <c r="J1356" t="s">
        <v>196</v>
      </c>
      <c r="K1356" t="s">
        <v>13</v>
      </c>
      <c r="L1356" t="s">
        <v>83</v>
      </c>
      <c r="M1356" t="s">
        <v>84</v>
      </c>
      <c r="N1356">
        <v>1</v>
      </c>
      <c r="O1356" t="b">
        <v>0</v>
      </c>
      <c r="P1356">
        <v>0</v>
      </c>
      <c r="BB1356">
        <v>0</v>
      </c>
      <c r="BC1356" t="s">
        <v>306</v>
      </c>
      <c r="BD1356" t="s">
        <v>270</v>
      </c>
      <c r="BE1356" t="s">
        <v>117</v>
      </c>
      <c r="BF1356">
        <v>0</v>
      </c>
      <c r="BG1356">
        <v>0</v>
      </c>
      <c r="BH1356">
        <v>0</v>
      </c>
    </row>
    <row r="1357" spans="1:61">
      <c r="A1357" s="164" t="s">
        <v>3360</v>
      </c>
      <c r="B1357" t="s">
        <v>3361</v>
      </c>
      <c r="C1357">
        <v>0</v>
      </c>
      <c r="D1357" t="s">
        <v>304</v>
      </c>
      <c r="E1357">
        <v>0</v>
      </c>
      <c r="F1357" t="s">
        <v>269</v>
      </c>
      <c r="G1357" t="s">
        <v>103</v>
      </c>
      <c r="H1357" t="s">
        <v>104</v>
      </c>
      <c r="I1357" t="s">
        <v>80</v>
      </c>
      <c r="J1357" t="s">
        <v>196</v>
      </c>
      <c r="K1357" t="s">
        <v>13</v>
      </c>
      <c r="L1357" t="s">
        <v>83</v>
      </c>
      <c r="M1357" t="s">
        <v>84</v>
      </c>
      <c r="N1357">
        <v>1</v>
      </c>
      <c r="O1357" t="b">
        <v>0</v>
      </c>
      <c r="P1357">
        <v>0</v>
      </c>
      <c r="BB1357">
        <v>0</v>
      </c>
      <c r="BC1357" t="s">
        <v>306</v>
      </c>
      <c r="BD1357" t="s">
        <v>270</v>
      </c>
      <c r="BE1357" t="s">
        <v>117</v>
      </c>
      <c r="BF1357">
        <v>0</v>
      </c>
      <c r="BG1357">
        <v>0</v>
      </c>
      <c r="BH1357">
        <v>0</v>
      </c>
    </row>
    <row r="1358" spans="1:61">
      <c r="A1358" s="164" t="s">
        <v>3362</v>
      </c>
      <c r="B1358" t="s">
        <v>3363</v>
      </c>
      <c r="C1358">
        <v>0</v>
      </c>
      <c r="D1358" t="s">
        <v>304</v>
      </c>
      <c r="E1358">
        <v>0</v>
      </c>
      <c r="F1358" t="s">
        <v>342</v>
      </c>
      <c r="G1358" t="s">
        <v>78</v>
      </c>
      <c r="H1358" t="s">
        <v>79</v>
      </c>
      <c r="I1358" t="s">
        <v>80</v>
      </c>
      <c r="J1358" t="s">
        <v>196</v>
      </c>
      <c r="K1358" t="s">
        <v>13</v>
      </c>
      <c r="L1358" t="s">
        <v>83</v>
      </c>
      <c r="M1358" t="s">
        <v>84</v>
      </c>
      <c r="N1358">
        <v>1</v>
      </c>
      <c r="O1358" t="b">
        <v>1</v>
      </c>
      <c r="P1358">
        <v>0</v>
      </c>
      <c r="BB1358">
        <v>0</v>
      </c>
      <c r="BC1358" t="s">
        <v>306</v>
      </c>
      <c r="BD1358" t="s">
        <v>343</v>
      </c>
      <c r="BE1358" t="s">
        <v>117</v>
      </c>
      <c r="BF1358">
        <v>0</v>
      </c>
      <c r="BG1358">
        <v>25</v>
      </c>
      <c r="BH1358">
        <v>10000</v>
      </c>
      <c r="BI1358" t="s">
        <v>344</v>
      </c>
    </row>
    <row r="1359" spans="1:61">
      <c r="A1359" s="164" t="s">
        <v>3364</v>
      </c>
      <c r="B1359" t="s">
        <v>3365</v>
      </c>
      <c r="C1359">
        <v>0</v>
      </c>
      <c r="D1359" t="s">
        <v>304</v>
      </c>
      <c r="E1359">
        <v>0</v>
      </c>
      <c r="F1359" t="s">
        <v>342</v>
      </c>
      <c r="G1359" t="s">
        <v>78</v>
      </c>
      <c r="H1359" t="s">
        <v>79</v>
      </c>
      <c r="I1359" t="s">
        <v>80</v>
      </c>
      <c r="J1359" t="s">
        <v>196</v>
      </c>
      <c r="K1359" t="s">
        <v>13</v>
      </c>
      <c r="L1359" t="s">
        <v>83</v>
      </c>
      <c r="M1359" t="s">
        <v>84</v>
      </c>
      <c r="N1359">
        <v>1</v>
      </c>
      <c r="O1359" t="b">
        <v>1</v>
      </c>
      <c r="P1359">
        <v>0</v>
      </c>
      <c r="BB1359">
        <v>0</v>
      </c>
      <c r="BC1359" t="s">
        <v>306</v>
      </c>
      <c r="BD1359" t="s">
        <v>343</v>
      </c>
      <c r="BE1359" t="s">
        <v>117</v>
      </c>
      <c r="BF1359">
        <v>0</v>
      </c>
      <c r="BG1359">
        <v>25</v>
      </c>
      <c r="BH1359">
        <v>10000</v>
      </c>
      <c r="BI1359" t="s">
        <v>344</v>
      </c>
    </row>
    <row r="1360" spans="1:61">
      <c r="A1360" s="164" t="s">
        <v>3366</v>
      </c>
      <c r="B1360" t="s">
        <v>3367</v>
      </c>
      <c r="C1360">
        <v>0</v>
      </c>
      <c r="D1360" t="s">
        <v>304</v>
      </c>
      <c r="E1360">
        <v>0</v>
      </c>
      <c r="F1360" t="s">
        <v>331</v>
      </c>
      <c r="G1360" t="s">
        <v>78</v>
      </c>
      <c r="H1360" t="s">
        <v>79</v>
      </c>
      <c r="I1360" t="s">
        <v>80</v>
      </c>
      <c r="J1360" t="s">
        <v>196</v>
      </c>
      <c r="K1360" t="s">
        <v>13</v>
      </c>
      <c r="L1360" t="s">
        <v>83</v>
      </c>
      <c r="M1360" t="s">
        <v>84</v>
      </c>
      <c r="N1360">
        <v>1</v>
      </c>
      <c r="O1360" t="b">
        <v>1</v>
      </c>
      <c r="P1360">
        <v>0</v>
      </c>
      <c r="BB1360">
        <v>0</v>
      </c>
      <c r="BC1360" t="s">
        <v>306</v>
      </c>
      <c r="BD1360" t="s">
        <v>332</v>
      </c>
      <c r="BE1360" t="s">
        <v>117</v>
      </c>
      <c r="BF1360">
        <v>0</v>
      </c>
      <c r="BG1360">
        <v>60</v>
      </c>
      <c r="BH1360">
        <v>200000</v>
      </c>
      <c r="BI1360" t="s">
        <v>333</v>
      </c>
    </row>
    <row r="1361" spans="1:61">
      <c r="A1361" s="164" t="s">
        <v>3368</v>
      </c>
      <c r="B1361" t="s">
        <v>3369</v>
      </c>
      <c r="C1361">
        <v>0</v>
      </c>
      <c r="D1361" t="s">
        <v>304</v>
      </c>
      <c r="E1361">
        <v>0</v>
      </c>
      <c r="F1361" t="s">
        <v>269</v>
      </c>
      <c r="G1361" t="s">
        <v>103</v>
      </c>
      <c r="H1361" t="s">
        <v>104</v>
      </c>
      <c r="I1361" t="s">
        <v>80</v>
      </c>
      <c r="J1361" t="s">
        <v>196</v>
      </c>
      <c r="K1361" t="s">
        <v>13</v>
      </c>
      <c r="L1361" t="s">
        <v>83</v>
      </c>
      <c r="M1361" t="s">
        <v>84</v>
      </c>
      <c r="N1361">
        <v>1</v>
      </c>
      <c r="O1361" t="b">
        <v>0</v>
      </c>
      <c r="P1361">
        <v>0</v>
      </c>
      <c r="BB1361">
        <v>0</v>
      </c>
      <c r="BC1361" t="s">
        <v>306</v>
      </c>
      <c r="BD1361" t="s">
        <v>270</v>
      </c>
      <c r="BE1361" t="s">
        <v>117</v>
      </c>
      <c r="BF1361">
        <v>0</v>
      </c>
      <c r="BG1361">
        <v>0</v>
      </c>
      <c r="BH1361">
        <v>0</v>
      </c>
    </row>
    <row r="1362" spans="1:61">
      <c r="A1362" s="164" t="s">
        <v>3370</v>
      </c>
      <c r="B1362" t="s">
        <v>3371</v>
      </c>
      <c r="C1362">
        <v>0</v>
      </c>
      <c r="D1362" t="s">
        <v>304</v>
      </c>
      <c r="E1362">
        <v>0</v>
      </c>
      <c r="F1362" t="s">
        <v>342</v>
      </c>
      <c r="G1362" t="s">
        <v>78</v>
      </c>
      <c r="H1362" t="s">
        <v>79</v>
      </c>
      <c r="I1362" t="s">
        <v>80</v>
      </c>
      <c r="J1362" t="s">
        <v>196</v>
      </c>
      <c r="K1362" t="s">
        <v>13</v>
      </c>
      <c r="L1362" t="s">
        <v>83</v>
      </c>
      <c r="M1362" t="s">
        <v>84</v>
      </c>
      <c r="N1362">
        <v>1</v>
      </c>
      <c r="O1362" t="b">
        <v>1</v>
      </c>
      <c r="P1362">
        <v>0</v>
      </c>
      <c r="BB1362">
        <v>0</v>
      </c>
      <c r="BC1362" t="s">
        <v>306</v>
      </c>
      <c r="BD1362" t="s">
        <v>343</v>
      </c>
      <c r="BE1362" t="s">
        <v>117</v>
      </c>
      <c r="BF1362">
        <v>0</v>
      </c>
      <c r="BG1362">
        <v>25</v>
      </c>
      <c r="BH1362">
        <v>10000</v>
      </c>
      <c r="BI1362" t="s">
        <v>344</v>
      </c>
    </row>
    <row r="1363" spans="1:61">
      <c r="A1363" s="164" t="s">
        <v>3372</v>
      </c>
      <c r="B1363" t="s">
        <v>3373</v>
      </c>
      <c r="C1363">
        <v>0</v>
      </c>
      <c r="D1363" t="s">
        <v>304</v>
      </c>
      <c r="E1363">
        <v>0</v>
      </c>
      <c r="F1363" t="s">
        <v>342</v>
      </c>
      <c r="G1363" t="s">
        <v>78</v>
      </c>
      <c r="H1363" t="s">
        <v>79</v>
      </c>
      <c r="I1363" t="s">
        <v>80</v>
      </c>
      <c r="J1363" t="s">
        <v>196</v>
      </c>
      <c r="K1363" t="s">
        <v>13</v>
      </c>
      <c r="L1363" t="s">
        <v>83</v>
      </c>
      <c r="M1363" t="s">
        <v>84</v>
      </c>
      <c r="N1363">
        <v>1</v>
      </c>
      <c r="O1363" t="b">
        <v>1</v>
      </c>
      <c r="P1363">
        <v>0</v>
      </c>
      <c r="BB1363">
        <v>0</v>
      </c>
      <c r="BC1363" t="s">
        <v>306</v>
      </c>
      <c r="BD1363" t="s">
        <v>343</v>
      </c>
      <c r="BE1363" t="s">
        <v>117</v>
      </c>
      <c r="BF1363">
        <v>0</v>
      </c>
      <c r="BG1363">
        <v>25</v>
      </c>
      <c r="BH1363">
        <v>10000</v>
      </c>
      <c r="BI1363" t="s">
        <v>344</v>
      </c>
    </row>
    <row r="1364" spans="1:61">
      <c r="A1364" s="164" t="s">
        <v>3374</v>
      </c>
      <c r="B1364" t="s">
        <v>3375</v>
      </c>
      <c r="C1364">
        <v>0</v>
      </c>
      <c r="D1364" t="s">
        <v>304</v>
      </c>
      <c r="E1364">
        <v>0</v>
      </c>
      <c r="F1364" t="s">
        <v>305</v>
      </c>
      <c r="G1364" t="s">
        <v>78</v>
      </c>
      <c r="H1364" t="s">
        <v>79</v>
      </c>
      <c r="I1364" t="s">
        <v>80</v>
      </c>
      <c r="J1364" t="s">
        <v>196</v>
      </c>
      <c r="K1364" t="s">
        <v>13</v>
      </c>
      <c r="L1364" t="s">
        <v>83</v>
      </c>
      <c r="M1364" t="s">
        <v>84</v>
      </c>
      <c r="N1364">
        <v>1</v>
      </c>
      <c r="O1364" t="b">
        <v>1</v>
      </c>
      <c r="P1364">
        <v>0</v>
      </c>
      <c r="BB1364">
        <v>0</v>
      </c>
      <c r="BC1364" t="s">
        <v>306</v>
      </c>
      <c r="BD1364" t="s">
        <v>307</v>
      </c>
      <c r="BE1364" t="s">
        <v>117</v>
      </c>
      <c r="BF1364">
        <v>0</v>
      </c>
      <c r="BG1364">
        <v>25</v>
      </c>
      <c r="BH1364">
        <v>10000</v>
      </c>
      <c r="BI1364" t="s">
        <v>308</v>
      </c>
    </row>
    <row r="1365" spans="1:61">
      <c r="A1365" s="164" t="s">
        <v>3376</v>
      </c>
      <c r="B1365" t="s">
        <v>3377</v>
      </c>
      <c r="C1365">
        <v>0</v>
      </c>
      <c r="D1365" t="s">
        <v>304</v>
      </c>
      <c r="E1365">
        <v>0</v>
      </c>
      <c r="F1365" t="s">
        <v>305</v>
      </c>
      <c r="G1365" t="s">
        <v>78</v>
      </c>
      <c r="H1365" t="s">
        <v>79</v>
      </c>
      <c r="I1365" t="s">
        <v>80</v>
      </c>
      <c r="J1365" t="s">
        <v>196</v>
      </c>
      <c r="K1365" t="s">
        <v>13</v>
      </c>
      <c r="L1365" t="s">
        <v>83</v>
      </c>
      <c r="M1365" t="s">
        <v>84</v>
      </c>
      <c r="N1365">
        <v>1</v>
      </c>
      <c r="O1365" t="b">
        <v>1</v>
      </c>
      <c r="P1365">
        <v>0</v>
      </c>
      <c r="BB1365">
        <v>0</v>
      </c>
      <c r="BC1365" t="s">
        <v>306</v>
      </c>
      <c r="BD1365" t="s">
        <v>307</v>
      </c>
      <c r="BE1365" t="s">
        <v>117</v>
      </c>
      <c r="BF1365">
        <v>0</v>
      </c>
      <c r="BG1365">
        <v>25</v>
      </c>
      <c r="BH1365">
        <v>10000</v>
      </c>
      <c r="BI1365" t="s">
        <v>308</v>
      </c>
    </row>
    <row r="1366" spans="1:61">
      <c r="A1366" s="164" t="s">
        <v>3378</v>
      </c>
      <c r="B1366" t="s">
        <v>3379</v>
      </c>
      <c r="C1366">
        <v>0</v>
      </c>
      <c r="D1366" t="s">
        <v>304</v>
      </c>
      <c r="E1366">
        <v>0</v>
      </c>
      <c r="F1366" t="s">
        <v>342</v>
      </c>
      <c r="G1366" t="s">
        <v>78</v>
      </c>
      <c r="H1366" t="s">
        <v>79</v>
      </c>
      <c r="I1366" t="s">
        <v>80</v>
      </c>
      <c r="J1366" t="s">
        <v>196</v>
      </c>
      <c r="K1366" t="s">
        <v>13</v>
      </c>
      <c r="L1366" t="s">
        <v>83</v>
      </c>
      <c r="M1366" t="s">
        <v>84</v>
      </c>
      <c r="N1366">
        <v>1</v>
      </c>
      <c r="O1366" t="b">
        <v>1</v>
      </c>
      <c r="P1366">
        <v>0</v>
      </c>
      <c r="BB1366">
        <v>0</v>
      </c>
      <c r="BC1366" t="s">
        <v>306</v>
      </c>
      <c r="BD1366" t="s">
        <v>343</v>
      </c>
      <c r="BE1366" t="s">
        <v>117</v>
      </c>
      <c r="BF1366">
        <v>0</v>
      </c>
      <c r="BG1366">
        <v>25</v>
      </c>
      <c r="BH1366">
        <v>10000</v>
      </c>
      <c r="BI1366" t="s">
        <v>344</v>
      </c>
    </row>
    <row r="1367" spans="1:61">
      <c r="A1367" s="164" t="s">
        <v>3380</v>
      </c>
      <c r="B1367" t="s">
        <v>3381</v>
      </c>
      <c r="C1367">
        <v>0</v>
      </c>
      <c r="D1367" t="s">
        <v>304</v>
      </c>
      <c r="E1367">
        <v>0</v>
      </c>
      <c r="F1367" t="s">
        <v>269</v>
      </c>
      <c r="G1367" t="s">
        <v>103</v>
      </c>
      <c r="H1367" t="s">
        <v>104</v>
      </c>
      <c r="I1367" t="s">
        <v>80</v>
      </c>
      <c r="J1367" t="s">
        <v>196</v>
      </c>
      <c r="K1367" t="s">
        <v>13</v>
      </c>
      <c r="L1367" t="s">
        <v>83</v>
      </c>
      <c r="M1367" t="s">
        <v>205</v>
      </c>
      <c r="N1367">
        <v>1</v>
      </c>
      <c r="O1367" t="b">
        <v>0</v>
      </c>
      <c r="P1367">
        <v>0</v>
      </c>
      <c r="BB1367">
        <v>0</v>
      </c>
      <c r="BC1367" t="s">
        <v>306</v>
      </c>
      <c r="BD1367" t="s">
        <v>270</v>
      </c>
      <c r="BE1367" t="s">
        <v>117</v>
      </c>
      <c r="BF1367">
        <v>0</v>
      </c>
      <c r="BG1367">
        <v>0</v>
      </c>
      <c r="BH1367">
        <v>0</v>
      </c>
    </row>
    <row r="1368" spans="1:61">
      <c r="A1368" s="164" t="s">
        <v>3382</v>
      </c>
      <c r="B1368" t="s">
        <v>3383</v>
      </c>
      <c r="C1368">
        <v>0</v>
      </c>
      <c r="D1368" t="s">
        <v>304</v>
      </c>
      <c r="E1368">
        <v>0</v>
      </c>
      <c r="F1368" t="s">
        <v>313</v>
      </c>
      <c r="G1368" t="s">
        <v>78</v>
      </c>
      <c r="H1368" t="s">
        <v>79</v>
      </c>
      <c r="I1368" t="s">
        <v>80</v>
      </c>
      <c r="J1368" t="s">
        <v>196</v>
      </c>
      <c r="K1368" t="s">
        <v>13</v>
      </c>
      <c r="L1368" t="s">
        <v>83</v>
      </c>
      <c r="M1368" t="s">
        <v>205</v>
      </c>
      <c r="N1368">
        <v>1</v>
      </c>
      <c r="O1368" t="b">
        <v>1</v>
      </c>
      <c r="P1368">
        <v>0</v>
      </c>
      <c r="BB1368">
        <v>0</v>
      </c>
      <c r="BC1368" t="s">
        <v>306</v>
      </c>
      <c r="BD1368" t="s">
        <v>314</v>
      </c>
      <c r="BE1368" t="s">
        <v>117</v>
      </c>
      <c r="BF1368">
        <v>0</v>
      </c>
      <c r="BG1368">
        <v>45</v>
      </c>
      <c r="BH1368">
        <v>300</v>
      </c>
      <c r="BI1368" t="s">
        <v>315</v>
      </c>
    </row>
    <row r="1369" spans="1:61">
      <c r="A1369" s="164" t="s">
        <v>3384</v>
      </c>
      <c r="B1369" t="s">
        <v>3385</v>
      </c>
      <c r="C1369">
        <v>0</v>
      </c>
      <c r="D1369" t="s">
        <v>304</v>
      </c>
      <c r="E1369">
        <v>0</v>
      </c>
      <c r="F1369" t="s">
        <v>342</v>
      </c>
      <c r="G1369" t="s">
        <v>78</v>
      </c>
      <c r="H1369" t="s">
        <v>79</v>
      </c>
      <c r="I1369" t="s">
        <v>80</v>
      </c>
      <c r="J1369" t="s">
        <v>196</v>
      </c>
      <c r="K1369" t="s">
        <v>13</v>
      </c>
      <c r="L1369" t="s">
        <v>83</v>
      </c>
      <c r="M1369" t="s">
        <v>84</v>
      </c>
      <c r="N1369">
        <v>1</v>
      </c>
      <c r="O1369" t="b">
        <v>1</v>
      </c>
      <c r="P1369">
        <v>0</v>
      </c>
      <c r="BB1369">
        <v>0</v>
      </c>
      <c r="BC1369" t="s">
        <v>306</v>
      </c>
      <c r="BD1369" t="s">
        <v>343</v>
      </c>
      <c r="BE1369" t="s">
        <v>117</v>
      </c>
      <c r="BF1369">
        <v>0</v>
      </c>
      <c r="BG1369">
        <v>25</v>
      </c>
      <c r="BH1369">
        <v>10000</v>
      </c>
      <c r="BI1369" t="s">
        <v>344</v>
      </c>
    </row>
    <row r="1370" spans="1:61">
      <c r="A1370" s="164" t="s">
        <v>3386</v>
      </c>
      <c r="B1370" t="s">
        <v>3387</v>
      </c>
      <c r="C1370">
        <v>0</v>
      </c>
      <c r="D1370" t="s">
        <v>304</v>
      </c>
      <c r="E1370">
        <v>0</v>
      </c>
      <c r="F1370" t="s">
        <v>269</v>
      </c>
      <c r="G1370" t="s">
        <v>103</v>
      </c>
      <c r="H1370" t="s">
        <v>104</v>
      </c>
      <c r="I1370" t="s">
        <v>80</v>
      </c>
      <c r="J1370" t="s">
        <v>196</v>
      </c>
      <c r="K1370" t="s">
        <v>13</v>
      </c>
      <c r="L1370" t="s">
        <v>83</v>
      </c>
      <c r="M1370" t="s">
        <v>84</v>
      </c>
      <c r="N1370">
        <v>1</v>
      </c>
      <c r="O1370" t="b">
        <v>0</v>
      </c>
      <c r="P1370">
        <v>0</v>
      </c>
      <c r="BB1370">
        <v>0</v>
      </c>
      <c r="BC1370" t="s">
        <v>306</v>
      </c>
      <c r="BD1370" t="s">
        <v>270</v>
      </c>
      <c r="BE1370" t="s">
        <v>117</v>
      </c>
      <c r="BF1370">
        <v>0</v>
      </c>
      <c r="BG1370">
        <v>0</v>
      </c>
      <c r="BH1370">
        <v>0</v>
      </c>
    </row>
    <row r="1371" spans="1:61">
      <c r="A1371" s="164" t="s">
        <v>3388</v>
      </c>
      <c r="B1371" t="s">
        <v>3389</v>
      </c>
      <c r="C1371">
        <v>0</v>
      </c>
      <c r="D1371" t="s">
        <v>304</v>
      </c>
      <c r="E1371">
        <v>0</v>
      </c>
      <c r="F1371" t="s">
        <v>357</v>
      </c>
      <c r="G1371" t="s">
        <v>78</v>
      </c>
      <c r="H1371" t="s">
        <v>79</v>
      </c>
      <c r="I1371" t="s">
        <v>80</v>
      </c>
      <c r="J1371" t="s">
        <v>196</v>
      </c>
      <c r="K1371" t="s">
        <v>13</v>
      </c>
      <c r="L1371" t="s">
        <v>83</v>
      </c>
      <c r="M1371" t="s">
        <v>84</v>
      </c>
      <c r="N1371">
        <v>1</v>
      </c>
      <c r="O1371" t="b">
        <v>1</v>
      </c>
      <c r="P1371">
        <v>0</v>
      </c>
      <c r="BB1371">
        <v>0</v>
      </c>
      <c r="BC1371" t="s">
        <v>306</v>
      </c>
      <c r="BD1371" t="s">
        <v>358</v>
      </c>
      <c r="BE1371" t="s">
        <v>117</v>
      </c>
      <c r="BF1371">
        <v>0</v>
      </c>
      <c r="BG1371">
        <v>25</v>
      </c>
      <c r="BH1371">
        <v>500</v>
      </c>
      <c r="BI1371" t="s">
        <v>359</v>
      </c>
    </row>
    <row r="1372" spans="1:61">
      <c r="A1372" s="164" t="s">
        <v>3390</v>
      </c>
      <c r="B1372" t="s">
        <v>3391</v>
      </c>
      <c r="C1372">
        <v>0</v>
      </c>
      <c r="D1372" t="s">
        <v>304</v>
      </c>
      <c r="E1372">
        <v>0</v>
      </c>
      <c r="F1372" t="s">
        <v>357</v>
      </c>
      <c r="G1372" t="s">
        <v>78</v>
      </c>
      <c r="H1372" t="s">
        <v>79</v>
      </c>
      <c r="I1372" t="s">
        <v>80</v>
      </c>
      <c r="J1372" t="s">
        <v>196</v>
      </c>
      <c r="K1372" t="s">
        <v>13</v>
      </c>
      <c r="L1372" t="s">
        <v>83</v>
      </c>
      <c r="M1372" t="s">
        <v>84</v>
      </c>
      <c r="N1372">
        <v>1</v>
      </c>
      <c r="O1372" t="b">
        <v>1</v>
      </c>
      <c r="P1372">
        <v>0</v>
      </c>
      <c r="BB1372">
        <v>0</v>
      </c>
      <c r="BC1372" t="s">
        <v>306</v>
      </c>
      <c r="BD1372" t="s">
        <v>358</v>
      </c>
      <c r="BE1372" t="s">
        <v>117</v>
      </c>
      <c r="BF1372">
        <v>0</v>
      </c>
      <c r="BG1372">
        <v>25</v>
      </c>
      <c r="BH1372">
        <v>500</v>
      </c>
      <c r="BI1372" t="s">
        <v>359</v>
      </c>
    </row>
    <row r="1373" spans="1:61">
      <c r="A1373" s="164" t="s">
        <v>3392</v>
      </c>
      <c r="B1373" t="s">
        <v>3393</v>
      </c>
      <c r="C1373">
        <v>0</v>
      </c>
      <c r="D1373" t="s">
        <v>304</v>
      </c>
      <c r="E1373">
        <v>0</v>
      </c>
      <c r="F1373" t="s">
        <v>589</v>
      </c>
      <c r="G1373" t="s">
        <v>78</v>
      </c>
      <c r="H1373" t="s">
        <v>79</v>
      </c>
      <c r="I1373" t="s">
        <v>80</v>
      </c>
      <c r="J1373" t="s">
        <v>196</v>
      </c>
      <c r="K1373" t="s">
        <v>13</v>
      </c>
      <c r="L1373" t="s">
        <v>83</v>
      </c>
      <c r="M1373" t="s">
        <v>84</v>
      </c>
      <c r="N1373">
        <v>1</v>
      </c>
      <c r="O1373" t="b">
        <v>1</v>
      </c>
      <c r="P1373">
        <v>0</v>
      </c>
      <c r="BB1373">
        <v>0</v>
      </c>
      <c r="BC1373" t="s">
        <v>306</v>
      </c>
      <c r="BD1373" t="s">
        <v>590</v>
      </c>
      <c r="BE1373" t="s">
        <v>117</v>
      </c>
      <c r="BF1373">
        <v>0</v>
      </c>
      <c r="BG1373">
        <v>25</v>
      </c>
      <c r="BH1373">
        <v>10000</v>
      </c>
      <c r="BI1373" t="s">
        <v>344</v>
      </c>
    </row>
    <row r="1374" spans="1:61">
      <c r="A1374" s="164" t="s">
        <v>3394</v>
      </c>
      <c r="B1374" t="s">
        <v>3395</v>
      </c>
      <c r="C1374">
        <v>0</v>
      </c>
      <c r="D1374" t="s">
        <v>304</v>
      </c>
      <c r="E1374">
        <v>0</v>
      </c>
      <c r="F1374" t="s">
        <v>269</v>
      </c>
      <c r="G1374" t="s">
        <v>103</v>
      </c>
      <c r="H1374" t="s">
        <v>104</v>
      </c>
      <c r="I1374" t="s">
        <v>80</v>
      </c>
      <c r="J1374" t="s">
        <v>196</v>
      </c>
      <c r="K1374" t="s">
        <v>13</v>
      </c>
      <c r="L1374" t="s">
        <v>83</v>
      </c>
      <c r="M1374" t="s">
        <v>84</v>
      </c>
      <c r="N1374">
        <v>1</v>
      </c>
      <c r="O1374" t="b">
        <v>0</v>
      </c>
      <c r="P1374">
        <v>0</v>
      </c>
      <c r="BB1374">
        <v>0</v>
      </c>
      <c r="BC1374" t="s">
        <v>306</v>
      </c>
      <c r="BD1374" t="s">
        <v>270</v>
      </c>
      <c r="BE1374" t="s">
        <v>117</v>
      </c>
      <c r="BF1374">
        <v>0</v>
      </c>
      <c r="BG1374">
        <v>0</v>
      </c>
      <c r="BH1374">
        <v>0</v>
      </c>
    </row>
    <row r="1375" spans="1:61">
      <c r="A1375" s="164" t="s">
        <v>3396</v>
      </c>
      <c r="B1375" t="s">
        <v>3397</v>
      </c>
      <c r="C1375">
        <v>0</v>
      </c>
      <c r="D1375" t="s">
        <v>304</v>
      </c>
      <c r="E1375">
        <v>0</v>
      </c>
      <c r="F1375" t="s">
        <v>342</v>
      </c>
      <c r="G1375" t="s">
        <v>78</v>
      </c>
      <c r="H1375" t="s">
        <v>79</v>
      </c>
      <c r="I1375" t="s">
        <v>80</v>
      </c>
      <c r="J1375" t="s">
        <v>196</v>
      </c>
      <c r="K1375" t="s">
        <v>13</v>
      </c>
      <c r="L1375" t="s">
        <v>83</v>
      </c>
      <c r="M1375" t="s">
        <v>84</v>
      </c>
      <c r="N1375">
        <v>1</v>
      </c>
      <c r="O1375" t="b">
        <v>1</v>
      </c>
      <c r="P1375">
        <v>0</v>
      </c>
      <c r="BB1375">
        <v>0</v>
      </c>
      <c r="BC1375" t="s">
        <v>306</v>
      </c>
      <c r="BD1375" t="s">
        <v>343</v>
      </c>
      <c r="BE1375" t="s">
        <v>117</v>
      </c>
      <c r="BF1375">
        <v>0</v>
      </c>
      <c r="BG1375">
        <v>25</v>
      </c>
      <c r="BH1375">
        <v>10000</v>
      </c>
      <c r="BI1375" t="s">
        <v>344</v>
      </c>
    </row>
    <row r="1376" spans="1:61">
      <c r="A1376" s="164" t="s">
        <v>3398</v>
      </c>
      <c r="B1376" t="s">
        <v>3399</v>
      </c>
      <c r="C1376">
        <v>0</v>
      </c>
      <c r="D1376" t="s">
        <v>304</v>
      </c>
      <c r="E1376">
        <v>0</v>
      </c>
      <c r="F1376" t="s">
        <v>342</v>
      </c>
      <c r="G1376" t="s">
        <v>78</v>
      </c>
      <c r="H1376" t="s">
        <v>79</v>
      </c>
      <c r="I1376" t="s">
        <v>80</v>
      </c>
      <c r="J1376" t="s">
        <v>196</v>
      </c>
      <c r="K1376" t="s">
        <v>13</v>
      </c>
      <c r="L1376" t="s">
        <v>83</v>
      </c>
      <c r="M1376" t="s">
        <v>84</v>
      </c>
      <c r="N1376">
        <v>1</v>
      </c>
      <c r="O1376" t="b">
        <v>1</v>
      </c>
      <c r="P1376">
        <v>0</v>
      </c>
      <c r="BB1376">
        <v>0</v>
      </c>
      <c r="BC1376" t="s">
        <v>306</v>
      </c>
      <c r="BD1376" t="s">
        <v>343</v>
      </c>
      <c r="BE1376" t="s">
        <v>117</v>
      </c>
      <c r="BF1376">
        <v>0</v>
      </c>
      <c r="BG1376">
        <v>25</v>
      </c>
      <c r="BH1376">
        <v>10000</v>
      </c>
      <c r="BI1376" t="s">
        <v>344</v>
      </c>
    </row>
    <row r="1377" spans="1:61">
      <c r="A1377" s="164" t="s">
        <v>3400</v>
      </c>
      <c r="B1377" t="s">
        <v>3401</v>
      </c>
      <c r="C1377">
        <v>0</v>
      </c>
      <c r="D1377" t="s">
        <v>304</v>
      </c>
      <c r="E1377">
        <v>0</v>
      </c>
      <c r="F1377" t="s">
        <v>357</v>
      </c>
      <c r="G1377" t="s">
        <v>78</v>
      </c>
      <c r="H1377" t="s">
        <v>79</v>
      </c>
      <c r="I1377" t="s">
        <v>80</v>
      </c>
      <c r="J1377" t="s">
        <v>196</v>
      </c>
      <c r="K1377" t="s">
        <v>13</v>
      </c>
      <c r="L1377" t="s">
        <v>83</v>
      </c>
      <c r="M1377" t="s">
        <v>84</v>
      </c>
      <c r="N1377">
        <v>1</v>
      </c>
      <c r="O1377" t="b">
        <v>1</v>
      </c>
      <c r="P1377">
        <v>0</v>
      </c>
      <c r="BB1377">
        <v>0</v>
      </c>
      <c r="BC1377" t="s">
        <v>306</v>
      </c>
      <c r="BD1377" t="s">
        <v>358</v>
      </c>
      <c r="BE1377" t="s">
        <v>117</v>
      </c>
      <c r="BF1377">
        <v>0</v>
      </c>
      <c r="BG1377">
        <v>25</v>
      </c>
      <c r="BH1377">
        <v>500</v>
      </c>
      <c r="BI1377" t="s">
        <v>359</v>
      </c>
    </row>
    <row r="1378" spans="1:61">
      <c r="A1378" s="164" t="s">
        <v>3402</v>
      </c>
      <c r="B1378" t="s">
        <v>2679</v>
      </c>
      <c r="C1378">
        <v>0</v>
      </c>
      <c r="D1378" t="s">
        <v>304</v>
      </c>
      <c r="E1378">
        <v>0</v>
      </c>
      <c r="F1378" t="s">
        <v>313</v>
      </c>
      <c r="G1378" t="s">
        <v>78</v>
      </c>
      <c r="H1378" t="s">
        <v>79</v>
      </c>
      <c r="I1378" t="s">
        <v>80</v>
      </c>
      <c r="J1378" t="s">
        <v>196</v>
      </c>
      <c r="K1378" t="s">
        <v>13</v>
      </c>
      <c r="L1378" t="s">
        <v>83</v>
      </c>
      <c r="M1378" t="s">
        <v>205</v>
      </c>
      <c r="N1378">
        <v>1</v>
      </c>
      <c r="O1378" t="b">
        <v>1</v>
      </c>
      <c r="P1378">
        <v>0</v>
      </c>
      <c r="BB1378">
        <v>0</v>
      </c>
      <c r="BC1378" t="s">
        <v>306</v>
      </c>
      <c r="BD1378" t="s">
        <v>314</v>
      </c>
      <c r="BE1378" t="s">
        <v>117</v>
      </c>
      <c r="BF1378">
        <v>0</v>
      </c>
      <c r="BG1378">
        <v>45</v>
      </c>
      <c r="BH1378">
        <v>300</v>
      </c>
      <c r="BI1378" t="s">
        <v>315</v>
      </c>
    </row>
    <row r="1379" spans="1:61">
      <c r="A1379" s="164" t="s">
        <v>3403</v>
      </c>
      <c r="B1379" t="s">
        <v>3404</v>
      </c>
      <c r="C1379">
        <v>0</v>
      </c>
      <c r="D1379" t="s">
        <v>304</v>
      </c>
      <c r="E1379">
        <v>0</v>
      </c>
      <c r="F1379" t="s">
        <v>313</v>
      </c>
      <c r="G1379" t="s">
        <v>78</v>
      </c>
      <c r="H1379" t="s">
        <v>79</v>
      </c>
      <c r="I1379" t="s">
        <v>80</v>
      </c>
      <c r="J1379" t="s">
        <v>196</v>
      </c>
      <c r="K1379" t="s">
        <v>13</v>
      </c>
      <c r="L1379" t="s">
        <v>83</v>
      </c>
      <c r="M1379" t="s">
        <v>205</v>
      </c>
      <c r="N1379">
        <v>1</v>
      </c>
      <c r="O1379" t="b">
        <v>1</v>
      </c>
      <c r="P1379">
        <v>0</v>
      </c>
      <c r="BB1379">
        <v>0</v>
      </c>
      <c r="BC1379" t="s">
        <v>306</v>
      </c>
      <c r="BD1379" t="s">
        <v>314</v>
      </c>
      <c r="BE1379" t="s">
        <v>117</v>
      </c>
      <c r="BF1379">
        <v>0</v>
      </c>
      <c r="BG1379">
        <v>45</v>
      </c>
      <c r="BH1379">
        <v>300</v>
      </c>
      <c r="BI1379" t="s">
        <v>315</v>
      </c>
    </row>
    <row r="1380" spans="1:61">
      <c r="A1380" s="164" t="s">
        <v>3405</v>
      </c>
      <c r="B1380" t="s">
        <v>2992</v>
      </c>
      <c r="C1380">
        <v>0</v>
      </c>
      <c r="D1380" t="s">
        <v>304</v>
      </c>
      <c r="E1380">
        <v>0</v>
      </c>
      <c r="F1380" t="s">
        <v>313</v>
      </c>
      <c r="G1380" t="s">
        <v>78</v>
      </c>
      <c r="H1380" t="s">
        <v>79</v>
      </c>
      <c r="I1380" t="s">
        <v>80</v>
      </c>
      <c r="J1380" t="s">
        <v>196</v>
      </c>
      <c r="K1380" t="s">
        <v>13</v>
      </c>
      <c r="L1380" t="s">
        <v>83</v>
      </c>
      <c r="M1380" t="s">
        <v>205</v>
      </c>
      <c r="N1380">
        <v>1</v>
      </c>
      <c r="O1380" t="b">
        <v>1</v>
      </c>
      <c r="P1380">
        <v>0</v>
      </c>
      <c r="BB1380">
        <v>0</v>
      </c>
      <c r="BC1380" t="s">
        <v>306</v>
      </c>
      <c r="BD1380" t="s">
        <v>314</v>
      </c>
      <c r="BE1380" t="s">
        <v>117</v>
      </c>
      <c r="BF1380">
        <v>0</v>
      </c>
      <c r="BG1380">
        <v>45</v>
      </c>
      <c r="BH1380">
        <v>300</v>
      </c>
      <c r="BI1380" t="s">
        <v>315</v>
      </c>
    </row>
    <row r="1381" spans="1:61">
      <c r="A1381" s="164" t="s">
        <v>3406</v>
      </c>
      <c r="B1381" t="s">
        <v>3407</v>
      </c>
      <c r="C1381">
        <v>0</v>
      </c>
      <c r="D1381" t="s">
        <v>304</v>
      </c>
      <c r="E1381">
        <v>0</v>
      </c>
      <c r="F1381" t="s">
        <v>1364</v>
      </c>
      <c r="G1381" t="s">
        <v>78</v>
      </c>
      <c r="H1381" t="s">
        <v>79</v>
      </c>
      <c r="I1381" t="s">
        <v>80</v>
      </c>
      <c r="J1381" t="s">
        <v>196</v>
      </c>
      <c r="K1381" t="s">
        <v>13</v>
      </c>
      <c r="L1381" t="s">
        <v>83</v>
      </c>
      <c r="M1381" t="s">
        <v>84</v>
      </c>
      <c r="N1381">
        <v>1</v>
      </c>
      <c r="O1381" t="b">
        <v>1</v>
      </c>
      <c r="P1381">
        <v>0</v>
      </c>
      <c r="BB1381">
        <v>0</v>
      </c>
      <c r="BC1381" t="s">
        <v>306</v>
      </c>
      <c r="BD1381" t="s">
        <v>1365</v>
      </c>
      <c r="BE1381" t="s">
        <v>117</v>
      </c>
      <c r="BF1381">
        <v>0</v>
      </c>
      <c r="BG1381">
        <v>45</v>
      </c>
      <c r="BH1381">
        <v>5000</v>
      </c>
      <c r="BI1381" t="s">
        <v>1931</v>
      </c>
    </row>
    <row r="1382" spans="1:61">
      <c r="A1382" s="164" t="s">
        <v>3408</v>
      </c>
      <c r="B1382" t="s">
        <v>3409</v>
      </c>
      <c r="C1382">
        <v>0</v>
      </c>
      <c r="D1382" t="s">
        <v>304</v>
      </c>
      <c r="E1382">
        <v>0</v>
      </c>
      <c r="F1382" t="s">
        <v>357</v>
      </c>
      <c r="G1382" t="s">
        <v>78</v>
      </c>
      <c r="H1382" t="s">
        <v>79</v>
      </c>
      <c r="I1382" t="s">
        <v>80</v>
      </c>
      <c r="J1382" t="s">
        <v>196</v>
      </c>
      <c r="K1382" t="s">
        <v>13</v>
      </c>
      <c r="L1382" t="s">
        <v>83</v>
      </c>
      <c r="M1382" t="s">
        <v>84</v>
      </c>
      <c r="N1382">
        <v>1</v>
      </c>
      <c r="O1382" t="b">
        <v>1</v>
      </c>
      <c r="P1382">
        <v>0</v>
      </c>
      <c r="BB1382">
        <v>0</v>
      </c>
      <c r="BC1382" t="s">
        <v>306</v>
      </c>
      <c r="BD1382" t="s">
        <v>358</v>
      </c>
      <c r="BE1382" t="s">
        <v>117</v>
      </c>
      <c r="BF1382">
        <v>0</v>
      </c>
      <c r="BG1382">
        <v>25</v>
      </c>
      <c r="BH1382">
        <v>500</v>
      </c>
      <c r="BI1382" t="s">
        <v>359</v>
      </c>
    </row>
    <row r="1383" spans="1:61">
      <c r="A1383" s="164" t="s">
        <v>3410</v>
      </c>
      <c r="B1383" t="s">
        <v>3411</v>
      </c>
      <c r="C1383">
        <v>0</v>
      </c>
      <c r="D1383" t="s">
        <v>304</v>
      </c>
      <c r="E1383">
        <v>0</v>
      </c>
      <c r="F1383" t="s">
        <v>357</v>
      </c>
      <c r="G1383" t="s">
        <v>78</v>
      </c>
      <c r="H1383" t="s">
        <v>79</v>
      </c>
      <c r="I1383" t="s">
        <v>80</v>
      </c>
      <c r="J1383" t="s">
        <v>196</v>
      </c>
      <c r="K1383" t="s">
        <v>13</v>
      </c>
      <c r="L1383" t="s">
        <v>83</v>
      </c>
      <c r="M1383" t="s">
        <v>84</v>
      </c>
      <c r="N1383">
        <v>1</v>
      </c>
      <c r="O1383" t="b">
        <v>1</v>
      </c>
      <c r="P1383">
        <v>0</v>
      </c>
      <c r="BB1383">
        <v>0</v>
      </c>
      <c r="BC1383" t="s">
        <v>306</v>
      </c>
      <c r="BD1383" t="s">
        <v>358</v>
      </c>
      <c r="BE1383" t="s">
        <v>117</v>
      </c>
      <c r="BF1383">
        <v>0</v>
      </c>
      <c r="BG1383">
        <v>25</v>
      </c>
      <c r="BH1383">
        <v>500</v>
      </c>
      <c r="BI1383" t="s">
        <v>359</v>
      </c>
    </row>
    <row r="1384" spans="1:61">
      <c r="A1384" s="164" t="s">
        <v>3412</v>
      </c>
      <c r="B1384" t="s">
        <v>3413</v>
      </c>
      <c r="C1384">
        <v>0</v>
      </c>
      <c r="D1384" t="s">
        <v>304</v>
      </c>
      <c r="E1384">
        <v>0</v>
      </c>
      <c r="F1384" t="s">
        <v>342</v>
      </c>
      <c r="G1384" t="s">
        <v>78</v>
      </c>
      <c r="H1384" t="s">
        <v>79</v>
      </c>
      <c r="I1384" t="s">
        <v>80</v>
      </c>
      <c r="J1384" t="s">
        <v>196</v>
      </c>
      <c r="K1384" t="s">
        <v>13</v>
      </c>
      <c r="L1384" t="s">
        <v>83</v>
      </c>
      <c r="M1384" t="s">
        <v>84</v>
      </c>
      <c r="N1384">
        <v>1</v>
      </c>
      <c r="O1384" t="b">
        <v>1</v>
      </c>
      <c r="P1384">
        <v>0</v>
      </c>
      <c r="BB1384">
        <v>0</v>
      </c>
      <c r="BC1384" t="s">
        <v>306</v>
      </c>
      <c r="BD1384" t="s">
        <v>343</v>
      </c>
      <c r="BE1384" t="s">
        <v>117</v>
      </c>
      <c r="BF1384">
        <v>0</v>
      </c>
      <c r="BG1384">
        <v>25</v>
      </c>
      <c r="BH1384">
        <v>10000</v>
      </c>
      <c r="BI1384" t="s">
        <v>344</v>
      </c>
    </row>
    <row r="1385" spans="1:61">
      <c r="A1385" s="164" t="s">
        <v>3414</v>
      </c>
      <c r="B1385" t="s">
        <v>3415</v>
      </c>
      <c r="C1385">
        <v>0</v>
      </c>
      <c r="D1385" t="s">
        <v>304</v>
      </c>
      <c r="E1385">
        <v>0</v>
      </c>
      <c r="F1385" t="s">
        <v>349</v>
      </c>
      <c r="G1385" t="s">
        <v>78</v>
      </c>
      <c r="H1385" t="s">
        <v>79</v>
      </c>
      <c r="I1385" t="s">
        <v>80</v>
      </c>
      <c r="J1385" t="s">
        <v>196</v>
      </c>
      <c r="K1385" t="s">
        <v>13</v>
      </c>
      <c r="L1385" t="s">
        <v>83</v>
      </c>
      <c r="M1385" t="s">
        <v>84</v>
      </c>
      <c r="N1385">
        <v>1</v>
      </c>
      <c r="O1385" t="b">
        <v>1</v>
      </c>
      <c r="P1385">
        <v>0</v>
      </c>
      <c r="BB1385">
        <v>0</v>
      </c>
      <c r="BC1385" t="s">
        <v>306</v>
      </c>
      <c r="BD1385" t="s">
        <v>350</v>
      </c>
      <c r="BE1385" t="s">
        <v>117</v>
      </c>
      <c r="BF1385">
        <v>0</v>
      </c>
      <c r="BG1385">
        <v>25</v>
      </c>
      <c r="BH1385">
        <v>10000</v>
      </c>
      <c r="BI1385" t="s">
        <v>344</v>
      </c>
    </row>
    <row r="1386" spans="1:61">
      <c r="A1386" s="164" t="s">
        <v>3416</v>
      </c>
      <c r="B1386" t="s">
        <v>3417</v>
      </c>
      <c r="C1386">
        <v>0</v>
      </c>
      <c r="D1386" t="s">
        <v>304</v>
      </c>
      <c r="E1386">
        <v>0</v>
      </c>
      <c r="F1386" t="s">
        <v>430</v>
      </c>
      <c r="G1386" t="s">
        <v>78</v>
      </c>
      <c r="H1386" t="s">
        <v>79</v>
      </c>
      <c r="I1386" t="s">
        <v>80</v>
      </c>
      <c r="J1386" t="s">
        <v>196</v>
      </c>
      <c r="K1386" t="s">
        <v>13</v>
      </c>
      <c r="L1386" t="s">
        <v>83</v>
      </c>
      <c r="M1386" t="s">
        <v>84</v>
      </c>
      <c r="N1386">
        <v>1</v>
      </c>
      <c r="O1386" t="b">
        <v>1</v>
      </c>
      <c r="P1386">
        <v>0</v>
      </c>
      <c r="BB1386">
        <v>0</v>
      </c>
      <c r="BC1386" t="s">
        <v>306</v>
      </c>
      <c r="BD1386" t="s">
        <v>431</v>
      </c>
      <c r="BE1386" t="s">
        <v>117</v>
      </c>
      <c r="BF1386">
        <v>0</v>
      </c>
      <c r="BG1386">
        <v>15</v>
      </c>
      <c r="BH1386">
        <v>2</v>
      </c>
      <c r="BI1386" t="s">
        <v>435</v>
      </c>
    </row>
    <row r="1387" spans="1:61">
      <c r="A1387" s="164" t="s">
        <v>3418</v>
      </c>
      <c r="B1387" t="s">
        <v>3419</v>
      </c>
      <c r="C1387">
        <v>0</v>
      </c>
      <c r="D1387" t="s">
        <v>304</v>
      </c>
      <c r="E1387">
        <v>0</v>
      </c>
      <c r="F1387" t="s">
        <v>430</v>
      </c>
      <c r="G1387" t="s">
        <v>78</v>
      </c>
      <c r="H1387" t="s">
        <v>79</v>
      </c>
      <c r="I1387" t="s">
        <v>80</v>
      </c>
      <c r="J1387" t="s">
        <v>196</v>
      </c>
      <c r="K1387" t="s">
        <v>13</v>
      </c>
      <c r="L1387" t="s">
        <v>83</v>
      </c>
      <c r="M1387" t="s">
        <v>84</v>
      </c>
      <c r="N1387">
        <v>1</v>
      </c>
      <c r="O1387" t="b">
        <v>1</v>
      </c>
      <c r="P1387">
        <v>0</v>
      </c>
      <c r="BB1387">
        <v>0</v>
      </c>
      <c r="BC1387" t="s">
        <v>306</v>
      </c>
      <c r="BD1387" t="s">
        <v>431</v>
      </c>
      <c r="BE1387" t="s">
        <v>117</v>
      </c>
      <c r="BF1387">
        <v>0</v>
      </c>
      <c r="BG1387">
        <v>15</v>
      </c>
      <c r="BH1387">
        <v>2</v>
      </c>
      <c r="BI1387" t="s">
        <v>435</v>
      </c>
    </row>
    <row r="1388" spans="1:61">
      <c r="A1388" s="164" t="s">
        <v>3420</v>
      </c>
      <c r="B1388" t="s">
        <v>3421</v>
      </c>
      <c r="C1388">
        <v>0</v>
      </c>
      <c r="D1388" t="s">
        <v>304</v>
      </c>
      <c r="E1388">
        <v>0</v>
      </c>
      <c r="F1388" t="s">
        <v>430</v>
      </c>
      <c r="G1388" t="s">
        <v>78</v>
      </c>
      <c r="H1388" t="s">
        <v>79</v>
      </c>
      <c r="I1388" t="s">
        <v>80</v>
      </c>
      <c r="J1388" t="s">
        <v>196</v>
      </c>
      <c r="K1388" t="s">
        <v>13</v>
      </c>
      <c r="L1388" t="s">
        <v>83</v>
      </c>
      <c r="M1388" t="s">
        <v>84</v>
      </c>
      <c r="N1388">
        <v>1</v>
      </c>
      <c r="O1388" t="b">
        <v>1</v>
      </c>
      <c r="P1388">
        <v>0</v>
      </c>
      <c r="BB1388">
        <v>0</v>
      </c>
      <c r="BC1388" t="s">
        <v>306</v>
      </c>
      <c r="BD1388" t="s">
        <v>431</v>
      </c>
      <c r="BE1388" t="s">
        <v>117</v>
      </c>
      <c r="BF1388">
        <v>0</v>
      </c>
      <c r="BG1388">
        <v>15</v>
      </c>
      <c r="BH1388">
        <v>2</v>
      </c>
      <c r="BI1388" t="s">
        <v>435</v>
      </c>
    </row>
    <row r="1389" spans="1:61">
      <c r="A1389" s="164" t="s">
        <v>3422</v>
      </c>
      <c r="B1389" t="s">
        <v>3423</v>
      </c>
      <c r="C1389">
        <v>0</v>
      </c>
      <c r="D1389" t="s">
        <v>304</v>
      </c>
      <c r="E1389">
        <v>0</v>
      </c>
      <c r="F1389" t="s">
        <v>269</v>
      </c>
      <c r="G1389" t="s">
        <v>103</v>
      </c>
      <c r="H1389" t="s">
        <v>104</v>
      </c>
      <c r="I1389" t="s">
        <v>80</v>
      </c>
      <c r="J1389" t="s">
        <v>196</v>
      </c>
      <c r="K1389" t="s">
        <v>13</v>
      </c>
      <c r="L1389" t="s">
        <v>83</v>
      </c>
      <c r="M1389" t="s">
        <v>84</v>
      </c>
      <c r="N1389">
        <v>1</v>
      </c>
      <c r="O1389" t="b">
        <v>0</v>
      </c>
      <c r="P1389">
        <v>0</v>
      </c>
      <c r="BB1389">
        <v>0</v>
      </c>
      <c r="BC1389" t="s">
        <v>306</v>
      </c>
      <c r="BD1389" t="s">
        <v>270</v>
      </c>
      <c r="BE1389" t="s">
        <v>117</v>
      </c>
      <c r="BF1389">
        <v>0</v>
      </c>
      <c r="BG1389">
        <v>0</v>
      </c>
      <c r="BH1389">
        <v>0</v>
      </c>
    </row>
    <row r="1390" spans="1:61">
      <c r="A1390" s="164" t="s">
        <v>3424</v>
      </c>
      <c r="B1390" t="s">
        <v>3425</v>
      </c>
      <c r="C1390">
        <v>0</v>
      </c>
      <c r="D1390" t="s">
        <v>304</v>
      </c>
      <c r="E1390">
        <v>0</v>
      </c>
      <c r="F1390" t="s">
        <v>2782</v>
      </c>
      <c r="G1390" t="s">
        <v>78</v>
      </c>
      <c r="H1390" t="s">
        <v>79</v>
      </c>
      <c r="I1390" t="s">
        <v>80</v>
      </c>
      <c r="J1390" t="s">
        <v>196</v>
      </c>
      <c r="K1390" t="s">
        <v>13</v>
      </c>
      <c r="L1390" t="s">
        <v>83</v>
      </c>
      <c r="M1390" t="s">
        <v>84</v>
      </c>
      <c r="N1390">
        <v>1</v>
      </c>
      <c r="O1390" t="b">
        <v>1</v>
      </c>
      <c r="P1390">
        <v>0</v>
      </c>
      <c r="BB1390">
        <v>0</v>
      </c>
      <c r="BC1390" t="s">
        <v>306</v>
      </c>
      <c r="BD1390" t="s">
        <v>2783</v>
      </c>
      <c r="BE1390" t="s">
        <v>117</v>
      </c>
      <c r="BF1390">
        <v>0</v>
      </c>
      <c r="BG1390">
        <v>25</v>
      </c>
      <c r="BH1390">
        <v>30000</v>
      </c>
      <c r="BI1390" t="s">
        <v>328</v>
      </c>
    </row>
    <row r="1391" spans="1:61">
      <c r="A1391" s="164" t="s">
        <v>3426</v>
      </c>
      <c r="B1391" t="s">
        <v>3427</v>
      </c>
      <c r="C1391">
        <v>0</v>
      </c>
      <c r="D1391" t="s">
        <v>304</v>
      </c>
      <c r="E1391">
        <v>0</v>
      </c>
      <c r="F1391" t="s">
        <v>589</v>
      </c>
      <c r="G1391" t="s">
        <v>78</v>
      </c>
      <c r="H1391" t="s">
        <v>79</v>
      </c>
      <c r="I1391" t="s">
        <v>80</v>
      </c>
      <c r="J1391" t="s">
        <v>196</v>
      </c>
      <c r="K1391" t="s">
        <v>13</v>
      </c>
      <c r="L1391" t="s">
        <v>83</v>
      </c>
      <c r="M1391" t="s">
        <v>84</v>
      </c>
      <c r="N1391">
        <v>1</v>
      </c>
      <c r="O1391" t="b">
        <v>1</v>
      </c>
      <c r="P1391">
        <v>0</v>
      </c>
      <c r="BB1391">
        <v>0</v>
      </c>
      <c r="BC1391" t="s">
        <v>306</v>
      </c>
      <c r="BD1391" t="s">
        <v>590</v>
      </c>
      <c r="BE1391" t="s">
        <v>117</v>
      </c>
      <c r="BF1391">
        <v>0</v>
      </c>
      <c r="BG1391">
        <v>25</v>
      </c>
      <c r="BH1391">
        <v>10000</v>
      </c>
      <c r="BI1391" t="s">
        <v>344</v>
      </c>
    </row>
    <row r="1392" spans="1:61">
      <c r="A1392" s="164" t="s">
        <v>3428</v>
      </c>
      <c r="B1392" t="s">
        <v>3429</v>
      </c>
      <c r="C1392">
        <v>0</v>
      </c>
      <c r="D1392" t="s">
        <v>304</v>
      </c>
      <c r="E1392">
        <v>0</v>
      </c>
      <c r="F1392" t="s">
        <v>589</v>
      </c>
      <c r="G1392" t="s">
        <v>78</v>
      </c>
      <c r="H1392" t="s">
        <v>79</v>
      </c>
      <c r="I1392" t="s">
        <v>80</v>
      </c>
      <c r="J1392" t="s">
        <v>196</v>
      </c>
      <c r="K1392" t="s">
        <v>13</v>
      </c>
      <c r="L1392" t="s">
        <v>83</v>
      </c>
      <c r="M1392" t="s">
        <v>84</v>
      </c>
      <c r="N1392">
        <v>1</v>
      </c>
      <c r="O1392" t="b">
        <v>1</v>
      </c>
      <c r="P1392">
        <v>0</v>
      </c>
      <c r="BB1392">
        <v>0</v>
      </c>
      <c r="BC1392" t="s">
        <v>306</v>
      </c>
      <c r="BD1392" t="s">
        <v>590</v>
      </c>
      <c r="BE1392" t="s">
        <v>117</v>
      </c>
      <c r="BF1392">
        <v>0</v>
      </c>
      <c r="BG1392">
        <v>25</v>
      </c>
      <c r="BH1392">
        <v>10000</v>
      </c>
      <c r="BI1392" t="s">
        <v>344</v>
      </c>
    </row>
    <row r="1393" spans="1:61">
      <c r="A1393" s="164" t="s">
        <v>3430</v>
      </c>
      <c r="B1393" t="s">
        <v>3431</v>
      </c>
      <c r="C1393">
        <v>0</v>
      </c>
      <c r="D1393" t="s">
        <v>304</v>
      </c>
      <c r="E1393">
        <v>0</v>
      </c>
      <c r="F1393" t="s">
        <v>357</v>
      </c>
      <c r="G1393" t="s">
        <v>78</v>
      </c>
      <c r="H1393" t="s">
        <v>79</v>
      </c>
      <c r="I1393" t="s">
        <v>80</v>
      </c>
      <c r="J1393" t="s">
        <v>196</v>
      </c>
      <c r="K1393" t="s">
        <v>13</v>
      </c>
      <c r="L1393" t="s">
        <v>83</v>
      </c>
      <c r="M1393" t="s">
        <v>84</v>
      </c>
      <c r="N1393">
        <v>1</v>
      </c>
      <c r="O1393" t="b">
        <v>1</v>
      </c>
      <c r="P1393">
        <v>0</v>
      </c>
      <c r="BB1393">
        <v>0</v>
      </c>
      <c r="BC1393" t="s">
        <v>306</v>
      </c>
      <c r="BD1393" t="s">
        <v>358</v>
      </c>
      <c r="BE1393" t="s">
        <v>117</v>
      </c>
      <c r="BF1393">
        <v>0</v>
      </c>
      <c r="BG1393">
        <v>25</v>
      </c>
      <c r="BH1393">
        <v>500</v>
      </c>
      <c r="BI1393" t="s">
        <v>359</v>
      </c>
    </row>
    <row r="1394" spans="1:61">
      <c r="A1394" s="164" t="s">
        <v>3432</v>
      </c>
      <c r="B1394" t="s">
        <v>3433</v>
      </c>
      <c r="C1394">
        <v>0</v>
      </c>
      <c r="D1394" t="s">
        <v>304</v>
      </c>
      <c r="E1394">
        <v>0</v>
      </c>
      <c r="F1394" t="s">
        <v>269</v>
      </c>
      <c r="G1394" t="s">
        <v>103</v>
      </c>
      <c r="H1394" t="s">
        <v>104</v>
      </c>
      <c r="I1394" t="s">
        <v>80</v>
      </c>
      <c r="J1394" t="s">
        <v>196</v>
      </c>
      <c r="K1394" t="s">
        <v>13</v>
      </c>
      <c r="L1394" t="s">
        <v>83</v>
      </c>
      <c r="M1394" t="s">
        <v>84</v>
      </c>
      <c r="N1394">
        <v>1</v>
      </c>
      <c r="O1394" t="b">
        <v>0</v>
      </c>
      <c r="P1394">
        <v>0</v>
      </c>
      <c r="BB1394">
        <v>0</v>
      </c>
      <c r="BC1394" t="s">
        <v>306</v>
      </c>
      <c r="BD1394" t="s">
        <v>270</v>
      </c>
      <c r="BE1394" t="s">
        <v>117</v>
      </c>
      <c r="BF1394">
        <v>0</v>
      </c>
      <c r="BG1394">
        <v>0</v>
      </c>
      <c r="BH1394">
        <v>0</v>
      </c>
    </row>
    <row r="1395" spans="1:61">
      <c r="A1395" s="164" t="s">
        <v>3434</v>
      </c>
      <c r="B1395" t="s">
        <v>3435</v>
      </c>
      <c r="C1395">
        <v>0</v>
      </c>
      <c r="D1395" t="s">
        <v>304</v>
      </c>
      <c r="E1395">
        <v>0</v>
      </c>
      <c r="F1395" t="s">
        <v>313</v>
      </c>
      <c r="G1395" t="s">
        <v>78</v>
      </c>
      <c r="H1395" t="s">
        <v>79</v>
      </c>
      <c r="I1395" t="s">
        <v>80</v>
      </c>
      <c r="J1395" t="s">
        <v>196</v>
      </c>
      <c r="K1395" t="s">
        <v>13</v>
      </c>
      <c r="L1395" t="s">
        <v>83</v>
      </c>
      <c r="M1395" t="s">
        <v>205</v>
      </c>
      <c r="N1395">
        <v>1</v>
      </c>
      <c r="O1395" t="b">
        <v>1</v>
      </c>
      <c r="P1395">
        <v>0</v>
      </c>
      <c r="BB1395">
        <v>0</v>
      </c>
      <c r="BC1395" t="s">
        <v>306</v>
      </c>
      <c r="BD1395" t="s">
        <v>314</v>
      </c>
      <c r="BE1395" t="s">
        <v>117</v>
      </c>
      <c r="BF1395">
        <v>0</v>
      </c>
      <c r="BG1395">
        <v>45</v>
      </c>
      <c r="BH1395">
        <v>300</v>
      </c>
      <c r="BI1395" t="s">
        <v>315</v>
      </c>
    </row>
    <row r="1396" spans="1:61">
      <c r="A1396" s="164" t="s">
        <v>3436</v>
      </c>
      <c r="B1396" t="s">
        <v>3437</v>
      </c>
      <c r="C1396">
        <v>0</v>
      </c>
      <c r="D1396" t="s">
        <v>304</v>
      </c>
      <c r="E1396">
        <v>0</v>
      </c>
      <c r="F1396" t="s">
        <v>313</v>
      </c>
      <c r="G1396" t="s">
        <v>78</v>
      </c>
      <c r="H1396" t="s">
        <v>79</v>
      </c>
      <c r="I1396" t="s">
        <v>80</v>
      </c>
      <c r="J1396" t="s">
        <v>196</v>
      </c>
      <c r="K1396" t="s">
        <v>13</v>
      </c>
      <c r="L1396" t="s">
        <v>83</v>
      </c>
      <c r="M1396" t="s">
        <v>205</v>
      </c>
      <c r="N1396">
        <v>1</v>
      </c>
      <c r="O1396" t="b">
        <v>1</v>
      </c>
      <c r="P1396">
        <v>0</v>
      </c>
      <c r="BB1396">
        <v>0</v>
      </c>
      <c r="BC1396" t="s">
        <v>306</v>
      </c>
      <c r="BD1396" t="s">
        <v>314</v>
      </c>
      <c r="BE1396" t="s">
        <v>117</v>
      </c>
      <c r="BF1396">
        <v>0</v>
      </c>
      <c r="BG1396">
        <v>45</v>
      </c>
      <c r="BH1396">
        <v>300</v>
      </c>
      <c r="BI1396" t="s">
        <v>315</v>
      </c>
    </row>
    <row r="1397" spans="1:61">
      <c r="A1397" s="164" t="s">
        <v>3438</v>
      </c>
      <c r="B1397" t="s">
        <v>3439</v>
      </c>
      <c r="C1397">
        <v>0</v>
      </c>
      <c r="D1397" t="s">
        <v>304</v>
      </c>
      <c r="E1397">
        <v>0</v>
      </c>
      <c r="F1397" t="s">
        <v>313</v>
      </c>
      <c r="G1397" t="s">
        <v>78</v>
      </c>
      <c r="H1397" t="s">
        <v>79</v>
      </c>
      <c r="I1397" t="s">
        <v>80</v>
      </c>
      <c r="J1397" t="s">
        <v>196</v>
      </c>
      <c r="K1397" t="s">
        <v>13</v>
      </c>
      <c r="L1397" t="s">
        <v>83</v>
      </c>
      <c r="M1397" t="s">
        <v>205</v>
      </c>
      <c r="N1397">
        <v>1</v>
      </c>
      <c r="O1397" t="b">
        <v>1</v>
      </c>
      <c r="P1397">
        <v>0</v>
      </c>
      <c r="BB1397">
        <v>0</v>
      </c>
      <c r="BC1397" t="s">
        <v>306</v>
      </c>
      <c r="BD1397" t="s">
        <v>314</v>
      </c>
      <c r="BE1397" t="s">
        <v>117</v>
      </c>
      <c r="BF1397">
        <v>0</v>
      </c>
      <c r="BG1397">
        <v>45</v>
      </c>
      <c r="BH1397">
        <v>300</v>
      </c>
      <c r="BI1397" t="s">
        <v>315</v>
      </c>
    </row>
    <row r="1398" spans="1:61">
      <c r="A1398" s="164" t="s">
        <v>3440</v>
      </c>
      <c r="B1398" t="s">
        <v>3441</v>
      </c>
      <c r="C1398">
        <v>0</v>
      </c>
      <c r="D1398" t="s">
        <v>304</v>
      </c>
      <c r="E1398">
        <v>0</v>
      </c>
      <c r="F1398" t="s">
        <v>357</v>
      </c>
      <c r="G1398" t="s">
        <v>78</v>
      </c>
      <c r="H1398" t="s">
        <v>79</v>
      </c>
      <c r="I1398" t="s">
        <v>80</v>
      </c>
      <c r="J1398" t="s">
        <v>196</v>
      </c>
      <c r="K1398" t="s">
        <v>13</v>
      </c>
      <c r="L1398" t="s">
        <v>83</v>
      </c>
      <c r="M1398" t="s">
        <v>84</v>
      </c>
      <c r="N1398">
        <v>1</v>
      </c>
      <c r="O1398" t="b">
        <v>1</v>
      </c>
      <c r="P1398">
        <v>0</v>
      </c>
      <c r="BB1398">
        <v>0</v>
      </c>
      <c r="BC1398" t="s">
        <v>306</v>
      </c>
      <c r="BD1398" t="s">
        <v>358</v>
      </c>
      <c r="BE1398" t="s">
        <v>117</v>
      </c>
      <c r="BF1398">
        <v>0</v>
      </c>
      <c r="BG1398">
        <v>30</v>
      </c>
      <c r="BH1398">
        <v>500</v>
      </c>
      <c r="BI1398" t="s">
        <v>359</v>
      </c>
    </row>
    <row r="1399" spans="1:61">
      <c r="A1399" s="164" t="s">
        <v>3442</v>
      </c>
      <c r="B1399" t="s">
        <v>3443</v>
      </c>
      <c r="C1399">
        <v>0</v>
      </c>
      <c r="D1399" t="s">
        <v>304</v>
      </c>
      <c r="E1399">
        <v>0</v>
      </c>
      <c r="F1399" t="s">
        <v>305</v>
      </c>
      <c r="G1399" t="s">
        <v>78</v>
      </c>
      <c r="H1399" t="s">
        <v>79</v>
      </c>
      <c r="I1399" t="s">
        <v>80</v>
      </c>
      <c r="J1399" t="s">
        <v>196</v>
      </c>
      <c r="K1399" t="s">
        <v>13</v>
      </c>
      <c r="L1399" t="s">
        <v>83</v>
      </c>
      <c r="M1399" t="s">
        <v>84</v>
      </c>
      <c r="N1399">
        <v>1</v>
      </c>
      <c r="O1399" t="b">
        <v>1</v>
      </c>
      <c r="P1399">
        <v>0</v>
      </c>
      <c r="BB1399">
        <v>0</v>
      </c>
      <c r="BC1399" t="s">
        <v>306</v>
      </c>
      <c r="BD1399" t="s">
        <v>307</v>
      </c>
      <c r="BE1399" t="s">
        <v>117</v>
      </c>
      <c r="BF1399">
        <v>0</v>
      </c>
      <c r="BG1399">
        <v>25</v>
      </c>
      <c r="BH1399">
        <v>10000</v>
      </c>
      <c r="BI1399" t="s">
        <v>308</v>
      </c>
    </row>
    <row r="1400" spans="1:61">
      <c r="A1400" s="164" t="s">
        <v>3444</v>
      </c>
      <c r="B1400" t="s">
        <v>3445</v>
      </c>
      <c r="C1400">
        <v>0</v>
      </c>
      <c r="D1400" t="s">
        <v>304</v>
      </c>
      <c r="E1400">
        <v>0</v>
      </c>
      <c r="F1400" t="s">
        <v>305</v>
      </c>
      <c r="G1400" t="s">
        <v>78</v>
      </c>
      <c r="H1400" t="s">
        <v>79</v>
      </c>
      <c r="I1400" t="s">
        <v>80</v>
      </c>
      <c r="J1400" t="s">
        <v>196</v>
      </c>
      <c r="K1400" t="s">
        <v>13</v>
      </c>
      <c r="L1400" t="s">
        <v>83</v>
      </c>
      <c r="M1400" t="s">
        <v>84</v>
      </c>
      <c r="N1400">
        <v>1</v>
      </c>
      <c r="O1400" t="b">
        <v>1</v>
      </c>
      <c r="P1400">
        <v>0</v>
      </c>
      <c r="BB1400">
        <v>0</v>
      </c>
      <c r="BC1400" t="s">
        <v>306</v>
      </c>
      <c r="BD1400" t="s">
        <v>307</v>
      </c>
      <c r="BE1400" t="s">
        <v>117</v>
      </c>
      <c r="BF1400">
        <v>0</v>
      </c>
      <c r="BG1400">
        <v>25</v>
      </c>
      <c r="BH1400">
        <v>10000</v>
      </c>
      <c r="BI1400" t="s">
        <v>308</v>
      </c>
    </row>
    <row r="1401" spans="1:61">
      <c r="A1401" s="164" t="s">
        <v>3446</v>
      </c>
      <c r="B1401" t="s">
        <v>3447</v>
      </c>
      <c r="C1401">
        <v>0</v>
      </c>
      <c r="D1401" t="s">
        <v>304</v>
      </c>
      <c r="E1401">
        <v>0</v>
      </c>
      <c r="F1401" t="s">
        <v>430</v>
      </c>
      <c r="G1401" t="s">
        <v>78</v>
      </c>
      <c r="H1401" t="s">
        <v>79</v>
      </c>
      <c r="I1401" t="s">
        <v>80</v>
      </c>
      <c r="J1401" t="s">
        <v>196</v>
      </c>
      <c r="K1401" t="s">
        <v>13</v>
      </c>
      <c r="L1401" t="s">
        <v>83</v>
      </c>
      <c r="M1401" t="s">
        <v>84</v>
      </c>
      <c r="N1401">
        <v>1</v>
      </c>
      <c r="O1401" t="b">
        <v>1</v>
      </c>
      <c r="P1401">
        <v>0</v>
      </c>
      <c r="BB1401">
        <v>0</v>
      </c>
      <c r="BC1401" t="s">
        <v>306</v>
      </c>
      <c r="BD1401" t="s">
        <v>431</v>
      </c>
      <c r="BE1401" t="s">
        <v>117</v>
      </c>
      <c r="BF1401">
        <v>0</v>
      </c>
      <c r="BG1401">
        <v>15</v>
      </c>
      <c r="BH1401">
        <v>100</v>
      </c>
      <c r="BI1401" t="s">
        <v>432</v>
      </c>
    </row>
    <row r="1402" spans="1:61">
      <c r="A1402" s="164" t="s">
        <v>3448</v>
      </c>
      <c r="B1402" t="s">
        <v>3449</v>
      </c>
      <c r="C1402">
        <v>0</v>
      </c>
      <c r="D1402" t="s">
        <v>304</v>
      </c>
      <c r="E1402">
        <v>0</v>
      </c>
      <c r="F1402" t="s">
        <v>670</v>
      </c>
      <c r="G1402" t="s">
        <v>78</v>
      </c>
      <c r="H1402" t="s">
        <v>79</v>
      </c>
      <c r="I1402" t="s">
        <v>80</v>
      </c>
      <c r="J1402" t="s">
        <v>196</v>
      </c>
      <c r="K1402" t="s">
        <v>13</v>
      </c>
      <c r="L1402" t="s">
        <v>83</v>
      </c>
      <c r="M1402" t="s">
        <v>84</v>
      </c>
      <c r="N1402">
        <v>1</v>
      </c>
      <c r="O1402" t="b">
        <v>1</v>
      </c>
      <c r="P1402">
        <v>0</v>
      </c>
      <c r="BB1402">
        <v>0</v>
      </c>
      <c r="BC1402" t="s">
        <v>306</v>
      </c>
      <c r="BD1402" t="s">
        <v>671</v>
      </c>
      <c r="BE1402" t="s">
        <v>117</v>
      </c>
      <c r="BF1402">
        <v>0</v>
      </c>
      <c r="BG1402">
        <v>25</v>
      </c>
      <c r="BH1402">
        <v>700000</v>
      </c>
      <c r="BI1402" t="s">
        <v>3450</v>
      </c>
    </row>
    <row r="1403" spans="1:61">
      <c r="A1403" s="164" t="s">
        <v>3451</v>
      </c>
      <c r="B1403" t="s">
        <v>3452</v>
      </c>
      <c r="C1403">
        <v>0</v>
      </c>
      <c r="D1403" t="s">
        <v>304</v>
      </c>
      <c r="E1403">
        <v>0</v>
      </c>
      <c r="F1403" t="s">
        <v>313</v>
      </c>
      <c r="G1403" t="s">
        <v>78</v>
      </c>
      <c r="H1403" t="s">
        <v>79</v>
      </c>
      <c r="I1403" t="s">
        <v>80</v>
      </c>
      <c r="J1403" t="s">
        <v>196</v>
      </c>
      <c r="K1403" t="s">
        <v>13</v>
      </c>
      <c r="L1403" t="s">
        <v>83</v>
      </c>
      <c r="M1403" t="s">
        <v>205</v>
      </c>
      <c r="N1403">
        <v>1</v>
      </c>
      <c r="O1403" t="b">
        <v>1</v>
      </c>
      <c r="P1403">
        <v>0</v>
      </c>
      <c r="BB1403">
        <v>0</v>
      </c>
      <c r="BC1403" t="s">
        <v>306</v>
      </c>
      <c r="BD1403" t="s">
        <v>314</v>
      </c>
      <c r="BE1403" t="s">
        <v>117</v>
      </c>
      <c r="BF1403">
        <v>0</v>
      </c>
      <c r="BG1403">
        <v>45</v>
      </c>
      <c r="BH1403">
        <v>300</v>
      </c>
      <c r="BI1403" t="s">
        <v>315</v>
      </c>
    </row>
    <row r="1404" spans="1:61">
      <c r="A1404" s="164" t="s">
        <v>3453</v>
      </c>
      <c r="B1404" t="s">
        <v>3454</v>
      </c>
      <c r="C1404">
        <v>0</v>
      </c>
      <c r="D1404" t="s">
        <v>304</v>
      </c>
      <c r="E1404">
        <v>0</v>
      </c>
      <c r="F1404" t="s">
        <v>313</v>
      </c>
      <c r="G1404" t="s">
        <v>78</v>
      </c>
      <c r="H1404" t="s">
        <v>79</v>
      </c>
      <c r="I1404" t="s">
        <v>80</v>
      </c>
      <c r="J1404" t="s">
        <v>196</v>
      </c>
      <c r="K1404" t="s">
        <v>13</v>
      </c>
      <c r="L1404" t="s">
        <v>83</v>
      </c>
      <c r="M1404" t="s">
        <v>205</v>
      </c>
      <c r="N1404">
        <v>1</v>
      </c>
      <c r="O1404" t="b">
        <v>1</v>
      </c>
      <c r="P1404">
        <v>0</v>
      </c>
      <c r="BB1404">
        <v>0</v>
      </c>
      <c r="BC1404" t="s">
        <v>306</v>
      </c>
      <c r="BD1404" t="s">
        <v>314</v>
      </c>
      <c r="BE1404" t="s">
        <v>117</v>
      </c>
      <c r="BF1404">
        <v>0</v>
      </c>
      <c r="BG1404">
        <v>120</v>
      </c>
      <c r="BH1404">
        <v>1000</v>
      </c>
      <c r="BI1404" t="s">
        <v>1419</v>
      </c>
    </row>
    <row r="1405" spans="1:61">
      <c r="A1405" s="164" t="s">
        <v>3455</v>
      </c>
      <c r="B1405" t="s">
        <v>3456</v>
      </c>
      <c r="C1405">
        <v>0</v>
      </c>
      <c r="D1405" t="s">
        <v>304</v>
      </c>
      <c r="E1405">
        <v>0</v>
      </c>
      <c r="F1405" t="s">
        <v>305</v>
      </c>
      <c r="G1405" t="s">
        <v>78</v>
      </c>
      <c r="H1405" t="s">
        <v>79</v>
      </c>
      <c r="I1405" t="s">
        <v>80</v>
      </c>
      <c r="J1405" t="s">
        <v>196</v>
      </c>
      <c r="K1405" t="s">
        <v>13</v>
      </c>
      <c r="L1405" t="s">
        <v>83</v>
      </c>
      <c r="M1405" t="s">
        <v>84</v>
      </c>
      <c r="N1405">
        <v>1</v>
      </c>
      <c r="O1405" t="b">
        <v>1</v>
      </c>
      <c r="P1405">
        <v>0</v>
      </c>
      <c r="BB1405">
        <v>0</v>
      </c>
      <c r="BC1405" t="s">
        <v>306</v>
      </c>
      <c r="BD1405" t="s">
        <v>307</v>
      </c>
      <c r="BE1405" t="s">
        <v>117</v>
      </c>
      <c r="BF1405">
        <v>0</v>
      </c>
      <c r="BG1405">
        <v>25</v>
      </c>
      <c r="BH1405">
        <v>20000</v>
      </c>
      <c r="BI1405" t="s">
        <v>308</v>
      </c>
    </row>
    <row r="1406" spans="1:61">
      <c r="A1406" s="164" t="s">
        <v>3457</v>
      </c>
      <c r="B1406" t="s">
        <v>3458</v>
      </c>
      <c r="C1406">
        <v>0</v>
      </c>
      <c r="D1406" t="s">
        <v>304</v>
      </c>
      <c r="E1406">
        <v>0</v>
      </c>
      <c r="F1406" t="s">
        <v>1917</v>
      </c>
      <c r="G1406" t="s">
        <v>78</v>
      </c>
      <c r="H1406" t="s">
        <v>79</v>
      </c>
      <c r="I1406" t="s">
        <v>80</v>
      </c>
      <c r="J1406" t="s">
        <v>196</v>
      </c>
      <c r="K1406" t="s">
        <v>13</v>
      </c>
      <c r="L1406" t="s">
        <v>83</v>
      </c>
      <c r="M1406" t="s">
        <v>84</v>
      </c>
      <c r="N1406">
        <v>1</v>
      </c>
      <c r="O1406" t="b">
        <v>1</v>
      </c>
      <c r="P1406">
        <v>0</v>
      </c>
      <c r="BB1406">
        <v>0</v>
      </c>
      <c r="BC1406" t="s">
        <v>306</v>
      </c>
      <c r="BD1406" t="s">
        <v>1919</v>
      </c>
      <c r="BE1406" t="s">
        <v>117</v>
      </c>
      <c r="BF1406">
        <v>0</v>
      </c>
      <c r="BG1406">
        <v>30</v>
      </c>
      <c r="BH1406">
        <v>20000</v>
      </c>
      <c r="BI1406" t="s">
        <v>1920</v>
      </c>
    </row>
    <row r="1407" spans="1:61">
      <c r="A1407" s="164" t="s">
        <v>3459</v>
      </c>
      <c r="B1407" t="s">
        <v>3460</v>
      </c>
      <c r="C1407">
        <v>0</v>
      </c>
      <c r="D1407" t="s">
        <v>304</v>
      </c>
      <c r="E1407">
        <v>0</v>
      </c>
      <c r="F1407" t="s">
        <v>666</v>
      </c>
      <c r="G1407" t="s">
        <v>78</v>
      </c>
      <c r="H1407" t="s">
        <v>79</v>
      </c>
      <c r="I1407" t="s">
        <v>80</v>
      </c>
      <c r="J1407" t="s">
        <v>196</v>
      </c>
      <c r="K1407" t="s">
        <v>13</v>
      </c>
      <c r="L1407" t="s">
        <v>83</v>
      </c>
      <c r="M1407" t="s">
        <v>84</v>
      </c>
      <c r="N1407">
        <v>1</v>
      </c>
      <c r="O1407" t="b">
        <v>1</v>
      </c>
      <c r="P1407">
        <v>0</v>
      </c>
      <c r="BB1407">
        <v>0</v>
      </c>
      <c r="BC1407" t="s">
        <v>306</v>
      </c>
      <c r="BD1407" t="s">
        <v>667</v>
      </c>
      <c r="BE1407" t="s">
        <v>117</v>
      </c>
      <c r="BF1407">
        <v>0</v>
      </c>
      <c r="BG1407">
        <v>45</v>
      </c>
      <c r="BH1407">
        <v>60000</v>
      </c>
      <c r="BI1407" t="s">
        <v>315</v>
      </c>
    </row>
    <row r="1408" spans="1:61">
      <c r="A1408" s="164" t="s">
        <v>3461</v>
      </c>
      <c r="B1408" t="s">
        <v>3462</v>
      </c>
      <c r="C1408">
        <v>0</v>
      </c>
      <c r="D1408" t="s">
        <v>304</v>
      </c>
      <c r="E1408">
        <v>0</v>
      </c>
      <c r="F1408" t="s">
        <v>349</v>
      </c>
      <c r="G1408" t="s">
        <v>78</v>
      </c>
      <c r="H1408" t="s">
        <v>79</v>
      </c>
      <c r="I1408" t="s">
        <v>80</v>
      </c>
      <c r="J1408" t="s">
        <v>196</v>
      </c>
      <c r="K1408" t="s">
        <v>13</v>
      </c>
      <c r="L1408" t="s">
        <v>83</v>
      </c>
      <c r="M1408" t="s">
        <v>84</v>
      </c>
      <c r="N1408">
        <v>1</v>
      </c>
      <c r="O1408" t="b">
        <v>1</v>
      </c>
      <c r="P1408">
        <v>0</v>
      </c>
      <c r="BB1408">
        <v>0</v>
      </c>
      <c r="BC1408" t="s">
        <v>306</v>
      </c>
      <c r="BD1408" t="s">
        <v>350</v>
      </c>
      <c r="BE1408" t="s">
        <v>117</v>
      </c>
      <c r="BF1408">
        <v>0</v>
      </c>
      <c r="BG1408">
        <v>25</v>
      </c>
      <c r="BH1408">
        <v>10000</v>
      </c>
      <c r="BI1408" t="s">
        <v>344</v>
      </c>
    </row>
    <row r="1409" spans="1:61">
      <c r="A1409" s="164" t="s">
        <v>3463</v>
      </c>
      <c r="B1409" t="s">
        <v>3464</v>
      </c>
      <c r="C1409">
        <v>0</v>
      </c>
      <c r="D1409" t="s">
        <v>304</v>
      </c>
      <c r="E1409">
        <v>0</v>
      </c>
      <c r="F1409" t="s">
        <v>336</v>
      </c>
      <c r="G1409" t="s">
        <v>78</v>
      </c>
      <c r="H1409" t="s">
        <v>79</v>
      </c>
      <c r="I1409" t="s">
        <v>80</v>
      </c>
      <c r="J1409" t="s">
        <v>196</v>
      </c>
      <c r="K1409" t="s">
        <v>13</v>
      </c>
      <c r="L1409" t="s">
        <v>83</v>
      </c>
      <c r="M1409" t="s">
        <v>84</v>
      </c>
      <c r="N1409">
        <v>1</v>
      </c>
      <c r="O1409" t="b">
        <v>1</v>
      </c>
      <c r="P1409">
        <v>0</v>
      </c>
      <c r="BB1409">
        <v>0</v>
      </c>
      <c r="BC1409" t="s">
        <v>306</v>
      </c>
      <c r="BD1409" t="s">
        <v>337</v>
      </c>
      <c r="BE1409" t="s">
        <v>117</v>
      </c>
      <c r="BF1409">
        <v>0</v>
      </c>
      <c r="BG1409">
        <v>30</v>
      </c>
      <c r="BH1409">
        <v>30000</v>
      </c>
      <c r="BI1409" t="s">
        <v>328</v>
      </c>
    </row>
    <row r="1410" spans="1:61">
      <c r="A1410" s="164" t="s">
        <v>3465</v>
      </c>
      <c r="B1410" t="s">
        <v>3466</v>
      </c>
      <c r="C1410">
        <v>0</v>
      </c>
      <c r="D1410" t="s">
        <v>304</v>
      </c>
      <c r="E1410">
        <v>0</v>
      </c>
      <c r="F1410" t="s">
        <v>357</v>
      </c>
      <c r="G1410" t="s">
        <v>78</v>
      </c>
      <c r="H1410" t="s">
        <v>79</v>
      </c>
      <c r="I1410" t="s">
        <v>80</v>
      </c>
      <c r="J1410" t="s">
        <v>196</v>
      </c>
      <c r="K1410" t="s">
        <v>13</v>
      </c>
      <c r="L1410" t="s">
        <v>83</v>
      </c>
      <c r="M1410" t="s">
        <v>84</v>
      </c>
      <c r="N1410">
        <v>1</v>
      </c>
      <c r="O1410" t="b">
        <v>1</v>
      </c>
      <c r="P1410">
        <v>0</v>
      </c>
      <c r="BB1410">
        <v>0</v>
      </c>
      <c r="BC1410" t="s">
        <v>306</v>
      </c>
      <c r="BD1410" t="s">
        <v>358</v>
      </c>
      <c r="BE1410" t="s">
        <v>117</v>
      </c>
      <c r="BF1410">
        <v>0</v>
      </c>
      <c r="BG1410">
        <v>25</v>
      </c>
      <c r="BH1410">
        <v>500</v>
      </c>
      <c r="BI1410" t="s">
        <v>359</v>
      </c>
    </row>
    <row r="1411" spans="1:61">
      <c r="A1411" s="164" t="s">
        <v>3467</v>
      </c>
      <c r="B1411" t="s">
        <v>3468</v>
      </c>
      <c r="C1411">
        <v>0</v>
      </c>
      <c r="D1411" t="s">
        <v>304</v>
      </c>
      <c r="E1411">
        <v>0</v>
      </c>
      <c r="F1411" t="s">
        <v>342</v>
      </c>
      <c r="G1411" t="s">
        <v>78</v>
      </c>
      <c r="H1411" t="s">
        <v>79</v>
      </c>
      <c r="I1411" t="s">
        <v>80</v>
      </c>
      <c r="J1411" t="s">
        <v>196</v>
      </c>
      <c r="K1411" t="s">
        <v>13</v>
      </c>
      <c r="L1411" t="s">
        <v>83</v>
      </c>
      <c r="M1411" t="s">
        <v>84</v>
      </c>
      <c r="N1411">
        <v>1</v>
      </c>
      <c r="O1411" t="b">
        <v>1</v>
      </c>
      <c r="P1411">
        <v>0</v>
      </c>
      <c r="BB1411">
        <v>0</v>
      </c>
      <c r="BC1411" t="s">
        <v>306</v>
      </c>
      <c r="BD1411" t="s">
        <v>343</v>
      </c>
      <c r="BE1411" t="s">
        <v>117</v>
      </c>
      <c r="BF1411">
        <v>0</v>
      </c>
      <c r="BG1411">
        <v>25</v>
      </c>
      <c r="BH1411">
        <v>10000</v>
      </c>
      <c r="BI1411" t="s">
        <v>344</v>
      </c>
    </row>
    <row r="1412" spans="1:61">
      <c r="A1412" s="164" t="s">
        <v>3469</v>
      </c>
      <c r="B1412" t="s">
        <v>3470</v>
      </c>
      <c r="C1412">
        <v>0</v>
      </c>
      <c r="D1412" t="s">
        <v>304</v>
      </c>
      <c r="E1412">
        <v>0</v>
      </c>
      <c r="F1412" t="s">
        <v>1364</v>
      </c>
      <c r="G1412" t="s">
        <v>78</v>
      </c>
      <c r="H1412" t="s">
        <v>79</v>
      </c>
      <c r="I1412" t="s">
        <v>80</v>
      </c>
      <c r="J1412" t="s">
        <v>196</v>
      </c>
      <c r="K1412" t="s">
        <v>13</v>
      </c>
      <c r="L1412" t="s">
        <v>83</v>
      </c>
      <c r="M1412" t="s">
        <v>84</v>
      </c>
      <c r="N1412">
        <v>1</v>
      </c>
      <c r="O1412" t="b">
        <v>1</v>
      </c>
      <c r="P1412">
        <v>0</v>
      </c>
      <c r="BB1412">
        <v>0</v>
      </c>
      <c r="BC1412" t="s">
        <v>306</v>
      </c>
      <c r="BD1412" t="s">
        <v>1365</v>
      </c>
      <c r="BE1412" t="s">
        <v>117</v>
      </c>
      <c r="BF1412">
        <v>0</v>
      </c>
      <c r="BG1412">
        <v>15</v>
      </c>
      <c r="BH1412">
        <v>3000</v>
      </c>
      <c r="BI1412" t="s">
        <v>1366</v>
      </c>
    </row>
    <row r="1413" spans="1:61">
      <c r="A1413" s="164" t="s">
        <v>3471</v>
      </c>
      <c r="B1413" t="s">
        <v>3472</v>
      </c>
      <c r="C1413">
        <v>0</v>
      </c>
      <c r="D1413" t="s">
        <v>304</v>
      </c>
      <c r="E1413">
        <v>0</v>
      </c>
      <c r="F1413" t="s">
        <v>349</v>
      </c>
      <c r="G1413" t="s">
        <v>78</v>
      </c>
      <c r="H1413" t="s">
        <v>79</v>
      </c>
      <c r="I1413" t="s">
        <v>80</v>
      </c>
      <c r="J1413" t="s">
        <v>196</v>
      </c>
      <c r="K1413" t="s">
        <v>13</v>
      </c>
      <c r="L1413" t="s">
        <v>83</v>
      </c>
      <c r="M1413" t="s">
        <v>84</v>
      </c>
      <c r="N1413">
        <v>1</v>
      </c>
      <c r="O1413" t="b">
        <v>1</v>
      </c>
      <c r="P1413">
        <v>0</v>
      </c>
      <c r="BB1413">
        <v>0</v>
      </c>
      <c r="BC1413" t="s">
        <v>306</v>
      </c>
      <c r="BD1413" t="s">
        <v>350</v>
      </c>
      <c r="BE1413" t="s">
        <v>117</v>
      </c>
      <c r="BF1413">
        <v>0</v>
      </c>
      <c r="BG1413">
        <v>25</v>
      </c>
      <c r="BH1413">
        <v>10000</v>
      </c>
      <c r="BI1413" t="s">
        <v>344</v>
      </c>
    </row>
    <row r="1414" spans="1:61">
      <c r="A1414" s="164" t="s">
        <v>3473</v>
      </c>
      <c r="B1414" t="s">
        <v>3474</v>
      </c>
      <c r="C1414">
        <v>0</v>
      </c>
      <c r="D1414" t="s">
        <v>304</v>
      </c>
      <c r="E1414">
        <v>0</v>
      </c>
      <c r="F1414" t="s">
        <v>269</v>
      </c>
      <c r="G1414" t="s">
        <v>103</v>
      </c>
      <c r="H1414" t="s">
        <v>104</v>
      </c>
      <c r="I1414" t="s">
        <v>80</v>
      </c>
      <c r="J1414" t="s">
        <v>196</v>
      </c>
      <c r="K1414" t="s">
        <v>13</v>
      </c>
      <c r="L1414" t="s">
        <v>83</v>
      </c>
      <c r="M1414" t="s">
        <v>84</v>
      </c>
      <c r="N1414">
        <v>1</v>
      </c>
      <c r="O1414" t="b">
        <v>0</v>
      </c>
      <c r="P1414">
        <v>0</v>
      </c>
      <c r="BB1414">
        <v>0</v>
      </c>
      <c r="BC1414" t="s">
        <v>306</v>
      </c>
      <c r="BD1414" t="s">
        <v>270</v>
      </c>
      <c r="BE1414" t="s">
        <v>117</v>
      </c>
      <c r="BF1414">
        <v>0</v>
      </c>
      <c r="BG1414">
        <v>0</v>
      </c>
      <c r="BH1414">
        <v>0</v>
      </c>
    </row>
    <row r="1415" spans="1:61">
      <c r="A1415" s="164" t="s">
        <v>3475</v>
      </c>
      <c r="B1415" t="s">
        <v>3476</v>
      </c>
      <c r="C1415">
        <v>0</v>
      </c>
      <c r="D1415" t="s">
        <v>304</v>
      </c>
      <c r="E1415">
        <v>0</v>
      </c>
      <c r="F1415" t="s">
        <v>269</v>
      </c>
      <c r="G1415" t="s">
        <v>103</v>
      </c>
      <c r="H1415" t="s">
        <v>104</v>
      </c>
      <c r="I1415" t="s">
        <v>80</v>
      </c>
      <c r="J1415" t="s">
        <v>196</v>
      </c>
      <c r="K1415" t="s">
        <v>13</v>
      </c>
      <c r="L1415" t="s">
        <v>83</v>
      </c>
      <c r="M1415" t="s">
        <v>84</v>
      </c>
      <c r="N1415">
        <v>1</v>
      </c>
      <c r="O1415" t="b">
        <v>0</v>
      </c>
      <c r="P1415">
        <v>0</v>
      </c>
      <c r="BB1415">
        <v>0</v>
      </c>
      <c r="BC1415" t="s">
        <v>306</v>
      </c>
      <c r="BD1415" t="s">
        <v>270</v>
      </c>
      <c r="BE1415" t="s">
        <v>117</v>
      </c>
      <c r="BF1415">
        <v>0</v>
      </c>
      <c r="BG1415">
        <v>0</v>
      </c>
      <c r="BH1415">
        <v>0</v>
      </c>
    </row>
    <row r="1416" spans="1:61">
      <c r="A1416" s="164" t="s">
        <v>3477</v>
      </c>
      <c r="B1416" t="s">
        <v>3478</v>
      </c>
      <c r="C1416">
        <v>0</v>
      </c>
      <c r="D1416" t="s">
        <v>304</v>
      </c>
      <c r="E1416">
        <v>0</v>
      </c>
      <c r="F1416" t="s">
        <v>269</v>
      </c>
      <c r="G1416" t="s">
        <v>103</v>
      </c>
      <c r="H1416" t="s">
        <v>104</v>
      </c>
      <c r="I1416" t="s">
        <v>80</v>
      </c>
      <c r="J1416" t="s">
        <v>196</v>
      </c>
      <c r="K1416" t="s">
        <v>13</v>
      </c>
      <c r="L1416" t="s">
        <v>83</v>
      </c>
      <c r="M1416" t="s">
        <v>84</v>
      </c>
      <c r="N1416">
        <v>1</v>
      </c>
      <c r="O1416" t="b">
        <v>0</v>
      </c>
      <c r="P1416">
        <v>0</v>
      </c>
      <c r="BB1416">
        <v>0</v>
      </c>
      <c r="BC1416" t="s">
        <v>306</v>
      </c>
      <c r="BD1416" t="s">
        <v>270</v>
      </c>
      <c r="BE1416" t="s">
        <v>117</v>
      </c>
      <c r="BF1416">
        <v>0</v>
      </c>
      <c r="BG1416">
        <v>0</v>
      </c>
      <c r="BH1416">
        <v>0</v>
      </c>
    </row>
    <row r="1417" spans="1:61">
      <c r="A1417" s="164" t="s">
        <v>3479</v>
      </c>
      <c r="B1417" t="s">
        <v>3480</v>
      </c>
      <c r="C1417">
        <v>0</v>
      </c>
      <c r="D1417" t="s">
        <v>194</v>
      </c>
      <c r="E1417">
        <v>0</v>
      </c>
      <c r="F1417" t="s">
        <v>195</v>
      </c>
      <c r="G1417" t="s">
        <v>78</v>
      </c>
      <c r="H1417" t="s">
        <v>79</v>
      </c>
      <c r="I1417" t="s">
        <v>80</v>
      </c>
      <c r="J1417" t="s">
        <v>196</v>
      </c>
      <c r="K1417" t="s">
        <v>13</v>
      </c>
      <c r="L1417" t="s">
        <v>83</v>
      </c>
      <c r="M1417" t="s">
        <v>205</v>
      </c>
      <c r="N1417">
        <v>1</v>
      </c>
      <c r="O1417" t="b">
        <v>1</v>
      </c>
      <c r="P1417">
        <v>0</v>
      </c>
      <c r="BB1417">
        <v>0</v>
      </c>
      <c r="BC1417" t="s">
        <v>197</v>
      </c>
      <c r="BD1417" t="s">
        <v>198</v>
      </c>
      <c r="BE1417" t="s">
        <v>117</v>
      </c>
      <c r="BF1417">
        <v>0</v>
      </c>
      <c r="BG1417">
        <v>0</v>
      </c>
      <c r="BH1417">
        <v>0</v>
      </c>
    </row>
    <row r="1418" spans="1:61">
      <c r="A1418" s="164" t="s">
        <v>3481</v>
      </c>
      <c r="B1418" t="s">
        <v>3482</v>
      </c>
      <c r="C1418">
        <v>0</v>
      </c>
      <c r="D1418" t="s">
        <v>76</v>
      </c>
      <c r="F1418" t="s">
        <v>972</v>
      </c>
      <c r="G1418" t="s">
        <v>103</v>
      </c>
      <c r="H1418" t="s">
        <v>104</v>
      </c>
      <c r="I1418" t="s">
        <v>80</v>
      </c>
      <c r="J1418" t="s">
        <v>81</v>
      </c>
      <c r="K1418" t="s">
        <v>468</v>
      </c>
      <c r="L1418" t="s">
        <v>111</v>
      </c>
      <c r="M1418" t="s">
        <v>84</v>
      </c>
      <c r="O1418" t="b">
        <v>0</v>
      </c>
      <c r="Q1418" t="s">
        <v>85</v>
      </c>
      <c r="AI1418">
        <v>0</v>
      </c>
      <c r="BB1418">
        <v>0</v>
      </c>
      <c r="BC1418" t="s">
        <v>95</v>
      </c>
      <c r="BD1418" t="s">
        <v>139</v>
      </c>
      <c r="BE1418" t="s">
        <v>97</v>
      </c>
      <c r="BF1418">
        <v>0</v>
      </c>
      <c r="BG1418">
        <v>0</v>
      </c>
      <c r="BH1418">
        <v>0</v>
      </c>
      <c r="BI1418" t="s">
        <v>98</v>
      </c>
    </row>
    <row r="1419" spans="1:61">
      <c r="A1419" s="164" t="s">
        <v>3483</v>
      </c>
      <c r="B1419" t="s">
        <v>3484</v>
      </c>
      <c r="C1419">
        <v>0</v>
      </c>
      <c r="D1419" t="s">
        <v>76</v>
      </c>
      <c r="F1419" t="s">
        <v>972</v>
      </c>
      <c r="G1419" t="s">
        <v>103</v>
      </c>
      <c r="H1419" t="s">
        <v>104</v>
      </c>
      <c r="I1419" t="s">
        <v>80</v>
      </c>
      <c r="J1419" t="s">
        <v>81</v>
      </c>
      <c r="K1419" t="s">
        <v>468</v>
      </c>
      <c r="L1419" t="s">
        <v>111</v>
      </c>
      <c r="M1419" t="s">
        <v>84</v>
      </c>
      <c r="O1419" t="b">
        <v>0</v>
      </c>
      <c r="Q1419" t="s">
        <v>85</v>
      </c>
      <c r="AI1419">
        <v>0</v>
      </c>
      <c r="BB1419">
        <v>0</v>
      </c>
      <c r="BC1419" t="s">
        <v>95</v>
      </c>
      <c r="BD1419" t="s">
        <v>139</v>
      </c>
      <c r="BE1419" t="s">
        <v>97</v>
      </c>
      <c r="BF1419">
        <v>0</v>
      </c>
      <c r="BG1419">
        <v>0</v>
      </c>
      <c r="BH1419">
        <v>0</v>
      </c>
      <c r="BI1419" t="s">
        <v>98</v>
      </c>
    </row>
    <row r="1420" spans="1:61">
      <c r="A1420" s="164" t="s">
        <v>3485</v>
      </c>
      <c r="B1420" t="s">
        <v>3486</v>
      </c>
      <c r="C1420">
        <v>0</v>
      </c>
      <c r="D1420" t="s">
        <v>76</v>
      </c>
      <c r="E1420">
        <v>0</v>
      </c>
      <c r="F1420" t="s">
        <v>972</v>
      </c>
      <c r="G1420" t="s">
        <v>103</v>
      </c>
      <c r="H1420" t="s">
        <v>104</v>
      </c>
      <c r="I1420" t="s">
        <v>80</v>
      </c>
      <c r="J1420" t="s">
        <v>81</v>
      </c>
      <c r="K1420" t="s">
        <v>82</v>
      </c>
      <c r="L1420" t="s">
        <v>83</v>
      </c>
      <c r="M1420" t="s">
        <v>84</v>
      </c>
      <c r="N1420">
        <v>1.65</v>
      </c>
      <c r="O1420" t="b">
        <v>1</v>
      </c>
      <c r="P1420">
        <v>45</v>
      </c>
      <c r="Q1420" t="s">
        <v>85</v>
      </c>
      <c r="R1420" t="s">
        <v>86</v>
      </c>
      <c r="S1420">
        <v>1.65</v>
      </c>
      <c r="T1420">
        <v>1</v>
      </c>
      <c r="U1420" s="36">
        <v>2.0873200000000001</v>
      </c>
      <c r="V1420" t="s">
        <v>87</v>
      </c>
      <c r="W1420">
        <v>24</v>
      </c>
      <c r="X1420">
        <v>0.45019999999999999</v>
      </c>
      <c r="Y1420">
        <v>12</v>
      </c>
      <c r="Z1420">
        <v>8.3333333333333329E-2</v>
      </c>
      <c r="AA1420">
        <v>30</v>
      </c>
      <c r="AB1420">
        <v>0</v>
      </c>
      <c r="AC1420">
        <v>500</v>
      </c>
      <c r="AD1420">
        <v>303.03030303030306</v>
      </c>
      <c r="AE1420" t="s">
        <v>155</v>
      </c>
      <c r="AF1420" t="s">
        <v>89</v>
      </c>
      <c r="AG1420" t="s">
        <v>90</v>
      </c>
      <c r="AH1420">
        <v>0</v>
      </c>
      <c r="AI1420">
        <v>1</v>
      </c>
      <c r="AJ1420" t="s">
        <v>91</v>
      </c>
      <c r="AK1420" t="s">
        <v>92</v>
      </c>
      <c r="AL1420" t="s">
        <v>93</v>
      </c>
      <c r="AM1420">
        <v>0.98220000000000007</v>
      </c>
      <c r="AN1420">
        <v>0</v>
      </c>
      <c r="AO1420">
        <v>0</v>
      </c>
      <c r="AP1420">
        <v>0</v>
      </c>
      <c r="AQ1420">
        <v>8.6691086691086688E-2</v>
      </c>
      <c r="AR1420">
        <v>2.6666666666666505E-3</v>
      </c>
      <c r="AS1420">
        <v>0</v>
      </c>
      <c r="AT1420">
        <v>1.0866910866910866</v>
      </c>
      <c r="AU1420">
        <v>1.0026666666666666</v>
      </c>
      <c r="AV1420">
        <v>1</v>
      </c>
      <c r="AW1420">
        <v>0</v>
      </c>
      <c r="AX1420" t="s">
        <v>3487</v>
      </c>
      <c r="AY1420">
        <v>89.4</v>
      </c>
      <c r="AZ1420">
        <v>8</v>
      </c>
      <c r="BA1420" t="s">
        <v>94</v>
      </c>
      <c r="BB1420">
        <v>0</v>
      </c>
      <c r="BC1420" t="s">
        <v>95</v>
      </c>
      <c r="BD1420" t="s">
        <v>96</v>
      </c>
      <c r="BE1420" t="s">
        <v>97</v>
      </c>
      <c r="BF1420">
        <v>0</v>
      </c>
      <c r="BG1420">
        <v>0</v>
      </c>
      <c r="BH1420">
        <v>0</v>
      </c>
      <c r="BI1420" t="s">
        <v>98</v>
      </c>
    </row>
    <row r="1421" spans="1:61">
      <c r="A1421" s="164" t="s">
        <v>3488</v>
      </c>
      <c r="B1421" t="s">
        <v>3489</v>
      </c>
      <c r="C1421">
        <v>0</v>
      </c>
      <c r="D1421" t="s">
        <v>101</v>
      </c>
      <c r="E1421">
        <v>0</v>
      </c>
      <c r="F1421" t="s">
        <v>102</v>
      </c>
      <c r="G1421" t="s">
        <v>103</v>
      </c>
      <c r="H1421" t="s">
        <v>104</v>
      </c>
      <c r="I1421" t="s">
        <v>80</v>
      </c>
      <c r="J1421" t="s">
        <v>81</v>
      </c>
      <c r="K1421" t="s">
        <v>82</v>
      </c>
      <c r="L1421" t="s">
        <v>83</v>
      </c>
      <c r="M1421" t="s">
        <v>84</v>
      </c>
      <c r="N1421">
        <v>0.16500000000000001</v>
      </c>
      <c r="O1421" t="b">
        <v>1</v>
      </c>
      <c r="P1421">
        <v>45</v>
      </c>
      <c r="Q1421" t="s">
        <v>85</v>
      </c>
      <c r="R1421" t="s">
        <v>86</v>
      </c>
      <c r="S1421">
        <v>0.14499999999999999</v>
      </c>
      <c r="T1421">
        <v>0.87878787878787867</v>
      </c>
      <c r="U1421" s="36">
        <v>0.32544000000000001</v>
      </c>
      <c r="V1421" t="s">
        <v>87</v>
      </c>
      <c r="W1421">
        <v>150</v>
      </c>
      <c r="X1421">
        <v>0.45</v>
      </c>
      <c r="Y1421">
        <v>0</v>
      </c>
      <c r="Z1421">
        <v>1.6666666666666666E-2</v>
      </c>
      <c r="AA1421">
        <v>0</v>
      </c>
      <c r="AB1421">
        <v>0</v>
      </c>
      <c r="AC1421">
        <v>500</v>
      </c>
      <c r="AD1421">
        <v>3448.2758620689656</v>
      </c>
      <c r="AE1421" t="s">
        <v>88</v>
      </c>
      <c r="AF1421" t="s">
        <v>513</v>
      </c>
      <c r="AG1421" t="s">
        <v>514</v>
      </c>
      <c r="AH1421">
        <v>0</v>
      </c>
      <c r="AI1421">
        <v>0.8</v>
      </c>
      <c r="AJ1421" t="s">
        <v>91</v>
      </c>
      <c r="AK1421" t="s">
        <v>92</v>
      </c>
      <c r="AL1421" t="s">
        <v>93</v>
      </c>
      <c r="AM1421">
        <v>0.33631111111111106</v>
      </c>
      <c r="AN1421">
        <v>0.22420740740740738</v>
      </c>
      <c r="AO1421">
        <v>0.34752148148148143</v>
      </c>
      <c r="AP1421">
        <v>0</v>
      </c>
      <c r="AQ1421">
        <v>8.6691086691086688E-2</v>
      </c>
      <c r="AR1421">
        <v>2.6666666666666505E-3</v>
      </c>
      <c r="AS1421">
        <v>0</v>
      </c>
      <c r="AT1421">
        <v>1.0866910866910866</v>
      </c>
      <c r="AU1421">
        <v>1.0026666666666666</v>
      </c>
      <c r="AV1421">
        <v>1</v>
      </c>
      <c r="AW1421">
        <v>0</v>
      </c>
      <c r="AY1421">
        <v>0</v>
      </c>
      <c r="AZ1421">
        <v>5</v>
      </c>
      <c r="BA1421" t="s">
        <v>94</v>
      </c>
      <c r="BB1421">
        <v>0</v>
      </c>
      <c r="BC1421" t="s">
        <v>95</v>
      </c>
      <c r="BD1421" t="s">
        <v>96</v>
      </c>
      <c r="BE1421" t="s">
        <v>97</v>
      </c>
      <c r="BF1421">
        <v>0</v>
      </c>
      <c r="BG1421">
        <v>0</v>
      </c>
      <c r="BH1421">
        <v>0</v>
      </c>
      <c r="BI1421" t="s">
        <v>98</v>
      </c>
    </row>
    <row r="1422" spans="1:61">
      <c r="A1422" s="164" t="s">
        <v>3490</v>
      </c>
      <c r="B1422" t="s">
        <v>3491</v>
      </c>
      <c r="C1422">
        <v>0</v>
      </c>
      <c r="D1422" t="s">
        <v>2302</v>
      </c>
      <c r="E1422">
        <v>0</v>
      </c>
      <c r="F1422" t="s">
        <v>3492</v>
      </c>
      <c r="G1422" t="s">
        <v>103</v>
      </c>
      <c r="H1422" t="s">
        <v>104</v>
      </c>
      <c r="I1422" t="s">
        <v>80</v>
      </c>
      <c r="J1422" t="s">
        <v>163</v>
      </c>
      <c r="K1422" t="s">
        <v>82</v>
      </c>
      <c r="L1422" t="s">
        <v>83</v>
      </c>
      <c r="M1422" t="s">
        <v>84</v>
      </c>
      <c r="N1422">
        <v>0.4</v>
      </c>
      <c r="O1422" t="b">
        <v>0</v>
      </c>
      <c r="P1422">
        <v>45</v>
      </c>
      <c r="Q1422" t="s">
        <v>137</v>
      </c>
      <c r="S1422">
        <v>0</v>
      </c>
      <c r="T1422">
        <v>1</v>
      </c>
      <c r="V1422" t="s">
        <v>87</v>
      </c>
      <c r="X1422">
        <v>0</v>
      </c>
      <c r="Z1422">
        <v>3.3333333333333333E-2</v>
      </c>
      <c r="AB1422">
        <v>0</v>
      </c>
      <c r="AC1422">
        <v>0</v>
      </c>
      <c r="AE1422" t="s">
        <v>129</v>
      </c>
      <c r="AF1422" t="s">
        <v>3492</v>
      </c>
      <c r="AG1422" t="s">
        <v>129</v>
      </c>
      <c r="AH1422">
        <v>0</v>
      </c>
      <c r="AI1422">
        <v>0</v>
      </c>
      <c r="AJ1422" t="s">
        <v>493</v>
      </c>
      <c r="AM1422">
        <v>9.66</v>
      </c>
      <c r="AN1422">
        <v>0</v>
      </c>
      <c r="AO1422">
        <v>0</v>
      </c>
      <c r="AP1422">
        <v>0</v>
      </c>
      <c r="AQ1422">
        <v>4.8346055979643761E-2</v>
      </c>
      <c r="AR1422">
        <v>0</v>
      </c>
      <c r="AS1422">
        <v>0</v>
      </c>
      <c r="AT1422">
        <v>1.0483460559796438</v>
      </c>
      <c r="AU1422">
        <v>0</v>
      </c>
      <c r="AV1422">
        <v>0</v>
      </c>
      <c r="AW1422">
        <v>0</v>
      </c>
      <c r="AY1422">
        <v>0</v>
      </c>
      <c r="AZ1422">
        <v>0</v>
      </c>
      <c r="BA1422" t="s">
        <v>138</v>
      </c>
      <c r="BB1422">
        <v>0</v>
      </c>
      <c r="BC1422" t="s">
        <v>95</v>
      </c>
      <c r="BD1422" t="s">
        <v>96</v>
      </c>
      <c r="BE1422" t="s">
        <v>97</v>
      </c>
      <c r="BF1422">
        <v>0</v>
      </c>
      <c r="BG1422">
        <v>0</v>
      </c>
      <c r="BH1422">
        <v>0</v>
      </c>
      <c r="BI1422" t="s">
        <v>98</v>
      </c>
    </row>
    <row r="1423" spans="1:61">
      <c r="A1423" s="164" t="s">
        <v>3493</v>
      </c>
      <c r="B1423" t="s">
        <v>3494</v>
      </c>
      <c r="C1423">
        <v>0</v>
      </c>
      <c r="D1423" t="s">
        <v>479</v>
      </c>
      <c r="E1423">
        <v>0</v>
      </c>
      <c r="F1423" t="s">
        <v>480</v>
      </c>
      <c r="G1423" t="s">
        <v>103</v>
      </c>
      <c r="H1423" t="s">
        <v>104</v>
      </c>
      <c r="I1423" t="s">
        <v>80</v>
      </c>
      <c r="J1423" t="s">
        <v>467</v>
      </c>
      <c r="K1423" t="s">
        <v>468</v>
      </c>
      <c r="L1423" t="s">
        <v>111</v>
      </c>
      <c r="M1423" t="s">
        <v>84</v>
      </c>
      <c r="N1423">
        <v>2.7</v>
      </c>
      <c r="O1423" t="b">
        <v>0</v>
      </c>
      <c r="P1423">
        <v>45</v>
      </c>
      <c r="Q1423" t="s">
        <v>479</v>
      </c>
      <c r="S1423">
        <v>0</v>
      </c>
      <c r="T1423">
        <v>1</v>
      </c>
      <c r="U1423" s="36">
        <v>2.0790950000000001</v>
      </c>
      <c r="V1423" t="s">
        <v>87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G1423" t="s">
        <v>129</v>
      </c>
      <c r="AH1423">
        <v>0</v>
      </c>
      <c r="AI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Y1423">
        <v>0</v>
      </c>
      <c r="AZ1423">
        <v>7</v>
      </c>
      <c r="BA1423" t="s">
        <v>138</v>
      </c>
      <c r="BB1423">
        <v>0</v>
      </c>
      <c r="BC1423" t="s">
        <v>95</v>
      </c>
      <c r="BD1423" t="s">
        <v>469</v>
      </c>
      <c r="BE1423" t="s">
        <v>97</v>
      </c>
      <c r="BF1423">
        <v>0</v>
      </c>
      <c r="BG1423">
        <v>0</v>
      </c>
      <c r="BH1423">
        <v>0</v>
      </c>
      <c r="BI1423" t="s">
        <v>98</v>
      </c>
    </row>
    <row r="1424" spans="1:61">
      <c r="A1424" s="164" t="s">
        <v>3495</v>
      </c>
      <c r="B1424" t="s">
        <v>3496</v>
      </c>
      <c r="C1424">
        <v>0</v>
      </c>
      <c r="D1424" t="s">
        <v>133</v>
      </c>
      <c r="E1424">
        <v>0</v>
      </c>
      <c r="F1424" t="s">
        <v>2865</v>
      </c>
      <c r="G1424" t="s">
        <v>103</v>
      </c>
      <c r="H1424" t="s">
        <v>104</v>
      </c>
      <c r="I1424" t="s">
        <v>80</v>
      </c>
      <c r="J1424" t="s">
        <v>109</v>
      </c>
      <c r="K1424" t="s">
        <v>110</v>
      </c>
      <c r="L1424" t="s">
        <v>111</v>
      </c>
      <c r="M1424" t="s">
        <v>84</v>
      </c>
      <c r="N1424">
        <v>1.75</v>
      </c>
      <c r="O1424" t="b">
        <v>0</v>
      </c>
      <c r="P1424">
        <v>45</v>
      </c>
      <c r="Q1424" t="s">
        <v>137</v>
      </c>
      <c r="S1424">
        <v>0</v>
      </c>
      <c r="T1424">
        <v>0</v>
      </c>
      <c r="V1424" t="s">
        <v>991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F1424" t="s">
        <v>763</v>
      </c>
      <c r="AH1424">
        <v>0</v>
      </c>
      <c r="AI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 t="s">
        <v>3497</v>
      </c>
      <c r="AY1424">
        <v>0</v>
      </c>
      <c r="AZ1424">
        <v>7</v>
      </c>
      <c r="BA1424" t="s">
        <v>138</v>
      </c>
      <c r="BB1424">
        <v>6.24</v>
      </c>
      <c r="BC1424" t="s">
        <v>115</v>
      </c>
      <c r="BD1424" t="s">
        <v>116</v>
      </c>
      <c r="BE1424" t="s">
        <v>117</v>
      </c>
      <c r="BF1424">
        <v>0</v>
      </c>
      <c r="BG1424">
        <v>0</v>
      </c>
      <c r="BH1424">
        <v>0</v>
      </c>
      <c r="BI1424" t="s">
        <v>98</v>
      </c>
    </row>
    <row r="1425" spans="1:61">
      <c r="A1425" s="164" t="s">
        <v>3498</v>
      </c>
      <c r="B1425" t="s">
        <v>3499</v>
      </c>
      <c r="C1425">
        <v>0</v>
      </c>
      <c r="D1425" t="s">
        <v>479</v>
      </c>
      <c r="E1425">
        <v>0</v>
      </c>
      <c r="F1425" t="s">
        <v>480</v>
      </c>
      <c r="G1425" t="s">
        <v>103</v>
      </c>
      <c r="H1425" t="s">
        <v>104</v>
      </c>
      <c r="I1425" t="s">
        <v>80</v>
      </c>
      <c r="J1425" t="s">
        <v>467</v>
      </c>
      <c r="K1425" t="s">
        <v>468</v>
      </c>
      <c r="L1425" t="s">
        <v>111</v>
      </c>
      <c r="M1425" t="s">
        <v>84</v>
      </c>
      <c r="N1425">
        <v>1.5</v>
      </c>
      <c r="O1425" t="b">
        <v>0</v>
      </c>
      <c r="P1425">
        <v>180</v>
      </c>
      <c r="Q1425" t="s">
        <v>479</v>
      </c>
      <c r="S1425">
        <v>1.5</v>
      </c>
      <c r="T1425">
        <v>1</v>
      </c>
      <c r="V1425" t="s">
        <v>87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H1425">
        <v>0</v>
      </c>
      <c r="AI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Y1425">
        <v>0</v>
      </c>
      <c r="AZ1425">
        <v>0</v>
      </c>
      <c r="BA1425" t="s">
        <v>138</v>
      </c>
      <c r="BB1425">
        <v>0</v>
      </c>
      <c r="BC1425" t="s">
        <v>95</v>
      </c>
      <c r="BD1425" t="s">
        <v>469</v>
      </c>
      <c r="BE1425" t="s">
        <v>97</v>
      </c>
      <c r="BF1425">
        <v>0</v>
      </c>
      <c r="BG1425">
        <v>0</v>
      </c>
      <c r="BH1425">
        <v>0</v>
      </c>
      <c r="BI1425" t="s">
        <v>98</v>
      </c>
    </row>
    <row r="1426" spans="1:61">
      <c r="A1426" s="164" t="s">
        <v>3500</v>
      </c>
      <c r="B1426" t="s">
        <v>3501</v>
      </c>
      <c r="C1426">
        <v>0</v>
      </c>
      <c r="D1426" t="s">
        <v>479</v>
      </c>
      <c r="E1426">
        <v>0</v>
      </c>
      <c r="F1426" t="s">
        <v>480</v>
      </c>
      <c r="G1426" t="s">
        <v>103</v>
      </c>
      <c r="H1426" t="s">
        <v>104</v>
      </c>
      <c r="I1426" t="s">
        <v>80</v>
      </c>
      <c r="J1426" t="s">
        <v>467</v>
      </c>
      <c r="K1426" t="s">
        <v>468</v>
      </c>
      <c r="L1426" t="s">
        <v>111</v>
      </c>
      <c r="M1426" t="s">
        <v>84</v>
      </c>
      <c r="N1426">
        <v>1.5</v>
      </c>
      <c r="O1426" t="b">
        <v>0</v>
      </c>
      <c r="P1426">
        <v>180</v>
      </c>
      <c r="Q1426" t="s">
        <v>479</v>
      </c>
      <c r="S1426">
        <v>1.5</v>
      </c>
      <c r="T1426">
        <v>1</v>
      </c>
      <c r="V1426" t="s">
        <v>87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H1426">
        <v>0</v>
      </c>
      <c r="AI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Y1426">
        <v>0</v>
      </c>
      <c r="AZ1426">
        <v>0</v>
      </c>
      <c r="BA1426" t="s">
        <v>138</v>
      </c>
      <c r="BB1426">
        <v>0</v>
      </c>
      <c r="BC1426" t="s">
        <v>95</v>
      </c>
      <c r="BD1426" t="s">
        <v>469</v>
      </c>
      <c r="BE1426" t="s">
        <v>97</v>
      </c>
      <c r="BF1426">
        <v>0</v>
      </c>
      <c r="BG1426">
        <v>0</v>
      </c>
      <c r="BH1426">
        <v>0</v>
      </c>
      <c r="BI1426" t="s">
        <v>98</v>
      </c>
    </row>
    <row r="1427" spans="1:61">
      <c r="A1427" s="164" t="s">
        <v>3502</v>
      </c>
      <c r="B1427" t="s">
        <v>3503</v>
      </c>
      <c r="C1427">
        <v>0</v>
      </c>
      <c r="D1427" t="s">
        <v>479</v>
      </c>
      <c r="E1427">
        <v>0</v>
      </c>
      <c r="F1427" t="s">
        <v>480</v>
      </c>
      <c r="G1427" t="s">
        <v>103</v>
      </c>
      <c r="H1427" t="s">
        <v>104</v>
      </c>
      <c r="I1427" t="s">
        <v>80</v>
      </c>
      <c r="J1427" t="s">
        <v>467</v>
      </c>
      <c r="K1427" t="s">
        <v>468</v>
      </c>
      <c r="L1427" t="s">
        <v>111</v>
      </c>
      <c r="M1427" t="s">
        <v>84</v>
      </c>
      <c r="N1427">
        <v>1</v>
      </c>
      <c r="O1427" t="b">
        <v>0</v>
      </c>
      <c r="P1427">
        <v>180</v>
      </c>
      <c r="Q1427" t="s">
        <v>479</v>
      </c>
      <c r="S1427">
        <v>1</v>
      </c>
      <c r="T1427">
        <v>1</v>
      </c>
      <c r="V1427" t="s">
        <v>87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H1427">
        <v>0</v>
      </c>
      <c r="AI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Y1427">
        <v>0</v>
      </c>
      <c r="AZ1427">
        <v>6</v>
      </c>
      <c r="BA1427" t="s">
        <v>138</v>
      </c>
      <c r="BB1427">
        <v>0</v>
      </c>
      <c r="BC1427" t="s">
        <v>95</v>
      </c>
      <c r="BD1427" t="s">
        <v>469</v>
      </c>
      <c r="BE1427" t="s">
        <v>97</v>
      </c>
      <c r="BF1427">
        <v>0</v>
      </c>
      <c r="BG1427">
        <v>0</v>
      </c>
      <c r="BH1427">
        <v>0</v>
      </c>
      <c r="BI1427" t="s">
        <v>98</v>
      </c>
    </row>
    <row r="1428" spans="1:61">
      <c r="A1428" s="164" t="s">
        <v>3504</v>
      </c>
      <c r="B1428" t="s">
        <v>3505</v>
      </c>
      <c r="C1428">
        <v>0</v>
      </c>
      <c r="D1428" t="s">
        <v>1553</v>
      </c>
      <c r="E1428">
        <v>0</v>
      </c>
      <c r="F1428" t="s">
        <v>2974</v>
      </c>
      <c r="G1428" t="s">
        <v>103</v>
      </c>
      <c r="H1428" t="s">
        <v>104</v>
      </c>
      <c r="I1428" t="s">
        <v>126</v>
      </c>
      <c r="J1428" t="s">
        <v>127</v>
      </c>
      <c r="K1428" t="s">
        <v>82</v>
      </c>
      <c r="L1428" t="s">
        <v>83</v>
      </c>
      <c r="M1428" t="s">
        <v>84</v>
      </c>
      <c r="N1428">
        <v>0.15</v>
      </c>
      <c r="O1428" t="b">
        <v>1</v>
      </c>
      <c r="P1428">
        <v>55</v>
      </c>
      <c r="Q1428" t="s">
        <v>85</v>
      </c>
      <c r="R1428" t="s">
        <v>1126</v>
      </c>
      <c r="S1428">
        <v>0</v>
      </c>
      <c r="T1428">
        <v>1</v>
      </c>
      <c r="U1428" s="36">
        <v>1.0853900000000001</v>
      </c>
      <c r="V1428" t="s">
        <v>87</v>
      </c>
      <c r="W1428">
        <v>0</v>
      </c>
      <c r="X1428">
        <v>0</v>
      </c>
      <c r="Y1428">
        <v>96</v>
      </c>
      <c r="Z1428">
        <v>1.0416666666666666E-2</v>
      </c>
      <c r="AA1428">
        <v>30</v>
      </c>
      <c r="AB1428">
        <v>0</v>
      </c>
      <c r="AC1428">
        <v>0</v>
      </c>
      <c r="AD1428">
        <v>0</v>
      </c>
      <c r="AG1428" t="s">
        <v>129</v>
      </c>
      <c r="AH1428">
        <v>0</v>
      </c>
      <c r="AI1428">
        <v>0.9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 t="s">
        <v>3506</v>
      </c>
      <c r="AY1428">
        <v>0</v>
      </c>
      <c r="AZ1428">
        <v>0</v>
      </c>
      <c r="BA1428" t="s">
        <v>94</v>
      </c>
      <c r="BB1428">
        <v>0</v>
      </c>
      <c r="BC1428" t="s">
        <v>95</v>
      </c>
      <c r="BD1428" t="s">
        <v>96</v>
      </c>
      <c r="BE1428" t="s">
        <v>97</v>
      </c>
      <c r="BF1428">
        <v>0</v>
      </c>
      <c r="BG1428">
        <v>0</v>
      </c>
      <c r="BH1428">
        <v>0</v>
      </c>
      <c r="BI1428" t="s">
        <v>98</v>
      </c>
    </row>
    <row r="1429" spans="1:61">
      <c r="A1429" s="164" t="s">
        <v>3507</v>
      </c>
      <c r="B1429" t="s">
        <v>3508</v>
      </c>
      <c r="C1429">
        <v>0</v>
      </c>
      <c r="D1429" t="s">
        <v>486</v>
      </c>
      <c r="E1429">
        <v>0</v>
      </c>
      <c r="F1429" t="s">
        <v>1743</v>
      </c>
      <c r="G1429" t="s">
        <v>78</v>
      </c>
      <c r="H1429" t="s">
        <v>79</v>
      </c>
      <c r="I1429" t="s">
        <v>80</v>
      </c>
      <c r="J1429" t="s">
        <v>163</v>
      </c>
      <c r="K1429" t="s">
        <v>82</v>
      </c>
      <c r="L1429" t="s">
        <v>83</v>
      </c>
      <c r="M1429" t="s">
        <v>84</v>
      </c>
      <c r="N1429">
        <v>0.04</v>
      </c>
      <c r="O1429" t="b">
        <v>1</v>
      </c>
      <c r="P1429">
        <v>180</v>
      </c>
      <c r="Q1429" t="s">
        <v>137</v>
      </c>
      <c r="S1429">
        <v>0.04</v>
      </c>
      <c r="T1429">
        <v>1</v>
      </c>
      <c r="U1429" s="36">
        <v>0.47916999999999998</v>
      </c>
      <c r="V1429" t="s">
        <v>165</v>
      </c>
      <c r="X1429">
        <v>0</v>
      </c>
      <c r="Y1429">
        <v>150</v>
      </c>
      <c r="Z1429">
        <v>6.6666666666666671E-3</v>
      </c>
      <c r="AA1429">
        <v>35</v>
      </c>
      <c r="AB1429">
        <v>0</v>
      </c>
      <c r="AC1429">
        <v>0</v>
      </c>
      <c r="AE1429" t="s">
        <v>129</v>
      </c>
      <c r="AF1429" t="s">
        <v>1743</v>
      </c>
      <c r="AG1429" t="s">
        <v>129</v>
      </c>
      <c r="AH1429">
        <v>0</v>
      </c>
      <c r="AI1429">
        <v>13.4</v>
      </c>
      <c r="AJ1429" t="s">
        <v>177</v>
      </c>
      <c r="AM1429">
        <v>13.87</v>
      </c>
      <c r="AN1429">
        <v>0</v>
      </c>
      <c r="AO1429">
        <v>0</v>
      </c>
      <c r="AP1429">
        <v>0</v>
      </c>
      <c r="AQ1429">
        <v>2.8571428571428564E-2</v>
      </c>
      <c r="AR1429">
        <v>0</v>
      </c>
      <c r="AS1429">
        <v>0</v>
      </c>
      <c r="AT1429">
        <v>1.0285714285714285</v>
      </c>
      <c r="AU1429">
        <v>0</v>
      </c>
      <c r="AV1429">
        <v>0</v>
      </c>
      <c r="AW1429">
        <v>0</v>
      </c>
      <c r="AX1429" t="s">
        <v>1744</v>
      </c>
      <c r="AY1429">
        <v>2.48</v>
      </c>
      <c r="AZ1429">
        <v>0</v>
      </c>
      <c r="BA1429" t="s">
        <v>138</v>
      </c>
      <c r="BB1429">
        <v>1.07</v>
      </c>
      <c r="BC1429" t="s">
        <v>95</v>
      </c>
      <c r="BD1429" t="s">
        <v>96</v>
      </c>
      <c r="BE1429" t="s">
        <v>97</v>
      </c>
      <c r="BF1429">
        <v>1</v>
      </c>
      <c r="BG1429">
        <v>0</v>
      </c>
      <c r="BH1429">
        <v>0</v>
      </c>
      <c r="BI1429" t="s">
        <v>98</v>
      </c>
    </row>
    <row r="1430" spans="1:61">
      <c r="A1430" s="164" t="s">
        <v>3509</v>
      </c>
      <c r="B1430" t="s">
        <v>3510</v>
      </c>
      <c r="C1430">
        <v>0</v>
      </c>
      <c r="D1430" t="s">
        <v>107</v>
      </c>
      <c r="E1430">
        <v>0</v>
      </c>
      <c r="F1430" t="s">
        <v>499</v>
      </c>
      <c r="G1430" t="s">
        <v>103</v>
      </c>
      <c r="H1430" t="s">
        <v>104</v>
      </c>
      <c r="I1430" t="s">
        <v>80</v>
      </c>
      <c r="J1430" t="s">
        <v>467</v>
      </c>
      <c r="K1430" t="s">
        <v>468</v>
      </c>
      <c r="L1430" t="s">
        <v>111</v>
      </c>
      <c r="M1430" t="s">
        <v>84</v>
      </c>
      <c r="N1430">
        <v>1.26</v>
      </c>
      <c r="O1430" t="b">
        <v>0</v>
      </c>
      <c r="P1430">
        <v>45</v>
      </c>
      <c r="Q1430" t="s">
        <v>85</v>
      </c>
      <c r="S1430">
        <v>0</v>
      </c>
      <c r="T1430">
        <v>1</v>
      </c>
      <c r="V1430" t="s">
        <v>87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G1430" t="s">
        <v>129</v>
      </c>
      <c r="AH1430">
        <v>0</v>
      </c>
      <c r="AI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Y1430">
        <v>0</v>
      </c>
      <c r="AZ1430">
        <v>5</v>
      </c>
      <c r="BA1430" t="s">
        <v>94</v>
      </c>
      <c r="BB1430">
        <v>0</v>
      </c>
      <c r="BC1430" t="s">
        <v>95</v>
      </c>
      <c r="BD1430" t="s">
        <v>469</v>
      </c>
      <c r="BE1430" t="s">
        <v>97</v>
      </c>
      <c r="BF1430">
        <v>0</v>
      </c>
      <c r="BG1430">
        <v>0</v>
      </c>
      <c r="BH1430">
        <v>0</v>
      </c>
      <c r="BI1430" t="s">
        <v>98</v>
      </c>
    </row>
    <row r="1431" spans="1:61">
      <c r="A1431" s="164" t="s">
        <v>3511</v>
      </c>
      <c r="B1431" t="s">
        <v>3512</v>
      </c>
      <c r="C1431">
        <v>0</v>
      </c>
      <c r="D1431" t="s">
        <v>133</v>
      </c>
      <c r="E1431">
        <v>0</v>
      </c>
      <c r="F1431" t="s">
        <v>2865</v>
      </c>
      <c r="G1431" t="s">
        <v>78</v>
      </c>
      <c r="H1431" t="s">
        <v>79</v>
      </c>
      <c r="I1431" t="s">
        <v>80</v>
      </c>
      <c r="J1431" t="s">
        <v>2866</v>
      </c>
      <c r="K1431" t="s">
        <v>82</v>
      </c>
      <c r="L1431" t="s">
        <v>83</v>
      </c>
      <c r="M1431" t="s">
        <v>84</v>
      </c>
      <c r="N1431">
        <v>0.2</v>
      </c>
      <c r="O1431" t="b">
        <v>1</v>
      </c>
      <c r="P1431">
        <v>70</v>
      </c>
      <c r="Q1431" t="s">
        <v>137</v>
      </c>
      <c r="R1431" t="s">
        <v>128</v>
      </c>
      <c r="S1431">
        <v>0.2</v>
      </c>
      <c r="T1431">
        <v>1</v>
      </c>
      <c r="U1431" s="36">
        <v>0.59135000000000004</v>
      </c>
      <c r="V1431" t="s">
        <v>87</v>
      </c>
      <c r="W1431">
        <v>0</v>
      </c>
      <c r="X1431">
        <v>0</v>
      </c>
      <c r="Y1431">
        <v>60</v>
      </c>
      <c r="Z1431">
        <v>1.6666666666666666E-2</v>
      </c>
      <c r="AA1431">
        <v>50</v>
      </c>
      <c r="AB1431">
        <v>0</v>
      </c>
      <c r="AC1431">
        <v>0</v>
      </c>
      <c r="AD1431">
        <v>0</v>
      </c>
      <c r="AG1431" t="s">
        <v>129</v>
      </c>
      <c r="AH1431">
        <v>0</v>
      </c>
      <c r="AI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 t="s">
        <v>3513</v>
      </c>
      <c r="AZ1431">
        <v>0</v>
      </c>
      <c r="BA1431" t="s">
        <v>138</v>
      </c>
      <c r="BB1431">
        <v>1.1000000000000001</v>
      </c>
      <c r="BC1431" t="s">
        <v>95</v>
      </c>
      <c r="BD1431" t="s">
        <v>96</v>
      </c>
      <c r="BE1431" t="s">
        <v>97</v>
      </c>
      <c r="BF1431">
        <v>1</v>
      </c>
      <c r="BG1431">
        <v>0</v>
      </c>
      <c r="BH1431">
        <v>0</v>
      </c>
      <c r="BI1431" t="s">
        <v>98</v>
      </c>
    </row>
    <row r="1432" spans="1:61">
      <c r="A1432" s="164" t="s">
        <v>3514</v>
      </c>
      <c r="B1432" t="s">
        <v>3515</v>
      </c>
      <c r="C1432">
        <v>0</v>
      </c>
      <c r="D1432" t="s">
        <v>486</v>
      </c>
      <c r="E1432">
        <v>0</v>
      </c>
      <c r="F1432" t="s">
        <v>3516</v>
      </c>
      <c r="G1432" t="s">
        <v>78</v>
      </c>
      <c r="H1432" t="s">
        <v>79</v>
      </c>
      <c r="I1432" t="s">
        <v>80</v>
      </c>
      <c r="J1432" t="s">
        <v>163</v>
      </c>
      <c r="K1432" t="s">
        <v>82</v>
      </c>
      <c r="L1432" t="s">
        <v>83</v>
      </c>
      <c r="M1432" t="s">
        <v>84</v>
      </c>
      <c r="N1432">
        <v>0.26</v>
      </c>
      <c r="O1432" t="b">
        <v>1</v>
      </c>
      <c r="P1432">
        <v>60</v>
      </c>
      <c r="Q1432" t="s">
        <v>137</v>
      </c>
      <c r="S1432">
        <v>0.26</v>
      </c>
      <c r="T1432">
        <v>1</v>
      </c>
      <c r="U1432" s="36">
        <v>2.0346349999999997</v>
      </c>
      <c r="V1432" t="s">
        <v>165</v>
      </c>
      <c r="X1432">
        <v>0</v>
      </c>
      <c r="Y1432">
        <v>75</v>
      </c>
      <c r="Z1432">
        <v>1.3333333333333334E-2</v>
      </c>
      <c r="AA1432">
        <v>35</v>
      </c>
      <c r="AB1432">
        <v>0</v>
      </c>
      <c r="AC1432">
        <v>0</v>
      </c>
      <c r="AE1432" t="s">
        <v>129</v>
      </c>
      <c r="AF1432" t="s">
        <v>3516</v>
      </c>
      <c r="AG1432" t="s">
        <v>129</v>
      </c>
      <c r="AH1432">
        <v>0</v>
      </c>
      <c r="AI1432">
        <v>10.199999999999999</v>
      </c>
      <c r="AJ1432" t="s">
        <v>167</v>
      </c>
      <c r="AM1432">
        <v>11.03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 t="s">
        <v>3517</v>
      </c>
      <c r="AY1432">
        <v>3.9438000000000004</v>
      </c>
      <c r="AZ1432">
        <v>0</v>
      </c>
      <c r="BA1432" t="s">
        <v>138</v>
      </c>
      <c r="BB1432">
        <v>4.88</v>
      </c>
      <c r="BC1432" t="s">
        <v>95</v>
      </c>
      <c r="BD1432" t="s">
        <v>96</v>
      </c>
      <c r="BE1432" t="s">
        <v>97</v>
      </c>
      <c r="BF1432">
        <v>1</v>
      </c>
      <c r="BG1432">
        <v>0</v>
      </c>
      <c r="BH1432">
        <v>0</v>
      </c>
      <c r="BI1432" t="s">
        <v>98</v>
      </c>
    </row>
    <row r="1433" spans="1:61">
      <c r="A1433" s="164" t="s">
        <v>3518</v>
      </c>
      <c r="B1433" t="s">
        <v>3519</v>
      </c>
      <c r="C1433">
        <v>0</v>
      </c>
      <c r="D1433" t="s">
        <v>175</v>
      </c>
      <c r="E1433">
        <v>0</v>
      </c>
      <c r="F1433" t="s">
        <v>1223</v>
      </c>
      <c r="G1433" t="s">
        <v>103</v>
      </c>
      <c r="H1433" t="s">
        <v>104</v>
      </c>
      <c r="I1433" t="s">
        <v>80</v>
      </c>
      <c r="J1433" t="s">
        <v>163</v>
      </c>
      <c r="K1433" t="s">
        <v>82</v>
      </c>
      <c r="L1433" t="s">
        <v>83</v>
      </c>
      <c r="M1433" t="s">
        <v>84</v>
      </c>
      <c r="N1433">
        <v>7.4999999999999997E-2</v>
      </c>
      <c r="O1433" t="b">
        <v>1</v>
      </c>
      <c r="P1433">
        <v>40</v>
      </c>
      <c r="Q1433" t="s">
        <v>137</v>
      </c>
      <c r="S1433">
        <v>7.4999999999999997E-2</v>
      </c>
      <c r="U1433" s="36">
        <v>0.56876499999999997</v>
      </c>
      <c r="V1433" t="s">
        <v>165</v>
      </c>
      <c r="Y1433">
        <v>240</v>
      </c>
      <c r="AA1433">
        <v>35</v>
      </c>
      <c r="AE1433" t="s">
        <v>129</v>
      </c>
      <c r="AF1433" t="s">
        <v>1223</v>
      </c>
      <c r="AI1433">
        <v>7.8</v>
      </c>
      <c r="AZ1433">
        <v>7</v>
      </c>
      <c r="BA1433" t="s">
        <v>138</v>
      </c>
      <c r="BB1433">
        <v>1.1399999999999999</v>
      </c>
      <c r="BC1433" t="s">
        <v>95</v>
      </c>
      <c r="BD1433" t="s">
        <v>96</v>
      </c>
      <c r="BE1433" t="s">
        <v>97</v>
      </c>
      <c r="BF1433">
        <v>1</v>
      </c>
      <c r="BG1433">
        <v>0</v>
      </c>
      <c r="BH1433">
        <v>0</v>
      </c>
      <c r="BI1433" t="s">
        <v>98</v>
      </c>
    </row>
    <row r="1434" spans="1:61">
      <c r="A1434" s="164" t="s">
        <v>3520</v>
      </c>
      <c r="B1434" t="s">
        <v>3521</v>
      </c>
      <c r="C1434">
        <v>0</v>
      </c>
      <c r="D1434" t="s">
        <v>175</v>
      </c>
      <c r="E1434">
        <v>0</v>
      </c>
      <c r="F1434" t="s">
        <v>1223</v>
      </c>
      <c r="G1434" t="s">
        <v>78</v>
      </c>
      <c r="H1434" t="s">
        <v>79</v>
      </c>
      <c r="I1434" t="s">
        <v>80</v>
      </c>
      <c r="J1434" t="s">
        <v>163</v>
      </c>
      <c r="K1434" t="s">
        <v>82</v>
      </c>
      <c r="L1434" t="s">
        <v>83</v>
      </c>
      <c r="M1434" t="s">
        <v>84</v>
      </c>
      <c r="N1434">
        <v>0.15</v>
      </c>
      <c r="O1434" t="b">
        <v>1</v>
      </c>
      <c r="P1434">
        <v>40</v>
      </c>
      <c r="Q1434" t="s">
        <v>137</v>
      </c>
      <c r="S1434">
        <v>0.15</v>
      </c>
      <c r="U1434" s="36">
        <v>1.279185</v>
      </c>
      <c r="V1434" t="s">
        <v>165</v>
      </c>
      <c r="Y1434">
        <v>150</v>
      </c>
      <c r="AA1434">
        <v>35</v>
      </c>
      <c r="AE1434" t="s">
        <v>129</v>
      </c>
      <c r="AF1434" t="s">
        <v>1223</v>
      </c>
      <c r="AI1434">
        <v>7.8</v>
      </c>
      <c r="AZ1434">
        <v>0</v>
      </c>
      <c r="BA1434" t="s">
        <v>138</v>
      </c>
      <c r="BB1434">
        <v>2.59</v>
      </c>
      <c r="BC1434" t="s">
        <v>95</v>
      </c>
      <c r="BD1434" t="s">
        <v>96</v>
      </c>
      <c r="BE1434" t="s">
        <v>97</v>
      </c>
      <c r="BF1434">
        <v>1</v>
      </c>
      <c r="BG1434">
        <v>0</v>
      </c>
      <c r="BH1434">
        <v>0</v>
      </c>
      <c r="BI1434" t="s">
        <v>98</v>
      </c>
    </row>
    <row r="1435" spans="1:61">
      <c r="A1435" s="164" t="s">
        <v>3522</v>
      </c>
      <c r="B1435" t="s">
        <v>3523</v>
      </c>
      <c r="C1435">
        <v>0</v>
      </c>
      <c r="D1435" t="s">
        <v>486</v>
      </c>
      <c r="E1435">
        <v>0</v>
      </c>
      <c r="F1435" t="s">
        <v>3516</v>
      </c>
      <c r="G1435" t="s">
        <v>78</v>
      </c>
      <c r="H1435" t="s">
        <v>79</v>
      </c>
      <c r="I1435" t="s">
        <v>80</v>
      </c>
      <c r="J1435" t="s">
        <v>163</v>
      </c>
      <c r="K1435" t="s">
        <v>82</v>
      </c>
      <c r="L1435" t="s">
        <v>83</v>
      </c>
      <c r="M1435" t="s">
        <v>205</v>
      </c>
      <c r="N1435">
        <v>1</v>
      </c>
      <c r="O1435" t="b">
        <v>1</v>
      </c>
      <c r="P1435">
        <v>60</v>
      </c>
      <c r="Q1435" t="s">
        <v>137</v>
      </c>
      <c r="S1435">
        <v>1</v>
      </c>
      <c r="T1435">
        <v>1</v>
      </c>
      <c r="U1435" s="36">
        <v>6.2104049999999997</v>
      </c>
      <c r="V1435" t="s">
        <v>165</v>
      </c>
      <c r="X1435">
        <v>0</v>
      </c>
      <c r="Y1435">
        <v>30</v>
      </c>
      <c r="Z1435">
        <v>0.1</v>
      </c>
      <c r="AA1435">
        <v>35</v>
      </c>
      <c r="AB1435">
        <v>0</v>
      </c>
      <c r="AC1435">
        <v>0</v>
      </c>
      <c r="AE1435" t="s">
        <v>129</v>
      </c>
      <c r="AF1435" t="s">
        <v>3516</v>
      </c>
      <c r="AG1435" t="s">
        <v>129</v>
      </c>
      <c r="AH1435">
        <v>0</v>
      </c>
      <c r="AI1435">
        <v>10.199999999999999</v>
      </c>
      <c r="AJ1435" t="s">
        <v>167</v>
      </c>
      <c r="AM1435">
        <v>11.03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 t="s">
        <v>3524</v>
      </c>
      <c r="AY1435">
        <v>13.78</v>
      </c>
      <c r="AZ1435">
        <v>4</v>
      </c>
      <c r="BA1435" t="s">
        <v>138</v>
      </c>
      <c r="BB1435">
        <v>13.07</v>
      </c>
      <c r="BC1435" t="s">
        <v>95</v>
      </c>
      <c r="BD1435" t="s">
        <v>96</v>
      </c>
      <c r="BE1435" t="s">
        <v>97</v>
      </c>
      <c r="BF1435">
        <v>1.4</v>
      </c>
      <c r="BG1435">
        <v>0</v>
      </c>
      <c r="BH1435">
        <v>0</v>
      </c>
      <c r="BI1435" t="s">
        <v>98</v>
      </c>
    </row>
    <row r="1436" spans="1:61">
      <c r="A1436" s="164" t="s">
        <v>3525</v>
      </c>
      <c r="B1436" t="s">
        <v>3526</v>
      </c>
      <c r="C1436">
        <v>0</v>
      </c>
      <c r="D1436" t="s">
        <v>486</v>
      </c>
      <c r="E1436">
        <v>0</v>
      </c>
      <c r="F1436" t="s">
        <v>3527</v>
      </c>
      <c r="G1436" t="s">
        <v>103</v>
      </c>
      <c r="H1436" t="s">
        <v>104</v>
      </c>
      <c r="I1436" t="s">
        <v>80</v>
      </c>
      <c r="J1436" t="s">
        <v>163</v>
      </c>
      <c r="K1436" t="s">
        <v>82</v>
      </c>
      <c r="L1436" t="s">
        <v>83</v>
      </c>
      <c r="M1436" t="s">
        <v>205</v>
      </c>
      <c r="N1436">
        <v>1</v>
      </c>
      <c r="O1436" t="b">
        <v>0</v>
      </c>
      <c r="P1436">
        <v>60</v>
      </c>
      <c r="Q1436" t="s">
        <v>137</v>
      </c>
      <c r="S1436">
        <v>0</v>
      </c>
      <c r="T1436">
        <v>1</v>
      </c>
      <c r="U1436" s="36">
        <v>5.5851300000000004</v>
      </c>
      <c r="V1436" t="s">
        <v>165</v>
      </c>
      <c r="X1436">
        <v>0</v>
      </c>
      <c r="Z1436">
        <v>0.1</v>
      </c>
      <c r="AB1436">
        <v>0</v>
      </c>
      <c r="AC1436">
        <v>0</v>
      </c>
      <c r="AE1436" t="s">
        <v>129</v>
      </c>
      <c r="AF1436" t="s">
        <v>3527</v>
      </c>
      <c r="AG1436" t="s">
        <v>129</v>
      </c>
      <c r="AH1436">
        <v>0</v>
      </c>
      <c r="AI1436">
        <v>9.9</v>
      </c>
      <c r="AJ1436" t="s">
        <v>167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 t="s">
        <v>3528</v>
      </c>
      <c r="AY1436">
        <v>0</v>
      </c>
      <c r="AZ1436">
        <v>2</v>
      </c>
      <c r="BA1436" t="s">
        <v>138</v>
      </c>
      <c r="BB1436">
        <v>8.84</v>
      </c>
      <c r="BC1436" t="s">
        <v>95</v>
      </c>
      <c r="BD1436" t="s">
        <v>96</v>
      </c>
      <c r="BE1436" t="s">
        <v>97</v>
      </c>
      <c r="BF1436">
        <v>0</v>
      </c>
      <c r="BG1436">
        <v>0</v>
      </c>
      <c r="BH1436">
        <v>0</v>
      </c>
      <c r="BI1436" t="s">
        <v>98</v>
      </c>
    </row>
    <row r="1437" spans="1:61">
      <c r="A1437" s="164" t="s">
        <v>3529</v>
      </c>
      <c r="B1437" t="s">
        <v>3530</v>
      </c>
      <c r="C1437">
        <v>0</v>
      </c>
      <c r="D1437" t="s">
        <v>147</v>
      </c>
      <c r="E1437">
        <v>0</v>
      </c>
      <c r="F1437" t="s">
        <v>472</v>
      </c>
      <c r="G1437" t="s">
        <v>103</v>
      </c>
      <c r="H1437" t="s">
        <v>104</v>
      </c>
      <c r="I1437" t="s">
        <v>80</v>
      </c>
      <c r="J1437" t="s">
        <v>81</v>
      </c>
      <c r="K1437" t="s">
        <v>468</v>
      </c>
      <c r="L1437" t="s">
        <v>111</v>
      </c>
      <c r="M1437" t="s">
        <v>84</v>
      </c>
      <c r="N1437">
        <v>1.26</v>
      </c>
      <c r="O1437" t="b">
        <v>0</v>
      </c>
      <c r="P1437">
        <v>45</v>
      </c>
      <c r="Q1437" t="s">
        <v>85</v>
      </c>
      <c r="S1437">
        <v>0</v>
      </c>
      <c r="T1437">
        <v>1</v>
      </c>
      <c r="V1437" t="s">
        <v>87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G1437" t="s">
        <v>129</v>
      </c>
      <c r="AH1437">
        <v>0</v>
      </c>
      <c r="AI1437">
        <v>0.9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Y1437">
        <v>0</v>
      </c>
      <c r="AZ1437">
        <v>7</v>
      </c>
      <c r="BA1437" t="s">
        <v>94</v>
      </c>
      <c r="BB1437">
        <v>0</v>
      </c>
      <c r="BC1437" t="s">
        <v>95</v>
      </c>
      <c r="BD1437" t="s">
        <v>469</v>
      </c>
      <c r="BE1437" t="s">
        <v>97</v>
      </c>
      <c r="BF1437">
        <v>0</v>
      </c>
      <c r="BG1437">
        <v>0</v>
      </c>
      <c r="BH1437">
        <v>0</v>
      </c>
      <c r="BI1437" t="s">
        <v>98</v>
      </c>
    </row>
    <row r="1438" spans="1:61">
      <c r="A1438" s="164" t="s">
        <v>3531</v>
      </c>
      <c r="B1438" t="s">
        <v>3532</v>
      </c>
      <c r="C1438">
        <v>0</v>
      </c>
      <c r="D1438" t="s">
        <v>107</v>
      </c>
      <c r="E1438">
        <v>0</v>
      </c>
      <c r="F1438" t="s">
        <v>499</v>
      </c>
      <c r="G1438" t="s">
        <v>103</v>
      </c>
      <c r="H1438" t="s">
        <v>104</v>
      </c>
      <c r="I1438" t="s">
        <v>80</v>
      </c>
      <c r="J1438" t="s">
        <v>109</v>
      </c>
      <c r="K1438" t="s">
        <v>110</v>
      </c>
      <c r="L1438" t="s">
        <v>111</v>
      </c>
      <c r="M1438" t="s">
        <v>84</v>
      </c>
      <c r="N1438">
        <v>0.10799999999999998</v>
      </c>
      <c r="O1438" t="b">
        <v>0</v>
      </c>
      <c r="P1438">
        <v>45</v>
      </c>
      <c r="Q1438" t="s">
        <v>85</v>
      </c>
      <c r="R1438" t="s">
        <v>86</v>
      </c>
      <c r="S1438">
        <v>0.18</v>
      </c>
      <c r="T1438">
        <v>1</v>
      </c>
      <c r="V1438" t="s">
        <v>87</v>
      </c>
      <c r="W1438">
        <v>240</v>
      </c>
      <c r="X1438">
        <v>0.38897500000000002</v>
      </c>
      <c r="Y1438">
        <v>0</v>
      </c>
      <c r="Z1438">
        <v>9.2592592592592587E-3</v>
      </c>
      <c r="AA1438">
        <v>30</v>
      </c>
      <c r="AB1438">
        <v>0</v>
      </c>
      <c r="AC1438">
        <v>500</v>
      </c>
      <c r="AD1438">
        <v>2777.7777777777778</v>
      </c>
      <c r="AE1438" t="s">
        <v>143</v>
      </c>
      <c r="AF1438" t="s">
        <v>113</v>
      </c>
      <c r="AG1438" t="s">
        <v>114</v>
      </c>
      <c r="AH1438">
        <v>0</v>
      </c>
      <c r="AI1438">
        <v>0</v>
      </c>
      <c r="AJ1438" t="s">
        <v>91</v>
      </c>
      <c r="AK1438" t="s">
        <v>92</v>
      </c>
      <c r="AL1438" t="s">
        <v>93</v>
      </c>
      <c r="AM1438">
        <v>0.34043629629629629</v>
      </c>
      <c r="AN1438">
        <v>0.22695753086419751</v>
      </c>
      <c r="AO1438">
        <v>0.35178417283950614</v>
      </c>
      <c r="AP1438">
        <v>0</v>
      </c>
      <c r="AQ1438">
        <v>8.6691086691086688E-2</v>
      </c>
      <c r="AR1438">
        <v>2.6666666666666505E-3</v>
      </c>
      <c r="AS1438">
        <v>0</v>
      </c>
      <c r="AT1438">
        <v>1.0866910866910866</v>
      </c>
      <c r="AU1438">
        <v>1.0026666666666666</v>
      </c>
      <c r="AV1438">
        <v>1</v>
      </c>
      <c r="AY1438">
        <v>0</v>
      </c>
      <c r="AZ1438">
        <v>8</v>
      </c>
      <c r="BA1438" t="s">
        <v>94</v>
      </c>
      <c r="BB1438">
        <v>0</v>
      </c>
      <c r="BC1438" t="s">
        <v>115</v>
      </c>
      <c r="BD1438" t="s">
        <v>116</v>
      </c>
      <c r="BE1438" t="s">
        <v>117</v>
      </c>
      <c r="BF1438">
        <v>0</v>
      </c>
      <c r="BG1438">
        <v>0</v>
      </c>
      <c r="BH1438">
        <v>0</v>
      </c>
      <c r="BI1438" t="s">
        <v>98</v>
      </c>
    </row>
    <row r="1439" spans="1:61">
      <c r="A1439" s="164" t="s">
        <v>3533</v>
      </c>
      <c r="B1439" t="s">
        <v>3534</v>
      </c>
      <c r="C1439">
        <v>0</v>
      </c>
      <c r="D1439" t="s">
        <v>107</v>
      </c>
      <c r="E1439">
        <v>0</v>
      </c>
      <c r="F1439" t="s">
        <v>742</v>
      </c>
      <c r="G1439" t="s">
        <v>103</v>
      </c>
      <c r="H1439" t="s">
        <v>104</v>
      </c>
      <c r="I1439" t="s">
        <v>80</v>
      </c>
      <c r="J1439" t="s">
        <v>81</v>
      </c>
      <c r="K1439" t="s">
        <v>82</v>
      </c>
      <c r="L1439" t="s">
        <v>83</v>
      </c>
      <c r="M1439" t="s">
        <v>84</v>
      </c>
      <c r="N1439">
        <v>0.18</v>
      </c>
      <c r="O1439" t="b">
        <v>0</v>
      </c>
      <c r="P1439">
        <v>45</v>
      </c>
      <c r="Q1439" t="s">
        <v>85</v>
      </c>
      <c r="S1439">
        <v>0.18</v>
      </c>
      <c r="T1439">
        <v>1</v>
      </c>
      <c r="U1439" s="36">
        <v>0.22267500000000001</v>
      </c>
      <c r="V1439" t="s">
        <v>87</v>
      </c>
      <c r="W1439">
        <v>0</v>
      </c>
      <c r="X1439">
        <v>0.38897500000000002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 t="s">
        <v>143</v>
      </c>
      <c r="AF1439" t="s">
        <v>113</v>
      </c>
      <c r="AG1439" t="s">
        <v>129</v>
      </c>
      <c r="AH1439">
        <v>0</v>
      </c>
      <c r="AI1439">
        <v>0.9</v>
      </c>
      <c r="AJ1439" t="s">
        <v>91</v>
      </c>
      <c r="AK1439" t="s">
        <v>92</v>
      </c>
      <c r="AL1439" t="s">
        <v>93</v>
      </c>
      <c r="AM1439">
        <v>0.34043629629629629</v>
      </c>
      <c r="AN1439">
        <v>0.22695753086419751</v>
      </c>
      <c r="AO1439">
        <v>0.35178417283950614</v>
      </c>
      <c r="AP1439">
        <v>0</v>
      </c>
      <c r="AQ1439">
        <v>8.6691086691086688E-2</v>
      </c>
      <c r="AR1439">
        <v>2.6666666666666505E-3</v>
      </c>
      <c r="AS1439">
        <v>0</v>
      </c>
      <c r="AT1439">
        <v>1.0866910866910866</v>
      </c>
      <c r="AU1439">
        <v>1.0026666666666666</v>
      </c>
      <c r="AV1439">
        <v>1</v>
      </c>
      <c r="AW1439">
        <v>0</v>
      </c>
      <c r="AY1439">
        <v>0</v>
      </c>
      <c r="AZ1439">
        <v>3</v>
      </c>
      <c r="BA1439" t="s">
        <v>94</v>
      </c>
      <c r="BB1439">
        <v>0</v>
      </c>
      <c r="BC1439" t="s">
        <v>95</v>
      </c>
      <c r="BD1439" t="s">
        <v>96</v>
      </c>
      <c r="BE1439" t="s">
        <v>97</v>
      </c>
      <c r="BF1439">
        <v>0</v>
      </c>
      <c r="BG1439">
        <v>0</v>
      </c>
      <c r="BH1439">
        <v>0</v>
      </c>
      <c r="BI1439" t="s">
        <v>98</v>
      </c>
    </row>
    <row r="1440" spans="1:61">
      <c r="A1440" s="164" t="s">
        <v>3535</v>
      </c>
      <c r="B1440" t="s">
        <v>3536</v>
      </c>
      <c r="C1440">
        <v>0</v>
      </c>
      <c r="D1440" t="s">
        <v>486</v>
      </c>
      <c r="E1440">
        <v>0</v>
      </c>
      <c r="F1440" t="s">
        <v>3537</v>
      </c>
      <c r="G1440" t="s">
        <v>78</v>
      </c>
      <c r="H1440" t="s">
        <v>79</v>
      </c>
      <c r="I1440" t="s">
        <v>80</v>
      </c>
      <c r="J1440" t="s">
        <v>163</v>
      </c>
      <c r="K1440" t="s">
        <v>82</v>
      </c>
      <c r="L1440" t="s">
        <v>83</v>
      </c>
      <c r="M1440" t="s">
        <v>205</v>
      </c>
      <c r="N1440">
        <v>1</v>
      </c>
      <c r="O1440" t="b">
        <v>1</v>
      </c>
      <c r="P1440">
        <v>90</v>
      </c>
      <c r="Q1440" t="s">
        <v>137</v>
      </c>
      <c r="S1440">
        <v>1</v>
      </c>
      <c r="T1440">
        <v>1</v>
      </c>
      <c r="U1440" s="36">
        <v>7.4059249999999999</v>
      </c>
      <c r="V1440" t="s">
        <v>165</v>
      </c>
      <c r="X1440">
        <v>0</v>
      </c>
      <c r="Y1440">
        <v>25</v>
      </c>
      <c r="Z1440">
        <v>0.1</v>
      </c>
      <c r="AA1440">
        <v>20</v>
      </c>
      <c r="AB1440">
        <v>0</v>
      </c>
      <c r="AC1440">
        <v>0</v>
      </c>
      <c r="AE1440" t="s">
        <v>129</v>
      </c>
      <c r="AF1440" t="s">
        <v>3537</v>
      </c>
      <c r="AG1440" t="s">
        <v>129</v>
      </c>
      <c r="AH1440">
        <v>0</v>
      </c>
      <c r="AI1440">
        <v>9.8000000000000007</v>
      </c>
      <c r="AJ1440" t="s">
        <v>167</v>
      </c>
      <c r="AM1440">
        <v>10.67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 t="s">
        <v>3538</v>
      </c>
      <c r="AY1440">
        <v>72.22</v>
      </c>
      <c r="AZ1440">
        <v>0</v>
      </c>
      <c r="BA1440" t="s">
        <v>138</v>
      </c>
      <c r="BB1440">
        <v>11.73</v>
      </c>
      <c r="BC1440" t="s">
        <v>95</v>
      </c>
      <c r="BD1440" t="s">
        <v>96</v>
      </c>
      <c r="BE1440" t="s">
        <v>97</v>
      </c>
      <c r="BF1440">
        <v>2.5</v>
      </c>
      <c r="BG1440">
        <v>0</v>
      </c>
      <c r="BH1440">
        <v>0</v>
      </c>
      <c r="BI1440" t="s">
        <v>98</v>
      </c>
    </row>
    <row r="1441" spans="1:61">
      <c r="A1441" s="164" t="s">
        <v>3539</v>
      </c>
      <c r="B1441" t="s">
        <v>3540</v>
      </c>
      <c r="C1441">
        <v>0</v>
      </c>
      <c r="D1441" t="s">
        <v>479</v>
      </c>
      <c r="E1441">
        <v>0</v>
      </c>
      <c r="F1441" t="s">
        <v>480</v>
      </c>
      <c r="G1441" t="s">
        <v>103</v>
      </c>
      <c r="H1441" t="s">
        <v>104</v>
      </c>
      <c r="I1441" t="s">
        <v>80</v>
      </c>
      <c r="J1441" t="s">
        <v>1611</v>
      </c>
      <c r="K1441" t="s">
        <v>468</v>
      </c>
      <c r="L1441" t="s">
        <v>111</v>
      </c>
      <c r="M1441" t="s">
        <v>84</v>
      </c>
      <c r="N1441">
        <v>0</v>
      </c>
      <c r="O1441" t="b">
        <v>0</v>
      </c>
      <c r="P1441">
        <v>40</v>
      </c>
      <c r="Q1441" t="s">
        <v>479</v>
      </c>
      <c r="S1441">
        <v>0</v>
      </c>
      <c r="T1441">
        <v>1</v>
      </c>
      <c r="V1441" t="s">
        <v>87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G1441" t="s">
        <v>129</v>
      </c>
      <c r="AH1441">
        <v>0</v>
      </c>
      <c r="AI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 t="s">
        <v>3541</v>
      </c>
      <c r="AY1441">
        <v>0</v>
      </c>
      <c r="AZ1441">
        <v>8</v>
      </c>
      <c r="BA1441" t="s">
        <v>138</v>
      </c>
      <c r="BB1441">
        <v>0</v>
      </c>
      <c r="BC1441" t="s">
        <v>95</v>
      </c>
      <c r="BD1441" t="s">
        <v>139</v>
      </c>
      <c r="BE1441" t="s">
        <v>97</v>
      </c>
      <c r="BF1441">
        <v>0</v>
      </c>
      <c r="BG1441">
        <v>0</v>
      </c>
      <c r="BH1441">
        <v>0</v>
      </c>
      <c r="BI1441" t="s">
        <v>98</v>
      </c>
    </row>
    <row r="1442" spans="1:61">
      <c r="A1442" s="164" t="s">
        <v>3542</v>
      </c>
      <c r="B1442" t="s">
        <v>3543</v>
      </c>
      <c r="C1442">
        <v>0</v>
      </c>
      <c r="D1442" t="s">
        <v>175</v>
      </c>
      <c r="E1442">
        <v>0</v>
      </c>
      <c r="F1442" t="s">
        <v>844</v>
      </c>
      <c r="G1442" t="s">
        <v>78</v>
      </c>
      <c r="H1442" t="s">
        <v>79</v>
      </c>
      <c r="I1442" t="s">
        <v>80</v>
      </c>
      <c r="J1442" t="s">
        <v>564</v>
      </c>
      <c r="K1442" t="s">
        <v>565</v>
      </c>
      <c r="L1442" t="s">
        <v>83</v>
      </c>
      <c r="M1442" t="s">
        <v>84</v>
      </c>
      <c r="N1442">
        <v>0.17499999999999999</v>
      </c>
      <c r="O1442" t="b">
        <v>1</v>
      </c>
      <c r="P1442">
        <v>40</v>
      </c>
      <c r="Q1442" t="s">
        <v>137</v>
      </c>
      <c r="R1442" t="s">
        <v>86</v>
      </c>
      <c r="S1442">
        <v>0.17499999999999999</v>
      </c>
      <c r="T1442">
        <v>1</v>
      </c>
      <c r="U1442" s="36">
        <v>1.2970350000000002</v>
      </c>
      <c r="V1442" t="s">
        <v>468</v>
      </c>
      <c r="X1442">
        <v>0</v>
      </c>
      <c r="Y1442">
        <v>50</v>
      </c>
      <c r="Z1442">
        <v>0.02</v>
      </c>
      <c r="AA1442">
        <v>30</v>
      </c>
      <c r="AB1442">
        <v>0</v>
      </c>
      <c r="AC1442">
        <v>0</v>
      </c>
      <c r="AE1442" t="s">
        <v>129</v>
      </c>
      <c r="AF1442" t="s">
        <v>844</v>
      </c>
      <c r="AG1442" t="s">
        <v>129</v>
      </c>
      <c r="AH1442">
        <v>0</v>
      </c>
      <c r="AI1442">
        <v>9.4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 t="s">
        <v>3544</v>
      </c>
      <c r="AY1442">
        <v>9.6999999999999993</v>
      </c>
      <c r="AZ1442">
        <v>3</v>
      </c>
      <c r="BA1442" t="s">
        <v>138</v>
      </c>
      <c r="BB1442">
        <v>2.62</v>
      </c>
      <c r="BC1442" t="s">
        <v>95</v>
      </c>
      <c r="BD1442" t="s">
        <v>96</v>
      </c>
      <c r="BE1442" t="s">
        <v>97</v>
      </c>
      <c r="BF1442">
        <v>1</v>
      </c>
      <c r="BG1442">
        <v>0</v>
      </c>
      <c r="BH1442">
        <v>0</v>
      </c>
      <c r="BI1442" t="s">
        <v>98</v>
      </c>
    </row>
    <row r="1443" spans="1:61">
      <c r="A1443" s="164" t="s">
        <v>3545</v>
      </c>
      <c r="B1443" t="s">
        <v>3546</v>
      </c>
      <c r="C1443">
        <v>0</v>
      </c>
      <c r="D1443" t="s">
        <v>107</v>
      </c>
      <c r="E1443">
        <v>0</v>
      </c>
      <c r="F1443" t="s">
        <v>499</v>
      </c>
      <c r="G1443" t="s">
        <v>103</v>
      </c>
      <c r="H1443" t="s">
        <v>104</v>
      </c>
      <c r="I1443" t="s">
        <v>80</v>
      </c>
      <c r="J1443" t="s">
        <v>81</v>
      </c>
      <c r="K1443" t="s">
        <v>82</v>
      </c>
      <c r="L1443" t="s">
        <v>83</v>
      </c>
      <c r="M1443" t="s">
        <v>84</v>
      </c>
      <c r="N1443">
        <v>0.12</v>
      </c>
      <c r="O1443" t="b">
        <v>0</v>
      </c>
      <c r="P1443">
        <v>45</v>
      </c>
      <c r="Q1443" t="s">
        <v>85</v>
      </c>
      <c r="S1443">
        <v>0</v>
      </c>
      <c r="T1443">
        <v>1</v>
      </c>
      <c r="V1443" t="s">
        <v>87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G1443" t="s">
        <v>129</v>
      </c>
      <c r="AH1443">
        <v>0</v>
      </c>
      <c r="AI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Y1443">
        <v>0</v>
      </c>
      <c r="AZ1443">
        <v>0</v>
      </c>
      <c r="BA1443" t="s">
        <v>94</v>
      </c>
      <c r="BB1443">
        <v>0</v>
      </c>
      <c r="BC1443" t="s">
        <v>95</v>
      </c>
      <c r="BD1443" t="s">
        <v>96</v>
      </c>
      <c r="BE1443" t="s">
        <v>97</v>
      </c>
      <c r="BF1443">
        <v>0</v>
      </c>
      <c r="BG1443">
        <v>0</v>
      </c>
      <c r="BH1443">
        <v>0</v>
      </c>
      <c r="BI1443" t="s">
        <v>98</v>
      </c>
    </row>
    <row r="1444" spans="1:61">
      <c r="A1444" s="164" t="s">
        <v>3547</v>
      </c>
      <c r="B1444" t="s">
        <v>3548</v>
      </c>
      <c r="C1444">
        <v>0</v>
      </c>
      <c r="D1444" t="s">
        <v>124</v>
      </c>
      <c r="E1444">
        <v>0</v>
      </c>
      <c r="F1444" t="s">
        <v>3549</v>
      </c>
      <c r="G1444" t="s">
        <v>103</v>
      </c>
      <c r="H1444" t="s">
        <v>104</v>
      </c>
      <c r="I1444" t="s">
        <v>80</v>
      </c>
      <c r="J1444" t="s">
        <v>136</v>
      </c>
      <c r="K1444" t="s">
        <v>82</v>
      </c>
      <c r="L1444" t="s">
        <v>83</v>
      </c>
      <c r="M1444" t="s">
        <v>84</v>
      </c>
      <c r="N1444">
        <v>1</v>
      </c>
      <c r="O1444" t="b">
        <v>0</v>
      </c>
      <c r="P1444">
        <v>180</v>
      </c>
      <c r="Q1444" t="s">
        <v>85</v>
      </c>
      <c r="S1444">
        <v>0</v>
      </c>
      <c r="T1444">
        <v>1</v>
      </c>
      <c r="V1444" t="s">
        <v>87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G1444" t="s">
        <v>129</v>
      </c>
      <c r="AH1444">
        <v>0</v>
      </c>
      <c r="AI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Y1444">
        <v>0</v>
      </c>
      <c r="AZ1444">
        <v>0</v>
      </c>
      <c r="BA1444" t="s">
        <v>94</v>
      </c>
      <c r="BB1444">
        <v>0</v>
      </c>
      <c r="BC1444" t="s">
        <v>95</v>
      </c>
      <c r="BD1444" t="s">
        <v>96</v>
      </c>
      <c r="BE1444" t="s">
        <v>97</v>
      </c>
      <c r="BF1444">
        <v>0</v>
      </c>
      <c r="BG1444">
        <v>0</v>
      </c>
      <c r="BH1444">
        <v>0</v>
      </c>
      <c r="BI1444" t="s">
        <v>98</v>
      </c>
    </row>
    <row r="1445" spans="1:61">
      <c r="A1445" s="164" t="s">
        <v>3550</v>
      </c>
      <c r="B1445" t="s">
        <v>3551</v>
      </c>
      <c r="C1445">
        <v>0</v>
      </c>
      <c r="D1445" t="s">
        <v>76</v>
      </c>
      <c r="E1445">
        <v>0</v>
      </c>
      <c r="F1445" t="s">
        <v>972</v>
      </c>
      <c r="G1445" t="s">
        <v>78</v>
      </c>
      <c r="H1445" t="s">
        <v>79</v>
      </c>
      <c r="I1445" t="s">
        <v>80</v>
      </c>
      <c r="J1445" t="s">
        <v>81</v>
      </c>
      <c r="K1445" t="s">
        <v>82</v>
      </c>
      <c r="L1445" t="s">
        <v>83</v>
      </c>
      <c r="M1445" t="s">
        <v>84</v>
      </c>
      <c r="N1445">
        <v>0.95</v>
      </c>
      <c r="O1445" t="b">
        <v>1</v>
      </c>
      <c r="P1445">
        <v>45</v>
      </c>
      <c r="Q1445" t="s">
        <v>85</v>
      </c>
      <c r="R1445" t="s">
        <v>86</v>
      </c>
      <c r="S1445">
        <v>0.95</v>
      </c>
      <c r="T1445">
        <v>1</v>
      </c>
      <c r="U1445" s="36">
        <v>1.38215</v>
      </c>
      <c r="V1445" t="s">
        <v>87</v>
      </c>
      <c r="W1445">
        <v>24</v>
      </c>
      <c r="X1445">
        <v>0.45019999999999999</v>
      </c>
      <c r="Y1445">
        <v>18</v>
      </c>
      <c r="Z1445">
        <v>5.5555555555555552E-2</v>
      </c>
      <c r="AA1445">
        <v>30</v>
      </c>
      <c r="AB1445">
        <v>0</v>
      </c>
      <c r="AC1445">
        <v>540</v>
      </c>
      <c r="AD1445">
        <v>568.42105263157896</v>
      </c>
      <c r="AE1445" t="s">
        <v>155</v>
      </c>
      <c r="AF1445" t="s">
        <v>89</v>
      </c>
      <c r="AG1445" t="s">
        <v>90</v>
      </c>
      <c r="AH1445">
        <v>0</v>
      </c>
      <c r="AI1445">
        <v>1</v>
      </c>
      <c r="AJ1445" t="s">
        <v>91</v>
      </c>
      <c r="AK1445" t="s">
        <v>92</v>
      </c>
      <c r="AL1445" t="s">
        <v>93</v>
      </c>
      <c r="AM1445">
        <v>0.98220000000000007</v>
      </c>
      <c r="AN1445">
        <v>0</v>
      </c>
      <c r="AO1445">
        <v>0</v>
      </c>
      <c r="AP1445">
        <v>0</v>
      </c>
      <c r="AQ1445">
        <v>8.6691086691086688E-2</v>
      </c>
      <c r="AR1445">
        <v>2.6666666666666505E-3</v>
      </c>
      <c r="AS1445">
        <v>0</v>
      </c>
      <c r="AT1445">
        <v>1.0866910866910866</v>
      </c>
      <c r="AU1445">
        <v>1.0026666666666666</v>
      </c>
      <c r="AV1445">
        <v>1</v>
      </c>
      <c r="AW1445">
        <v>0</v>
      </c>
      <c r="AX1445" t="s">
        <v>3552</v>
      </c>
      <c r="AY1445">
        <v>53.4</v>
      </c>
      <c r="AZ1445">
        <v>0</v>
      </c>
      <c r="BA1445" t="s">
        <v>94</v>
      </c>
      <c r="BB1445">
        <v>3.17</v>
      </c>
      <c r="BC1445" t="s">
        <v>95</v>
      </c>
      <c r="BD1445" t="s">
        <v>96</v>
      </c>
      <c r="BE1445" t="s">
        <v>97</v>
      </c>
      <c r="BF1445">
        <v>1</v>
      </c>
      <c r="BG1445">
        <v>0</v>
      </c>
      <c r="BH1445">
        <v>0</v>
      </c>
      <c r="BI1445" t="s">
        <v>98</v>
      </c>
    </row>
    <row r="1446" spans="1:61">
      <c r="A1446" s="164" t="s">
        <v>3553</v>
      </c>
      <c r="B1446" t="s">
        <v>3554</v>
      </c>
      <c r="C1446">
        <v>0</v>
      </c>
      <c r="D1446" t="s">
        <v>107</v>
      </c>
      <c r="E1446">
        <v>0</v>
      </c>
      <c r="F1446" t="s">
        <v>2581</v>
      </c>
      <c r="G1446" t="s">
        <v>78</v>
      </c>
      <c r="H1446" t="s">
        <v>79</v>
      </c>
      <c r="I1446" t="s">
        <v>80</v>
      </c>
      <c r="J1446" t="s">
        <v>81</v>
      </c>
      <c r="K1446" t="s">
        <v>82</v>
      </c>
      <c r="L1446" t="s">
        <v>83</v>
      </c>
      <c r="M1446" t="s">
        <v>84</v>
      </c>
      <c r="N1446">
        <v>3.5</v>
      </c>
      <c r="O1446" t="b">
        <v>1</v>
      </c>
      <c r="P1446">
        <v>45</v>
      </c>
      <c r="Q1446" t="s">
        <v>85</v>
      </c>
      <c r="S1446">
        <v>3.5</v>
      </c>
      <c r="T1446">
        <v>1</v>
      </c>
      <c r="U1446" s="36">
        <v>2.9109100000000003</v>
      </c>
      <c r="V1446" t="s">
        <v>87</v>
      </c>
      <c r="W1446">
        <v>0</v>
      </c>
      <c r="X1446">
        <v>0</v>
      </c>
      <c r="Y1446">
        <v>4</v>
      </c>
      <c r="Z1446">
        <v>0.125</v>
      </c>
      <c r="AA1446">
        <v>0</v>
      </c>
      <c r="AB1446">
        <v>0</v>
      </c>
      <c r="AC1446">
        <v>0</v>
      </c>
      <c r="AD1446">
        <v>0</v>
      </c>
      <c r="AE1446" t="s">
        <v>2582</v>
      </c>
      <c r="AF1446" t="s">
        <v>1117</v>
      </c>
      <c r="AG1446" t="s">
        <v>114</v>
      </c>
      <c r="AH1446">
        <v>0</v>
      </c>
      <c r="AI1446">
        <v>0.6</v>
      </c>
      <c r="AJ1446" t="s">
        <v>167</v>
      </c>
      <c r="AM1446">
        <v>0.43188335694295682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 t="s">
        <v>3555</v>
      </c>
      <c r="AY1446">
        <v>129.6</v>
      </c>
      <c r="AZ1446">
        <v>0</v>
      </c>
      <c r="BA1446" t="s">
        <v>94</v>
      </c>
      <c r="BB1446">
        <v>5.71</v>
      </c>
      <c r="BC1446" t="s">
        <v>95</v>
      </c>
      <c r="BD1446" t="s">
        <v>96</v>
      </c>
      <c r="BE1446" t="s">
        <v>97</v>
      </c>
      <c r="BF1446">
        <v>1</v>
      </c>
      <c r="BG1446">
        <v>0</v>
      </c>
      <c r="BH1446">
        <v>0</v>
      </c>
      <c r="BI1446" t="s">
        <v>98</v>
      </c>
    </row>
    <row r="1447" spans="1:61">
      <c r="A1447" s="164" t="s">
        <v>3556</v>
      </c>
      <c r="B1447" t="s">
        <v>3557</v>
      </c>
      <c r="C1447">
        <v>0</v>
      </c>
      <c r="D1447" t="s">
        <v>3558</v>
      </c>
      <c r="E1447">
        <v>0</v>
      </c>
      <c r="F1447" t="s">
        <v>3559</v>
      </c>
      <c r="G1447" t="s">
        <v>103</v>
      </c>
      <c r="H1447" t="s">
        <v>104</v>
      </c>
      <c r="I1447" t="s">
        <v>80</v>
      </c>
      <c r="J1447" t="s">
        <v>81</v>
      </c>
      <c r="K1447" t="s">
        <v>82</v>
      </c>
      <c r="L1447" t="s">
        <v>83</v>
      </c>
      <c r="M1447" t="s">
        <v>84</v>
      </c>
      <c r="N1447">
        <v>0.12</v>
      </c>
      <c r="O1447" t="b">
        <v>0</v>
      </c>
      <c r="P1447">
        <v>45</v>
      </c>
      <c r="Q1447" t="s">
        <v>85</v>
      </c>
      <c r="S1447">
        <v>0</v>
      </c>
      <c r="T1447">
        <v>1</v>
      </c>
      <c r="V1447" t="s">
        <v>87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G1447" t="s">
        <v>129</v>
      </c>
      <c r="AH1447">
        <v>0</v>
      </c>
      <c r="AI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Y1447">
        <v>0</v>
      </c>
      <c r="AZ1447">
        <v>0</v>
      </c>
      <c r="BA1447" t="s">
        <v>94</v>
      </c>
      <c r="BB1447">
        <v>0</v>
      </c>
      <c r="BC1447" t="s">
        <v>95</v>
      </c>
      <c r="BD1447" t="s">
        <v>96</v>
      </c>
      <c r="BE1447" t="s">
        <v>97</v>
      </c>
      <c r="BF1447">
        <v>0</v>
      </c>
      <c r="BG1447">
        <v>0</v>
      </c>
      <c r="BH1447">
        <v>0</v>
      </c>
      <c r="BI1447" t="s">
        <v>98</v>
      </c>
    </row>
    <row r="1448" spans="1:61">
      <c r="A1448" s="164" t="s">
        <v>3560</v>
      </c>
      <c r="B1448" t="s">
        <v>3561</v>
      </c>
      <c r="C1448">
        <v>0</v>
      </c>
      <c r="D1448" t="s">
        <v>175</v>
      </c>
      <c r="E1448">
        <v>0</v>
      </c>
      <c r="F1448" t="s">
        <v>1223</v>
      </c>
      <c r="G1448" t="s">
        <v>78</v>
      </c>
      <c r="H1448" t="s">
        <v>79</v>
      </c>
      <c r="I1448" t="s">
        <v>80</v>
      </c>
      <c r="J1448" t="s">
        <v>163</v>
      </c>
      <c r="K1448" t="s">
        <v>82</v>
      </c>
      <c r="L1448" t="s">
        <v>83</v>
      </c>
      <c r="M1448" t="s">
        <v>84</v>
      </c>
      <c r="N1448">
        <v>0.15</v>
      </c>
      <c r="O1448" t="b">
        <v>1</v>
      </c>
      <c r="P1448">
        <v>30</v>
      </c>
      <c r="Q1448" t="s">
        <v>137</v>
      </c>
      <c r="S1448">
        <v>0.15</v>
      </c>
      <c r="T1448">
        <v>1</v>
      </c>
      <c r="U1448" s="36">
        <v>1.178895</v>
      </c>
      <c r="V1448" t="s">
        <v>165</v>
      </c>
      <c r="X1448">
        <v>0</v>
      </c>
      <c r="Y1448">
        <v>150</v>
      </c>
      <c r="Z1448">
        <v>6.6666666666666671E-3</v>
      </c>
      <c r="AA1448">
        <v>35</v>
      </c>
      <c r="AB1448">
        <v>0</v>
      </c>
      <c r="AC1448">
        <v>0</v>
      </c>
      <c r="AE1448" t="s">
        <v>129</v>
      </c>
      <c r="AF1448" t="s">
        <v>1223</v>
      </c>
      <c r="AG1448" t="s">
        <v>129</v>
      </c>
      <c r="AH1448">
        <v>0</v>
      </c>
      <c r="AI1448">
        <v>9.5</v>
      </c>
      <c r="AJ1448" t="s">
        <v>177</v>
      </c>
      <c r="AM1448">
        <v>10.11</v>
      </c>
      <c r="AN1448">
        <v>0</v>
      </c>
      <c r="AO1448">
        <v>0</v>
      </c>
      <c r="AP1448">
        <v>0</v>
      </c>
      <c r="AQ1448">
        <v>2.8571428571428564E-2</v>
      </c>
      <c r="AR1448">
        <v>0</v>
      </c>
      <c r="AS1448">
        <v>0</v>
      </c>
      <c r="AT1448">
        <v>1.0285714285714285</v>
      </c>
      <c r="AU1448">
        <v>0</v>
      </c>
      <c r="AV1448">
        <v>0</v>
      </c>
      <c r="AW1448">
        <v>0</v>
      </c>
      <c r="AX1448" t="s">
        <v>3562</v>
      </c>
      <c r="AY1448">
        <v>3.9216000000000002</v>
      </c>
      <c r="AZ1448">
        <v>7</v>
      </c>
      <c r="BA1448" t="s">
        <v>138</v>
      </c>
      <c r="BB1448">
        <v>2.3199999999999998</v>
      </c>
      <c r="BC1448" t="s">
        <v>95</v>
      </c>
      <c r="BD1448" t="s">
        <v>96</v>
      </c>
      <c r="BE1448" t="s">
        <v>97</v>
      </c>
      <c r="BF1448">
        <v>1</v>
      </c>
      <c r="BG1448">
        <v>0</v>
      </c>
      <c r="BH1448">
        <v>0</v>
      </c>
      <c r="BI1448" t="s">
        <v>98</v>
      </c>
    </row>
    <row r="1449" spans="1:61">
      <c r="A1449" s="164" t="s">
        <v>3563</v>
      </c>
      <c r="B1449" t="s">
        <v>3564</v>
      </c>
      <c r="C1449">
        <v>0</v>
      </c>
      <c r="D1449" t="s">
        <v>486</v>
      </c>
      <c r="E1449">
        <v>0</v>
      </c>
      <c r="F1449" t="s">
        <v>2204</v>
      </c>
      <c r="G1449" t="s">
        <v>78</v>
      </c>
      <c r="H1449" t="s">
        <v>79</v>
      </c>
      <c r="I1449" t="s">
        <v>80</v>
      </c>
      <c r="J1449" t="s">
        <v>163</v>
      </c>
      <c r="K1449" t="s">
        <v>82</v>
      </c>
      <c r="L1449" t="s">
        <v>83</v>
      </c>
      <c r="M1449" t="s">
        <v>205</v>
      </c>
      <c r="N1449">
        <v>1</v>
      </c>
      <c r="O1449" t="b">
        <v>1</v>
      </c>
      <c r="P1449">
        <v>90</v>
      </c>
      <c r="Q1449" t="s">
        <v>137</v>
      </c>
      <c r="S1449">
        <v>1</v>
      </c>
      <c r="T1449">
        <v>1</v>
      </c>
      <c r="U1449" s="36">
        <v>6.1996750000000009</v>
      </c>
      <c r="V1449" t="s">
        <v>165</v>
      </c>
      <c r="X1449">
        <v>0</v>
      </c>
      <c r="Y1449">
        <v>27</v>
      </c>
      <c r="Z1449">
        <v>0.1</v>
      </c>
      <c r="AA1449">
        <v>20</v>
      </c>
      <c r="AB1449">
        <v>0</v>
      </c>
      <c r="AC1449">
        <v>0</v>
      </c>
      <c r="AE1449" t="s">
        <v>129</v>
      </c>
      <c r="AF1449" t="s">
        <v>2204</v>
      </c>
      <c r="AG1449" t="s">
        <v>129</v>
      </c>
      <c r="AH1449">
        <v>0</v>
      </c>
      <c r="AI1449">
        <v>10.199999999999999</v>
      </c>
      <c r="AJ1449" t="s">
        <v>167</v>
      </c>
      <c r="AM1449">
        <v>10.38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 t="s">
        <v>3565</v>
      </c>
      <c r="AY1449">
        <v>11.78</v>
      </c>
      <c r="AZ1449">
        <v>0</v>
      </c>
      <c r="BA1449" t="s">
        <v>138</v>
      </c>
      <c r="BB1449">
        <v>8.84</v>
      </c>
      <c r="BC1449" t="s">
        <v>95</v>
      </c>
      <c r="BD1449" t="s">
        <v>96</v>
      </c>
      <c r="BE1449" t="s">
        <v>97</v>
      </c>
      <c r="BF1449">
        <v>2.7</v>
      </c>
      <c r="BG1449">
        <v>0</v>
      </c>
      <c r="BH1449">
        <v>0</v>
      </c>
      <c r="BI1449" t="s">
        <v>98</v>
      </c>
    </row>
    <row r="1450" spans="1:61">
      <c r="A1450" s="164" t="s">
        <v>3566</v>
      </c>
      <c r="B1450" t="s">
        <v>3567</v>
      </c>
      <c r="C1450">
        <v>0</v>
      </c>
      <c r="D1450" t="s">
        <v>107</v>
      </c>
      <c r="E1450">
        <v>0</v>
      </c>
      <c r="F1450" t="s">
        <v>108</v>
      </c>
      <c r="G1450" t="s">
        <v>103</v>
      </c>
      <c r="H1450" t="s">
        <v>104</v>
      </c>
      <c r="I1450" t="s">
        <v>80</v>
      </c>
      <c r="J1450" t="s">
        <v>109</v>
      </c>
      <c r="K1450" t="s">
        <v>110</v>
      </c>
      <c r="L1450" t="s">
        <v>111</v>
      </c>
      <c r="M1450" t="s">
        <v>84</v>
      </c>
      <c r="N1450">
        <v>6.3</v>
      </c>
      <c r="O1450" t="b">
        <v>0</v>
      </c>
      <c r="P1450">
        <v>45</v>
      </c>
      <c r="Q1450" t="s">
        <v>85</v>
      </c>
      <c r="S1450">
        <v>0</v>
      </c>
      <c r="T1450">
        <v>0</v>
      </c>
      <c r="V1450" t="s">
        <v>87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F1450" t="s">
        <v>3568</v>
      </c>
      <c r="AH1450">
        <v>0</v>
      </c>
      <c r="AI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 t="s">
        <v>3569</v>
      </c>
      <c r="AY1450">
        <v>0</v>
      </c>
      <c r="AZ1450">
        <v>5</v>
      </c>
      <c r="BA1450" t="s">
        <v>94</v>
      </c>
      <c r="BB1450">
        <v>7.26</v>
      </c>
      <c r="BC1450" t="s">
        <v>115</v>
      </c>
      <c r="BD1450" t="s">
        <v>116</v>
      </c>
      <c r="BE1450" t="s">
        <v>117</v>
      </c>
      <c r="BF1450">
        <v>0</v>
      </c>
      <c r="BG1450">
        <v>0</v>
      </c>
      <c r="BH1450">
        <v>0</v>
      </c>
      <c r="BI1450" t="s">
        <v>98</v>
      </c>
    </row>
    <row r="1451" spans="1:61">
      <c r="A1451" s="164" t="s">
        <v>3570</v>
      </c>
      <c r="B1451" t="s">
        <v>3571</v>
      </c>
      <c r="C1451">
        <v>0</v>
      </c>
      <c r="D1451" t="s">
        <v>479</v>
      </c>
      <c r="E1451">
        <v>0</v>
      </c>
      <c r="F1451" t="s">
        <v>480</v>
      </c>
      <c r="G1451" t="s">
        <v>103</v>
      </c>
      <c r="H1451" t="s">
        <v>104</v>
      </c>
      <c r="I1451" t="s">
        <v>80</v>
      </c>
      <c r="J1451" t="s">
        <v>467</v>
      </c>
      <c r="K1451" t="s">
        <v>468</v>
      </c>
      <c r="L1451" t="s">
        <v>111</v>
      </c>
      <c r="M1451" t="s">
        <v>84</v>
      </c>
      <c r="N1451">
        <v>0.54</v>
      </c>
      <c r="O1451" t="b">
        <v>0</v>
      </c>
      <c r="P1451">
        <v>0</v>
      </c>
      <c r="Q1451" t="s">
        <v>479</v>
      </c>
      <c r="S1451">
        <v>0</v>
      </c>
      <c r="T1451">
        <v>1</v>
      </c>
      <c r="U1451" s="36">
        <v>1.71</v>
      </c>
      <c r="V1451" t="s">
        <v>87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G1451" t="s">
        <v>129</v>
      </c>
      <c r="AH1451">
        <v>0</v>
      </c>
      <c r="AI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Y1451">
        <v>0</v>
      </c>
      <c r="AZ1451">
        <v>4</v>
      </c>
      <c r="BA1451" t="s">
        <v>138</v>
      </c>
      <c r="BB1451">
        <v>0</v>
      </c>
      <c r="BC1451" t="s">
        <v>95</v>
      </c>
      <c r="BD1451" t="s">
        <v>139</v>
      </c>
      <c r="BE1451" t="s">
        <v>97</v>
      </c>
      <c r="BF1451">
        <v>0</v>
      </c>
      <c r="BG1451">
        <v>0</v>
      </c>
      <c r="BH1451">
        <v>0</v>
      </c>
      <c r="BI1451" t="s">
        <v>98</v>
      </c>
    </row>
    <row r="1452" spans="1:61">
      <c r="A1452" s="164" t="s">
        <v>3572</v>
      </c>
      <c r="B1452" t="s">
        <v>3573</v>
      </c>
      <c r="C1452">
        <v>0</v>
      </c>
      <c r="D1452" t="s">
        <v>133</v>
      </c>
      <c r="E1452">
        <v>0</v>
      </c>
      <c r="F1452" t="s">
        <v>134</v>
      </c>
      <c r="G1452" t="s">
        <v>103</v>
      </c>
      <c r="H1452" t="s">
        <v>104</v>
      </c>
      <c r="I1452" t="s">
        <v>135</v>
      </c>
      <c r="J1452" t="s">
        <v>136</v>
      </c>
      <c r="K1452" t="s">
        <v>82</v>
      </c>
      <c r="L1452" t="s">
        <v>83</v>
      </c>
      <c r="M1452" t="s">
        <v>84</v>
      </c>
      <c r="N1452">
        <v>1</v>
      </c>
      <c r="O1452" t="b">
        <v>0</v>
      </c>
      <c r="P1452">
        <v>180</v>
      </c>
      <c r="Q1452" t="s">
        <v>137</v>
      </c>
      <c r="S1452">
        <v>0</v>
      </c>
      <c r="T1452">
        <v>1</v>
      </c>
      <c r="V1452" t="s">
        <v>87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G1452" t="s">
        <v>129</v>
      </c>
      <c r="AH1452">
        <v>0</v>
      </c>
      <c r="AI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Y1452">
        <v>0</v>
      </c>
      <c r="AZ1452">
        <v>0</v>
      </c>
      <c r="BA1452" t="s">
        <v>138</v>
      </c>
      <c r="BB1452">
        <v>0</v>
      </c>
      <c r="BC1452" t="s">
        <v>95</v>
      </c>
      <c r="BD1452" t="s">
        <v>139</v>
      </c>
      <c r="BE1452" t="s">
        <v>97</v>
      </c>
      <c r="BF1452">
        <v>0</v>
      </c>
      <c r="BG1452">
        <v>0</v>
      </c>
      <c r="BH1452">
        <v>0</v>
      </c>
      <c r="BI1452" t="s">
        <v>98</v>
      </c>
    </row>
    <row r="1453" spans="1:61">
      <c r="A1453" s="164" t="s">
        <v>3574</v>
      </c>
      <c r="B1453" t="s">
        <v>3575</v>
      </c>
      <c r="C1453">
        <v>0</v>
      </c>
      <c r="D1453" t="s">
        <v>486</v>
      </c>
      <c r="F1453" t="s">
        <v>684</v>
      </c>
      <c r="G1453" t="s">
        <v>78</v>
      </c>
      <c r="H1453" t="s">
        <v>79</v>
      </c>
      <c r="I1453" t="s">
        <v>80</v>
      </c>
      <c r="J1453" t="s">
        <v>163</v>
      </c>
      <c r="K1453" t="s">
        <v>82</v>
      </c>
      <c r="L1453" t="s">
        <v>83</v>
      </c>
      <c r="M1453" t="s">
        <v>205</v>
      </c>
      <c r="N1453">
        <v>1</v>
      </c>
      <c r="O1453" t="b">
        <v>1</v>
      </c>
      <c r="P1453">
        <v>90</v>
      </c>
      <c r="Q1453" t="s">
        <v>137</v>
      </c>
      <c r="S1453">
        <v>1</v>
      </c>
      <c r="U1453" s="36">
        <v>7.1624999999999996</v>
      </c>
      <c r="V1453" t="s">
        <v>165</v>
      </c>
      <c r="Y1453">
        <v>30</v>
      </c>
      <c r="AA1453">
        <v>35</v>
      </c>
      <c r="AE1453" t="s">
        <v>129</v>
      </c>
      <c r="AF1453" t="s">
        <v>684</v>
      </c>
      <c r="AI1453">
        <v>10.199999999999999</v>
      </c>
      <c r="AZ1453">
        <v>6</v>
      </c>
      <c r="BA1453" t="s">
        <v>138</v>
      </c>
      <c r="BB1453">
        <v>0</v>
      </c>
      <c r="BC1453" t="s">
        <v>95</v>
      </c>
      <c r="BD1453" t="s">
        <v>96</v>
      </c>
      <c r="BE1453" t="s">
        <v>97</v>
      </c>
      <c r="BF1453">
        <v>1</v>
      </c>
      <c r="BG1453">
        <v>0</v>
      </c>
      <c r="BH1453">
        <v>0</v>
      </c>
      <c r="BI1453" t="s">
        <v>98</v>
      </c>
    </row>
    <row r="1454" spans="1:61">
      <c r="A1454" s="164" t="s">
        <v>3576</v>
      </c>
      <c r="B1454" t="s">
        <v>3577</v>
      </c>
      <c r="C1454">
        <v>0</v>
      </c>
      <c r="D1454" t="s">
        <v>194</v>
      </c>
      <c r="E1454">
        <v>0</v>
      </c>
      <c r="F1454" t="s">
        <v>195</v>
      </c>
      <c r="G1454" t="s">
        <v>78</v>
      </c>
      <c r="H1454" t="s">
        <v>79</v>
      </c>
      <c r="I1454" t="s">
        <v>80</v>
      </c>
      <c r="J1454" t="s">
        <v>196</v>
      </c>
      <c r="K1454" t="s">
        <v>13</v>
      </c>
      <c r="L1454" t="s">
        <v>83</v>
      </c>
      <c r="M1454" t="s">
        <v>205</v>
      </c>
      <c r="N1454">
        <v>1</v>
      </c>
      <c r="O1454" t="b">
        <v>1</v>
      </c>
      <c r="P1454">
        <v>0</v>
      </c>
      <c r="BB1454">
        <v>0</v>
      </c>
      <c r="BC1454" t="s">
        <v>197</v>
      </c>
      <c r="BD1454" t="s">
        <v>198</v>
      </c>
      <c r="BE1454" t="s">
        <v>117</v>
      </c>
      <c r="BF1454">
        <v>0</v>
      </c>
      <c r="BG1454">
        <v>0</v>
      </c>
      <c r="BH1454">
        <v>0</v>
      </c>
    </row>
    <row r="1455" spans="1:61">
      <c r="A1455" s="164" t="s">
        <v>3578</v>
      </c>
      <c r="B1455" t="s">
        <v>3579</v>
      </c>
      <c r="C1455">
        <v>0</v>
      </c>
      <c r="D1455" t="s">
        <v>194</v>
      </c>
      <c r="E1455">
        <v>0</v>
      </c>
      <c r="F1455" t="s">
        <v>195</v>
      </c>
      <c r="G1455" t="s">
        <v>78</v>
      </c>
      <c r="H1455" t="s">
        <v>79</v>
      </c>
      <c r="I1455" t="s">
        <v>80</v>
      </c>
      <c r="J1455" t="s">
        <v>196</v>
      </c>
      <c r="K1455" t="s">
        <v>13</v>
      </c>
      <c r="L1455" t="s">
        <v>83</v>
      </c>
      <c r="M1455" t="s">
        <v>205</v>
      </c>
      <c r="N1455">
        <v>1</v>
      </c>
      <c r="O1455" t="b">
        <v>1</v>
      </c>
      <c r="P1455">
        <v>0</v>
      </c>
      <c r="BB1455">
        <v>0</v>
      </c>
      <c r="BC1455" t="s">
        <v>197</v>
      </c>
      <c r="BD1455" t="s">
        <v>198</v>
      </c>
      <c r="BE1455" t="s">
        <v>117</v>
      </c>
      <c r="BF1455">
        <v>0</v>
      </c>
      <c r="BG1455">
        <v>0</v>
      </c>
      <c r="BH1455">
        <v>0</v>
      </c>
    </row>
    <row r="1456" spans="1:61">
      <c r="A1456" s="164" t="s">
        <v>3580</v>
      </c>
      <c r="B1456" t="s">
        <v>3581</v>
      </c>
      <c r="C1456">
        <v>0</v>
      </c>
      <c r="D1456" t="s">
        <v>194</v>
      </c>
      <c r="E1456">
        <v>0</v>
      </c>
      <c r="F1456" t="s">
        <v>195</v>
      </c>
      <c r="G1456" t="s">
        <v>78</v>
      </c>
      <c r="H1456" t="s">
        <v>79</v>
      </c>
      <c r="I1456" t="s">
        <v>80</v>
      </c>
      <c r="J1456" t="s">
        <v>196</v>
      </c>
      <c r="K1456" t="s">
        <v>13</v>
      </c>
      <c r="L1456" t="s">
        <v>83</v>
      </c>
      <c r="M1456" t="s">
        <v>205</v>
      </c>
      <c r="N1456">
        <v>1</v>
      </c>
      <c r="O1456" t="b">
        <v>1</v>
      </c>
      <c r="P1456">
        <v>0</v>
      </c>
      <c r="BB1456">
        <v>0</v>
      </c>
      <c r="BC1456" t="s">
        <v>197</v>
      </c>
      <c r="BD1456" t="s">
        <v>198</v>
      </c>
      <c r="BE1456" t="s">
        <v>117</v>
      </c>
      <c r="BF1456">
        <v>0</v>
      </c>
      <c r="BG1456">
        <v>0</v>
      </c>
      <c r="BH1456">
        <v>0</v>
      </c>
    </row>
    <row r="1457" spans="1:61">
      <c r="A1457" s="164" t="s">
        <v>3582</v>
      </c>
      <c r="B1457" t="s">
        <v>3583</v>
      </c>
      <c r="C1457">
        <v>0</v>
      </c>
      <c r="D1457" t="s">
        <v>194</v>
      </c>
      <c r="E1457">
        <v>0</v>
      </c>
      <c r="F1457" t="s">
        <v>214</v>
      </c>
      <c r="G1457" t="s">
        <v>78</v>
      </c>
      <c r="H1457" t="s">
        <v>79</v>
      </c>
      <c r="I1457" t="s">
        <v>80</v>
      </c>
      <c r="J1457" t="s">
        <v>196</v>
      </c>
      <c r="K1457" t="s">
        <v>13</v>
      </c>
      <c r="L1457" t="s">
        <v>83</v>
      </c>
      <c r="M1457" t="s">
        <v>215</v>
      </c>
      <c r="N1457">
        <v>1</v>
      </c>
      <c r="O1457" t="b">
        <v>1</v>
      </c>
      <c r="P1457">
        <v>0</v>
      </c>
      <c r="BB1457">
        <v>0</v>
      </c>
      <c r="BC1457" t="s">
        <v>197</v>
      </c>
      <c r="BD1457" t="s">
        <v>216</v>
      </c>
      <c r="BE1457" t="s">
        <v>117</v>
      </c>
      <c r="BF1457">
        <v>0</v>
      </c>
      <c r="BG1457">
        <v>0</v>
      </c>
      <c r="BH1457">
        <v>0</v>
      </c>
    </row>
    <row r="1458" spans="1:61">
      <c r="A1458" s="164" t="s">
        <v>3584</v>
      </c>
      <c r="B1458" t="s">
        <v>3585</v>
      </c>
      <c r="C1458">
        <v>0</v>
      </c>
      <c r="D1458" t="s">
        <v>194</v>
      </c>
      <c r="E1458">
        <v>0</v>
      </c>
      <c r="F1458" t="s">
        <v>214</v>
      </c>
      <c r="G1458" t="s">
        <v>78</v>
      </c>
      <c r="H1458" t="s">
        <v>79</v>
      </c>
      <c r="I1458" t="s">
        <v>80</v>
      </c>
      <c r="J1458" t="s">
        <v>196</v>
      </c>
      <c r="K1458" t="s">
        <v>13</v>
      </c>
      <c r="L1458" t="s">
        <v>83</v>
      </c>
      <c r="M1458" t="s">
        <v>215</v>
      </c>
      <c r="N1458">
        <v>1</v>
      </c>
      <c r="O1458" t="b">
        <v>1</v>
      </c>
      <c r="P1458">
        <v>0</v>
      </c>
      <c r="BB1458">
        <v>0</v>
      </c>
      <c r="BC1458" t="s">
        <v>197</v>
      </c>
      <c r="BD1458" t="s">
        <v>216</v>
      </c>
      <c r="BE1458" t="s">
        <v>117</v>
      </c>
      <c r="BF1458">
        <v>0</v>
      </c>
      <c r="BG1458">
        <v>0</v>
      </c>
      <c r="BH1458">
        <v>0</v>
      </c>
    </row>
    <row r="1459" spans="1:61">
      <c r="A1459" s="164" t="s">
        <v>3586</v>
      </c>
      <c r="B1459" t="s">
        <v>3587</v>
      </c>
      <c r="C1459">
        <v>0</v>
      </c>
      <c r="D1459" t="s">
        <v>194</v>
      </c>
      <c r="E1459">
        <v>0</v>
      </c>
      <c r="F1459" t="s">
        <v>214</v>
      </c>
      <c r="G1459" t="s">
        <v>78</v>
      </c>
      <c r="H1459" t="s">
        <v>79</v>
      </c>
      <c r="I1459" t="s">
        <v>80</v>
      </c>
      <c r="J1459" t="s">
        <v>196</v>
      </c>
      <c r="K1459" t="s">
        <v>13</v>
      </c>
      <c r="L1459" t="s">
        <v>83</v>
      </c>
      <c r="M1459" t="s">
        <v>84</v>
      </c>
      <c r="N1459">
        <v>1</v>
      </c>
      <c r="O1459" t="b">
        <v>1</v>
      </c>
      <c r="P1459">
        <v>0</v>
      </c>
      <c r="BB1459">
        <v>0</v>
      </c>
      <c r="BC1459" t="s">
        <v>197</v>
      </c>
      <c r="BD1459" t="s">
        <v>216</v>
      </c>
      <c r="BE1459" t="s">
        <v>117</v>
      </c>
      <c r="BF1459">
        <v>0</v>
      </c>
      <c r="BG1459">
        <v>0</v>
      </c>
      <c r="BH1459">
        <v>0</v>
      </c>
    </row>
    <row r="1460" spans="1:61">
      <c r="A1460" s="164" t="s">
        <v>3588</v>
      </c>
      <c r="B1460" t="s">
        <v>3589</v>
      </c>
      <c r="C1460">
        <v>0</v>
      </c>
      <c r="D1460" t="s">
        <v>194</v>
      </c>
      <c r="E1460">
        <v>0</v>
      </c>
      <c r="F1460" t="s">
        <v>195</v>
      </c>
      <c r="G1460" t="s">
        <v>78</v>
      </c>
      <c r="H1460" t="s">
        <v>79</v>
      </c>
      <c r="I1460" t="s">
        <v>80</v>
      </c>
      <c r="J1460" t="s">
        <v>196</v>
      </c>
      <c r="K1460" t="s">
        <v>13</v>
      </c>
      <c r="L1460" t="s">
        <v>83</v>
      </c>
      <c r="M1460" t="s">
        <v>84</v>
      </c>
      <c r="N1460">
        <v>1</v>
      </c>
      <c r="O1460" t="b">
        <v>1</v>
      </c>
      <c r="P1460">
        <v>0</v>
      </c>
      <c r="BB1460">
        <v>0</v>
      </c>
      <c r="BC1460" t="s">
        <v>197</v>
      </c>
      <c r="BD1460" t="s">
        <v>198</v>
      </c>
      <c r="BE1460" t="s">
        <v>117</v>
      </c>
      <c r="BF1460">
        <v>0</v>
      </c>
      <c r="BG1460">
        <v>0</v>
      </c>
      <c r="BH1460">
        <v>0</v>
      </c>
    </row>
    <row r="1461" spans="1:61">
      <c r="A1461" s="164" t="s">
        <v>3590</v>
      </c>
      <c r="B1461" t="s">
        <v>3591</v>
      </c>
      <c r="C1461">
        <v>0</v>
      </c>
      <c r="D1461" t="s">
        <v>194</v>
      </c>
      <c r="E1461">
        <v>0</v>
      </c>
      <c r="F1461" t="s">
        <v>214</v>
      </c>
      <c r="G1461" t="s">
        <v>78</v>
      </c>
      <c r="H1461" t="s">
        <v>79</v>
      </c>
      <c r="I1461" t="s">
        <v>80</v>
      </c>
      <c r="J1461" t="s">
        <v>196</v>
      </c>
      <c r="K1461" t="s">
        <v>13</v>
      </c>
      <c r="L1461" t="s">
        <v>83</v>
      </c>
      <c r="M1461" t="s">
        <v>215</v>
      </c>
      <c r="N1461">
        <v>1</v>
      </c>
      <c r="O1461" t="b">
        <v>1</v>
      </c>
      <c r="P1461">
        <v>0</v>
      </c>
      <c r="BB1461">
        <v>0</v>
      </c>
      <c r="BC1461" t="s">
        <v>197</v>
      </c>
      <c r="BD1461" t="s">
        <v>216</v>
      </c>
      <c r="BE1461" t="s">
        <v>117</v>
      </c>
      <c r="BF1461">
        <v>0</v>
      </c>
      <c r="BG1461">
        <v>0</v>
      </c>
      <c r="BH1461">
        <v>0</v>
      </c>
    </row>
    <row r="1462" spans="1:61">
      <c r="A1462" s="164" t="s">
        <v>3592</v>
      </c>
      <c r="B1462" t="s">
        <v>3593</v>
      </c>
      <c r="C1462">
        <v>0</v>
      </c>
      <c r="D1462" t="s">
        <v>194</v>
      </c>
      <c r="E1462">
        <v>0</v>
      </c>
      <c r="F1462" t="s">
        <v>214</v>
      </c>
      <c r="G1462" t="s">
        <v>78</v>
      </c>
      <c r="H1462" t="s">
        <v>79</v>
      </c>
      <c r="I1462" t="s">
        <v>80</v>
      </c>
      <c r="J1462" t="s">
        <v>196</v>
      </c>
      <c r="K1462" t="s">
        <v>13</v>
      </c>
      <c r="L1462" t="s">
        <v>83</v>
      </c>
      <c r="M1462" t="s">
        <v>84</v>
      </c>
      <c r="N1462">
        <v>1</v>
      </c>
      <c r="O1462" t="b">
        <v>1</v>
      </c>
      <c r="P1462">
        <v>0</v>
      </c>
      <c r="BB1462">
        <v>0</v>
      </c>
      <c r="BC1462" t="s">
        <v>197</v>
      </c>
      <c r="BD1462" t="s">
        <v>216</v>
      </c>
      <c r="BE1462" t="s">
        <v>117</v>
      </c>
      <c r="BF1462">
        <v>0</v>
      </c>
      <c r="BG1462">
        <v>0</v>
      </c>
      <c r="BH1462">
        <v>0</v>
      </c>
    </row>
    <row r="1463" spans="1:61">
      <c r="A1463" s="164" t="s">
        <v>3594</v>
      </c>
      <c r="B1463" t="s">
        <v>3595</v>
      </c>
      <c r="C1463">
        <v>0</v>
      </c>
      <c r="D1463" t="s">
        <v>107</v>
      </c>
      <c r="E1463">
        <v>0</v>
      </c>
      <c r="F1463" t="s">
        <v>108</v>
      </c>
      <c r="G1463" t="s">
        <v>78</v>
      </c>
      <c r="H1463" t="s">
        <v>79</v>
      </c>
      <c r="I1463" t="s">
        <v>80</v>
      </c>
      <c r="J1463" t="s">
        <v>81</v>
      </c>
      <c r="K1463" t="s">
        <v>82</v>
      </c>
      <c r="L1463" t="s">
        <v>83</v>
      </c>
      <c r="M1463" t="s">
        <v>84</v>
      </c>
      <c r="N1463">
        <v>0.9</v>
      </c>
      <c r="O1463" t="b">
        <v>1</v>
      </c>
      <c r="P1463">
        <v>45</v>
      </c>
      <c r="Q1463" t="s">
        <v>85</v>
      </c>
      <c r="R1463" t="s">
        <v>86</v>
      </c>
      <c r="S1463">
        <v>0.9</v>
      </c>
      <c r="T1463">
        <v>1</v>
      </c>
      <c r="U1463" s="36">
        <v>0.63853000000000004</v>
      </c>
      <c r="V1463" t="s">
        <v>87</v>
      </c>
      <c r="W1463">
        <v>34</v>
      </c>
      <c r="X1463">
        <v>0.62562499999999999</v>
      </c>
      <c r="Y1463">
        <v>15</v>
      </c>
      <c r="Z1463">
        <v>6.6666666666666666E-2</v>
      </c>
      <c r="AA1463">
        <v>60</v>
      </c>
      <c r="AB1463">
        <v>0</v>
      </c>
      <c r="AC1463">
        <v>500</v>
      </c>
      <c r="AD1463">
        <v>555.55555555555554</v>
      </c>
      <c r="AE1463" t="s">
        <v>112</v>
      </c>
      <c r="AF1463" t="s">
        <v>1117</v>
      </c>
      <c r="AG1463" t="s">
        <v>114</v>
      </c>
      <c r="AH1463">
        <v>0</v>
      </c>
      <c r="AI1463">
        <v>0.6</v>
      </c>
      <c r="AJ1463" t="s">
        <v>91</v>
      </c>
      <c r="AK1463" t="s">
        <v>92</v>
      </c>
      <c r="AL1463" t="s">
        <v>93</v>
      </c>
      <c r="AM1463">
        <v>0.34043629629629629</v>
      </c>
      <c r="AN1463">
        <v>0.22695753086419751</v>
      </c>
      <c r="AO1463">
        <v>0.35178417283950614</v>
      </c>
      <c r="AP1463">
        <v>0</v>
      </c>
      <c r="AQ1463">
        <v>8.6691086691086688E-2</v>
      </c>
      <c r="AR1463">
        <v>2.6666666666666505E-3</v>
      </c>
      <c r="AS1463">
        <v>0</v>
      </c>
      <c r="AT1463">
        <v>1.0866910866910866</v>
      </c>
      <c r="AU1463">
        <v>1.0026666666666666</v>
      </c>
      <c r="AV1463">
        <v>1</v>
      </c>
      <c r="AW1463">
        <v>0</v>
      </c>
      <c r="AX1463" t="s">
        <v>3596</v>
      </c>
      <c r="AY1463">
        <v>5.34</v>
      </c>
      <c r="AZ1463">
        <v>0</v>
      </c>
      <c r="BA1463" t="s">
        <v>94</v>
      </c>
      <c r="BB1463">
        <v>1.21</v>
      </c>
      <c r="BC1463" t="s">
        <v>95</v>
      </c>
      <c r="BD1463" t="s">
        <v>96</v>
      </c>
      <c r="BE1463" t="s">
        <v>97</v>
      </c>
      <c r="BF1463">
        <v>1</v>
      </c>
      <c r="BG1463">
        <v>0</v>
      </c>
      <c r="BH1463">
        <v>0</v>
      </c>
      <c r="BI1463" t="s">
        <v>98</v>
      </c>
    </row>
    <row r="1464" spans="1:61">
      <c r="A1464" s="164" t="s">
        <v>3597</v>
      </c>
      <c r="B1464" t="s">
        <v>3598</v>
      </c>
      <c r="C1464">
        <v>0</v>
      </c>
      <c r="D1464" t="s">
        <v>101</v>
      </c>
      <c r="F1464" t="s">
        <v>512</v>
      </c>
      <c r="G1464" t="s">
        <v>78</v>
      </c>
      <c r="H1464" t="s">
        <v>79</v>
      </c>
      <c r="I1464" t="s">
        <v>80</v>
      </c>
      <c r="J1464" t="s">
        <v>81</v>
      </c>
      <c r="K1464" t="s">
        <v>82</v>
      </c>
      <c r="L1464" t="s">
        <v>83</v>
      </c>
      <c r="M1464" t="s">
        <v>84</v>
      </c>
      <c r="N1464">
        <v>0.105</v>
      </c>
      <c r="O1464" t="b">
        <v>1</v>
      </c>
      <c r="P1464">
        <v>45</v>
      </c>
      <c r="Q1464" t="s">
        <v>85</v>
      </c>
      <c r="R1464" t="s">
        <v>86</v>
      </c>
      <c r="S1464">
        <v>0.1</v>
      </c>
      <c r="T1464">
        <v>0.87719298245614041</v>
      </c>
      <c r="U1464" s="36">
        <v>0.25944499999999998</v>
      </c>
      <c r="V1464" t="s">
        <v>87</v>
      </c>
      <c r="W1464">
        <v>150</v>
      </c>
      <c r="X1464">
        <v>0.45</v>
      </c>
      <c r="Y1464">
        <v>65</v>
      </c>
      <c r="Z1464">
        <v>1.2500000000000001E-2</v>
      </c>
      <c r="AA1464">
        <v>30</v>
      </c>
      <c r="AB1464">
        <v>0</v>
      </c>
      <c r="AC1464">
        <v>500</v>
      </c>
      <c r="AD1464">
        <v>5000</v>
      </c>
      <c r="AE1464" t="s">
        <v>88</v>
      </c>
      <c r="AF1464" t="s">
        <v>513</v>
      </c>
      <c r="AG1464" t="s">
        <v>514</v>
      </c>
      <c r="AH1464">
        <v>0</v>
      </c>
      <c r="AI1464">
        <v>0</v>
      </c>
      <c r="AJ1464" t="s">
        <v>91</v>
      </c>
      <c r="AK1464" t="s">
        <v>92</v>
      </c>
      <c r="AL1464" t="s">
        <v>93</v>
      </c>
      <c r="AM1464">
        <v>0.33631111111111106</v>
      </c>
      <c r="AN1464">
        <v>0.22420740740740738</v>
      </c>
      <c r="AO1464">
        <v>0.34752148148148143</v>
      </c>
      <c r="AP1464">
        <v>0</v>
      </c>
      <c r="AQ1464">
        <v>8.6691086691086688E-2</v>
      </c>
      <c r="AR1464">
        <v>2.6666666666666505E-3</v>
      </c>
      <c r="AS1464">
        <v>0</v>
      </c>
      <c r="AT1464">
        <v>1.0866910866910866</v>
      </c>
      <c r="AU1464">
        <v>1.0026666666666666</v>
      </c>
      <c r="AV1464">
        <v>1</v>
      </c>
      <c r="AW1464">
        <v>0</v>
      </c>
      <c r="AY1464">
        <v>15.98</v>
      </c>
      <c r="AZ1464">
        <v>0</v>
      </c>
      <c r="BA1464" t="s">
        <v>94</v>
      </c>
      <c r="BB1464">
        <v>0</v>
      </c>
      <c r="BC1464" t="s">
        <v>95</v>
      </c>
      <c r="BD1464" t="s">
        <v>96</v>
      </c>
      <c r="BE1464" t="s">
        <v>97</v>
      </c>
      <c r="BF1464">
        <v>1</v>
      </c>
      <c r="BG1464">
        <v>0</v>
      </c>
      <c r="BH1464">
        <v>0</v>
      </c>
      <c r="BI1464" t="s">
        <v>98</v>
      </c>
    </row>
    <row r="1465" spans="1:61">
      <c r="A1465" s="164" t="s">
        <v>3599</v>
      </c>
      <c r="B1465" t="s">
        <v>3600</v>
      </c>
      <c r="C1465">
        <v>0</v>
      </c>
      <c r="D1465" t="s">
        <v>101</v>
      </c>
      <c r="F1465" t="s">
        <v>512</v>
      </c>
      <c r="G1465" t="s">
        <v>78</v>
      </c>
      <c r="H1465" t="s">
        <v>79</v>
      </c>
      <c r="I1465" t="s">
        <v>80</v>
      </c>
      <c r="J1465" t="s">
        <v>81</v>
      </c>
      <c r="K1465" t="s">
        <v>82</v>
      </c>
      <c r="L1465" t="s">
        <v>83</v>
      </c>
      <c r="M1465" t="s">
        <v>84</v>
      </c>
      <c r="N1465">
        <v>8.7999999999999995E-2</v>
      </c>
      <c r="O1465" t="b">
        <v>1</v>
      </c>
      <c r="P1465">
        <v>45</v>
      </c>
      <c r="Q1465" t="s">
        <v>85</v>
      </c>
      <c r="R1465" t="s">
        <v>86</v>
      </c>
      <c r="S1465">
        <v>0.1</v>
      </c>
      <c r="T1465">
        <v>0.87719298245614041</v>
      </c>
      <c r="U1465" s="36">
        <v>0.22021000000000002</v>
      </c>
      <c r="V1465" t="s">
        <v>87</v>
      </c>
      <c r="W1465">
        <v>150</v>
      </c>
      <c r="X1465">
        <v>0.45</v>
      </c>
      <c r="Y1465">
        <v>65</v>
      </c>
      <c r="Z1465">
        <v>1.2500000000000001E-2</v>
      </c>
      <c r="AA1465">
        <v>30</v>
      </c>
      <c r="AB1465">
        <v>0</v>
      </c>
      <c r="AC1465">
        <v>500</v>
      </c>
      <c r="AD1465">
        <v>5000</v>
      </c>
      <c r="AE1465" t="s">
        <v>88</v>
      </c>
      <c r="AF1465" t="s">
        <v>513</v>
      </c>
      <c r="AG1465" t="s">
        <v>514</v>
      </c>
      <c r="AH1465">
        <v>0</v>
      </c>
      <c r="AI1465">
        <v>0</v>
      </c>
      <c r="AJ1465" t="s">
        <v>91</v>
      </c>
      <c r="AK1465" t="s">
        <v>92</v>
      </c>
      <c r="AL1465" t="s">
        <v>93</v>
      </c>
      <c r="AM1465">
        <v>0.33631111111111106</v>
      </c>
      <c r="AN1465">
        <v>0.22420740740740738</v>
      </c>
      <c r="AO1465">
        <v>0.34752148148148143</v>
      </c>
      <c r="AP1465">
        <v>0</v>
      </c>
      <c r="AQ1465">
        <v>8.6691086691086688E-2</v>
      </c>
      <c r="AR1465">
        <v>2.6666666666666505E-3</v>
      </c>
      <c r="AS1465">
        <v>0</v>
      </c>
      <c r="AT1465">
        <v>1.0866910866910866</v>
      </c>
      <c r="AU1465">
        <v>1.0026666666666666</v>
      </c>
      <c r="AV1465">
        <v>1</v>
      </c>
      <c r="AW1465">
        <v>0</v>
      </c>
      <c r="AY1465">
        <v>15.98</v>
      </c>
      <c r="AZ1465">
        <v>0</v>
      </c>
      <c r="BA1465" t="s">
        <v>94</v>
      </c>
      <c r="BB1465">
        <v>0</v>
      </c>
      <c r="BC1465" t="s">
        <v>95</v>
      </c>
      <c r="BD1465" t="s">
        <v>96</v>
      </c>
      <c r="BE1465" t="s">
        <v>97</v>
      </c>
      <c r="BF1465">
        <v>1</v>
      </c>
      <c r="BG1465">
        <v>0</v>
      </c>
      <c r="BH1465">
        <v>0</v>
      </c>
      <c r="BI1465" t="s">
        <v>98</v>
      </c>
    </row>
    <row r="1466" spans="1:61">
      <c r="A1466" s="164" t="s">
        <v>3601</v>
      </c>
      <c r="B1466" t="s">
        <v>3602</v>
      </c>
      <c r="C1466">
        <v>0</v>
      </c>
      <c r="D1466" t="s">
        <v>76</v>
      </c>
      <c r="E1466">
        <v>0</v>
      </c>
      <c r="F1466" t="s">
        <v>77</v>
      </c>
      <c r="G1466" t="s">
        <v>78</v>
      </c>
      <c r="H1466" t="s">
        <v>79</v>
      </c>
      <c r="I1466" t="s">
        <v>80</v>
      </c>
      <c r="J1466" t="s">
        <v>81</v>
      </c>
      <c r="K1466" t="s">
        <v>82</v>
      </c>
      <c r="L1466" t="s">
        <v>83</v>
      </c>
      <c r="M1466" t="s">
        <v>84</v>
      </c>
      <c r="N1466">
        <v>0.16500000000000001</v>
      </c>
      <c r="O1466" t="b">
        <v>1</v>
      </c>
      <c r="P1466">
        <v>45</v>
      </c>
      <c r="Q1466" t="s">
        <v>85</v>
      </c>
      <c r="R1466" t="s">
        <v>86</v>
      </c>
      <c r="S1466">
        <v>0.14499999999999999</v>
      </c>
      <c r="T1466">
        <v>0.87878787878787867</v>
      </c>
      <c r="U1466" s="36">
        <v>0.36751</v>
      </c>
      <c r="V1466" t="s">
        <v>87</v>
      </c>
      <c r="W1466">
        <v>150</v>
      </c>
      <c r="X1466">
        <v>0.45</v>
      </c>
      <c r="Y1466">
        <v>60</v>
      </c>
      <c r="Z1466">
        <v>1.6666666666666666E-2</v>
      </c>
      <c r="AA1466">
        <v>30</v>
      </c>
      <c r="AB1466">
        <v>0</v>
      </c>
      <c r="AC1466">
        <v>500</v>
      </c>
      <c r="AD1466">
        <v>3448.2758620689656</v>
      </c>
      <c r="AE1466" t="s">
        <v>88</v>
      </c>
      <c r="AF1466" t="s">
        <v>89</v>
      </c>
      <c r="AG1466" t="s">
        <v>90</v>
      </c>
      <c r="AH1466">
        <v>0</v>
      </c>
      <c r="AI1466">
        <v>1</v>
      </c>
      <c r="AJ1466" t="s">
        <v>91</v>
      </c>
      <c r="AK1466" t="s">
        <v>92</v>
      </c>
      <c r="AL1466" t="s">
        <v>93</v>
      </c>
      <c r="AM1466">
        <v>0.33631111111111106</v>
      </c>
      <c r="AN1466">
        <v>0.22420740740740738</v>
      </c>
      <c r="AO1466">
        <v>0.34752148148148143</v>
      </c>
      <c r="AP1466">
        <v>0</v>
      </c>
      <c r="AQ1466">
        <v>8.6691086691086688E-2</v>
      </c>
      <c r="AR1466">
        <v>2.6666666666666505E-3</v>
      </c>
      <c r="AS1466">
        <v>0</v>
      </c>
      <c r="AT1466">
        <v>1.0866910866910866</v>
      </c>
      <c r="AU1466">
        <v>1.0026666666666666</v>
      </c>
      <c r="AV1466">
        <v>1</v>
      </c>
      <c r="AW1466">
        <v>0</v>
      </c>
      <c r="AZ1466">
        <v>0</v>
      </c>
      <c r="BA1466" t="s">
        <v>94</v>
      </c>
      <c r="BB1466">
        <v>0.77</v>
      </c>
      <c r="BC1466" t="s">
        <v>95</v>
      </c>
      <c r="BD1466" t="s">
        <v>96</v>
      </c>
      <c r="BE1466" t="s">
        <v>97</v>
      </c>
      <c r="BF1466">
        <v>1</v>
      </c>
      <c r="BG1466">
        <v>0</v>
      </c>
      <c r="BH1466">
        <v>0</v>
      </c>
      <c r="BI1466" t="s">
        <v>98</v>
      </c>
    </row>
    <row r="1467" spans="1:61">
      <c r="A1467" s="164" t="s">
        <v>3603</v>
      </c>
      <c r="B1467" t="s">
        <v>3604</v>
      </c>
      <c r="C1467">
        <v>0</v>
      </c>
      <c r="D1467" t="s">
        <v>486</v>
      </c>
      <c r="E1467">
        <v>0</v>
      </c>
      <c r="F1467" t="s">
        <v>2204</v>
      </c>
      <c r="G1467" t="s">
        <v>78</v>
      </c>
      <c r="H1467" t="s">
        <v>79</v>
      </c>
      <c r="I1467" t="s">
        <v>80</v>
      </c>
      <c r="J1467" t="s">
        <v>163</v>
      </c>
      <c r="K1467" t="s">
        <v>82</v>
      </c>
      <c r="L1467" t="s">
        <v>83</v>
      </c>
      <c r="M1467" t="s">
        <v>84</v>
      </c>
      <c r="N1467">
        <v>0.4</v>
      </c>
      <c r="O1467" t="b">
        <v>1</v>
      </c>
      <c r="P1467">
        <v>60</v>
      </c>
      <c r="Q1467" t="s">
        <v>137</v>
      </c>
      <c r="U1467" s="36">
        <v>2.599545</v>
      </c>
      <c r="V1467" t="s">
        <v>165</v>
      </c>
      <c r="X1467">
        <v>0</v>
      </c>
      <c r="Y1467">
        <v>36</v>
      </c>
      <c r="Z1467">
        <v>0</v>
      </c>
      <c r="AA1467">
        <v>35</v>
      </c>
      <c r="AB1467">
        <v>0</v>
      </c>
      <c r="AC1467">
        <v>0</v>
      </c>
      <c r="AE1467" t="s">
        <v>129</v>
      </c>
      <c r="AF1467" t="s">
        <v>2204</v>
      </c>
      <c r="AH1467">
        <v>0</v>
      </c>
      <c r="AI1467">
        <v>10.199999999999999</v>
      </c>
      <c r="AX1467" t="s">
        <v>3605</v>
      </c>
      <c r="AY1467">
        <v>0</v>
      </c>
      <c r="AZ1467">
        <v>7</v>
      </c>
      <c r="BA1467" t="s">
        <v>138</v>
      </c>
      <c r="BB1467">
        <v>6.32</v>
      </c>
      <c r="BC1467" t="s">
        <v>95</v>
      </c>
      <c r="BD1467" t="s">
        <v>96</v>
      </c>
      <c r="BE1467" t="s">
        <v>97</v>
      </c>
      <c r="BF1467">
        <v>1</v>
      </c>
      <c r="BG1467">
        <v>0</v>
      </c>
      <c r="BH1467">
        <v>0</v>
      </c>
      <c r="BI1467" t="s">
        <v>98</v>
      </c>
    </row>
    <row r="1468" spans="1:61">
      <c r="A1468" s="164" t="s">
        <v>3606</v>
      </c>
      <c r="B1468" t="s">
        <v>3607</v>
      </c>
      <c r="C1468">
        <v>0</v>
      </c>
      <c r="D1468" t="s">
        <v>486</v>
      </c>
      <c r="E1468">
        <v>0</v>
      </c>
      <c r="F1468" t="s">
        <v>738</v>
      </c>
      <c r="G1468" t="s">
        <v>78</v>
      </c>
      <c r="H1468" t="s">
        <v>79</v>
      </c>
      <c r="I1468" t="s">
        <v>80</v>
      </c>
      <c r="J1468" t="s">
        <v>163</v>
      </c>
      <c r="K1468" t="s">
        <v>82</v>
      </c>
      <c r="L1468" t="s">
        <v>83</v>
      </c>
      <c r="M1468" t="s">
        <v>84</v>
      </c>
      <c r="N1468">
        <v>0.4</v>
      </c>
      <c r="O1468" t="b">
        <v>1</v>
      </c>
      <c r="P1468">
        <v>90</v>
      </c>
      <c r="Q1468" t="s">
        <v>137</v>
      </c>
      <c r="S1468">
        <v>0</v>
      </c>
      <c r="T1468">
        <v>1</v>
      </c>
      <c r="U1468" s="36">
        <v>3.6822549999999996</v>
      </c>
      <c r="V1468" t="s">
        <v>165</v>
      </c>
      <c r="X1468">
        <v>0</v>
      </c>
      <c r="Y1468">
        <v>36</v>
      </c>
      <c r="Z1468">
        <v>2.7777777777777776E-2</v>
      </c>
      <c r="AA1468">
        <v>35</v>
      </c>
      <c r="AB1468">
        <v>0</v>
      </c>
      <c r="AC1468">
        <v>0</v>
      </c>
      <c r="AE1468" t="s">
        <v>129</v>
      </c>
      <c r="AF1468" t="s">
        <v>738</v>
      </c>
      <c r="AG1468" t="s">
        <v>129</v>
      </c>
      <c r="AH1468">
        <v>0</v>
      </c>
      <c r="AI1468">
        <v>9.8000000000000007</v>
      </c>
      <c r="AJ1468" t="s">
        <v>167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 t="s">
        <v>3608</v>
      </c>
      <c r="AY1468">
        <v>0</v>
      </c>
      <c r="AZ1468">
        <v>3</v>
      </c>
      <c r="BA1468" t="s">
        <v>138</v>
      </c>
      <c r="BB1468">
        <v>6.41</v>
      </c>
      <c r="BC1468" t="s">
        <v>95</v>
      </c>
      <c r="BD1468" t="s">
        <v>96</v>
      </c>
      <c r="BE1468" t="s">
        <v>97</v>
      </c>
      <c r="BF1468">
        <v>1</v>
      </c>
      <c r="BG1468">
        <v>0</v>
      </c>
      <c r="BH1468">
        <v>0</v>
      </c>
      <c r="BI1468" t="s">
        <v>98</v>
      </c>
    </row>
    <row r="1469" spans="1:61">
      <c r="A1469" s="164" t="s">
        <v>3609</v>
      </c>
      <c r="B1469" t="s">
        <v>3610</v>
      </c>
      <c r="C1469">
        <v>0</v>
      </c>
      <c r="D1469" t="s">
        <v>101</v>
      </c>
      <c r="E1469">
        <v>0</v>
      </c>
      <c r="F1469" t="s">
        <v>102</v>
      </c>
      <c r="G1469" t="s">
        <v>103</v>
      </c>
      <c r="H1469" t="s">
        <v>104</v>
      </c>
      <c r="I1469" t="s">
        <v>80</v>
      </c>
      <c r="J1469" t="s">
        <v>81</v>
      </c>
      <c r="K1469" t="s">
        <v>82</v>
      </c>
      <c r="L1469" t="s">
        <v>83</v>
      </c>
      <c r="M1469" t="s">
        <v>84</v>
      </c>
      <c r="N1469">
        <v>0.16500000000000001</v>
      </c>
      <c r="O1469" t="b">
        <v>1</v>
      </c>
      <c r="P1469">
        <v>45</v>
      </c>
      <c r="Q1469" t="s">
        <v>85</v>
      </c>
      <c r="R1469" t="s">
        <v>86</v>
      </c>
      <c r="S1469">
        <v>0.16500000000000001</v>
      </c>
      <c r="T1469">
        <v>0.87878787878787867</v>
      </c>
      <c r="U1469" s="36">
        <v>0.31025999999999998</v>
      </c>
      <c r="V1469" t="s">
        <v>87</v>
      </c>
      <c r="W1469">
        <v>150</v>
      </c>
      <c r="X1469">
        <v>0.45</v>
      </c>
      <c r="Y1469">
        <v>60</v>
      </c>
      <c r="Z1469">
        <v>1.6666666666666666E-2</v>
      </c>
      <c r="AA1469">
        <v>30</v>
      </c>
      <c r="AB1469">
        <v>0</v>
      </c>
      <c r="AC1469">
        <v>500</v>
      </c>
      <c r="AD1469">
        <v>3448.2758620689656</v>
      </c>
      <c r="AE1469" t="s">
        <v>88</v>
      </c>
      <c r="AF1469" t="s">
        <v>513</v>
      </c>
      <c r="AG1469" t="s">
        <v>514</v>
      </c>
      <c r="AH1469">
        <v>0</v>
      </c>
      <c r="AI1469">
        <v>0.8</v>
      </c>
      <c r="AJ1469" t="s">
        <v>91</v>
      </c>
      <c r="AK1469" t="s">
        <v>92</v>
      </c>
      <c r="AL1469" t="s">
        <v>93</v>
      </c>
      <c r="AM1469">
        <v>0.33631111111111106</v>
      </c>
      <c r="AN1469">
        <v>0.22420740740740738</v>
      </c>
      <c r="AO1469">
        <v>0.34752148148148143</v>
      </c>
      <c r="AP1469">
        <v>0</v>
      </c>
      <c r="AQ1469">
        <v>8.6691086691086688E-2</v>
      </c>
      <c r="AR1469">
        <v>2.6666666666666505E-3</v>
      </c>
      <c r="AS1469">
        <v>0</v>
      </c>
      <c r="AT1469">
        <v>1.0866910866910866</v>
      </c>
      <c r="AU1469">
        <v>1.0026666666666666</v>
      </c>
      <c r="AV1469">
        <v>1</v>
      </c>
      <c r="AW1469">
        <v>0</v>
      </c>
      <c r="AX1469" t="s">
        <v>3611</v>
      </c>
      <c r="AY1469">
        <v>15.98</v>
      </c>
      <c r="AZ1469">
        <v>0</v>
      </c>
      <c r="BA1469" t="s">
        <v>94</v>
      </c>
      <c r="BB1469">
        <v>0.77</v>
      </c>
      <c r="BC1469" t="s">
        <v>95</v>
      </c>
      <c r="BD1469" t="s">
        <v>96</v>
      </c>
      <c r="BE1469" t="s">
        <v>97</v>
      </c>
      <c r="BF1469">
        <v>1</v>
      </c>
      <c r="BG1469">
        <v>0</v>
      </c>
      <c r="BH1469">
        <v>0</v>
      </c>
      <c r="BI1469" t="s">
        <v>98</v>
      </c>
    </row>
    <row r="1470" spans="1:61">
      <c r="A1470" s="164" t="s">
        <v>3612</v>
      </c>
      <c r="B1470" t="s">
        <v>3613</v>
      </c>
      <c r="C1470">
        <v>0</v>
      </c>
      <c r="D1470" t="s">
        <v>479</v>
      </c>
      <c r="E1470">
        <v>0</v>
      </c>
      <c r="F1470" t="s">
        <v>3614</v>
      </c>
      <c r="G1470" t="s">
        <v>103</v>
      </c>
      <c r="H1470" t="s">
        <v>104</v>
      </c>
      <c r="I1470" t="s">
        <v>80</v>
      </c>
      <c r="J1470" t="s">
        <v>81</v>
      </c>
      <c r="K1470" t="s">
        <v>468</v>
      </c>
      <c r="L1470" t="s">
        <v>111</v>
      </c>
      <c r="M1470" t="s">
        <v>84</v>
      </c>
      <c r="N1470">
        <v>0.51</v>
      </c>
      <c r="O1470" t="b">
        <v>0</v>
      </c>
      <c r="P1470">
        <v>90</v>
      </c>
      <c r="Q1470" t="s">
        <v>479</v>
      </c>
      <c r="S1470">
        <v>0</v>
      </c>
      <c r="T1470">
        <v>1</v>
      </c>
      <c r="V1470" t="s">
        <v>87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G1470" t="s">
        <v>129</v>
      </c>
      <c r="AH1470">
        <v>0</v>
      </c>
      <c r="AI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 t="s">
        <v>3615</v>
      </c>
      <c r="AY1470">
        <v>0</v>
      </c>
      <c r="AZ1470">
        <v>9</v>
      </c>
      <c r="BA1470" t="s">
        <v>138</v>
      </c>
      <c r="BB1470">
        <v>0</v>
      </c>
      <c r="BC1470" t="s">
        <v>95</v>
      </c>
      <c r="BD1470" t="s">
        <v>139</v>
      </c>
      <c r="BE1470" t="s">
        <v>97</v>
      </c>
      <c r="BF1470">
        <v>0</v>
      </c>
      <c r="BG1470">
        <v>0</v>
      </c>
      <c r="BH1470">
        <v>0</v>
      </c>
      <c r="BI1470" t="s">
        <v>98</v>
      </c>
    </row>
    <row r="1471" spans="1:61">
      <c r="A1471" s="164" t="s">
        <v>3616</v>
      </c>
      <c r="B1471" t="s">
        <v>3617</v>
      </c>
      <c r="C1471">
        <v>0</v>
      </c>
      <c r="D1471" t="s">
        <v>479</v>
      </c>
      <c r="E1471">
        <v>0</v>
      </c>
      <c r="F1471" t="s">
        <v>3614</v>
      </c>
      <c r="G1471" t="s">
        <v>103</v>
      </c>
      <c r="H1471" t="s">
        <v>104</v>
      </c>
      <c r="I1471" t="s">
        <v>80</v>
      </c>
      <c r="J1471" t="s">
        <v>81</v>
      </c>
      <c r="K1471" t="s">
        <v>468</v>
      </c>
      <c r="L1471" t="s">
        <v>111</v>
      </c>
      <c r="M1471" t="s">
        <v>84</v>
      </c>
      <c r="N1471">
        <v>0.51</v>
      </c>
      <c r="O1471" t="b">
        <v>0</v>
      </c>
      <c r="P1471">
        <v>90</v>
      </c>
      <c r="Q1471" t="s">
        <v>479</v>
      </c>
      <c r="S1471">
        <v>0</v>
      </c>
      <c r="T1471">
        <v>1</v>
      </c>
      <c r="U1471" s="36">
        <v>6.6822100000000004</v>
      </c>
      <c r="V1471" t="s">
        <v>87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G1471" t="s">
        <v>129</v>
      </c>
      <c r="AH1471">
        <v>0</v>
      </c>
      <c r="AI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 t="s">
        <v>3618</v>
      </c>
      <c r="AY1471">
        <v>0</v>
      </c>
      <c r="AZ1471">
        <v>7</v>
      </c>
      <c r="BA1471" t="s">
        <v>138</v>
      </c>
      <c r="BB1471">
        <v>0</v>
      </c>
      <c r="BC1471" t="s">
        <v>95</v>
      </c>
      <c r="BD1471" t="s">
        <v>139</v>
      </c>
      <c r="BE1471" t="s">
        <v>97</v>
      </c>
      <c r="BF1471">
        <v>0</v>
      </c>
      <c r="BG1471">
        <v>0</v>
      </c>
      <c r="BH1471">
        <v>0</v>
      </c>
      <c r="BI1471" t="s">
        <v>98</v>
      </c>
    </row>
    <row r="1472" spans="1:61">
      <c r="A1472" s="164" t="s">
        <v>3619</v>
      </c>
      <c r="B1472" t="s">
        <v>3620</v>
      </c>
      <c r="C1472">
        <v>0</v>
      </c>
      <c r="D1472" t="s">
        <v>175</v>
      </c>
      <c r="E1472">
        <v>0</v>
      </c>
      <c r="F1472" t="s">
        <v>508</v>
      </c>
      <c r="G1472" t="s">
        <v>78</v>
      </c>
      <c r="H1472" t="s">
        <v>79</v>
      </c>
      <c r="I1472" t="s">
        <v>80</v>
      </c>
      <c r="J1472" t="s">
        <v>163</v>
      </c>
      <c r="K1472" t="s">
        <v>82</v>
      </c>
      <c r="L1472" t="s">
        <v>83</v>
      </c>
      <c r="M1472" t="s">
        <v>84</v>
      </c>
      <c r="N1472">
        <v>0.35</v>
      </c>
      <c r="O1472" t="b">
        <v>1</v>
      </c>
      <c r="P1472">
        <v>40</v>
      </c>
      <c r="Q1472" t="s">
        <v>137</v>
      </c>
      <c r="R1472" t="s">
        <v>164</v>
      </c>
      <c r="S1472">
        <v>0.35</v>
      </c>
      <c r="T1472">
        <v>1</v>
      </c>
      <c r="U1472" s="36">
        <v>1.6586400000000001</v>
      </c>
      <c r="V1472" t="s">
        <v>165</v>
      </c>
      <c r="W1472">
        <v>55</v>
      </c>
      <c r="X1472">
        <v>0</v>
      </c>
      <c r="Y1472">
        <v>45</v>
      </c>
      <c r="Z1472">
        <v>0</v>
      </c>
      <c r="AA1472">
        <v>35</v>
      </c>
      <c r="AB1472">
        <v>0</v>
      </c>
      <c r="AC1472">
        <v>0</v>
      </c>
      <c r="AD1472">
        <v>2000</v>
      </c>
      <c r="AE1472" t="s">
        <v>166</v>
      </c>
      <c r="AF1472" t="s">
        <v>508</v>
      </c>
      <c r="AG1472" t="s">
        <v>129</v>
      </c>
      <c r="AH1472">
        <v>0</v>
      </c>
      <c r="AI1472">
        <v>7.8</v>
      </c>
      <c r="AJ1472" t="s">
        <v>167</v>
      </c>
      <c r="AM1472">
        <v>8.3000000000000007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 t="s">
        <v>3621</v>
      </c>
      <c r="AY1472">
        <v>4.2507999999999999</v>
      </c>
      <c r="AZ1472">
        <v>2</v>
      </c>
      <c r="BA1472" t="s">
        <v>138</v>
      </c>
      <c r="BB1472">
        <v>3.93</v>
      </c>
      <c r="BC1472" t="s">
        <v>95</v>
      </c>
      <c r="BD1472" t="s">
        <v>96</v>
      </c>
      <c r="BE1472" t="s">
        <v>97</v>
      </c>
      <c r="BF1472">
        <v>1</v>
      </c>
      <c r="BG1472">
        <v>0</v>
      </c>
      <c r="BH1472">
        <v>0</v>
      </c>
      <c r="BI1472" t="s">
        <v>98</v>
      </c>
    </row>
    <row r="1473" spans="1:61">
      <c r="A1473" s="164" t="s">
        <v>3622</v>
      </c>
      <c r="B1473" t="s">
        <v>3623</v>
      </c>
      <c r="C1473">
        <v>0</v>
      </c>
      <c r="D1473" t="s">
        <v>107</v>
      </c>
      <c r="E1473">
        <v>0</v>
      </c>
      <c r="F1473" t="s">
        <v>499</v>
      </c>
      <c r="G1473" t="s">
        <v>103</v>
      </c>
      <c r="H1473" t="s">
        <v>104</v>
      </c>
      <c r="I1473" t="s">
        <v>80</v>
      </c>
      <c r="J1473" t="s">
        <v>467</v>
      </c>
      <c r="K1473" t="s">
        <v>468</v>
      </c>
      <c r="L1473" t="s">
        <v>111</v>
      </c>
      <c r="M1473" t="s">
        <v>84</v>
      </c>
      <c r="N1473">
        <v>0.84</v>
      </c>
      <c r="O1473" t="b">
        <v>0</v>
      </c>
      <c r="P1473">
        <v>45</v>
      </c>
      <c r="Q1473" t="s">
        <v>85</v>
      </c>
      <c r="S1473">
        <v>0</v>
      </c>
      <c r="T1473">
        <v>1</v>
      </c>
      <c r="V1473" t="s">
        <v>87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G1473" t="s">
        <v>129</v>
      </c>
      <c r="AH1473">
        <v>0</v>
      </c>
      <c r="AI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Y1473">
        <v>0</v>
      </c>
      <c r="AZ1473">
        <v>0</v>
      </c>
      <c r="BA1473" t="s">
        <v>94</v>
      </c>
      <c r="BB1473">
        <v>0</v>
      </c>
      <c r="BC1473" t="s">
        <v>95</v>
      </c>
      <c r="BD1473" t="s">
        <v>469</v>
      </c>
      <c r="BE1473" t="s">
        <v>97</v>
      </c>
      <c r="BF1473">
        <v>0</v>
      </c>
      <c r="BG1473">
        <v>0</v>
      </c>
      <c r="BH1473">
        <v>0</v>
      </c>
      <c r="BI1473" t="s">
        <v>98</v>
      </c>
    </row>
    <row r="1474" spans="1:61">
      <c r="A1474" s="164" t="s">
        <v>3624</v>
      </c>
      <c r="B1474" t="s">
        <v>3625</v>
      </c>
      <c r="C1474">
        <v>0</v>
      </c>
      <c r="D1474" t="s">
        <v>175</v>
      </c>
      <c r="E1474">
        <v>0</v>
      </c>
      <c r="F1474" t="s">
        <v>758</v>
      </c>
      <c r="G1474" t="s">
        <v>103</v>
      </c>
      <c r="H1474" t="s">
        <v>104</v>
      </c>
      <c r="I1474" t="s">
        <v>80</v>
      </c>
      <c r="J1474" t="s">
        <v>109</v>
      </c>
      <c r="K1474" t="s">
        <v>110</v>
      </c>
      <c r="L1474" t="s">
        <v>111</v>
      </c>
      <c r="M1474" t="s">
        <v>84</v>
      </c>
      <c r="N1474">
        <v>1.8</v>
      </c>
      <c r="O1474" t="b">
        <v>0</v>
      </c>
      <c r="P1474">
        <v>40</v>
      </c>
      <c r="Q1474" t="s">
        <v>137</v>
      </c>
      <c r="S1474">
        <v>0</v>
      </c>
      <c r="T1474">
        <v>0</v>
      </c>
      <c r="V1474" t="s">
        <v>165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F1474" t="s">
        <v>759</v>
      </c>
      <c r="AH1474">
        <v>0</v>
      </c>
      <c r="AI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 t="s">
        <v>3626</v>
      </c>
      <c r="AY1474">
        <v>0</v>
      </c>
      <c r="AZ1474">
        <v>3</v>
      </c>
      <c r="BA1474" t="s">
        <v>138</v>
      </c>
      <c r="BB1474">
        <v>0</v>
      </c>
      <c r="BC1474" t="s">
        <v>115</v>
      </c>
      <c r="BD1474" t="s">
        <v>116</v>
      </c>
      <c r="BE1474" t="s">
        <v>117</v>
      </c>
      <c r="BF1474">
        <v>0</v>
      </c>
      <c r="BG1474">
        <v>0</v>
      </c>
      <c r="BH1474">
        <v>0</v>
      </c>
      <c r="BI1474" t="s">
        <v>98</v>
      </c>
    </row>
    <row r="1475" spans="1:61">
      <c r="A1475" s="164" t="s">
        <v>3627</v>
      </c>
      <c r="B1475" t="s">
        <v>3628</v>
      </c>
      <c r="C1475">
        <v>0</v>
      </c>
      <c r="D1475" t="s">
        <v>479</v>
      </c>
      <c r="E1475">
        <v>0</v>
      </c>
      <c r="F1475" t="s">
        <v>480</v>
      </c>
      <c r="G1475" t="s">
        <v>103</v>
      </c>
      <c r="H1475" t="s">
        <v>104</v>
      </c>
      <c r="I1475" t="s">
        <v>80</v>
      </c>
      <c r="J1475" t="s">
        <v>467</v>
      </c>
      <c r="K1475" t="s">
        <v>468</v>
      </c>
      <c r="L1475" t="s">
        <v>111</v>
      </c>
      <c r="M1475" t="s">
        <v>84</v>
      </c>
      <c r="N1475">
        <v>0.6</v>
      </c>
      <c r="O1475" t="b">
        <v>0</v>
      </c>
      <c r="P1475">
        <v>60</v>
      </c>
      <c r="Q1475" t="s">
        <v>479</v>
      </c>
      <c r="S1475">
        <v>0.6</v>
      </c>
      <c r="T1475">
        <v>1</v>
      </c>
      <c r="V1475" t="s">
        <v>165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H1475">
        <v>0</v>
      </c>
      <c r="AI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Y1475">
        <v>0</v>
      </c>
      <c r="AZ1475">
        <v>0</v>
      </c>
      <c r="BA1475" t="s">
        <v>138</v>
      </c>
      <c r="BB1475">
        <v>0</v>
      </c>
      <c r="BC1475" t="s">
        <v>95</v>
      </c>
      <c r="BD1475" t="s">
        <v>139</v>
      </c>
      <c r="BE1475" t="s">
        <v>97</v>
      </c>
      <c r="BF1475">
        <v>0</v>
      </c>
      <c r="BG1475">
        <v>0</v>
      </c>
      <c r="BH1475">
        <v>0</v>
      </c>
      <c r="BI1475" t="s">
        <v>98</v>
      </c>
    </row>
    <row r="1476" spans="1:61">
      <c r="A1476" s="164" t="s">
        <v>3629</v>
      </c>
      <c r="B1476" t="s">
        <v>3630</v>
      </c>
      <c r="C1476">
        <v>0</v>
      </c>
      <c r="D1476" t="s">
        <v>2563</v>
      </c>
      <c r="F1476" t="s">
        <v>3631</v>
      </c>
      <c r="G1476" t="s">
        <v>103</v>
      </c>
      <c r="H1476" t="s">
        <v>104</v>
      </c>
      <c r="I1476" t="s">
        <v>80</v>
      </c>
      <c r="J1476" t="s">
        <v>163</v>
      </c>
      <c r="K1476" t="s">
        <v>82</v>
      </c>
      <c r="L1476" t="s">
        <v>83</v>
      </c>
      <c r="M1476" t="s">
        <v>84</v>
      </c>
      <c r="O1476" t="b">
        <v>0</v>
      </c>
      <c r="Q1476" t="s">
        <v>137</v>
      </c>
      <c r="AE1476" t="s">
        <v>129</v>
      </c>
      <c r="AF1476" t="s">
        <v>3631</v>
      </c>
      <c r="AI1476">
        <v>0</v>
      </c>
      <c r="BB1476">
        <v>0</v>
      </c>
      <c r="BC1476" t="s">
        <v>95</v>
      </c>
      <c r="BD1476" t="s">
        <v>96</v>
      </c>
      <c r="BE1476" t="s">
        <v>97</v>
      </c>
      <c r="BF1476">
        <v>0</v>
      </c>
      <c r="BG1476">
        <v>0</v>
      </c>
      <c r="BH1476">
        <v>0</v>
      </c>
      <c r="BI1476" t="s">
        <v>98</v>
      </c>
    </row>
    <row r="1477" spans="1:61">
      <c r="A1477" s="164" t="s">
        <v>3632</v>
      </c>
      <c r="B1477" t="s">
        <v>3633</v>
      </c>
      <c r="C1477">
        <v>0</v>
      </c>
      <c r="D1477" t="s">
        <v>147</v>
      </c>
      <c r="E1477">
        <v>0</v>
      </c>
      <c r="F1477" t="s">
        <v>3634</v>
      </c>
      <c r="G1477" t="s">
        <v>78</v>
      </c>
      <c r="H1477" t="s">
        <v>79</v>
      </c>
      <c r="I1477" t="s">
        <v>80</v>
      </c>
      <c r="J1477" t="s">
        <v>81</v>
      </c>
      <c r="K1477" t="s">
        <v>82</v>
      </c>
      <c r="L1477" t="s">
        <v>83</v>
      </c>
      <c r="M1477" t="s">
        <v>84</v>
      </c>
      <c r="N1477">
        <v>1.75</v>
      </c>
      <c r="O1477" t="b">
        <v>1</v>
      </c>
      <c r="P1477">
        <v>45</v>
      </c>
      <c r="Q1477" t="s">
        <v>85</v>
      </c>
      <c r="R1477" t="s">
        <v>86</v>
      </c>
      <c r="S1477">
        <v>1.75</v>
      </c>
      <c r="T1477">
        <v>1</v>
      </c>
      <c r="U1477" s="36">
        <v>2.1685949999999998</v>
      </c>
      <c r="V1477" t="s">
        <v>87</v>
      </c>
      <c r="W1477">
        <v>24</v>
      </c>
      <c r="X1477">
        <v>0.45019999999999999</v>
      </c>
      <c r="Y1477">
        <v>12</v>
      </c>
      <c r="Z1477">
        <v>8.3333333333333329E-2</v>
      </c>
      <c r="AA1477">
        <v>30</v>
      </c>
      <c r="AB1477">
        <v>0</v>
      </c>
      <c r="AC1477">
        <v>515</v>
      </c>
      <c r="AD1477">
        <v>294.28571428571428</v>
      </c>
      <c r="AE1477" t="s">
        <v>155</v>
      </c>
      <c r="AF1477" t="s">
        <v>149</v>
      </c>
      <c r="AG1477" t="s">
        <v>150</v>
      </c>
      <c r="AH1477">
        <v>0</v>
      </c>
      <c r="AI1477">
        <v>1</v>
      </c>
      <c r="AJ1477" t="s">
        <v>91</v>
      </c>
      <c r="AK1477" t="s">
        <v>92</v>
      </c>
      <c r="AL1477" t="s">
        <v>93</v>
      </c>
      <c r="AM1477">
        <v>0.96764899999999998</v>
      </c>
      <c r="AN1477">
        <v>0</v>
      </c>
      <c r="AO1477">
        <v>0</v>
      </c>
      <c r="AP1477">
        <v>0</v>
      </c>
      <c r="AQ1477">
        <v>8.6691086691086688E-2</v>
      </c>
      <c r="AR1477">
        <v>2.6666666666666505E-3</v>
      </c>
      <c r="AS1477">
        <v>0</v>
      </c>
      <c r="AT1477">
        <v>1.0866910866910866</v>
      </c>
      <c r="AU1477">
        <v>1.0026666666666666</v>
      </c>
      <c r="AV1477">
        <v>1</v>
      </c>
      <c r="AW1477">
        <v>0</v>
      </c>
      <c r="AX1477" t="s">
        <v>3635</v>
      </c>
      <c r="AY1477">
        <v>83.4</v>
      </c>
      <c r="AZ1477">
        <v>9</v>
      </c>
      <c r="BA1477" t="s">
        <v>94</v>
      </c>
      <c r="BB1477">
        <v>5.09</v>
      </c>
      <c r="BC1477" t="s">
        <v>95</v>
      </c>
      <c r="BD1477" t="s">
        <v>96</v>
      </c>
      <c r="BE1477" t="s">
        <v>97</v>
      </c>
      <c r="BF1477">
        <v>1</v>
      </c>
      <c r="BG1477">
        <v>0</v>
      </c>
      <c r="BH1477">
        <v>0</v>
      </c>
      <c r="BI1477" t="s">
        <v>98</v>
      </c>
    </row>
    <row r="1478" spans="1:61">
      <c r="A1478" s="164" t="s">
        <v>3636</v>
      </c>
      <c r="B1478" t="s">
        <v>3637</v>
      </c>
      <c r="C1478">
        <v>0</v>
      </c>
      <c r="D1478" t="s">
        <v>194</v>
      </c>
      <c r="E1478">
        <v>0</v>
      </c>
      <c r="F1478" t="s">
        <v>214</v>
      </c>
      <c r="G1478" t="s">
        <v>78</v>
      </c>
      <c r="H1478" t="s">
        <v>79</v>
      </c>
      <c r="I1478" t="s">
        <v>80</v>
      </c>
      <c r="J1478" t="s">
        <v>196</v>
      </c>
      <c r="K1478" t="s">
        <v>13</v>
      </c>
      <c r="L1478" t="s">
        <v>83</v>
      </c>
      <c r="M1478" t="s">
        <v>215</v>
      </c>
      <c r="N1478">
        <v>1</v>
      </c>
      <c r="O1478" t="b">
        <v>1</v>
      </c>
      <c r="P1478">
        <v>0</v>
      </c>
      <c r="BB1478">
        <v>0</v>
      </c>
      <c r="BC1478" t="s">
        <v>197</v>
      </c>
      <c r="BD1478" t="s">
        <v>216</v>
      </c>
      <c r="BE1478" t="s">
        <v>117</v>
      </c>
      <c r="BF1478">
        <v>0</v>
      </c>
      <c r="BG1478">
        <v>0</v>
      </c>
      <c r="BH1478">
        <v>0</v>
      </c>
    </row>
    <row r="1479" spans="1:61">
      <c r="A1479" s="164" t="s">
        <v>3638</v>
      </c>
      <c r="B1479" t="s">
        <v>3639</v>
      </c>
      <c r="C1479">
        <v>0</v>
      </c>
      <c r="D1479" t="s">
        <v>194</v>
      </c>
      <c r="E1479">
        <v>0</v>
      </c>
      <c r="F1479" t="s">
        <v>195</v>
      </c>
      <c r="G1479" t="s">
        <v>78</v>
      </c>
      <c r="H1479" t="s">
        <v>79</v>
      </c>
      <c r="I1479" t="s">
        <v>80</v>
      </c>
      <c r="J1479" t="s">
        <v>196</v>
      </c>
      <c r="K1479" t="s">
        <v>13</v>
      </c>
      <c r="L1479" t="s">
        <v>83</v>
      </c>
      <c r="M1479" t="s">
        <v>84</v>
      </c>
      <c r="N1479">
        <v>1</v>
      </c>
      <c r="O1479" t="b">
        <v>1</v>
      </c>
      <c r="P1479">
        <v>0</v>
      </c>
      <c r="BB1479">
        <v>0</v>
      </c>
      <c r="BC1479" t="s">
        <v>197</v>
      </c>
      <c r="BD1479" t="s">
        <v>198</v>
      </c>
      <c r="BE1479" t="s">
        <v>117</v>
      </c>
      <c r="BF1479">
        <v>0</v>
      </c>
      <c r="BG1479">
        <v>0</v>
      </c>
      <c r="BH1479">
        <v>0</v>
      </c>
    </row>
    <row r="1480" spans="1:61">
      <c r="A1480" s="164" t="s">
        <v>3640</v>
      </c>
      <c r="B1480" t="s">
        <v>3641</v>
      </c>
      <c r="C1480">
        <v>0</v>
      </c>
      <c r="D1480" t="s">
        <v>194</v>
      </c>
      <c r="E1480">
        <v>0</v>
      </c>
      <c r="F1480" t="s">
        <v>195</v>
      </c>
      <c r="G1480" t="s">
        <v>78</v>
      </c>
      <c r="H1480" t="s">
        <v>79</v>
      </c>
      <c r="I1480" t="s">
        <v>80</v>
      </c>
      <c r="J1480" t="s">
        <v>196</v>
      </c>
      <c r="K1480" t="s">
        <v>13</v>
      </c>
      <c r="L1480" t="s">
        <v>83</v>
      </c>
      <c r="M1480" t="s">
        <v>84</v>
      </c>
      <c r="N1480">
        <v>1</v>
      </c>
      <c r="O1480" t="b">
        <v>1</v>
      </c>
      <c r="P1480">
        <v>0</v>
      </c>
      <c r="BB1480">
        <v>0</v>
      </c>
      <c r="BC1480" t="s">
        <v>197</v>
      </c>
      <c r="BD1480" t="s">
        <v>198</v>
      </c>
      <c r="BE1480" t="s">
        <v>117</v>
      </c>
      <c r="BF1480">
        <v>0</v>
      </c>
      <c r="BG1480">
        <v>0</v>
      </c>
      <c r="BH1480">
        <v>0</v>
      </c>
    </row>
    <row r="1481" spans="1:61">
      <c r="A1481" s="164" t="s">
        <v>3642</v>
      </c>
      <c r="B1481" t="s">
        <v>3643</v>
      </c>
      <c r="C1481">
        <v>0</v>
      </c>
      <c r="D1481" t="s">
        <v>194</v>
      </c>
      <c r="E1481">
        <v>0</v>
      </c>
      <c r="F1481" t="s">
        <v>233</v>
      </c>
      <c r="G1481" t="s">
        <v>78</v>
      </c>
      <c r="H1481" t="s">
        <v>79</v>
      </c>
      <c r="I1481" t="s">
        <v>80</v>
      </c>
      <c r="J1481" t="s">
        <v>196</v>
      </c>
      <c r="K1481" t="s">
        <v>13</v>
      </c>
      <c r="L1481" t="s">
        <v>83</v>
      </c>
      <c r="M1481" t="s">
        <v>84</v>
      </c>
      <c r="N1481">
        <v>1</v>
      </c>
      <c r="O1481" t="b">
        <v>1</v>
      </c>
      <c r="P1481">
        <v>0</v>
      </c>
      <c r="BB1481">
        <v>0</v>
      </c>
      <c r="BC1481" t="s">
        <v>197</v>
      </c>
      <c r="BD1481" t="s">
        <v>234</v>
      </c>
      <c r="BE1481" t="s">
        <v>117</v>
      </c>
      <c r="BF1481">
        <v>0</v>
      </c>
      <c r="BG1481">
        <v>0</v>
      </c>
      <c r="BH1481">
        <v>0</v>
      </c>
    </row>
    <row r="1482" spans="1:61">
      <c r="A1482" s="164" t="s">
        <v>3644</v>
      </c>
      <c r="B1482" t="s">
        <v>3645</v>
      </c>
      <c r="C1482">
        <v>0</v>
      </c>
      <c r="D1482" t="s">
        <v>194</v>
      </c>
      <c r="E1482">
        <v>0</v>
      </c>
      <c r="F1482" t="s">
        <v>195</v>
      </c>
      <c r="G1482" t="s">
        <v>78</v>
      </c>
      <c r="H1482" t="s">
        <v>79</v>
      </c>
      <c r="I1482" t="s">
        <v>80</v>
      </c>
      <c r="J1482" t="s">
        <v>196</v>
      </c>
      <c r="K1482" t="s">
        <v>13</v>
      </c>
      <c r="L1482" t="s">
        <v>83</v>
      </c>
      <c r="M1482" t="s">
        <v>205</v>
      </c>
      <c r="N1482">
        <v>1</v>
      </c>
      <c r="O1482" t="b">
        <v>1</v>
      </c>
      <c r="P1482">
        <v>0</v>
      </c>
      <c r="BB1482">
        <v>0</v>
      </c>
      <c r="BC1482" t="s">
        <v>197</v>
      </c>
      <c r="BD1482" t="s">
        <v>198</v>
      </c>
      <c r="BE1482" t="s">
        <v>117</v>
      </c>
      <c r="BF1482">
        <v>0</v>
      </c>
      <c r="BG1482">
        <v>0</v>
      </c>
      <c r="BH1482">
        <v>0</v>
      </c>
    </row>
    <row r="1483" spans="1:61">
      <c r="A1483" s="164" t="s">
        <v>3646</v>
      </c>
      <c r="B1483" t="s">
        <v>3647</v>
      </c>
      <c r="C1483">
        <v>0</v>
      </c>
      <c r="D1483" t="s">
        <v>194</v>
      </c>
      <c r="E1483">
        <v>0</v>
      </c>
      <c r="F1483" t="s">
        <v>195</v>
      </c>
      <c r="G1483" t="s">
        <v>78</v>
      </c>
      <c r="H1483" t="s">
        <v>79</v>
      </c>
      <c r="I1483" t="s">
        <v>80</v>
      </c>
      <c r="J1483" t="s">
        <v>196</v>
      </c>
      <c r="K1483" t="s">
        <v>13</v>
      </c>
      <c r="L1483" t="s">
        <v>83</v>
      </c>
      <c r="M1483" t="s">
        <v>84</v>
      </c>
      <c r="N1483">
        <v>1</v>
      </c>
      <c r="O1483" t="b">
        <v>1</v>
      </c>
      <c r="P1483">
        <v>0</v>
      </c>
      <c r="BB1483">
        <v>0</v>
      </c>
      <c r="BC1483" t="s">
        <v>197</v>
      </c>
      <c r="BD1483" t="s">
        <v>198</v>
      </c>
      <c r="BE1483" t="s">
        <v>117</v>
      </c>
      <c r="BF1483">
        <v>0</v>
      </c>
      <c r="BG1483">
        <v>0</v>
      </c>
      <c r="BH1483">
        <v>0</v>
      </c>
    </row>
    <row r="1484" spans="1:61">
      <c r="A1484" s="164" t="s">
        <v>3648</v>
      </c>
      <c r="B1484" t="s">
        <v>3649</v>
      </c>
      <c r="C1484">
        <v>0</v>
      </c>
      <c r="D1484" t="s">
        <v>194</v>
      </c>
      <c r="E1484">
        <v>0</v>
      </c>
      <c r="F1484" t="s">
        <v>195</v>
      </c>
      <c r="G1484" t="s">
        <v>78</v>
      </c>
      <c r="H1484" t="s">
        <v>79</v>
      </c>
      <c r="I1484" t="s">
        <v>80</v>
      </c>
      <c r="J1484" t="s">
        <v>196</v>
      </c>
      <c r="K1484" t="s">
        <v>13</v>
      </c>
      <c r="L1484" t="s">
        <v>83</v>
      </c>
      <c r="M1484" t="s">
        <v>205</v>
      </c>
      <c r="N1484">
        <v>1</v>
      </c>
      <c r="O1484" t="b">
        <v>1</v>
      </c>
      <c r="P1484">
        <v>0</v>
      </c>
      <c r="BB1484">
        <v>0</v>
      </c>
      <c r="BC1484" t="s">
        <v>197</v>
      </c>
      <c r="BD1484" t="s">
        <v>198</v>
      </c>
      <c r="BE1484" t="s">
        <v>117</v>
      </c>
      <c r="BF1484">
        <v>0</v>
      </c>
      <c r="BG1484">
        <v>0</v>
      </c>
      <c r="BH1484">
        <v>0</v>
      </c>
    </row>
    <row r="1485" spans="1:61">
      <c r="A1485" s="164" t="s">
        <v>3650</v>
      </c>
      <c r="B1485" t="s">
        <v>3651</v>
      </c>
      <c r="C1485">
        <v>0</v>
      </c>
      <c r="D1485" t="s">
        <v>194</v>
      </c>
      <c r="E1485">
        <v>0</v>
      </c>
      <c r="F1485" t="s">
        <v>195</v>
      </c>
      <c r="G1485" t="s">
        <v>78</v>
      </c>
      <c r="H1485" t="s">
        <v>79</v>
      </c>
      <c r="I1485" t="s">
        <v>80</v>
      </c>
      <c r="J1485" t="s">
        <v>196</v>
      </c>
      <c r="K1485" t="s">
        <v>13</v>
      </c>
      <c r="L1485" t="s">
        <v>83</v>
      </c>
      <c r="M1485" t="s">
        <v>84</v>
      </c>
      <c r="N1485">
        <v>1</v>
      </c>
      <c r="O1485" t="b">
        <v>1</v>
      </c>
      <c r="P1485">
        <v>0</v>
      </c>
      <c r="BB1485">
        <v>0</v>
      </c>
      <c r="BC1485" t="s">
        <v>197</v>
      </c>
      <c r="BD1485" t="s">
        <v>198</v>
      </c>
      <c r="BE1485" t="s">
        <v>117</v>
      </c>
      <c r="BF1485">
        <v>0</v>
      </c>
      <c r="BG1485">
        <v>0</v>
      </c>
      <c r="BH1485">
        <v>0</v>
      </c>
    </row>
    <row r="1486" spans="1:61">
      <c r="A1486" s="164" t="s">
        <v>3652</v>
      </c>
      <c r="B1486" t="s">
        <v>3653</v>
      </c>
      <c r="C1486">
        <v>0</v>
      </c>
      <c r="D1486" t="s">
        <v>194</v>
      </c>
      <c r="E1486">
        <v>0</v>
      </c>
      <c r="F1486" t="s">
        <v>195</v>
      </c>
      <c r="G1486" t="s">
        <v>78</v>
      </c>
      <c r="H1486" t="s">
        <v>79</v>
      </c>
      <c r="I1486" t="s">
        <v>80</v>
      </c>
      <c r="J1486" t="s">
        <v>196</v>
      </c>
      <c r="K1486" t="s">
        <v>13</v>
      </c>
      <c r="L1486" t="s">
        <v>83</v>
      </c>
      <c r="M1486" t="s">
        <v>84</v>
      </c>
      <c r="N1486">
        <v>1</v>
      </c>
      <c r="O1486" t="b">
        <v>1</v>
      </c>
      <c r="P1486">
        <v>0</v>
      </c>
      <c r="BB1486">
        <v>0</v>
      </c>
      <c r="BC1486" t="s">
        <v>197</v>
      </c>
      <c r="BD1486" t="s">
        <v>198</v>
      </c>
      <c r="BE1486" t="s">
        <v>117</v>
      </c>
      <c r="BF1486">
        <v>0</v>
      </c>
      <c r="BG1486">
        <v>0</v>
      </c>
      <c r="BH1486">
        <v>0</v>
      </c>
    </row>
    <row r="1487" spans="1:61">
      <c r="A1487" s="164" t="s">
        <v>3654</v>
      </c>
      <c r="B1487" t="s">
        <v>3655</v>
      </c>
      <c r="C1487">
        <v>0</v>
      </c>
      <c r="D1487" t="s">
        <v>194</v>
      </c>
      <c r="E1487">
        <v>0</v>
      </c>
      <c r="F1487" t="s">
        <v>214</v>
      </c>
      <c r="G1487" t="s">
        <v>78</v>
      </c>
      <c r="H1487" t="s">
        <v>79</v>
      </c>
      <c r="I1487" t="s">
        <v>80</v>
      </c>
      <c r="J1487" t="s">
        <v>196</v>
      </c>
      <c r="K1487" t="s">
        <v>13</v>
      </c>
      <c r="L1487" t="s">
        <v>83</v>
      </c>
      <c r="M1487" t="s">
        <v>215</v>
      </c>
      <c r="N1487">
        <v>1</v>
      </c>
      <c r="O1487" t="b">
        <v>1</v>
      </c>
      <c r="P1487">
        <v>0</v>
      </c>
      <c r="BB1487">
        <v>0</v>
      </c>
      <c r="BC1487" t="s">
        <v>197</v>
      </c>
      <c r="BD1487" t="s">
        <v>216</v>
      </c>
      <c r="BE1487" t="s">
        <v>117</v>
      </c>
      <c r="BF1487">
        <v>0</v>
      </c>
      <c r="BG1487">
        <v>0</v>
      </c>
      <c r="BH1487">
        <v>0</v>
      </c>
    </row>
    <row r="1488" spans="1:61">
      <c r="A1488" s="164" t="s">
        <v>3656</v>
      </c>
      <c r="B1488" t="s">
        <v>3657</v>
      </c>
      <c r="C1488">
        <v>0</v>
      </c>
      <c r="D1488" t="s">
        <v>194</v>
      </c>
      <c r="E1488">
        <v>0</v>
      </c>
      <c r="F1488" t="s">
        <v>214</v>
      </c>
      <c r="G1488" t="s">
        <v>78</v>
      </c>
      <c r="H1488" t="s">
        <v>79</v>
      </c>
      <c r="I1488" t="s">
        <v>80</v>
      </c>
      <c r="J1488" t="s">
        <v>196</v>
      </c>
      <c r="K1488" t="s">
        <v>13</v>
      </c>
      <c r="L1488" t="s">
        <v>83</v>
      </c>
      <c r="M1488" t="s">
        <v>215</v>
      </c>
      <c r="N1488">
        <v>1</v>
      </c>
      <c r="O1488" t="b">
        <v>1</v>
      </c>
      <c r="P1488">
        <v>0</v>
      </c>
      <c r="BB1488">
        <v>0</v>
      </c>
      <c r="BC1488" t="s">
        <v>197</v>
      </c>
      <c r="BD1488" t="s">
        <v>216</v>
      </c>
      <c r="BE1488" t="s">
        <v>117</v>
      </c>
      <c r="BF1488">
        <v>0</v>
      </c>
      <c r="BG1488">
        <v>0</v>
      </c>
      <c r="BH1488">
        <v>0</v>
      </c>
    </row>
    <row r="1489" spans="1:61">
      <c r="A1489" s="164" t="s">
        <v>3658</v>
      </c>
      <c r="B1489" t="s">
        <v>3659</v>
      </c>
      <c r="C1489">
        <v>0</v>
      </c>
      <c r="D1489" t="s">
        <v>194</v>
      </c>
      <c r="E1489">
        <v>0</v>
      </c>
      <c r="F1489" t="s">
        <v>195</v>
      </c>
      <c r="G1489" t="s">
        <v>78</v>
      </c>
      <c r="H1489" t="s">
        <v>79</v>
      </c>
      <c r="I1489" t="s">
        <v>80</v>
      </c>
      <c r="J1489" t="s">
        <v>196</v>
      </c>
      <c r="K1489" t="s">
        <v>13</v>
      </c>
      <c r="L1489" t="s">
        <v>83</v>
      </c>
      <c r="M1489" t="s">
        <v>84</v>
      </c>
      <c r="N1489">
        <v>1</v>
      </c>
      <c r="O1489" t="b">
        <v>1</v>
      </c>
      <c r="P1489">
        <v>0</v>
      </c>
      <c r="BB1489">
        <v>0</v>
      </c>
      <c r="BC1489" t="s">
        <v>197</v>
      </c>
      <c r="BD1489" t="s">
        <v>198</v>
      </c>
      <c r="BE1489" t="s">
        <v>117</v>
      </c>
      <c r="BF1489">
        <v>0</v>
      </c>
      <c r="BG1489">
        <v>0</v>
      </c>
      <c r="BH1489">
        <v>0</v>
      </c>
    </row>
    <row r="1490" spans="1:61">
      <c r="A1490" s="164" t="s">
        <v>3660</v>
      </c>
      <c r="B1490" t="s">
        <v>3661</v>
      </c>
      <c r="C1490">
        <v>0</v>
      </c>
      <c r="D1490" t="s">
        <v>194</v>
      </c>
      <c r="E1490">
        <v>0</v>
      </c>
      <c r="F1490" t="s">
        <v>214</v>
      </c>
      <c r="G1490" t="s">
        <v>78</v>
      </c>
      <c r="H1490" t="s">
        <v>79</v>
      </c>
      <c r="I1490" t="s">
        <v>80</v>
      </c>
      <c r="J1490" t="s">
        <v>196</v>
      </c>
      <c r="K1490" t="s">
        <v>13</v>
      </c>
      <c r="L1490" t="s">
        <v>83</v>
      </c>
      <c r="M1490" t="s">
        <v>215</v>
      </c>
      <c r="N1490">
        <v>1</v>
      </c>
      <c r="O1490" t="b">
        <v>1</v>
      </c>
      <c r="P1490">
        <v>0</v>
      </c>
      <c r="BB1490">
        <v>0</v>
      </c>
      <c r="BC1490" t="s">
        <v>197</v>
      </c>
      <c r="BD1490" t="s">
        <v>216</v>
      </c>
      <c r="BE1490" t="s">
        <v>117</v>
      </c>
      <c r="BF1490">
        <v>0</v>
      </c>
      <c r="BG1490">
        <v>0</v>
      </c>
      <c r="BH1490">
        <v>0</v>
      </c>
    </row>
    <row r="1491" spans="1:61">
      <c r="A1491" s="164" t="s">
        <v>3662</v>
      </c>
      <c r="B1491" t="s">
        <v>3663</v>
      </c>
      <c r="C1491">
        <v>0</v>
      </c>
      <c r="D1491" t="s">
        <v>194</v>
      </c>
      <c r="E1491">
        <v>0</v>
      </c>
      <c r="F1491" t="s">
        <v>214</v>
      </c>
      <c r="G1491" t="s">
        <v>78</v>
      </c>
      <c r="H1491" t="s">
        <v>79</v>
      </c>
      <c r="I1491" t="s">
        <v>80</v>
      </c>
      <c r="J1491" t="s">
        <v>196</v>
      </c>
      <c r="K1491" t="s">
        <v>13</v>
      </c>
      <c r="L1491" t="s">
        <v>83</v>
      </c>
      <c r="M1491" t="s">
        <v>84</v>
      </c>
      <c r="N1491">
        <v>1</v>
      </c>
      <c r="O1491" t="b">
        <v>1</v>
      </c>
      <c r="P1491">
        <v>0</v>
      </c>
      <c r="BB1491">
        <v>0</v>
      </c>
      <c r="BC1491" t="s">
        <v>197</v>
      </c>
      <c r="BD1491" t="s">
        <v>216</v>
      </c>
      <c r="BE1491" t="s">
        <v>117</v>
      </c>
      <c r="BF1491">
        <v>0</v>
      </c>
      <c r="BG1491">
        <v>0</v>
      </c>
      <c r="BH1491">
        <v>0</v>
      </c>
    </row>
    <row r="1492" spans="1:61">
      <c r="A1492" s="164" t="s">
        <v>3664</v>
      </c>
      <c r="B1492" t="s">
        <v>3665</v>
      </c>
      <c r="C1492">
        <v>0</v>
      </c>
      <c r="D1492" t="s">
        <v>194</v>
      </c>
      <c r="E1492">
        <v>0</v>
      </c>
      <c r="F1492" t="s">
        <v>214</v>
      </c>
      <c r="G1492" t="s">
        <v>78</v>
      </c>
      <c r="H1492" t="s">
        <v>79</v>
      </c>
      <c r="I1492" t="s">
        <v>80</v>
      </c>
      <c r="J1492" t="s">
        <v>196</v>
      </c>
      <c r="K1492" t="s">
        <v>13</v>
      </c>
      <c r="L1492" t="s">
        <v>83</v>
      </c>
      <c r="M1492" t="s">
        <v>215</v>
      </c>
      <c r="N1492">
        <v>1</v>
      </c>
      <c r="O1492" t="b">
        <v>1</v>
      </c>
      <c r="P1492">
        <v>0</v>
      </c>
      <c r="BB1492">
        <v>0</v>
      </c>
      <c r="BC1492" t="s">
        <v>197</v>
      </c>
      <c r="BD1492" t="s">
        <v>216</v>
      </c>
      <c r="BE1492" t="s">
        <v>117</v>
      </c>
      <c r="BF1492">
        <v>0</v>
      </c>
      <c r="BG1492">
        <v>0</v>
      </c>
      <c r="BH1492">
        <v>0</v>
      </c>
    </row>
    <row r="1493" spans="1:61">
      <c r="A1493" s="164" t="s">
        <v>3666</v>
      </c>
      <c r="B1493" t="s">
        <v>3667</v>
      </c>
      <c r="C1493">
        <v>0</v>
      </c>
      <c r="D1493" t="s">
        <v>194</v>
      </c>
      <c r="E1493">
        <v>0</v>
      </c>
      <c r="F1493" t="s">
        <v>195</v>
      </c>
      <c r="G1493" t="s">
        <v>78</v>
      </c>
      <c r="H1493" t="s">
        <v>79</v>
      </c>
      <c r="I1493" t="s">
        <v>80</v>
      </c>
      <c r="J1493" t="s">
        <v>196</v>
      </c>
      <c r="K1493" t="s">
        <v>13</v>
      </c>
      <c r="L1493" t="s">
        <v>83</v>
      </c>
      <c r="M1493" t="s">
        <v>205</v>
      </c>
      <c r="N1493">
        <v>1</v>
      </c>
      <c r="O1493" t="b">
        <v>1</v>
      </c>
      <c r="P1493">
        <v>0</v>
      </c>
      <c r="BB1493">
        <v>0</v>
      </c>
      <c r="BC1493" t="s">
        <v>197</v>
      </c>
      <c r="BD1493" t="s">
        <v>198</v>
      </c>
      <c r="BE1493" t="s">
        <v>117</v>
      </c>
      <c r="BF1493">
        <v>0</v>
      </c>
      <c r="BG1493">
        <v>0</v>
      </c>
      <c r="BH1493">
        <v>0</v>
      </c>
    </row>
    <row r="1494" spans="1:61">
      <c r="A1494" s="164" t="s">
        <v>3668</v>
      </c>
      <c r="B1494" t="s">
        <v>3669</v>
      </c>
      <c r="C1494">
        <v>0</v>
      </c>
      <c r="D1494" t="s">
        <v>194</v>
      </c>
      <c r="E1494">
        <v>0</v>
      </c>
      <c r="F1494" t="s">
        <v>195</v>
      </c>
      <c r="G1494" t="s">
        <v>78</v>
      </c>
      <c r="H1494" t="s">
        <v>79</v>
      </c>
      <c r="I1494" t="s">
        <v>80</v>
      </c>
      <c r="J1494" t="s">
        <v>196</v>
      </c>
      <c r="K1494" t="s">
        <v>13</v>
      </c>
      <c r="L1494" t="s">
        <v>83</v>
      </c>
      <c r="M1494" t="s">
        <v>205</v>
      </c>
      <c r="N1494">
        <v>1</v>
      </c>
      <c r="O1494" t="b">
        <v>1</v>
      </c>
      <c r="P1494">
        <v>0</v>
      </c>
      <c r="BB1494">
        <v>0</v>
      </c>
      <c r="BC1494" t="s">
        <v>197</v>
      </c>
      <c r="BD1494" t="s">
        <v>198</v>
      </c>
      <c r="BE1494" t="s">
        <v>117</v>
      </c>
      <c r="BF1494">
        <v>0</v>
      </c>
      <c r="BG1494">
        <v>0</v>
      </c>
      <c r="BH1494">
        <v>0</v>
      </c>
    </row>
    <row r="1495" spans="1:61">
      <c r="A1495" s="164" t="s">
        <v>3670</v>
      </c>
      <c r="B1495" t="s">
        <v>3671</v>
      </c>
      <c r="C1495">
        <v>0</v>
      </c>
      <c r="D1495" t="s">
        <v>194</v>
      </c>
      <c r="E1495">
        <v>0</v>
      </c>
      <c r="F1495" t="s">
        <v>195</v>
      </c>
      <c r="G1495" t="s">
        <v>78</v>
      </c>
      <c r="H1495" t="s">
        <v>79</v>
      </c>
      <c r="I1495" t="s">
        <v>80</v>
      </c>
      <c r="J1495" t="s">
        <v>196</v>
      </c>
      <c r="K1495" t="s">
        <v>13</v>
      </c>
      <c r="L1495" t="s">
        <v>83</v>
      </c>
      <c r="M1495" t="s">
        <v>84</v>
      </c>
      <c r="N1495">
        <v>1</v>
      </c>
      <c r="O1495" t="b">
        <v>1</v>
      </c>
      <c r="P1495">
        <v>0</v>
      </c>
      <c r="BB1495">
        <v>0</v>
      </c>
      <c r="BC1495" t="s">
        <v>197</v>
      </c>
      <c r="BD1495" t="s">
        <v>198</v>
      </c>
      <c r="BE1495" t="s">
        <v>117</v>
      </c>
      <c r="BF1495">
        <v>0</v>
      </c>
      <c r="BG1495">
        <v>0</v>
      </c>
      <c r="BH1495">
        <v>0</v>
      </c>
    </row>
    <row r="1496" spans="1:61">
      <c r="A1496" s="164" t="s">
        <v>3672</v>
      </c>
      <c r="B1496" t="s">
        <v>3673</v>
      </c>
      <c r="C1496">
        <v>0</v>
      </c>
      <c r="D1496" t="s">
        <v>257</v>
      </c>
      <c r="E1496">
        <v>0</v>
      </c>
      <c r="F1496" t="s">
        <v>258</v>
      </c>
      <c r="G1496" t="s">
        <v>78</v>
      </c>
      <c r="H1496" t="s">
        <v>79</v>
      </c>
      <c r="I1496" t="s">
        <v>80</v>
      </c>
      <c r="J1496" t="s">
        <v>196</v>
      </c>
      <c r="K1496" t="s">
        <v>13</v>
      </c>
      <c r="L1496" t="s">
        <v>83</v>
      </c>
      <c r="M1496" t="s">
        <v>205</v>
      </c>
      <c r="N1496">
        <v>1</v>
      </c>
      <c r="O1496" t="b">
        <v>1</v>
      </c>
      <c r="P1496">
        <v>0</v>
      </c>
      <c r="BB1496">
        <v>0</v>
      </c>
      <c r="BC1496" t="s">
        <v>259</v>
      </c>
      <c r="BD1496" t="s">
        <v>260</v>
      </c>
      <c r="BE1496" t="s">
        <v>117</v>
      </c>
      <c r="BF1496">
        <v>0</v>
      </c>
      <c r="BG1496">
        <v>90</v>
      </c>
      <c r="BH1496">
        <v>25</v>
      </c>
      <c r="BI1496" t="s">
        <v>3674</v>
      </c>
    </row>
    <row r="1497" spans="1:61">
      <c r="A1497" s="164" t="s">
        <v>3675</v>
      </c>
      <c r="B1497" t="s">
        <v>3676</v>
      </c>
      <c r="C1497">
        <v>0</v>
      </c>
      <c r="D1497" t="s">
        <v>257</v>
      </c>
      <c r="E1497">
        <v>0</v>
      </c>
      <c r="F1497" t="s">
        <v>269</v>
      </c>
      <c r="G1497" t="s">
        <v>103</v>
      </c>
      <c r="H1497" t="s">
        <v>104</v>
      </c>
      <c r="I1497" t="s">
        <v>80</v>
      </c>
      <c r="J1497" t="s">
        <v>196</v>
      </c>
      <c r="K1497" t="s">
        <v>13</v>
      </c>
      <c r="L1497" t="s">
        <v>83</v>
      </c>
      <c r="M1497" t="s">
        <v>205</v>
      </c>
      <c r="N1497">
        <v>1</v>
      </c>
      <c r="O1497" t="b">
        <v>0</v>
      </c>
      <c r="P1497">
        <v>0</v>
      </c>
      <c r="BB1497">
        <v>0</v>
      </c>
      <c r="BC1497" t="s">
        <v>259</v>
      </c>
      <c r="BD1497" t="s">
        <v>270</v>
      </c>
      <c r="BE1497" t="s">
        <v>117</v>
      </c>
      <c r="BF1497">
        <v>0</v>
      </c>
      <c r="BG1497">
        <v>0</v>
      </c>
      <c r="BH1497">
        <v>0</v>
      </c>
    </row>
    <row r="1498" spans="1:61">
      <c r="A1498" s="164" t="s">
        <v>3677</v>
      </c>
      <c r="B1498" t="s">
        <v>3678</v>
      </c>
      <c r="C1498">
        <v>0</v>
      </c>
      <c r="D1498" t="s">
        <v>257</v>
      </c>
      <c r="E1498">
        <v>0</v>
      </c>
      <c r="F1498" t="s">
        <v>955</v>
      </c>
      <c r="G1498" t="s">
        <v>78</v>
      </c>
      <c r="H1498" t="s">
        <v>79</v>
      </c>
      <c r="I1498" t="s">
        <v>80</v>
      </c>
      <c r="J1498" t="s">
        <v>196</v>
      </c>
      <c r="K1498" t="s">
        <v>13</v>
      </c>
      <c r="L1498" t="s">
        <v>83</v>
      </c>
      <c r="M1498" t="s">
        <v>84</v>
      </c>
      <c r="N1498">
        <v>1</v>
      </c>
      <c r="O1498" t="b">
        <v>1</v>
      </c>
      <c r="P1498">
        <v>0</v>
      </c>
      <c r="BB1498">
        <v>0</v>
      </c>
      <c r="BC1498" t="s">
        <v>259</v>
      </c>
      <c r="BD1498" t="s">
        <v>956</v>
      </c>
      <c r="BE1498" t="s">
        <v>117</v>
      </c>
      <c r="BF1498">
        <v>0</v>
      </c>
      <c r="BG1498">
        <v>10</v>
      </c>
      <c r="BH1498">
        <v>10</v>
      </c>
      <c r="BI1498" t="s">
        <v>1324</v>
      </c>
    </row>
    <row r="1499" spans="1:61">
      <c r="A1499" s="164" t="s">
        <v>3679</v>
      </c>
      <c r="B1499" t="s">
        <v>3680</v>
      </c>
      <c r="C1499">
        <v>0</v>
      </c>
      <c r="D1499" t="s">
        <v>257</v>
      </c>
      <c r="E1499">
        <v>0</v>
      </c>
      <c r="F1499" t="s">
        <v>925</v>
      </c>
      <c r="G1499" t="s">
        <v>78</v>
      </c>
      <c r="H1499" t="s">
        <v>79</v>
      </c>
      <c r="I1499" t="s">
        <v>80</v>
      </c>
      <c r="J1499" t="s">
        <v>196</v>
      </c>
      <c r="K1499" t="s">
        <v>13</v>
      </c>
      <c r="L1499" t="s">
        <v>83</v>
      </c>
      <c r="M1499" t="s">
        <v>205</v>
      </c>
      <c r="N1499">
        <v>1</v>
      </c>
      <c r="O1499" t="b">
        <v>1</v>
      </c>
      <c r="P1499">
        <v>0</v>
      </c>
      <c r="BB1499">
        <v>0</v>
      </c>
      <c r="BC1499" t="s">
        <v>259</v>
      </c>
      <c r="BD1499" t="s">
        <v>926</v>
      </c>
      <c r="BE1499" t="s">
        <v>117</v>
      </c>
      <c r="BF1499">
        <v>0</v>
      </c>
      <c r="BG1499">
        <v>30</v>
      </c>
      <c r="BH1499">
        <v>50</v>
      </c>
      <c r="BI1499" t="s">
        <v>3681</v>
      </c>
    </row>
    <row r="1500" spans="1:61">
      <c r="A1500" s="164" t="s">
        <v>3682</v>
      </c>
      <c r="B1500" t="s">
        <v>3683</v>
      </c>
      <c r="C1500">
        <v>0</v>
      </c>
      <c r="D1500" t="s">
        <v>257</v>
      </c>
      <c r="E1500">
        <v>0</v>
      </c>
      <c r="F1500" t="s">
        <v>269</v>
      </c>
      <c r="G1500" t="s">
        <v>103</v>
      </c>
      <c r="H1500" t="s">
        <v>104</v>
      </c>
      <c r="I1500" t="s">
        <v>80</v>
      </c>
      <c r="J1500" t="s">
        <v>196</v>
      </c>
      <c r="K1500" t="s">
        <v>13</v>
      </c>
      <c r="L1500" t="s">
        <v>83</v>
      </c>
      <c r="M1500" t="s">
        <v>205</v>
      </c>
      <c r="N1500">
        <v>1</v>
      </c>
      <c r="O1500" t="b">
        <v>0</v>
      </c>
      <c r="P1500">
        <v>0</v>
      </c>
      <c r="BB1500">
        <v>0</v>
      </c>
      <c r="BC1500" t="s">
        <v>259</v>
      </c>
      <c r="BD1500" t="s">
        <v>270</v>
      </c>
      <c r="BE1500" t="s">
        <v>117</v>
      </c>
      <c r="BF1500">
        <v>0</v>
      </c>
      <c r="BG1500">
        <v>0</v>
      </c>
      <c r="BH1500">
        <v>0</v>
      </c>
    </row>
    <row r="1501" spans="1:61">
      <c r="A1501" s="164" t="s">
        <v>3684</v>
      </c>
      <c r="B1501" t="s">
        <v>3685</v>
      </c>
      <c r="C1501">
        <v>0</v>
      </c>
      <c r="D1501" t="s">
        <v>257</v>
      </c>
      <c r="E1501">
        <v>0</v>
      </c>
      <c r="F1501" t="s">
        <v>269</v>
      </c>
      <c r="G1501" t="s">
        <v>103</v>
      </c>
      <c r="H1501" t="s">
        <v>104</v>
      </c>
      <c r="I1501" t="s">
        <v>80</v>
      </c>
      <c r="J1501" t="s">
        <v>196</v>
      </c>
      <c r="K1501" t="s">
        <v>13</v>
      </c>
      <c r="L1501" t="s">
        <v>83</v>
      </c>
      <c r="M1501" t="s">
        <v>205</v>
      </c>
      <c r="N1501">
        <v>1</v>
      </c>
      <c r="O1501" t="b">
        <v>0</v>
      </c>
      <c r="P1501">
        <v>0</v>
      </c>
      <c r="BB1501">
        <v>0</v>
      </c>
      <c r="BC1501" t="s">
        <v>259</v>
      </c>
      <c r="BD1501" t="s">
        <v>270</v>
      </c>
      <c r="BE1501" t="s">
        <v>117</v>
      </c>
      <c r="BF1501">
        <v>0</v>
      </c>
      <c r="BG1501">
        <v>0</v>
      </c>
      <c r="BH1501">
        <v>0</v>
      </c>
    </row>
    <row r="1502" spans="1:61">
      <c r="A1502" s="164" t="s">
        <v>3686</v>
      </c>
      <c r="B1502" t="s">
        <v>3687</v>
      </c>
      <c r="C1502">
        <v>0</v>
      </c>
      <c r="D1502" t="s">
        <v>257</v>
      </c>
      <c r="E1502">
        <v>0</v>
      </c>
      <c r="F1502" t="s">
        <v>269</v>
      </c>
      <c r="G1502" t="s">
        <v>103</v>
      </c>
      <c r="H1502" t="s">
        <v>104</v>
      </c>
      <c r="I1502" t="s">
        <v>80</v>
      </c>
      <c r="J1502" t="s">
        <v>196</v>
      </c>
      <c r="K1502" t="s">
        <v>13</v>
      </c>
      <c r="L1502" t="s">
        <v>83</v>
      </c>
      <c r="M1502" t="s">
        <v>205</v>
      </c>
      <c r="N1502">
        <v>1</v>
      </c>
      <c r="O1502" t="b">
        <v>0</v>
      </c>
      <c r="P1502">
        <v>0</v>
      </c>
      <c r="BB1502">
        <v>0</v>
      </c>
      <c r="BC1502" t="s">
        <v>259</v>
      </c>
      <c r="BD1502" t="s">
        <v>270</v>
      </c>
      <c r="BE1502" t="s">
        <v>117</v>
      </c>
      <c r="BF1502">
        <v>0</v>
      </c>
      <c r="BG1502">
        <v>0</v>
      </c>
      <c r="BH1502">
        <v>0</v>
      </c>
    </row>
    <row r="1503" spans="1:61">
      <c r="A1503" s="164" t="s">
        <v>3688</v>
      </c>
      <c r="B1503" t="s">
        <v>3689</v>
      </c>
      <c r="C1503">
        <v>0</v>
      </c>
      <c r="D1503" t="s">
        <v>257</v>
      </c>
      <c r="E1503">
        <v>0</v>
      </c>
      <c r="F1503" t="s">
        <v>269</v>
      </c>
      <c r="G1503" t="s">
        <v>103</v>
      </c>
      <c r="H1503" t="s">
        <v>104</v>
      </c>
      <c r="I1503" t="s">
        <v>80</v>
      </c>
      <c r="J1503" t="s">
        <v>196</v>
      </c>
      <c r="K1503" t="s">
        <v>13</v>
      </c>
      <c r="L1503" t="s">
        <v>83</v>
      </c>
      <c r="M1503" t="s">
        <v>205</v>
      </c>
      <c r="N1503">
        <v>1</v>
      </c>
      <c r="O1503" t="b">
        <v>0</v>
      </c>
      <c r="P1503">
        <v>0</v>
      </c>
      <c r="BB1503">
        <v>0</v>
      </c>
      <c r="BC1503" t="s">
        <v>259</v>
      </c>
      <c r="BD1503" t="s">
        <v>270</v>
      </c>
      <c r="BE1503" t="s">
        <v>117</v>
      </c>
      <c r="BF1503">
        <v>0</v>
      </c>
      <c r="BG1503">
        <v>0</v>
      </c>
      <c r="BH1503">
        <v>0</v>
      </c>
    </row>
    <row r="1504" spans="1:61">
      <c r="A1504" s="164" t="s">
        <v>3690</v>
      </c>
      <c r="B1504" t="s">
        <v>3691</v>
      </c>
      <c r="C1504">
        <v>0</v>
      </c>
      <c r="D1504" t="s">
        <v>257</v>
      </c>
      <c r="E1504">
        <v>0</v>
      </c>
      <c r="F1504" t="s">
        <v>3692</v>
      </c>
      <c r="G1504" t="s">
        <v>78</v>
      </c>
      <c r="H1504" t="s">
        <v>79</v>
      </c>
      <c r="I1504" t="s">
        <v>80</v>
      </c>
      <c r="J1504" t="s">
        <v>196</v>
      </c>
      <c r="K1504" t="s">
        <v>13</v>
      </c>
      <c r="L1504" t="s">
        <v>83</v>
      </c>
      <c r="M1504" t="s">
        <v>205</v>
      </c>
      <c r="N1504">
        <v>1</v>
      </c>
      <c r="O1504" t="b">
        <v>1</v>
      </c>
      <c r="P1504">
        <v>0</v>
      </c>
      <c r="BB1504">
        <v>0</v>
      </c>
      <c r="BC1504" t="s">
        <v>259</v>
      </c>
      <c r="BD1504" t="s">
        <v>3693</v>
      </c>
      <c r="BE1504" t="s">
        <v>117</v>
      </c>
      <c r="BF1504">
        <v>0</v>
      </c>
      <c r="BG1504">
        <v>0</v>
      </c>
      <c r="BH1504">
        <v>0</v>
      </c>
    </row>
    <row r="1505" spans="1:61">
      <c r="A1505" s="164" t="s">
        <v>3694</v>
      </c>
      <c r="B1505" t="s">
        <v>3695</v>
      </c>
      <c r="C1505">
        <v>0</v>
      </c>
      <c r="D1505" t="s">
        <v>257</v>
      </c>
      <c r="E1505">
        <v>0</v>
      </c>
      <c r="F1505" t="s">
        <v>269</v>
      </c>
      <c r="G1505" t="s">
        <v>103</v>
      </c>
      <c r="H1505" t="s">
        <v>104</v>
      </c>
      <c r="I1505" t="s">
        <v>80</v>
      </c>
      <c r="J1505" t="s">
        <v>196</v>
      </c>
      <c r="K1505" t="s">
        <v>13</v>
      </c>
      <c r="L1505" t="s">
        <v>83</v>
      </c>
      <c r="M1505" t="s">
        <v>205</v>
      </c>
      <c r="N1505">
        <v>1</v>
      </c>
      <c r="O1505" t="b">
        <v>0</v>
      </c>
      <c r="P1505">
        <v>0</v>
      </c>
      <c r="BB1505">
        <v>0</v>
      </c>
      <c r="BC1505" t="s">
        <v>259</v>
      </c>
      <c r="BD1505" t="s">
        <v>270</v>
      </c>
      <c r="BE1505" t="s">
        <v>117</v>
      </c>
      <c r="BF1505">
        <v>0</v>
      </c>
      <c r="BG1505">
        <v>0</v>
      </c>
      <c r="BH1505">
        <v>0</v>
      </c>
    </row>
    <row r="1506" spans="1:61">
      <c r="A1506" s="164" t="s">
        <v>3696</v>
      </c>
      <c r="B1506" t="s">
        <v>3697</v>
      </c>
      <c r="C1506">
        <v>0</v>
      </c>
      <c r="D1506" t="s">
        <v>257</v>
      </c>
      <c r="E1506">
        <v>0</v>
      </c>
      <c r="F1506" t="s">
        <v>950</v>
      </c>
      <c r="G1506" t="s">
        <v>78</v>
      </c>
      <c r="H1506" t="s">
        <v>79</v>
      </c>
      <c r="I1506" t="s">
        <v>80</v>
      </c>
      <c r="J1506" t="s">
        <v>196</v>
      </c>
      <c r="K1506" t="s">
        <v>13</v>
      </c>
      <c r="L1506" t="s">
        <v>83</v>
      </c>
      <c r="M1506" t="s">
        <v>205</v>
      </c>
      <c r="N1506">
        <v>1</v>
      </c>
      <c r="O1506" t="b">
        <v>1</v>
      </c>
      <c r="P1506">
        <v>0</v>
      </c>
      <c r="BB1506">
        <v>0</v>
      </c>
      <c r="BC1506" t="s">
        <v>259</v>
      </c>
      <c r="BD1506" t="s">
        <v>951</v>
      </c>
      <c r="BE1506" t="s">
        <v>117</v>
      </c>
      <c r="BF1506">
        <v>0</v>
      </c>
      <c r="BG1506">
        <v>25</v>
      </c>
      <c r="BH1506">
        <v>1000</v>
      </c>
      <c r="BI1506" t="s">
        <v>2341</v>
      </c>
    </row>
    <row r="1507" spans="1:61">
      <c r="A1507" s="164" t="s">
        <v>3698</v>
      </c>
      <c r="B1507" t="s">
        <v>3699</v>
      </c>
      <c r="C1507">
        <v>0</v>
      </c>
      <c r="D1507" t="s">
        <v>257</v>
      </c>
      <c r="E1507">
        <v>0</v>
      </c>
      <c r="F1507" t="s">
        <v>258</v>
      </c>
      <c r="G1507" t="s">
        <v>78</v>
      </c>
      <c r="H1507" t="s">
        <v>79</v>
      </c>
      <c r="I1507" t="s">
        <v>80</v>
      </c>
      <c r="J1507" t="s">
        <v>196</v>
      </c>
      <c r="K1507" t="s">
        <v>13</v>
      </c>
      <c r="L1507" t="s">
        <v>83</v>
      </c>
      <c r="M1507" t="s">
        <v>205</v>
      </c>
      <c r="N1507">
        <v>1</v>
      </c>
      <c r="O1507" t="b">
        <v>1</v>
      </c>
      <c r="P1507">
        <v>0</v>
      </c>
      <c r="BB1507">
        <v>0</v>
      </c>
      <c r="BC1507" t="s">
        <v>259</v>
      </c>
      <c r="BD1507" t="s">
        <v>260</v>
      </c>
      <c r="BE1507" t="s">
        <v>117</v>
      </c>
      <c r="BF1507">
        <v>0</v>
      </c>
      <c r="BG1507">
        <v>25</v>
      </c>
      <c r="BH1507">
        <v>30</v>
      </c>
      <c r="BI1507" t="s">
        <v>947</v>
      </c>
    </row>
    <row r="1508" spans="1:61">
      <c r="A1508" s="164" t="s">
        <v>3700</v>
      </c>
      <c r="B1508" t="s">
        <v>3701</v>
      </c>
      <c r="C1508">
        <v>0</v>
      </c>
      <c r="D1508" t="s">
        <v>257</v>
      </c>
      <c r="E1508">
        <v>0</v>
      </c>
      <c r="F1508" t="s">
        <v>269</v>
      </c>
      <c r="G1508" t="s">
        <v>103</v>
      </c>
      <c r="H1508" t="s">
        <v>104</v>
      </c>
      <c r="I1508" t="s">
        <v>80</v>
      </c>
      <c r="J1508" t="s">
        <v>196</v>
      </c>
      <c r="K1508" t="s">
        <v>13</v>
      </c>
      <c r="L1508" t="s">
        <v>83</v>
      </c>
      <c r="M1508" t="s">
        <v>205</v>
      </c>
      <c r="N1508">
        <v>1</v>
      </c>
      <c r="O1508" t="b">
        <v>0</v>
      </c>
      <c r="P1508">
        <v>0</v>
      </c>
      <c r="BB1508">
        <v>0</v>
      </c>
      <c r="BC1508" t="s">
        <v>259</v>
      </c>
      <c r="BD1508" t="s">
        <v>270</v>
      </c>
      <c r="BE1508" t="s">
        <v>117</v>
      </c>
      <c r="BF1508">
        <v>0</v>
      </c>
      <c r="BG1508">
        <v>0</v>
      </c>
      <c r="BH1508">
        <v>0</v>
      </c>
    </row>
    <row r="1509" spans="1:61">
      <c r="A1509" s="164" t="s">
        <v>3702</v>
      </c>
      <c r="B1509" t="s">
        <v>3703</v>
      </c>
      <c r="C1509">
        <v>0</v>
      </c>
      <c r="D1509" t="s">
        <v>257</v>
      </c>
      <c r="E1509">
        <v>0</v>
      </c>
      <c r="F1509" t="s">
        <v>269</v>
      </c>
      <c r="G1509" t="s">
        <v>103</v>
      </c>
      <c r="H1509" t="s">
        <v>104</v>
      </c>
      <c r="I1509" t="s">
        <v>80</v>
      </c>
      <c r="J1509" t="s">
        <v>196</v>
      </c>
      <c r="K1509" t="s">
        <v>13</v>
      </c>
      <c r="L1509" t="s">
        <v>83</v>
      </c>
      <c r="M1509" t="s">
        <v>205</v>
      </c>
      <c r="N1509">
        <v>1</v>
      </c>
      <c r="O1509" t="b">
        <v>0</v>
      </c>
      <c r="P1509">
        <v>0</v>
      </c>
      <c r="BB1509">
        <v>0</v>
      </c>
      <c r="BC1509" t="s">
        <v>259</v>
      </c>
      <c r="BD1509" t="s">
        <v>270</v>
      </c>
      <c r="BE1509" t="s">
        <v>117</v>
      </c>
      <c r="BF1509">
        <v>0</v>
      </c>
      <c r="BG1509">
        <v>0</v>
      </c>
      <c r="BH1509">
        <v>0</v>
      </c>
    </row>
    <row r="1510" spans="1:61">
      <c r="A1510" s="164" t="s">
        <v>3704</v>
      </c>
      <c r="B1510" t="s">
        <v>3705</v>
      </c>
      <c r="C1510">
        <v>0</v>
      </c>
      <c r="D1510" t="s">
        <v>257</v>
      </c>
      <c r="E1510">
        <v>0</v>
      </c>
      <c r="F1510" t="s">
        <v>269</v>
      </c>
      <c r="G1510" t="s">
        <v>103</v>
      </c>
      <c r="H1510" t="s">
        <v>104</v>
      </c>
      <c r="I1510" t="s">
        <v>80</v>
      </c>
      <c r="J1510" t="s">
        <v>196</v>
      </c>
      <c r="K1510" t="s">
        <v>13</v>
      </c>
      <c r="L1510" t="s">
        <v>83</v>
      </c>
      <c r="M1510" t="s">
        <v>205</v>
      </c>
      <c r="N1510">
        <v>1</v>
      </c>
      <c r="O1510" t="b">
        <v>0</v>
      </c>
      <c r="P1510">
        <v>0</v>
      </c>
      <c r="BB1510">
        <v>0</v>
      </c>
      <c r="BC1510" t="s">
        <v>259</v>
      </c>
      <c r="BD1510" t="s">
        <v>270</v>
      </c>
      <c r="BE1510" t="s">
        <v>117</v>
      </c>
      <c r="BF1510">
        <v>0</v>
      </c>
      <c r="BG1510">
        <v>0</v>
      </c>
      <c r="BH1510">
        <v>0</v>
      </c>
    </row>
    <row r="1511" spans="1:61">
      <c r="A1511" s="164" t="s">
        <v>3706</v>
      </c>
      <c r="B1511" t="s">
        <v>3707</v>
      </c>
      <c r="C1511">
        <v>0</v>
      </c>
      <c r="D1511" t="s">
        <v>257</v>
      </c>
      <c r="E1511">
        <v>0</v>
      </c>
      <c r="F1511" t="s">
        <v>925</v>
      </c>
      <c r="G1511" t="s">
        <v>78</v>
      </c>
      <c r="H1511" t="s">
        <v>79</v>
      </c>
      <c r="I1511" t="s">
        <v>80</v>
      </c>
      <c r="J1511" t="s">
        <v>196</v>
      </c>
      <c r="K1511" t="s">
        <v>13</v>
      </c>
      <c r="L1511" t="s">
        <v>83</v>
      </c>
      <c r="M1511" t="s">
        <v>205</v>
      </c>
      <c r="N1511">
        <v>1</v>
      </c>
      <c r="O1511" t="b">
        <v>1</v>
      </c>
      <c r="P1511">
        <v>0</v>
      </c>
      <c r="BB1511">
        <v>0</v>
      </c>
      <c r="BC1511" t="s">
        <v>259</v>
      </c>
      <c r="BD1511" t="s">
        <v>926</v>
      </c>
      <c r="BE1511" t="s">
        <v>117</v>
      </c>
      <c r="BF1511">
        <v>0</v>
      </c>
      <c r="BG1511">
        <v>20</v>
      </c>
      <c r="BH1511">
        <v>50</v>
      </c>
      <c r="BI1511" t="s">
        <v>2671</v>
      </c>
    </row>
    <row r="1512" spans="1:61">
      <c r="A1512" s="164" t="s">
        <v>3708</v>
      </c>
      <c r="B1512" t="s">
        <v>3709</v>
      </c>
      <c r="C1512">
        <v>0</v>
      </c>
      <c r="D1512" t="s">
        <v>257</v>
      </c>
      <c r="E1512">
        <v>0</v>
      </c>
      <c r="F1512" t="s">
        <v>950</v>
      </c>
      <c r="G1512" t="s">
        <v>78</v>
      </c>
      <c r="H1512" t="s">
        <v>79</v>
      </c>
      <c r="I1512" t="s">
        <v>80</v>
      </c>
      <c r="J1512" t="s">
        <v>196</v>
      </c>
      <c r="K1512" t="s">
        <v>13</v>
      </c>
      <c r="L1512" t="s">
        <v>83</v>
      </c>
      <c r="M1512" t="s">
        <v>205</v>
      </c>
      <c r="N1512">
        <v>1</v>
      </c>
      <c r="O1512" t="b">
        <v>1</v>
      </c>
      <c r="P1512">
        <v>0</v>
      </c>
      <c r="BB1512">
        <v>0</v>
      </c>
      <c r="BC1512" t="s">
        <v>259</v>
      </c>
      <c r="BD1512" t="s">
        <v>951</v>
      </c>
      <c r="BE1512" t="s">
        <v>117</v>
      </c>
      <c r="BF1512">
        <v>0</v>
      </c>
      <c r="BG1512">
        <v>25</v>
      </c>
      <c r="BH1512">
        <v>500</v>
      </c>
      <c r="BI1512" t="s">
        <v>3710</v>
      </c>
    </row>
    <row r="1513" spans="1:61">
      <c r="A1513" s="164" t="s">
        <v>3711</v>
      </c>
      <c r="B1513" t="s">
        <v>3712</v>
      </c>
      <c r="C1513">
        <v>0</v>
      </c>
      <c r="D1513" t="s">
        <v>257</v>
      </c>
      <c r="E1513">
        <v>0</v>
      </c>
      <c r="F1513" t="s">
        <v>293</v>
      </c>
      <c r="G1513" t="s">
        <v>78</v>
      </c>
      <c r="H1513" t="s">
        <v>79</v>
      </c>
      <c r="I1513" t="s">
        <v>80</v>
      </c>
      <c r="J1513" t="s">
        <v>196</v>
      </c>
      <c r="K1513" t="s">
        <v>13</v>
      </c>
      <c r="L1513" t="s">
        <v>83</v>
      </c>
      <c r="M1513" t="s">
        <v>205</v>
      </c>
      <c r="N1513">
        <v>1</v>
      </c>
      <c r="O1513" t="b">
        <v>1</v>
      </c>
      <c r="P1513">
        <v>0</v>
      </c>
      <c r="BB1513">
        <v>0</v>
      </c>
      <c r="BC1513" t="s">
        <v>259</v>
      </c>
      <c r="BD1513" t="s">
        <v>294</v>
      </c>
      <c r="BE1513" t="s">
        <v>117</v>
      </c>
      <c r="BF1513">
        <v>0</v>
      </c>
      <c r="BG1513">
        <v>10</v>
      </c>
      <c r="BH1513">
        <v>150</v>
      </c>
      <c r="BI1513" t="s">
        <v>295</v>
      </c>
    </row>
    <row r="1514" spans="1:61">
      <c r="A1514" s="164" t="s">
        <v>3713</v>
      </c>
      <c r="B1514" t="s">
        <v>3714</v>
      </c>
      <c r="C1514">
        <v>0</v>
      </c>
      <c r="D1514" t="s">
        <v>304</v>
      </c>
      <c r="E1514">
        <v>0</v>
      </c>
      <c r="F1514" t="s">
        <v>269</v>
      </c>
      <c r="G1514" t="s">
        <v>103</v>
      </c>
      <c r="H1514" t="s">
        <v>104</v>
      </c>
      <c r="I1514" t="s">
        <v>80</v>
      </c>
      <c r="J1514" t="s">
        <v>196</v>
      </c>
      <c r="K1514" t="s">
        <v>13</v>
      </c>
      <c r="L1514" t="s">
        <v>83</v>
      </c>
      <c r="M1514" t="s">
        <v>84</v>
      </c>
      <c r="N1514">
        <v>1</v>
      </c>
      <c r="O1514" t="b">
        <v>0</v>
      </c>
      <c r="P1514">
        <v>0</v>
      </c>
      <c r="BB1514">
        <v>0</v>
      </c>
      <c r="BC1514" t="s">
        <v>306</v>
      </c>
      <c r="BD1514" t="s">
        <v>270</v>
      </c>
      <c r="BE1514" t="s">
        <v>117</v>
      </c>
      <c r="BF1514">
        <v>0</v>
      </c>
      <c r="BG1514">
        <v>0</v>
      </c>
      <c r="BH1514">
        <v>0</v>
      </c>
    </row>
    <row r="1515" spans="1:61">
      <c r="A1515" s="164" t="s">
        <v>3715</v>
      </c>
      <c r="B1515" t="s">
        <v>3716</v>
      </c>
      <c r="C1515">
        <v>0</v>
      </c>
      <c r="D1515" t="s">
        <v>304</v>
      </c>
      <c r="E1515">
        <v>0</v>
      </c>
      <c r="F1515" t="s">
        <v>313</v>
      </c>
      <c r="G1515" t="s">
        <v>78</v>
      </c>
      <c r="H1515" t="s">
        <v>79</v>
      </c>
      <c r="I1515" t="s">
        <v>80</v>
      </c>
      <c r="J1515" t="s">
        <v>196</v>
      </c>
      <c r="K1515" t="s">
        <v>13</v>
      </c>
      <c r="L1515" t="s">
        <v>83</v>
      </c>
      <c r="M1515" t="s">
        <v>84</v>
      </c>
      <c r="N1515">
        <v>1</v>
      </c>
      <c r="O1515" t="b">
        <v>1</v>
      </c>
      <c r="P1515">
        <v>0</v>
      </c>
      <c r="BB1515">
        <v>0</v>
      </c>
      <c r="BC1515" t="s">
        <v>306</v>
      </c>
      <c r="BD1515" t="s">
        <v>314</v>
      </c>
      <c r="BE1515" t="s">
        <v>117</v>
      </c>
      <c r="BF1515">
        <v>0</v>
      </c>
      <c r="BG1515">
        <v>45</v>
      </c>
      <c r="BH1515">
        <v>25000</v>
      </c>
      <c r="BI1515" t="s">
        <v>315</v>
      </c>
    </row>
    <row r="1516" spans="1:61">
      <c r="A1516" s="164" t="s">
        <v>3717</v>
      </c>
      <c r="B1516" t="s">
        <v>3718</v>
      </c>
      <c r="C1516">
        <v>0</v>
      </c>
      <c r="D1516" t="s">
        <v>304</v>
      </c>
      <c r="E1516">
        <v>0</v>
      </c>
      <c r="F1516" t="s">
        <v>357</v>
      </c>
      <c r="G1516" t="s">
        <v>78</v>
      </c>
      <c r="H1516" t="s">
        <v>79</v>
      </c>
      <c r="I1516" t="s">
        <v>80</v>
      </c>
      <c r="J1516" t="s">
        <v>196</v>
      </c>
      <c r="K1516" t="s">
        <v>13</v>
      </c>
      <c r="L1516" t="s">
        <v>83</v>
      </c>
      <c r="M1516" t="s">
        <v>84</v>
      </c>
      <c r="N1516">
        <v>1</v>
      </c>
      <c r="O1516" t="b">
        <v>1</v>
      </c>
      <c r="P1516">
        <v>0</v>
      </c>
      <c r="BB1516">
        <v>0</v>
      </c>
      <c r="BC1516" t="s">
        <v>306</v>
      </c>
      <c r="BD1516" t="s">
        <v>358</v>
      </c>
      <c r="BE1516" t="s">
        <v>117</v>
      </c>
      <c r="BF1516">
        <v>0</v>
      </c>
      <c r="BG1516">
        <v>25</v>
      </c>
      <c r="BH1516">
        <v>500</v>
      </c>
      <c r="BI1516" t="s">
        <v>359</v>
      </c>
    </row>
    <row r="1517" spans="1:61">
      <c r="A1517" s="164" t="s">
        <v>3719</v>
      </c>
      <c r="B1517" t="s">
        <v>3720</v>
      </c>
      <c r="C1517">
        <v>0</v>
      </c>
      <c r="D1517" t="s">
        <v>304</v>
      </c>
      <c r="E1517">
        <v>0</v>
      </c>
      <c r="F1517" t="s">
        <v>1672</v>
      </c>
      <c r="G1517" t="s">
        <v>78</v>
      </c>
      <c r="H1517" t="s">
        <v>79</v>
      </c>
      <c r="I1517" t="s">
        <v>80</v>
      </c>
      <c r="J1517" t="s">
        <v>196</v>
      </c>
      <c r="K1517" t="s">
        <v>13</v>
      </c>
      <c r="L1517" t="s">
        <v>83</v>
      </c>
      <c r="M1517" t="s">
        <v>84</v>
      </c>
      <c r="N1517">
        <v>1</v>
      </c>
      <c r="O1517" t="b">
        <v>1</v>
      </c>
      <c r="P1517">
        <v>0</v>
      </c>
      <c r="BB1517">
        <v>0</v>
      </c>
      <c r="BC1517" t="s">
        <v>306</v>
      </c>
      <c r="BD1517" t="s">
        <v>1673</v>
      </c>
      <c r="BE1517" t="s">
        <v>117</v>
      </c>
      <c r="BF1517">
        <v>0</v>
      </c>
      <c r="BG1517">
        <v>30</v>
      </c>
      <c r="BH1517">
        <v>400000</v>
      </c>
      <c r="BI1517" t="s">
        <v>3721</v>
      </c>
    </row>
    <row r="1518" spans="1:61">
      <c r="A1518" s="164" t="s">
        <v>3722</v>
      </c>
      <c r="B1518" t="s">
        <v>3723</v>
      </c>
      <c r="C1518">
        <v>0</v>
      </c>
      <c r="D1518" t="s">
        <v>304</v>
      </c>
      <c r="E1518">
        <v>0</v>
      </c>
      <c r="F1518" t="s">
        <v>331</v>
      </c>
      <c r="G1518" t="s">
        <v>78</v>
      </c>
      <c r="H1518" t="s">
        <v>79</v>
      </c>
      <c r="I1518" t="s">
        <v>80</v>
      </c>
      <c r="J1518" t="s">
        <v>196</v>
      </c>
      <c r="K1518" t="s">
        <v>13</v>
      </c>
      <c r="L1518" t="s">
        <v>83</v>
      </c>
      <c r="M1518" t="s">
        <v>84</v>
      </c>
      <c r="N1518">
        <v>1</v>
      </c>
      <c r="O1518" t="b">
        <v>1</v>
      </c>
      <c r="P1518">
        <v>0</v>
      </c>
      <c r="BB1518">
        <v>0</v>
      </c>
      <c r="BC1518" t="s">
        <v>306</v>
      </c>
      <c r="BD1518" t="s">
        <v>332</v>
      </c>
      <c r="BE1518" t="s">
        <v>117</v>
      </c>
      <c r="BF1518">
        <v>0</v>
      </c>
      <c r="BG1518">
        <v>30</v>
      </c>
      <c r="BH1518">
        <v>400000</v>
      </c>
      <c r="BI1518" t="s">
        <v>3721</v>
      </c>
    </row>
    <row r="1519" spans="1:61">
      <c r="A1519" s="164" t="s">
        <v>3724</v>
      </c>
      <c r="B1519" t="s">
        <v>3725</v>
      </c>
      <c r="C1519">
        <v>0</v>
      </c>
      <c r="D1519" t="s">
        <v>304</v>
      </c>
      <c r="E1519">
        <v>0</v>
      </c>
      <c r="F1519" t="s">
        <v>666</v>
      </c>
      <c r="G1519" t="s">
        <v>78</v>
      </c>
      <c r="H1519" t="s">
        <v>79</v>
      </c>
      <c r="I1519" t="s">
        <v>80</v>
      </c>
      <c r="J1519" t="s">
        <v>196</v>
      </c>
      <c r="K1519" t="s">
        <v>13</v>
      </c>
      <c r="L1519" t="s">
        <v>83</v>
      </c>
      <c r="M1519" t="s">
        <v>84</v>
      </c>
      <c r="N1519">
        <v>1</v>
      </c>
      <c r="O1519" t="b">
        <v>1</v>
      </c>
      <c r="P1519">
        <v>0</v>
      </c>
      <c r="BB1519">
        <v>0</v>
      </c>
      <c r="BC1519" t="s">
        <v>306</v>
      </c>
      <c r="BD1519" t="s">
        <v>667</v>
      </c>
      <c r="BE1519" t="s">
        <v>117</v>
      </c>
      <c r="BF1519">
        <v>0</v>
      </c>
      <c r="BG1519">
        <v>45</v>
      </c>
      <c r="BH1519">
        <v>60000</v>
      </c>
      <c r="BI1519" t="s">
        <v>315</v>
      </c>
    </row>
    <row r="1520" spans="1:61">
      <c r="A1520" s="164" t="s">
        <v>3726</v>
      </c>
      <c r="B1520" t="s">
        <v>3727</v>
      </c>
      <c r="C1520">
        <v>0</v>
      </c>
      <c r="D1520" t="s">
        <v>304</v>
      </c>
      <c r="E1520">
        <v>0</v>
      </c>
      <c r="F1520" t="s">
        <v>336</v>
      </c>
      <c r="G1520" t="s">
        <v>78</v>
      </c>
      <c r="H1520" t="s">
        <v>79</v>
      </c>
      <c r="I1520" t="s">
        <v>80</v>
      </c>
      <c r="J1520" t="s">
        <v>196</v>
      </c>
      <c r="K1520" t="s">
        <v>13</v>
      </c>
      <c r="L1520" t="s">
        <v>83</v>
      </c>
      <c r="M1520" t="s">
        <v>84</v>
      </c>
      <c r="N1520">
        <v>1</v>
      </c>
      <c r="O1520" t="b">
        <v>1</v>
      </c>
      <c r="P1520">
        <v>0</v>
      </c>
      <c r="BB1520">
        <v>0</v>
      </c>
      <c r="BC1520" t="s">
        <v>306</v>
      </c>
      <c r="BD1520" t="s">
        <v>337</v>
      </c>
      <c r="BE1520" t="s">
        <v>117</v>
      </c>
      <c r="BF1520">
        <v>0</v>
      </c>
      <c r="BG1520">
        <v>30</v>
      </c>
      <c r="BH1520">
        <v>30000</v>
      </c>
      <c r="BI1520" t="s">
        <v>593</v>
      </c>
    </row>
    <row r="1521" spans="1:61">
      <c r="A1521" s="164" t="s">
        <v>3728</v>
      </c>
      <c r="B1521" t="s">
        <v>3729</v>
      </c>
      <c r="C1521">
        <v>0</v>
      </c>
      <c r="D1521" t="s">
        <v>304</v>
      </c>
      <c r="E1521">
        <v>0</v>
      </c>
      <c r="F1521" t="s">
        <v>357</v>
      </c>
      <c r="G1521" t="s">
        <v>78</v>
      </c>
      <c r="H1521" t="s">
        <v>79</v>
      </c>
      <c r="I1521" t="s">
        <v>80</v>
      </c>
      <c r="J1521" t="s">
        <v>196</v>
      </c>
      <c r="K1521" t="s">
        <v>13</v>
      </c>
      <c r="L1521" t="s">
        <v>83</v>
      </c>
      <c r="M1521" t="s">
        <v>84</v>
      </c>
      <c r="N1521">
        <v>1</v>
      </c>
      <c r="O1521" t="b">
        <v>1</v>
      </c>
      <c r="P1521">
        <v>0</v>
      </c>
      <c r="BB1521">
        <v>0</v>
      </c>
      <c r="BC1521" t="s">
        <v>306</v>
      </c>
      <c r="BD1521" t="s">
        <v>358</v>
      </c>
      <c r="BE1521" t="s">
        <v>117</v>
      </c>
      <c r="BF1521">
        <v>0</v>
      </c>
      <c r="BG1521">
        <v>25</v>
      </c>
      <c r="BH1521">
        <v>500</v>
      </c>
      <c r="BI1521" t="s">
        <v>359</v>
      </c>
    </row>
    <row r="1522" spans="1:61">
      <c r="A1522" s="164" t="s">
        <v>3730</v>
      </c>
      <c r="B1522" t="s">
        <v>3731</v>
      </c>
      <c r="C1522">
        <v>0</v>
      </c>
      <c r="D1522" t="s">
        <v>304</v>
      </c>
      <c r="E1522">
        <v>0</v>
      </c>
      <c r="F1522" t="s">
        <v>305</v>
      </c>
      <c r="G1522" t="s">
        <v>78</v>
      </c>
      <c r="H1522" t="s">
        <v>79</v>
      </c>
      <c r="I1522" t="s">
        <v>80</v>
      </c>
      <c r="J1522" t="s">
        <v>196</v>
      </c>
      <c r="K1522" t="s">
        <v>13</v>
      </c>
      <c r="L1522" t="s">
        <v>83</v>
      </c>
      <c r="M1522" t="s">
        <v>84</v>
      </c>
      <c r="N1522">
        <v>1</v>
      </c>
      <c r="O1522" t="b">
        <v>1</v>
      </c>
      <c r="P1522">
        <v>0</v>
      </c>
      <c r="BB1522">
        <v>0</v>
      </c>
      <c r="BC1522" t="s">
        <v>306</v>
      </c>
      <c r="BD1522" t="s">
        <v>307</v>
      </c>
      <c r="BE1522" t="s">
        <v>117</v>
      </c>
      <c r="BF1522">
        <v>0</v>
      </c>
      <c r="BG1522">
        <v>25</v>
      </c>
      <c r="BH1522">
        <v>10000</v>
      </c>
      <c r="BI1522" t="s">
        <v>308</v>
      </c>
    </row>
    <row r="1523" spans="1:61">
      <c r="A1523" s="164" t="s">
        <v>3732</v>
      </c>
      <c r="B1523" t="s">
        <v>3733</v>
      </c>
      <c r="C1523">
        <v>0</v>
      </c>
      <c r="D1523" t="s">
        <v>304</v>
      </c>
      <c r="E1523">
        <v>0</v>
      </c>
      <c r="F1523" t="s">
        <v>305</v>
      </c>
      <c r="G1523" t="s">
        <v>78</v>
      </c>
      <c r="H1523" t="s">
        <v>79</v>
      </c>
      <c r="I1523" t="s">
        <v>80</v>
      </c>
      <c r="J1523" t="s">
        <v>196</v>
      </c>
      <c r="K1523" t="s">
        <v>13</v>
      </c>
      <c r="L1523" t="s">
        <v>83</v>
      </c>
      <c r="M1523" t="s">
        <v>84</v>
      </c>
      <c r="N1523">
        <v>1</v>
      </c>
      <c r="O1523" t="b">
        <v>1</v>
      </c>
      <c r="P1523">
        <v>0</v>
      </c>
      <c r="BB1523">
        <v>0</v>
      </c>
      <c r="BC1523" t="s">
        <v>306</v>
      </c>
      <c r="BD1523" t="s">
        <v>307</v>
      </c>
      <c r="BE1523" t="s">
        <v>117</v>
      </c>
      <c r="BF1523">
        <v>0</v>
      </c>
      <c r="BG1523">
        <v>25</v>
      </c>
      <c r="BH1523">
        <v>10000</v>
      </c>
      <c r="BI1523" t="s">
        <v>308</v>
      </c>
    </row>
    <row r="1524" spans="1:61">
      <c r="A1524" s="164" t="s">
        <v>3734</v>
      </c>
      <c r="B1524" t="s">
        <v>3735</v>
      </c>
      <c r="C1524">
        <v>0</v>
      </c>
      <c r="D1524" t="s">
        <v>304</v>
      </c>
      <c r="E1524">
        <v>0</v>
      </c>
      <c r="F1524" t="s">
        <v>269</v>
      </c>
      <c r="G1524" t="s">
        <v>103</v>
      </c>
      <c r="H1524" t="s">
        <v>104</v>
      </c>
      <c r="I1524" t="s">
        <v>80</v>
      </c>
      <c r="J1524" t="s">
        <v>196</v>
      </c>
      <c r="K1524" t="s">
        <v>13</v>
      </c>
      <c r="L1524" t="s">
        <v>83</v>
      </c>
      <c r="M1524" t="s">
        <v>84</v>
      </c>
      <c r="N1524">
        <v>1</v>
      </c>
      <c r="O1524" t="b">
        <v>0</v>
      </c>
      <c r="P1524">
        <v>0</v>
      </c>
      <c r="BB1524">
        <v>0</v>
      </c>
      <c r="BC1524" t="s">
        <v>306</v>
      </c>
      <c r="BD1524" t="s">
        <v>270</v>
      </c>
      <c r="BE1524" t="s">
        <v>117</v>
      </c>
      <c r="BF1524">
        <v>0</v>
      </c>
      <c r="BG1524">
        <v>0</v>
      </c>
      <c r="BH1524">
        <v>0</v>
      </c>
    </row>
    <row r="1525" spans="1:61">
      <c r="A1525" s="164" t="s">
        <v>3736</v>
      </c>
      <c r="B1525" t="s">
        <v>3737</v>
      </c>
      <c r="C1525">
        <v>0</v>
      </c>
      <c r="D1525" t="s">
        <v>304</v>
      </c>
      <c r="E1525">
        <v>0</v>
      </c>
      <c r="F1525" t="s">
        <v>342</v>
      </c>
      <c r="G1525" t="s">
        <v>78</v>
      </c>
      <c r="H1525" t="s">
        <v>79</v>
      </c>
      <c r="I1525" t="s">
        <v>80</v>
      </c>
      <c r="J1525" t="s">
        <v>196</v>
      </c>
      <c r="K1525" t="s">
        <v>13</v>
      </c>
      <c r="L1525" t="s">
        <v>83</v>
      </c>
      <c r="M1525" t="s">
        <v>84</v>
      </c>
      <c r="N1525">
        <v>1</v>
      </c>
      <c r="O1525" t="b">
        <v>1</v>
      </c>
      <c r="P1525">
        <v>0</v>
      </c>
      <c r="BB1525">
        <v>0</v>
      </c>
      <c r="BC1525" t="s">
        <v>306</v>
      </c>
      <c r="BD1525" t="s">
        <v>343</v>
      </c>
      <c r="BE1525" t="s">
        <v>117</v>
      </c>
      <c r="BF1525">
        <v>0</v>
      </c>
      <c r="BG1525">
        <v>25</v>
      </c>
      <c r="BH1525">
        <v>10000</v>
      </c>
      <c r="BI1525" t="s">
        <v>344</v>
      </c>
    </row>
    <row r="1526" spans="1:61">
      <c r="A1526" s="164" t="s">
        <v>3738</v>
      </c>
      <c r="B1526" t="s">
        <v>3739</v>
      </c>
      <c r="C1526">
        <v>0</v>
      </c>
      <c r="D1526" t="s">
        <v>304</v>
      </c>
      <c r="E1526">
        <v>0</v>
      </c>
      <c r="F1526" t="s">
        <v>269</v>
      </c>
      <c r="G1526" t="s">
        <v>103</v>
      </c>
      <c r="H1526" t="s">
        <v>104</v>
      </c>
      <c r="I1526" t="s">
        <v>80</v>
      </c>
      <c r="J1526" t="s">
        <v>196</v>
      </c>
      <c r="K1526" t="s">
        <v>13</v>
      </c>
      <c r="L1526" t="s">
        <v>83</v>
      </c>
      <c r="M1526" t="s">
        <v>84</v>
      </c>
      <c r="N1526">
        <v>1</v>
      </c>
      <c r="O1526" t="b">
        <v>0</v>
      </c>
      <c r="P1526">
        <v>0</v>
      </c>
      <c r="BB1526">
        <v>0</v>
      </c>
      <c r="BC1526" t="s">
        <v>306</v>
      </c>
      <c r="BD1526" t="s">
        <v>270</v>
      </c>
      <c r="BE1526" t="s">
        <v>117</v>
      </c>
      <c r="BF1526">
        <v>0</v>
      </c>
      <c r="BG1526">
        <v>0</v>
      </c>
      <c r="BH1526">
        <v>0</v>
      </c>
    </row>
    <row r="1527" spans="1:61">
      <c r="A1527" s="164" t="s">
        <v>3740</v>
      </c>
      <c r="B1527" t="s">
        <v>3741</v>
      </c>
      <c r="C1527">
        <v>0</v>
      </c>
      <c r="D1527" t="s">
        <v>304</v>
      </c>
      <c r="E1527">
        <v>0</v>
      </c>
      <c r="F1527" t="s">
        <v>269</v>
      </c>
      <c r="G1527" t="s">
        <v>103</v>
      </c>
      <c r="H1527" t="s">
        <v>104</v>
      </c>
      <c r="I1527" t="s">
        <v>80</v>
      </c>
      <c r="J1527" t="s">
        <v>196</v>
      </c>
      <c r="K1527" t="s">
        <v>13</v>
      </c>
      <c r="L1527" t="s">
        <v>83</v>
      </c>
      <c r="M1527" t="s">
        <v>84</v>
      </c>
      <c r="N1527">
        <v>1</v>
      </c>
      <c r="O1527" t="b">
        <v>0</v>
      </c>
      <c r="P1527">
        <v>0</v>
      </c>
      <c r="BB1527">
        <v>0</v>
      </c>
      <c r="BC1527" t="s">
        <v>306</v>
      </c>
      <c r="BD1527" t="s">
        <v>270</v>
      </c>
      <c r="BE1527" t="s">
        <v>117</v>
      </c>
      <c r="BF1527">
        <v>0</v>
      </c>
      <c r="BG1527">
        <v>0</v>
      </c>
      <c r="BH1527">
        <v>0</v>
      </c>
    </row>
    <row r="1528" spans="1:61">
      <c r="A1528" s="164" t="s">
        <v>3742</v>
      </c>
      <c r="B1528" t="s">
        <v>3743</v>
      </c>
      <c r="C1528">
        <v>0</v>
      </c>
      <c r="D1528" t="s">
        <v>304</v>
      </c>
      <c r="E1528">
        <v>0</v>
      </c>
      <c r="F1528" t="s">
        <v>357</v>
      </c>
      <c r="G1528" t="s">
        <v>78</v>
      </c>
      <c r="H1528" t="s">
        <v>79</v>
      </c>
      <c r="I1528" t="s">
        <v>80</v>
      </c>
      <c r="J1528" t="s">
        <v>196</v>
      </c>
      <c r="K1528" t="s">
        <v>13</v>
      </c>
      <c r="L1528" t="s">
        <v>83</v>
      </c>
      <c r="M1528" t="s">
        <v>84</v>
      </c>
      <c r="N1528">
        <v>1</v>
      </c>
      <c r="O1528" t="b">
        <v>1</v>
      </c>
      <c r="P1528">
        <v>0</v>
      </c>
      <c r="BB1528">
        <v>0</v>
      </c>
      <c r="BC1528" t="s">
        <v>306</v>
      </c>
      <c r="BD1528" t="s">
        <v>358</v>
      </c>
      <c r="BE1528" t="s">
        <v>117</v>
      </c>
      <c r="BF1528">
        <v>0</v>
      </c>
      <c r="BG1528">
        <v>25</v>
      </c>
      <c r="BH1528">
        <v>500</v>
      </c>
      <c r="BI1528" t="s">
        <v>359</v>
      </c>
    </row>
    <row r="1529" spans="1:61">
      <c r="A1529" s="164" t="s">
        <v>3744</v>
      </c>
      <c r="B1529" t="s">
        <v>3745</v>
      </c>
      <c r="C1529">
        <v>0</v>
      </c>
      <c r="D1529" t="s">
        <v>304</v>
      </c>
      <c r="E1529">
        <v>0</v>
      </c>
      <c r="F1529" t="s">
        <v>269</v>
      </c>
      <c r="G1529" t="s">
        <v>103</v>
      </c>
      <c r="H1529" t="s">
        <v>104</v>
      </c>
      <c r="I1529" t="s">
        <v>80</v>
      </c>
      <c r="J1529" t="s">
        <v>196</v>
      </c>
      <c r="K1529" t="s">
        <v>13</v>
      </c>
      <c r="L1529" t="s">
        <v>83</v>
      </c>
      <c r="M1529" t="s">
        <v>84</v>
      </c>
      <c r="N1529">
        <v>1</v>
      </c>
      <c r="O1529" t="b">
        <v>0</v>
      </c>
      <c r="P1529">
        <v>0</v>
      </c>
      <c r="BB1529">
        <v>0</v>
      </c>
      <c r="BC1529" t="s">
        <v>306</v>
      </c>
      <c r="BD1529" t="s">
        <v>270</v>
      </c>
      <c r="BE1529" t="s">
        <v>117</v>
      </c>
      <c r="BF1529">
        <v>0</v>
      </c>
      <c r="BG1529">
        <v>0</v>
      </c>
      <c r="BH1529">
        <v>0</v>
      </c>
    </row>
    <row r="1530" spans="1:61">
      <c r="A1530" s="164" t="s">
        <v>3746</v>
      </c>
      <c r="B1530" t="s">
        <v>3747</v>
      </c>
      <c r="C1530">
        <v>0</v>
      </c>
      <c r="D1530" t="s">
        <v>304</v>
      </c>
      <c r="E1530">
        <v>0</v>
      </c>
      <c r="F1530" t="s">
        <v>305</v>
      </c>
      <c r="G1530" t="s">
        <v>78</v>
      </c>
      <c r="H1530" t="s">
        <v>79</v>
      </c>
      <c r="I1530" t="s">
        <v>80</v>
      </c>
      <c r="J1530" t="s">
        <v>196</v>
      </c>
      <c r="K1530" t="s">
        <v>13</v>
      </c>
      <c r="L1530" t="s">
        <v>83</v>
      </c>
      <c r="M1530" t="s">
        <v>84</v>
      </c>
      <c r="N1530">
        <v>1</v>
      </c>
      <c r="O1530" t="b">
        <v>1</v>
      </c>
      <c r="P1530">
        <v>0</v>
      </c>
      <c r="BB1530">
        <v>0</v>
      </c>
      <c r="BC1530" t="s">
        <v>306</v>
      </c>
      <c r="BD1530" t="s">
        <v>307</v>
      </c>
      <c r="BE1530" t="s">
        <v>117</v>
      </c>
      <c r="BF1530">
        <v>0</v>
      </c>
      <c r="BG1530">
        <v>25</v>
      </c>
      <c r="BH1530">
        <v>10000</v>
      </c>
      <c r="BI1530" t="s">
        <v>308</v>
      </c>
    </row>
    <row r="1531" spans="1:61">
      <c r="A1531" s="164" t="s">
        <v>3748</v>
      </c>
      <c r="B1531" t="s">
        <v>3749</v>
      </c>
      <c r="C1531">
        <v>0</v>
      </c>
      <c r="D1531" t="s">
        <v>304</v>
      </c>
      <c r="E1531">
        <v>0</v>
      </c>
      <c r="F1531" t="s">
        <v>589</v>
      </c>
      <c r="G1531" t="s">
        <v>78</v>
      </c>
      <c r="H1531" t="s">
        <v>79</v>
      </c>
      <c r="I1531" t="s">
        <v>80</v>
      </c>
      <c r="J1531" t="s">
        <v>196</v>
      </c>
      <c r="K1531" t="s">
        <v>13</v>
      </c>
      <c r="L1531" t="s">
        <v>83</v>
      </c>
      <c r="M1531" t="s">
        <v>84</v>
      </c>
      <c r="N1531">
        <v>1</v>
      </c>
      <c r="O1531" t="b">
        <v>1</v>
      </c>
      <c r="P1531">
        <v>0</v>
      </c>
      <c r="BB1531">
        <v>0</v>
      </c>
      <c r="BC1531" t="s">
        <v>306</v>
      </c>
      <c r="BD1531" t="s">
        <v>590</v>
      </c>
      <c r="BE1531" t="s">
        <v>117</v>
      </c>
      <c r="BF1531">
        <v>0</v>
      </c>
      <c r="BG1531">
        <v>25</v>
      </c>
      <c r="BH1531">
        <v>10000</v>
      </c>
      <c r="BI1531" t="s">
        <v>344</v>
      </c>
    </row>
    <row r="1532" spans="1:61">
      <c r="A1532" s="164" t="s">
        <v>3750</v>
      </c>
      <c r="B1532" t="s">
        <v>3751</v>
      </c>
      <c r="C1532">
        <v>0</v>
      </c>
      <c r="D1532" t="s">
        <v>304</v>
      </c>
      <c r="E1532">
        <v>0</v>
      </c>
      <c r="F1532" t="s">
        <v>269</v>
      </c>
      <c r="G1532" t="s">
        <v>103</v>
      </c>
      <c r="H1532" t="s">
        <v>104</v>
      </c>
      <c r="I1532" t="s">
        <v>80</v>
      </c>
      <c r="J1532" t="s">
        <v>196</v>
      </c>
      <c r="K1532" t="s">
        <v>13</v>
      </c>
      <c r="L1532" t="s">
        <v>83</v>
      </c>
      <c r="M1532" t="s">
        <v>84</v>
      </c>
      <c r="N1532">
        <v>1</v>
      </c>
      <c r="O1532" t="b">
        <v>0</v>
      </c>
      <c r="P1532">
        <v>0</v>
      </c>
      <c r="BB1532">
        <v>0</v>
      </c>
      <c r="BC1532" t="s">
        <v>306</v>
      </c>
      <c r="BD1532" t="s">
        <v>270</v>
      </c>
      <c r="BE1532" t="s">
        <v>117</v>
      </c>
      <c r="BF1532">
        <v>0</v>
      </c>
      <c r="BG1532">
        <v>0</v>
      </c>
      <c r="BH1532">
        <v>0</v>
      </c>
    </row>
    <row r="1533" spans="1:61">
      <c r="A1533" s="164" t="s">
        <v>3752</v>
      </c>
      <c r="B1533" t="s">
        <v>3753</v>
      </c>
      <c r="C1533">
        <v>0</v>
      </c>
      <c r="D1533" t="s">
        <v>304</v>
      </c>
      <c r="E1533">
        <v>0</v>
      </c>
      <c r="F1533" t="s">
        <v>269</v>
      </c>
      <c r="G1533" t="s">
        <v>103</v>
      </c>
      <c r="H1533" t="s">
        <v>104</v>
      </c>
      <c r="I1533" t="s">
        <v>80</v>
      </c>
      <c r="J1533" t="s">
        <v>196</v>
      </c>
      <c r="K1533" t="s">
        <v>13</v>
      </c>
      <c r="L1533" t="s">
        <v>83</v>
      </c>
      <c r="M1533" t="s">
        <v>84</v>
      </c>
      <c r="N1533">
        <v>1</v>
      </c>
      <c r="O1533" t="b">
        <v>0</v>
      </c>
      <c r="P1533">
        <v>0</v>
      </c>
      <c r="BB1533">
        <v>0</v>
      </c>
      <c r="BC1533" t="s">
        <v>306</v>
      </c>
      <c r="BD1533" t="s">
        <v>270</v>
      </c>
      <c r="BE1533" t="s">
        <v>117</v>
      </c>
      <c r="BF1533">
        <v>0</v>
      </c>
      <c r="BG1533">
        <v>0</v>
      </c>
      <c r="BH1533">
        <v>0</v>
      </c>
    </row>
    <row r="1534" spans="1:61">
      <c r="A1534" s="164" t="s">
        <v>3754</v>
      </c>
      <c r="B1534" t="s">
        <v>3755</v>
      </c>
      <c r="C1534">
        <v>0</v>
      </c>
      <c r="D1534" t="s">
        <v>304</v>
      </c>
      <c r="E1534">
        <v>0</v>
      </c>
      <c r="F1534" t="s">
        <v>269</v>
      </c>
      <c r="G1534" t="s">
        <v>103</v>
      </c>
      <c r="H1534" t="s">
        <v>104</v>
      </c>
      <c r="I1534" t="s">
        <v>80</v>
      </c>
      <c r="J1534" t="s">
        <v>196</v>
      </c>
      <c r="K1534" t="s">
        <v>13</v>
      </c>
      <c r="L1534" t="s">
        <v>83</v>
      </c>
      <c r="M1534" t="s">
        <v>205</v>
      </c>
      <c r="N1534">
        <v>1</v>
      </c>
      <c r="O1534" t="b">
        <v>0</v>
      </c>
      <c r="P1534">
        <v>0</v>
      </c>
      <c r="BB1534">
        <v>0</v>
      </c>
      <c r="BC1534" t="s">
        <v>306</v>
      </c>
      <c r="BD1534" t="s">
        <v>270</v>
      </c>
      <c r="BE1534" t="s">
        <v>117</v>
      </c>
      <c r="BF1534">
        <v>0</v>
      </c>
      <c r="BG1534">
        <v>0</v>
      </c>
      <c r="BH1534">
        <v>0</v>
      </c>
    </row>
    <row r="1535" spans="1:61">
      <c r="A1535" s="164" t="s">
        <v>3756</v>
      </c>
      <c r="B1535" t="s">
        <v>3757</v>
      </c>
      <c r="C1535">
        <v>0</v>
      </c>
      <c r="D1535" t="s">
        <v>304</v>
      </c>
      <c r="E1535">
        <v>0</v>
      </c>
      <c r="F1535" t="s">
        <v>269</v>
      </c>
      <c r="G1535" t="s">
        <v>103</v>
      </c>
      <c r="H1535" t="s">
        <v>104</v>
      </c>
      <c r="I1535" t="s">
        <v>80</v>
      </c>
      <c r="J1535" t="s">
        <v>196</v>
      </c>
      <c r="K1535" t="s">
        <v>13</v>
      </c>
      <c r="L1535" t="s">
        <v>83</v>
      </c>
      <c r="M1535" t="s">
        <v>84</v>
      </c>
      <c r="N1535">
        <v>1</v>
      </c>
      <c r="O1535" t="b">
        <v>0</v>
      </c>
      <c r="P1535">
        <v>0</v>
      </c>
      <c r="BB1535">
        <v>0</v>
      </c>
      <c r="BC1535" t="s">
        <v>306</v>
      </c>
      <c r="BD1535" t="s">
        <v>270</v>
      </c>
      <c r="BE1535" t="s">
        <v>117</v>
      </c>
      <c r="BF1535">
        <v>0</v>
      </c>
      <c r="BG1535">
        <v>0</v>
      </c>
      <c r="BH1535">
        <v>0</v>
      </c>
    </row>
    <row r="1536" spans="1:61">
      <c r="A1536" s="164" t="s">
        <v>3758</v>
      </c>
      <c r="B1536" t="s">
        <v>3759</v>
      </c>
      <c r="C1536">
        <v>0</v>
      </c>
      <c r="D1536" t="s">
        <v>304</v>
      </c>
      <c r="E1536">
        <v>0</v>
      </c>
      <c r="F1536" t="s">
        <v>305</v>
      </c>
      <c r="G1536" t="s">
        <v>78</v>
      </c>
      <c r="H1536" t="s">
        <v>79</v>
      </c>
      <c r="I1536" t="s">
        <v>80</v>
      </c>
      <c r="J1536" t="s">
        <v>196</v>
      </c>
      <c r="K1536" t="s">
        <v>13</v>
      </c>
      <c r="L1536" t="s">
        <v>83</v>
      </c>
      <c r="M1536" t="s">
        <v>84</v>
      </c>
      <c r="N1536">
        <v>1</v>
      </c>
      <c r="O1536" t="b">
        <v>1</v>
      </c>
      <c r="P1536">
        <v>0</v>
      </c>
      <c r="BB1536">
        <v>0</v>
      </c>
      <c r="BC1536" t="s">
        <v>306</v>
      </c>
      <c r="BD1536" t="s">
        <v>307</v>
      </c>
      <c r="BE1536" t="s">
        <v>117</v>
      </c>
      <c r="BF1536">
        <v>0</v>
      </c>
      <c r="BG1536">
        <v>25</v>
      </c>
      <c r="BH1536">
        <v>10000</v>
      </c>
      <c r="BI1536" t="s">
        <v>308</v>
      </c>
    </row>
    <row r="1537" spans="1:61">
      <c r="A1537" s="164" t="s">
        <v>3760</v>
      </c>
      <c r="B1537" t="s">
        <v>3761</v>
      </c>
      <c r="C1537">
        <v>0</v>
      </c>
      <c r="D1537" t="s">
        <v>304</v>
      </c>
      <c r="E1537">
        <v>0</v>
      </c>
      <c r="F1537" t="s">
        <v>305</v>
      </c>
      <c r="G1537" t="s">
        <v>78</v>
      </c>
      <c r="H1537" t="s">
        <v>79</v>
      </c>
      <c r="I1537" t="s">
        <v>80</v>
      </c>
      <c r="J1537" t="s">
        <v>196</v>
      </c>
      <c r="K1537" t="s">
        <v>13</v>
      </c>
      <c r="L1537" t="s">
        <v>83</v>
      </c>
      <c r="M1537" t="s">
        <v>84</v>
      </c>
      <c r="N1537">
        <v>1</v>
      </c>
      <c r="O1537" t="b">
        <v>1</v>
      </c>
      <c r="P1537">
        <v>0</v>
      </c>
      <c r="BB1537">
        <v>0</v>
      </c>
      <c r="BC1537" t="s">
        <v>306</v>
      </c>
      <c r="BD1537" t="s">
        <v>307</v>
      </c>
      <c r="BE1537" t="s">
        <v>117</v>
      </c>
      <c r="BF1537">
        <v>0</v>
      </c>
      <c r="BG1537">
        <v>25</v>
      </c>
      <c r="BH1537">
        <v>10000</v>
      </c>
      <c r="BI1537" t="s">
        <v>308</v>
      </c>
    </row>
    <row r="1538" spans="1:61">
      <c r="A1538" s="164" t="s">
        <v>3762</v>
      </c>
      <c r="B1538" t="s">
        <v>3763</v>
      </c>
      <c r="C1538">
        <v>0</v>
      </c>
      <c r="D1538" t="s">
        <v>304</v>
      </c>
      <c r="E1538">
        <v>0</v>
      </c>
      <c r="F1538" t="s">
        <v>305</v>
      </c>
      <c r="G1538" t="s">
        <v>78</v>
      </c>
      <c r="H1538" t="s">
        <v>79</v>
      </c>
      <c r="I1538" t="s">
        <v>80</v>
      </c>
      <c r="J1538" t="s">
        <v>196</v>
      </c>
      <c r="K1538" t="s">
        <v>13</v>
      </c>
      <c r="L1538" t="s">
        <v>83</v>
      </c>
      <c r="M1538" t="s">
        <v>84</v>
      </c>
      <c r="N1538">
        <v>1</v>
      </c>
      <c r="O1538" t="b">
        <v>1</v>
      </c>
      <c r="P1538">
        <v>0</v>
      </c>
      <c r="BB1538">
        <v>0</v>
      </c>
      <c r="BC1538" t="s">
        <v>306</v>
      </c>
      <c r="BD1538" t="s">
        <v>307</v>
      </c>
      <c r="BE1538" t="s">
        <v>117</v>
      </c>
      <c r="BF1538">
        <v>0</v>
      </c>
      <c r="BG1538">
        <v>25</v>
      </c>
      <c r="BH1538">
        <v>20000</v>
      </c>
      <c r="BI1538" t="s">
        <v>308</v>
      </c>
    </row>
    <row r="1539" spans="1:61">
      <c r="A1539" s="164" t="s">
        <v>3764</v>
      </c>
      <c r="B1539" t="s">
        <v>3765</v>
      </c>
      <c r="C1539">
        <v>0</v>
      </c>
      <c r="D1539" t="s">
        <v>304</v>
      </c>
      <c r="E1539">
        <v>0</v>
      </c>
      <c r="F1539" t="s">
        <v>357</v>
      </c>
      <c r="G1539" t="s">
        <v>78</v>
      </c>
      <c r="H1539" t="s">
        <v>79</v>
      </c>
      <c r="I1539" t="s">
        <v>80</v>
      </c>
      <c r="J1539" t="s">
        <v>196</v>
      </c>
      <c r="K1539" t="s">
        <v>13</v>
      </c>
      <c r="L1539" t="s">
        <v>83</v>
      </c>
      <c r="M1539" t="s">
        <v>84</v>
      </c>
      <c r="N1539">
        <v>1</v>
      </c>
      <c r="O1539" t="b">
        <v>1</v>
      </c>
      <c r="P1539">
        <v>0</v>
      </c>
      <c r="BB1539">
        <v>0</v>
      </c>
      <c r="BC1539" t="s">
        <v>306</v>
      </c>
      <c r="BD1539" t="s">
        <v>358</v>
      </c>
      <c r="BE1539" t="s">
        <v>117</v>
      </c>
      <c r="BF1539">
        <v>0</v>
      </c>
      <c r="BG1539">
        <v>25</v>
      </c>
      <c r="BH1539">
        <v>500</v>
      </c>
      <c r="BI1539" t="s">
        <v>359</v>
      </c>
    </row>
    <row r="1540" spans="1:61">
      <c r="A1540" s="164" t="s">
        <v>3766</v>
      </c>
      <c r="B1540" t="s">
        <v>3767</v>
      </c>
      <c r="C1540">
        <v>0</v>
      </c>
      <c r="D1540" t="s">
        <v>304</v>
      </c>
      <c r="E1540">
        <v>0</v>
      </c>
      <c r="F1540" t="s">
        <v>357</v>
      </c>
      <c r="G1540" t="s">
        <v>78</v>
      </c>
      <c r="H1540" t="s">
        <v>79</v>
      </c>
      <c r="I1540" t="s">
        <v>80</v>
      </c>
      <c r="J1540" t="s">
        <v>196</v>
      </c>
      <c r="K1540" t="s">
        <v>13</v>
      </c>
      <c r="L1540" t="s">
        <v>83</v>
      </c>
      <c r="M1540" t="s">
        <v>84</v>
      </c>
      <c r="N1540">
        <v>1</v>
      </c>
      <c r="O1540" t="b">
        <v>1</v>
      </c>
      <c r="P1540">
        <v>0</v>
      </c>
      <c r="BB1540">
        <v>0</v>
      </c>
      <c r="BC1540" t="s">
        <v>306</v>
      </c>
      <c r="BD1540" t="s">
        <v>358</v>
      </c>
      <c r="BE1540" t="s">
        <v>117</v>
      </c>
      <c r="BF1540">
        <v>0</v>
      </c>
      <c r="BG1540">
        <v>25</v>
      </c>
      <c r="BH1540">
        <v>500</v>
      </c>
      <c r="BI1540" t="s">
        <v>359</v>
      </c>
    </row>
    <row r="1541" spans="1:61">
      <c r="A1541" s="164" t="s">
        <v>3768</v>
      </c>
      <c r="B1541" t="s">
        <v>3769</v>
      </c>
      <c r="C1541">
        <v>0</v>
      </c>
      <c r="D1541" t="s">
        <v>304</v>
      </c>
      <c r="E1541">
        <v>0</v>
      </c>
      <c r="F1541" t="s">
        <v>589</v>
      </c>
      <c r="G1541" t="s">
        <v>78</v>
      </c>
      <c r="H1541" t="s">
        <v>79</v>
      </c>
      <c r="I1541" t="s">
        <v>80</v>
      </c>
      <c r="J1541" t="s">
        <v>196</v>
      </c>
      <c r="K1541" t="s">
        <v>13</v>
      </c>
      <c r="L1541" t="s">
        <v>83</v>
      </c>
      <c r="M1541" t="s">
        <v>84</v>
      </c>
      <c r="N1541">
        <v>1</v>
      </c>
      <c r="O1541" t="b">
        <v>1</v>
      </c>
      <c r="P1541">
        <v>0</v>
      </c>
      <c r="BB1541">
        <v>0</v>
      </c>
      <c r="BC1541" t="s">
        <v>306</v>
      </c>
      <c r="BD1541" t="s">
        <v>590</v>
      </c>
      <c r="BE1541" t="s">
        <v>117</v>
      </c>
      <c r="BF1541">
        <v>0</v>
      </c>
      <c r="BG1541">
        <v>25</v>
      </c>
      <c r="BH1541">
        <v>10000</v>
      </c>
      <c r="BI1541" t="s">
        <v>344</v>
      </c>
    </row>
    <row r="1542" spans="1:61">
      <c r="A1542" s="164" t="s">
        <v>3770</v>
      </c>
      <c r="B1542" t="s">
        <v>3771</v>
      </c>
      <c r="C1542">
        <v>0</v>
      </c>
      <c r="D1542" t="s">
        <v>304</v>
      </c>
      <c r="E1542">
        <v>0</v>
      </c>
      <c r="F1542" t="s">
        <v>342</v>
      </c>
      <c r="G1542" t="s">
        <v>78</v>
      </c>
      <c r="H1542" t="s">
        <v>79</v>
      </c>
      <c r="I1542" t="s">
        <v>80</v>
      </c>
      <c r="J1542" t="s">
        <v>196</v>
      </c>
      <c r="K1542" t="s">
        <v>13</v>
      </c>
      <c r="L1542" t="s">
        <v>83</v>
      </c>
      <c r="M1542" t="s">
        <v>84</v>
      </c>
      <c r="N1542">
        <v>1</v>
      </c>
      <c r="O1542" t="b">
        <v>1</v>
      </c>
      <c r="P1542">
        <v>0</v>
      </c>
      <c r="BB1542">
        <v>0</v>
      </c>
      <c r="BC1542" t="s">
        <v>306</v>
      </c>
      <c r="BD1542" t="s">
        <v>343</v>
      </c>
      <c r="BE1542" t="s">
        <v>117</v>
      </c>
      <c r="BF1542">
        <v>0</v>
      </c>
      <c r="BG1542">
        <v>25</v>
      </c>
      <c r="BH1542">
        <v>10000</v>
      </c>
      <c r="BI1542" t="s">
        <v>344</v>
      </c>
    </row>
    <row r="1543" spans="1:61">
      <c r="A1543" s="164" t="s">
        <v>3772</v>
      </c>
      <c r="B1543" t="s">
        <v>3773</v>
      </c>
      <c r="C1543">
        <v>0</v>
      </c>
      <c r="D1543" t="s">
        <v>304</v>
      </c>
      <c r="E1543">
        <v>0</v>
      </c>
      <c r="F1543" t="s">
        <v>336</v>
      </c>
      <c r="G1543" t="s">
        <v>78</v>
      </c>
      <c r="H1543" t="s">
        <v>79</v>
      </c>
      <c r="I1543" t="s">
        <v>80</v>
      </c>
      <c r="J1543" t="s">
        <v>196</v>
      </c>
      <c r="K1543" t="s">
        <v>13</v>
      </c>
      <c r="L1543" t="s">
        <v>83</v>
      </c>
      <c r="M1543" t="s">
        <v>84</v>
      </c>
      <c r="N1543">
        <v>1</v>
      </c>
      <c r="O1543" t="b">
        <v>1</v>
      </c>
      <c r="P1543">
        <v>0</v>
      </c>
      <c r="BB1543">
        <v>0</v>
      </c>
      <c r="BC1543" t="s">
        <v>306</v>
      </c>
      <c r="BD1543" t="s">
        <v>337</v>
      </c>
      <c r="BE1543" t="s">
        <v>117</v>
      </c>
      <c r="BF1543">
        <v>0</v>
      </c>
      <c r="BG1543">
        <v>30</v>
      </c>
      <c r="BH1543">
        <v>100000</v>
      </c>
      <c r="BI1543" t="s">
        <v>593</v>
      </c>
    </row>
    <row r="1544" spans="1:61">
      <c r="A1544" s="164" t="s">
        <v>3774</v>
      </c>
      <c r="B1544" t="s">
        <v>3775</v>
      </c>
      <c r="C1544">
        <v>0</v>
      </c>
      <c r="D1544" t="s">
        <v>304</v>
      </c>
      <c r="E1544">
        <v>0</v>
      </c>
      <c r="F1544" t="s">
        <v>342</v>
      </c>
      <c r="G1544" t="s">
        <v>78</v>
      </c>
      <c r="H1544" t="s">
        <v>79</v>
      </c>
      <c r="I1544" t="s">
        <v>80</v>
      </c>
      <c r="J1544" t="s">
        <v>196</v>
      </c>
      <c r="K1544" t="s">
        <v>13</v>
      </c>
      <c r="L1544" t="s">
        <v>83</v>
      </c>
      <c r="M1544" t="s">
        <v>84</v>
      </c>
      <c r="N1544">
        <v>1</v>
      </c>
      <c r="O1544" t="b">
        <v>1</v>
      </c>
      <c r="P1544">
        <v>0</v>
      </c>
      <c r="BB1544">
        <v>0</v>
      </c>
      <c r="BC1544" t="s">
        <v>306</v>
      </c>
      <c r="BD1544" t="s">
        <v>343</v>
      </c>
      <c r="BE1544" t="s">
        <v>117</v>
      </c>
      <c r="BF1544">
        <v>0</v>
      </c>
      <c r="BG1544">
        <v>25</v>
      </c>
      <c r="BH1544">
        <v>20000</v>
      </c>
      <c r="BI1544" t="s">
        <v>435</v>
      </c>
    </row>
    <row r="1545" spans="1:61">
      <c r="A1545" s="164" t="s">
        <v>3776</v>
      </c>
      <c r="B1545" t="s">
        <v>3777</v>
      </c>
      <c r="C1545">
        <v>0</v>
      </c>
      <c r="D1545" t="s">
        <v>304</v>
      </c>
      <c r="E1545">
        <v>0</v>
      </c>
      <c r="F1545" t="s">
        <v>357</v>
      </c>
      <c r="G1545" t="s">
        <v>78</v>
      </c>
      <c r="H1545" t="s">
        <v>79</v>
      </c>
      <c r="I1545" t="s">
        <v>80</v>
      </c>
      <c r="J1545" t="s">
        <v>196</v>
      </c>
      <c r="K1545" t="s">
        <v>13</v>
      </c>
      <c r="L1545" t="s">
        <v>83</v>
      </c>
      <c r="M1545" t="s">
        <v>84</v>
      </c>
      <c r="N1545">
        <v>1</v>
      </c>
      <c r="O1545" t="b">
        <v>1</v>
      </c>
      <c r="P1545">
        <v>0</v>
      </c>
      <c r="BB1545">
        <v>0</v>
      </c>
      <c r="BC1545" t="s">
        <v>306</v>
      </c>
      <c r="BD1545" t="s">
        <v>358</v>
      </c>
      <c r="BE1545" t="s">
        <v>117</v>
      </c>
      <c r="BF1545">
        <v>0</v>
      </c>
      <c r="BG1545">
        <v>25</v>
      </c>
      <c r="BH1545">
        <v>500</v>
      </c>
      <c r="BI1545" t="s">
        <v>359</v>
      </c>
    </row>
    <row r="1546" spans="1:61">
      <c r="A1546" s="164" t="s">
        <v>3778</v>
      </c>
      <c r="B1546" t="s">
        <v>3779</v>
      </c>
      <c r="C1546">
        <v>0</v>
      </c>
      <c r="D1546" t="s">
        <v>304</v>
      </c>
      <c r="E1546">
        <v>0</v>
      </c>
      <c r="F1546" t="s">
        <v>357</v>
      </c>
      <c r="G1546" t="s">
        <v>78</v>
      </c>
      <c r="H1546" t="s">
        <v>79</v>
      </c>
      <c r="I1546" t="s">
        <v>80</v>
      </c>
      <c r="J1546" t="s">
        <v>196</v>
      </c>
      <c r="K1546" t="s">
        <v>13</v>
      </c>
      <c r="L1546" t="s">
        <v>83</v>
      </c>
      <c r="M1546" t="s">
        <v>84</v>
      </c>
      <c r="N1546">
        <v>1</v>
      </c>
      <c r="O1546" t="b">
        <v>1</v>
      </c>
      <c r="P1546">
        <v>0</v>
      </c>
      <c r="BB1546">
        <v>0</v>
      </c>
      <c r="BC1546" t="s">
        <v>306</v>
      </c>
      <c r="BD1546" t="s">
        <v>358</v>
      </c>
      <c r="BE1546" t="s">
        <v>117</v>
      </c>
      <c r="BF1546">
        <v>0</v>
      </c>
      <c r="BG1546">
        <v>25</v>
      </c>
      <c r="BH1546">
        <v>500</v>
      </c>
      <c r="BI1546" t="s">
        <v>359</v>
      </c>
    </row>
    <row r="1547" spans="1:61">
      <c r="A1547" s="164" t="s">
        <v>3780</v>
      </c>
      <c r="B1547" t="s">
        <v>3781</v>
      </c>
      <c r="C1547">
        <v>0</v>
      </c>
      <c r="D1547" t="s">
        <v>304</v>
      </c>
      <c r="E1547">
        <v>0</v>
      </c>
      <c r="F1547" t="s">
        <v>1507</v>
      </c>
      <c r="G1547" t="s">
        <v>78</v>
      </c>
      <c r="H1547" t="s">
        <v>79</v>
      </c>
      <c r="I1547" t="s">
        <v>80</v>
      </c>
      <c r="J1547" t="s">
        <v>196</v>
      </c>
      <c r="K1547" t="s">
        <v>13</v>
      </c>
      <c r="L1547" t="s">
        <v>83</v>
      </c>
      <c r="M1547" t="s">
        <v>84</v>
      </c>
      <c r="N1547">
        <v>1</v>
      </c>
      <c r="O1547" t="b">
        <v>1</v>
      </c>
      <c r="P1547">
        <v>0</v>
      </c>
      <c r="BB1547">
        <v>0</v>
      </c>
      <c r="BC1547" t="s">
        <v>306</v>
      </c>
      <c r="BD1547" t="s">
        <v>1508</v>
      </c>
      <c r="BE1547" t="s">
        <v>117</v>
      </c>
      <c r="BF1547">
        <v>0</v>
      </c>
      <c r="BG1547">
        <v>90</v>
      </c>
      <c r="BH1547">
        <v>20000</v>
      </c>
      <c r="BI1547" t="s">
        <v>1419</v>
      </c>
    </row>
    <row r="1548" spans="1:61">
      <c r="A1548" s="164" t="s">
        <v>3782</v>
      </c>
      <c r="B1548" t="s">
        <v>3783</v>
      </c>
      <c r="C1548">
        <v>0</v>
      </c>
      <c r="D1548" t="s">
        <v>304</v>
      </c>
      <c r="E1548">
        <v>0</v>
      </c>
      <c r="F1548" t="s">
        <v>269</v>
      </c>
      <c r="G1548" t="s">
        <v>103</v>
      </c>
      <c r="H1548" t="s">
        <v>104</v>
      </c>
      <c r="I1548" t="s">
        <v>80</v>
      </c>
      <c r="J1548" t="s">
        <v>196</v>
      </c>
      <c r="K1548" t="s">
        <v>13</v>
      </c>
      <c r="L1548" t="s">
        <v>83</v>
      </c>
      <c r="M1548" t="s">
        <v>205</v>
      </c>
      <c r="N1548">
        <v>1</v>
      </c>
      <c r="O1548" t="b">
        <v>0</v>
      </c>
      <c r="P1548">
        <v>0</v>
      </c>
      <c r="BB1548">
        <v>0</v>
      </c>
      <c r="BC1548" t="s">
        <v>306</v>
      </c>
      <c r="BD1548" t="s">
        <v>270</v>
      </c>
      <c r="BE1548" t="s">
        <v>117</v>
      </c>
      <c r="BF1548">
        <v>0</v>
      </c>
      <c r="BG1548">
        <v>0</v>
      </c>
      <c r="BH1548">
        <v>0</v>
      </c>
    </row>
    <row r="1549" spans="1:61">
      <c r="A1549" s="164" t="s">
        <v>3784</v>
      </c>
      <c r="B1549" t="s">
        <v>3785</v>
      </c>
      <c r="C1549">
        <v>0</v>
      </c>
      <c r="D1549" t="s">
        <v>304</v>
      </c>
      <c r="E1549">
        <v>0</v>
      </c>
      <c r="F1549" t="s">
        <v>670</v>
      </c>
      <c r="G1549" t="s">
        <v>78</v>
      </c>
      <c r="H1549" t="s">
        <v>79</v>
      </c>
      <c r="I1549" t="s">
        <v>80</v>
      </c>
      <c r="J1549" t="s">
        <v>196</v>
      </c>
      <c r="K1549" t="s">
        <v>13</v>
      </c>
      <c r="L1549" t="s">
        <v>83</v>
      </c>
      <c r="M1549" t="s">
        <v>205</v>
      </c>
      <c r="N1549">
        <v>1</v>
      </c>
      <c r="O1549" t="b">
        <v>1</v>
      </c>
      <c r="P1549">
        <v>0</v>
      </c>
      <c r="BB1549">
        <v>0</v>
      </c>
      <c r="BC1549" t="s">
        <v>306</v>
      </c>
      <c r="BD1549" t="s">
        <v>671</v>
      </c>
      <c r="BE1549" t="s">
        <v>117</v>
      </c>
      <c r="BF1549">
        <v>0</v>
      </c>
      <c r="BG1549">
        <v>25</v>
      </c>
      <c r="BH1549">
        <v>100</v>
      </c>
      <c r="BI1549" t="s">
        <v>3337</v>
      </c>
    </row>
    <row r="1550" spans="1:61">
      <c r="A1550" s="164" t="s">
        <v>3786</v>
      </c>
      <c r="B1550" t="s">
        <v>3787</v>
      </c>
      <c r="C1550">
        <v>0</v>
      </c>
      <c r="D1550" t="s">
        <v>304</v>
      </c>
      <c r="E1550">
        <v>0</v>
      </c>
      <c r="F1550" t="s">
        <v>313</v>
      </c>
      <c r="G1550" t="s">
        <v>78</v>
      </c>
      <c r="H1550" t="s">
        <v>79</v>
      </c>
      <c r="I1550" t="s">
        <v>80</v>
      </c>
      <c r="J1550" t="s">
        <v>196</v>
      </c>
      <c r="K1550" t="s">
        <v>13</v>
      </c>
      <c r="L1550" t="s">
        <v>83</v>
      </c>
      <c r="M1550" t="s">
        <v>205</v>
      </c>
      <c r="N1550">
        <v>1</v>
      </c>
      <c r="O1550" t="b">
        <v>1</v>
      </c>
      <c r="P1550">
        <v>0</v>
      </c>
      <c r="BB1550">
        <v>0</v>
      </c>
      <c r="BC1550" t="s">
        <v>306</v>
      </c>
      <c r="BD1550" t="s">
        <v>314</v>
      </c>
      <c r="BE1550" t="s">
        <v>117</v>
      </c>
      <c r="BF1550">
        <v>0</v>
      </c>
      <c r="BG1550">
        <v>45</v>
      </c>
      <c r="BH1550">
        <v>300</v>
      </c>
      <c r="BI1550" t="s">
        <v>315</v>
      </c>
    </row>
    <row r="1551" spans="1:61">
      <c r="A1551" s="164" t="s">
        <v>3788</v>
      </c>
      <c r="B1551" t="s">
        <v>3789</v>
      </c>
      <c r="C1551">
        <v>0</v>
      </c>
      <c r="D1551" t="s">
        <v>304</v>
      </c>
      <c r="E1551">
        <v>0</v>
      </c>
      <c r="F1551" t="s">
        <v>357</v>
      </c>
      <c r="G1551" t="s">
        <v>78</v>
      </c>
      <c r="H1551" t="s">
        <v>79</v>
      </c>
      <c r="I1551" t="s">
        <v>80</v>
      </c>
      <c r="J1551" t="s">
        <v>196</v>
      </c>
      <c r="K1551" t="s">
        <v>13</v>
      </c>
      <c r="L1551" t="s">
        <v>83</v>
      </c>
      <c r="M1551" t="s">
        <v>84</v>
      </c>
      <c r="N1551">
        <v>1</v>
      </c>
      <c r="O1551" t="b">
        <v>1</v>
      </c>
      <c r="P1551">
        <v>0</v>
      </c>
      <c r="BB1551">
        <v>0</v>
      </c>
      <c r="BC1551" t="s">
        <v>306</v>
      </c>
      <c r="BD1551" t="s">
        <v>358</v>
      </c>
      <c r="BE1551" t="s">
        <v>117</v>
      </c>
      <c r="BF1551">
        <v>0</v>
      </c>
      <c r="BG1551">
        <v>30</v>
      </c>
      <c r="BH1551">
        <v>500</v>
      </c>
      <c r="BI1551" t="s">
        <v>359</v>
      </c>
    </row>
    <row r="1552" spans="1:61">
      <c r="A1552" s="164" t="s">
        <v>3790</v>
      </c>
      <c r="B1552" t="s">
        <v>3791</v>
      </c>
      <c r="C1552">
        <v>0</v>
      </c>
      <c r="D1552" t="s">
        <v>304</v>
      </c>
      <c r="E1552">
        <v>0</v>
      </c>
      <c r="F1552" t="s">
        <v>342</v>
      </c>
      <c r="G1552" t="s">
        <v>78</v>
      </c>
      <c r="H1552" t="s">
        <v>79</v>
      </c>
      <c r="I1552" t="s">
        <v>80</v>
      </c>
      <c r="J1552" t="s">
        <v>196</v>
      </c>
      <c r="K1552" t="s">
        <v>13</v>
      </c>
      <c r="L1552" t="s">
        <v>83</v>
      </c>
      <c r="M1552" t="s">
        <v>84</v>
      </c>
      <c r="N1552">
        <v>1</v>
      </c>
      <c r="O1552" t="b">
        <v>1</v>
      </c>
      <c r="P1552">
        <v>0</v>
      </c>
      <c r="BB1552">
        <v>0</v>
      </c>
      <c r="BC1552" t="s">
        <v>306</v>
      </c>
      <c r="BD1552" t="s">
        <v>343</v>
      </c>
      <c r="BE1552" t="s">
        <v>117</v>
      </c>
      <c r="BF1552">
        <v>0</v>
      </c>
      <c r="BG1552">
        <v>25</v>
      </c>
      <c r="BH1552">
        <v>10000</v>
      </c>
      <c r="BI1552" t="s">
        <v>344</v>
      </c>
    </row>
    <row r="1553" spans="1:61">
      <c r="A1553" s="164" t="s">
        <v>3792</v>
      </c>
      <c r="B1553" t="s">
        <v>3793</v>
      </c>
      <c r="C1553">
        <v>0</v>
      </c>
      <c r="D1553" t="s">
        <v>304</v>
      </c>
      <c r="E1553">
        <v>0</v>
      </c>
      <c r="F1553" t="s">
        <v>269</v>
      </c>
      <c r="G1553" t="s">
        <v>103</v>
      </c>
      <c r="H1553" t="s">
        <v>104</v>
      </c>
      <c r="I1553" t="s">
        <v>80</v>
      </c>
      <c r="J1553" t="s">
        <v>196</v>
      </c>
      <c r="K1553" t="s">
        <v>13</v>
      </c>
      <c r="L1553" t="s">
        <v>83</v>
      </c>
      <c r="M1553" t="s">
        <v>84</v>
      </c>
      <c r="N1553">
        <v>1</v>
      </c>
      <c r="O1553" t="b">
        <v>0</v>
      </c>
      <c r="P1553">
        <v>0</v>
      </c>
      <c r="BB1553">
        <v>0</v>
      </c>
      <c r="BC1553" t="s">
        <v>306</v>
      </c>
      <c r="BD1553" t="s">
        <v>270</v>
      </c>
      <c r="BE1553" t="s">
        <v>117</v>
      </c>
      <c r="BF1553">
        <v>0</v>
      </c>
      <c r="BG1553">
        <v>0</v>
      </c>
      <c r="BH1553">
        <v>0</v>
      </c>
    </row>
    <row r="1554" spans="1:61">
      <c r="A1554" s="164" t="s">
        <v>3794</v>
      </c>
      <c r="B1554" t="s">
        <v>3795</v>
      </c>
      <c r="C1554">
        <v>0</v>
      </c>
      <c r="D1554" t="s">
        <v>304</v>
      </c>
      <c r="E1554">
        <v>0</v>
      </c>
      <c r="F1554" t="s">
        <v>269</v>
      </c>
      <c r="G1554" t="s">
        <v>103</v>
      </c>
      <c r="H1554" t="s">
        <v>104</v>
      </c>
      <c r="I1554" t="s">
        <v>80</v>
      </c>
      <c r="J1554" t="s">
        <v>196</v>
      </c>
      <c r="K1554" t="s">
        <v>13</v>
      </c>
      <c r="L1554" t="s">
        <v>83</v>
      </c>
      <c r="M1554" t="s">
        <v>84</v>
      </c>
      <c r="N1554">
        <v>1</v>
      </c>
      <c r="O1554" t="b">
        <v>0</v>
      </c>
      <c r="P1554">
        <v>0</v>
      </c>
      <c r="BB1554">
        <v>0</v>
      </c>
      <c r="BC1554" t="s">
        <v>306</v>
      </c>
      <c r="BD1554" t="s">
        <v>270</v>
      </c>
      <c r="BE1554" t="s">
        <v>117</v>
      </c>
      <c r="BF1554">
        <v>0</v>
      </c>
      <c r="BG1554">
        <v>0</v>
      </c>
      <c r="BH1554">
        <v>0</v>
      </c>
    </row>
    <row r="1555" spans="1:61">
      <c r="A1555" s="164" t="s">
        <v>3796</v>
      </c>
      <c r="B1555" t="s">
        <v>3797</v>
      </c>
      <c r="C1555">
        <v>0</v>
      </c>
      <c r="D1555" t="s">
        <v>304</v>
      </c>
      <c r="E1555">
        <v>0</v>
      </c>
      <c r="F1555" t="s">
        <v>269</v>
      </c>
      <c r="G1555" t="s">
        <v>103</v>
      </c>
      <c r="H1555" t="s">
        <v>104</v>
      </c>
      <c r="I1555" t="s">
        <v>80</v>
      </c>
      <c r="J1555" t="s">
        <v>196</v>
      </c>
      <c r="K1555" t="s">
        <v>13</v>
      </c>
      <c r="L1555" t="s">
        <v>83</v>
      </c>
      <c r="M1555" t="s">
        <v>84</v>
      </c>
      <c r="N1555">
        <v>1</v>
      </c>
      <c r="O1555" t="b">
        <v>0</v>
      </c>
      <c r="P1555">
        <v>0</v>
      </c>
      <c r="BB1555">
        <v>0</v>
      </c>
      <c r="BC1555" t="s">
        <v>306</v>
      </c>
      <c r="BD1555" t="s">
        <v>270</v>
      </c>
      <c r="BE1555" t="s">
        <v>117</v>
      </c>
      <c r="BF1555">
        <v>0</v>
      </c>
      <c r="BG1555">
        <v>0</v>
      </c>
      <c r="BH1555">
        <v>0</v>
      </c>
    </row>
    <row r="1556" spans="1:61">
      <c r="A1556" s="164" t="s">
        <v>3798</v>
      </c>
      <c r="B1556" t="s">
        <v>3799</v>
      </c>
      <c r="C1556">
        <v>0</v>
      </c>
      <c r="D1556" t="s">
        <v>304</v>
      </c>
      <c r="E1556">
        <v>0</v>
      </c>
      <c r="F1556" t="s">
        <v>269</v>
      </c>
      <c r="G1556" t="s">
        <v>103</v>
      </c>
      <c r="H1556" t="s">
        <v>104</v>
      </c>
      <c r="I1556" t="s">
        <v>80</v>
      </c>
      <c r="J1556" t="s">
        <v>196</v>
      </c>
      <c r="K1556" t="s">
        <v>13</v>
      </c>
      <c r="L1556" t="s">
        <v>83</v>
      </c>
      <c r="M1556" t="s">
        <v>84</v>
      </c>
      <c r="N1556">
        <v>1</v>
      </c>
      <c r="O1556" t="b">
        <v>0</v>
      </c>
      <c r="P1556">
        <v>0</v>
      </c>
      <c r="BB1556">
        <v>0</v>
      </c>
      <c r="BC1556" t="s">
        <v>306</v>
      </c>
      <c r="BD1556" t="s">
        <v>270</v>
      </c>
      <c r="BE1556" t="s">
        <v>117</v>
      </c>
      <c r="BF1556">
        <v>0</v>
      </c>
      <c r="BG1556">
        <v>0</v>
      </c>
      <c r="BH1556">
        <v>0</v>
      </c>
    </row>
    <row r="1557" spans="1:61">
      <c r="A1557" s="164" t="s">
        <v>3800</v>
      </c>
      <c r="B1557" t="s">
        <v>3801</v>
      </c>
      <c r="C1557">
        <v>0</v>
      </c>
      <c r="D1557" t="s">
        <v>304</v>
      </c>
      <c r="E1557">
        <v>0</v>
      </c>
      <c r="F1557" t="s">
        <v>357</v>
      </c>
      <c r="G1557" t="s">
        <v>78</v>
      </c>
      <c r="H1557" t="s">
        <v>79</v>
      </c>
      <c r="I1557" t="s">
        <v>80</v>
      </c>
      <c r="J1557" t="s">
        <v>196</v>
      </c>
      <c r="K1557" t="s">
        <v>13</v>
      </c>
      <c r="L1557" t="s">
        <v>83</v>
      </c>
      <c r="M1557" t="s">
        <v>84</v>
      </c>
      <c r="N1557">
        <v>1</v>
      </c>
      <c r="O1557" t="b">
        <v>1</v>
      </c>
      <c r="P1557">
        <v>0</v>
      </c>
      <c r="BB1557">
        <v>0</v>
      </c>
      <c r="BC1557" t="s">
        <v>306</v>
      </c>
      <c r="BD1557" t="s">
        <v>358</v>
      </c>
      <c r="BE1557" t="s">
        <v>117</v>
      </c>
      <c r="BF1557">
        <v>0</v>
      </c>
      <c r="BG1557">
        <v>30</v>
      </c>
      <c r="BH1557">
        <v>500</v>
      </c>
      <c r="BI1557" t="s">
        <v>359</v>
      </c>
    </row>
    <row r="1558" spans="1:61">
      <c r="A1558" s="164" t="s">
        <v>3802</v>
      </c>
      <c r="B1558" t="s">
        <v>3803</v>
      </c>
      <c r="C1558">
        <v>0</v>
      </c>
      <c r="D1558" t="s">
        <v>304</v>
      </c>
      <c r="E1558">
        <v>0</v>
      </c>
      <c r="F1558" t="s">
        <v>589</v>
      </c>
      <c r="G1558" t="s">
        <v>78</v>
      </c>
      <c r="H1558" t="s">
        <v>79</v>
      </c>
      <c r="I1558" t="s">
        <v>80</v>
      </c>
      <c r="J1558" t="s">
        <v>196</v>
      </c>
      <c r="K1558" t="s">
        <v>13</v>
      </c>
      <c r="L1558" t="s">
        <v>83</v>
      </c>
      <c r="M1558" t="s">
        <v>84</v>
      </c>
      <c r="N1558">
        <v>1</v>
      </c>
      <c r="O1558" t="b">
        <v>1</v>
      </c>
      <c r="P1558">
        <v>0</v>
      </c>
      <c r="BB1558">
        <v>0</v>
      </c>
      <c r="BC1558" t="s">
        <v>306</v>
      </c>
      <c r="BD1558" t="s">
        <v>590</v>
      </c>
      <c r="BE1558" t="s">
        <v>117</v>
      </c>
      <c r="BF1558">
        <v>0</v>
      </c>
      <c r="BG1558">
        <v>25</v>
      </c>
      <c r="BH1558">
        <v>10000</v>
      </c>
      <c r="BI1558" t="s">
        <v>344</v>
      </c>
    </row>
    <row r="1559" spans="1:61">
      <c r="A1559" s="164" t="s">
        <v>3804</v>
      </c>
      <c r="B1559" t="s">
        <v>3805</v>
      </c>
      <c r="C1559">
        <v>0</v>
      </c>
      <c r="D1559" t="s">
        <v>304</v>
      </c>
      <c r="E1559">
        <v>0</v>
      </c>
      <c r="F1559" t="s">
        <v>800</v>
      </c>
      <c r="G1559" t="s">
        <v>78</v>
      </c>
      <c r="H1559" t="s">
        <v>79</v>
      </c>
      <c r="I1559" t="s">
        <v>80</v>
      </c>
      <c r="J1559" t="s">
        <v>196</v>
      </c>
      <c r="K1559" t="s">
        <v>13</v>
      </c>
      <c r="L1559" t="s">
        <v>83</v>
      </c>
      <c r="M1559" t="s">
        <v>84</v>
      </c>
      <c r="N1559">
        <v>1</v>
      </c>
      <c r="O1559" t="b">
        <v>1</v>
      </c>
      <c r="P1559">
        <v>0</v>
      </c>
      <c r="BB1559">
        <v>0</v>
      </c>
      <c r="BC1559" t="s">
        <v>306</v>
      </c>
      <c r="BD1559" t="s">
        <v>801</v>
      </c>
      <c r="BE1559" t="s">
        <v>117</v>
      </c>
      <c r="BF1559">
        <v>0</v>
      </c>
      <c r="BG1559">
        <v>15</v>
      </c>
      <c r="BH1559">
        <v>10000</v>
      </c>
      <c r="BI1559" t="s">
        <v>308</v>
      </c>
    </row>
    <row r="1560" spans="1:61">
      <c r="A1560" s="164" t="s">
        <v>3806</v>
      </c>
      <c r="B1560" t="s">
        <v>3807</v>
      </c>
      <c r="C1560">
        <v>0</v>
      </c>
      <c r="D1560" t="s">
        <v>304</v>
      </c>
      <c r="E1560">
        <v>0</v>
      </c>
      <c r="F1560" t="s">
        <v>357</v>
      </c>
      <c r="G1560" t="s">
        <v>78</v>
      </c>
      <c r="H1560" t="s">
        <v>79</v>
      </c>
      <c r="I1560" t="s">
        <v>80</v>
      </c>
      <c r="J1560" t="s">
        <v>196</v>
      </c>
      <c r="K1560" t="s">
        <v>13</v>
      </c>
      <c r="L1560" t="s">
        <v>83</v>
      </c>
      <c r="M1560" t="s">
        <v>84</v>
      </c>
      <c r="N1560">
        <v>1</v>
      </c>
      <c r="O1560" t="b">
        <v>1</v>
      </c>
      <c r="P1560">
        <v>0</v>
      </c>
      <c r="BB1560">
        <v>0</v>
      </c>
      <c r="BC1560" t="s">
        <v>306</v>
      </c>
      <c r="BD1560" t="s">
        <v>358</v>
      </c>
      <c r="BE1560" t="s">
        <v>117</v>
      </c>
      <c r="BF1560">
        <v>0</v>
      </c>
      <c r="BG1560">
        <v>25</v>
      </c>
      <c r="BH1560">
        <v>500</v>
      </c>
      <c r="BI1560" t="s">
        <v>359</v>
      </c>
    </row>
    <row r="1561" spans="1:61">
      <c r="A1561" s="164" t="s">
        <v>3808</v>
      </c>
      <c r="B1561" t="s">
        <v>3809</v>
      </c>
      <c r="C1561">
        <v>0</v>
      </c>
      <c r="D1561" t="s">
        <v>304</v>
      </c>
      <c r="E1561">
        <v>0</v>
      </c>
      <c r="F1561" t="s">
        <v>430</v>
      </c>
      <c r="G1561" t="s">
        <v>78</v>
      </c>
      <c r="H1561" t="s">
        <v>79</v>
      </c>
      <c r="I1561" t="s">
        <v>80</v>
      </c>
      <c r="J1561" t="s">
        <v>196</v>
      </c>
      <c r="K1561" t="s">
        <v>13</v>
      </c>
      <c r="L1561" t="s">
        <v>83</v>
      </c>
      <c r="M1561" t="s">
        <v>606</v>
      </c>
      <c r="N1561">
        <v>1</v>
      </c>
      <c r="O1561" t="b">
        <v>1</v>
      </c>
      <c r="P1561">
        <v>0</v>
      </c>
      <c r="BB1561">
        <v>0</v>
      </c>
      <c r="BC1561" t="s">
        <v>306</v>
      </c>
      <c r="BD1561" t="s">
        <v>431</v>
      </c>
      <c r="BE1561" t="s">
        <v>117</v>
      </c>
      <c r="BF1561">
        <v>0</v>
      </c>
      <c r="BG1561">
        <v>15</v>
      </c>
      <c r="BH1561">
        <v>2</v>
      </c>
      <c r="BI1561" t="s">
        <v>435</v>
      </c>
    </row>
    <row r="1562" spans="1:61">
      <c r="A1562" s="164" t="s">
        <v>3810</v>
      </c>
      <c r="B1562" t="s">
        <v>3811</v>
      </c>
      <c r="C1562">
        <v>0</v>
      </c>
      <c r="D1562" t="s">
        <v>304</v>
      </c>
      <c r="E1562">
        <v>0</v>
      </c>
      <c r="F1562" t="s">
        <v>342</v>
      </c>
      <c r="G1562" t="s">
        <v>78</v>
      </c>
      <c r="H1562" t="s">
        <v>79</v>
      </c>
      <c r="I1562" t="s">
        <v>80</v>
      </c>
      <c r="J1562" t="s">
        <v>196</v>
      </c>
      <c r="K1562" t="s">
        <v>13</v>
      </c>
      <c r="L1562" t="s">
        <v>83</v>
      </c>
      <c r="M1562" t="s">
        <v>84</v>
      </c>
      <c r="N1562">
        <v>1</v>
      </c>
      <c r="O1562" t="b">
        <v>1</v>
      </c>
      <c r="P1562">
        <v>0</v>
      </c>
      <c r="BB1562">
        <v>0</v>
      </c>
      <c r="BC1562" t="s">
        <v>306</v>
      </c>
      <c r="BD1562" t="s">
        <v>343</v>
      </c>
      <c r="BE1562" t="s">
        <v>117</v>
      </c>
      <c r="BF1562">
        <v>0</v>
      </c>
      <c r="BG1562">
        <v>25</v>
      </c>
      <c r="BH1562">
        <v>10000</v>
      </c>
      <c r="BI1562" t="s">
        <v>344</v>
      </c>
    </row>
    <row r="1563" spans="1:61">
      <c r="A1563" s="164" t="s">
        <v>3812</v>
      </c>
      <c r="B1563" t="s">
        <v>3813</v>
      </c>
      <c r="C1563">
        <v>0</v>
      </c>
      <c r="D1563" t="s">
        <v>304</v>
      </c>
      <c r="E1563">
        <v>0</v>
      </c>
      <c r="F1563" t="s">
        <v>305</v>
      </c>
      <c r="G1563" t="s">
        <v>78</v>
      </c>
      <c r="H1563" t="s">
        <v>79</v>
      </c>
      <c r="I1563" t="s">
        <v>80</v>
      </c>
      <c r="J1563" t="s">
        <v>196</v>
      </c>
      <c r="K1563" t="s">
        <v>13</v>
      </c>
      <c r="L1563" t="s">
        <v>83</v>
      </c>
      <c r="M1563" t="s">
        <v>84</v>
      </c>
      <c r="N1563">
        <v>1</v>
      </c>
      <c r="O1563" t="b">
        <v>1</v>
      </c>
      <c r="P1563">
        <v>0</v>
      </c>
      <c r="BB1563">
        <v>0</v>
      </c>
      <c r="BC1563" t="s">
        <v>306</v>
      </c>
      <c r="BD1563" t="s">
        <v>307</v>
      </c>
      <c r="BE1563" t="s">
        <v>117</v>
      </c>
      <c r="BF1563">
        <v>0</v>
      </c>
      <c r="BG1563">
        <v>25</v>
      </c>
      <c r="BH1563">
        <v>10000</v>
      </c>
      <c r="BI1563" t="s">
        <v>308</v>
      </c>
    </row>
    <row r="1564" spans="1:61">
      <c r="A1564" s="164" t="s">
        <v>3814</v>
      </c>
      <c r="B1564" t="s">
        <v>3815</v>
      </c>
      <c r="C1564">
        <v>0</v>
      </c>
      <c r="D1564" t="s">
        <v>304</v>
      </c>
      <c r="E1564">
        <v>0</v>
      </c>
      <c r="F1564" t="s">
        <v>313</v>
      </c>
      <c r="G1564" t="s">
        <v>78</v>
      </c>
      <c r="H1564" t="s">
        <v>79</v>
      </c>
      <c r="I1564" t="s">
        <v>80</v>
      </c>
      <c r="J1564" t="s">
        <v>196</v>
      </c>
      <c r="K1564" t="s">
        <v>13</v>
      </c>
      <c r="L1564" t="s">
        <v>83</v>
      </c>
      <c r="M1564" t="s">
        <v>84</v>
      </c>
      <c r="N1564">
        <v>1</v>
      </c>
      <c r="O1564" t="b">
        <v>1</v>
      </c>
      <c r="P1564">
        <v>0</v>
      </c>
      <c r="BB1564">
        <v>0</v>
      </c>
      <c r="BC1564" t="s">
        <v>306</v>
      </c>
      <c r="BD1564" t="s">
        <v>314</v>
      </c>
      <c r="BE1564" t="s">
        <v>117</v>
      </c>
      <c r="BF1564">
        <v>0</v>
      </c>
      <c r="BG1564">
        <v>30</v>
      </c>
      <c r="BH1564">
        <v>30000</v>
      </c>
      <c r="BI1564" t="s">
        <v>328</v>
      </c>
    </row>
    <row r="1565" spans="1:61">
      <c r="A1565" s="164" t="s">
        <v>3816</v>
      </c>
      <c r="B1565" t="s">
        <v>3817</v>
      </c>
      <c r="C1565">
        <v>0</v>
      </c>
      <c r="D1565" t="s">
        <v>304</v>
      </c>
      <c r="E1565">
        <v>0</v>
      </c>
      <c r="F1565" t="s">
        <v>305</v>
      </c>
      <c r="G1565" t="s">
        <v>78</v>
      </c>
      <c r="H1565" t="s">
        <v>79</v>
      </c>
      <c r="I1565" t="s">
        <v>80</v>
      </c>
      <c r="J1565" t="s">
        <v>196</v>
      </c>
      <c r="K1565" t="s">
        <v>13</v>
      </c>
      <c r="L1565" t="s">
        <v>83</v>
      </c>
      <c r="M1565" t="s">
        <v>84</v>
      </c>
      <c r="N1565">
        <v>1</v>
      </c>
      <c r="O1565" t="b">
        <v>1</v>
      </c>
      <c r="P1565">
        <v>0</v>
      </c>
      <c r="BB1565">
        <v>0</v>
      </c>
      <c r="BC1565" t="s">
        <v>306</v>
      </c>
      <c r="BD1565" t="s">
        <v>307</v>
      </c>
      <c r="BE1565" t="s">
        <v>117</v>
      </c>
      <c r="BF1565">
        <v>0</v>
      </c>
      <c r="BG1565">
        <v>20</v>
      </c>
      <c r="BH1565">
        <v>30000</v>
      </c>
      <c r="BI1565" t="s">
        <v>1366</v>
      </c>
    </row>
    <row r="1566" spans="1:61">
      <c r="A1566" s="164" t="s">
        <v>3818</v>
      </c>
      <c r="B1566" t="s">
        <v>3819</v>
      </c>
      <c r="C1566">
        <v>0</v>
      </c>
      <c r="D1566" t="s">
        <v>304</v>
      </c>
      <c r="E1566">
        <v>0</v>
      </c>
      <c r="F1566" t="s">
        <v>342</v>
      </c>
      <c r="G1566" t="s">
        <v>78</v>
      </c>
      <c r="H1566" t="s">
        <v>79</v>
      </c>
      <c r="I1566" t="s">
        <v>80</v>
      </c>
      <c r="J1566" t="s">
        <v>196</v>
      </c>
      <c r="K1566" t="s">
        <v>13</v>
      </c>
      <c r="L1566" t="s">
        <v>83</v>
      </c>
      <c r="M1566" t="s">
        <v>84</v>
      </c>
      <c r="N1566">
        <v>1</v>
      </c>
      <c r="O1566" t="b">
        <v>1</v>
      </c>
      <c r="P1566">
        <v>0</v>
      </c>
      <c r="BB1566">
        <v>0</v>
      </c>
      <c r="BC1566" t="s">
        <v>306</v>
      </c>
      <c r="BD1566" t="s">
        <v>343</v>
      </c>
      <c r="BE1566" t="s">
        <v>117</v>
      </c>
      <c r="BF1566">
        <v>0</v>
      </c>
      <c r="BG1566">
        <v>25</v>
      </c>
      <c r="BH1566">
        <v>20000</v>
      </c>
      <c r="BI1566" t="s">
        <v>435</v>
      </c>
    </row>
    <row r="1567" spans="1:61">
      <c r="A1567" s="164" t="s">
        <v>3820</v>
      </c>
      <c r="B1567" t="s">
        <v>3821</v>
      </c>
      <c r="C1567">
        <v>0</v>
      </c>
      <c r="D1567" t="s">
        <v>304</v>
      </c>
      <c r="E1567">
        <v>0</v>
      </c>
      <c r="F1567" t="s">
        <v>357</v>
      </c>
      <c r="G1567" t="s">
        <v>78</v>
      </c>
      <c r="H1567" t="s">
        <v>79</v>
      </c>
      <c r="I1567" t="s">
        <v>80</v>
      </c>
      <c r="J1567" t="s">
        <v>196</v>
      </c>
      <c r="K1567" t="s">
        <v>13</v>
      </c>
      <c r="L1567" t="s">
        <v>83</v>
      </c>
      <c r="M1567" t="s">
        <v>84</v>
      </c>
      <c r="N1567">
        <v>1</v>
      </c>
      <c r="O1567" t="b">
        <v>1</v>
      </c>
      <c r="P1567">
        <v>0</v>
      </c>
      <c r="BB1567">
        <v>0</v>
      </c>
      <c r="BC1567" t="s">
        <v>306</v>
      </c>
      <c r="BD1567" t="s">
        <v>358</v>
      </c>
      <c r="BE1567" t="s">
        <v>117</v>
      </c>
      <c r="BF1567">
        <v>0</v>
      </c>
      <c r="BG1567">
        <v>25</v>
      </c>
      <c r="BH1567">
        <v>500</v>
      </c>
      <c r="BI1567" t="s">
        <v>359</v>
      </c>
    </row>
    <row r="1568" spans="1:61">
      <c r="A1568" s="164" t="s">
        <v>3822</v>
      </c>
      <c r="B1568" t="s">
        <v>3823</v>
      </c>
      <c r="C1568">
        <v>0</v>
      </c>
      <c r="D1568" t="s">
        <v>304</v>
      </c>
      <c r="E1568">
        <v>0</v>
      </c>
      <c r="F1568" t="s">
        <v>342</v>
      </c>
      <c r="G1568" t="s">
        <v>78</v>
      </c>
      <c r="H1568" t="s">
        <v>79</v>
      </c>
      <c r="I1568" t="s">
        <v>80</v>
      </c>
      <c r="J1568" t="s">
        <v>196</v>
      </c>
      <c r="K1568" t="s">
        <v>13</v>
      </c>
      <c r="L1568" t="s">
        <v>83</v>
      </c>
      <c r="M1568" t="s">
        <v>84</v>
      </c>
      <c r="N1568">
        <v>1</v>
      </c>
      <c r="O1568" t="b">
        <v>1</v>
      </c>
      <c r="P1568">
        <v>0</v>
      </c>
      <c r="BB1568">
        <v>0</v>
      </c>
      <c r="BC1568" t="s">
        <v>306</v>
      </c>
      <c r="BD1568" t="s">
        <v>343</v>
      </c>
      <c r="BE1568" t="s">
        <v>117</v>
      </c>
      <c r="BF1568">
        <v>0</v>
      </c>
      <c r="BG1568">
        <v>25</v>
      </c>
      <c r="BH1568">
        <v>10000</v>
      </c>
      <c r="BI1568" t="s">
        <v>344</v>
      </c>
    </row>
    <row r="1569" spans="1:61">
      <c r="A1569" s="164" t="s">
        <v>3824</v>
      </c>
      <c r="B1569" t="s">
        <v>3825</v>
      </c>
      <c r="C1569">
        <v>0</v>
      </c>
      <c r="D1569" t="s">
        <v>304</v>
      </c>
      <c r="E1569">
        <v>0</v>
      </c>
      <c r="F1569" t="s">
        <v>342</v>
      </c>
      <c r="G1569" t="s">
        <v>78</v>
      </c>
      <c r="H1569" t="s">
        <v>79</v>
      </c>
      <c r="I1569" t="s">
        <v>80</v>
      </c>
      <c r="J1569" t="s">
        <v>196</v>
      </c>
      <c r="K1569" t="s">
        <v>13</v>
      </c>
      <c r="L1569" t="s">
        <v>83</v>
      </c>
      <c r="M1569" t="s">
        <v>84</v>
      </c>
      <c r="N1569">
        <v>1</v>
      </c>
      <c r="O1569" t="b">
        <v>1</v>
      </c>
      <c r="P1569">
        <v>0</v>
      </c>
      <c r="BB1569">
        <v>0</v>
      </c>
      <c r="BC1569" t="s">
        <v>306</v>
      </c>
      <c r="BD1569" t="s">
        <v>343</v>
      </c>
      <c r="BE1569" t="s">
        <v>117</v>
      </c>
      <c r="BF1569">
        <v>0</v>
      </c>
      <c r="BG1569">
        <v>25</v>
      </c>
      <c r="BH1569">
        <v>10000</v>
      </c>
      <c r="BI1569" t="s">
        <v>344</v>
      </c>
    </row>
    <row r="1570" spans="1:61">
      <c r="A1570" s="164" t="s">
        <v>3826</v>
      </c>
      <c r="B1570" t="s">
        <v>3827</v>
      </c>
      <c r="C1570">
        <v>0</v>
      </c>
      <c r="D1570" t="s">
        <v>304</v>
      </c>
      <c r="E1570">
        <v>0</v>
      </c>
      <c r="F1570" t="s">
        <v>269</v>
      </c>
      <c r="G1570" t="s">
        <v>103</v>
      </c>
      <c r="H1570" t="s">
        <v>104</v>
      </c>
      <c r="I1570" t="s">
        <v>80</v>
      </c>
      <c r="J1570" t="s">
        <v>196</v>
      </c>
      <c r="K1570" t="s">
        <v>13</v>
      </c>
      <c r="L1570" t="s">
        <v>83</v>
      </c>
      <c r="M1570" t="s">
        <v>84</v>
      </c>
      <c r="N1570">
        <v>1</v>
      </c>
      <c r="O1570" t="b">
        <v>0</v>
      </c>
      <c r="P1570">
        <v>0</v>
      </c>
      <c r="BB1570">
        <v>0</v>
      </c>
      <c r="BC1570" t="s">
        <v>306</v>
      </c>
      <c r="BD1570" t="s">
        <v>270</v>
      </c>
      <c r="BE1570" t="s">
        <v>117</v>
      </c>
      <c r="BF1570">
        <v>0</v>
      </c>
      <c r="BG1570">
        <v>0</v>
      </c>
      <c r="BH1570">
        <v>0</v>
      </c>
    </row>
    <row r="1571" spans="1:61">
      <c r="A1571" s="164" t="s">
        <v>3828</v>
      </c>
      <c r="B1571" t="s">
        <v>3829</v>
      </c>
      <c r="C1571">
        <v>0</v>
      </c>
      <c r="D1571" t="s">
        <v>304</v>
      </c>
      <c r="E1571">
        <v>0</v>
      </c>
      <c r="F1571" t="s">
        <v>269</v>
      </c>
      <c r="G1571" t="s">
        <v>103</v>
      </c>
      <c r="H1571" t="s">
        <v>104</v>
      </c>
      <c r="I1571" t="s">
        <v>80</v>
      </c>
      <c r="J1571" t="s">
        <v>196</v>
      </c>
      <c r="K1571" t="s">
        <v>13</v>
      </c>
      <c r="L1571" t="s">
        <v>83</v>
      </c>
      <c r="M1571" t="s">
        <v>84</v>
      </c>
      <c r="N1571">
        <v>1</v>
      </c>
      <c r="O1571" t="b">
        <v>0</v>
      </c>
      <c r="P1571">
        <v>0</v>
      </c>
      <c r="BB1571">
        <v>0</v>
      </c>
      <c r="BC1571" t="s">
        <v>306</v>
      </c>
      <c r="BD1571" t="s">
        <v>270</v>
      </c>
      <c r="BE1571" t="s">
        <v>117</v>
      </c>
      <c r="BF1571">
        <v>0</v>
      </c>
      <c r="BG1571">
        <v>0</v>
      </c>
      <c r="BH1571">
        <v>0</v>
      </c>
    </row>
    <row r="1572" spans="1:61">
      <c r="A1572" s="164" t="s">
        <v>3830</v>
      </c>
      <c r="B1572" t="s">
        <v>3831</v>
      </c>
      <c r="C1572">
        <v>0</v>
      </c>
      <c r="D1572" t="s">
        <v>304</v>
      </c>
      <c r="E1572">
        <v>0</v>
      </c>
      <c r="F1572" t="s">
        <v>269</v>
      </c>
      <c r="G1572" t="s">
        <v>103</v>
      </c>
      <c r="H1572" t="s">
        <v>104</v>
      </c>
      <c r="I1572" t="s">
        <v>80</v>
      </c>
      <c r="J1572" t="s">
        <v>196</v>
      </c>
      <c r="K1572" t="s">
        <v>13</v>
      </c>
      <c r="L1572" t="s">
        <v>83</v>
      </c>
      <c r="M1572" t="s">
        <v>84</v>
      </c>
      <c r="N1572">
        <v>1</v>
      </c>
      <c r="O1572" t="b">
        <v>0</v>
      </c>
      <c r="P1572">
        <v>0</v>
      </c>
      <c r="BB1572">
        <v>0</v>
      </c>
      <c r="BC1572" t="s">
        <v>306</v>
      </c>
      <c r="BD1572" t="s">
        <v>270</v>
      </c>
      <c r="BE1572" t="s">
        <v>117</v>
      </c>
      <c r="BF1572">
        <v>0</v>
      </c>
      <c r="BG1572">
        <v>0</v>
      </c>
      <c r="BH1572">
        <v>0</v>
      </c>
    </row>
    <row r="1573" spans="1:61">
      <c r="A1573" s="164" t="s">
        <v>3832</v>
      </c>
      <c r="B1573" t="s">
        <v>3833</v>
      </c>
      <c r="C1573">
        <v>0</v>
      </c>
      <c r="D1573" t="s">
        <v>304</v>
      </c>
      <c r="E1573">
        <v>0</v>
      </c>
      <c r="F1573" t="s">
        <v>666</v>
      </c>
      <c r="G1573" t="s">
        <v>78</v>
      </c>
      <c r="H1573" t="s">
        <v>79</v>
      </c>
      <c r="I1573" t="s">
        <v>80</v>
      </c>
      <c r="J1573" t="s">
        <v>196</v>
      </c>
      <c r="K1573" t="s">
        <v>13</v>
      </c>
      <c r="L1573" t="s">
        <v>83</v>
      </c>
      <c r="M1573" t="s">
        <v>84</v>
      </c>
      <c r="N1573">
        <v>1</v>
      </c>
      <c r="O1573" t="b">
        <v>1</v>
      </c>
      <c r="P1573">
        <v>0</v>
      </c>
      <c r="BB1573">
        <v>0</v>
      </c>
      <c r="BC1573" t="s">
        <v>306</v>
      </c>
      <c r="BD1573" t="s">
        <v>667</v>
      </c>
      <c r="BE1573" t="s">
        <v>117</v>
      </c>
      <c r="BF1573">
        <v>0</v>
      </c>
      <c r="BG1573">
        <v>45</v>
      </c>
      <c r="BH1573">
        <v>60000</v>
      </c>
      <c r="BI1573" t="s">
        <v>315</v>
      </c>
    </row>
    <row r="1574" spans="1:61">
      <c r="A1574" s="164" t="s">
        <v>3834</v>
      </c>
      <c r="B1574" t="s">
        <v>3835</v>
      </c>
      <c r="C1574">
        <v>0</v>
      </c>
      <c r="D1574" t="s">
        <v>304</v>
      </c>
      <c r="E1574">
        <v>0</v>
      </c>
      <c r="F1574" t="s">
        <v>331</v>
      </c>
      <c r="G1574" t="s">
        <v>78</v>
      </c>
      <c r="H1574" t="s">
        <v>79</v>
      </c>
      <c r="I1574" t="s">
        <v>80</v>
      </c>
      <c r="J1574" t="s">
        <v>196</v>
      </c>
      <c r="K1574" t="s">
        <v>13</v>
      </c>
      <c r="L1574" t="s">
        <v>83</v>
      </c>
      <c r="M1574" t="s">
        <v>84</v>
      </c>
      <c r="N1574">
        <v>1</v>
      </c>
      <c r="O1574" t="b">
        <v>1</v>
      </c>
      <c r="P1574">
        <v>0</v>
      </c>
      <c r="BB1574">
        <v>0</v>
      </c>
      <c r="BC1574" t="s">
        <v>306</v>
      </c>
      <c r="BD1574" t="s">
        <v>332</v>
      </c>
      <c r="BE1574" t="s">
        <v>117</v>
      </c>
      <c r="BF1574">
        <v>0</v>
      </c>
      <c r="BG1574">
        <v>60</v>
      </c>
      <c r="BH1574">
        <v>200000</v>
      </c>
      <c r="BI1574" t="s">
        <v>333</v>
      </c>
    </row>
    <row r="1575" spans="1:61">
      <c r="A1575" s="164" t="s">
        <v>3836</v>
      </c>
      <c r="B1575" t="s">
        <v>3837</v>
      </c>
      <c r="C1575">
        <v>0</v>
      </c>
      <c r="D1575" t="s">
        <v>304</v>
      </c>
      <c r="E1575">
        <v>0</v>
      </c>
      <c r="F1575" t="s">
        <v>326</v>
      </c>
      <c r="G1575" t="s">
        <v>78</v>
      </c>
      <c r="H1575" t="s">
        <v>79</v>
      </c>
      <c r="I1575" t="s">
        <v>80</v>
      </c>
      <c r="J1575" t="s">
        <v>196</v>
      </c>
      <c r="K1575" t="s">
        <v>13</v>
      </c>
      <c r="L1575" t="s">
        <v>83</v>
      </c>
      <c r="M1575" t="s">
        <v>84</v>
      </c>
      <c r="N1575">
        <v>1</v>
      </c>
      <c r="O1575" t="b">
        <v>1</v>
      </c>
      <c r="P1575">
        <v>0</v>
      </c>
      <c r="BB1575">
        <v>0</v>
      </c>
      <c r="BC1575" t="s">
        <v>306</v>
      </c>
      <c r="BD1575" t="s">
        <v>327</v>
      </c>
      <c r="BE1575" t="s">
        <v>117</v>
      </c>
      <c r="BF1575">
        <v>0</v>
      </c>
      <c r="BG1575">
        <v>30</v>
      </c>
      <c r="BH1575">
        <v>30000</v>
      </c>
      <c r="BI1575" t="s">
        <v>328</v>
      </c>
    </row>
    <row r="1576" spans="1:61">
      <c r="A1576" s="164" t="s">
        <v>3838</v>
      </c>
      <c r="B1576" t="s">
        <v>3839</v>
      </c>
      <c r="C1576">
        <v>0</v>
      </c>
      <c r="D1576" t="s">
        <v>304</v>
      </c>
      <c r="E1576">
        <v>0</v>
      </c>
      <c r="F1576" t="s">
        <v>1364</v>
      </c>
      <c r="G1576" t="s">
        <v>78</v>
      </c>
      <c r="H1576" t="s">
        <v>79</v>
      </c>
      <c r="I1576" t="s">
        <v>80</v>
      </c>
      <c r="J1576" t="s">
        <v>196</v>
      </c>
      <c r="K1576" t="s">
        <v>13</v>
      </c>
      <c r="L1576" t="s">
        <v>83</v>
      </c>
      <c r="M1576" t="s">
        <v>205</v>
      </c>
      <c r="N1576">
        <v>1</v>
      </c>
      <c r="O1576" t="b">
        <v>1</v>
      </c>
      <c r="P1576">
        <v>0</v>
      </c>
      <c r="BB1576">
        <v>0</v>
      </c>
      <c r="BC1576" t="s">
        <v>306</v>
      </c>
      <c r="BD1576" t="s">
        <v>1365</v>
      </c>
      <c r="BE1576" t="s">
        <v>117</v>
      </c>
      <c r="BF1576">
        <v>0</v>
      </c>
      <c r="BG1576">
        <v>20</v>
      </c>
      <c r="BH1576">
        <v>10</v>
      </c>
      <c r="BI1576" t="s">
        <v>3840</v>
      </c>
    </row>
    <row r="1577" spans="1:61">
      <c r="A1577" s="164" t="s">
        <v>3841</v>
      </c>
      <c r="B1577" t="s">
        <v>3842</v>
      </c>
      <c r="C1577">
        <v>0</v>
      </c>
      <c r="D1577" t="s">
        <v>304</v>
      </c>
      <c r="E1577">
        <v>0</v>
      </c>
      <c r="F1577" t="s">
        <v>357</v>
      </c>
      <c r="G1577" t="s">
        <v>78</v>
      </c>
      <c r="H1577" t="s">
        <v>79</v>
      </c>
      <c r="I1577" t="s">
        <v>80</v>
      </c>
      <c r="J1577" t="s">
        <v>196</v>
      </c>
      <c r="K1577" t="s">
        <v>13</v>
      </c>
      <c r="L1577" t="s">
        <v>83</v>
      </c>
      <c r="M1577" t="s">
        <v>84</v>
      </c>
      <c r="N1577">
        <v>1</v>
      </c>
      <c r="O1577" t="b">
        <v>1</v>
      </c>
      <c r="P1577">
        <v>0</v>
      </c>
      <c r="BB1577">
        <v>0</v>
      </c>
      <c r="BC1577" t="s">
        <v>306</v>
      </c>
      <c r="BD1577" t="s">
        <v>358</v>
      </c>
      <c r="BE1577" t="s">
        <v>117</v>
      </c>
      <c r="BF1577">
        <v>0</v>
      </c>
      <c r="BG1577">
        <v>25</v>
      </c>
      <c r="BH1577">
        <v>500</v>
      </c>
      <c r="BI1577" t="s">
        <v>359</v>
      </c>
    </row>
    <row r="1578" spans="1:61">
      <c r="A1578" s="164" t="s">
        <v>3843</v>
      </c>
      <c r="B1578" t="s">
        <v>3844</v>
      </c>
      <c r="C1578">
        <v>0</v>
      </c>
      <c r="D1578" t="s">
        <v>304</v>
      </c>
      <c r="E1578">
        <v>0</v>
      </c>
      <c r="F1578" t="s">
        <v>357</v>
      </c>
      <c r="G1578" t="s">
        <v>78</v>
      </c>
      <c r="H1578" t="s">
        <v>79</v>
      </c>
      <c r="I1578" t="s">
        <v>80</v>
      </c>
      <c r="J1578" t="s">
        <v>196</v>
      </c>
      <c r="K1578" t="s">
        <v>13</v>
      </c>
      <c r="L1578" t="s">
        <v>83</v>
      </c>
      <c r="M1578" t="s">
        <v>84</v>
      </c>
      <c r="N1578">
        <v>1</v>
      </c>
      <c r="O1578" t="b">
        <v>1</v>
      </c>
      <c r="P1578">
        <v>0</v>
      </c>
      <c r="BB1578">
        <v>0</v>
      </c>
      <c r="BC1578" t="s">
        <v>306</v>
      </c>
      <c r="BD1578" t="s">
        <v>358</v>
      </c>
      <c r="BE1578" t="s">
        <v>117</v>
      </c>
      <c r="BF1578">
        <v>0</v>
      </c>
      <c r="BG1578">
        <v>25</v>
      </c>
      <c r="BH1578">
        <v>500</v>
      </c>
      <c r="BI1578" t="s">
        <v>359</v>
      </c>
    </row>
    <row r="1579" spans="1:61">
      <c r="A1579" s="164" t="s">
        <v>3845</v>
      </c>
      <c r="B1579" t="s">
        <v>3846</v>
      </c>
      <c r="C1579">
        <v>0</v>
      </c>
      <c r="D1579" t="s">
        <v>304</v>
      </c>
      <c r="E1579">
        <v>0</v>
      </c>
      <c r="F1579" t="s">
        <v>313</v>
      </c>
      <c r="G1579" t="s">
        <v>78</v>
      </c>
      <c r="H1579" t="s">
        <v>79</v>
      </c>
      <c r="I1579" t="s">
        <v>80</v>
      </c>
      <c r="J1579" t="s">
        <v>196</v>
      </c>
      <c r="K1579" t="s">
        <v>13</v>
      </c>
      <c r="L1579" t="s">
        <v>83</v>
      </c>
      <c r="M1579" t="s">
        <v>205</v>
      </c>
      <c r="N1579">
        <v>1</v>
      </c>
      <c r="O1579" t="b">
        <v>1</v>
      </c>
      <c r="P1579">
        <v>0</v>
      </c>
      <c r="BB1579">
        <v>0</v>
      </c>
      <c r="BC1579" t="s">
        <v>306</v>
      </c>
      <c r="BD1579" t="s">
        <v>314</v>
      </c>
      <c r="BE1579" t="s">
        <v>117</v>
      </c>
      <c r="BF1579">
        <v>0</v>
      </c>
      <c r="BG1579">
        <v>45</v>
      </c>
      <c r="BH1579">
        <v>1000</v>
      </c>
      <c r="BI1579" t="s">
        <v>315</v>
      </c>
    </row>
    <row r="1580" spans="1:61">
      <c r="A1580" s="164" t="s">
        <v>3847</v>
      </c>
      <c r="B1580" t="s">
        <v>3848</v>
      </c>
      <c r="C1580">
        <v>0</v>
      </c>
      <c r="D1580" t="s">
        <v>304</v>
      </c>
      <c r="E1580">
        <v>0</v>
      </c>
      <c r="F1580" t="s">
        <v>313</v>
      </c>
      <c r="G1580" t="s">
        <v>78</v>
      </c>
      <c r="H1580" t="s">
        <v>79</v>
      </c>
      <c r="I1580" t="s">
        <v>80</v>
      </c>
      <c r="J1580" t="s">
        <v>196</v>
      </c>
      <c r="K1580" t="s">
        <v>13</v>
      </c>
      <c r="L1580" t="s">
        <v>83</v>
      </c>
      <c r="M1580" t="s">
        <v>84</v>
      </c>
      <c r="N1580">
        <v>1</v>
      </c>
      <c r="O1580" t="b">
        <v>1</v>
      </c>
      <c r="P1580">
        <v>0</v>
      </c>
      <c r="BB1580">
        <v>0</v>
      </c>
      <c r="BC1580" t="s">
        <v>306</v>
      </c>
      <c r="BD1580" t="s">
        <v>314</v>
      </c>
      <c r="BE1580" t="s">
        <v>117</v>
      </c>
      <c r="BF1580">
        <v>0</v>
      </c>
      <c r="BG1580">
        <v>15</v>
      </c>
      <c r="BH1580">
        <v>2000</v>
      </c>
      <c r="BI1580" t="s">
        <v>1366</v>
      </c>
    </row>
    <row r="1581" spans="1:61">
      <c r="A1581" s="164" t="s">
        <v>3849</v>
      </c>
      <c r="B1581" t="s">
        <v>3850</v>
      </c>
      <c r="C1581">
        <v>0</v>
      </c>
      <c r="D1581" t="s">
        <v>304</v>
      </c>
      <c r="E1581">
        <v>0</v>
      </c>
      <c r="F1581" t="s">
        <v>269</v>
      </c>
      <c r="G1581" t="s">
        <v>103</v>
      </c>
      <c r="H1581" t="s">
        <v>104</v>
      </c>
      <c r="I1581" t="s">
        <v>80</v>
      </c>
      <c r="J1581" t="s">
        <v>196</v>
      </c>
      <c r="K1581" t="s">
        <v>13</v>
      </c>
      <c r="L1581" t="s">
        <v>83</v>
      </c>
      <c r="M1581" t="s">
        <v>84</v>
      </c>
      <c r="N1581">
        <v>1</v>
      </c>
      <c r="O1581" t="b">
        <v>0</v>
      </c>
      <c r="P1581">
        <v>0</v>
      </c>
      <c r="BB1581">
        <v>0</v>
      </c>
      <c r="BC1581" t="s">
        <v>306</v>
      </c>
      <c r="BD1581" t="s">
        <v>270</v>
      </c>
      <c r="BE1581" t="s">
        <v>117</v>
      </c>
      <c r="BF1581">
        <v>0</v>
      </c>
      <c r="BG1581">
        <v>0</v>
      </c>
      <c r="BH1581">
        <v>0</v>
      </c>
    </row>
    <row r="1582" spans="1:61">
      <c r="A1582" s="164" t="s">
        <v>3851</v>
      </c>
      <c r="B1582" t="s">
        <v>3852</v>
      </c>
      <c r="C1582">
        <v>0</v>
      </c>
      <c r="D1582" t="s">
        <v>304</v>
      </c>
      <c r="E1582">
        <v>0</v>
      </c>
      <c r="F1582" t="s">
        <v>342</v>
      </c>
      <c r="G1582" t="s">
        <v>78</v>
      </c>
      <c r="H1582" t="s">
        <v>79</v>
      </c>
      <c r="I1582" t="s">
        <v>80</v>
      </c>
      <c r="J1582" t="s">
        <v>196</v>
      </c>
      <c r="K1582" t="s">
        <v>13</v>
      </c>
      <c r="L1582" t="s">
        <v>83</v>
      </c>
      <c r="M1582" t="s">
        <v>84</v>
      </c>
      <c r="N1582">
        <v>1</v>
      </c>
      <c r="O1582" t="b">
        <v>1</v>
      </c>
      <c r="P1582">
        <v>0</v>
      </c>
      <c r="BB1582">
        <v>0</v>
      </c>
      <c r="BC1582" t="s">
        <v>306</v>
      </c>
      <c r="BD1582" t="s">
        <v>343</v>
      </c>
      <c r="BE1582" t="s">
        <v>117</v>
      </c>
      <c r="BF1582">
        <v>0</v>
      </c>
      <c r="BG1582">
        <v>25</v>
      </c>
      <c r="BH1582">
        <v>10000</v>
      </c>
      <c r="BI1582" t="s">
        <v>344</v>
      </c>
    </row>
    <row r="1583" spans="1:61">
      <c r="A1583" s="164" t="s">
        <v>3853</v>
      </c>
      <c r="B1583" t="s">
        <v>3854</v>
      </c>
      <c r="C1583">
        <v>0</v>
      </c>
      <c r="D1583" t="s">
        <v>304</v>
      </c>
      <c r="E1583">
        <v>0</v>
      </c>
      <c r="F1583" t="s">
        <v>342</v>
      </c>
      <c r="G1583" t="s">
        <v>78</v>
      </c>
      <c r="H1583" t="s">
        <v>79</v>
      </c>
      <c r="I1583" t="s">
        <v>80</v>
      </c>
      <c r="J1583" t="s">
        <v>196</v>
      </c>
      <c r="K1583" t="s">
        <v>13</v>
      </c>
      <c r="L1583" t="s">
        <v>83</v>
      </c>
      <c r="M1583" t="s">
        <v>84</v>
      </c>
      <c r="N1583">
        <v>1</v>
      </c>
      <c r="O1583" t="b">
        <v>1</v>
      </c>
      <c r="P1583">
        <v>0</v>
      </c>
      <c r="BB1583">
        <v>0</v>
      </c>
      <c r="BC1583" t="s">
        <v>306</v>
      </c>
      <c r="BD1583" t="s">
        <v>343</v>
      </c>
      <c r="BE1583" t="s">
        <v>117</v>
      </c>
      <c r="BF1583">
        <v>0</v>
      </c>
      <c r="BG1583">
        <v>25</v>
      </c>
      <c r="BH1583">
        <v>10000</v>
      </c>
      <c r="BI1583" t="s">
        <v>344</v>
      </c>
    </row>
    <row r="1584" spans="1:61">
      <c r="A1584" s="164" t="s">
        <v>3855</v>
      </c>
      <c r="B1584" t="s">
        <v>3856</v>
      </c>
      <c r="C1584">
        <v>0</v>
      </c>
      <c r="D1584" t="s">
        <v>304</v>
      </c>
      <c r="E1584">
        <v>0</v>
      </c>
      <c r="F1584" t="s">
        <v>357</v>
      </c>
      <c r="G1584" t="s">
        <v>78</v>
      </c>
      <c r="H1584" t="s">
        <v>79</v>
      </c>
      <c r="I1584" t="s">
        <v>80</v>
      </c>
      <c r="J1584" t="s">
        <v>196</v>
      </c>
      <c r="K1584" t="s">
        <v>13</v>
      </c>
      <c r="L1584" t="s">
        <v>83</v>
      </c>
      <c r="M1584" t="s">
        <v>84</v>
      </c>
      <c r="N1584">
        <v>1</v>
      </c>
      <c r="O1584" t="b">
        <v>1</v>
      </c>
      <c r="P1584">
        <v>0</v>
      </c>
      <c r="BB1584">
        <v>0</v>
      </c>
      <c r="BC1584" t="s">
        <v>306</v>
      </c>
      <c r="BD1584" t="s">
        <v>358</v>
      </c>
      <c r="BE1584" t="s">
        <v>117</v>
      </c>
      <c r="BF1584">
        <v>0</v>
      </c>
      <c r="BG1584">
        <v>25</v>
      </c>
      <c r="BH1584">
        <v>500</v>
      </c>
      <c r="BI1584" t="s">
        <v>359</v>
      </c>
    </row>
    <row r="1585" spans="1:61">
      <c r="A1585" s="164" t="s">
        <v>3857</v>
      </c>
      <c r="B1585" t="s">
        <v>3858</v>
      </c>
      <c r="C1585">
        <v>0</v>
      </c>
      <c r="D1585" t="s">
        <v>304</v>
      </c>
      <c r="E1585">
        <v>0</v>
      </c>
      <c r="F1585" t="s">
        <v>357</v>
      </c>
      <c r="G1585" t="s">
        <v>78</v>
      </c>
      <c r="H1585" t="s">
        <v>79</v>
      </c>
      <c r="I1585" t="s">
        <v>80</v>
      </c>
      <c r="J1585" t="s">
        <v>196</v>
      </c>
      <c r="K1585" t="s">
        <v>13</v>
      </c>
      <c r="L1585" t="s">
        <v>83</v>
      </c>
      <c r="M1585" t="s">
        <v>84</v>
      </c>
      <c r="N1585">
        <v>1</v>
      </c>
      <c r="O1585" t="b">
        <v>1</v>
      </c>
      <c r="P1585">
        <v>0</v>
      </c>
      <c r="BB1585">
        <v>0</v>
      </c>
      <c r="BC1585" t="s">
        <v>306</v>
      </c>
      <c r="BD1585" t="s">
        <v>358</v>
      </c>
      <c r="BE1585" t="s">
        <v>117</v>
      </c>
      <c r="BF1585">
        <v>0</v>
      </c>
      <c r="BG1585">
        <v>30</v>
      </c>
      <c r="BH1585">
        <v>500</v>
      </c>
      <c r="BI1585" t="s">
        <v>359</v>
      </c>
    </row>
    <row r="1586" spans="1:61">
      <c r="A1586" s="164" t="s">
        <v>3859</v>
      </c>
      <c r="B1586" t="s">
        <v>3860</v>
      </c>
      <c r="C1586">
        <v>0</v>
      </c>
      <c r="D1586" t="s">
        <v>304</v>
      </c>
      <c r="E1586">
        <v>0</v>
      </c>
      <c r="F1586" t="s">
        <v>357</v>
      </c>
      <c r="G1586" t="s">
        <v>78</v>
      </c>
      <c r="H1586" t="s">
        <v>79</v>
      </c>
      <c r="I1586" t="s">
        <v>80</v>
      </c>
      <c r="J1586" t="s">
        <v>196</v>
      </c>
      <c r="K1586" t="s">
        <v>13</v>
      </c>
      <c r="L1586" t="s">
        <v>83</v>
      </c>
      <c r="M1586" t="s">
        <v>84</v>
      </c>
      <c r="N1586">
        <v>1</v>
      </c>
      <c r="O1586" t="b">
        <v>1</v>
      </c>
      <c r="P1586">
        <v>0</v>
      </c>
      <c r="BB1586">
        <v>0</v>
      </c>
      <c r="BC1586" t="s">
        <v>306</v>
      </c>
      <c r="BD1586" t="s">
        <v>358</v>
      </c>
      <c r="BE1586" t="s">
        <v>117</v>
      </c>
      <c r="BF1586">
        <v>0</v>
      </c>
      <c r="BG1586">
        <v>30</v>
      </c>
      <c r="BH1586">
        <v>500</v>
      </c>
      <c r="BI1586" t="s">
        <v>359</v>
      </c>
    </row>
    <row r="1587" spans="1:61">
      <c r="A1587" s="164" t="s">
        <v>3861</v>
      </c>
      <c r="B1587" t="s">
        <v>3862</v>
      </c>
      <c r="C1587">
        <v>0</v>
      </c>
      <c r="D1587" t="s">
        <v>523</v>
      </c>
      <c r="E1587">
        <v>0</v>
      </c>
      <c r="F1587" t="s">
        <v>538</v>
      </c>
      <c r="G1587" t="s">
        <v>78</v>
      </c>
      <c r="H1587" t="s">
        <v>79</v>
      </c>
      <c r="I1587" t="s">
        <v>80</v>
      </c>
      <c r="J1587" t="s">
        <v>196</v>
      </c>
      <c r="K1587" t="s">
        <v>13</v>
      </c>
      <c r="L1587" t="s">
        <v>83</v>
      </c>
      <c r="M1587" t="s">
        <v>205</v>
      </c>
      <c r="N1587">
        <v>1</v>
      </c>
      <c r="O1587" t="b">
        <v>1</v>
      </c>
      <c r="P1587">
        <v>0</v>
      </c>
      <c r="BB1587">
        <v>0</v>
      </c>
      <c r="BC1587" t="s">
        <v>524</v>
      </c>
      <c r="BD1587" t="s">
        <v>539</v>
      </c>
      <c r="BE1587" t="s">
        <v>117</v>
      </c>
      <c r="BF1587">
        <v>0</v>
      </c>
      <c r="BG1587">
        <v>20</v>
      </c>
      <c r="BH1587">
        <v>600</v>
      </c>
      <c r="BI1587" t="s">
        <v>3863</v>
      </c>
    </row>
    <row r="1588" spans="1:61">
      <c r="A1588" s="164" t="s">
        <v>3864</v>
      </c>
      <c r="B1588" t="s">
        <v>3865</v>
      </c>
      <c r="C1588">
        <v>0</v>
      </c>
      <c r="D1588" t="s">
        <v>523</v>
      </c>
      <c r="E1588">
        <v>0</v>
      </c>
      <c r="F1588" t="s">
        <v>269</v>
      </c>
      <c r="G1588" t="s">
        <v>103</v>
      </c>
      <c r="H1588" t="s">
        <v>104</v>
      </c>
      <c r="I1588" t="s">
        <v>80</v>
      </c>
      <c r="J1588" t="s">
        <v>196</v>
      </c>
      <c r="K1588" t="s">
        <v>13</v>
      </c>
      <c r="L1588" t="s">
        <v>83</v>
      </c>
      <c r="M1588" t="s">
        <v>205</v>
      </c>
      <c r="N1588">
        <v>1</v>
      </c>
      <c r="O1588" t="b">
        <v>0</v>
      </c>
      <c r="P1588">
        <v>0</v>
      </c>
      <c r="BB1588">
        <v>0</v>
      </c>
      <c r="BC1588" t="s">
        <v>524</v>
      </c>
      <c r="BD1588" t="s">
        <v>270</v>
      </c>
      <c r="BE1588" t="s">
        <v>117</v>
      </c>
      <c r="BF1588">
        <v>0</v>
      </c>
      <c r="BG1588">
        <v>0</v>
      </c>
      <c r="BH1588">
        <v>0</v>
      </c>
    </row>
    <row r="1589" spans="1:61">
      <c r="A1589" s="164" t="s">
        <v>3866</v>
      </c>
      <c r="B1589" t="s">
        <v>3867</v>
      </c>
      <c r="C1589">
        <v>0</v>
      </c>
      <c r="D1589" t="s">
        <v>523</v>
      </c>
      <c r="E1589">
        <v>0</v>
      </c>
      <c r="F1589" t="s">
        <v>269</v>
      </c>
      <c r="G1589" t="s">
        <v>103</v>
      </c>
      <c r="H1589" t="s">
        <v>104</v>
      </c>
      <c r="I1589" t="s">
        <v>80</v>
      </c>
      <c r="J1589" t="s">
        <v>196</v>
      </c>
      <c r="K1589" t="s">
        <v>13</v>
      </c>
      <c r="L1589" t="s">
        <v>83</v>
      </c>
      <c r="M1589" t="s">
        <v>205</v>
      </c>
      <c r="N1589">
        <v>1</v>
      </c>
      <c r="O1589" t="b">
        <v>0</v>
      </c>
      <c r="P1589">
        <v>0</v>
      </c>
      <c r="BB1589">
        <v>0</v>
      </c>
      <c r="BC1589" t="s">
        <v>524</v>
      </c>
      <c r="BD1589" t="s">
        <v>270</v>
      </c>
      <c r="BE1589" t="s">
        <v>117</v>
      </c>
      <c r="BF1589">
        <v>0</v>
      </c>
      <c r="BG1589">
        <v>0</v>
      </c>
      <c r="BH1589">
        <v>0</v>
      </c>
    </row>
    <row r="1590" spans="1:61">
      <c r="A1590" s="164" t="s">
        <v>3868</v>
      </c>
      <c r="B1590" t="s">
        <v>3869</v>
      </c>
      <c r="C1590">
        <v>0</v>
      </c>
      <c r="D1590" t="s">
        <v>479</v>
      </c>
      <c r="E1590">
        <v>0</v>
      </c>
      <c r="F1590" t="s">
        <v>480</v>
      </c>
      <c r="G1590" t="s">
        <v>103</v>
      </c>
      <c r="H1590" t="s">
        <v>104</v>
      </c>
      <c r="I1590" t="s">
        <v>80</v>
      </c>
      <c r="J1590" t="s">
        <v>467</v>
      </c>
      <c r="K1590" t="s">
        <v>468</v>
      </c>
      <c r="L1590" t="s">
        <v>111</v>
      </c>
      <c r="M1590" t="s">
        <v>84</v>
      </c>
      <c r="N1590">
        <v>0.9</v>
      </c>
      <c r="O1590" t="b">
        <v>0</v>
      </c>
      <c r="P1590">
        <v>45</v>
      </c>
      <c r="Q1590" t="s">
        <v>479</v>
      </c>
      <c r="S1590">
        <v>0.9</v>
      </c>
      <c r="T1590">
        <v>1</v>
      </c>
      <c r="V1590" t="s">
        <v>87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H1590">
        <v>0</v>
      </c>
      <c r="AI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Y1590">
        <v>0</v>
      </c>
      <c r="AZ1590">
        <v>8</v>
      </c>
      <c r="BA1590" t="s">
        <v>138</v>
      </c>
      <c r="BB1590">
        <v>0</v>
      </c>
      <c r="BC1590" t="s">
        <v>95</v>
      </c>
      <c r="BD1590" t="s">
        <v>469</v>
      </c>
      <c r="BE1590" t="s">
        <v>97</v>
      </c>
      <c r="BF1590">
        <v>0</v>
      </c>
      <c r="BG1590">
        <v>0</v>
      </c>
      <c r="BH1590">
        <v>0</v>
      </c>
      <c r="BI1590" t="s">
        <v>98</v>
      </c>
    </row>
    <row r="1591" spans="1:61">
      <c r="A1591" s="164" t="s">
        <v>3870</v>
      </c>
      <c r="B1591" t="s">
        <v>3871</v>
      </c>
      <c r="C1591">
        <v>0</v>
      </c>
      <c r="D1591" t="s">
        <v>2563</v>
      </c>
      <c r="E1591">
        <v>0</v>
      </c>
      <c r="F1591" t="s">
        <v>2563</v>
      </c>
      <c r="G1591" t="s">
        <v>1242</v>
      </c>
      <c r="H1591" t="s">
        <v>117</v>
      </c>
      <c r="I1591" t="s">
        <v>80</v>
      </c>
      <c r="J1591" t="s">
        <v>163</v>
      </c>
      <c r="K1591" t="s">
        <v>82</v>
      </c>
      <c r="L1591" t="s">
        <v>83</v>
      </c>
      <c r="M1591" t="s">
        <v>84</v>
      </c>
      <c r="N1591">
        <v>1</v>
      </c>
      <c r="O1591" t="b">
        <v>1</v>
      </c>
      <c r="P1591">
        <v>0</v>
      </c>
      <c r="Q1591" t="s">
        <v>137</v>
      </c>
      <c r="V1591" t="s">
        <v>165</v>
      </c>
      <c r="X1591">
        <v>0</v>
      </c>
      <c r="Z1591">
        <v>0</v>
      </c>
      <c r="AB1591">
        <v>0</v>
      </c>
      <c r="AC1591">
        <v>0</v>
      </c>
      <c r="AE1591" t="s">
        <v>129</v>
      </c>
      <c r="AF1591" t="s">
        <v>2563</v>
      </c>
      <c r="AG1591" t="s">
        <v>129</v>
      </c>
      <c r="AH1591">
        <v>0</v>
      </c>
      <c r="AI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 t="s">
        <v>3872</v>
      </c>
      <c r="AY1591">
        <v>0</v>
      </c>
      <c r="AZ1591">
        <v>0</v>
      </c>
      <c r="BA1591" t="s">
        <v>138</v>
      </c>
      <c r="BB1591">
        <v>0</v>
      </c>
      <c r="BC1591" t="s">
        <v>488</v>
      </c>
      <c r="BD1591" t="s">
        <v>489</v>
      </c>
      <c r="BE1591" t="s">
        <v>97</v>
      </c>
      <c r="BF1591">
        <v>0</v>
      </c>
      <c r="BG1591">
        <v>0</v>
      </c>
      <c r="BH1591">
        <v>0</v>
      </c>
      <c r="BI1591" t="s">
        <v>98</v>
      </c>
    </row>
    <row r="1592" spans="1:61">
      <c r="A1592" s="164" t="s">
        <v>3873</v>
      </c>
      <c r="B1592" t="s">
        <v>3874</v>
      </c>
      <c r="C1592">
        <v>0</v>
      </c>
      <c r="D1592" t="s">
        <v>107</v>
      </c>
      <c r="E1592">
        <v>0</v>
      </c>
      <c r="F1592" t="s">
        <v>120</v>
      </c>
      <c r="G1592" t="s">
        <v>103</v>
      </c>
      <c r="H1592" t="s">
        <v>104</v>
      </c>
      <c r="I1592" t="s">
        <v>80</v>
      </c>
      <c r="J1592" t="s">
        <v>81</v>
      </c>
      <c r="K1592" t="s">
        <v>82</v>
      </c>
      <c r="L1592" t="s">
        <v>83</v>
      </c>
      <c r="M1592" t="s">
        <v>84</v>
      </c>
      <c r="N1592">
        <v>0.12</v>
      </c>
      <c r="O1592" t="b">
        <v>1</v>
      </c>
      <c r="P1592">
        <v>45</v>
      </c>
      <c r="Q1592" t="s">
        <v>85</v>
      </c>
      <c r="S1592">
        <v>0.12</v>
      </c>
      <c r="U1592" s="36">
        <v>0.345775</v>
      </c>
      <c r="V1592" t="s">
        <v>87</v>
      </c>
      <c r="AF1592" t="s">
        <v>121</v>
      </c>
      <c r="AI1592">
        <v>0.9</v>
      </c>
      <c r="AZ1592">
        <v>4</v>
      </c>
      <c r="BA1592" t="s">
        <v>94</v>
      </c>
      <c r="BB1592">
        <v>1.1499999999999999</v>
      </c>
      <c r="BC1592" t="s">
        <v>95</v>
      </c>
      <c r="BD1592" t="s">
        <v>96</v>
      </c>
      <c r="BE1592" t="s">
        <v>97</v>
      </c>
      <c r="BF1592">
        <v>1</v>
      </c>
      <c r="BG1592">
        <v>0</v>
      </c>
      <c r="BH1592">
        <v>0</v>
      </c>
      <c r="BI1592" t="s">
        <v>98</v>
      </c>
    </row>
    <row r="1593" spans="1:61">
      <c r="A1593" s="164" t="s">
        <v>3875</v>
      </c>
      <c r="B1593" t="s">
        <v>3876</v>
      </c>
      <c r="C1593">
        <v>0</v>
      </c>
      <c r="D1593" t="s">
        <v>486</v>
      </c>
      <c r="E1593">
        <v>0</v>
      </c>
      <c r="F1593" t="s">
        <v>1178</v>
      </c>
      <c r="G1593" t="s">
        <v>78</v>
      </c>
      <c r="H1593" t="s">
        <v>79</v>
      </c>
      <c r="I1593" t="s">
        <v>80</v>
      </c>
      <c r="J1593" t="s">
        <v>163</v>
      </c>
      <c r="K1593" t="s">
        <v>82</v>
      </c>
      <c r="L1593" t="s">
        <v>83</v>
      </c>
      <c r="M1593" t="s">
        <v>205</v>
      </c>
      <c r="N1593">
        <v>1</v>
      </c>
      <c r="O1593" t="b">
        <v>1</v>
      </c>
      <c r="P1593">
        <v>60</v>
      </c>
      <c r="Q1593" t="s">
        <v>137</v>
      </c>
      <c r="S1593">
        <v>1</v>
      </c>
      <c r="T1593">
        <v>1</v>
      </c>
      <c r="U1593" s="36">
        <v>6.9034249999999995</v>
      </c>
      <c r="V1593" t="s">
        <v>165</v>
      </c>
      <c r="X1593">
        <v>0</v>
      </c>
      <c r="Y1593">
        <v>16</v>
      </c>
      <c r="Z1593">
        <v>0.1</v>
      </c>
      <c r="AA1593">
        <v>20</v>
      </c>
      <c r="AB1593">
        <v>0</v>
      </c>
      <c r="AC1593">
        <v>0</v>
      </c>
      <c r="AE1593" t="s">
        <v>129</v>
      </c>
      <c r="AF1593" t="s">
        <v>1178</v>
      </c>
      <c r="AG1593" t="s">
        <v>129</v>
      </c>
      <c r="AH1593">
        <v>0</v>
      </c>
      <c r="AI1593">
        <v>11</v>
      </c>
      <c r="AM1593">
        <v>9.4599999999999991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 t="s">
        <v>3877</v>
      </c>
      <c r="AY1593">
        <v>34</v>
      </c>
      <c r="AZ1593">
        <v>4</v>
      </c>
      <c r="BA1593" t="s">
        <v>138</v>
      </c>
      <c r="BB1593">
        <v>8.6199999999999992</v>
      </c>
      <c r="BC1593" t="s">
        <v>95</v>
      </c>
      <c r="BD1593" t="s">
        <v>96</v>
      </c>
      <c r="BE1593" t="s">
        <v>97</v>
      </c>
      <c r="BF1593">
        <v>1.7</v>
      </c>
      <c r="BG1593">
        <v>0</v>
      </c>
      <c r="BH1593">
        <v>0</v>
      </c>
      <c r="BI1593" t="s">
        <v>98</v>
      </c>
    </row>
    <row r="1594" spans="1:61">
      <c r="A1594" s="164" t="s">
        <v>3878</v>
      </c>
      <c r="B1594" t="s">
        <v>3879</v>
      </c>
      <c r="C1594">
        <v>0</v>
      </c>
      <c r="D1594" t="s">
        <v>486</v>
      </c>
      <c r="E1594">
        <v>0</v>
      </c>
      <c r="F1594" t="s">
        <v>3880</v>
      </c>
      <c r="G1594" t="s">
        <v>78</v>
      </c>
      <c r="H1594" t="s">
        <v>79</v>
      </c>
      <c r="I1594" t="s">
        <v>80</v>
      </c>
      <c r="J1594" t="s">
        <v>163</v>
      </c>
      <c r="K1594" t="s">
        <v>82</v>
      </c>
      <c r="L1594" t="s">
        <v>83</v>
      </c>
      <c r="M1594" t="s">
        <v>84</v>
      </c>
      <c r="N1594">
        <v>0.35</v>
      </c>
      <c r="O1594" t="b">
        <v>1</v>
      </c>
      <c r="P1594">
        <v>60</v>
      </c>
      <c r="Q1594" t="s">
        <v>137</v>
      </c>
      <c r="S1594">
        <v>0.35</v>
      </c>
      <c r="T1594">
        <v>1</v>
      </c>
      <c r="U1594" s="36">
        <v>2.4922949999999999</v>
      </c>
      <c r="V1594" t="s">
        <v>165</v>
      </c>
      <c r="X1594">
        <v>0</v>
      </c>
      <c r="Y1594">
        <v>36</v>
      </c>
      <c r="Z1594">
        <v>2.7777777777777776E-2</v>
      </c>
      <c r="AA1594">
        <v>35</v>
      </c>
      <c r="AB1594">
        <v>0</v>
      </c>
      <c r="AC1594">
        <v>0</v>
      </c>
      <c r="AE1594" t="s">
        <v>129</v>
      </c>
      <c r="AF1594" t="s">
        <v>3880</v>
      </c>
      <c r="AG1594" t="s">
        <v>129</v>
      </c>
      <c r="AH1594">
        <v>0</v>
      </c>
      <c r="AI1594">
        <v>9.1999999999999993</v>
      </c>
      <c r="AJ1594" t="s">
        <v>167</v>
      </c>
      <c r="AM1594">
        <v>9.91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 t="s">
        <v>3881</v>
      </c>
      <c r="AY1594">
        <v>5.2938000000000001</v>
      </c>
      <c r="AZ1594">
        <v>3</v>
      </c>
      <c r="BA1594" t="s">
        <v>138</v>
      </c>
      <c r="BB1594">
        <v>5.28</v>
      </c>
      <c r="BC1594" t="s">
        <v>95</v>
      </c>
      <c r="BD1594" t="s">
        <v>96</v>
      </c>
      <c r="BE1594" t="s">
        <v>97</v>
      </c>
      <c r="BF1594">
        <v>1</v>
      </c>
      <c r="BG1594">
        <v>0</v>
      </c>
      <c r="BH1594">
        <v>0</v>
      </c>
      <c r="BI1594" t="s">
        <v>98</v>
      </c>
    </row>
    <row r="1595" spans="1:61">
      <c r="A1595" s="164" t="s">
        <v>3882</v>
      </c>
      <c r="B1595" t="s">
        <v>3883</v>
      </c>
      <c r="C1595">
        <v>0</v>
      </c>
      <c r="D1595" t="s">
        <v>486</v>
      </c>
      <c r="E1595">
        <v>0</v>
      </c>
      <c r="F1595" t="s">
        <v>2261</v>
      </c>
      <c r="G1595" t="s">
        <v>78</v>
      </c>
      <c r="H1595" t="s">
        <v>79</v>
      </c>
      <c r="I1595" t="s">
        <v>80</v>
      </c>
      <c r="J1595" t="s">
        <v>163</v>
      </c>
      <c r="K1595" t="s">
        <v>82</v>
      </c>
      <c r="L1595" t="s">
        <v>83</v>
      </c>
      <c r="M1595" t="s">
        <v>84</v>
      </c>
      <c r="N1595">
        <v>0.5</v>
      </c>
      <c r="O1595" t="b">
        <v>1</v>
      </c>
      <c r="P1595">
        <v>60</v>
      </c>
      <c r="Q1595" t="s">
        <v>137</v>
      </c>
      <c r="S1595">
        <v>0.5</v>
      </c>
      <c r="T1595">
        <v>1</v>
      </c>
      <c r="U1595" s="36">
        <v>3.3455399999999997</v>
      </c>
      <c r="V1595" t="s">
        <v>165</v>
      </c>
      <c r="X1595">
        <v>0</v>
      </c>
      <c r="Y1595">
        <v>30</v>
      </c>
      <c r="Z1595">
        <v>3.3333333333333333E-2</v>
      </c>
      <c r="AA1595">
        <v>35</v>
      </c>
      <c r="AB1595">
        <v>0</v>
      </c>
      <c r="AC1595">
        <v>0</v>
      </c>
      <c r="AE1595" t="s">
        <v>129</v>
      </c>
      <c r="AF1595" t="s">
        <v>2261</v>
      </c>
      <c r="AG1595" t="s">
        <v>129</v>
      </c>
      <c r="AH1595">
        <v>0</v>
      </c>
      <c r="AI1595">
        <v>10.199999999999999</v>
      </c>
      <c r="AJ1595" t="s">
        <v>167</v>
      </c>
      <c r="AM1595">
        <v>10.38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 t="s">
        <v>3884</v>
      </c>
      <c r="AY1595">
        <v>8.0769000000000002</v>
      </c>
      <c r="AZ1595">
        <v>6</v>
      </c>
      <c r="BA1595" t="s">
        <v>138</v>
      </c>
      <c r="BB1595">
        <v>6.79</v>
      </c>
      <c r="BC1595" t="s">
        <v>95</v>
      </c>
      <c r="BD1595" t="s">
        <v>96</v>
      </c>
      <c r="BE1595" t="s">
        <v>97</v>
      </c>
      <c r="BF1595">
        <v>1</v>
      </c>
      <c r="BG1595">
        <v>0</v>
      </c>
      <c r="BH1595">
        <v>0</v>
      </c>
      <c r="BI1595" t="s">
        <v>98</v>
      </c>
    </row>
    <row r="1596" spans="1:61">
      <c r="A1596" s="164" t="s">
        <v>3885</v>
      </c>
      <c r="B1596" t="s">
        <v>3886</v>
      </c>
      <c r="C1596">
        <v>0</v>
      </c>
      <c r="D1596" t="s">
        <v>175</v>
      </c>
      <c r="E1596">
        <v>0</v>
      </c>
      <c r="F1596" t="s">
        <v>1223</v>
      </c>
      <c r="G1596" t="s">
        <v>78</v>
      </c>
      <c r="H1596" t="s">
        <v>79</v>
      </c>
      <c r="I1596" t="s">
        <v>80</v>
      </c>
      <c r="J1596" t="s">
        <v>163</v>
      </c>
      <c r="K1596" t="s">
        <v>82</v>
      </c>
      <c r="L1596" t="s">
        <v>83</v>
      </c>
      <c r="M1596" t="s">
        <v>84</v>
      </c>
      <c r="N1596">
        <v>7.4999999999999997E-2</v>
      </c>
      <c r="O1596" t="b">
        <v>1</v>
      </c>
      <c r="P1596">
        <v>30</v>
      </c>
      <c r="Q1596" t="s">
        <v>137</v>
      </c>
      <c r="S1596">
        <v>0</v>
      </c>
      <c r="T1596">
        <v>1</v>
      </c>
      <c r="U1596" s="36">
        <v>0.60747499999999999</v>
      </c>
      <c r="V1596" t="s">
        <v>165</v>
      </c>
      <c r="X1596">
        <v>0</v>
      </c>
      <c r="Y1596">
        <v>240</v>
      </c>
      <c r="Z1596">
        <v>4.1666666666666666E-3</v>
      </c>
      <c r="AA1596">
        <v>35</v>
      </c>
      <c r="AB1596">
        <v>0</v>
      </c>
      <c r="AC1596">
        <v>0</v>
      </c>
      <c r="AE1596" t="s">
        <v>129</v>
      </c>
      <c r="AF1596" t="s">
        <v>1223</v>
      </c>
      <c r="AG1596" t="s">
        <v>129</v>
      </c>
      <c r="AH1596">
        <v>0</v>
      </c>
      <c r="AI1596">
        <v>9.5</v>
      </c>
      <c r="AJ1596" t="s">
        <v>177</v>
      </c>
      <c r="AM1596">
        <v>0</v>
      </c>
      <c r="AN1596">
        <v>0</v>
      </c>
      <c r="AO1596">
        <v>0</v>
      </c>
      <c r="AP1596">
        <v>0</v>
      </c>
      <c r="AQ1596">
        <v>2.8571428571428564E-2</v>
      </c>
      <c r="AR1596">
        <v>0</v>
      </c>
      <c r="AS1596">
        <v>0</v>
      </c>
      <c r="AT1596">
        <v>1.0285714285714285</v>
      </c>
      <c r="AU1596">
        <v>0</v>
      </c>
      <c r="AV1596">
        <v>0</v>
      </c>
      <c r="AW1596">
        <v>0</v>
      </c>
      <c r="AX1596" t="s">
        <v>1601</v>
      </c>
      <c r="AY1596">
        <v>2.2313999999999998</v>
      </c>
      <c r="AZ1596">
        <v>0</v>
      </c>
      <c r="BA1596" t="s">
        <v>138</v>
      </c>
      <c r="BB1596">
        <v>1.0900000000000001</v>
      </c>
      <c r="BC1596" t="s">
        <v>95</v>
      </c>
      <c r="BD1596" t="s">
        <v>96</v>
      </c>
      <c r="BE1596" t="s">
        <v>97</v>
      </c>
      <c r="BF1596">
        <v>1</v>
      </c>
      <c r="BG1596">
        <v>0</v>
      </c>
      <c r="BH1596">
        <v>0</v>
      </c>
      <c r="BI1596" t="s">
        <v>98</v>
      </c>
    </row>
    <row r="1597" spans="1:61">
      <c r="A1597" s="164" t="s">
        <v>3887</v>
      </c>
      <c r="B1597" t="s">
        <v>3888</v>
      </c>
      <c r="C1597">
        <v>0</v>
      </c>
      <c r="D1597" t="s">
        <v>486</v>
      </c>
      <c r="E1597">
        <v>0</v>
      </c>
      <c r="F1597" t="s">
        <v>754</v>
      </c>
      <c r="G1597" t="s">
        <v>78</v>
      </c>
      <c r="H1597" t="s">
        <v>79</v>
      </c>
      <c r="I1597" t="s">
        <v>80</v>
      </c>
      <c r="J1597" t="s">
        <v>163</v>
      </c>
      <c r="K1597" t="s">
        <v>82</v>
      </c>
      <c r="L1597" t="s">
        <v>83</v>
      </c>
      <c r="M1597" t="s">
        <v>84</v>
      </c>
      <c r="N1597">
        <v>0.15</v>
      </c>
      <c r="O1597" t="b">
        <v>1</v>
      </c>
      <c r="P1597">
        <v>60</v>
      </c>
      <c r="Q1597" t="s">
        <v>137</v>
      </c>
      <c r="S1597">
        <v>0.15</v>
      </c>
      <c r="T1597">
        <v>1</v>
      </c>
      <c r="U1597" s="36">
        <v>1.219535</v>
      </c>
      <c r="V1597" t="s">
        <v>165</v>
      </c>
      <c r="X1597">
        <v>0</v>
      </c>
      <c r="Y1597">
        <v>150</v>
      </c>
      <c r="Z1597">
        <v>6.6666666666666671E-3</v>
      </c>
      <c r="AA1597">
        <v>35</v>
      </c>
      <c r="AB1597">
        <v>0</v>
      </c>
      <c r="AC1597">
        <v>0</v>
      </c>
      <c r="AE1597" t="s">
        <v>129</v>
      </c>
      <c r="AF1597" t="s">
        <v>754</v>
      </c>
      <c r="AG1597" t="s">
        <v>129</v>
      </c>
      <c r="AH1597">
        <v>0</v>
      </c>
      <c r="AI1597">
        <v>10.199999999999999</v>
      </c>
      <c r="AJ1597" t="s">
        <v>167</v>
      </c>
      <c r="AM1597">
        <v>11.03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 t="s">
        <v>3889</v>
      </c>
      <c r="AY1597">
        <v>3.9216000000000002</v>
      </c>
      <c r="AZ1597">
        <v>4</v>
      </c>
      <c r="BA1597" t="s">
        <v>138</v>
      </c>
      <c r="BB1597">
        <v>3.29</v>
      </c>
      <c r="BC1597" t="s">
        <v>95</v>
      </c>
      <c r="BD1597" t="s">
        <v>96</v>
      </c>
      <c r="BE1597" t="s">
        <v>97</v>
      </c>
      <c r="BF1597">
        <v>1</v>
      </c>
      <c r="BG1597">
        <v>0</v>
      </c>
      <c r="BH1597">
        <v>0</v>
      </c>
      <c r="BI1597" t="s">
        <v>98</v>
      </c>
    </row>
    <row r="1598" spans="1:61">
      <c r="A1598" s="164" t="s">
        <v>3890</v>
      </c>
      <c r="B1598" t="s">
        <v>3891</v>
      </c>
      <c r="C1598">
        <v>0</v>
      </c>
      <c r="D1598" t="s">
        <v>486</v>
      </c>
      <c r="E1598">
        <v>0</v>
      </c>
      <c r="F1598" t="s">
        <v>983</v>
      </c>
      <c r="G1598" t="s">
        <v>78</v>
      </c>
      <c r="H1598" t="s">
        <v>79</v>
      </c>
      <c r="I1598" t="s">
        <v>80</v>
      </c>
      <c r="J1598" t="s">
        <v>163</v>
      </c>
      <c r="K1598" t="s">
        <v>82</v>
      </c>
      <c r="L1598" t="s">
        <v>83</v>
      </c>
      <c r="M1598" t="s">
        <v>205</v>
      </c>
      <c r="N1598">
        <v>1</v>
      </c>
      <c r="O1598" t="b">
        <v>1</v>
      </c>
      <c r="P1598">
        <v>90</v>
      </c>
      <c r="Q1598" t="s">
        <v>137</v>
      </c>
      <c r="S1598">
        <v>1</v>
      </c>
      <c r="T1598">
        <v>1</v>
      </c>
      <c r="U1598" s="36">
        <v>7.5779500000000004</v>
      </c>
      <c r="V1598" t="s">
        <v>165</v>
      </c>
      <c r="X1598">
        <v>0</v>
      </c>
      <c r="Y1598">
        <v>25</v>
      </c>
      <c r="Z1598">
        <v>0.1</v>
      </c>
      <c r="AA1598">
        <v>20</v>
      </c>
      <c r="AB1598">
        <v>0</v>
      </c>
      <c r="AC1598">
        <v>0</v>
      </c>
      <c r="AE1598" t="s">
        <v>129</v>
      </c>
      <c r="AF1598" t="s">
        <v>983</v>
      </c>
      <c r="AG1598" t="s">
        <v>129</v>
      </c>
      <c r="AH1598">
        <v>0</v>
      </c>
      <c r="AI1598">
        <v>10.199999999999999</v>
      </c>
      <c r="AJ1598" t="s">
        <v>167</v>
      </c>
      <c r="AM1598">
        <v>10.38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 t="s">
        <v>1000</v>
      </c>
      <c r="AY1598">
        <v>72.22</v>
      </c>
      <c r="AZ1598">
        <v>0</v>
      </c>
      <c r="BA1598" t="s">
        <v>138</v>
      </c>
      <c r="BB1598">
        <v>11.85</v>
      </c>
      <c r="BC1598" t="s">
        <v>95</v>
      </c>
      <c r="BD1598" t="s">
        <v>96</v>
      </c>
      <c r="BE1598" t="s">
        <v>97</v>
      </c>
      <c r="BF1598">
        <v>2.5</v>
      </c>
      <c r="BG1598">
        <v>0</v>
      </c>
      <c r="BH1598">
        <v>0</v>
      </c>
      <c r="BI1598" t="s">
        <v>98</v>
      </c>
    </row>
    <row r="1599" spans="1:61">
      <c r="A1599" s="164" t="s">
        <v>3892</v>
      </c>
      <c r="B1599" t="s">
        <v>3893</v>
      </c>
      <c r="C1599">
        <v>0</v>
      </c>
      <c r="D1599" t="s">
        <v>175</v>
      </c>
      <c r="E1599">
        <v>0</v>
      </c>
      <c r="F1599" t="s">
        <v>1223</v>
      </c>
      <c r="G1599" t="s">
        <v>78</v>
      </c>
      <c r="H1599" t="s">
        <v>79</v>
      </c>
      <c r="I1599" t="s">
        <v>80</v>
      </c>
      <c r="J1599" t="s">
        <v>163</v>
      </c>
      <c r="K1599" t="s">
        <v>82</v>
      </c>
      <c r="L1599" t="s">
        <v>83</v>
      </c>
      <c r="M1599" t="s">
        <v>84</v>
      </c>
      <c r="N1599">
        <v>0.3</v>
      </c>
      <c r="O1599" t="b">
        <v>1</v>
      </c>
      <c r="P1599">
        <v>30</v>
      </c>
      <c r="Q1599" t="s">
        <v>137</v>
      </c>
      <c r="S1599">
        <v>0.3</v>
      </c>
      <c r="T1599">
        <v>1</v>
      </c>
      <c r="U1599" s="36">
        <v>2.2262750000000002</v>
      </c>
      <c r="V1599" t="s">
        <v>165</v>
      </c>
      <c r="X1599">
        <v>0</v>
      </c>
      <c r="Y1599">
        <v>75</v>
      </c>
      <c r="Z1599">
        <v>1.3333333333333334E-2</v>
      </c>
      <c r="AA1599">
        <v>35</v>
      </c>
      <c r="AB1599">
        <v>0</v>
      </c>
      <c r="AC1599">
        <v>0</v>
      </c>
      <c r="AE1599" t="s">
        <v>129</v>
      </c>
      <c r="AF1599" t="s">
        <v>1223</v>
      </c>
      <c r="AG1599" t="s">
        <v>129</v>
      </c>
      <c r="AH1599">
        <v>0</v>
      </c>
      <c r="AI1599">
        <v>9.5</v>
      </c>
      <c r="AJ1599" t="s">
        <v>177</v>
      </c>
      <c r="AM1599">
        <v>10.11</v>
      </c>
      <c r="AN1599">
        <v>0</v>
      </c>
      <c r="AO1599">
        <v>0</v>
      </c>
      <c r="AP1599">
        <v>0</v>
      </c>
      <c r="AQ1599">
        <v>2.8571428571428564E-2</v>
      </c>
      <c r="AR1599">
        <v>0</v>
      </c>
      <c r="AS1599">
        <v>0</v>
      </c>
      <c r="AT1599">
        <v>1.0285714285714285</v>
      </c>
      <c r="AU1599">
        <v>0</v>
      </c>
      <c r="AV1599">
        <v>0</v>
      </c>
      <c r="AW1599">
        <v>0</v>
      </c>
      <c r="AX1599" t="s">
        <v>3894</v>
      </c>
      <c r="AY1599">
        <v>7.3017399999999997</v>
      </c>
      <c r="AZ1599">
        <v>9</v>
      </c>
      <c r="BA1599" t="s">
        <v>138</v>
      </c>
      <c r="BB1599">
        <v>4.6100000000000003</v>
      </c>
      <c r="BC1599" t="s">
        <v>95</v>
      </c>
      <c r="BD1599" t="s">
        <v>96</v>
      </c>
      <c r="BE1599" t="s">
        <v>97</v>
      </c>
      <c r="BF1599">
        <v>1</v>
      </c>
      <c r="BG1599">
        <v>0</v>
      </c>
      <c r="BH1599">
        <v>0</v>
      </c>
      <c r="BI1599" t="s">
        <v>98</v>
      </c>
    </row>
    <row r="1600" spans="1:61">
      <c r="A1600" s="164" t="s">
        <v>3895</v>
      </c>
      <c r="B1600" t="s">
        <v>3896</v>
      </c>
      <c r="C1600">
        <v>0</v>
      </c>
      <c r="D1600" t="s">
        <v>175</v>
      </c>
      <c r="E1600">
        <v>0</v>
      </c>
      <c r="F1600" t="s">
        <v>1223</v>
      </c>
      <c r="G1600" t="s">
        <v>78</v>
      </c>
      <c r="H1600" t="s">
        <v>79</v>
      </c>
      <c r="I1600" t="s">
        <v>80</v>
      </c>
      <c r="J1600" t="s">
        <v>163</v>
      </c>
      <c r="K1600" t="s">
        <v>82</v>
      </c>
      <c r="L1600" t="s">
        <v>83</v>
      </c>
      <c r="M1600" t="s">
        <v>205</v>
      </c>
      <c r="N1600">
        <v>1</v>
      </c>
      <c r="O1600" t="b">
        <v>1</v>
      </c>
      <c r="P1600">
        <v>30</v>
      </c>
      <c r="Q1600" t="s">
        <v>137</v>
      </c>
      <c r="S1600">
        <v>1</v>
      </c>
      <c r="T1600">
        <v>1</v>
      </c>
      <c r="U1600" s="36">
        <v>6.98916</v>
      </c>
      <c r="V1600" t="s">
        <v>165</v>
      </c>
      <c r="X1600">
        <v>0</v>
      </c>
      <c r="Y1600">
        <v>27</v>
      </c>
      <c r="Z1600">
        <v>0.1</v>
      </c>
      <c r="AA1600">
        <v>20</v>
      </c>
      <c r="AB1600">
        <v>0</v>
      </c>
      <c r="AC1600">
        <v>0</v>
      </c>
      <c r="AE1600" t="s">
        <v>129</v>
      </c>
      <c r="AF1600" t="s">
        <v>1223</v>
      </c>
      <c r="AG1600" t="s">
        <v>129</v>
      </c>
      <c r="AH1600">
        <v>0</v>
      </c>
      <c r="AI1600">
        <v>9.5</v>
      </c>
      <c r="AJ1600" t="s">
        <v>177</v>
      </c>
      <c r="AM1600">
        <v>10.11</v>
      </c>
      <c r="AN1600">
        <v>0</v>
      </c>
      <c r="AO1600">
        <v>0</v>
      </c>
      <c r="AP1600">
        <v>0</v>
      </c>
      <c r="AQ1600">
        <v>2.8571428571428564E-2</v>
      </c>
      <c r="AR1600">
        <v>0</v>
      </c>
      <c r="AS1600">
        <v>0</v>
      </c>
      <c r="AT1600">
        <v>1.0285714285714285</v>
      </c>
      <c r="AU1600">
        <v>0</v>
      </c>
      <c r="AV1600">
        <v>0</v>
      </c>
      <c r="AW1600">
        <v>0</v>
      </c>
      <c r="AX1600" t="s">
        <v>1880</v>
      </c>
      <c r="AY1600">
        <v>73.91</v>
      </c>
      <c r="AZ1600">
        <v>7</v>
      </c>
      <c r="BA1600" t="s">
        <v>138</v>
      </c>
      <c r="BB1600">
        <v>11.33</v>
      </c>
      <c r="BC1600" t="s">
        <v>95</v>
      </c>
      <c r="BD1600" t="s">
        <v>96</v>
      </c>
      <c r="BE1600" t="s">
        <v>97</v>
      </c>
      <c r="BF1600">
        <v>2.7</v>
      </c>
      <c r="BG1600">
        <v>0</v>
      </c>
      <c r="BH1600">
        <v>0</v>
      </c>
      <c r="BI1600" t="s">
        <v>98</v>
      </c>
    </row>
    <row r="1601" spans="1:61">
      <c r="A1601" s="164" t="s">
        <v>3897</v>
      </c>
      <c r="B1601" t="s">
        <v>3898</v>
      </c>
      <c r="C1601">
        <v>0</v>
      </c>
      <c r="D1601" t="s">
        <v>748</v>
      </c>
      <c r="E1601">
        <v>0</v>
      </c>
      <c r="F1601" t="s">
        <v>748</v>
      </c>
      <c r="G1601" t="s">
        <v>103</v>
      </c>
      <c r="H1601" t="s">
        <v>104</v>
      </c>
      <c r="I1601" t="s">
        <v>80</v>
      </c>
      <c r="J1601" t="s">
        <v>81</v>
      </c>
      <c r="K1601" t="s">
        <v>82</v>
      </c>
      <c r="L1601" t="s">
        <v>83</v>
      </c>
      <c r="M1601" t="s">
        <v>84</v>
      </c>
      <c r="N1601">
        <v>0.17</v>
      </c>
      <c r="O1601" t="b">
        <v>1</v>
      </c>
      <c r="P1601">
        <v>90</v>
      </c>
      <c r="Q1601" t="s">
        <v>188</v>
      </c>
      <c r="R1601" t="s">
        <v>86</v>
      </c>
      <c r="S1601">
        <v>0.17</v>
      </c>
      <c r="T1601">
        <v>1</v>
      </c>
      <c r="U1601" s="36">
        <v>0.31523000000000001</v>
      </c>
      <c r="V1601" t="s">
        <v>87</v>
      </c>
      <c r="W1601">
        <v>160</v>
      </c>
      <c r="X1601">
        <v>0.45</v>
      </c>
      <c r="Y1601">
        <v>43</v>
      </c>
      <c r="Z1601">
        <v>2.3255813953488372E-2</v>
      </c>
      <c r="AA1601">
        <v>30</v>
      </c>
      <c r="AB1601">
        <v>0</v>
      </c>
      <c r="AC1601">
        <v>500</v>
      </c>
      <c r="AD1601">
        <v>2941.1764705882351</v>
      </c>
      <c r="AE1601" t="s">
        <v>88</v>
      </c>
      <c r="AF1601" t="s">
        <v>749</v>
      </c>
      <c r="AG1601" t="s">
        <v>750</v>
      </c>
      <c r="AH1601">
        <v>0</v>
      </c>
      <c r="AI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 t="s">
        <v>3899</v>
      </c>
      <c r="AY1601">
        <v>0</v>
      </c>
      <c r="AZ1601">
        <v>0</v>
      </c>
      <c r="BA1601" t="s">
        <v>94</v>
      </c>
      <c r="BB1601">
        <v>0</v>
      </c>
      <c r="BC1601" t="s">
        <v>95</v>
      </c>
      <c r="BD1601" t="s">
        <v>96</v>
      </c>
      <c r="BE1601" t="s">
        <v>97</v>
      </c>
      <c r="BF1601">
        <v>0</v>
      </c>
      <c r="BG1601">
        <v>0</v>
      </c>
      <c r="BH1601">
        <v>0</v>
      </c>
      <c r="BI1601" t="s">
        <v>98</v>
      </c>
    </row>
    <row r="1602" spans="1:61">
      <c r="A1602" s="164" t="s">
        <v>3900</v>
      </c>
      <c r="B1602" t="s">
        <v>3901</v>
      </c>
      <c r="C1602">
        <v>0</v>
      </c>
      <c r="D1602" t="s">
        <v>147</v>
      </c>
      <c r="E1602">
        <v>0</v>
      </c>
      <c r="F1602" t="s">
        <v>1158</v>
      </c>
      <c r="G1602" t="s">
        <v>78</v>
      </c>
      <c r="H1602" t="s">
        <v>79</v>
      </c>
      <c r="I1602" t="s">
        <v>80</v>
      </c>
      <c r="J1602" t="s">
        <v>81</v>
      </c>
      <c r="K1602" t="s">
        <v>82</v>
      </c>
      <c r="L1602" t="s">
        <v>83</v>
      </c>
      <c r="M1602" t="s">
        <v>84</v>
      </c>
      <c r="N1602">
        <v>0.18</v>
      </c>
      <c r="O1602" t="b">
        <v>1</v>
      </c>
      <c r="P1602">
        <v>45</v>
      </c>
      <c r="Q1602" t="s">
        <v>85</v>
      </c>
      <c r="R1602" t="s">
        <v>86</v>
      </c>
      <c r="S1602">
        <v>0.18</v>
      </c>
      <c r="T1602">
        <v>1</v>
      </c>
      <c r="U1602" s="36">
        <v>0.32785500000000001</v>
      </c>
      <c r="V1602" t="s">
        <v>87</v>
      </c>
      <c r="W1602">
        <v>125</v>
      </c>
      <c r="X1602">
        <v>0.38897500000000002</v>
      </c>
      <c r="Y1602">
        <v>108</v>
      </c>
      <c r="Z1602">
        <v>9.2592592592592587E-3</v>
      </c>
      <c r="AA1602">
        <v>30</v>
      </c>
      <c r="AB1602">
        <v>0</v>
      </c>
      <c r="AC1602">
        <v>540</v>
      </c>
      <c r="AD1602">
        <v>3000</v>
      </c>
      <c r="AE1602" t="s">
        <v>143</v>
      </c>
      <c r="AF1602" t="s">
        <v>966</v>
      </c>
      <c r="AG1602" t="s">
        <v>157</v>
      </c>
      <c r="AH1602">
        <v>0</v>
      </c>
      <c r="AI1602">
        <v>0.9</v>
      </c>
      <c r="AJ1602" t="s">
        <v>91</v>
      </c>
      <c r="AK1602" t="s">
        <v>92</v>
      </c>
      <c r="AL1602" t="s">
        <v>93</v>
      </c>
      <c r="AM1602">
        <v>0.33553925925925926</v>
      </c>
      <c r="AN1602">
        <v>0.22369283950617286</v>
      </c>
      <c r="AO1602">
        <v>0.34672390123456792</v>
      </c>
      <c r="AP1602">
        <v>0</v>
      </c>
      <c r="AQ1602">
        <v>8.6691086691086688E-2</v>
      </c>
      <c r="AR1602">
        <v>2.6666666666666505E-3</v>
      </c>
      <c r="AS1602">
        <v>0</v>
      </c>
      <c r="AT1602">
        <v>1.0866910866910866</v>
      </c>
      <c r="AU1602">
        <v>1.0026666666666666</v>
      </c>
      <c r="AV1602">
        <v>1</v>
      </c>
      <c r="AW1602">
        <v>0</v>
      </c>
      <c r="AX1602" t="s">
        <v>3902</v>
      </c>
      <c r="AY1602">
        <v>19.899999999999999</v>
      </c>
      <c r="AZ1602">
        <v>9</v>
      </c>
      <c r="BA1602" t="s">
        <v>94</v>
      </c>
      <c r="BB1602">
        <v>0.76</v>
      </c>
      <c r="BC1602" t="s">
        <v>95</v>
      </c>
      <c r="BD1602" t="s">
        <v>96</v>
      </c>
      <c r="BE1602" t="s">
        <v>97</v>
      </c>
      <c r="BF1602">
        <v>1</v>
      </c>
      <c r="BG1602">
        <v>0</v>
      </c>
      <c r="BH1602">
        <v>0</v>
      </c>
      <c r="BI1602" t="s">
        <v>98</v>
      </c>
    </row>
    <row r="1603" spans="1:61">
      <c r="A1603" s="164" t="s">
        <v>3903</v>
      </c>
      <c r="B1603" t="s">
        <v>3904</v>
      </c>
      <c r="C1603">
        <v>0</v>
      </c>
      <c r="D1603" t="s">
        <v>161</v>
      </c>
      <c r="E1603">
        <v>0</v>
      </c>
      <c r="F1603" t="s">
        <v>475</v>
      </c>
      <c r="G1603" t="s">
        <v>78</v>
      </c>
      <c r="H1603" t="s">
        <v>79</v>
      </c>
      <c r="I1603" t="s">
        <v>80</v>
      </c>
      <c r="J1603" t="s">
        <v>163</v>
      </c>
      <c r="K1603" t="s">
        <v>82</v>
      </c>
      <c r="L1603" t="s">
        <v>83</v>
      </c>
      <c r="M1603" t="s">
        <v>84</v>
      </c>
      <c r="N1603">
        <v>0.45</v>
      </c>
      <c r="O1603" t="b">
        <v>1</v>
      </c>
      <c r="P1603">
        <v>40</v>
      </c>
      <c r="Q1603" t="s">
        <v>137</v>
      </c>
      <c r="R1603" t="s">
        <v>164</v>
      </c>
      <c r="S1603">
        <v>0.45</v>
      </c>
      <c r="T1603">
        <v>1</v>
      </c>
      <c r="U1603" s="36">
        <v>2.1672899999999999</v>
      </c>
      <c r="V1603" t="s">
        <v>165</v>
      </c>
      <c r="W1603">
        <v>55</v>
      </c>
      <c r="X1603">
        <v>0</v>
      </c>
      <c r="Y1603">
        <v>45</v>
      </c>
      <c r="Z1603">
        <v>0</v>
      </c>
      <c r="AA1603">
        <v>35</v>
      </c>
      <c r="AB1603">
        <v>0</v>
      </c>
      <c r="AC1603">
        <v>0</v>
      </c>
      <c r="AD1603">
        <v>1150</v>
      </c>
      <c r="AE1603" t="s">
        <v>166</v>
      </c>
      <c r="AF1603" t="s">
        <v>475</v>
      </c>
      <c r="AG1603" t="s">
        <v>129</v>
      </c>
      <c r="AH1603">
        <v>0</v>
      </c>
      <c r="AI1603">
        <v>7.7</v>
      </c>
      <c r="AJ1603" t="s">
        <v>167</v>
      </c>
      <c r="AM1603">
        <v>7.47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 t="s">
        <v>3905</v>
      </c>
      <c r="AY1603">
        <v>4.2728999999999999</v>
      </c>
      <c r="AZ1603">
        <v>0</v>
      </c>
      <c r="BA1603" t="s">
        <v>138</v>
      </c>
      <c r="BB1603">
        <v>3.71</v>
      </c>
      <c r="BC1603" t="s">
        <v>95</v>
      </c>
      <c r="BD1603" t="s">
        <v>96</v>
      </c>
      <c r="BE1603" t="s">
        <v>97</v>
      </c>
      <c r="BF1603">
        <v>1</v>
      </c>
      <c r="BG1603">
        <v>0</v>
      </c>
      <c r="BH1603">
        <v>0</v>
      </c>
      <c r="BI1603" t="s">
        <v>98</v>
      </c>
    </row>
    <row r="1604" spans="1:61">
      <c r="A1604" s="164" t="s">
        <v>3906</v>
      </c>
      <c r="B1604" t="s">
        <v>3907</v>
      </c>
      <c r="C1604">
        <v>0</v>
      </c>
      <c r="D1604" t="s">
        <v>147</v>
      </c>
      <c r="E1604">
        <v>0</v>
      </c>
      <c r="F1604" t="s">
        <v>2431</v>
      </c>
      <c r="G1604" t="s">
        <v>78</v>
      </c>
      <c r="H1604" t="s">
        <v>79</v>
      </c>
      <c r="I1604" t="s">
        <v>80</v>
      </c>
      <c r="J1604" t="s">
        <v>81</v>
      </c>
      <c r="K1604" t="s">
        <v>82</v>
      </c>
      <c r="L1604" t="s">
        <v>83</v>
      </c>
      <c r="M1604" t="s">
        <v>84</v>
      </c>
      <c r="N1604">
        <v>1</v>
      </c>
      <c r="O1604" t="b">
        <v>1</v>
      </c>
      <c r="P1604">
        <v>45</v>
      </c>
      <c r="Q1604" t="s">
        <v>85</v>
      </c>
      <c r="R1604" t="s">
        <v>86</v>
      </c>
      <c r="S1604">
        <v>1</v>
      </c>
      <c r="T1604">
        <v>1</v>
      </c>
      <c r="U1604" s="36">
        <v>1.4128499999999997</v>
      </c>
      <c r="V1604" t="s">
        <v>87</v>
      </c>
      <c r="W1604">
        <v>24</v>
      </c>
      <c r="X1604">
        <v>0.45019999999999999</v>
      </c>
      <c r="Y1604">
        <v>18</v>
      </c>
      <c r="Z1604">
        <v>5.5555555555555552E-2</v>
      </c>
      <c r="AA1604">
        <v>30</v>
      </c>
      <c r="AB1604">
        <v>0</v>
      </c>
      <c r="AC1604">
        <v>540</v>
      </c>
      <c r="AD1604">
        <v>540</v>
      </c>
      <c r="AE1604" t="s">
        <v>155</v>
      </c>
      <c r="AF1604" t="s">
        <v>2219</v>
      </c>
      <c r="AG1604" t="s">
        <v>240</v>
      </c>
      <c r="AH1604">
        <v>0</v>
      </c>
      <c r="AI1604">
        <v>0.9</v>
      </c>
      <c r="AJ1604" t="s">
        <v>91</v>
      </c>
      <c r="AK1604" t="s">
        <v>92</v>
      </c>
      <c r="AL1604" t="s">
        <v>93</v>
      </c>
      <c r="AM1604">
        <v>0.33553925925925926</v>
      </c>
      <c r="AN1604">
        <v>0.22369283950617286</v>
      </c>
      <c r="AO1604">
        <v>0.34672390123456792</v>
      </c>
      <c r="AP1604">
        <v>0</v>
      </c>
      <c r="AQ1604">
        <v>8.6691086691086688E-2</v>
      </c>
      <c r="AR1604">
        <v>2.6666666666666505E-3</v>
      </c>
      <c r="AS1604">
        <v>0</v>
      </c>
      <c r="AT1604">
        <v>1.0866910866910866</v>
      </c>
      <c r="AU1604">
        <v>1.0026666666666666</v>
      </c>
      <c r="AV1604">
        <v>1</v>
      </c>
      <c r="AW1604">
        <v>0</v>
      </c>
      <c r="AX1604" t="s">
        <v>3908</v>
      </c>
      <c r="AY1604">
        <v>53.4</v>
      </c>
      <c r="AZ1604">
        <v>0</v>
      </c>
      <c r="BA1604" t="s">
        <v>94</v>
      </c>
      <c r="BB1604">
        <v>3.31</v>
      </c>
      <c r="BC1604" t="s">
        <v>95</v>
      </c>
      <c r="BD1604" t="s">
        <v>96</v>
      </c>
      <c r="BE1604" t="s">
        <v>97</v>
      </c>
      <c r="BF1604">
        <v>1</v>
      </c>
      <c r="BG1604">
        <v>0</v>
      </c>
      <c r="BH1604">
        <v>0</v>
      </c>
      <c r="BI1604" t="s">
        <v>98</v>
      </c>
    </row>
    <row r="1605" spans="1:61">
      <c r="A1605" s="164" t="s">
        <v>3909</v>
      </c>
      <c r="B1605" t="s">
        <v>3910</v>
      </c>
      <c r="C1605">
        <v>0</v>
      </c>
      <c r="D1605" t="s">
        <v>133</v>
      </c>
      <c r="E1605">
        <v>0</v>
      </c>
      <c r="F1605" t="s">
        <v>2865</v>
      </c>
      <c r="G1605" t="s">
        <v>103</v>
      </c>
      <c r="H1605" t="s">
        <v>104</v>
      </c>
      <c r="I1605" t="s">
        <v>80</v>
      </c>
      <c r="J1605" t="s">
        <v>109</v>
      </c>
      <c r="K1605" t="s">
        <v>110</v>
      </c>
      <c r="L1605" t="s">
        <v>111</v>
      </c>
      <c r="M1605" t="s">
        <v>84</v>
      </c>
      <c r="N1605">
        <v>2.75</v>
      </c>
      <c r="O1605" t="b">
        <v>0</v>
      </c>
      <c r="P1605">
        <v>45</v>
      </c>
      <c r="Q1605" t="s">
        <v>137</v>
      </c>
      <c r="S1605">
        <v>0</v>
      </c>
      <c r="T1605">
        <v>0</v>
      </c>
      <c r="V1605" t="s">
        <v>991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F1605" t="s">
        <v>763</v>
      </c>
      <c r="AH1605">
        <v>0</v>
      </c>
      <c r="AI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 t="s">
        <v>3911</v>
      </c>
      <c r="AY1605">
        <v>0</v>
      </c>
      <c r="AZ1605">
        <v>7</v>
      </c>
      <c r="BA1605" t="s">
        <v>138</v>
      </c>
      <c r="BB1605">
        <v>0</v>
      </c>
      <c r="BC1605" t="s">
        <v>115</v>
      </c>
      <c r="BD1605" t="s">
        <v>116</v>
      </c>
      <c r="BE1605" t="s">
        <v>117</v>
      </c>
      <c r="BF1605">
        <v>0</v>
      </c>
      <c r="BG1605">
        <v>0</v>
      </c>
      <c r="BH1605">
        <v>0</v>
      </c>
      <c r="BI1605" t="s">
        <v>98</v>
      </c>
    </row>
    <row r="1606" spans="1:61">
      <c r="A1606" s="164" t="s">
        <v>3912</v>
      </c>
      <c r="B1606" t="s">
        <v>3913</v>
      </c>
      <c r="C1606">
        <v>0</v>
      </c>
      <c r="D1606" t="s">
        <v>3914</v>
      </c>
      <c r="E1606">
        <v>0</v>
      </c>
      <c r="F1606" t="s">
        <v>3914</v>
      </c>
      <c r="G1606" t="s">
        <v>103</v>
      </c>
      <c r="H1606" t="s">
        <v>104</v>
      </c>
      <c r="I1606" t="s">
        <v>1587</v>
      </c>
      <c r="J1606" t="s">
        <v>109</v>
      </c>
      <c r="K1606" t="s">
        <v>110</v>
      </c>
      <c r="L1606" t="s">
        <v>111</v>
      </c>
      <c r="M1606" t="s">
        <v>84</v>
      </c>
      <c r="N1606">
        <v>0.25</v>
      </c>
      <c r="O1606" t="b">
        <v>1</v>
      </c>
      <c r="P1606">
        <v>90</v>
      </c>
      <c r="Q1606" t="s">
        <v>137</v>
      </c>
      <c r="S1606">
        <v>0.25</v>
      </c>
      <c r="T1606">
        <v>1</v>
      </c>
      <c r="V1606" t="s">
        <v>165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H1606">
        <v>0</v>
      </c>
      <c r="AI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Y1606">
        <v>0</v>
      </c>
      <c r="AZ1606">
        <v>0</v>
      </c>
      <c r="BA1606" t="s">
        <v>138</v>
      </c>
      <c r="BB1606">
        <v>0</v>
      </c>
      <c r="BC1606" t="s">
        <v>115</v>
      </c>
      <c r="BD1606" t="s">
        <v>116</v>
      </c>
      <c r="BE1606" t="s">
        <v>117</v>
      </c>
      <c r="BF1606">
        <v>0</v>
      </c>
      <c r="BG1606">
        <v>0</v>
      </c>
      <c r="BH1606">
        <v>0</v>
      </c>
      <c r="BI1606" t="s">
        <v>98</v>
      </c>
    </row>
    <row r="1607" spans="1:61">
      <c r="A1607" s="164" t="s">
        <v>3915</v>
      </c>
      <c r="B1607" t="s">
        <v>3916</v>
      </c>
      <c r="C1607">
        <v>0</v>
      </c>
      <c r="D1607" t="s">
        <v>175</v>
      </c>
      <c r="E1607">
        <v>0</v>
      </c>
      <c r="F1607" t="s">
        <v>508</v>
      </c>
      <c r="G1607" t="s">
        <v>103</v>
      </c>
      <c r="H1607" t="s">
        <v>104</v>
      </c>
      <c r="I1607" t="s">
        <v>80</v>
      </c>
      <c r="J1607" t="s">
        <v>109</v>
      </c>
      <c r="K1607" t="s">
        <v>110</v>
      </c>
      <c r="L1607" t="s">
        <v>111</v>
      </c>
      <c r="M1607" t="s">
        <v>84</v>
      </c>
      <c r="N1607">
        <v>2.8</v>
      </c>
      <c r="O1607" t="b">
        <v>0</v>
      </c>
      <c r="P1607">
        <v>40</v>
      </c>
      <c r="Q1607" t="s">
        <v>137</v>
      </c>
      <c r="R1607" t="s">
        <v>164</v>
      </c>
      <c r="S1607">
        <v>0.35</v>
      </c>
      <c r="T1607">
        <v>1</v>
      </c>
      <c r="V1607" t="s">
        <v>165</v>
      </c>
      <c r="W1607">
        <v>45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 t="s">
        <v>3917</v>
      </c>
      <c r="AF1607" t="s">
        <v>3918</v>
      </c>
      <c r="AG1607" t="s">
        <v>129</v>
      </c>
      <c r="AH1607">
        <v>0</v>
      </c>
      <c r="AI1607">
        <v>0</v>
      </c>
      <c r="AJ1607" t="s">
        <v>167</v>
      </c>
      <c r="AM1607">
        <v>8.3000000000000007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Y1607">
        <v>0</v>
      </c>
      <c r="AZ1607">
        <v>0</v>
      </c>
      <c r="BA1607" t="s">
        <v>138</v>
      </c>
      <c r="BB1607">
        <v>0</v>
      </c>
      <c r="BC1607" t="s">
        <v>115</v>
      </c>
      <c r="BD1607" t="s">
        <v>116</v>
      </c>
      <c r="BE1607" t="s">
        <v>117</v>
      </c>
      <c r="BF1607">
        <v>0</v>
      </c>
      <c r="BG1607">
        <v>0</v>
      </c>
      <c r="BH1607">
        <v>0</v>
      </c>
      <c r="BI1607" t="s">
        <v>98</v>
      </c>
    </row>
    <row r="1608" spans="1:61">
      <c r="A1608" s="164" t="s">
        <v>3919</v>
      </c>
      <c r="B1608" t="s">
        <v>3920</v>
      </c>
      <c r="C1608">
        <v>0</v>
      </c>
      <c r="D1608" t="s">
        <v>486</v>
      </c>
      <c r="F1608" t="s">
        <v>3537</v>
      </c>
      <c r="G1608" t="s">
        <v>78</v>
      </c>
      <c r="H1608" t="s">
        <v>79</v>
      </c>
      <c r="I1608" t="s">
        <v>80</v>
      </c>
      <c r="J1608" t="s">
        <v>163</v>
      </c>
      <c r="K1608" t="s">
        <v>82</v>
      </c>
      <c r="L1608" t="s">
        <v>83</v>
      </c>
      <c r="M1608" t="s">
        <v>205</v>
      </c>
      <c r="N1608">
        <v>1</v>
      </c>
      <c r="O1608" t="b">
        <v>1</v>
      </c>
      <c r="P1608">
        <v>90</v>
      </c>
      <c r="Q1608" t="s">
        <v>137</v>
      </c>
      <c r="S1608">
        <v>1</v>
      </c>
      <c r="U1608" s="36">
        <v>6.1573100000000007</v>
      </c>
      <c r="V1608" t="s">
        <v>165</v>
      </c>
      <c r="Y1608">
        <v>30</v>
      </c>
      <c r="AA1608">
        <v>35</v>
      </c>
      <c r="AE1608" t="s">
        <v>129</v>
      </c>
      <c r="AF1608" t="s">
        <v>3921</v>
      </c>
      <c r="AI1608">
        <v>9.8000000000000007</v>
      </c>
      <c r="AZ1608">
        <v>0</v>
      </c>
      <c r="BA1608" t="s">
        <v>138</v>
      </c>
      <c r="BB1608">
        <v>0</v>
      </c>
      <c r="BC1608" t="s">
        <v>95</v>
      </c>
      <c r="BD1608" t="s">
        <v>96</v>
      </c>
      <c r="BE1608" t="s">
        <v>97</v>
      </c>
      <c r="BF1608">
        <v>1</v>
      </c>
      <c r="BG1608">
        <v>0</v>
      </c>
      <c r="BH1608">
        <v>0</v>
      </c>
      <c r="BI1608" t="s">
        <v>98</v>
      </c>
    </row>
    <row r="1609" spans="1:61">
      <c r="A1609" s="164" t="s">
        <v>3922</v>
      </c>
      <c r="B1609" t="s">
        <v>3923</v>
      </c>
      <c r="C1609">
        <v>0</v>
      </c>
      <c r="D1609" t="s">
        <v>107</v>
      </c>
      <c r="E1609">
        <v>0</v>
      </c>
      <c r="F1609" t="s">
        <v>499</v>
      </c>
      <c r="G1609" t="s">
        <v>78</v>
      </c>
      <c r="H1609" t="s">
        <v>79</v>
      </c>
      <c r="I1609" t="s">
        <v>80</v>
      </c>
      <c r="J1609" t="s">
        <v>81</v>
      </c>
      <c r="K1609" t="s">
        <v>82</v>
      </c>
      <c r="L1609" t="s">
        <v>83</v>
      </c>
      <c r="M1609" t="s">
        <v>84</v>
      </c>
      <c r="N1609">
        <v>0.18</v>
      </c>
      <c r="O1609" t="b">
        <v>1</v>
      </c>
      <c r="P1609">
        <v>45</v>
      </c>
      <c r="Q1609" t="s">
        <v>85</v>
      </c>
      <c r="R1609" t="s">
        <v>86</v>
      </c>
      <c r="S1609">
        <v>0.18</v>
      </c>
      <c r="T1609">
        <v>1</v>
      </c>
      <c r="U1609" s="36">
        <v>0.323905</v>
      </c>
      <c r="V1609" t="s">
        <v>87</v>
      </c>
      <c r="W1609">
        <v>240</v>
      </c>
      <c r="X1609">
        <v>0.38897500000000002</v>
      </c>
      <c r="Y1609">
        <v>108</v>
      </c>
      <c r="Z1609">
        <v>9.2592592592592587E-3</v>
      </c>
      <c r="AA1609">
        <v>30</v>
      </c>
      <c r="AB1609">
        <v>0</v>
      </c>
      <c r="AC1609">
        <v>500</v>
      </c>
      <c r="AD1609">
        <v>2777.7777777777778</v>
      </c>
      <c r="AE1609" t="s">
        <v>143</v>
      </c>
      <c r="AF1609" t="s">
        <v>113</v>
      </c>
      <c r="AG1609" t="s">
        <v>114</v>
      </c>
      <c r="AH1609">
        <v>0</v>
      </c>
      <c r="AI1609">
        <v>0.9</v>
      </c>
      <c r="AJ1609" t="s">
        <v>91</v>
      </c>
      <c r="AK1609" t="s">
        <v>92</v>
      </c>
      <c r="AL1609" t="s">
        <v>93</v>
      </c>
      <c r="AM1609">
        <v>0.34043629629629629</v>
      </c>
      <c r="AN1609">
        <v>0.22695753086419751</v>
      </c>
      <c r="AO1609">
        <v>0.35178417283950614</v>
      </c>
      <c r="AP1609">
        <v>0</v>
      </c>
      <c r="AQ1609">
        <v>8.6691086691086688E-2</v>
      </c>
      <c r="AR1609">
        <v>2.6666666666666505E-3</v>
      </c>
      <c r="AS1609">
        <v>0</v>
      </c>
      <c r="AT1609">
        <v>1.0866910866910866</v>
      </c>
      <c r="AU1609">
        <v>1.0026666666666666</v>
      </c>
      <c r="AV1609">
        <v>1</v>
      </c>
      <c r="AW1609">
        <v>0</v>
      </c>
      <c r="AY1609">
        <v>16.5</v>
      </c>
      <c r="AZ1609">
        <v>0</v>
      </c>
      <c r="BA1609" t="s">
        <v>94</v>
      </c>
      <c r="BB1609">
        <v>0</v>
      </c>
      <c r="BC1609" t="s">
        <v>95</v>
      </c>
      <c r="BD1609" t="s">
        <v>96</v>
      </c>
      <c r="BE1609" t="s">
        <v>97</v>
      </c>
      <c r="BF1609">
        <v>1</v>
      </c>
      <c r="BG1609">
        <v>0</v>
      </c>
      <c r="BH1609">
        <v>0</v>
      </c>
      <c r="BI1609" t="s">
        <v>98</v>
      </c>
    </row>
    <row r="1610" spans="1:61">
      <c r="A1610" s="164" t="s">
        <v>3924</v>
      </c>
      <c r="B1610" t="s">
        <v>3925</v>
      </c>
      <c r="C1610">
        <v>0</v>
      </c>
      <c r="D1610" t="s">
        <v>479</v>
      </c>
      <c r="E1610">
        <v>0</v>
      </c>
      <c r="F1610" t="s">
        <v>480</v>
      </c>
      <c r="G1610" t="s">
        <v>78</v>
      </c>
      <c r="H1610" t="s">
        <v>79</v>
      </c>
      <c r="I1610" t="s">
        <v>80</v>
      </c>
      <c r="J1610" t="s">
        <v>467</v>
      </c>
      <c r="K1610" t="s">
        <v>468</v>
      </c>
      <c r="L1610" t="s">
        <v>111</v>
      </c>
      <c r="M1610" t="s">
        <v>84</v>
      </c>
      <c r="N1610">
        <v>0.19</v>
      </c>
      <c r="O1610" t="b">
        <v>0</v>
      </c>
      <c r="P1610">
        <v>60</v>
      </c>
      <c r="Q1610" t="s">
        <v>479</v>
      </c>
      <c r="S1610">
        <v>0.6</v>
      </c>
      <c r="T1610">
        <v>1</v>
      </c>
      <c r="U1610" s="36">
        <v>3.4317950000000002</v>
      </c>
      <c r="V1610" t="s">
        <v>165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H1610">
        <v>0</v>
      </c>
      <c r="AI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Y1610">
        <v>0</v>
      </c>
      <c r="AZ1610">
        <v>0</v>
      </c>
      <c r="BA1610" t="s">
        <v>138</v>
      </c>
      <c r="BB1610">
        <v>0</v>
      </c>
      <c r="BC1610" t="s">
        <v>95</v>
      </c>
      <c r="BD1610" t="s">
        <v>96</v>
      </c>
      <c r="BE1610" t="s">
        <v>97</v>
      </c>
      <c r="BF1610">
        <v>1</v>
      </c>
      <c r="BG1610">
        <v>0</v>
      </c>
      <c r="BH1610">
        <v>0</v>
      </c>
      <c r="BI1610" t="s">
        <v>98</v>
      </c>
    </row>
    <row r="1611" spans="1:61">
      <c r="A1611" s="164" t="s">
        <v>3926</v>
      </c>
      <c r="B1611" t="s">
        <v>3927</v>
      </c>
      <c r="C1611">
        <v>0</v>
      </c>
      <c r="D1611" t="s">
        <v>175</v>
      </c>
      <c r="E1611">
        <v>0</v>
      </c>
      <c r="F1611" t="s">
        <v>844</v>
      </c>
      <c r="G1611" t="s">
        <v>487</v>
      </c>
      <c r="H1611" t="s">
        <v>79</v>
      </c>
      <c r="I1611" t="s">
        <v>80</v>
      </c>
      <c r="J1611" t="s">
        <v>564</v>
      </c>
      <c r="K1611" t="s">
        <v>775</v>
      </c>
      <c r="L1611" t="s">
        <v>83</v>
      </c>
      <c r="M1611" t="s">
        <v>84</v>
      </c>
      <c r="N1611">
        <v>0.3</v>
      </c>
      <c r="O1611" t="b">
        <v>1</v>
      </c>
      <c r="P1611">
        <v>40</v>
      </c>
      <c r="Q1611" t="s">
        <v>137</v>
      </c>
      <c r="R1611" t="s">
        <v>86</v>
      </c>
      <c r="S1611">
        <v>0.3</v>
      </c>
      <c r="T1611">
        <v>1</v>
      </c>
      <c r="U1611" s="36">
        <v>1.955125</v>
      </c>
      <c r="V1611" t="s">
        <v>468</v>
      </c>
      <c r="X1611">
        <v>0</v>
      </c>
      <c r="Y1611">
        <v>30</v>
      </c>
      <c r="Z1611">
        <v>3.3333333333333333E-2</v>
      </c>
      <c r="AA1611">
        <v>30</v>
      </c>
      <c r="AB1611">
        <v>0</v>
      </c>
      <c r="AC1611">
        <v>0</v>
      </c>
      <c r="AE1611" t="s">
        <v>129</v>
      </c>
      <c r="AF1611" t="s">
        <v>844</v>
      </c>
      <c r="AG1611" t="s">
        <v>129</v>
      </c>
      <c r="AH1611">
        <v>0</v>
      </c>
      <c r="AI1611">
        <v>9.5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 t="s">
        <v>845</v>
      </c>
      <c r="AY1611">
        <v>7.6</v>
      </c>
      <c r="AZ1611">
        <v>7</v>
      </c>
      <c r="BA1611" t="s">
        <v>138</v>
      </c>
      <c r="BB1611">
        <v>0</v>
      </c>
      <c r="BC1611" t="s">
        <v>95</v>
      </c>
      <c r="BD1611" t="s">
        <v>139</v>
      </c>
      <c r="BE1611" t="s">
        <v>97</v>
      </c>
      <c r="BF1611">
        <v>1</v>
      </c>
      <c r="BG1611">
        <v>0</v>
      </c>
      <c r="BH1611">
        <v>0</v>
      </c>
      <c r="BI1611" t="s">
        <v>98</v>
      </c>
    </row>
    <row r="1612" spans="1:61">
      <c r="A1612" s="164" t="s">
        <v>3928</v>
      </c>
      <c r="B1612" t="s">
        <v>3929</v>
      </c>
      <c r="C1612">
        <v>0</v>
      </c>
      <c r="D1612" t="s">
        <v>1811</v>
      </c>
      <c r="F1612" t="s">
        <v>2926</v>
      </c>
      <c r="G1612" t="s">
        <v>78</v>
      </c>
      <c r="H1612" t="s">
        <v>79</v>
      </c>
      <c r="I1612" t="s">
        <v>80</v>
      </c>
      <c r="J1612" t="s">
        <v>163</v>
      </c>
      <c r="K1612" t="s">
        <v>82</v>
      </c>
      <c r="L1612" t="s">
        <v>83</v>
      </c>
      <c r="M1612" t="s">
        <v>84</v>
      </c>
      <c r="N1612">
        <v>1</v>
      </c>
      <c r="O1612" t="b">
        <v>1</v>
      </c>
      <c r="P1612">
        <v>40</v>
      </c>
      <c r="Q1612" t="s">
        <v>137</v>
      </c>
      <c r="R1612" t="s">
        <v>86</v>
      </c>
      <c r="S1612">
        <v>1</v>
      </c>
      <c r="T1612">
        <v>1</v>
      </c>
      <c r="U1612" s="36">
        <v>4.1816800000000001</v>
      </c>
      <c r="V1612" t="s">
        <v>991</v>
      </c>
      <c r="X1612">
        <v>0</v>
      </c>
      <c r="Y1612">
        <v>28</v>
      </c>
      <c r="Z1612">
        <v>4.1666666666666664E-2</v>
      </c>
      <c r="AA1612">
        <v>25</v>
      </c>
      <c r="AB1612">
        <v>0</v>
      </c>
      <c r="AC1612">
        <v>0</v>
      </c>
      <c r="AE1612" t="s">
        <v>129</v>
      </c>
      <c r="AF1612" t="s">
        <v>1812</v>
      </c>
      <c r="AG1612" t="s">
        <v>129</v>
      </c>
      <c r="AH1612">
        <v>0</v>
      </c>
      <c r="AI1612">
        <v>0</v>
      </c>
      <c r="AM1612">
        <v>1.6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1.4</v>
      </c>
      <c r="AX1612" t="s">
        <v>1813</v>
      </c>
      <c r="AY1612">
        <v>7.3199999999999994</v>
      </c>
      <c r="AZ1612">
        <v>0</v>
      </c>
      <c r="BA1612" t="s">
        <v>138</v>
      </c>
      <c r="BB1612">
        <v>0</v>
      </c>
      <c r="BC1612" t="s">
        <v>95</v>
      </c>
      <c r="BD1612" t="s">
        <v>96</v>
      </c>
      <c r="BE1612" t="s">
        <v>97</v>
      </c>
      <c r="BF1612">
        <v>1</v>
      </c>
      <c r="BG1612">
        <v>0</v>
      </c>
      <c r="BH1612">
        <v>0</v>
      </c>
      <c r="BI1612" t="s">
        <v>98</v>
      </c>
    </row>
    <row r="1613" spans="1:61">
      <c r="A1613" s="164" t="s">
        <v>3930</v>
      </c>
      <c r="B1613" t="s">
        <v>3931</v>
      </c>
      <c r="C1613">
        <v>0</v>
      </c>
      <c r="D1613" t="s">
        <v>1125</v>
      </c>
      <c r="E1613">
        <v>0</v>
      </c>
      <c r="F1613" t="s">
        <v>1125</v>
      </c>
      <c r="G1613" t="s">
        <v>103</v>
      </c>
      <c r="H1613" t="s">
        <v>104</v>
      </c>
      <c r="I1613" t="s">
        <v>126</v>
      </c>
      <c r="J1613" t="s">
        <v>127</v>
      </c>
      <c r="K1613" t="s">
        <v>82</v>
      </c>
      <c r="L1613" t="s">
        <v>83</v>
      </c>
      <c r="M1613" t="s">
        <v>84</v>
      </c>
      <c r="N1613">
        <v>0.14000000000000001</v>
      </c>
      <c r="O1613" t="b">
        <v>1</v>
      </c>
      <c r="P1613">
        <v>60</v>
      </c>
      <c r="Q1613" t="s">
        <v>188</v>
      </c>
      <c r="R1613" t="s">
        <v>1126</v>
      </c>
      <c r="S1613">
        <v>0</v>
      </c>
      <c r="T1613">
        <v>1</v>
      </c>
      <c r="U1613" s="36">
        <v>0.40270000000000006</v>
      </c>
      <c r="V1613" t="s">
        <v>87</v>
      </c>
      <c r="W1613">
        <v>0</v>
      </c>
      <c r="X1613">
        <v>0</v>
      </c>
      <c r="Y1613">
        <v>30</v>
      </c>
      <c r="Z1613">
        <v>3.3333333333333333E-2</v>
      </c>
      <c r="AA1613">
        <v>0</v>
      </c>
      <c r="AB1613">
        <v>0</v>
      </c>
      <c r="AC1613">
        <v>0</v>
      </c>
      <c r="AD1613">
        <v>0</v>
      </c>
      <c r="AG1613" t="s">
        <v>129</v>
      </c>
      <c r="AH1613">
        <v>0</v>
      </c>
      <c r="AI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 t="s">
        <v>3932</v>
      </c>
      <c r="AY1613">
        <v>9.6</v>
      </c>
      <c r="AZ1613">
        <v>0</v>
      </c>
      <c r="BA1613" t="s">
        <v>94</v>
      </c>
      <c r="BB1613">
        <v>1.18</v>
      </c>
      <c r="BC1613" t="s">
        <v>1128</v>
      </c>
      <c r="BD1613" t="s">
        <v>1129</v>
      </c>
      <c r="BE1613" t="s">
        <v>97</v>
      </c>
      <c r="BF1613">
        <v>1</v>
      </c>
      <c r="BG1613">
        <v>0</v>
      </c>
      <c r="BH1613">
        <v>0</v>
      </c>
      <c r="BI1613" t="s">
        <v>98</v>
      </c>
    </row>
    <row r="1614" spans="1:61">
      <c r="A1614" s="164" t="s">
        <v>3933</v>
      </c>
      <c r="B1614" t="s">
        <v>3934</v>
      </c>
      <c r="C1614">
        <v>0</v>
      </c>
      <c r="D1614" t="s">
        <v>101</v>
      </c>
      <c r="E1614">
        <v>0</v>
      </c>
      <c r="F1614" t="s">
        <v>1723</v>
      </c>
      <c r="G1614" t="s">
        <v>103</v>
      </c>
      <c r="H1614" t="s">
        <v>104</v>
      </c>
      <c r="I1614" t="s">
        <v>80</v>
      </c>
      <c r="J1614" t="s">
        <v>81</v>
      </c>
      <c r="K1614" t="s">
        <v>82</v>
      </c>
      <c r="L1614" t="s">
        <v>83</v>
      </c>
      <c r="M1614" t="s">
        <v>84</v>
      </c>
      <c r="N1614">
        <v>0.115</v>
      </c>
      <c r="O1614" t="b">
        <v>0</v>
      </c>
      <c r="P1614">
        <v>45</v>
      </c>
      <c r="Q1614" t="s">
        <v>85</v>
      </c>
      <c r="S1614">
        <v>0</v>
      </c>
      <c r="T1614">
        <v>1</v>
      </c>
      <c r="V1614" t="s">
        <v>87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G1614" t="s">
        <v>129</v>
      </c>
      <c r="AH1614">
        <v>0</v>
      </c>
      <c r="AI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 t="s">
        <v>3935</v>
      </c>
      <c r="AY1614">
        <v>0</v>
      </c>
      <c r="AZ1614">
        <v>0</v>
      </c>
      <c r="BA1614" t="s">
        <v>94</v>
      </c>
      <c r="BB1614">
        <v>0</v>
      </c>
      <c r="BC1614" t="s">
        <v>95</v>
      </c>
      <c r="BD1614" t="s">
        <v>96</v>
      </c>
      <c r="BE1614" t="s">
        <v>97</v>
      </c>
      <c r="BF1614">
        <v>0</v>
      </c>
      <c r="BG1614">
        <v>0</v>
      </c>
      <c r="BH1614">
        <v>0</v>
      </c>
      <c r="BI1614" t="s">
        <v>98</v>
      </c>
    </row>
    <row r="1615" spans="1:61">
      <c r="A1615" s="164" t="s">
        <v>3936</v>
      </c>
      <c r="B1615" t="s">
        <v>3937</v>
      </c>
      <c r="C1615">
        <v>0</v>
      </c>
      <c r="D1615" t="s">
        <v>194</v>
      </c>
      <c r="E1615">
        <v>0</v>
      </c>
      <c r="F1615" t="s">
        <v>195</v>
      </c>
      <c r="G1615" t="s">
        <v>78</v>
      </c>
      <c r="H1615" t="s">
        <v>79</v>
      </c>
      <c r="I1615" t="s">
        <v>80</v>
      </c>
      <c r="J1615" t="s">
        <v>196</v>
      </c>
      <c r="K1615" t="s">
        <v>13</v>
      </c>
      <c r="L1615" t="s">
        <v>83</v>
      </c>
      <c r="M1615" t="s">
        <v>84</v>
      </c>
      <c r="N1615">
        <v>1</v>
      </c>
      <c r="O1615" t="b">
        <v>1</v>
      </c>
      <c r="P1615">
        <v>0</v>
      </c>
      <c r="BB1615">
        <v>0</v>
      </c>
      <c r="BC1615" t="s">
        <v>197</v>
      </c>
      <c r="BD1615" t="s">
        <v>198</v>
      </c>
      <c r="BE1615" t="s">
        <v>117</v>
      </c>
      <c r="BF1615">
        <v>0</v>
      </c>
      <c r="BG1615">
        <v>0</v>
      </c>
      <c r="BH1615">
        <v>0</v>
      </c>
    </row>
    <row r="1616" spans="1:61">
      <c r="A1616" s="164" t="s">
        <v>3938</v>
      </c>
      <c r="B1616" t="s">
        <v>3939</v>
      </c>
      <c r="C1616">
        <v>0</v>
      </c>
      <c r="D1616" t="s">
        <v>194</v>
      </c>
      <c r="E1616">
        <v>0</v>
      </c>
      <c r="F1616" t="s">
        <v>195</v>
      </c>
      <c r="G1616" t="s">
        <v>78</v>
      </c>
      <c r="H1616" t="s">
        <v>79</v>
      </c>
      <c r="I1616" t="s">
        <v>80</v>
      </c>
      <c r="J1616" t="s">
        <v>196</v>
      </c>
      <c r="K1616" t="s">
        <v>13</v>
      </c>
      <c r="L1616" t="s">
        <v>83</v>
      </c>
      <c r="M1616" t="s">
        <v>84</v>
      </c>
      <c r="N1616">
        <v>1</v>
      </c>
      <c r="O1616" t="b">
        <v>1</v>
      </c>
      <c r="P1616">
        <v>0</v>
      </c>
      <c r="BB1616">
        <v>0</v>
      </c>
      <c r="BC1616" t="s">
        <v>197</v>
      </c>
      <c r="BD1616" t="s">
        <v>198</v>
      </c>
      <c r="BE1616" t="s">
        <v>117</v>
      </c>
      <c r="BF1616">
        <v>0</v>
      </c>
      <c r="BG1616">
        <v>0</v>
      </c>
      <c r="BH1616">
        <v>0</v>
      </c>
    </row>
    <row r="1617" spans="1:61">
      <c r="A1617" s="164" t="s">
        <v>3940</v>
      </c>
      <c r="B1617" t="s">
        <v>3941</v>
      </c>
      <c r="C1617">
        <v>0</v>
      </c>
      <c r="D1617" t="s">
        <v>194</v>
      </c>
      <c r="E1617">
        <v>0</v>
      </c>
      <c r="F1617" t="s">
        <v>195</v>
      </c>
      <c r="G1617" t="s">
        <v>78</v>
      </c>
      <c r="H1617" t="s">
        <v>79</v>
      </c>
      <c r="I1617" t="s">
        <v>80</v>
      </c>
      <c r="J1617" t="s">
        <v>196</v>
      </c>
      <c r="K1617" t="s">
        <v>13</v>
      </c>
      <c r="L1617" t="s">
        <v>83</v>
      </c>
      <c r="M1617" t="s">
        <v>84</v>
      </c>
      <c r="N1617">
        <v>1</v>
      </c>
      <c r="O1617" t="b">
        <v>1</v>
      </c>
      <c r="P1617">
        <v>0</v>
      </c>
      <c r="BB1617">
        <v>0</v>
      </c>
      <c r="BC1617" t="s">
        <v>197</v>
      </c>
      <c r="BD1617" t="s">
        <v>198</v>
      </c>
      <c r="BE1617" t="s">
        <v>117</v>
      </c>
      <c r="BF1617">
        <v>0</v>
      </c>
      <c r="BG1617">
        <v>0</v>
      </c>
      <c r="BH1617">
        <v>0</v>
      </c>
    </row>
    <row r="1618" spans="1:61">
      <c r="A1618" s="164" t="s">
        <v>3942</v>
      </c>
      <c r="B1618" t="s">
        <v>3943</v>
      </c>
      <c r="C1618">
        <v>0</v>
      </c>
      <c r="D1618" t="s">
        <v>194</v>
      </c>
      <c r="E1618">
        <v>0</v>
      </c>
      <c r="F1618" t="s">
        <v>214</v>
      </c>
      <c r="G1618" t="s">
        <v>78</v>
      </c>
      <c r="H1618" t="s">
        <v>79</v>
      </c>
      <c r="I1618" t="s">
        <v>80</v>
      </c>
      <c r="J1618" t="s">
        <v>196</v>
      </c>
      <c r="K1618" t="s">
        <v>13</v>
      </c>
      <c r="L1618" t="s">
        <v>83</v>
      </c>
      <c r="M1618" t="s">
        <v>215</v>
      </c>
      <c r="N1618">
        <v>1</v>
      </c>
      <c r="O1618" t="b">
        <v>1</v>
      </c>
      <c r="P1618">
        <v>0</v>
      </c>
      <c r="BB1618">
        <v>0</v>
      </c>
      <c r="BC1618" t="s">
        <v>197</v>
      </c>
      <c r="BD1618" t="s">
        <v>216</v>
      </c>
      <c r="BE1618" t="s">
        <v>117</v>
      </c>
      <c r="BF1618">
        <v>0</v>
      </c>
      <c r="BG1618">
        <v>0</v>
      </c>
      <c r="BH1618">
        <v>0</v>
      </c>
    </row>
    <row r="1619" spans="1:61">
      <c r="A1619" s="164" t="s">
        <v>3944</v>
      </c>
      <c r="B1619" t="s">
        <v>3945</v>
      </c>
      <c r="C1619">
        <v>0</v>
      </c>
      <c r="D1619" t="s">
        <v>194</v>
      </c>
      <c r="E1619">
        <v>0</v>
      </c>
      <c r="F1619" t="s">
        <v>195</v>
      </c>
      <c r="G1619" t="s">
        <v>78</v>
      </c>
      <c r="H1619" t="s">
        <v>79</v>
      </c>
      <c r="I1619" t="s">
        <v>80</v>
      </c>
      <c r="J1619" t="s">
        <v>196</v>
      </c>
      <c r="K1619" t="s">
        <v>13</v>
      </c>
      <c r="L1619" t="s">
        <v>83</v>
      </c>
      <c r="M1619" t="s">
        <v>205</v>
      </c>
      <c r="N1619">
        <v>1</v>
      </c>
      <c r="O1619" t="b">
        <v>1</v>
      </c>
      <c r="P1619">
        <v>0</v>
      </c>
      <c r="BB1619">
        <v>0</v>
      </c>
      <c r="BC1619" t="s">
        <v>197</v>
      </c>
      <c r="BD1619" t="s">
        <v>198</v>
      </c>
      <c r="BE1619" t="s">
        <v>117</v>
      </c>
      <c r="BF1619">
        <v>0</v>
      </c>
      <c r="BG1619">
        <v>0</v>
      </c>
      <c r="BH1619">
        <v>0</v>
      </c>
    </row>
    <row r="1620" spans="1:61">
      <c r="A1620" s="164" t="s">
        <v>3946</v>
      </c>
      <c r="B1620" t="s">
        <v>3947</v>
      </c>
      <c r="C1620">
        <v>0</v>
      </c>
      <c r="D1620" t="s">
        <v>479</v>
      </c>
      <c r="E1620">
        <v>0</v>
      </c>
      <c r="F1620" t="s">
        <v>857</v>
      </c>
      <c r="G1620" t="s">
        <v>103</v>
      </c>
      <c r="H1620" t="s">
        <v>104</v>
      </c>
      <c r="I1620" t="s">
        <v>80</v>
      </c>
      <c r="J1620" t="s">
        <v>81</v>
      </c>
      <c r="K1620" t="s">
        <v>468</v>
      </c>
      <c r="L1620" t="s">
        <v>111</v>
      </c>
      <c r="M1620" t="s">
        <v>84</v>
      </c>
      <c r="N1620">
        <v>0.65</v>
      </c>
      <c r="O1620" t="b">
        <v>0</v>
      </c>
      <c r="P1620">
        <v>0</v>
      </c>
      <c r="Q1620" t="s">
        <v>479</v>
      </c>
      <c r="S1620">
        <v>0</v>
      </c>
      <c r="T1620">
        <v>1</v>
      </c>
      <c r="V1620" t="s">
        <v>87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G1620" t="s">
        <v>129</v>
      </c>
      <c r="AH1620">
        <v>0</v>
      </c>
      <c r="AI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Y1620">
        <v>0</v>
      </c>
      <c r="AZ1620">
        <v>0</v>
      </c>
      <c r="BB1620">
        <v>0</v>
      </c>
      <c r="BC1620" t="s">
        <v>95</v>
      </c>
      <c r="BD1620" t="s">
        <v>96</v>
      </c>
      <c r="BE1620" t="s">
        <v>97</v>
      </c>
      <c r="BF1620">
        <v>0</v>
      </c>
      <c r="BG1620">
        <v>0</v>
      </c>
      <c r="BH1620">
        <v>0</v>
      </c>
      <c r="BI1620" t="s">
        <v>98</v>
      </c>
    </row>
    <row r="1621" spans="1:61">
      <c r="A1621" s="164" t="s">
        <v>3948</v>
      </c>
      <c r="B1621" t="s">
        <v>3949</v>
      </c>
      <c r="C1621">
        <v>0</v>
      </c>
      <c r="D1621" t="s">
        <v>194</v>
      </c>
      <c r="E1621">
        <v>0</v>
      </c>
      <c r="F1621" t="s">
        <v>195</v>
      </c>
      <c r="G1621" t="s">
        <v>78</v>
      </c>
      <c r="H1621" t="s">
        <v>79</v>
      </c>
      <c r="I1621" t="s">
        <v>80</v>
      </c>
      <c r="J1621" t="s">
        <v>196</v>
      </c>
      <c r="K1621" t="s">
        <v>13</v>
      </c>
      <c r="L1621" t="s">
        <v>83</v>
      </c>
      <c r="M1621" t="s">
        <v>84</v>
      </c>
      <c r="N1621">
        <v>1</v>
      </c>
      <c r="O1621" t="b">
        <v>1</v>
      </c>
      <c r="P1621">
        <v>0</v>
      </c>
      <c r="BB1621">
        <v>0</v>
      </c>
      <c r="BC1621" t="s">
        <v>197</v>
      </c>
      <c r="BD1621" t="s">
        <v>198</v>
      </c>
      <c r="BE1621" t="s">
        <v>117</v>
      </c>
      <c r="BF1621">
        <v>0</v>
      </c>
      <c r="BG1621">
        <v>0</v>
      </c>
      <c r="BH1621">
        <v>0</v>
      </c>
    </row>
    <row r="1622" spans="1:61">
      <c r="A1622" s="164" t="s">
        <v>3950</v>
      </c>
      <c r="B1622" t="s">
        <v>3951</v>
      </c>
      <c r="C1622">
        <v>0</v>
      </c>
      <c r="D1622" t="s">
        <v>194</v>
      </c>
      <c r="E1622">
        <v>0</v>
      </c>
      <c r="F1622" t="s">
        <v>214</v>
      </c>
      <c r="G1622" t="s">
        <v>78</v>
      </c>
      <c r="H1622" t="s">
        <v>79</v>
      </c>
      <c r="I1622" t="s">
        <v>80</v>
      </c>
      <c r="J1622" t="s">
        <v>196</v>
      </c>
      <c r="K1622" t="s">
        <v>13</v>
      </c>
      <c r="L1622" t="s">
        <v>83</v>
      </c>
      <c r="M1622" t="s">
        <v>215</v>
      </c>
      <c r="N1622">
        <v>1</v>
      </c>
      <c r="O1622" t="b">
        <v>1</v>
      </c>
      <c r="P1622">
        <v>0</v>
      </c>
      <c r="BB1622">
        <v>0</v>
      </c>
      <c r="BC1622" t="s">
        <v>197</v>
      </c>
      <c r="BD1622" t="s">
        <v>216</v>
      </c>
      <c r="BE1622" t="s">
        <v>117</v>
      </c>
      <c r="BF1622">
        <v>0</v>
      </c>
      <c r="BG1622">
        <v>0</v>
      </c>
      <c r="BH1622">
        <v>0</v>
      </c>
    </row>
    <row r="1623" spans="1:61">
      <c r="A1623" s="164" t="s">
        <v>3952</v>
      </c>
      <c r="B1623" t="s">
        <v>3953</v>
      </c>
      <c r="C1623">
        <v>0</v>
      </c>
      <c r="D1623" t="s">
        <v>194</v>
      </c>
      <c r="E1623">
        <v>0</v>
      </c>
      <c r="F1623" t="s">
        <v>195</v>
      </c>
      <c r="G1623" t="s">
        <v>78</v>
      </c>
      <c r="H1623" t="s">
        <v>79</v>
      </c>
      <c r="I1623" t="s">
        <v>80</v>
      </c>
      <c r="J1623" t="s">
        <v>196</v>
      </c>
      <c r="K1623" t="s">
        <v>13</v>
      </c>
      <c r="L1623" t="s">
        <v>83</v>
      </c>
      <c r="M1623" t="s">
        <v>84</v>
      </c>
      <c r="N1623">
        <v>1</v>
      </c>
      <c r="O1623" t="b">
        <v>1</v>
      </c>
      <c r="P1623">
        <v>0</v>
      </c>
      <c r="BB1623">
        <v>0</v>
      </c>
      <c r="BC1623" t="s">
        <v>197</v>
      </c>
      <c r="BD1623" t="s">
        <v>198</v>
      </c>
      <c r="BE1623" t="s">
        <v>117</v>
      </c>
      <c r="BF1623">
        <v>0</v>
      </c>
      <c r="BG1623">
        <v>0</v>
      </c>
      <c r="BH1623">
        <v>0</v>
      </c>
    </row>
    <row r="1624" spans="1:61">
      <c r="A1624" s="164" t="s">
        <v>3954</v>
      </c>
      <c r="B1624" t="s">
        <v>3955</v>
      </c>
      <c r="C1624">
        <v>0</v>
      </c>
      <c r="D1624" t="s">
        <v>194</v>
      </c>
      <c r="E1624">
        <v>0</v>
      </c>
      <c r="F1624" t="s">
        <v>195</v>
      </c>
      <c r="G1624" t="s">
        <v>78</v>
      </c>
      <c r="H1624" t="s">
        <v>79</v>
      </c>
      <c r="I1624" t="s">
        <v>80</v>
      </c>
      <c r="J1624" t="s">
        <v>196</v>
      </c>
      <c r="K1624" t="s">
        <v>13</v>
      </c>
      <c r="L1624" t="s">
        <v>83</v>
      </c>
      <c r="M1624" t="s">
        <v>84</v>
      </c>
      <c r="N1624">
        <v>1</v>
      </c>
      <c r="O1624" t="b">
        <v>1</v>
      </c>
      <c r="P1624">
        <v>0</v>
      </c>
      <c r="BB1624">
        <v>0</v>
      </c>
      <c r="BC1624" t="s">
        <v>197</v>
      </c>
      <c r="BD1624" t="s">
        <v>198</v>
      </c>
      <c r="BE1624" t="s">
        <v>117</v>
      </c>
      <c r="BF1624">
        <v>0</v>
      </c>
      <c r="BG1624">
        <v>0</v>
      </c>
      <c r="BH1624">
        <v>0</v>
      </c>
    </row>
    <row r="1625" spans="1:61">
      <c r="A1625" s="164" t="s">
        <v>3956</v>
      </c>
      <c r="B1625" t="s">
        <v>3957</v>
      </c>
      <c r="C1625">
        <v>0</v>
      </c>
      <c r="D1625" t="s">
        <v>194</v>
      </c>
      <c r="E1625">
        <v>0</v>
      </c>
      <c r="F1625" t="s">
        <v>195</v>
      </c>
      <c r="G1625" t="s">
        <v>78</v>
      </c>
      <c r="H1625" t="s">
        <v>79</v>
      </c>
      <c r="I1625" t="s">
        <v>80</v>
      </c>
      <c r="J1625" t="s">
        <v>196</v>
      </c>
      <c r="K1625" t="s">
        <v>13</v>
      </c>
      <c r="L1625" t="s">
        <v>83</v>
      </c>
      <c r="M1625" t="s">
        <v>205</v>
      </c>
      <c r="N1625">
        <v>1</v>
      </c>
      <c r="O1625" t="b">
        <v>1</v>
      </c>
      <c r="P1625">
        <v>0</v>
      </c>
      <c r="BB1625">
        <v>0</v>
      </c>
      <c r="BC1625" t="s">
        <v>197</v>
      </c>
      <c r="BD1625" t="s">
        <v>198</v>
      </c>
      <c r="BE1625" t="s">
        <v>117</v>
      </c>
      <c r="BF1625">
        <v>0</v>
      </c>
      <c r="BG1625">
        <v>0</v>
      </c>
      <c r="BH1625">
        <v>0</v>
      </c>
    </row>
    <row r="1626" spans="1:61">
      <c r="A1626" s="164" t="s">
        <v>3958</v>
      </c>
      <c r="B1626" t="s">
        <v>3959</v>
      </c>
      <c r="C1626">
        <v>0</v>
      </c>
      <c r="D1626" t="s">
        <v>194</v>
      </c>
      <c r="E1626">
        <v>0</v>
      </c>
      <c r="F1626" t="s">
        <v>195</v>
      </c>
      <c r="G1626" t="s">
        <v>78</v>
      </c>
      <c r="H1626" t="s">
        <v>79</v>
      </c>
      <c r="I1626" t="s">
        <v>80</v>
      </c>
      <c r="J1626" t="s">
        <v>196</v>
      </c>
      <c r="K1626" t="s">
        <v>13</v>
      </c>
      <c r="L1626" t="s">
        <v>83</v>
      </c>
      <c r="M1626" t="s">
        <v>205</v>
      </c>
      <c r="N1626">
        <v>1</v>
      </c>
      <c r="O1626" t="b">
        <v>1</v>
      </c>
      <c r="P1626">
        <v>0</v>
      </c>
      <c r="BB1626">
        <v>0</v>
      </c>
      <c r="BC1626" t="s">
        <v>197</v>
      </c>
      <c r="BD1626" t="s">
        <v>198</v>
      </c>
      <c r="BE1626" t="s">
        <v>117</v>
      </c>
      <c r="BF1626">
        <v>0</v>
      </c>
      <c r="BG1626">
        <v>0</v>
      </c>
      <c r="BH1626">
        <v>0</v>
      </c>
    </row>
    <row r="1627" spans="1:61">
      <c r="A1627" s="164" t="s">
        <v>3960</v>
      </c>
      <c r="B1627" t="s">
        <v>3961</v>
      </c>
      <c r="C1627">
        <v>0</v>
      </c>
      <c r="D1627" t="s">
        <v>194</v>
      </c>
      <c r="E1627">
        <v>0</v>
      </c>
      <c r="F1627" t="s">
        <v>195</v>
      </c>
      <c r="G1627" t="s">
        <v>78</v>
      </c>
      <c r="H1627" t="s">
        <v>79</v>
      </c>
      <c r="I1627" t="s">
        <v>80</v>
      </c>
      <c r="J1627" t="s">
        <v>196</v>
      </c>
      <c r="K1627" t="s">
        <v>13</v>
      </c>
      <c r="L1627" t="s">
        <v>83</v>
      </c>
      <c r="M1627" t="s">
        <v>205</v>
      </c>
      <c r="N1627">
        <v>1</v>
      </c>
      <c r="O1627" t="b">
        <v>1</v>
      </c>
      <c r="P1627">
        <v>0</v>
      </c>
      <c r="BB1627">
        <v>0</v>
      </c>
      <c r="BC1627" t="s">
        <v>197</v>
      </c>
      <c r="BD1627" t="s">
        <v>198</v>
      </c>
      <c r="BE1627" t="s">
        <v>117</v>
      </c>
      <c r="BF1627">
        <v>0</v>
      </c>
      <c r="BG1627">
        <v>0</v>
      </c>
      <c r="BH1627">
        <v>0</v>
      </c>
    </row>
    <row r="1628" spans="1:61">
      <c r="A1628" s="164" t="s">
        <v>3962</v>
      </c>
      <c r="B1628" t="s">
        <v>3963</v>
      </c>
      <c r="C1628">
        <v>0</v>
      </c>
      <c r="D1628" t="s">
        <v>194</v>
      </c>
      <c r="E1628">
        <v>0</v>
      </c>
      <c r="F1628" t="s">
        <v>195</v>
      </c>
      <c r="G1628" t="s">
        <v>78</v>
      </c>
      <c r="H1628" t="s">
        <v>79</v>
      </c>
      <c r="I1628" t="s">
        <v>80</v>
      </c>
      <c r="J1628" t="s">
        <v>196</v>
      </c>
      <c r="K1628" t="s">
        <v>13</v>
      </c>
      <c r="L1628" t="s">
        <v>83</v>
      </c>
      <c r="M1628" t="s">
        <v>205</v>
      </c>
      <c r="N1628">
        <v>1</v>
      </c>
      <c r="O1628" t="b">
        <v>1</v>
      </c>
      <c r="P1628">
        <v>0</v>
      </c>
      <c r="BB1628">
        <v>0</v>
      </c>
      <c r="BC1628" t="s">
        <v>197</v>
      </c>
      <c r="BD1628" t="s">
        <v>198</v>
      </c>
      <c r="BE1628" t="s">
        <v>117</v>
      </c>
      <c r="BF1628">
        <v>0</v>
      </c>
      <c r="BG1628">
        <v>0</v>
      </c>
      <c r="BH1628">
        <v>0</v>
      </c>
    </row>
    <row r="1629" spans="1:61">
      <c r="A1629" s="164" t="s">
        <v>3964</v>
      </c>
      <c r="B1629" t="s">
        <v>3965</v>
      </c>
      <c r="C1629">
        <v>0</v>
      </c>
      <c r="D1629" t="s">
        <v>194</v>
      </c>
      <c r="E1629">
        <v>0</v>
      </c>
      <c r="F1629" t="s">
        <v>195</v>
      </c>
      <c r="G1629" t="s">
        <v>78</v>
      </c>
      <c r="H1629" t="s">
        <v>79</v>
      </c>
      <c r="I1629" t="s">
        <v>80</v>
      </c>
      <c r="J1629" t="s">
        <v>196</v>
      </c>
      <c r="K1629" t="s">
        <v>13</v>
      </c>
      <c r="L1629" t="s">
        <v>83</v>
      </c>
      <c r="M1629" t="s">
        <v>205</v>
      </c>
      <c r="N1629">
        <v>1</v>
      </c>
      <c r="O1629" t="b">
        <v>1</v>
      </c>
      <c r="P1629">
        <v>0</v>
      </c>
      <c r="BB1629">
        <v>0</v>
      </c>
      <c r="BC1629" t="s">
        <v>197</v>
      </c>
      <c r="BD1629" t="s">
        <v>198</v>
      </c>
      <c r="BE1629" t="s">
        <v>117</v>
      </c>
      <c r="BF1629">
        <v>0</v>
      </c>
      <c r="BG1629">
        <v>0</v>
      </c>
      <c r="BH1629">
        <v>0</v>
      </c>
    </row>
    <row r="1630" spans="1:61">
      <c r="A1630" s="164" t="s">
        <v>3966</v>
      </c>
      <c r="B1630" t="s">
        <v>3967</v>
      </c>
      <c r="C1630">
        <v>0</v>
      </c>
      <c r="D1630" t="s">
        <v>175</v>
      </c>
      <c r="E1630">
        <v>0</v>
      </c>
      <c r="F1630" t="s">
        <v>508</v>
      </c>
      <c r="G1630" t="s">
        <v>78</v>
      </c>
      <c r="H1630" t="s">
        <v>79</v>
      </c>
      <c r="I1630" t="s">
        <v>80</v>
      </c>
      <c r="J1630" t="s">
        <v>163</v>
      </c>
      <c r="K1630" t="s">
        <v>82</v>
      </c>
      <c r="L1630" t="s">
        <v>83</v>
      </c>
      <c r="M1630" t="s">
        <v>84</v>
      </c>
      <c r="N1630">
        <v>0.5</v>
      </c>
      <c r="O1630" t="b">
        <v>1</v>
      </c>
      <c r="P1630">
        <v>40</v>
      </c>
      <c r="Q1630" t="s">
        <v>137</v>
      </c>
      <c r="R1630" t="s">
        <v>164</v>
      </c>
      <c r="S1630">
        <v>0.5</v>
      </c>
      <c r="T1630">
        <v>1</v>
      </c>
      <c r="U1630" s="36">
        <v>2.3460700000000001</v>
      </c>
      <c r="V1630" t="s">
        <v>165</v>
      </c>
      <c r="W1630">
        <v>55</v>
      </c>
      <c r="X1630">
        <v>0</v>
      </c>
      <c r="Y1630">
        <v>45</v>
      </c>
      <c r="Z1630">
        <v>0</v>
      </c>
      <c r="AA1630">
        <v>35</v>
      </c>
      <c r="AB1630">
        <v>0</v>
      </c>
      <c r="AC1630">
        <v>0</v>
      </c>
      <c r="AD1630">
        <v>800</v>
      </c>
      <c r="AE1630" t="s">
        <v>166</v>
      </c>
      <c r="AF1630" t="s">
        <v>508</v>
      </c>
      <c r="AH1630">
        <v>0</v>
      </c>
      <c r="AI1630">
        <v>8.6</v>
      </c>
      <c r="AJ1630" t="s">
        <v>167</v>
      </c>
      <c r="AM1630">
        <v>8.3000000000000007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 t="s">
        <v>3968</v>
      </c>
      <c r="AY1630">
        <v>4.2507999999999999</v>
      </c>
      <c r="AZ1630">
        <v>0</v>
      </c>
      <c r="BA1630" t="s">
        <v>138</v>
      </c>
      <c r="BB1630">
        <v>5.87</v>
      </c>
      <c r="BC1630" t="s">
        <v>95</v>
      </c>
      <c r="BD1630" t="s">
        <v>96</v>
      </c>
      <c r="BE1630" t="s">
        <v>97</v>
      </c>
      <c r="BF1630">
        <v>1</v>
      </c>
      <c r="BG1630">
        <v>0</v>
      </c>
      <c r="BH1630">
        <v>0</v>
      </c>
      <c r="BI1630" t="s">
        <v>98</v>
      </c>
    </row>
    <row r="1631" spans="1:61">
      <c r="A1631" s="164" t="s">
        <v>3969</v>
      </c>
      <c r="B1631" t="s">
        <v>3970</v>
      </c>
      <c r="C1631">
        <v>0</v>
      </c>
      <c r="D1631" t="s">
        <v>101</v>
      </c>
      <c r="E1631">
        <v>0</v>
      </c>
      <c r="F1631" t="s">
        <v>102</v>
      </c>
      <c r="G1631" t="s">
        <v>103</v>
      </c>
      <c r="H1631" t="s">
        <v>104</v>
      </c>
      <c r="I1631" t="s">
        <v>80</v>
      </c>
      <c r="J1631" t="s">
        <v>109</v>
      </c>
      <c r="K1631" t="s">
        <v>110</v>
      </c>
      <c r="L1631" t="s">
        <v>111</v>
      </c>
      <c r="M1631" t="s">
        <v>84</v>
      </c>
      <c r="N1631">
        <v>0.99</v>
      </c>
      <c r="O1631" t="b">
        <v>0</v>
      </c>
      <c r="P1631">
        <v>45</v>
      </c>
      <c r="Q1631" t="s">
        <v>85</v>
      </c>
      <c r="S1631">
        <v>0</v>
      </c>
      <c r="T1631">
        <v>0</v>
      </c>
      <c r="V1631" t="s">
        <v>87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F1631" t="s">
        <v>513</v>
      </c>
      <c r="AH1631">
        <v>0</v>
      </c>
      <c r="AI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 t="s">
        <v>3971</v>
      </c>
      <c r="AY1631">
        <v>0</v>
      </c>
      <c r="AZ1631">
        <v>0</v>
      </c>
      <c r="BA1631" t="s">
        <v>94</v>
      </c>
      <c r="BB1631">
        <v>0</v>
      </c>
      <c r="BC1631" t="s">
        <v>115</v>
      </c>
      <c r="BD1631" t="s">
        <v>116</v>
      </c>
      <c r="BE1631" t="s">
        <v>117</v>
      </c>
      <c r="BF1631">
        <v>0</v>
      </c>
      <c r="BG1631">
        <v>0</v>
      </c>
      <c r="BH1631">
        <v>0</v>
      </c>
      <c r="BI1631" t="s">
        <v>98</v>
      </c>
    </row>
    <row r="1632" spans="1:61">
      <c r="A1632" s="164" t="s">
        <v>3972</v>
      </c>
      <c r="B1632" t="s">
        <v>3973</v>
      </c>
      <c r="C1632">
        <v>0</v>
      </c>
      <c r="D1632" t="s">
        <v>479</v>
      </c>
      <c r="E1632">
        <v>0</v>
      </c>
      <c r="F1632" t="s">
        <v>480</v>
      </c>
      <c r="G1632" t="s">
        <v>103</v>
      </c>
      <c r="H1632" t="s">
        <v>104</v>
      </c>
      <c r="I1632" t="s">
        <v>80</v>
      </c>
      <c r="J1632" t="s">
        <v>467</v>
      </c>
      <c r="K1632" t="s">
        <v>468</v>
      </c>
      <c r="L1632" t="s">
        <v>111</v>
      </c>
      <c r="M1632" t="s">
        <v>84</v>
      </c>
      <c r="O1632" t="b">
        <v>0</v>
      </c>
      <c r="P1632">
        <v>40</v>
      </c>
      <c r="Q1632" t="s">
        <v>479</v>
      </c>
      <c r="S1632">
        <v>0.39</v>
      </c>
      <c r="U1632" s="36">
        <v>14.30402</v>
      </c>
      <c r="V1632" t="s">
        <v>468</v>
      </c>
      <c r="AI1632">
        <v>0</v>
      </c>
      <c r="AZ1632">
        <v>4</v>
      </c>
      <c r="BA1632" t="s">
        <v>138</v>
      </c>
      <c r="BB1632">
        <v>0</v>
      </c>
      <c r="BC1632" t="s">
        <v>95</v>
      </c>
      <c r="BD1632" t="s">
        <v>2573</v>
      </c>
      <c r="BE1632" t="s">
        <v>97</v>
      </c>
      <c r="BF1632">
        <v>1</v>
      </c>
      <c r="BG1632">
        <v>0</v>
      </c>
      <c r="BH1632">
        <v>0</v>
      </c>
      <c r="BI1632" t="s">
        <v>98</v>
      </c>
    </row>
    <row r="1633" spans="1:61">
      <c r="A1633" s="164" t="s">
        <v>3974</v>
      </c>
      <c r="B1633" t="s">
        <v>3975</v>
      </c>
      <c r="C1633">
        <v>0</v>
      </c>
      <c r="D1633" t="s">
        <v>486</v>
      </c>
      <c r="E1633">
        <v>0</v>
      </c>
      <c r="F1633" t="s">
        <v>3976</v>
      </c>
      <c r="G1633" t="s">
        <v>78</v>
      </c>
      <c r="H1633" t="s">
        <v>79</v>
      </c>
      <c r="I1633" t="s">
        <v>80</v>
      </c>
      <c r="J1633" t="s">
        <v>163</v>
      </c>
      <c r="K1633" t="s">
        <v>82</v>
      </c>
      <c r="L1633" t="s">
        <v>83</v>
      </c>
      <c r="M1633" t="s">
        <v>84</v>
      </c>
      <c r="N1633">
        <v>1.5</v>
      </c>
      <c r="O1633" t="b">
        <v>0</v>
      </c>
      <c r="P1633">
        <v>60</v>
      </c>
      <c r="Q1633" t="s">
        <v>137</v>
      </c>
      <c r="S1633">
        <v>1.5</v>
      </c>
      <c r="T1633">
        <v>1</v>
      </c>
      <c r="U1633" s="36">
        <v>10.058565</v>
      </c>
      <c r="V1633" t="s">
        <v>165</v>
      </c>
      <c r="X1633">
        <v>0</v>
      </c>
      <c r="Y1633">
        <v>10</v>
      </c>
      <c r="Z1633">
        <v>0</v>
      </c>
      <c r="AA1633">
        <v>35</v>
      </c>
      <c r="AB1633">
        <v>0</v>
      </c>
      <c r="AC1633">
        <v>0</v>
      </c>
      <c r="AE1633" t="s">
        <v>129</v>
      </c>
      <c r="AF1633" t="s">
        <v>3976</v>
      </c>
      <c r="AG1633" t="s">
        <v>129</v>
      </c>
      <c r="AH1633">
        <v>0</v>
      </c>
      <c r="AI1633">
        <v>0</v>
      </c>
      <c r="AJ1633" t="s">
        <v>167</v>
      </c>
      <c r="AM1633">
        <v>10.38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 t="s">
        <v>3132</v>
      </c>
      <c r="AY1633">
        <v>11.9755</v>
      </c>
      <c r="AZ1633">
        <v>0</v>
      </c>
      <c r="BA1633" t="s">
        <v>138</v>
      </c>
      <c r="BB1633">
        <v>0</v>
      </c>
      <c r="BC1633" t="s">
        <v>95</v>
      </c>
      <c r="BD1633" t="s">
        <v>96</v>
      </c>
      <c r="BE1633" t="s">
        <v>97</v>
      </c>
      <c r="BF1633">
        <v>1</v>
      </c>
      <c r="BG1633">
        <v>0</v>
      </c>
      <c r="BH1633">
        <v>0</v>
      </c>
      <c r="BI1633" t="s">
        <v>98</v>
      </c>
    </row>
    <row r="1634" spans="1:61">
      <c r="A1634" s="164" t="s">
        <v>3977</v>
      </c>
      <c r="B1634" t="s">
        <v>3978</v>
      </c>
      <c r="C1634">
        <v>0</v>
      </c>
      <c r="D1634" t="s">
        <v>1125</v>
      </c>
      <c r="E1634">
        <v>0</v>
      </c>
      <c r="F1634" t="s">
        <v>1125</v>
      </c>
      <c r="G1634" t="s">
        <v>78</v>
      </c>
      <c r="H1634" t="s">
        <v>79</v>
      </c>
      <c r="I1634" t="s">
        <v>126</v>
      </c>
      <c r="J1634" t="s">
        <v>127</v>
      </c>
      <c r="K1634" t="s">
        <v>82</v>
      </c>
      <c r="L1634" t="s">
        <v>83</v>
      </c>
      <c r="M1634" t="s">
        <v>84</v>
      </c>
      <c r="N1634">
        <v>0.14000000000000001</v>
      </c>
      <c r="O1634" t="b">
        <v>1</v>
      </c>
      <c r="P1634">
        <v>60</v>
      </c>
      <c r="Q1634" t="s">
        <v>188</v>
      </c>
      <c r="R1634" t="s">
        <v>1126</v>
      </c>
      <c r="S1634">
        <v>0</v>
      </c>
      <c r="T1634">
        <v>1</v>
      </c>
      <c r="U1634" s="36">
        <v>0.47797999999999996</v>
      </c>
      <c r="V1634" t="s">
        <v>87</v>
      </c>
      <c r="W1634">
        <v>0</v>
      </c>
      <c r="X1634">
        <v>0</v>
      </c>
      <c r="Y1634">
        <v>30</v>
      </c>
      <c r="Z1634">
        <v>3.3333333333333333E-2</v>
      </c>
      <c r="AA1634">
        <v>0</v>
      </c>
      <c r="AB1634">
        <v>0</v>
      </c>
      <c r="AC1634">
        <v>0</v>
      </c>
      <c r="AD1634">
        <v>0</v>
      </c>
      <c r="AG1634" t="s">
        <v>129</v>
      </c>
      <c r="AH1634">
        <v>0</v>
      </c>
      <c r="AI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 t="s">
        <v>3979</v>
      </c>
      <c r="AY1634">
        <v>9.6</v>
      </c>
      <c r="AZ1634">
        <v>0</v>
      </c>
      <c r="BA1634" t="s">
        <v>94</v>
      </c>
      <c r="BB1634">
        <v>1.18</v>
      </c>
      <c r="BC1634" t="s">
        <v>1128</v>
      </c>
      <c r="BD1634" t="s">
        <v>1129</v>
      </c>
      <c r="BE1634" t="s">
        <v>97</v>
      </c>
      <c r="BF1634">
        <v>1</v>
      </c>
      <c r="BG1634">
        <v>0</v>
      </c>
      <c r="BH1634">
        <v>0</v>
      </c>
      <c r="BI1634" t="s">
        <v>98</v>
      </c>
    </row>
    <row r="1635" spans="1:61">
      <c r="A1635" s="164" t="s">
        <v>3980</v>
      </c>
      <c r="B1635" t="s">
        <v>3981</v>
      </c>
      <c r="C1635">
        <v>0</v>
      </c>
      <c r="D1635" t="s">
        <v>147</v>
      </c>
      <c r="E1635">
        <v>0</v>
      </c>
      <c r="F1635" t="s">
        <v>773</v>
      </c>
      <c r="G1635" t="s">
        <v>103</v>
      </c>
      <c r="H1635" t="s">
        <v>104</v>
      </c>
      <c r="I1635" t="s">
        <v>80</v>
      </c>
      <c r="J1635" t="s">
        <v>109</v>
      </c>
      <c r="K1635" t="s">
        <v>110</v>
      </c>
      <c r="L1635" t="s">
        <v>111</v>
      </c>
      <c r="M1635" t="s">
        <v>84</v>
      </c>
      <c r="N1635">
        <v>1.05</v>
      </c>
      <c r="O1635" t="b">
        <v>0</v>
      </c>
      <c r="P1635">
        <v>45</v>
      </c>
      <c r="Q1635" t="s">
        <v>85</v>
      </c>
      <c r="S1635">
        <v>0</v>
      </c>
      <c r="T1635">
        <v>0</v>
      </c>
      <c r="V1635" t="s">
        <v>87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F1635" t="s">
        <v>903</v>
      </c>
      <c r="AH1635">
        <v>0</v>
      </c>
      <c r="AI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 t="s">
        <v>3982</v>
      </c>
      <c r="AY1635">
        <v>0</v>
      </c>
      <c r="AZ1635">
        <v>8</v>
      </c>
      <c r="BA1635" t="s">
        <v>94</v>
      </c>
      <c r="BB1635">
        <v>0</v>
      </c>
      <c r="BC1635" t="s">
        <v>115</v>
      </c>
      <c r="BD1635" t="s">
        <v>116</v>
      </c>
      <c r="BE1635" t="s">
        <v>117</v>
      </c>
      <c r="BF1635">
        <v>0</v>
      </c>
      <c r="BG1635">
        <v>0</v>
      </c>
      <c r="BH1635">
        <v>0</v>
      </c>
      <c r="BI1635" t="s">
        <v>98</v>
      </c>
    </row>
    <row r="1636" spans="1:61">
      <c r="A1636" s="164" t="s">
        <v>3983</v>
      </c>
      <c r="B1636" t="s">
        <v>3984</v>
      </c>
      <c r="C1636">
        <v>0</v>
      </c>
      <c r="D1636" t="s">
        <v>147</v>
      </c>
      <c r="E1636">
        <v>0</v>
      </c>
      <c r="F1636" t="s">
        <v>1158</v>
      </c>
      <c r="G1636" t="s">
        <v>103</v>
      </c>
      <c r="H1636" t="s">
        <v>104</v>
      </c>
      <c r="I1636" t="s">
        <v>80</v>
      </c>
      <c r="J1636" t="s">
        <v>774</v>
      </c>
      <c r="K1636" t="s">
        <v>775</v>
      </c>
      <c r="L1636" t="s">
        <v>83</v>
      </c>
      <c r="M1636" t="s">
        <v>84</v>
      </c>
      <c r="N1636">
        <v>0.72</v>
      </c>
      <c r="O1636" t="b">
        <v>1</v>
      </c>
      <c r="P1636">
        <v>180</v>
      </c>
      <c r="Q1636" t="s">
        <v>85</v>
      </c>
      <c r="R1636" t="s">
        <v>86</v>
      </c>
      <c r="S1636">
        <v>0.72</v>
      </c>
      <c r="T1636">
        <v>1</v>
      </c>
      <c r="U1636" s="36">
        <v>1.2179200000000001</v>
      </c>
      <c r="V1636" t="s">
        <v>87</v>
      </c>
      <c r="W1636">
        <v>0</v>
      </c>
      <c r="X1636">
        <v>0</v>
      </c>
      <c r="Y1636">
        <v>15</v>
      </c>
      <c r="Z1636">
        <v>6.6666666666666666E-2</v>
      </c>
      <c r="AA1636">
        <v>30</v>
      </c>
      <c r="AB1636">
        <v>0</v>
      </c>
      <c r="AC1636">
        <v>0</v>
      </c>
      <c r="AD1636">
        <v>0</v>
      </c>
      <c r="AG1636" t="s">
        <v>129</v>
      </c>
      <c r="AH1636">
        <v>0</v>
      </c>
      <c r="AI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 t="s">
        <v>3985</v>
      </c>
      <c r="AY1636">
        <v>3.8</v>
      </c>
      <c r="AZ1636">
        <v>0</v>
      </c>
      <c r="BA1636" t="s">
        <v>94</v>
      </c>
      <c r="BB1636">
        <v>0</v>
      </c>
      <c r="BC1636" t="s">
        <v>95</v>
      </c>
      <c r="BD1636" t="s">
        <v>139</v>
      </c>
      <c r="BE1636" t="s">
        <v>97</v>
      </c>
      <c r="BF1636">
        <v>0</v>
      </c>
      <c r="BG1636">
        <v>0</v>
      </c>
      <c r="BH1636">
        <v>0</v>
      </c>
      <c r="BI1636" t="s">
        <v>98</v>
      </c>
    </row>
    <row r="1637" spans="1:61">
      <c r="A1637" s="164" t="s">
        <v>3986</v>
      </c>
      <c r="B1637" t="s">
        <v>3987</v>
      </c>
      <c r="C1637">
        <v>0</v>
      </c>
      <c r="D1637" t="s">
        <v>175</v>
      </c>
      <c r="E1637">
        <v>0</v>
      </c>
      <c r="F1637" t="s">
        <v>508</v>
      </c>
      <c r="G1637" t="s">
        <v>103</v>
      </c>
      <c r="H1637" t="s">
        <v>104</v>
      </c>
      <c r="I1637" t="s">
        <v>80</v>
      </c>
      <c r="J1637" t="s">
        <v>163</v>
      </c>
      <c r="K1637" t="s">
        <v>468</v>
      </c>
      <c r="L1637" t="s">
        <v>111</v>
      </c>
      <c r="M1637" t="s">
        <v>84</v>
      </c>
      <c r="N1637">
        <v>2.4500000000000002</v>
      </c>
      <c r="O1637" t="b">
        <v>0</v>
      </c>
      <c r="P1637">
        <v>40</v>
      </c>
      <c r="Q1637" t="s">
        <v>137</v>
      </c>
      <c r="S1637">
        <v>0</v>
      </c>
      <c r="T1637">
        <v>1</v>
      </c>
      <c r="U1637" s="36">
        <v>12.224590000000001</v>
      </c>
      <c r="V1637" t="s">
        <v>87</v>
      </c>
      <c r="X1637">
        <v>0</v>
      </c>
      <c r="Z1637">
        <v>0</v>
      </c>
      <c r="AB1637">
        <v>0</v>
      </c>
      <c r="AC1637">
        <v>0</v>
      </c>
      <c r="AE1637" t="s">
        <v>129</v>
      </c>
      <c r="AF1637" t="s">
        <v>508</v>
      </c>
      <c r="AG1637" t="s">
        <v>129</v>
      </c>
      <c r="AH1637">
        <v>0</v>
      </c>
      <c r="AI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Y1637">
        <v>0</v>
      </c>
      <c r="AZ1637">
        <v>0</v>
      </c>
      <c r="BA1637" t="s">
        <v>138</v>
      </c>
      <c r="BB1637">
        <v>0</v>
      </c>
      <c r="BC1637" t="s">
        <v>95</v>
      </c>
      <c r="BD1637" t="s">
        <v>469</v>
      </c>
      <c r="BE1637" t="s">
        <v>97</v>
      </c>
      <c r="BF1637">
        <v>0</v>
      </c>
      <c r="BG1637">
        <v>0</v>
      </c>
      <c r="BH1637">
        <v>0</v>
      </c>
      <c r="BI1637" t="s">
        <v>98</v>
      </c>
    </row>
    <row r="1638" spans="1:61">
      <c r="A1638" s="164" t="s">
        <v>3988</v>
      </c>
      <c r="B1638" t="s">
        <v>3989</v>
      </c>
      <c r="C1638">
        <v>0</v>
      </c>
      <c r="D1638" t="s">
        <v>107</v>
      </c>
      <c r="E1638">
        <v>0</v>
      </c>
      <c r="F1638" t="s">
        <v>108</v>
      </c>
      <c r="G1638" t="s">
        <v>103</v>
      </c>
      <c r="H1638" t="s">
        <v>104</v>
      </c>
      <c r="I1638" t="s">
        <v>80</v>
      </c>
      <c r="J1638" t="s">
        <v>109</v>
      </c>
      <c r="K1638" t="s">
        <v>110</v>
      </c>
      <c r="L1638" t="s">
        <v>111</v>
      </c>
      <c r="M1638" t="s">
        <v>84</v>
      </c>
      <c r="N1638">
        <v>6.3</v>
      </c>
      <c r="O1638" t="b">
        <v>0</v>
      </c>
      <c r="P1638">
        <v>45</v>
      </c>
      <c r="Q1638" t="s">
        <v>85</v>
      </c>
      <c r="S1638">
        <v>0</v>
      </c>
      <c r="T1638">
        <v>0</v>
      </c>
      <c r="V1638" t="s">
        <v>87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F1638" t="s">
        <v>3568</v>
      </c>
      <c r="AH1638">
        <v>0</v>
      </c>
      <c r="AI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 t="s">
        <v>3990</v>
      </c>
      <c r="AY1638">
        <v>0</v>
      </c>
      <c r="AZ1638">
        <v>0</v>
      </c>
      <c r="BA1638" t="s">
        <v>94</v>
      </c>
      <c r="BB1638">
        <v>7.26</v>
      </c>
      <c r="BC1638" t="s">
        <v>115</v>
      </c>
      <c r="BD1638" t="s">
        <v>116</v>
      </c>
      <c r="BE1638" t="s">
        <v>117</v>
      </c>
      <c r="BF1638">
        <v>0</v>
      </c>
      <c r="BG1638">
        <v>0</v>
      </c>
      <c r="BH1638">
        <v>0</v>
      </c>
      <c r="BI1638" t="s">
        <v>98</v>
      </c>
    </row>
    <row r="1639" spans="1:61">
      <c r="A1639" s="164" t="s">
        <v>3991</v>
      </c>
      <c r="B1639" t="s">
        <v>3992</v>
      </c>
      <c r="C1639">
        <v>0</v>
      </c>
      <c r="D1639" t="s">
        <v>194</v>
      </c>
      <c r="E1639">
        <v>0</v>
      </c>
      <c r="F1639" t="s">
        <v>195</v>
      </c>
      <c r="G1639" t="s">
        <v>78</v>
      </c>
      <c r="H1639" t="s">
        <v>79</v>
      </c>
      <c r="I1639" t="s">
        <v>80</v>
      </c>
      <c r="J1639" t="s">
        <v>196</v>
      </c>
      <c r="K1639" t="s">
        <v>13</v>
      </c>
      <c r="L1639" t="s">
        <v>83</v>
      </c>
      <c r="M1639" t="s">
        <v>205</v>
      </c>
      <c r="N1639">
        <v>1</v>
      </c>
      <c r="O1639" t="b">
        <v>1</v>
      </c>
      <c r="P1639">
        <v>0</v>
      </c>
      <c r="BB1639">
        <v>0</v>
      </c>
      <c r="BC1639" t="s">
        <v>197</v>
      </c>
      <c r="BD1639" t="s">
        <v>198</v>
      </c>
      <c r="BE1639" t="s">
        <v>117</v>
      </c>
      <c r="BF1639">
        <v>0</v>
      </c>
      <c r="BG1639">
        <v>0</v>
      </c>
      <c r="BH1639">
        <v>0</v>
      </c>
    </row>
    <row r="1640" spans="1:61">
      <c r="A1640" s="164" t="s">
        <v>3993</v>
      </c>
      <c r="B1640" t="s">
        <v>3994</v>
      </c>
      <c r="C1640">
        <v>0</v>
      </c>
      <c r="D1640" t="s">
        <v>194</v>
      </c>
      <c r="E1640">
        <v>0</v>
      </c>
      <c r="F1640" t="s">
        <v>195</v>
      </c>
      <c r="G1640" t="s">
        <v>78</v>
      </c>
      <c r="H1640" t="s">
        <v>79</v>
      </c>
      <c r="I1640" t="s">
        <v>80</v>
      </c>
      <c r="J1640" t="s">
        <v>196</v>
      </c>
      <c r="K1640" t="s">
        <v>13</v>
      </c>
      <c r="L1640" t="s">
        <v>83</v>
      </c>
      <c r="M1640" t="s">
        <v>205</v>
      </c>
      <c r="N1640">
        <v>1</v>
      </c>
      <c r="O1640" t="b">
        <v>1</v>
      </c>
      <c r="P1640">
        <v>0</v>
      </c>
      <c r="BB1640">
        <v>0</v>
      </c>
      <c r="BC1640" t="s">
        <v>197</v>
      </c>
      <c r="BD1640" t="s">
        <v>198</v>
      </c>
      <c r="BE1640" t="s">
        <v>117</v>
      </c>
      <c r="BF1640">
        <v>0</v>
      </c>
      <c r="BG1640">
        <v>0</v>
      </c>
      <c r="BH1640">
        <v>0</v>
      </c>
    </row>
    <row r="1641" spans="1:61">
      <c r="A1641" s="164" t="s">
        <v>3995</v>
      </c>
      <c r="B1641" t="s">
        <v>3996</v>
      </c>
      <c r="C1641">
        <v>0</v>
      </c>
      <c r="D1641" t="s">
        <v>194</v>
      </c>
      <c r="E1641">
        <v>0</v>
      </c>
      <c r="F1641" t="s">
        <v>195</v>
      </c>
      <c r="G1641" t="s">
        <v>78</v>
      </c>
      <c r="H1641" t="s">
        <v>79</v>
      </c>
      <c r="I1641" t="s">
        <v>80</v>
      </c>
      <c r="J1641" t="s">
        <v>196</v>
      </c>
      <c r="K1641" t="s">
        <v>13</v>
      </c>
      <c r="L1641" t="s">
        <v>83</v>
      </c>
      <c r="M1641" t="s">
        <v>205</v>
      </c>
      <c r="N1641">
        <v>1</v>
      </c>
      <c r="O1641" t="b">
        <v>1</v>
      </c>
      <c r="P1641">
        <v>0</v>
      </c>
      <c r="BB1641">
        <v>0</v>
      </c>
      <c r="BC1641" t="s">
        <v>197</v>
      </c>
      <c r="BD1641" t="s">
        <v>198</v>
      </c>
      <c r="BE1641" t="s">
        <v>117</v>
      </c>
      <c r="BF1641">
        <v>0</v>
      </c>
      <c r="BG1641">
        <v>0</v>
      </c>
      <c r="BH1641">
        <v>0</v>
      </c>
    </row>
    <row r="1642" spans="1:61">
      <c r="A1642" s="164" t="s">
        <v>3997</v>
      </c>
      <c r="B1642" t="s">
        <v>3998</v>
      </c>
      <c r="C1642">
        <v>0</v>
      </c>
      <c r="D1642" t="s">
        <v>194</v>
      </c>
      <c r="E1642">
        <v>0</v>
      </c>
      <c r="F1642" t="s">
        <v>195</v>
      </c>
      <c r="G1642" t="s">
        <v>78</v>
      </c>
      <c r="H1642" t="s">
        <v>79</v>
      </c>
      <c r="I1642" t="s">
        <v>80</v>
      </c>
      <c r="J1642" t="s">
        <v>196</v>
      </c>
      <c r="K1642" t="s">
        <v>13</v>
      </c>
      <c r="L1642" t="s">
        <v>83</v>
      </c>
      <c r="M1642" t="s">
        <v>84</v>
      </c>
      <c r="N1642">
        <v>1</v>
      </c>
      <c r="O1642" t="b">
        <v>1</v>
      </c>
      <c r="P1642">
        <v>0</v>
      </c>
      <c r="BB1642">
        <v>0</v>
      </c>
      <c r="BC1642" t="s">
        <v>197</v>
      </c>
      <c r="BD1642" t="s">
        <v>198</v>
      </c>
      <c r="BE1642" t="s">
        <v>117</v>
      </c>
      <c r="BF1642">
        <v>0</v>
      </c>
      <c r="BG1642">
        <v>0</v>
      </c>
      <c r="BH1642">
        <v>0</v>
      </c>
    </row>
    <row r="1643" spans="1:61">
      <c r="A1643" s="164" t="s">
        <v>3999</v>
      </c>
      <c r="B1643" t="s">
        <v>4000</v>
      </c>
      <c r="C1643">
        <v>0</v>
      </c>
      <c r="D1643" t="s">
        <v>194</v>
      </c>
      <c r="E1643">
        <v>0</v>
      </c>
      <c r="F1643" t="s">
        <v>195</v>
      </c>
      <c r="G1643" t="s">
        <v>78</v>
      </c>
      <c r="H1643" t="s">
        <v>79</v>
      </c>
      <c r="I1643" t="s">
        <v>80</v>
      </c>
      <c r="J1643" t="s">
        <v>196</v>
      </c>
      <c r="K1643" t="s">
        <v>13</v>
      </c>
      <c r="L1643" t="s">
        <v>83</v>
      </c>
      <c r="M1643" t="s">
        <v>205</v>
      </c>
      <c r="N1643">
        <v>1</v>
      </c>
      <c r="O1643" t="b">
        <v>1</v>
      </c>
      <c r="P1643">
        <v>0</v>
      </c>
      <c r="BB1643">
        <v>0</v>
      </c>
      <c r="BC1643" t="s">
        <v>197</v>
      </c>
      <c r="BD1643" t="s">
        <v>198</v>
      </c>
      <c r="BE1643" t="s">
        <v>117</v>
      </c>
      <c r="BF1643">
        <v>0</v>
      </c>
      <c r="BG1643">
        <v>0</v>
      </c>
      <c r="BH1643">
        <v>0</v>
      </c>
    </row>
    <row r="1644" spans="1:61">
      <c r="A1644" s="164" t="s">
        <v>4001</v>
      </c>
      <c r="B1644" t="s">
        <v>4002</v>
      </c>
      <c r="C1644">
        <v>0</v>
      </c>
      <c r="D1644" t="s">
        <v>194</v>
      </c>
      <c r="E1644">
        <v>0</v>
      </c>
      <c r="F1644" t="s">
        <v>214</v>
      </c>
      <c r="G1644" t="s">
        <v>78</v>
      </c>
      <c r="H1644" t="s">
        <v>79</v>
      </c>
      <c r="I1644" t="s">
        <v>80</v>
      </c>
      <c r="J1644" t="s">
        <v>196</v>
      </c>
      <c r="K1644" t="s">
        <v>13</v>
      </c>
      <c r="L1644" t="s">
        <v>83</v>
      </c>
      <c r="M1644" t="s">
        <v>84</v>
      </c>
      <c r="N1644">
        <v>1</v>
      </c>
      <c r="O1644" t="b">
        <v>1</v>
      </c>
      <c r="P1644">
        <v>0</v>
      </c>
      <c r="BB1644">
        <v>0</v>
      </c>
      <c r="BC1644" t="s">
        <v>197</v>
      </c>
      <c r="BD1644" t="s">
        <v>216</v>
      </c>
      <c r="BE1644" t="s">
        <v>117</v>
      </c>
      <c r="BF1644">
        <v>0</v>
      </c>
      <c r="BG1644">
        <v>0</v>
      </c>
      <c r="BH1644">
        <v>0</v>
      </c>
    </row>
    <row r="1645" spans="1:61">
      <c r="A1645" s="164" t="s">
        <v>4003</v>
      </c>
      <c r="B1645" t="s">
        <v>4004</v>
      </c>
      <c r="C1645">
        <v>0</v>
      </c>
      <c r="D1645" t="s">
        <v>194</v>
      </c>
      <c r="E1645">
        <v>0</v>
      </c>
      <c r="F1645" t="s">
        <v>214</v>
      </c>
      <c r="G1645" t="s">
        <v>78</v>
      </c>
      <c r="H1645" t="s">
        <v>79</v>
      </c>
      <c r="I1645" t="s">
        <v>80</v>
      </c>
      <c r="J1645" t="s">
        <v>196</v>
      </c>
      <c r="K1645" t="s">
        <v>13</v>
      </c>
      <c r="L1645" t="s">
        <v>83</v>
      </c>
      <c r="M1645" t="s">
        <v>215</v>
      </c>
      <c r="N1645">
        <v>1</v>
      </c>
      <c r="O1645" t="b">
        <v>1</v>
      </c>
      <c r="P1645">
        <v>0</v>
      </c>
      <c r="BB1645">
        <v>0</v>
      </c>
      <c r="BC1645" t="s">
        <v>197</v>
      </c>
      <c r="BD1645" t="s">
        <v>216</v>
      </c>
      <c r="BE1645" t="s">
        <v>117</v>
      </c>
      <c r="BF1645">
        <v>0</v>
      </c>
      <c r="BG1645">
        <v>0</v>
      </c>
      <c r="BH1645">
        <v>0</v>
      </c>
    </row>
    <row r="1646" spans="1:61">
      <c r="A1646" s="164" t="s">
        <v>4005</v>
      </c>
      <c r="B1646" t="s">
        <v>4006</v>
      </c>
      <c r="C1646">
        <v>0</v>
      </c>
      <c r="D1646" t="s">
        <v>107</v>
      </c>
      <c r="E1646">
        <v>0</v>
      </c>
      <c r="F1646" t="s">
        <v>108</v>
      </c>
      <c r="G1646" t="s">
        <v>103</v>
      </c>
      <c r="H1646" t="s">
        <v>104</v>
      </c>
      <c r="I1646" t="s">
        <v>80</v>
      </c>
      <c r="J1646" t="s">
        <v>109</v>
      </c>
      <c r="K1646" t="s">
        <v>110</v>
      </c>
      <c r="L1646" t="s">
        <v>111</v>
      </c>
      <c r="M1646" t="s">
        <v>84</v>
      </c>
      <c r="N1646">
        <v>6.3</v>
      </c>
      <c r="O1646" t="b">
        <v>0</v>
      </c>
      <c r="P1646">
        <v>45</v>
      </c>
      <c r="Q1646" t="s">
        <v>85</v>
      </c>
      <c r="S1646">
        <v>0</v>
      </c>
      <c r="T1646">
        <v>0</v>
      </c>
      <c r="V1646" t="s">
        <v>87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F1646" t="s">
        <v>3568</v>
      </c>
      <c r="AH1646">
        <v>0</v>
      </c>
      <c r="AI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 t="s">
        <v>4007</v>
      </c>
      <c r="AY1646">
        <v>0</v>
      </c>
      <c r="AZ1646">
        <v>0</v>
      </c>
      <c r="BA1646" t="s">
        <v>94</v>
      </c>
      <c r="BB1646">
        <v>7.26</v>
      </c>
      <c r="BC1646" t="s">
        <v>115</v>
      </c>
      <c r="BD1646" t="s">
        <v>116</v>
      </c>
      <c r="BE1646" t="s">
        <v>117</v>
      </c>
      <c r="BF1646">
        <v>0</v>
      </c>
      <c r="BG1646">
        <v>0</v>
      </c>
      <c r="BH1646">
        <v>0</v>
      </c>
      <c r="BI1646" t="s">
        <v>98</v>
      </c>
    </row>
    <row r="1647" spans="1:61">
      <c r="A1647" s="164" t="s">
        <v>4008</v>
      </c>
      <c r="B1647" t="s">
        <v>4009</v>
      </c>
      <c r="C1647">
        <v>0</v>
      </c>
      <c r="D1647" t="s">
        <v>76</v>
      </c>
      <c r="E1647">
        <v>0</v>
      </c>
      <c r="F1647" t="s">
        <v>972</v>
      </c>
      <c r="G1647" t="s">
        <v>103</v>
      </c>
      <c r="H1647" t="s">
        <v>104</v>
      </c>
      <c r="I1647" t="s">
        <v>80</v>
      </c>
      <c r="J1647" t="s">
        <v>81</v>
      </c>
      <c r="K1647" t="s">
        <v>82</v>
      </c>
      <c r="L1647" t="s">
        <v>83</v>
      </c>
      <c r="M1647" t="s">
        <v>84</v>
      </c>
      <c r="N1647">
        <v>0.95</v>
      </c>
      <c r="O1647" t="b">
        <v>0</v>
      </c>
      <c r="P1647">
        <v>45</v>
      </c>
      <c r="Q1647" t="s">
        <v>85</v>
      </c>
      <c r="R1647" t="s">
        <v>86</v>
      </c>
      <c r="S1647">
        <v>0.95</v>
      </c>
      <c r="T1647">
        <v>1</v>
      </c>
      <c r="U1647" s="36">
        <v>1.08839</v>
      </c>
      <c r="V1647" t="s">
        <v>87</v>
      </c>
      <c r="W1647">
        <v>24</v>
      </c>
      <c r="X1647">
        <v>0.45019999999999999</v>
      </c>
      <c r="Y1647">
        <v>18</v>
      </c>
      <c r="Z1647">
        <v>5.5555555555555552E-2</v>
      </c>
      <c r="AA1647">
        <v>30</v>
      </c>
      <c r="AB1647">
        <v>0</v>
      </c>
      <c r="AC1647">
        <v>500</v>
      </c>
      <c r="AD1647">
        <v>526.31578947368428</v>
      </c>
      <c r="AE1647" t="s">
        <v>155</v>
      </c>
      <c r="AF1647" t="s">
        <v>89</v>
      </c>
      <c r="AG1647" t="s">
        <v>90</v>
      </c>
      <c r="AH1647">
        <v>0</v>
      </c>
      <c r="AI1647">
        <v>1</v>
      </c>
      <c r="AJ1647" t="s">
        <v>91</v>
      </c>
      <c r="AK1647" t="s">
        <v>92</v>
      </c>
      <c r="AL1647" t="s">
        <v>93</v>
      </c>
      <c r="AM1647">
        <v>0.98220000000000007</v>
      </c>
      <c r="AN1647">
        <v>0</v>
      </c>
      <c r="AO1647">
        <v>0</v>
      </c>
      <c r="AP1647">
        <v>0</v>
      </c>
      <c r="AQ1647">
        <v>8.6691086691086688E-2</v>
      </c>
      <c r="AR1647">
        <v>2.6666666666666505E-3</v>
      </c>
      <c r="AS1647">
        <v>0</v>
      </c>
      <c r="AT1647">
        <v>1.0866910866910866</v>
      </c>
      <c r="AU1647">
        <v>1.0026666666666666</v>
      </c>
      <c r="AV1647">
        <v>1</v>
      </c>
      <c r="AW1647">
        <v>0</v>
      </c>
      <c r="AX1647" t="s">
        <v>4010</v>
      </c>
      <c r="AY1647">
        <v>0</v>
      </c>
      <c r="AZ1647">
        <v>0</v>
      </c>
      <c r="BA1647" t="s">
        <v>94</v>
      </c>
      <c r="BB1647">
        <v>0</v>
      </c>
      <c r="BC1647" t="s">
        <v>95</v>
      </c>
      <c r="BD1647" t="s">
        <v>96</v>
      </c>
      <c r="BE1647" t="s">
        <v>97</v>
      </c>
      <c r="BF1647">
        <v>0</v>
      </c>
      <c r="BG1647">
        <v>0</v>
      </c>
      <c r="BH1647">
        <v>0</v>
      </c>
      <c r="BI1647" t="s">
        <v>98</v>
      </c>
    </row>
    <row r="1648" spans="1:61">
      <c r="A1648" s="164" t="s">
        <v>4011</v>
      </c>
      <c r="B1648" t="s">
        <v>4012</v>
      </c>
      <c r="C1648">
        <v>0</v>
      </c>
      <c r="D1648" t="s">
        <v>107</v>
      </c>
      <c r="E1648">
        <v>0</v>
      </c>
      <c r="F1648" t="s">
        <v>1730</v>
      </c>
      <c r="G1648" t="s">
        <v>78</v>
      </c>
      <c r="H1648" t="s">
        <v>79</v>
      </c>
      <c r="I1648" t="s">
        <v>80</v>
      </c>
      <c r="J1648" t="s">
        <v>81</v>
      </c>
      <c r="K1648" t="s">
        <v>82</v>
      </c>
      <c r="L1648" t="s">
        <v>83</v>
      </c>
      <c r="M1648" t="s">
        <v>84</v>
      </c>
      <c r="N1648">
        <v>1.7</v>
      </c>
      <c r="O1648" t="b">
        <v>1</v>
      </c>
      <c r="P1648">
        <v>45</v>
      </c>
      <c r="Q1648" t="s">
        <v>85</v>
      </c>
      <c r="R1648" t="s">
        <v>86</v>
      </c>
      <c r="S1648">
        <v>1.7</v>
      </c>
      <c r="T1648">
        <v>1</v>
      </c>
      <c r="U1648" s="36">
        <v>1.751825</v>
      </c>
      <c r="V1648" t="s">
        <v>87</v>
      </c>
      <c r="W1648">
        <v>24</v>
      </c>
      <c r="X1648">
        <v>0.45019999999999999</v>
      </c>
      <c r="Y1648">
        <v>12</v>
      </c>
      <c r="Z1648">
        <v>8.3333333333333329E-2</v>
      </c>
      <c r="AA1648">
        <v>30</v>
      </c>
      <c r="AB1648">
        <v>0</v>
      </c>
      <c r="AC1648">
        <v>500</v>
      </c>
      <c r="AD1648">
        <v>294.11764705882354</v>
      </c>
      <c r="AE1648" t="s">
        <v>155</v>
      </c>
      <c r="AF1648" t="s">
        <v>113</v>
      </c>
      <c r="AG1648" t="s">
        <v>114</v>
      </c>
      <c r="AH1648">
        <v>0</v>
      </c>
      <c r="AI1648">
        <v>0.9</v>
      </c>
      <c r="AJ1648" t="s">
        <v>91</v>
      </c>
      <c r="AK1648" t="s">
        <v>92</v>
      </c>
      <c r="AL1648" t="s">
        <v>93</v>
      </c>
      <c r="AM1648">
        <v>0.34043629629629629</v>
      </c>
      <c r="AN1648">
        <v>0.22695753086419751</v>
      </c>
      <c r="AO1648">
        <v>0.35178417283950614</v>
      </c>
      <c r="AP1648">
        <v>0</v>
      </c>
      <c r="AQ1648">
        <v>8.6691086691086688E-2</v>
      </c>
      <c r="AR1648">
        <v>2.6666666666666505E-3</v>
      </c>
      <c r="AS1648">
        <v>0</v>
      </c>
      <c r="AT1648">
        <v>1.0866910866910866</v>
      </c>
      <c r="AU1648">
        <v>1.0026666666666666</v>
      </c>
      <c r="AV1648">
        <v>1</v>
      </c>
      <c r="AW1648">
        <v>0</v>
      </c>
      <c r="AX1648" t="s">
        <v>4013</v>
      </c>
      <c r="AY1648">
        <v>83.4</v>
      </c>
      <c r="AZ1648">
        <v>7</v>
      </c>
      <c r="BA1648" t="s">
        <v>94</v>
      </c>
      <c r="BB1648">
        <v>4.57</v>
      </c>
      <c r="BC1648" t="s">
        <v>95</v>
      </c>
      <c r="BD1648" t="s">
        <v>96</v>
      </c>
      <c r="BE1648" t="s">
        <v>97</v>
      </c>
      <c r="BF1648">
        <v>1</v>
      </c>
      <c r="BG1648">
        <v>0</v>
      </c>
      <c r="BH1648">
        <v>0</v>
      </c>
      <c r="BI1648" t="s">
        <v>98</v>
      </c>
    </row>
    <row r="1649" spans="1:61">
      <c r="A1649" s="164" t="s">
        <v>4014</v>
      </c>
      <c r="B1649" t="s">
        <v>4015</v>
      </c>
      <c r="C1649">
        <v>0</v>
      </c>
      <c r="D1649" t="s">
        <v>175</v>
      </c>
      <c r="E1649">
        <v>0</v>
      </c>
      <c r="F1649" t="s">
        <v>1223</v>
      </c>
      <c r="G1649" t="s">
        <v>78</v>
      </c>
      <c r="H1649" t="s">
        <v>79</v>
      </c>
      <c r="I1649" t="s">
        <v>80</v>
      </c>
      <c r="J1649" t="s">
        <v>163</v>
      </c>
      <c r="K1649" t="s">
        <v>82</v>
      </c>
      <c r="L1649" t="s">
        <v>83</v>
      </c>
      <c r="M1649" t="s">
        <v>84</v>
      </c>
      <c r="N1649">
        <v>7.4999999999999997E-2</v>
      </c>
      <c r="O1649" t="b">
        <v>1</v>
      </c>
      <c r="P1649">
        <v>30</v>
      </c>
      <c r="Q1649" t="s">
        <v>137</v>
      </c>
      <c r="S1649">
        <v>0</v>
      </c>
      <c r="T1649">
        <v>1</v>
      </c>
      <c r="U1649" s="36">
        <v>0.62214499999999995</v>
      </c>
      <c r="V1649" t="s">
        <v>165</v>
      </c>
      <c r="X1649">
        <v>0</v>
      </c>
      <c r="Y1649">
        <v>240</v>
      </c>
      <c r="Z1649">
        <v>4.1666666666666666E-3</v>
      </c>
      <c r="AA1649">
        <v>35</v>
      </c>
      <c r="AB1649">
        <v>0</v>
      </c>
      <c r="AC1649">
        <v>0</v>
      </c>
      <c r="AE1649" t="s">
        <v>129</v>
      </c>
      <c r="AF1649" t="s">
        <v>1223</v>
      </c>
      <c r="AG1649" t="s">
        <v>129</v>
      </c>
      <c r="AH1649">
        <v>0</v>
      </c>
      <c r="AI1649">
        <v>9.5</v>
      </c>
      <c r="AJ1649" t="s">
        <v>177</v>
      </c>
      <c r="AM1649">
        <v>0</v>
      </c>
      <c r="AN1649">
        <v>0</v>
      </c>
      <c r="AO1649">
        <v>0</v>
      </c>
      <c r="AP1649">
        <v>0</v>
      </c>
      <c r="AQ1649">
        <v>2.8571428571428564E-2</v>
      </c>
      <c r="AR1649">
        <v>0</v>
      </c>
      <c r="AS1649">
        <v>0</v>
      </c>
      <c r="AT1649">
        <v>1.0285714285714285</v>
      </c>
      <c r="AU1649">
        <v>0</v>
      </c>
      <c r="AV1649">
        <v>0</v>
      </c>
      <c r="AW1649">
        <v>0</v>
      </c>
      <c r="AX1649" t="s">
        <v>1601</v>
      </c>
      <c r="AY1649">
        <v>2.2313999999999998</v>
      </c>
      <c r="AZ1649">
        <v>0</v>
      </c>
      <c r="BA1649" t="s">
        <v>138</v>
      </c>
      <c r="BB1649">
        <v>0</v>
      </c>
      <c r="BC1649" t="s">
        <v>95</v>
      </c>
      <c r="BD1649" t="s">
        <v>96</v>
      </c>
      <c r="BE1649" t="s">
        <v>97</v>
      </c>
      <c r="BF1649">
        <v>1</v>
      </c>
      <c r="BG1649">
        <v>0</v>
      </c>
      <c r="BH1649">
        <v>0</v>
      </c>
      <c r="BI1649" t="s">
        <v>98</v>
      </c>
    </row>
    <row r="1650" spans="1:61">
      <c r="A1650" s="164" t="s">
        <v>4016</v>
      </c>
      <c r="B1650" t="s">
        <v>4017</v>
      </c>
      <c r="C1650">
        <v>0</v>
      </c>
      <c r="D1650" t="s">
        <v>76</v>
      </c>
      <c r="E1650">
        <v>0</v>
      </c>
      <c r="F1650" t="s">
        <v>972</v>
      </c>
      <c r="G1650" t="s">
        <v>78</v>
      </c>
      <c r="H1650" t="s">
        <v>79</v>
      </c>
      <c r="I1650" t="s">
        <v>80</v>
      </c>
      <c r="J1650" t="s">
        <v>81</v>
      </c>
      <c r="K1650" t="s">
        <v>82</v>
      </c>
      <c r="L1650" t="s">
        <v>83</v>
      </c>
      <c r="M1650" t="s">
        <v>84</v>
      </c>
      <c r="N1650">
        <v>1.65</v>
      </c>
      <c r="O1650" t="b">
        <v>1</v>
      </c>
      <c r="P1650">
        <v>45</v>
      </c>
      <c r="Q1650" t="s">
        <v>85</v>
      </c>
      <c r="R1650" t="s">
        <v>86</v>
      </c>
      <c r="U1650" s="36">
        <v>2.0279499999999997</v>
      </c>
      <c r="V1650" t="s">
        <v>87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F1650" t="s">
        <v>89</v>
      </c>
      <c r="AH1650">
        <v>0</v>
      </c>
      <c r="AI1650">
        <v>1</v>
      </c>
      <c r="AX1650" t="s">
        <v>4018</v>
      </c>
      <c r="AY1650">
        <v>0</v>
      </c>
      <c r="AZ1650">
        <v>3</v>
      </c>
      <c r="BA1650" t="s">
        <v>94</v>
      </c>
      <c r="BB1650">
        <v>5.08</v>
      </c>
      <c r="BC1650" t="s">
        <v>95</v>
      </c>
      <c r="BD1650" t="s">
        <v>96</v>
      </c>
      <c r="BE1650" t="s">
        <v>97</v>
      </c>
      <c r="BF1650">
        <v>1</v>
      </c>
      <c r="BG1650">
        <v>0</v>
      </c>
      <c r="BH1650">
        <v>0</v>
      </c>
      <c r="BI1650" t="s">
        <v>98</v>
      </c>
    </row>
    <row r="1651" spans="1:61">
      <c r="A1651" s="164" t="s">
        <v>4019</v>
      </c>
      <c r="B1651" t="s">
        <v>4020</v>
      </c>
      <c r="C1651">
        <v>0</v>
      </c>
      <c r="D1651" t="s">
        <v>107</v>
      </c>
      <c r="E1651">
        <v>0</v>
      </c>
      <c r="F1651" t="s">
        <v>499</v>
      </c>
      <c r="G1651" t="s">
        <v>78</v>
      </c>
      <c r="H1651" t="s">
        <v>79</v>
      </c>
      <c r="I1651" t="s">
        <v>80</v>
      </c>
      <c r="J1651" t="s">
        <v>81</v>
      </c>
      <c r="K1651" t="s">
        <v>82</v>
      </c>
      <c r="L1651" t="s">
        <v>83</v>
      </c>
      <c r="M1651" t="s">
        <v>84</v>
      </c>
      <c r="N1651">
        <v>0.18</v>
      </c>
      <c r="O1651" t="b">
        <v>1</v>
      </c>
      <c r="P1651">
        <v>45</v>
      </c>
      <c r="Q1651" t="s">
        <v>85</v>
      </c>
      <c r="U1651" s="36">
        <v>0.24412500000000001</v>
      </c>
      <c r="V1651" t="s">
        <v>87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F1651" t="s">
        <v>113</v>
      </c>
      <c r="AH1651">
        <v>0</v>
      </c>
      <c r="AI1651">
        <v>0.9</v>
      </c>
      <c r="AX1651" t="s">
        <v>922</v>
      </c>
      <c r="AY1651">
        <v>0</v>
      </c>
      <c r="AZ1651">
        <v>0</v>
      </c>
      <c r="BA1651" t="s">
        <v>94</v>
      </c>
      <c r="BB1651">
        <v>0.68</v>
      </c>
      <c r="BC1651" t="s">
        <v>95</v>
      </c>
      <c r="BD1651" t="s">
        <v>96</v>
      </c>
      <c r="BE1651" t="s">
        <v>97</v>
      </c>
      <c r="BF1651">
        <v>1</v>
      </c>
      <c r="BG1651">
        <v>0</v>
      </c>
      <c r="BH1651">
        <v>0</v>
      </c>
      <c r="BI1651" t="s">
        <v>98</v>
      </c>
    </row>
    <row r="1652" spans="1:61">
      <c r="A1652" s="164" t="s">
        <v>4021</v>
      </c>
      <c r="B1652" t="s">
        <v>4022</v>
      </c>
      <c r="C1652">
        <v>0</v>
      </c>
      <c r="D1652" t="s">
        <v>107</v>
      </c>
      <c r="E1652">
        <v>0</v>
      </c>
      <c r="F1652" t="s">
        <v>496</v>
      </c>
      <c r="G1652" t="s">
        <v>103</v>
      </c>
      <c r="H1652" t="s">
        <v>104</v>
      </c>
      <c r="I1652" t="s">
        <v>80</v>
      </c>
      <c r="J1652" t="s">
        <v>81</v>
      </c>
      <c r="K1652" t="s">
        <v>468</v>
      </c>
      <c r="L1652" t="s">
        <v>111</v>
      </c>
      <c r="M1652" t="s">
        <v>84</v>
      </c>
      <c r="N1652">
        <v>0.84</v>
      </c>
      <c r="O1652" t="b">
        <v>0</v>
      </c>
      <c r="P1652">
        <v>45</v>
      </c>
      <c r="Q1652" t="s">
        <v>85</v>
      </c>
      <c r="S1652">
        <v>0</v>
      </c>
      <c r="T1652">
        <v>1</v>
      </c>
      <c r="V1652" t="s">
        <v>87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G1652" t="s">
        <v>129</v>
      </c>
      <c r="AH1652">
        <v>0</v>
      </c>
      <c r="AI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Y1652">
        <v>0</v>
      </c>
      <c r="AZ1652">
        <v>5</v>
      </c>
      <c r="BA1652" t="s">
        <v>94</v>
      </c>
      <c r="BB1652">
        <v>0</v>
      </c>
      <c r="BC1652" t="s">
        <v>95</v>
      </c>
      <c r="BD1652" t="s">
        <v>469</v>
      </c>
      <c r="BE1652" t="s">
        <v>97</v>
      </c>
      <c r="BF1652">
        <v>0</v>
      </c>
      <c r="BG1652">
        <v>0</v>
      </c>
      <c r="BH1652">
        <v>0</v>
      </c>
      <c r="BI1652" t="s">
        <v>98</v>
      </c>
    </row>
    <row r="1653" spans="1:61">
      <c r="A1653" s="164" t="s">
        <v>4023</v>
      </c>
      <c r="B1653" t="s">
        <v>4024</v>
      </c>
      <c r="C1653">
        <v>0</v>
      </c>
      <c r="D1653" t="s">
        <v>194</v>
      </c>
      <c r="E1653">
        <v>0</v>
      </c>
      <c r="F1653" t="s">
        <v>195</v>
      </c>
      <c r="G1653" t="s">
        <v>78</v>
      </c>
      <c r="H1653" t="s">
        <v>79</v>
      </c>
      <c r="I1653" t="s">
        <v>80</v>
      </c>
      <c r="J1653" t="s">
        <v>196</v>
      </c>
      <c r="K1653" t="s">
        <v>13</v>
      </c>
      <c r="L1653" t="s">
        <v>83</v>
      </c>
      <c r="M1653" t="s">
        <v>205</v>
      </c>
      <c r="N1653">
        <v>1</v>
      </c>
      <c r="O1653" t="b">
        <v>1</v>
      </c>
      <c r="P1653">
        <v>0</v>
      </c>
      <c r="BB1653">
        <v>0</v>
      </c>
      <c r="BC1653" t="s">
        <v>197</v>
      </c>
      <c r="BD1653" t="s">
        <v>198</v>
      </c>
      <c r="BE1653" t="s">
        <v>117</v>
      </c>
      <c r="BF1653">
        <v>0</v>
      </c>
      <c r="BG1653">
        <v>0</v>
      </c>
      <c r="BH1653">
        <v>0</v>
      </c>
    </row>
    <row r="1654" spans="1:61">
      <c r="A1654" s="164" t="s">
        <v>4025</v>
      </c>
      <c r="B1654" t="s">
        <v>4026</v>
      </c>
      <c r="C1654">
        <v>0</v>
      </c>
      <c r="D1654" t="s">
        <v>194</v>
      </c>
      <c r="E1654">
        <v>0</v>
      </c>
      <c r="F1654" t="s">
        <v>214</v>
      </c>
      <c r="G1654" t="s">
        <v>78</v>
      </c>
      <c r="H1654" t="s">
        <v>79</v>
      </c>
      <c r="I1654" t="s">
        <v>80</v>
      </c>
      <c r="J1654" t="s">
        <v>196</v>
      </c>
      <c r="K1654" t="s">
        <v>13</v>
      </c>
      <c r="L1654" t="s">
        <v>83</v>
      </c>
      <c r="M1654" t="s">
        <v>215</v>
      </c>
      <c r="N1654">
        <v>1</v>
      </c>
      <c r="O1654" t="b">
        <v>1</v>
      </c>
      <c r="P1654">
        <v>0</v>
      </c>
      <c r="BB1654">
        <v>0</v>
      </c>
      <c r="BC1654" t="s">
        <v>197</v>
      </c>
      <c r="BD1654" t="s">
        <v>216</v>
      </c>
      <c r="BE1654" t="s">
        <v>117</v>
      </c>
      <c r="BF1654">
        <v>0</v>
      </c>
      <c r="BG1654">
        <v>0</v>
      </c>
      <c r="BH1654">
        <v>0</v>
      </c>
    </row>
    <row r="1655" spans="1:61">
      <c r="A1655" s="164" t="s">
        <v>4027</v>
      </c>
      <c r="B1655" t="s">
        <v>4028</v>
      </c>
      <c r="C1655">
        <v>0</v>
      </c>
      <c r="D1655" t="s">
        <v>194</v>
      </c>
      <c r="E1655">
        <v>0</v>
      </c>
      <c r="F1655" t="s">
        <v>195</v>
      </c>
      <c r="G1655" t="s">
        <v>78</v>
      </c>
      <c r="H1655" t="s">
        <v>79</v>
      </c>
      <c r="I1655" t="s">
        <v>80</v>
      </c>
      <c r="J1655" t="s">
        <v>196</v>
      </c>
      <c r="K1655" t="s">
        <v>13</v>
      </c>
      <c r="L1655" t="s">
        <v>83</v>
      </c>
      <c r="M1655" t="s">
        <v>205</v>
      </c>
      <c r="N1655">
        <v>1</v>
      </c>
      <c r="O1655" t="b">
        <v>1</v>
      </c>
      <c r="P1655">
        <v>0</v>
      </c>
      <c r="BB1655">
        <v>0</v>
      </c>
      <c r="BC1655" t="s">
        <v>197</v>
      </c>
      <c r="BD1655" t="s">
        <v>198</v>
      </c>
      <c r="BE1655" t="s">
        <v>117</v>
      </c>
      <c r="BF1655">
        <v>0</v>
      </c>
      <c r="BG1655">
        <v>0</v>
      </c>
      <c r="BH1655">
        <v>0</v>
      </c>
    </row>
    <row r="1656" spans="1:61">
      <c r="A1656" s="164" t="s">
        <v>4029</v>
      </c>
      <c r="B1656" t="s">
        <v>4030</v>
      </c>
      <c r="C1656">
        <v>0</v>
      </c>
      <c r="D1656" t="s">
        <v>194</v>
      </c>
      <c r="E1656">
        <v>0</v>
      </c>
      <c r="F1656" t="s">
        <v>214</v>
      </c>
      <c r="G1656" t="s">
        <v>78</v>
      </c>
      <c r="H1656" t="s">
        <v>79</v>
      </c>
      <c r="I1656" t="s">
        <v>80</v>
      </c>
      <c r="J1656" t="s">
        <v>196</v>
      </c>
      <c r="K1656" t="s">
        <v>13</v>
      </c>
      <c r="L1656" t="s">
        <v>83</v>
      </c>
      <c r="M1656" t="s">
        <v>215</v>
      </c>
      <c r="N1656">
        <v>1</v>
      </c>
      <c r="O1656" t="b">
        <v>1</v>
      </c>
      <c r="P1656">
        <v>0</v>
      </c>
      <c r="BB1656">
        <v>0</v>
      </c>
      <c r="BC1656" t="s">
        <v>197</v>
      </c>
      <c r="BD1656" t="s">
        <v>216</v>
      </c>
      <c r="BE1656" t="s">
        <v>117</v>
      </c>
      <c r="BF1656">
        <v>0</v>
      </c>
      <c r="BG1656">
        <v>0</v>
      </c>
      <c r="BH1656">
        <v>0</v>
      </c>
    </row>
    <row r="1657" spans="1:61">
      <c r="A1657" s="164" t="s">
        <v>4031</v>
      </c>
      <c r="B1657" t="s">
        <v>4032</v>
      </c>
      <c r="C1657">
        <v>0</v>
      </c>
      <c r="D1657" t="s">
        <v>194</v>
      </c>
      <c r="E1657">
        <v>0</v>
      </c>
      <c r="F1657" t="s">
        <v>214</v>
      </c>
      <c r="G1657" t="s">
        <v>78</v>
      </c>
      <c r="H1657" t="s">
        <v>79</v>
      </c>
      <c r="I1657" t="s">
        <v>80</v>
      </c>
      <c r="J1657" t="s">
        <v>196</v>
      </c>
      <c r="K1657" t="s">
        <v>13</v>
      </c>
      <c r="L1657" t="s">
        <v>83</v>
      </c>
      <c r="M1657" t="s">
        <v>215</v>
      </c>
      <c r="N1657">
        <v>1</v>
      </c>
      <c r="O1657" t="b">
        <v>1</v>
      </c>
      <c r="P1657">
        <v>0</v>
      </c>
      <c r="BB1657">
        <v>0</v>
      </c>
      <c r="BC1657" t="s">
        <v>197</v>
      </c>
      <c r="BD1657" t="s">
        <v>216</v>
      </c>
      <c r="BE1657" t="s">
        <v>117</v>
      </c>
      <c r="BF1657">
        <v>0</v>
      </c>
      <c r="BG1657">
        <v>0</v>
      </c>
      <c r="BH1657">
        <v>0</v>
      </c>
    </row>
    <row r="1658" spans="1:61">
      <c r="A1658" s="164" t="s">
        <v>4033</v>
      </c>
      <c r="B1658" t="s">
        <v>4034</v>
      </c>
      <c r="C1658">
        <v>0</v>
      </c>
      <c r="D1658" t="s">
        <v>194</v>
      </c>
      <c r="E1658">
        <v>0</v>
      </c>
      <c r="F1658" t="s">
        <v>195</v>
      </c>
      <c r="G1658" t="s">
        <v>78</v>
      </c>
      <c r="H1658" t="s">
        <v>79</v>
      </c>
      <c r="I1658" t="s">
        <v>80</v>
      </c>
      <c r="J1658" t="s">
        <v>196</v>
      </c>
      <c r="K1658" t="s">
        <v>13</v>
      </c>
      <c r="L1658" t="s">
        <v>83</v>
      </c>
      <c r="M1658" t="s">
        <v>84</v>
      </c>
      <c r="N1658">
        <v>1</v>
      </c>
      <c r="O1658" t="b">
        <v>1</v>
      </c>
      <c r="P1658">
        <v>0</v>
      </c>
      <c r="BB1658">
        <v>0</v>
      </c>
      <c r="BC1658" t="s">
        <v>197</v>
      </c>
      <c r="BD1658" t="s">
        <v>198</v>
      </c>
      <c r="BE1658" t="s">
        <v>117</v>
      </c>
      <c r="BF1658">
        <v>0</v>
      </c>
      <c r="BG1658">
        <v>0</v>
      </c>
      <c r="BH1658">
        <v>0</v>
      </c>
    </row>
    <row r="1659" spans="1:61">
      <c r="A1659" s="164" t="s">
        <v>4035</v>
      </c>
      <c r="B1659" t="s">
        <v>4036</v>
      </c>
      <c r="C1659">
        <v>0</v>
      </c>
      <c r="D1659" t="s">
        <v>194</v>
      </c>
      <c r="E1659">
        <v>0</v>
      </c>
      <c r="F1659" t="s">
        <v>214</v>
      </c>
      <c r="G1659" t="s">
        <v>78</v>
      </c>
      <c r="H1659" t="s">
        <v>79</v>
      </c>
      <c r="I1659" t="s">
        <v>80</v>
      </c>
      <c r="J1659" t="s">
        <v>196</v>
      </c>
      <c r="K1659" t="s">
        <v>13</v>
      </c>
      <c r="L1659" t="s">
        <v>83</v>
      </c>
      <c r="M1659" t="s">
        <v>215</v>
      </c>
      <c r="N1659">
        <v>1</v>
      </c>
      <c r="O1659" t="b">
        <v>1</v>
      </c>
      <c r="P1659">
        <v>0</v>
      </c>
      <c r="BB1659">
        <v>0</v>
      </c>
      <c r="BC1659" t="s">
        <v>197</v>
      </c>
      <c r="BD1659" t="s">
        <v>216</v>
      </c>
      <c r="BE1659" t="s">
        <v>117</v>
      </c>
      <c r="BF1659">
        <v>0</v>
      </c>
      <c r="BG1659">
        <v>0</v>
      </c>
      <c r="BH1659">
        <v>0</v>
      </c>
    </row>
    <row r="1660" spans="1:61">
      <c r="A1660" s="164" t="s">
        <v>4037</v>
      </c>
      <c r="B1660" t="s">
        <v>4038</v>
      </c>
      <c r="C1660">
        <v>0</v>
      </c>
      <c r="D1660" t="s">
        <v>194</v>
      </c>
      <c r="E1660">
        <v>0</v>
      </c>
      <c r="F1660" t="s">
        <v>195</v>
      </c>
      <c r="G1660" t="s">
        <v>78</v>
      </c>
      <c r="H1660" t="s">
        <v>79</v>
      </c>
      <c r="I1660" t="s">
        <v>80</v>
      </c>
      <c r="J1660" t="s">
        <v>196</v>
      </c>
      <c r="K1660" t="s">
        <v>13</v>
      </c>
      <c r="L1660" t="s">
        <v>83</v>
      </c>
      <c r="M1660" t="s">
        <v>205</v>
      </c>
      <c r="N1660">
        <v>1</v>
      </c>
      <c r="O1660" t="b">
        <v>1</v>
      </c>
      <c r="P1660">
        <v>0</v>
      </c>
      <c r="BB1660">
        <v>0</v>
      </c>
      <c r="BC1660" t="s">
        <v>197</v>
      </c>
      <c r="BD1660" t="s">
        <v>198</v>
      </c>
      <c r="BE1660" t="s">
        <v>117</v>
      </c>
      <c r="BF1660">
        <v>0</v>
      </c>
      <c r="BG1660">
        <v>0</v>
      </c>
      <c r="BH1660">
        <v>0</v>
      </c>
    </row>
    <row r="1661" spans="1:61">
      <c r="A1661" s="164" t="s">
        <v>4039</v>
      </c>
      <c r="B1661" t="s">
        <v>4040</v>
      </c>
      <c r="C1661">
        <v>0</v>
      </c>
      <c r="D1661" t="s">
        <v>194</v>
      </c>
      <c r="E1661">
        <v>0</v>
      </c>
      <c r="F1661" t="s">
        <v>195</v>
      </c>
      <c r="G1661" t="s">
        <v>78</v>
      </c>
      <c r="H1661" t="s">
        <v>79</v>
      </c>
      <c r="I1661" t="s">
        <v>80</v>
      </c>
      <c r="J1661" t="s">
        <v>196</v>
      </c>
      <c r="K1661" t="s">
        <v>13</v>
      </c>
      <c r="L1661" t="s">
        <v>83</v>
      </c>
      <c r="M1661" t="s">
        <v>205</v>
      </c>
      <c r="N1661">
        <v>1</v>
      </c>
      <c r="O1661" t="b">
        <v>1</v>
      </c>
      <c r="P1661">
        <v>0</v>
      </c>
      <c r="BB1661">
        <v>0</v>
      </c>
      <c r="BC1661" t="s">
        <v>197</v>
      </c>
      <c r="BD1661" t="s">
        <v>198</v>
      </c>
      <c r="BE1661" t="s">
        <v>117</v>
      </c>
      <c r="BF1661">
        <v>0</v>
      </c>
      <c r="BG1661">
        <v>0</v>
      </c>
      <c r="BH1661">
        <v>0</v>
      </c>
    </row>
    <row r="1662" spans="1:61">
      <c r="A1662" s="164" t="s">
        <v>4041</v>
      </c>
      <c r="B1662" t="s">
        <v>4042</v>
      </c>
      <c r="C1662">
        <v>0</v>
      </c>
      <c r="D1662" t="s">
        <v>486</v>
      </c>
      <c r="E1662">
        <v>0</v>
      </c>
      <c r="F1662" t="s">
        <v>684</v>
      </c>
      <c r="G1662" t="s">
        <v>103</v>
      </c>
      <c r="H1662" t="s">
        <v>104</v>
      </c>
      <c r="I1662" t="s">
        <v>80</v>
      </c>
      <c r="J1662" t="s">
        <v>163</v>
      </c>
      <c r="K1662" t="s">
        <v>82</v>
      </c>
      <c r="L1662" t="s">
        <v>83</v>
      </c>
      <c r="M1662" t="s">
        <v>84</v>
      </c>
      <c r="N1662">
        <v>0.15</v>
      </c>
      <c r="O1662" t="b">
        <v>0</v>
      </c>
      <c r="P1662">
        <v>60</v>
      </c>
      <c r="Q1662" t="s">
        <v>137</v>
      </c>
      <c r="S1662">
        <v>0.15</v>
      </c>
      <c r="T1662">
        <v>1</v>
      </c>
      <c r="V1662" t="s">
        <v>165</v>
      </c>
      <c r="X1662">
        <v>0</v>
      </c>
      <c r="Z1662">
        <v>0</v>
      </c>
      <c r="AB1662">
        <v>0</v>
      </c>
      <c r="AC1662">
        <v>0</v>
      </c>
      <c r="AE1662" t="s">
        <v>129</v>
      </c>
      <c r="AF1662" t="s">
        <v>684</v>
      </c>
      <c r="AH1662">
        <v>0</v>
      </c>
      <c r="AI1662">
        <v>10.199999999999999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Y1662">
        <v>0</v>
      </c>
      <c r="AZ1662">
        <v>0</v>
      </c>
      <c r="BA1662" t="s">
        <v>138</v>
      </c>
      <c r="BB1662">
        <v>0</v>
      </c>
      <c r="BC1662" t="s">
        <v>95</v>
      </c>
      <c r="BD1662" t="s">
        <v>96</v>
      </c>
      <c r="BE1662" t="s">
        <v>97</v>
      </c>
      <c r="BF1662">
        <v>0</v>
      </c>
      <c r="BG1662">
        <v>0</v>
      </c>
      <c r="BH1662">
        <v>0</v>
      </c>
      <c r="BI1662" t="s">
        <v>98</v>
      </c>
    </row>
    <row r="1663" spans="1:61">
      <c r="A1663" s="164" t="s">
        <v>4043</v>
      </c>
      <c r="B1663" t="s">
        <v>4044</v>
      </c>
      <c r="C1663">
        <v>0</v>
      </c>
      <c r="D1663" t="s">
        <v>76</v>
      </c>
      <c r="E1663">
        <v>0</v>
      </c>
      <c r="F1663" t="s">
        <v>972</v>
      </c>
      <c r="G1663" t="s">
        <v>78</v>
      </c>
      <c r="H1663" t="s">
        <v>79</v>
      </c>
      <c r="I1663" t="s">
        <v>80</v>
      </c>
      <c r="J1663" t="s">
        <v>81</v>
      </c>
      <c r="K1663" t="s">
        <v>82</v>
      </c>
      <c r="L1663" t="s">
        <v>83</v>
      </c>
      <c r="M1663" t="s">
        <v>84</v>
      </c>
      <c r="N1663">
        <v>1.65</v>
      </c>
      <c r="O1663" t="b">
        <v>1</v>
      </c>
      <c r="P1663">
        <v>45</v>
      </c>
      <c r="Q1663" t="s">
        <v>85</v>
      </c>
      <c r="R1663" t="s">
        <v>86</v>
      </c>
      <c r="S1663">
        <v>1.67</v>
      </c>
      <c r="T1663">
        <v>1</v>
      </c>
      <c r="U1663" s="36">
        <v>1.9335450000000001</v>
      </c>
      <c r="V1663" t="s">
        <v>87</v>
      </c>
      <c r="W1663">
        <v>125</v>
      </c>
      <c r="X1663">
        <v>0.45019999999999999</v>
      </c>
      <c r="Y1663">
        <v>12</v>
      </c>
      <c r="Z1663">
        <v>8.3333333333333329E-2</v>
      </c>
      <c r="AA1663">
        <v>30</v>
      </c>
      <c r="AB1663">
        <v>0</v>
      </c>
      <c r="AC1663">
        <v>540</v>
      </c>
      <c r="AD1663">
        <v>323.35329341317367</v>
      </c>
      <c r="AE1663" t="s">
        <v>155</v>
      </c>
      <c r="AF1663" t="s">
        <v>89</v>
      </c>
      <c r="AG1663" t="s">
        <v>90</v>
      </c>
      <c r="AH1663">
        <v>0</v>
      </c>
      <c r="AI1663">
        <v>1</v>
      </c>
      <c r="AJ1663" t="s">
        <v>91</v>
      </c>
      <c r="AK1663" t="s">
        <v>92</v>
      </c>
      <c r="AL1663" t="s">
        <v>93</v>
      </c>
      <c r="AM1663">
        <v>0.98220000000000007</v>
      </c>
      <c r="AN1663">
        <v>0</v>
      </c>
      <c r="AO1663">
        <v>0</v>
      </c>
      <c r="AP1663">
        <v>0</v>
      </c>
      <c r="AQ1663">
        <v>8.6691086691086688E-2</v>
      </c>
      <c r="AR1663">
        <v>2.6666666666666505E-3</v>
      </c>
      <c r="AS1663">
        <v>0</v>
      </c>
      <c r="AT1663">
        <v>1.0866910866910866</v>
      </c>
      <c r="AU1663">
        <v>1.0026666666666666</v>
      </c>
      <c r="AV1663">
        <v>1</v>
      </c>
      <c r="AW1663">
        <v>0</v>
      </c>
      <c r="AX1663" t="s">
        <v>1717</v>
      </c>
      <c r="AY1663">
        <v>89.4</v>
      </c>
      <c r="AZ1663">
        <v>7</v>
      </c>
      <c r="BA1663" t="s">
        <v>94</v>
      </c>
      <c r="BB1663">
        <v>5.08</v>
      </c>
      <c r="BC1663" t="s">
        <v>95</v>
      </c>
      <c r="BD1663" t="s">
        <v>96</v>
      </c>
      <c r="BE1663" t="s">
        <v>97</v>
      </c>
      <c r="BF1663">
        <v>1</v>
      </c>
      <c r="BG1663">
        <v>0</v>
      </c>
      <c r="BH1663">
        <v>0</v>
      </c>
      <c r="BI1663" t="s">
        <v>98</v>
      </c>
    </row>
    <row r="1664" spans="1:61">
      <c r="A1664" s="164" t="s">
        <v>4045</v>
      </c>
      <c r="B1664" t="s">
        <v>4046</v>
      </c>
      <c r="C1664">
        <v>0</v>
      </c>
      <c r="D1664" t="s">
        <v>1125</v>
      </c>
      <c r="E1664">
        <v>0</v>
      </c>
      <c r="F1664" t="s">
        <v>1125</v>
      </c>
      <c r="G1664" t="s">
        <v>78</v>
      </c>
      <c r="H1664" t="s">
        <v>79</v>
      </c>
      <c r="I1664" t="s">
        <v>80</v>
      </c>
      <c r="J1664" t="s">
        <v>1611</v>
      </c>
      <c r="K1664" t="s">
        <v>565</v>
      </c>
      <c r="L1664" t="s">
        <v>83</v>
      </c>
      <c r="M1664" t="s">
        <v>84</v>
      </c>
      <c r="N1664">
        <v>0.56000000000000005</v>
      </c>
      <c r="O1664" t="b">
        <v>1</v>
      </c>
      <c r="P1664">
        <v>60</v>
      </c>
      <c r="Q1664" t="s">
        <v>188</v>
      </c>
      <c r="R1664" t="s">
        <v>1126</v>
      </c>
      <c r="S1664">
        <v>0</v>
      </c>
      <c r="T1664">
        <v>1</v>
      </c>
      <c r="U1664" s="36">
        <v>1.9986900000000001</v>
      </c>
      <c r="V1664" t="s">
        <v>468</v>
      </c>
      <c r="W1664">
        <v>0</v>
      </c>
      <c r="X1664">
        <v>0</v>
      </c>
      <c r="Y1664">
        <v>6</v>
      </c>
      <c r="Z1664">
        <v>0.16666666666666666</v>
      </c>
      <c r="AA1664">
        <v>30</v>
      </c>
      <c r="AB1664">
        <v>0</v>
      </c>
      <c r="AC1664">
        <v>0</v>
      </c>
      <c r="AD1664">
        <v>0</v>
      </c>
      <c r="AG1664" t="s">
        <v>129</v>
      </c>
      <c r="AH1664">
        <v>0</v>
      </c>
      <c r="AI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 t="s">
        <v>4047</v>
      </c>
      <c r="AY1664">
        <v>4.2</v>
      </c>
      <c r="AZ1664">
        <v>1</v>
      </c>
      <c r="BA1664" t="s">
        <v>94</v>
      </c>
      <c r="BB1664">
        <v>4.3899999999999997</v>
      </c>
      <c r="BC1664" t="s">
        <v>95</v>
      </c>
      <c r="BD1664" t="s">
        <v>96</v>
      </c>
      <c r="BE1664" t="s">
        <v>97</v>
      </c>
      <c r="BF1664">
        <v>1</v>
      </c>
      <c r="BG1664">
        <v>0</v>
      </c>
      <c r="BH1664">
        <v>0</v>
      </c>
      <c r="BI1664" t="s">
        <v>98</v>
      </c>
    </row>
    <row r="1665" spans="1:61">
      <c r="A1665" s="164" t="s">
        <v>4048</v>
      </c>
      <c r="B1665" t="s">
        <v>4049</v>
      </c>
      <c r="C1665">
        <v>0</v>
      </c>
      <c r="D1665" t="s">
        <v>1125</v>
      </c>
      <c r="E1665">
        <v>0</v>
      </c>
      <c r="F1665" t="s">
        <v>1125</v>
      </c>
      <c r="G1665" t="s">
        <v>78</v>
      </c>
      <c r="H1665" t="s">
        <v>79</v>
      </c>
      <c r="I1665" t="s">
        <v>80</v>
      </c>
      <c r="J1665" t="s">
        <v>1611</v>
      </c>
      <c r="K1665" t="s">
        <v>565</v>
      </c>
      <c r="L1665" t="s">
        <v>83</v>
      </c>
      <c r="M1665" t="s">
        <v>84</v>
      </c>
      <c r="N1665">
        <v>0.56000000000000005</v>
      </c>
      <c r="O1665" t="b">
        <v>1</v>
      </c>
      <c r="P1665">
        <v>60</v>
      </c>
      <c r="Q1665" t="s">
        <v>188</v>
      </c>
      <c r="R1665" t="s">
        <v>1126</v>
      </c>
      <c r="S1665">
        <v>0</v>
      </c>
      <c r="T1665">
        <v>1</v>
      </c>
      <c r="U1665" s="36">
        <v>2.0278900000000002</v>
      </c>
      <c r="V1665" t="s">
        <v>468</v>
      </c>
      <c r="W1665">
        <v>0</v>
      </c>
      <c r="X1665">
        <v>0</v>
      </c>
      <c r="Y1665">
        <v>6</v>
      </c>
      <c r="Z1665">
        <v>0.16666666666666666</v>
      </c>
      <c r="AA1665">
        <v>30</v>
      </c>
      <c r="AB1665">
        <v>0</v>
      </c>
      <c r="AC1665">
        <v>0</v>
      </c>
      <c r="AD1665">
        <v>0</v>
      </c>
      <c r="AG1665" t="s">
        <v>129</v>
      </c>
      <c r="AH1665">
        <v>0</v>
      </c>
      <c r="AI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 t="s">
        <v>4050</v>
      </c>
      <c r="AY1665">
        <v>4.3</v>
      </c>
      <c r="AZ1665">
        <v>0</v>
      </c>
      <c r="BA1665" t="s">
        <v>94</v>
      </c>
      <c r="BB1665">
        <v>4.3899999999999997</v>
      </c>
      <c r="BC1665" t="s">
        <v>95</v>
      </c>
      <c r="BD1665" t="s">
        <v>96</v>
      </c>
      <c r="BE1665" t="s">
        <v>97</v>
      </c>
      <c r="BF1665">
        <v>1</v>
      </c>
      <c r="BG1665">
        <v>0</v>
      </c>
      <c r="BH1665">
        <v>0</v>
      </c>
      <c r="BI1665" t="s">
        <v>98</v>
      </c>
    </row>
    <row r="1666" spans="1:61">
      <c r="A1666" s="164" t="s">
        <v>4051</v>
      </c>
      <c r="B1666" t="s">
        <v>4052</v>
      </c>
      <c r="C1666">
        <v>0</v>
      </c>
      <c r="D1666" t="s">
        <v>194</v>
      </c>
      <c r="E1666">
        <v>0</v>
      </c>
      <c r="F1666" t="s">
        <v>195</v>
      </c>
      <c r="G1666" t="s">
        <v>78</v>
      </c>
      <c r="H1666" t="s">
        <v>79</v>
      </c>
      <c r="I1666" t="s">
        <v>80</v>
      </c>
      <c r="J1666" t="s">
        <v>196</v>
      </c>
      <c r="K1666" t="s">
        <v>13</v>
      </c>
      <c r="L1666" t="s">
        <v>83</v>
      </c>
      <c r="M1666" t="s">
        <v>205</v>
      </c>
      <c r="N1666">
        <v>1</v>
      </c>
      <c r="O1666" t="b">
        <v>1</v>
      </c>
      <c r="P1666">
        <v>0</v>
      </c>
      <c r="BB1666">
        <v>0</v>
      </c>
      <c r="BC1666" t="s">
        <v>197</v>
      </c>
      <c r="BD1666" t="s">
        <v>198</v>
      </c>
      <c r="BE1666" t="s">
        <v>117</v>
      </c>
      <c r="BF1666">
        <v>0</v>
      </c>
      <c r="BG1666">
        <v>0</v>
      </c>
      <c r="BH1666">
        <v>0</v>
      </c>
    </row>
    <row r="1667" spans="1:61">
      <c r="A1667" s="164" t="s">
        <v>4053</v>
      </c>
      <c r="B1667" t="s">
        <v>4054</v>
      </c>
      <c r="C1667">
        <v>0</v>
      </c>
      <c r="D1667" t="s">
        <v>194</v>
      </c>
      <c r="E1667">
        <v>0</v>
      </c>
      <c r="F1667" t="s">
        <v>195</v>
      </c>
      <c r="G1667" t="s">
        <v>78</v>
      </c>
      <c r="H1667" t="s">
        <v>79</v>
      </c>
      <c r="I1667" t="s">
        <v>80</v>
      </c>
      <c r="J1667" t="s">
        <v>196</v>
      </c>
      <c r="K1667" t="s">
        <v>13</v>
      </c>
      <c r="L1667" t="s">
        <v>83</v>
      </c>
      <c r="M1667" t="s">
        <v>205</v>
      </c>
      <c r="N1667">
        <v>1</v>
      </c>
      <c r="O1667" t="b">
        <v>1</v>
      </c>
      <c r="P1667">
        <v>0</v>
      </c>
      <c r="BB1667">
        <v>0</v>
      </c>
      <c r="BC1667" t="s">
        <v>197</v>
      </c>
      <c r="BD1667" t="s">
        <v>198</v>
      </c>
      <c r="BE1667" t="s">
        <v>117</v>
      </c>
      <c r="BF1667">
        <v>0</v>
      </c>
      <c r="BG1667">
        <v>0</v>
      </c>
      <c r="BH1667">
        <v>0</v>
      </c>
    </row>
    <row r="1668" spans="1:61">
      <c r="A1668" s="164" t="s">
        <v>4055</v>
      </c>
      <c r="B1668" t="s">
        <v>4056</v>
      </c>
      <c r="C1668">
        <v>0</v>
      </c>
      <c r="D1668" t="s">
        <v>194</v>
      </c>
      <c r="E1668">
        <v>0</v>
      </c>
      <c r="F1668" t="s">
        <v>195</v>
      </c>
      <c r="G1668" t="s">
        <v>78</v>
      </c>
      <c r="H1668" t="s">
        <v>79</v>
      </c>
      <c r="I1668" t="s">
        <v>80</v>
      </c>
      <c r="J1668" t="s">
        <v>196</v>
      </c>
      <c r="K1668" t="s">
        <v>13</v>
      </c>
      <c r="L1668" t="s">
        <v>83</v>
      </c>
      <c r="M1668" t="s">
        <v>205</v>
      </c>
      <c r="N1668">
        <v>1</v>
      </c>
      <c r="O1668" t="b">
        <v>1</v>
      </c>
      <c r="P1668">
        <v>0</v>
      </c>
      <c r="BB1668">
        <v>0</v>
      </c>
      <c r="BC1668" t="s">
        <v>197</v>
      </c>
      <c r="BD1668" t="s">
        <v>198</v>
      </c>
      <c r="BE1668" t="s">
        <v>117</v>
      </c>
      <c r="BF1668">
        <v>0</v>
      </c>
      <c r="BG1668">
        <v>0</v>
      </c>
      <c r="BH1668">
        <v>0</v>
      </c>
    </row>
    <row r="1669" spans="1:61">
      <c r="A1669" s="164" t="s">
        <v>4057</v>
      </c>
      <c r="B1669" t="s">
        <v>4058</v>
      </c>
      <c r="C1669">
        <v>0</v>
      </c>
      <c r="D1669" t="s">
        <v>194</v>
      </c>
      <c r="E1669">
        <v>0</v>
      </c>
      <c r="F1669" t="s">
        <v>1264</v>
      </c>
      <c r="G1669" t="s">
        <v>78</v>
      </c>
      <c r="H1669" t="s">
        <v>79</v>
      </c>
      <c r="I1669" t="s">
        <v>80</v>
      </c>
      <c r="J1669" t="s">
        <v>196</v>
      </c>
      <c r="K1669" t="s">
        <v>13</v>
      </c>
      <c r="L1669" t="s">
        <v>83</v>
      </c>
      <c r="M1669" t="s">
        <v>84</v>
      </c>
      <c r="N1669">
        <v>1</v>
      </c>
      <c r="O1669" t="b">
        <v>1</v>
      </c>
      <c r="P1669">
        <v>0</v>
      </c>
      <c r="BB1669">
        <v>0</v>
      </c>
      <c r="BC1669" t="s">
        <v>197</v>
      </c>
      <c r="BD1669" t="s">
        <v>1265</v>
      </c>
      <c r="BE1669" t="s">
        <v>117</v>
      </c>
      <c r="BF1669">
        <v>0</v>
      </c>
      <c r="BG1669">
        <v>0</v>
      </c>
      <c r="BH1669">
        <v>0</v>
      </c>
    </row>
    <row r="1670" spans="1:61">
      <c r="A1670" s="164" t="s">
        <v>4059</v>
      </c>
      <c r="B1670" t="s">
        <v>4060</v>
      </c>
      <c r="C1670">
        <v>0</v>
      </c>
      <c r="D1670" t="s">
        <v>194</v>
      </c>
      <c r="E1670">
        <v>0</v>
      </c>
      <c r="F1670" t="s">
        <v>195</v>
      </c>
      <c r="G1670" t="s">
        <v>78</v>
      </c>
      <c r="H1670" t="s">
        <v>79</v>
      </c>
      <c r="I1670" t="s">
        <v>80</v>
      </c>
      <c r="J1670" t="s">
        <v>196</v>
      </c>
      <c r="K1670" t="s">
        <v>13</v>
      </c>
      <c r="L1670" t="s">
        <v>83</v>
      </c>
      <c r="M1670" t="s">
        <v>84</v>
      </c>
      <c r="N1670">
        <v>1</v>
      </c>
      <c r="O1670" t="b">
        <v>1</v>
      </c>
      <c r="P1670">
        <v>0</v>
      </c>
      <c r="BB1670">
        <v>0</v>
      </c>
      <c r="BC1670" t="s">
        <v>197</v>
      </c>
      <c r="BD1670" t="s">
        <v>198</v>
      </c>
      <c r="BE1670" t="s">
        <v>117</v>
      </c>
      <c r="BF1670">
        <v>0</v>
      </c>
      <c r="BG1670">
        <v>0</v>
      </c>
      <c r="BH1670">
        <v>0</v>
      </c>
    </row>
    <row r="1671" spans="1:61">
      <c r="A1671" s="164" t="s">
        <v>4061</v>
      </c>
      <c r="B1671" t="s">
        <v>4062</v>
      </c>
      <c r="C1671">
        <v>0</v>
      </c>
      <c r="D1671" t="s">
        <v>194</v>
      </c>
      <c r="E1671">
        <v>0</v>
      </c>
      <c r="F1671" t="s">
        <v>195</v>
      </c>
      <c r="G1671" t="s">
        <v>78</v>
      </c>
      <c r="H1671" t="s">
        <v>79</v>
      </c>
      <c r="I1671" t="s">
        <v>80</v>
      </c>
      <c r="J1671" t="s">
        <v>196</v>
      </c>
      <c r="K1671" t="s">
        <v>13</v>
      </c>
      <c r="L1671" t="s">
        <v>83</v>
      </c>
      <c r="M1671" t="s">
        <v>84</v>
      </c>
      <c r="N1671">
        <v>1</v>
      </c>
      <c r="O1671" t="b">
        <v>1</v>
      </c>
      <c r="P1671">
        <v>0</v>
      </c>
      <c r="BB1671">
        <v>0</v>
      </c>
      <c r="BC1671" t="s">
        <v>197</v>
      </c>
      <c r="BD1671" t="s">
        <v>198</v>
      </c>
      <c r="BE1671" t="s">
        <v>117</v>
      </c>
      <c r="BF1671">
        <v>0</v>
      </c>
      <c r="BG1671">
        <v>0</v>
      </c>
      <c r="BH1671">
        <v>0</v>
      </c>
    </row>
    <row r="1672" spans="1:61">
      <c r="A1672" s="164" t="s">
        <v>4063</v>
      </c>
      <c r="B1672" t="s">
        <v>4064</v>
      </c>
      <c r="C1672">
        <v>0</v>
      </c>
      <c r="D1672" t="s">
        <v>194</v>
      </c>
      <c r="E1672">
        <v>0</v>
      </c>
      <c r="F1672" t="s">
        <v>195</v>
      </c>
      <c r="G1672" t="s">
        <v>78</v>
      </c>
      <c r="H1672" t="s">
        <v>79</v>
      </c>
      <c r="I1672" t="s">
        <v>80</v>
      </c>
      <c r="J1672" t="s">
        <v>196</v>
      </c>
      <c r="K1672" t="s">
        <v>13</v>
      </c>
      <c r="L1672" t="s">
        <v>83</v>
      </c>
      <c r="M1672" t="s">
        <v>84</v>
      </c>
      <c r="N1672">
        <v>1</v>
      </c>
      <c r="O1672" t="b">
        <v>1</v>
      </c>
      <c r="P1672">
        <v>0</v>
      </c>
      <c r="BB1672">
        <v>0</v>
      </c>
      <c r="BC1672" t="s">
        <v>197</v>
      </c>
      <c r="BD1672" t="s">
        <v>198</v>
      </c>
      <c r="BE1672" t="s">
        <v>117</v>
      </c>
      <c r="BF1672">
        <v>0</v>
      </c>
      <c r="BG1672">
        <v>0</v>
      </c>
      <c r="BH1672">
        <v>0</v>
      </c>
    </row>
    <row r="1673" spans="1:61">
      <c r="A1673" s="164" t="s">
        <v>4065</v>
      </c>
      <c r="B1673" t="s">
        <v>4066</v>
      </c>
      <c r="C1673">
        <v>0</v>
      </c>
      <c r="D1673" t="s">
        <v>194</v>
      </c>
      <c r="E1673">
        <v>0</v>
      </c>
      <c r="F1673" t="s">
        <v>195</v>
      </c>
      <c r="G1673" t="s">
        <v>78</v>
      </c>
      <c r="H1673" t="s">
        <v>79</v>
      </c>
      <c r="I1673" t="s">
        <v>80</v>
      </c>
      <c r="J1673" t="s">
        <v>196</v>
      </c>
      <c r="K1673" t="s">
        <v>13</v>
      </c>
      <c r="L1673" t="s">
        <v>83</v>
      </c>
      <c r="M1673" t="s">
        <v>84</v>
      </c>
      <c r="N1673">
        <v>1</v>
      </c>
      <c r="O1673" t="b">
        <v>1</v>
      </c>
      <c r="P1673">
        <v>0</v>
      </c>
      <c r="BB1673">
        <v>0</v>
      </c>
      <c r="BC1673" t="s">
        <v>197</v>
      </c>
      <c r="BD1673" t="s">
        <v>198</v>
      </c>
      <c r="BE1673" t="s">
        <v>117</v>
      </c>
      <c r="BF1673">
        <v>0</v>
      </c>
      <c r="BG1673">
        <v>0</v>
      </c>
      <c r="BH1673">
        <v>0</v>
      </c>
    </row>
    <row r="1674" spans="1:61">
      <c r="A1674" s="164" t="s">
        <v>4067</v>
      </c>
      <c r="B1674" t="s">
        <v>4068</v>
      </c>
      <c r="C1674">
        <v>0</v>
      </c>
      <c r="D1674" t="s">
        <v>194</v>
      </c>
      <c r="E1674">
        <v>0</v>
      </c>
      <c r="F1674" t="s">
        <v>552</v>
      </c>
      <c r="G1674" t="s">
        <v>78</v>
      </c>
      <c r="H1674" t="s">
        <v>79</v>
      </c>
      <c r="I1674" t="s">
        <v>80</v>
      </c>
      <c r="J1674" t="s">
        <v>196</v>
      </c>
      <c r="K1674" t="s">
        <v>13</v>
      </c>
      <c r="L1674" t="s">
        <v>83</v>
      </c>
      <c r="M1674" t="s">
        <v>84</v>
      </c>
      <c r="N1674">
        <v>1</v>
      </c>
      <c r="O1674" t="b">
        <v>1</v>
      </c>
      <c r="P1674">
        <v>0</v>
      </c>
      <c r="BB1674">
        <v>0</v>
      </c>
      <c r="BC1674" t="s">
        <v>197</v>
      </c>
      <c r="BD1674" t="s">
        <v>553</v>
      </c>
      <c r="BE1674" t="s">
        <v>117</v>
      </c>
      <c r="BF1674">
        <v>0</v>
      </c>
      <c r="BG1674">
        <v>0</v>
      </c>
      <c r="BH1674">
        <v>0</v>
      </c>
    </row>
    <row r="1675" spans="1:61">
      <c r="A1675" s="164" t="s">
        <v>4069</v>
      </c>
      <c r="B1675" t="s">
        <v>4070</v>
      </c>
      <c r="C1675">
        <v>0</v>
      </c>
      <c r="D1675" t="s">
        <v>194</v>
      </c>
      <c r="E1675">
        <v>0</v>
      </c>
      <c r="F1675" t="s">
        <v>195</v>
      </c>
      <c r="G1675" t="s">
        <v>78</v>
      </c>
      <c r="H1675" t="s">
        <v>79</v>
      </c>
      <c r="I1675" t="s">
        <v>80</v>
      </c>
      <c r="J1675" t="s">
        <v>196</v>
      </c>
      <c r="K1675" t="s">
        <v>13</v>
      </c>
      <c r="L1675" t="s">
        <v>83</v>
      </c>
      <c r="M1675" t="s">
        <v>215</v>
      </c>
      <c r="N1675">
        <v>1</v>
      </c>
      <c r="O1675" t="b">
        <v>1</v>
      </c>
      <c r="P1675">
        <v>0</v>
      </c>
      <c r="BB1675">
        <v>0</v>
      </c>
      <c r="BC1675" t="s">
        <v>197</v>
      </c>
      <c r="BD1675" t="s">
        <v>198</v>
      </c>
      <c r="BE1675" t="s">
        <v>117</v>
      </c>
      <c r="BF1675">
        <v>0</v>
      </c>
      <c r="BG1675">
        <v>0</v>
      </c>
      <c r="BH1675">
        <v>0</v>
      </c>
    </row>
    <row r="1676" spans="1:61">
      <c r="A1676" s="164" t="s">
        <v>4071</v>
      </c>
      <c r="B1676" t="s">
        <v>4072</v>
      </c>
      <c r="C1676">
        <v>0</v>
      </c>
      <c r="D1676" t="s">
        <v>194</v>
      </c>
      <c r="E1676">
        <v>0</v>
      </c>
      <c r="F1676" t="s">
        <v>195</v>
      </c>
      <c r="G1676" t="s">
        <v>78</v>
      </c>
      <c r="H1676" t="s">
        <v>79</v>
      </c>
      <c r="I1676" t="s">
        <v>80</v>
      </c>
      <c r="J1676" t="s">
        <v>196</v>
      </c>
      <c r="K1676" t="s">
        <v>13</v>
      </c>
      <c r="L1676" t="s">
        <v>83</v>
      </c>
      <c r="M1676" t="s">
        <v>84</v>
      </c>
      <c r="N1676">
        <v>0.05</v>
      </c>
      <c r="O1676" t="b">
        <v>1</v>
      </c>
      <c r="P1676">
        <v>0</v>
      </c>
      <c r="BB1676">
        <v>0</v>
      </c>
      <c r="BC1676" t="s">
        <v>197</v>
      </c>
      <c r="BD1676" t="s">
        <v>198</v>
      </c>
      <c r="BE1676" t="s">
        <v>97</v>
      </c>
      <c r="BF1676">
        <v>0</v>
      </c>
      <c r="BG1676">
        <v>0</v>
      </c>
      <c r="BH1676">
        <v>0</v>
      </c>
    </row>
    <row r="1677" spans="1:61">
      <c r="A1677" s="164" t="s">
        <v>4073</v>
      </c>
      <c r="B1677" t="s">
        <v>4074</v>
      </c>
      <c r="C1677">
        <v>0</v>
      </c>
      <c r="D1677" t="s">
        <v>194</v>
      </c>
      <c r="E1677">
        <v>0</v>
      </c>
      <c r="F1677" t="s">
        <v>195</v>
      </c>
      <c r="G1677" t="s">
        <v>78</v>
      </c>
      <c r="H1677" t="s">
        <v>79</v>
      </c>
      <c r="I1677" t="s">
        <v>80</v>
      </c>
      <c r="J1677" t="s">
        <v>196</v>
      </c>
      <c r="K1677" t="s">
        <v>13</v>
      </c>
      <c r="L1677" t="s">
        <v>83</v>
      </c>
      <c r="M1677" t="s">
        <v>84</v>
      </c>
      <c r="N1677">
        <v>7.4999999999999997E-2</v>
      </c>
      <c r="O1677" t="b">
        <v>1</v>
      </c>
      <c r="P1677">
        <v>0</v>
      </c>
      <c r="BB1677">
        <v>0</v>
      </c>
      <c r="BC1677" t="s">
        <v>197</v>
      </c>
      <c r="BD1677" t="s">
        <v>198</v>
      </c>
      <c r="BE1677" t="s">
        <v>97</v>
      </c>
      <c r="BF1677">
        <v>0</v>
      </c>
      <c r="BG1677">
        <v>0</v>
      </c>
      <c r="BH1677">
        <v>0</v>
      </c>
    </row>
    <row r="1678" spans="1:61">
      <c r="A1678" s="164" t="s">
        <v>4075</v>
      </c>
      <c r="B1678" t="s">
        <v>4076</v>
      </c>
      <c r="C1678">
        <v>0</v>
      </c>
      <c r="D1678" t="s">
        <v>486</v>
      </c>
      <c r="E1678">
        <v>0</v>
      </c>
      <c r="F1678" t="s">
        <v>983</v>
      </c>
      <c r="G1678" t="s">
        <v>78</v>
      </c>
      <c r="H1678" t="s">
        <v>79</v>
      </c>
      <c r="I1678" t="s">
        <v>80</v>
      </c>
      <c r="J1678" t="s">
        <v>163</v>
      </c>
      <c r="K1678" t="s">
        <v>82</v>
      </c>
      <c r="L1678" t="s">
        <v>83</v>
      </c>
      <c r="M1678" t="s">
        <v>84</v>
      </c>
      <c r="N1678">
        <v>0.15</v>
      </c>
      <c r="O1678" t="b">
        <v>1</v>
      </c>
      <c r="P1678">
        <v>90</v>
      </c>
      <c r="Q1678" t="s">
        <v>137</v>
      </c>
      <c r="S1678">
        <v>0.15</v>
      </c>
      <c r="T1678">
        <v>1</v>
      </c>
      <c r="U1678" s="36">
        <v>1.2392050000000001</v>
      </c>
      <c r="V1678" t="s">
        <v>165</v>
      </c>
      <c r="X1678">
        <v>0</v>
      </c>
      <c r="Y1678">
        <v>150</v>
      </c>
      <c r="Z1678">
        <v>6.6666666666666671E-3</v>
      </c>
      <c r="AA1678">
        <v>35</v>
      </c>
      <c r="AB1678">
        <v>0</v>
      </c>
      <c r="AC1678">
        <v>0</v>
      </c>
      <c r="AE1678" t="s">
        <v>129</v>
      </c>
      <c r="AF1678" t="s">
        <v>983</v>
      </c>
      <c r="AG1678" t="s">
        <v>129</v>
      </c>
      <c r="AH1678">
        <v>0</v>
      </c>
      <c r="AI1678">
        <v>10.199999999999999</v>
      </c>
      <c r="AJ1678" t="s">
        <v>167</v>
      </c>
      <c r="AM1678">
        <v>10.38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 t="s">
        <v>4077</v>
      </c>
      <c r="AY1678">
        <v>3.9216000000000002</v>
      </c>
      <c r="AZ1678">
        <v>0</v>
      </c>
      <c r="BA1678" t="s">
        <v>138</v>
      </c>
      <c r="BB1678">
        <v>3.35</v>
      </c>
      <c r="BC1678" t="s">
        <v>95</v>
      </c>
      <c r="BD1678" t="s">
        <v>96</v>
      </c>
      <c r="BE1678" t="s">
        <v>97</v>
      </c>
      <c r="BF1678">
        <v>1</v>
      </c>
      <c r="BG1678">
        <v>0</v>
      </c>
      <c r="BH1678">
        <v>0</v>
      </c>
      <c r="BI1678" t="s">
        <v>98</v>
      </c>
    </row>
    <row r="1679" spans="1:61">
      <c r="A1679" s="164" t="s">
        <v>4078</v>
      </c>
      <c r="B1679" t="s">
        <v>4079</v>
      </c>
      <c r="C1679">
        <v>0</v>
      </c>
      <c r="D1679" t="s">
        <v>147</v>
      </c>
      <c r="E1679">
        <v>0</v>
      </c>
      <c r="F1679" t="s">
        <v>2431</v>
      </c>
      <c r="G1679" t="s">
        <v>78</v>
      </c>
      <c r="H1679" t="s">
        <v>79</v>
      </c>
      <c r="I1679" t="s">
        <v>80</v>
      </c>
      <c r="J1679" t="s">
        <v>81</v>
      </c>
      <c r="K1679" t="s">
        <v>82</v>
      </c>
      <c r="L1679" t="s">
        <v>83</v>
      </c>
      <c r="M1679" t="s">
        <v>84</v>
      </c>
      <c r="N1679">
        <v>1</v>
      </c>
      <c r="O1679" t="b">
        <v>1</v>
      </c>
      <c r="P1679">
        <v>45</v>
      </c>
      <c r="Q1679" t="s">
        <v>85</v>
      </c>
      <c r="R1679" t="s">
        <v>86</v>
      </c>
      <c r="S1679">
        <v>1</v>
      </c>
      <c r="T1679">
        <v>1</v>
      </c>
      <c r="U1679" s="36">
        <v>1.3933150000000001</v>
      </c>
      <c r="V1679" t="s">
        <v>87</v>
      </c>
      <c r="W1679">
        <v>24</v>
      </c>
      <c r="X1679">
        <v>0.45019999999999999</v>
      </c>
      <c r="Y1679">
        <v>18</v>
      </c>
      <c r="Z1679">
        <v>5.5555555555555552E-2</v>
      </c>
      <c r="AA1679">
        <v>30</v>
      </c>
      <c r="AB1679">
        <v>0</v>
      </c>
      <c r="AC1679">
        <v>540</v>
      </c>
      <c r="AD1679">
        <v>540</v>
      </c>
      <c r="AE1679" t="s">
        <v>155</v>
      </c>
      <c r="AF1679" t="s">
        <v>2219</v>
      </c>
      <c r="AG1679" t="s">
        <v>240</v>
      </c>
      <c r="AH1679">
        <v>0</v>
      </c>
      <c r="AI1679">
        <v>0.9</v>
      </c>
      <c r="AJ1679" t="s">
        <v>91</v>
      </c>
      <c r="AK1679" t="s">
        <v>92</v>
      </c>
      <c r="AL1679" t="s">
        <v>93</v>
      </c>
      <c r="AM1679">
        <v>0.33553925925925926</v>
      </c>
      <c r="AN1679">
        <v>0.22369283950617286</v>
      </c>
      <c r="AO1679">
        <v>0.34672390123456792</v>
      </c>
      <c r="AP1679">
        <v>0</v>
      </c>
      <c r="AQ1679">
        <v>8.6691086691086688E-2</v>
      </c>
      <c r="AR1679">
        <v>2.6666666666666505E-3</v>
      </c>
      <c r="AS1679">
        <v>0</v>
      </c>
      <c r="AT1679">
        <v>1.0866910866910866</v>
      </c>
      <c r="AU1679">
        <v>1.0026666666666666</v>
      </c>
      <c r="AV1679">
        <v>1</v>
      </c>
      <c r="AW1679">
        <v>0</v>
      </c>
      <c r="AX1679" t="s">
        <v>4080</v>
      </c>
      <c r="AY1679">
        <v>53.4</v>
      </c>
      <c r="AZ1679">
        <v>0</v>
      </c>
      <c r="BA1679" t="s">
        <v>94</v>
      </c>
      <c r="BB1679">
        <v>3.31</v>
      </c>
      <c r="BC1679" t="s">
        <v>95</v>
      </c>
      <c r="BD1679" t="s">
        <v>96</v>
      </c>
      <c r="BE1679" t="s">
        <v>97</v>
      </c>
      <c r="BF1679">
        <v>1</v>
      </c>
      <c r="BG1679">
        <v>0</v>
      </c>
      <c r="BH1679">
        <v>0</v>
      </c>
      <c r="BI1679" t="s">
        <v>98</v>
      </c>
    </row>
    <row r="1680" spans="1:61">
      <c r="A1680" s="164" t="s">
        <v>4081</v>
      </c>
      <c r="B1680" t="s">
        <v>4082</v>
      </c>
      <c r="C1680">
        <v>0</v>
      </c>
      <c r="D1680" t="s">
        <v>1609</v>
      </c>
      <c r="E1680">
        <v>0</v>
      </c>
      <c r="F1680" t="s">
        <v>1610</v>
      </c>
      <c r="G1680" t="s">
        <v>78</v>
      </c>
      <c r="H1680" t="s">
        <v>79</v>
      </c>
      <c r="I1680" t="s">
        <v>126</v>
      </c>
      <c r="J1680" t="s">
        <v>127</v>
      </c>
      <c r="K1680" t="s">
        <v>82</v>
      </c>
      <c r="L1680" t="s">
        <v>83</v>
      </c>
      <c r="M1680" t="s">
        <v>84</v>
      </c>
      <c r="N1680">
        <v>0.25</v>
      </c>
      <c r="O1680" t="b">
        <v>1</v>
      </c>
      <c r="P1680">
        <v>180</v>
      </c>
      <c r="Q1680" t="s">
        <v>85</v>
      </c>
      <c r="R1680" t="s">
        <v>128</v>
      </c>
      <c r="S1680">
        <v>0.25</v>
      </c>
      <c r="T1680">
        <v>1</v>
      </c>
      <c r="U1680" s="36">
        <v>0.35793999999999998</v>
      </c>
      <c r="V1680" t="s">
        <v>87</v>
      </c>
      <c r="W1680">
        <v>0</v>
      </c>
      <c r="X1680">
        <v>0</v>
      </c>
      <c r="Y1680">
        <v>48</v>
      </c>
      <c r="Z1680">
        <v>2.0833333333333332E-2</v>
      </c>
      <c r="AA1680">
        <v>56</v>
      </c>
      <c r="AB1680">
        <v>0</v>
      </c>
      <c r="AC1680">
        <v>0</v>
      </c>
      <c r="AD1680">
        <v>0</v>
      </c>
      <c r="AG1680" t="s">
        <v>129</v>
      </c>
      <c r="AH1680">
        <v>0</v>
      </c>
      <c r="AI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 t="s">
        <v>4083</v>
      </c>
      <c r="AY1680">
        <v>9.6</v>
      </c>
      <c r="AZ1680">
        <v>3</v>
      </c>
      <c r="BA1680" t="s">
        <v>94</v>
      </c>
      <c r="BB1680">
        <v>0.92</v>
      </c>
      <c r="BC1680" t="s">
        <v>1128</v>
      </c>
      <c r="BD1680" t="s">
        <v>1129</v>
      </c>
      <c r="BE1680" t="s">
        <v>97</v>
      </c>
      <c r="BF1680">
        <v>1</v>
      </c>
      <c r="BG1680">
        <v>0</v>
      </c>
      <c r="BH1680">
        <v>0</v>
      </c>
      <c r="BI1680" t="s">
        <v>98</v>
      </c>
    </row>
    <row r="1681" spans="1:61">
      <c r="A1681" s="164" t="s">
        <v>4084</v>
      </c>
      <c r="B1681" t="s">
        <v>4085</v>
      </c>
      <c r="C1681">
        <v>0</v>
      </c>
      <c r="D1681" t="s">
        <v>133</v>
      </c>
      <c r="E1681">
        <v>0</v>
      </c>
      <c r="F1681" t="s">
        <v>2865</v>
      </c>
      <c r="G1681" t="s">
        <v>103</v>
      </c>
      <c r="H1681" t="s">
        <v>104</v>
      </c>
      <c r="I1681" t="s">
        <v>80</v>
      </c>
      <c r="J1681" t="s">
        <v>2866</v>
      </c>
      <c r="K1681" t="s">
        <v>468</v>
      </c>
      <c r="L1681" t="s">
        <v>111</v>
      </c>
      <c r="M1681" t="s">
        <v>84</v>
      </c>
      <c r="N1681">
        <v>1.75</v>
      </c>
      <c r="O1681" t="b">
        <v>0</v>
      </c>
      <c r="P1681">
        <v>210</v>
      </c>
      <c r="Q1681" t="s">
        <v>137</v>
      </c>
      <c r="S1681">
        <v>0</v>
      </c>
      <c r="T1681">
        <v>1</v>
      </c>
      <c r="V1681" t="s">
        <v>87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G1681" t="s">
        <v>129</v>
      </c>
      <c r="AH1681">
        <v>0</v>
      </c>
      <c r="AI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Y1681">
        <v>0</v>
      </c>
      <c r="AZ1681">
        <v>0</v>
      </c>
      <c r="BA1681" t="s">
        <v>138</v>
      </c>
      <c r="BB1681">
        <v>0</v>
      </c>
      <c r="BC1681" t="s">
        <v>95</v>
      </c>
      <c r="BD1681" t="s">
        <v>469</v>
      </c>
      <c r="BE1681" t="s">
        <v>97</v>
      </c>
      <c r="BF1681">
        <v>0</v>
      </c>
      <c r="BG1681">
        <v>0</v>
      </c>
      <c r="BH1681">
        <v>0</v>
      </c>
      <c r="BI1681" t="s">
        <v>98</v>
      </c>
    </row>
    <row r="1682" spans="1:61">
      <c r="A1682" s="164" t="s">
        <v>4086</v>
      </c>
      <c r="B1682" t="s">
        <v>4087</v>
      </c>
      <c r="C1682">
        <v>0</v>
      </c>
      <c r="D1682" t="s">
        <v>147</v>
      </c>
      <c r="E1682">
        <v>0</v>
      </c>
      <c r="F1682" t="s">
        <v>3634</v>
      </c>
      <c r="G1682" t="s">
        <v>78</v>
      </c>
      <c r="H1682" t="s">
        <v>79</v>
      </c>
      <c r="I1682" t="s">
        <v>80</v>
      </c>
      <c r="J1682" t="s">
        <v>81</v>
      </c>
      <c r="K1682" t="s">
        <v>82</v>
      </c>
      <c r="L1682" t="s">
        <v>83</v>
      </c>
      <c r="M1682" t="s">
        <v>84</v>
      </c>
      <c r="N1682">
        <v>1</v>
      </c>
      <c r="O1682" t="b">
        <v>1</v>
      </c>
      <c r="P1682">
        <v>45</v>
      </c>
      <c r="Q1682" t="s">
        <v>85</v>
      </c>
      <c r="R1682" t="s">
        <v>86</v>
      </c>
      <c r="S1682">
        <v>1</v>
      </c>
      <c r="T1682">
        <v>1</v>
      </c>
      <c r="U1682" s="36">
        <v>1.3149000000000002</v>
      </c>
      <c r="V1682" t="s">
        <v>87</v>
      </c>
      <c r="W1682">
        <v>24</v>
      </c>
      <c r="X1682">
        <v>0.45019999999999999</v>
      </c>
      <c r="Y1682">
        <v>18</v>
      </c>
      <c r="Z1682">
        <v>5.5555555555555552E-2</v>
      </c>
      <c r="AA1682">
        <v>30</v>
      </c>
      <c r="AB1682">
        <v>0</v>
      </c>
      <c r="AC1682">
        <v>515</v>
      </c>
      <c r="AD1682">
        <v>515</v>
      </c>
      <c r="AE1682" t="s">
        <v>155</v>
      </c>
      <c r="AF1682" t="s">
        <v>149</v>
      </c>
      <c r="AG1682" t="s">
        <v>150</v>
      </c>
      <c r="AH1682">
        <v>0</v>
      </c>
      <c r="AI1682">
        <v>1</v>
      </c>
      <c r="AJ1682" t="s">
        <v>91</v>
      </c>
      <c r="AK1682" t="s">
        <v>92</v>
      </c>
      <c r="AL1682" t="s">
        <v>93</v>
      </c>
      <c r="AM1682">
        <v>0.96764899999999998</v>
      </c>
      <c r="AN1682">
        <v>0</v>
      </c>
      <c r="AO1682">
        <v>0</v>
      </c>
      <c r="AP1682">
        <v>0</v>
      </c>
      <c r="AQ1682">
        <v>8.6691086691086688E-2</v>
      </c>
      <c r="AR1682">
        <v>2.6666666666666505E-3</v>
      </c>
      <c r="AS1682">
        <v>0</v>
      </c>
      <c r="AT1682">
        <v>1.0866910866910866</v>
      </c>
      <c r="AU1682">
        <v>1.0026666666666666</v>
      </c>
      <c r="AV1682">
        <v>1</v>
      </c>
      <c r="AW1682">
        <v>0</v>
      </c>
      <c r="AX1682" t="s">
        <v>4088</v>
      </c>
      <c r="AY1682">
        <v>53.4</v>
      </c>
      <c r="AZ1682">
        <v>7</v>
      </c>
      <c r="BA1682" t="s">
        <v>94</v>
      </c>
      <c r="BB1682">
        <v>3.3</v>
      </c>
      <c r="BC1682" t="s">
        <v>95</v>
      </c>
      <c r="BD1682" t="s">
        <v>96</v>
      </c>
      <c r="BE1682" t="s">
        <v>97</v>
      </c>
      <c r="BF1682">
        <v>1</v>
      </c>
      <c r="BG1682">
        <v>0</v>
      </c>
      <c r="BH1682">
        <v>0</v>
      </c>
      <c r="BI1682" t="s">
        <v>98</v>
      </c>
    </row>
    <row r="1683" spans="1:61">
      <c r="A1683" s="164" t="s">
        <v>4089</v>
      </c>
      <c r="B1683" t="s">
        <v>4090</v>
      </c>
      <c r="C1683">
        <v>0</v>
      </c>
      <c r="D1683" t="s">
        <v>2592</v>
      </c>
      <c r="E1683">
        <v>0</v>
      </c>
      <c r="F1683" t="s">
        <v>2882</v>
      </c>
      <c r="G1683" t="s">
        <v>78</v>
      </c>
      <c r="H1683" t="s">
        <v>79</v>
      </c>
      <c r="I1683" t="s">
        <v>80</v>
      </c>
      <c r="J1683" t="s">
        <v>163</v>
      </c>
      <c r="K1683" t="s">
        <v>82</v>
      </c>
      <c r="L1683" t="s">
        <v>83</v>
      </c>
      <c r="M1683" t="s">
        <v>84</v>
      </c>
      <c r="N1683">
        <v>0.5</v>
      </c>
      <c r="O1683" t="b">
        <v>1</v>
      </c>
      <c r="P1683">
        <v>180</v>
      </c>
      <c r="Q1683" t="s">
        <v>188</v>
      </c>
      <c r="S1683">
        <v>0.5</v>
      </c>
      <c r="T1683">
        <v>1</v>
      </c>
      <c r="U1683" s="36">
        <v>1.3121100000000001</v>
      </c>
      <c r="V1683" t="s">
        <v>189</v>
      </c>
      <c r="W1683">
        <v>18</v>
      </c>
      <c r="X1683">
        <v>0</v>
      </c>
      <c r="Y1683">
        <v>36</v>
      </c>
      <c r="Z1683">
        <v>2.7777777777777776E-2</v>
      </c>
      <c r="AA1683">
        <v>35</v>
      </c>
      <c r="AB1683">
        <v>0</v>
      </c>
      <c r="AC1683">
        <v>0</v>
      </c>
      <c r="AD1683">
        <v>1000</v>
      </c>
      <c r="AE1683" t="s">
        <v>677</v>
      </c>
      <c r="AF1683" t="s">
        <v>2882</v>
      </c>
      <c r="AG1683" t="s">
        <v>129</v>
      </c>
      <c r="AH1683">
        <v>0</v>
      </c>
      <c r="AI1683">
        <v>2.1</v>
      </c>
      <c r="AJ1683" t="s">
        <v>167</v>
      </c>
      <c r="AM1683">
        <v>2.2000000000000002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0</v>
      </c>
      <c r="AX1683" t="s">
        <v>2883</v>
      </c>
      <c r="AY1683">
        <v>22.24</v>
      </c>
      <c r="AZ1683">
        <v>0</v>
      </c>
      <c r="BA1683" t="s">
        <v>94</v>
      </c>
      <c r="BB1683">
        <v>2.34</v>
      </c>
      <c r="BC1683" t="s">
        <v>95</v>
      </c>
      <c r="BD1683" t="s">
        <v>96</v>
      </c>
      <c r="BE1683" t="s">
        <v>97</v>
      </c>
      <c r="BF1683">
        <v>1</v>
      </c>
      <c r="BG1683">
        <v>0</v>
      </c>
      <c r="BH1683">
        <v>0</v>
      </c>
      <c r="BI1683" t="s">
        <v>98</v>
      </c>
    </row>
    <row r="1684" spans="1:61">
      <c r="A1684" s="164" t="s">
        <v>4091</v>
      </c>
      <c r="B1684" t="s">
        <v>4092</v>
      </c>
      <c r="C1684">
        <v>0</v>
      </c>
      <c r="D1684" t="s">
        <v>486</v>
      </c>
      <c r="E1684">
        <v>0</v>
      </c>
      <c r="F1684" t="s">
        <v>1743</v>
      </c>
      <c r="G1684" t="s">
        <v>78</v>
      </c>
      <c r="H1684" t="s">
        <v>79</v>
      </c>
      <c r="I1684" t="s">
        <v>80</v>
      </c>
      <c r="J1684" t="s">
        <v>163</v>
      </c>
      <c r="K1684" t="s">
        <v>82</v>
      </c>
      <c r="L1684" t="s">
        <v>83</v>
      </c>
      <c r="M1684" t="s">
        <v>84</v>
      </c>
      <c r="N1684">
        <v>0.5</v>
      </c>
      <c r="O1684" t="b">
        <v>1</v>
      </c>
      <c r="P1684">
        <v>180</v>
      </c>
      <c r="Q1684" t="s">
        <v>137</v>
      </c>
      <c r="S1684">
        <v>0.5</v>
      </c>
      <c r="T1684">
        <v>1</v>
      </c>
      <c r="U1684" s="36">
        <v>4.4371550000000006</v>
      </c>
      <c r="V1684" t="s">
        <v>165</v>
      </c>
      <c r="X1684">
        <v>0</v>
      </c>
      <c r="Y1684">
        <v>20</v>
      </c>
      <c r="Z1684">
        <v>0.05</v>
      </c>
      <c r="AA1684">
        <v>35</v>
      </c>
      <c r="AB1684">
        <v>0</v>
      </c>
      <c r="AC1684">
        <v>0</v>
      </c>
      <c r="AE1684" t="s">
        <v>129</v>
      </c>
      <c r="AF1684" t="s">
        <v>1743</v>
      </c>
      <c r="AG1684" t="s">
        <v>129</v>
      </c>
      <c r="AH1684">
        <v>0</v>
      </c>
      <c r="AI1684">
        <v>13.4</v>
      </c>
      <c r="AJ1684" t="s">
        <v>177</v>
      </c>
      <c r="AM1684">
        <v>13.87</v>
      </c>
      <c r="AN1684">
        <v>0</v>
      </c>
      <c r="AO1684">
        <v>0</v>
      </c>
      <c r="AP1684">
        <v>0</v>
      </c>
      <c r="AQ1684">
        <v>2.8571428571428564E-2</v>
      </c>
      <c r="AR1684">
        <v>0</v>
      </c>
      <c r="AS1684">
        <v>0</v>
      </c>
      <c r="AT1684">
        <v>1.0285714285714285</v>
      </c>
      <c r="AU1684">
        <v>0</v>
      </c>
      <c r="AV1684">
        <v>0</v>
      </c>
      <c r="AW1684">
        <v>0</v>
      </c>
      <c r="AX1684" t="s">
        <v>4093</v>
      </c>
      <c r="AY1684">
        <v>14</v>
      </c>
      <c r="AZ1684">
        <v>6</v>
      </c>
      <c r="BA1684" t="s">
        <v>138</v>
      </c>
      <c r="BB1684">
        <v>9.51</v>
      </c>
      <c r="BC1684" t="s">
        <v>95</v>
      </c>
      <c r="BD1684" t="s">
        <v>96</v>
      </c>
      <c r="BE1684" t="s">
        <v>97</v>
      </c>
      <c r="BF1684">
        <v>1</v>
      </c>
      <c r="BG1684">
        <v>0</v>
      </c>
      <c r="BH1684">
        <v>0</v>
      </c>
      <c r="BI1684" t="s">
        <v>98</v>
      </c>
    </row>
    <row r="1685" spans="1:61">
      <c r="A1685" s="164" t="s">
        <v>4094</v>
      </c>
      <c r="B1685" t="s">
        <v>4095</v>
      </c>
      <c r="C1685">
        <v>0</v>
      </c>
      <c r="D1685" t="s">
        <v>304</v>
      </c>
      <c r="E1685">
        <v>0</v>
      </c>
      <c r="F1685" t="s">
        <v>269</v>
      </c>
      <c r="G1685" t="s">
        <v>103</v>
      </c>
      <c r="H1685" t="s">
        <v>104</v>
      </c>
      <c r="I1685" t="s">
        <v>80</v>
      </c>
      <c r="J1685" t="s">
        <v>196</v>
      </c>
      <c r="K1685" t="s">
        <v>13</v>
      </c>
      <c r="L1685" t="s">
        <v>83</v>
      </c>
      <c r="M1685" t="s">
        <v>84</v>
      </c>
      <c r="N1685">
        <v>1</v>
      </c>
      <c r="O1685" t="b">
        <v>0</v>
      </c>
      <c r="P1685">
        <v>0</v>
      </c>
      <c r="BB1685">
        <v>0</v>
      </c>
      <c r="BC1685" t="s">
        <v>306</v>
      </c>
      <c r="BD1685" t="s">
        <v>270</v>
      </c>
      <c r="BE1685" t="s">
        <v>117</v>
      </c>
      <c r="BF1685">
        <v>0</v>
      </c>
      <c r="BG1685">
        <v>0</v>
      </c>
      <c r="BH1685">
        <v>0</v>
      </c>
    </row>
    <row r="1686" spans="1:61">
      <c r="A1686" s="164" t="s">
        <v>4096</v>
      </c>
      <c r="B1686" t="s">
        <v>4097</v>
      </c>
      <c r="C1686">
        <v>0</v>
      </c>
      <c r="D1686" t="s">
        <v>304</v>
      </c>
      <c r="E1686">
        <v>0</v>
      </c>
      <c r="F1686" t="s">
        <v>269</v>
      </c>
      <c r="G1686" t="s">
        <v>103</v>
      </c>
      <c r="H1686" t="s">
        <v>104</v>
      </c>
      <c r="I1686" t="s">
        <v>80</v>
      </c>
      <c r="J1686" t="s">
        <v>196</v>
      </c>
      <c r="K1686" t="s">
        <v>13</v>
      </c>
      <c r="L1686" t="s">
        <v>83</v>
      </c>
      <c r="M1686" t="s">
        <v>4098</v>
      </c>
      <c r="N1686">
        <v>1</v>
      </c>
      <c r="O1686" t="b">
        <v>0</v>
      </c>
      <c r="P1686">
        <v>0</v>
      </c>
      <c r="BB1686">
        <v>0</v>
      </c>
      <c r="BC1686" t="s">
        <v>306</v>
      </c>
      <c r="BD1686" t="s">
        <v>270</v>
      </c>
      <c r="BE1686" t="s">
        <v>117</v>
      </c>
      <c r="BF1686">
        <v>0</v>
      </c>
      <c r="BG1686">
        <v>0</v>
      </c>
      <c r="BH1686">
        <v>0</v>
      </c>
    </row>
    <row r="1687" spans="1:61">
      <c r="A1687" s="164" t="s">
        <v>4099</v>
      </c>
      <c r="B1687" t="s">
        <v>4100</v>
      </c>
      <c r="C1687">
        <v>0</v>
      </c>
      <c r="D1687" t="s">
        <v>304</v>
      </c>
      <c r="E1687">
        <v>0</v>
      </c>
      <c r="F1687" t="s">
        <v>269</v>
      </c>
      <c r="G1687" t="s">
        <v>103</v>
      </c>
      <c r="H1687" t="s">
        <v>104</v>
      </c>
      <c r="I1687" t="s">
        <v>80</v>
      </c>
      <c r="J1687" t="s">
        <v>196</v>
      </c>
      <c r="K1687" t="s">
        <v>13</v>
      </c>
      <c r="L1687" t="s">
        <v>83</v>
      </c>
      <c r="M1687" t="s">
        <v>84</v>
      </c>
      <c r="N1687">
        <v>1</v>
      </c>
      <c r="O1687" t="b">
        <v>0</v>
      </c>
      <c r="P1687">
        <v>0</v>
      </c>
      <c r="BB1687">
        <v>0</v>
      </c>
      <c r="BC1687" t="s">
        <v>306</v>
      </c>
      <c r="BD1687" t="s">
        <v>270</v>
      </c>
      <c r="BE1687" t="s">
        <v>117</v>
      </c>
      <c r="BF1687">
        <v>0</v>
      </c>
      <c r="BG1687">
        <v>0</v>
      </c>
      <c r="BH1687">
        <v>0</v>
      </c>
    </row>
    <row r="1688" spans="1:61">
      <c r="A1688" s="164" t="s">
        <v>4101</v>
      </c>
      <c r="B1688" t="s">
        <v>4102</v>
      </c>
      <c r="C1688">
        <v>0</v>
      </c>
      <c r="D1688" t="s">
        <v>304</v>
      </c>
      <c r="E1688">
        <v>0</v>
      </c>
      <c r="F1688" t="s">
        <v>357</v>
      </c>
      <c r="G1688" t="s">
        <v>78</v>
      </c>
      <c r="H1688" t="s">
        <v>79</v>
      </c>
      <c r="I1688" t="s">
        <v>80</v>
      </c>
      <c r="J1688" t="s">
        <v>196</v>
      </c>
      <c r="K1688" t="s">
        <v>13</v>
      </c>
      <c r="L1688" t="s">
        <v>83</v>
      </c>
      <c r="M1688" t="s">
        <v>84</v>
      </c>
      <c r="N1688">
        <v>1</v>
      </c>
      <c r="O1688" t="b">
        <v>1</v>
      </c>
      <c r="P1688">
        <v>0</v>
      </c>
      <c r="BB1688">
        <v>0</v>
      </c>
      <c r="BC1688" t="s">
        <v>306</v>
      </c>
      <c r="BD1688" t="s">
        <v>358</v>
      </c>
      <c r="BE1688" t="s">
        <v>117</v>
      </c>
      <c r="BF1688">
        <v>0</v>
      </c>
      <c r="BG1688">
        <v>25</v>
      </c>
      <c r="BH1688">
        <v>500</v>
      </c>
      <c r="BI1688" t="s">
        <v>359</v>
      </c>
    </row>
    <row r="1689" spans="1:61">
      <c r="A1689" s="164" t="s">
        <v>4103</v>
      </c>
      <c r="B1689" t="s">
        <v>4104</v>
      </c>
      <c r="C1689">
        <v>0</v>
      </c>
      <c r="D1689" t="s">
        <v>304</v>
      </c>
      <c r="E1689">
        <v>0</v>
      </c>
      <c r="F1689" t="s">
        <v>269</v>
      </c>
      <c r="G1689" t="s">
        <v>103</v>
      </c>
      <c r="H1689" t="s">
        <v>104</v>
      </c>
      <c r="I1689" t="s">
        <v>80</v>
      </c>
      <c r="J1689" t="s">
        <v>196</v>
      </c>
      <c r="K1689" t="s">
        <v>13</v>
      </c>
      <c r="L1689" t="s">
        <v>83</v>
      </c>
      <c r="M1689" t="s">
        <v>84</v>
      </c>
      <c r="N1689">
        <v>1</v>
      </c>
      <c r="O1689" t="b">
        <v>0</v>
      </c>
      <c r="P1689">
        <v>0</v>
      </c>
      <c r="BB1689">
        <v>0</v>
      </c>
      <c r="BC1689" t="s">
        <v>306</v>
      </c>
      <c r="BD1689" t="s">
        <v>270</v>
      </c>
      <c r="BE1689" t="s">
        <v>117</v>
      </c>
      <c r="BF1689">
        <v>0</v>
      </c>
      <c r="BG1689">
        <v>0</v>
      </c>
      <c r="BH1689">
        <v>0</v>
      </c>
    </row>
    <row r="1690" spans="1:61">
      <c r="A1690" s="164" t="s">
        <v>4105</v>
      </c>
      <c r="B1690" t="s">
        <v>4106</v>
      </c>
      <c r="C1690">
        <v>0</v>
      </c>
      <c r="D1690" t="s">
        <v>304</v>
      </c>
      <c r="E1690">
        <v>0</v>
      </c>
      <c r="F1690" t="s">
        <v>269</v>
      </c>
      <c r="G1690" t="s">
        <v>103</v>
      </c>
      <c r="H1690" t="s">
        <v>104</v>
      </c>
      <c r="I1690" t="s">
        <v>80</v>
      </c>
      <c r="J1690" t="s">
        <v>196</v>
      </c>
      <c r="K1690" t="s">
        <v>13</v>
      </c>
      <c r="L1690" t="s">
        <v>83</v>
      </c>
      <c r="M1690" t="s">
        <v>84</v>
      </c>
      <c r="N1690">
        <v>1</v>
      </c>
      <c r="O1690" t="b">
        <v>0</v>
      </c>
      <c r="P1690">
        <v>0</v>
      </c>
      <c r="BB1690">
        <v>0</v>
      </c>
      <c r="BC1690" t="s">
        <v>306</v>
      </c>
      <c r="BD1690" t="s">
        <v>270</v>
      </c>
      <c r="BE1690" t="s">
        <v>117</v>
      </c>
      <c r="BF1690">
        <v>0</v>
      </c>
      <c r="BG1690">
        <v>0</v>
      </c>
      <c r="BH1690">
        <v>0</v>
      </c>
    </row>
    <row r="1691" spans="1:61">
      <c r="A1691" s="164" t="s">
        <v>4107</v>
      </c>
      <c r="B1691" t="s">
        <v>4108</v>
      </c>
      <c r="C1691">
        <v>0</v>
      </c>
      <c r="D1691" t="s">
        <v>304</v>
      </c>
      <c r="E1691">
        <v>0</v>
      </c>
      <c r="F1691" t="s">
        <v>269</v>
      </c>
      <c r="G1691" t="s">
        <v>103</v>
      </c>
      <c r="H1691" t="s">
        <v>104</v>
      </c>
      <c r="I1691" t="s">
        <v>80</v>
      </c>
      <c r="J1691" t="s">
        <v>196</v>
      </c>
      <c r="K1691" t="s">
        <v>13</v>
      </c>
      <c r="L1691" t="s">
        <v>83</v>
      </c>
      <c r="M1691" t="s">
        <v>84</v>
      </c>
      <c r="N1691">
        <v>1</v>
      </c>
      <c r="O1691" t="b">
        <v>0</v>
      </c>
      <c r="P1691">
        <v>0</v>
      </c>
      <c r="BB1691">
        <v>0</v>
      </c>
      <c r="BC1691" t="s">
        <v>306</v>
      </c>
      <c r="BD1691" t="s">
        <v>270</v>
      </c>
      <c r="BE1691" t="s">
        <v>117</v>
      </c>
      <c r="BF1691">
        <v>0</v>
      </c>
      <c r="BG1691">
        <v>0</v>
      </c>
      <c r="BH1691">
        <v>0</v>
      </c>
    </row>
    <row r="1692" spans="1:61">
      <c r="A1692" s="164" t="s">
        <v>4109</v>
      </c>
      <c r="B1692" t="s">
        <v>4110</v>
      </c>
      <c r="C1692">
        <v>0</v>
      </c>
      <c r="D1692" t="s">
        <v>304</v>
      </c>
      <c r="E1692">
        <v>0</v>
      </c>
      <c r="F1692" t="s">
        <v>1507</v>
      </c>
      <c r="G1692" t="s">
        <v>78</v>
      </c>
      <c r="H1692" t="s">
        <v>79</v>
      </c>
      <c r="I1692" t="s">
        <v>80</v>
      </c>
      <c r="J1692" t="s">
        <v>196</v>
      </c>
      <c r="K1692" t="s">
        <v>13</v>
      </c>
      <c r="L1692" t="s">
        <v>83</v>
      </c>
      <c r="M1692" t="s">
        <v>84</v>
      </c>
      <c r="N1692">
        <v>1</v>
      </c>
      <c r="O1692" t="b">
        <v>1</v>
      </c>
      <c r="P1692">
        <v>0</v>
      </c>
      <c r="BB1692">
        <v>0</v>
      </c>
      <c r="BC1692" t="s">
        <v>306</v>
      </c>
      <c r="BD1692" t="s">
        <v>1508</v>
      </c>
      <c r="BE1692" t="s">
        <v>117</v>
      </c>
      <c r="BF1692">
        <v>0</v>
      </c>
      <c r="BG1692">
        <v>60</v>
      </c>
      <c r="BH1692">
        <v>50000</v>
      </c>
      <c r="BI1692" t="s">
        <v>1509</v>
      </c>
    </row>
    <row r="1693" spans="1:61">
      <c r="A1693" s="164" t="s">
        <v>4111</v>
      </c>
      <c r="B1693" t="s">
        <v>4112</v>
      </c>
      <c r="C1693">
        <v>0</v>
      </c>
      <c r="D1693" t="s">
        <v>304</v>
      </c>
      <c r="E1693">
        <v>0</v>
      </c>
      <c r="F1693" t="s">
        <v>357</v>
      </c>
      <c r="G1693" t="s">
        <v>78</v>
      </c>
      <c r="H1693" t="s">
        <v>79</v>
      </c>
      <c r="I1693" t="s">
        <v>80</v>
      </c>
      <c r="J1693" t="s">
        <v>196</v>
      </c>
      <c r="K1693" t="s">
        <v>13</v>
      </c>
      <c r="L1693" t="s">
        <v>83</v>
      </c>
      <c r="M1693" t="s">
        <v>84</v>
      </c>
      <c r="N1693">
        <v>1</v>
      </c>
      <c r="O1693" t="b">
        <v>1</v>
      </c>
      <c r="P1693">
        <v>0</v>
      </c>
      <c r="BB1693">
        <v>0</v>
      </c>
      <c r="BC1693" t="s">
        <v>306</v>
      </c>
      <c r="BD1693" t="s">
        <v>358</v>
      </c>
      <c r="BE1693" t="s">
        <v>117</v>
      </c>
      <c r="BF1693">
        <v>0</v>
      </c>
      <c r="BG1693">
        <v>25</v>
      </c>
      <c r="BH1693">
        <v>500</v>
      </c>
      <c r="BI1693" t="s">
        <v>359</v>
      </c>
    </row>
    <row r="1694" spans="1:61">
      <c r="A1694" s="164" t="s">
        <v>4113</v>
      </c>
      <c r="B1694" t="s">
        <v>4114</v>
      </c>
      <c r="C1694">
        <v>0</v>
      </c>
      <c r="D1694" t="s">
        <v>147</v>
      </c>
      <c r="E1694">
        <v>0</v>
      </c>
      <c r="F1694" t="s">
        <v>773</v>
      </c>
      <c r="G1694" t="s">
        <v>103</v>
      </c>
      <c r="H1694" t="s">
        <v>104</v>
      </c>
      <c r="I1694" t="s">
        <v>80</v>
      </c>
      <c r="J1694" t="s">
        <v>109</v>
      </c>
      <c r="K1694" t="s">
        <v>110</v>
      </c>
      <c r="L1694" t="s">
        <v>111</v>
      </c>
      <c r="M1694" t="s">
        <v>84</v>
      </c>
      <c r="N1694">
        <v>0.75</v>
      </c>
      <c r="O1694" t="b">
        <v>0</v>
      </c>
      <c r="P1694">
        <v>45</v>
      </c>
      <c r="Q1694" t="s">
        <v>85</v>
      </c>
      <c r="S1694">
        <v>0</v>
      </c>
      <c r="T1694">
        <v>0</v>
      </c>
      <c r="V1694" t="s">
        <v>87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F1694" t="s">
        <v>903</v>
      </c>
      <c r="AH1694">
        <v>0</v>
      </c>
      <c r="AI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 t="s">
        <v>4115</v>
      </c>
      <c r="AY1694">
        <v>0</v>
      </c>
      <c r="AZ1694">
        <v>0</v>
      </c>
      <c r="BA1694" t="s">
        <v>94</v>
      </c>
      <c r="BB1694">
        <v>0</v>
      </c>
      <c r="BC1694" t="s">
        <v>115</v>
      </c>
      <c r="BD1694" t="s">
        <v>116</v>
      </c>
      <c r="BE1694" t="s">
        <v>117</v>
      </c>
      <c r="BF1694">
        <v>0</v>
      </c>
      <c r="BG1694">
        <v>0</v>
      </c>
      <c r="BH1694">
        <v>0</v>
      </c>
      <c r="BI1694" t="s">
        <v>98</v>
      </c>
    </row>
    <row r="1695" spans="1:61">
      <c r="A1695" s="164" t="s">
        <v>4116</v>
      </c>
      <c r="B1695" t="s">
        <v>4117</v>
      </c>
      <c r="C1695">
        <v>0</v>
      </c>
      <c r="D1695" t="s">
        <v>101</v>
      </c>
      <c r="E1695">
        <v>0</v>
      </c>
      <c r="F1695" t="s">
        <v>102</v>
      </c>
      <c r="G1695" t="s">
        <v>78</v>
      </c>
      <c r="H1695" t="s">
        <v>79</v>
      </c>
      <c r="I1695" t="s">
        <v>80</v>
      </c>
      <c r="J1695" t="s">
        <v>81</v>
      </c>
      <c r="K1695" t="s">
        <v>82</v>
      </c>
      <c r="L1695" t="s">
        <v>83</v>
      </c>
      <c r="M1695" t="s">
        <v>84</v>
      </c>
      <c r="N1695">
        <v>0.16200000000000001</v>
      </c>
      <c r="O1695" t="b">
        <v>1</v>
      </c>
      <c r="P1695">
        <v>45</v>
      </c>
      <c r="Q1695" t="s">
        <v>85</v>
      </c>
      <c r="R1695" t="s">
        <v>86</v>
      </c>
      <c r="S1695">
        <v>0.14499999999999999</v>
      </c>
      <c r="T1695">
        <v>0.88957055214723912</v>
      </c>
      <c r="U1695" s="36">
        <v>0.27881999999999996</v>
      </c>
      <c r="V1695" t="s">
        <v>87</v>
      </c>
      <c r="W1695">
        <v>150</v>
      </c>
      <c r="X1695">
        <v>0.45</v>
      </c>
      <c r="Y1695">
        <v>60</v>
      </c>
      <c r="Z1695">
        <v>1.6666666666666666E-2</v>
      </c>
      <c r="AA1695">
        <v>30</v>
      </c>
      <c r="AB1695">
        <v>0</v>
      </c>
      <c r="AC1695">
        <v>500</v>
      </c>
      <c r="AD1695">
        <v>3448.2758620689656</v>
      </c>
      <c r="AE1695" t="s">
        <v>88</v>
      </c>
      <c r="AF1695" t="s">
        <v>513</v>
      </c>
      <c r="AG1695" t="s">
        <v>514</v>
      </c>
      <c r="AH1695">
        <v>0</v>
      </c>
      <c r="AI1695">
        <v>0.8</v>
      </c>
      <c r="AJ1695" t="s">
        <v>91</v>
      </c>
      <c r="AK1695" t="s">
        <v>92</v>
      </c>
      <c r="AL1695" t="s">
        <v>93</v>
      </c>
      <c r="AM1695">
        <v>0.33631111111111106</v>
      </c>
      <c r="AN1695">
        <v>0.22420740740740738</v>
      </c>
      <c r="AO1695">
        <v>0.34752148148148143</v>
      </c>
      <c r="AP1695">
        <v>0</v>
      </c>
      <c r="AQ1695">
        <v>8.6691086691086688E-2</v>
      </c>
      <c r="AR1695">
        <v>2.6666666666666505E-3</v>
      </c>
      <c r="AS1695">
        <v>0</v>
      </c>
      <c r="AT1695">
        <v>1.0866910866910866</v>
      </c>
      <c r="AU1695">
        <v>1.0026666666666666</v>
      </c>
      <c r="AV1695">
        <v>1</v>
      </c>
      <c r="AW1695">
        <v>0</v>
      </c>
      <c r="AX1695" t="s">
        <v>4118</v>
      </c>
      <c r="AY1695">
        <v>15.98</v>
      </c>
      <c r="AZ1695">
        <v>2</v>
      </c>
      <c r="BA1695" t="s">
        <v>94</v>
      </c>
      <c r="BB1695">
        <v>0.77</v>
      </c>
      <c r="BC1695" t="s">
        <v>95</v>
      </c>
      <c r="BD1695" t="s">
        <v>96</v>
      </c>
      <c r="BE1695" t="s">
        <v>97</v>
      </c>
      <c r="BF1695">
        <v>1</v>
      </c>
      <c r="BG1695">
        <v>0</v>
      </c>
      <c r="BH1695">
        <v>0</v>
      </c>
      <c r="BI1695" t="s">
        <v>98</v>
      </c>
    </row>
    <row r="1696" spans="1:61">
      <c r="A1696" s="164" t="s">
        <v>4119</v>
      </c>
      <c r="B1696" t="s">
        <v>4120</v>
      </c>
      <c r="C1696">
        <v>0</v>
      </c>
      <c r="D1696" t="s">
        <v>107</v>
      </c>
      <c r="E1696">
        <v>0</v>
      </c>
      <c r="F1696" t="s">
        <v>108</v>
      </c>
      <c r="G1696" t="s">
        <v>78</v>
      </c>
      <c r="H1696" t="s">
        <v>79</v>
      </c>
      <c r="I1696" t="s">
        <v>80</v>
      </c>
      <c r="J1696" t="s">
        <v>81</v>
      </c>
      <c r="K1696" t="s">
        <v>82</v>
      </c>
      <c r="L1696" t="s">
        <v>83</v>
      </c>
      <c r="M1696" t="s">
        <v>84</v>
      </c>
      <c r="N1696">
        <v>0.9</v>
      </c>
      <c r="O1696" t="b">
        <v>1</v>
      </c>
      <c r="P1696">
        <v>45</v>
      </c>
      <c r="Q1696" t="s">
        <v>85</v>
      </c>
      <c r="R1696" t="s">
        <v>86</v>
      </c>
      <c r="S1696">
        <v>0.9</v>
      </c>
      <c r="T1696">
        <v>1</v>
      </c>
      <c r="U1696" s="36">
        <v>0.64812500000000006</v>
      </c>
      <c r="V1696" t="s">
        <v>87</v>
      </c>
      <c r="W1696">
        <v>34</v>
      </c>
      <c r="X1696">
        <v>0.62562499999999999</v>
      </c>
      <c r="Y1696">
        <v>15</v>
      </c>
      <c r="Z1696">
        <v>6.6666666666666666E-2</v>
      </c>
      <c r="AA1696">
        <v>60</v>
      </c>
      <c r="AB1696">
        <v>0</v>
      </c>
      <c r="AC1696">
        <v>500</v>
      </c>
      <c r="AD1696">
        <v>555.55555555555554</v>
      </c>
      <c r="AE1696" t="s">
        <v>112</v>
      </c>
      <c r="AF1696" t="s">
        <v>1117</v>
      </c>
      <c r="AG1696" t="s">
        <v>114</v>
      </c>
      <c r="AH1696">
        <v>0</v>
      </c>
      <c r="AI1696">
        <v>0.6</v>
      </c>
      <c r="AJ1696" t="s">
        <v>91</v>
      </c>
      <c r="AK1696" t="s">
        <v>92</v>
      </c>
      <c r="AL1696" t="s">
        <v>93</v>
      </c>
      <c r="AM1696">
        <v>0.34043629629629629</v>
      </c>
      <c r="AN1696">
        <v>0.22695753086419751</v>
      </c>
      <c r="AO1696">
        <v>0.35178417283950614</v>
      </c>
      <c r="AP1696">
        <v>0</v>
      </c>
      <c r="AQ1696">
        <v>8.6691086691086688E-2</v>
      </c>
      <c r="AR1696">
        <v>2.6666666666666505E-3</v>
      </c>
      <c r="AS1696">
        <v>0</v>
      </c>
      <c r="AT1696">
        <v>1.0866910866910866</v>
      </c>
      <c r="AU1696">
        <v>1.0026666666666666</v>
      </c>
      <c r="AV1696">
        <v>1</v>
      </c>
      <c r="AW1696">
        <v>0</v>
      </c>
      <c r="AX1696" t="s">
        <v>1118</v>
      </c>
      <c r="AY1696">
        <v>5.34</v>
      </c>
      <c r="AZ1696">
        <v>0</v>
      </c>
      <c r="BA1696" t="s">
        <v>94</v>
      </c>
      <c r="BB1696">
        <v>0</v>
      </c>
      <c r="BC1696" t="s">
        <v>95</v>
      </c>
      <c r="BD1696" t="s">
        <v>96</v>
      </c>
      <c r="BE1696" t="s">
        <v>97</v>
      </c>
      <c r="BF1696">
        <v>1</v>
      </c>
      <c r="BG1696">
        <v>0</v>
      </c>
      <c r="BH1696">
        <v>0</v>
      </c>
      <c r="BI1696" t="s">
        <v>98</v>
      </c>
    </row>
    <row r="1697" spans="1:61">
      <c r="A1697" s="164" t="s">
        <v>4121</v>
      </c>
      <c r="B1697" t="s">
        <v>4122</v>
      </c>
      <c r="C1697">
        <v>0</v>
      </c>
      <c r="D1697" t="s">
        <v>1553</v>
      </c>
      <c r="E1697">
        <v>0</v>
      </c>
      <c r="F1697" t="s">
        <v>2974</v>
      </c>
      <c r="G1697" t="s">
        <v>103</v>
      </c>
      <c r="H1697" t="s">
        <v>104</v>
      </c>
      <c r="I1697" t="s">
        <v>126</v>
      </c>
      <c r="J1697" t="s">
        <v>127</v>
      </c>
      <c r="K1697" t="s">
        <v>82</v>
      </c>
      <c r="L1697" t="s">
        <v>83</v>
      </c>
      <c r="M1697" t="s">
        <v>84</v>
      </c>
      <c r="N1697">
        <v>0.15</v>
      </c>
      <c r="O1697" t="b">
        <v>1</v>
      </c>
      <c r="P1697">
        <v>60</v>
      </c>
      <c r="Q1697" t="s">
        <v>85</v>
      </c>
      <c r="R1697" t="s">
        <v>1126</v>
      </c>
      <c r="S1697">
        <v>0</v>
      </c>
      <c r="T1697">
        <v>1</v>
      </c>
      <c r="U1697" s="36">
        <v>9.5219999999999999E-2</v>
      </c>
      <c r="V1697" t="s">
        <v>87</v>
      </c>
      <c r="W1697">
        <v>0</v>
      </c>
      <c r="X1697">
        <v>0</v>
      </c>
      <c r="Y1697">
        <v>96</v>
      </c>
      <c r="Z1697">
        <v>1.0416666666666666E-2</v>
      </c>
      <c r="AA1697">
        <v>30</v>
      </c>
      <c r="AB1697">
        <v>0</v>
      </c>
      <c r="AC1697">
        <v>0</v>
      </c>
      <c r="AD1697">
        <v>0</v>
      </c>
      <c r="AG1697" t="s">
        <v>129</v>
      </c>
      <c r="AH1697">
        <v>0</v>
      </c>
      <c r="AI1697">
        <v>0.9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 t="s">
        <v>4123</v>
      </c>
      <c r="AY1697">
        <v>0</v>
      </c>
      <c r="AZ1697">
        <v>1</v>
      </c>
      <c r="BA1697" t="s">
        <v>94</v>
      </c>
      <c r="BB1697">
        <v>0</v>
      </c>
      <c r="BC1697" t="s">
        <v>95</v>
      </c>
      <c r="BD1697" t="s">
        <v>96</v>
      </c>
      <c r="BE1697" t="s">
        <v>97</v>
      </c>
      <c r="BF1697">
        <v>0</v>
      </c>
      <c r="BG1697">
        <v>0</v>
      </c>
      <c r="BH1697">
        <v>0</v>
      </c>
      <c r="BI1697" t="s">
        <v>98</v>
      </c>
    </row>
    <row r="1698" spans="1:61">
      <c r="A1698" s="164" t="s">
        <v>4124</v>
      </c>
      <c r="B1698" t="s">
        <v>4125</v>
      </c>
      <c r="C1698">
        <v>0</v>
      </c>
      <c r="D1698" t="s">
        <v>486</v>
      </c>
      <c r="E1698">
        <v>0</v>
      </c>
      <c r="F1698" t="s">
        <v>1138</v>
      </c>
      <c r="G1698" t="s">
        <v>78</v>
      </c>
      <c r="H1698" t="s">
        <v>79</v>
      </c>
      <c r="I1698" t="s">
        <v>80</v>
      </c>
      <c r="J1698" t="s">
        <v>163</v>
      </c>
      <c r="K1698" t="s">
        <v>82</v>
      </c>
      <c r="L1698" t="s">
        <v>83</v>
      </c>
      <c r="M1698" t="s">
        <v>84</v>
      </c>
      <c r="N1698">
        <v>0.15</v>
      </c>
      <c r="O1698" t="b">
        <v>1</v>
      </c>
      <c r="P1698">
        <v>90</v>
      </c>
      <c r="Q1698" t="s">
        <v>137</v>
      </c>
      <c r="S1698">
        <v>0.15</v>
      </c>
      <c r="T1698">
        <v>1</v>
      </c>
      <c r="U1698" s="36">
        <v>1.186285</v>
      </c>
      <c r="V1698" t="s">
        <v>165</v>
      </c>
      <c r="X1698">
        <v>0</v>
      </c>
      <c r="Y1698">
        <v>150</v>
      </c>
      <c r="Z1698">
        <v>6.6666666666666671E-3</v>
      </c>
      <c r="AA1698">
        <v>35</v>
      </c>
      <c r="AB1698">
        <v>0</v>
      </c>
      <c r="AC1698">
        <v>0</v>
      </c>
      <c r="AE1698" t="s">
        <v>129</v>
      </c>
      <c r="AF1698" t="s">
        <v>1138</v>
      </c>
      <c r="AG1698" t="s">
        <v>129</v>
      </c>
      <c r="AH1698">
        <v>0</v>
      </c>
      <c r="AI1698">
        <v>9.9</v>
      </c>
      <c r="AJ1698" t="s">
        <v>167</v>
      </c>
      <c r="AM1698">
        <v>10.38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 t="s">
        <v>4126</v>
      </c>
      <c r="AY1698">
        <v>3.9216000000000002</v>
      </c>
      <c r="AZ1698">
        <v>0</v>
      </c>
      <c r="BA1698" t="s">
        <v>138</v>
      </c>
      <c r="BB1698">
        <v>2.94</v>
      </c>
      <c r="BC1698" t="s">
        <v>95</v>
      </c>
      <c r="BD1698" t="s">
        <v>96</v>
      </c>
      <c r="BE1698" t="s">
        <v>97</v>
      </c>
      <c r="BF1698">
        <v>1</v>
      </c>
      <c r="BG1698">
        <v>0</v>
      </c>
      <c r="BH1698">
        <v>0</v>
      </c>
      <c r="BI1698" t="s">
        <v>98</v>
      </c>
    </row>
    <row r="1699" spans="1:61">
      <c r="A1699" s="164" t="s">
        <v>4127</v>
      </c>
      <c r="B1699" t="s">
        <v>4128</v>
      </c>
      <c r="C1699">
        <v>0</v>
      </c>
      <c r="D1699" t="s">
        <v>107</v>
      </c>
      <c r="E1699">
        <v>0</v>
      </c>
      <c r="F1699" t="s">
        <v>108</v>
      </c>
      <c r="G1699" t="s">
        <v>103</v>
      </c>
      <c r="H1699" t="s">
        <v>104</v>
      </c>
      <c r="I1699" t="s">
        <v>80</v>
      </c>
      <c r="J1699" t="s">
        <v>81</v>
      </c>
      <c r="K1699" t="s">
        <v>468</v>
      </c>
      <c r="L1699" t="s">
        <v>111</v>
      </c>
      <c r="M1699" t="s">
        <v>84</v>
      </c>
      <c r="N1699">
        <v>2.7</v>
      </c>
      <c r="O1699" t="b">
        <v>0</v>
      </c>
      <c r="P1699">
        <v>45</v>
      </c>
      <c r="Q1699" t="s">
        <v>85</v>
      </c>
      <c r="S1699">
        <v>0</v>
      </c>
      <c r="T1699">
        <v>1</v>
      </c>
      <c r="V1699" t="s">
        <v>87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G1699" t="s">
        <v>129</v>
      </c>
      <c r="AH1699">
        <v>0</v>
      </c>
      <c r="AI1699">
        <v>0.6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Y1699">
        <v>0</v>
      </c>
      <c r="AZ1699">
        <v>0</v>
      </c>
      <c r="BA1699" t="s">
        <v>94</v>
      </c>
      <c r="BB1699">
        <v>0</v>
      </c>
      <c r="BC1699" t="s">
        <v>95</v>
      </c>
      <c r="BD1699" t="s">
        <v>469</v>
      </c>
      <c r="BE1699" t="s">
        <v>97</v>
      </c>
      <c r="BF1699">
        <v>0</v>
      </c>
      <c r="BG1699">
        <v>0</v>
      </c>
      <c r="BH1699">
        <v>0</v>
      </c>
      <c r="BI1699" t="s">
        <v>98</v>
      </c>
    </row>
    <row r="1700" spans="1:61">
      <c r="A1700" s="164" t="s">
        <v>4129</v>
      </c>
      <c r="B1700" t="s">
        <v>4130</v>
      </c>
      <c r="C1700">
        <v>0</v>
      </c>
      <c r="D1700" t="s">
        <v>107</v>
      </c>
      <c r="E1700">
        <v>0</v>
      </c>
      <c r="F1700" t="s">
        <v>499</v>
      </c>
      <c r="G1700" t="s">
        <v>103</v>
      </c>
      <c r="H1700" t="s">
        <v>104</v>
      </c>
      <c r="I1700" t="s">
        <v>80</v>
      </c>
      <c r="J1700" t="s">
        <v>81</v>
      </c>
      <c r="K1700" t="s">
        <v>468</v>
      </c>
      <c r="L1700" t="s">
        <v>111</v>
      </c>
      <c r="M1700" t="s">
        <v>84</v>
      </c>
      <c r="N1700">
        <v>1.26</v>
      </c>
      <c r="O1700" t="b">
        <v>0</v>
      </c>
      <c r="P1700">
        <v>45</v>
      </c>
      <c r="Q1700" t="s">
        <v>85</v>
      </c>
      <c r="S1700">
        <v>0</v>
      </c>
      <c r="T1700">
        <v>1</v>
      </c>
      <c r="V1700" t="s">
        <v>87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G1700" t="s">
        <v>129</v>
      </c>
      <c r="AH1700">
        <v>0</v>
      </c>
      <c r="AI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Y1700">
        <v>0</v>
      </c>
      <c r="AZ1700">
        <v>6</v>
      </c>
      <c r="BA1700" t="s">
        <v>94</v>
      </c>
      <c r="BB1700">
        <v>0</v>
      </c>
      <c r="BC1700" t="s">
        <v>95</v>
      </c>
      <c r="BD1700" t="s">
        <v>469</v>
      </c>
      <c r="BE1700" t="s">
        <v>97</v>
      </c>
      <c r="BF1700">
        <v>0</v>
      </c>
      <c r="BG1700">
        <v>0</v>
      </c>
      <c r="BH1700">
        <v>0</v>
      </c>
      <c r="BI1700" t="s">
        <v>98</v>
      </c>
    </row>
    <row r="1701" spans="1:61">
      <c r="A1701" s="164" t="s">
        <v>4131</v>
      </c>
      <c r="B1701" t="s">
        <v>4132</v>
      </c>
      <c r="C1701">
        <v>0</v>
      </c>
      <c r="D1701" t="s">
        <v>186</v>
      </c>
      <c r="E1701">
        <v>0</v>
      </c>
      <c r="F1701" t="s">
        <v>186</v>
      </c>
      <c r="G1701" t="s">
        <v>78</v>
      </c>
      <c r="H1701" t="s">
        <v>79</v>
      </c>
      <c r="I1701" t="s">
        <v>1587</v>
      </c>
      <c r="J1701" t="s">
        <v>1588</v>
      </c>
      <c r="K1701" t="s">
        <v>82</v>
      </c>
      <c r="L1701" t="s">
        <v>83</v>
      </c>
      <c r="M1701" t="s">
        <v>84</v>
      </c>
      <c r="N1701">
        <v>0.24</v>
      </c>
      <c r="O1701" t="b">
        <v>0</v>
      </c>
      <c r="P1701">
        <v>540</v>
      </c>
      <c r="Q1701" t="s">
        <v>188</v>
      </c>
      <c r="R1701" t="s">
        <v>128</v>
      </c>
      <c r="S1701">
        <v>0.24</v>
      </c>
      <c r="T1701">
        <v>1</v>
      </c>
      <c r="U1701" s="36">
        <v>1.5207199999999998</v>
      </c>
      <c r="V1701" t="s">
        <v>87</v>
      </c>
      <c r="W1701">
        <v>0</v>
      </c>
      <c r="X1701">
        <v>0</v>
      </c>
      <c r="Y1701">
        <v>15</v>
      </c>
      <c r="Z1701">
        <v>6.6666666666666666E-2</v>
      </c>
      <c r="AA1701">
        <v>0</v>
      </c>
      <c r="AB1701">
        <v>0</v>
      </c>
      <c r="AC1701">
        <v>0</v>
      </c>
      <c r="AD1701">
        <v>0</v>
      </c>
      <c r="AG1701" t="s">
        <v>129</v>
      </c>
      <c r="AH1701">
        <v>0</v>
      </c>
      <c r="AI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 t="s">
        <v>4133</v>
      </c>
      <c r="AY1701">
        <v>55</v>
      </c>
      <c r="AZ1701">
        <v>7</v>
      </c>
      <c r="BA1701" t="s">
        <v>94</v>
      </c>
      <c r="BB1701">
        <v>2.48</v>
      </c>
      <c r="BC1701" t="s">
        <v>95</v>
      </c>
      <c r="BD1701" t="s">
        <v>96</v>
      </c>
      <c r="BE1701" t="s">
        <v>97</v>
      </c>
      <c r="BF1701">
        <v>1</v>
      </c>
      <c r="BG1701">
        <v>0</v>
      </c>
      <c r="BH1701">
        <v>0</v>
      </c>
      <c r="BI1701" t="s">
        <v>98</v>
      </c>
    </row>
    <row r="1702" spans="1:61">
      <c r="A1702" s="164" t="s">
        <v>4134</v>
      </c>
      <c r="B1702" t="s">
        <v>4135</v>
      </c>
      <c r="C1702">
        <v>0</v>
      </c>
      <c r="D1702" t="s">
        <v>107</v>
      </c>
      <c r="E1702">
        <v>0</v>
      </c>
      <c r="F1702" t="s">
        <v>1207</v>
      </c>
      <c r="G1702" t="s">
        <v>103</v>
      </c>
      <c r="H1702" t="s">
        <v>104</v>
      </c>
      <c r="I1702" t="s">
        <v>80</v>
      </c>
      <c r="J1702" t="s">
        <v>81</v>
      </c>
      <c r="K1702" t="s">
        <v>82</v>
      </c>
      <c r="L1702" t="s">
        <v>83</v>
      </c>
      <c r="M1702" t="s">
        <v>84</v>
      </c>
      <c r="N1702">
        <v>0.12</v>
      </c>
      <c r="O1702" t="b">
        <v>1</v>
      </c>
      <c r="P1702">
        <v>45</v>
      </c>
      <c r="Q1702" t="s">
        <v>85</v>
      </c>
      <c r="R1702" t="s">
        <v>86</v>
      </c>
      <c r="S1702">
        <v>0.105</v>
      </c>
      <c r="T1702">
        <v>1</v>
      </c>
      <c r="U1702" s="36">
        <v>0.22248999999999999</v>
      </c>
      <c r="V1702" t="s">
        <v>87</v>
      </c>
      <c r="W1702">
        <v>150</v>
      </c>
      <c r="X1702">
        <v>0.45</v>
      </c>
      <c r="Y1702">
        <v>80</v>
      </c>
      <c r="Z1702">
        <v>1.2500000000000001E-2</v>
      </c>
      <c r="AA1702">
        <v>30</v>
      </c>
      <c r="AB1702">
        <v>0</v>
      </c>
      <c r="AC1702">
        <v>500</v>
      </c>
      <c r="AD1702">
        <v>4761.9047619047624</v>
      </c>
      <c r="AE1702" t="s">
        <v>88</v>
      </c>
      <c r="AF1702" t="s">
        <v>1117</v>
      </c>
      <c r="AG1702" t="s">
        <v>114</v>
      </c>
      <c r="AH1702">
        <v>0</v>
      </c>
      <c r="AI1702">
        <v>0.6</v>
      </c>
      <c r="AJ1702" t="s">
        <v>91</v>
      </c>
      <c r="AK1702" t="s">
        <v>92</v>
      </c>
      <c r="AL1702" t="s">
        <v>93</v>
      </c>
      <c r="AM1702">
        <v>0.34043629629629629</v>
      </c>
      <c r="AN1702">
        <v>0.22695753086419751</v>
      </c>
      <c r="AO1702">
        <v>0.35178417283950614</v>
      </c>
      <c r="AP1702">
        <v>0</v>
      </c>
      <c r="AQ1702">
        <v>8.6691086691086688E-2</v>
      </c>
      <c r="AR1702">
        <v>2.6666666666666505E-3</v>
      </c>
      <c r="AS1702">
        <v>0</v>
      </c>
      <c r="AT1702">
        <v>1.0866910866910866</v>
      </c>
      <c r="AU1702">
        <v>1.0026666666666666</v>
      </c>
      <c r="AV1702">
        <v>1</v>
      </c>
      <c r="AW1702">
        <v>0</v>
      </c>
      <c r="AX1702" t="s">
        <v>4136</v>
      </c>
      <c r="AY1702">
        <v>15.98</v>
      </c>
      <c r="AZ1702">
        <v>6</v>
      </c>
      <c r="BA1702" t="s">
        <v>94</v>
      </c>
      <c r="BB1702">
        <v>0.48</v>
      </c>
      <c r="BC1702" t="s">
        <v>95</v>
      </c>
      <c r="BD1702" t="s">
        <v>96</v>
      </c>
      <c r="BE1702" t="s">
        <v>97</v>
      </c>
      <c r="BF1702">
        <v>1</v>
      </c>
      <c r="BG1702">
        <v>0</v>
      </c>
      <c r="BH1702">
        <v>0</v>
      </c>
      <c r="BI1702" t="s">
        <v>98</v>
      </c>
    </row>
    <row r="1703" spans="1:61">
      <c r="A1703" s="164" t="s">
        <v>4137</v>
      </c>
      <c r="B1703" t="s">
        <v>4138</v>
      </c>
      <c r="C1703">
        <v>0</v>
      </c>
      <c r="D1703" t="s">
        <v>486</v>
      </c>
      <c r="E1703">
        <v>0</v>
      </c>
      <c r="F1703" t="s">
        <v>684</v>
      </c>
      <c r="G1703" t="s">
        <v>103</v>
      </c>
      <c r="H1703" t="s">
        <v>104</v>
      </c>
      <c r="I1703" t="s">
        <v>80</v>
      </c>
      <c r="J1703" t="s">
        <v>163</v>
      </c>
      <c r="K1703" t="s">
        <v>82</v>
      </c>
      <c r="L1703" t="s">
        <v>83</v>
      </c>
      <c r="M1703" t="s">
        <v>205</v>
      </c>
      <c r="N1703">
        <v>1</v>
      </c>
      <c r="O1703" t="b">
        <v>0</v>
      </c>
      <c r="P1703">
        <v>60</v>
      </c>
      <c r="Q1703" t="s">
        <v>137</v>
      </c>
      <c r="S1703">
        <v>1</v>
      </c>
      <c r="T1703">
        <v>1</v>
      </c>
      <c r="U1703" s="36">
        <v>6.3</v>
      </c>
      <c r="V1703" t="s">
        <v>165</v>
      </c>
      <c r="X1703">
        <v>0</v>
      </c>
      <c r="Y1703">
        <v>27</v>
      </c>
      <c r="Z1703">
        <v>0.1</v>
      </c>
      <c r="AA1703">
        <v>20</v>
      </c>
      <c r="AB1703">
        <v>0</v>
      </c>
      <c r="AC1703">
        <v>0</v>
      </c>
      <c r="AE1703" t="s">
        <v>129</v>
      </c>
      <c r="AF1703" t="s">
        <v>684</v>
      </c>
      <c r="AG1703" t="s">
        <v>129</v>
      </c>
      <c r="AH1703">
        <v>0</v>
      </c>
      <c r="AI1703">
        <v>10.199999999999999</v>
      </c>
      <c r="AJ1703" t="s">
        <v>167</v>
      </c>
      <c r="AM1703">
        <v>10.38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 t="s">
        <v>4139</v>
      </c>
      <c r="AY1703">
        <v>14.76</v>
      </c>
      <c r="AZ1703">
        <v>0</v>
      </c>
      <c r="BA1703" t="s">
        <v>138</v>
      </c>
      <c r="BB1703">
        <v>11.33</v>
      </c>
      <c r="BC1703" t="s">
        <v>95</v>
      </c>
      <c r="BD1703" t="s">
        <v>96</v>
      </c>
      <c r="BE1703" t="s">
        <v>97</v>
      </c>
      <c r="BF1703">
        <v>0</v>
      </c>
      <c r="BG1703">
        <v>0</v>
      </c>
      <c r="BH1703">
        <v>0</v>
      </c>
      <c r="BI1703" t="s">
        <v>98</v>
      </c>
    </row>
    <row r="1704" spans="1:61">
      <c r="A1704" s="164" t="s">
        <v>4140</v>
      </c>
      <c r="B1704" t="s">
        <v>4141</v>
      </c>
      <c r="C1704">
        <v>0</v>
      </c>
      <c r="D1704" t="s">
        <v>101</v>
      </c>
      <c r="E1704">
        <v>0</v>
      </c>
      <c r="F1704" t="s">
        <v>102</v>
      </c>
      <c r="G1704" t="s">
        <v>103</v>
      </c>
      <c r="H1704" t="s">
        <v>104</v>
      </c>
      <c r="I1704" t="s">
        <v>80</v>
      </c>
      <c r="J1704" t="s">
        <v>81</v>
      </c>
      <c r="K1704" t="s">
        <v>82</v>
      </c>
      <c r="L1704" t="s">
        <v>83</v>
      </c>
      <c r="M1704" t="s">
        <v>84</v>
      </c>
      <c r="N1704">
        <v>0.17499999999999999</v>
      </c>
      <c r="O1704" t="b">
        <v>0</v>
      </c>
      <c r="P1704">
        <v>45</v>
      </c>
      <c r="Q1704" t="s">
        <v>85</v>
      </c>
      <c r="S1704">
        <v>0</v>
      </c>
      <c r="T1704">
        <v>1</v>
      </c>
      <c r="U1704" s="36">
        <v>0.32184499999999999</v>
      </c>
      <c r="V1704" t="s">
        <v>87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G1704" t="s">
        <v>129</v>
      </c>
      <c r="AH1704">
        <v>0</v>
      </c>
      <c r="AI1704">
        <v>0.8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 t="s">
        <v>4142</v>
      </c>
      <c r="AY1704">
        <v>0</v>
      </c>
      <c r="AZ1704">
        <v>0</v>
      </c>
      <c r="BA1704" t="s">
        <v>94</v>
      </c>
      <c r="BB1704">
        <v>0</v>
      </c>
      <c r="BC1704" t="s">
        <v>95</v>
      </c>
      <c r="BD1704" t="s">
        <v>96</v>
      </c>
      <c r="BE1704" t="s">
        <v>97</v>
      </c>
      <c r="BF1704">
        <v>0</v>
      </c>
      <c r="BG1704">
        <v>0</v>
      </c>
      <c r="BH1704">
        <v>0</v>
      </c>
      <c r="BI1704" t="s">
        <v>98</v>
      </c>
    </row>
    <row r="1705" spans="1:61">
      <c r="A1705" s="164" t="s">
        <v>4143</v>
      </c>
      <c r="B1705" t="s">
        <v>4144</v>
      </c>
      <c r="C1705">
        <v>0</v>
      </c>
      <c r="D1705" t="s">
        <v>175</v>
      </c>
      <c r="E1705">
        <v>0</v>
      </c>
      <c r="F1705" t="s">
        <v>986</v>
      </c>
      <c r="G1705" t="s">
        <v>78</v>
      </c>
      <c r="H1705" t="s">
        <v>79</v>
      </c>
      <c r="I1705" t="s">
        <v>80</v>
      </c>
      <c r="J1705" t="s">
        <v>163</v>
      </c>
      <c r="K1705" t="s">
        <v>82</v>
      </c>
      <c r="L1705" t="s">
        <v>83</v>
      </c>
      <c r="M1705" t="s">
        <v>84</v>
      </c>
      <c r="N1705">
        <v>0.7</v>
      </c>
      <c r="O1705" t="b">
        <v>1</v>
      </c>
      <c r="P1705">
        <v>40</v>
      </c>
      <c r="Q1705" t="s">
        <v>137</v>
      </c>
      <c r="R1705" t="s">
        <v>164</v>
      </c>
      <c r="S1705">
        <v>0.7</v>
      </c>
      <c r="T1705">
        <v>1</v>
      </c>
      <c r="U1705" s="36">
        <v>3.8565149999999999</v>
      </c>
      <c r="V1705" t="s">
        <v>165</v>
      </c>
      <c r="W1705">
        <v>36</v>
      </c>
      <c r="X1705">
        <v>0</v>
      </c>
      <c r="Y1705">
        <v>54</v>
      </c>
      <c r="Z1705">
        <v>0</v>
      </c>
      <c r="AA1705">
        <v>35</v>
      </c>
      <c r="AB1705">
        <v>0</v>
      </c>
      <c r="AC1705">
        <v>0</v>
      </c>
      <c r="AD1705">
        <v>900</v>
      </c>
      <c r="AE1705" t="s">
        <v>166</v>
      </c>
      <c r="AF1705" t="s">
        <v>986</v>
      </c>
      <c r="AG1705" t="s">
        <v>129</v>
      </c>
      <c r="AH1705">
        <v>0</v>
      </c>
      <c r="AI1705">
        <v>9.4</v>
      </c>
      <c r="AJ1705" t="s">
        <v>493</v>
      </c>
      <c r="AM1705">
        <v>9.66</v>
      </c>
      <c r="AN1705">
        <v>0</v>
      </c>
      <c r="AO1705">
        <v>0</v>
      </c>
      <c r="AP1705">
        <v>0</v>
      </c>
      <c r="AQ1705">
        <v>4.8346055979643761E-2</v>
      </c>
      <c r="AR1705">
        <v>0</v>
      </c>
      <c r="AS1705">
        <v>0</v>
      </c>
      <c r="AT1705">
        <v>1.0483460559796438</v>
      </c>
      <c r="AU1705">
        <v>0</v>
      </c>
      <c r="AV1705">
        <v>0</v>
      </c>
      <c r="AW1705">
        <v>0</v>
      </c>
      <c r="AX1705" t="s">
        <v>4145</v>
      </c>
      <c r="AY1705">
        <v>6.8033000000000001</v>
      </c>
      <c r="AZ1705">
        <v>0</v>
      </c>
      <c r="BA1705" t="s">
        <v>138</v>
      </c>
      <c r="BB1705">
        <v>7.68</v>
      </c>
      <c r="BC1705" t="s">
        <v>95</v>
      </c>
      <c r="BD1705" t="s">
        <v>96</v>
      </c>
      <c r="BE1705" t="s">
        <v>97</v>
      </c>
      <c r="BF1705">
        <v>1</v>
      </c>
      <c r="BG1705">
        <v>0</v>
      </c>
      <c r="BH1705">
        <v>0</v>
      </c>
      <c r="BI1705" t="s">
        <v>98</v>
      </c>
    </row>
    <row r="1706" spans="1:61">
      <c r="A1706" s="164" t="s">
        <v>4146</v>
      </c>
      <c r="B1706" t="s">
        <v>4147</v>
      </c>
      <c r="C1706">
        <v>0</v>
      </c>
      <c r="D1706" t="s">
        <v>147</v>
      </c>
      <c r="E1706">
        <v>0</v>
      </c>
      <c r="F1706" t="s">
        <v>148</v>
      </c>
      <c r="G1706" t="s">
        <v>78</v>
      </c>
      <c r="H1706" t="s">
        <v>79</v>
      </c>
      <c r="I1706" t="s">
        <v>80</v>
      </c>
      <c r="J1706" t="s">
        <v>774</v>
      </c>
      <c r="K1706" t="s">
        <v>565</v>
      </c>
      <c r="L1706" t="s">
        <v>83</v>
      </c>
      <c r="M1706" t="s">
        <v>84</v>
      </c>
      <c r="N1706">
        <v>0.72</v>
      </c>
      <c r="O1706" t="b">
        <v>1</v>
      </c>
      <c r="P1706">
        <v>45</v>
      </c>
      <c r="Q1706" t="s">
        <v>85</v>
      </c>
      <c r="R1706" t="s">
        <v>86</v>
      </c>
      <c r="S1706">
        <v>0.72</v>
      </c>
      <c r="T1706">
        <v>1</v>
      </c>
      <c r="U1706" s="36">
        <v>1.235225</v>
      </c>
      <c r="V1706" t="s">
        <v>87</v>
      </c>
      <c r="W1706">
        <v>0</v>
      </c>
      <c r="X1706">
        <v>0</v>
      </c>
      <c r="Y1706">
        <v>12</v>
      </c>
      <c r="Z1706">
        <v>8.3333333333333329E-2</v>
      </c>
      <c r="AA1706">
        <v>30</v>
      </c>
      <c r="AB1706">
        <v>0</v>
      </c>
      <c r="AC1706">
        <v>0</v>
      </c>
      <c r="AD1706">
        <v>0</v>
      </c>
      <c r="AG1706" t="s">
        <v>129</v>
      </c>
      <c r="AH1706">
        <v>0</v>
      </c>
      <c r="AI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 t="s">
        <v>4148</v>
      </c>
      <c r="AY1706">
        <v>4.0999999999999996</v>
      </c>
      <c r="AZ1706">
        <v>0</v>
      </c>
      <c r="BA1706" t="s">
        <v>94</v>
      </c>
      <c r="BB1706">
        <v>3.01</v>
      </c>
      <c r="BC1706" t="s">
        <v>95</v>
      </c>
      <c r="BD1706" t="s">
        <v>139</v>
      </c>
      <c r="BE1706" t="s">
        <v>97</v>
      </c>
      <c r="BF1706">
        <v>1</v>
      </c>
      <c r="BG1706">
        <v>0</v>
      </c>
      <c r="BH1706">
        <v>0</v>
      </c>
      <c r="BI1706" t="s">
        <v>98</v>
      </c>
    </row>
    <row r="1707" spans="1:61">
      <c r="A1707" s="164" t="s">
        <v>4149</v>
      </c>
      <c r="B1707" t="s">
        <v>4150</v>
      </c>
      <c r="C1707">
        <v>0</v>
      </c>
      <c r="D1707" t="s">
        <v>107</v>
      </c>
      <c r="E1707">
        <v>0</v>
      </c>
      <c r="F1707" t="s">
        <v>108</v>
      </c>
      <c r="G1707" t="s">
        <v>103</v>
      </c>
      <c r="H1707" t="s">
        <v>104</v>
      </c>
      <c r="I1707" t="s">
        <v>80</v>
      </c>
      <c r="J1707" t="s">
        <v>81</v>
      </c>
      <c r="K1707" t="s">
        <v>468</v>
      </c>
      <c r="L1707" t="s">
        <v>111</v>
      </c>
      <c r="M1707" t="s">
        <v>84</v>
      </c>
      <c r="N1707">
        <v>4.5</v>
      </c>
      <c r="O1707" t="b">
        <v>0</v>
      </c>
      <c r="P1707">
        <v>45</v>
      </c>
      <c r="Q1707" t="s">
        <v>85</v>
      </c>
      <c r="S1707">
        <v>0</v>
      </c>
      <c r="T1707">
        <v>1</v>
      </c>
      <c r="U1707" s="36">
        <v>3.7705000000000002</v>
      </c>
      <c r="V1707" t="s">
        <v>87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G1707" t="s">
        <v>129</v>
      </c>
      <c r="AH1707">
        <v>0</v>
      </c>
      <c r="AI1707">
        <v>0.6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Y1707">
        <v>0</v>
      </c>
      <c r="AZ1707">
        <v>8</v>
      </c>
      <c r="BA1707" t="s">
        <v>94</v>
      </c>
      <c r="BB1707">
        <v>0</v>
      </c>
      <c r="BC1707" t="s">
        <v>95</v>
      </c>
      <c r="BD1707" t="s">
        <v>469</v>
      </c>
      <c r="BE1707" t="s">
        <v>97</v>
      </c>
      <c r="BF1707">
        <v>0</v>
      </c>
      <c r="BG1707">
        <v>0</v>
      </c>
      <c r="BH1707">
        <v>0</v>
      </c>
      <c r="BI1707" t="s">
        <v>98</v>
      </c>
    </row>
    <row r="1708" spans="1:61">
      <c r="A1708" s="164" t="s">
        <v>4151</v>
      </c>
      <c r="B1708" t="s">
        <v>4152</v>
      </c>
      <c r="C1708">
        <v>0</v>
      </c>
      <c r="D1708" t="s">
        <v>1811</v>
      </c>
      <c r="E1708">
        <v>0</v>
      </c>
      <c r="F1708" t="s">
        <v>4153</v>
      </c>
      <c r="G1708" t="s">
        <v>103</v>
      </c>
      <c r="H1708" t="s">
        <v>104</v>
      </c>
      <c r="I1708" t="s">
        <v>80</v>
      </c>
      <c r="J1708" t="s">
        <v>163</v>
      </c>
      <c r="K1708" t="s">
        <v>82</v>
      </c>
      <c r="L1708" t="s">
        <v>83</v>
      </c>
      <c r="M1708" t="s">
        <v>84</v>
      </c>
      <c r="N1708">
        <v>0.25</v>
      </c>
      <c r="O1708" t="b">
        <v>1</v>
      </c>
      <c r="P1708">
        <v>40</v>
      </c>
      <c r="Q1708" t="s">
        <v>137</v>
      </c>
      <c r="S1708">
        <v>0.25</v>
      </c>
      <c r="T1708">
        <v>1</v>
      </c>
      <c r="U1708" s="36">
        <v>0.99424000000000001</v>
      </c>
      <c r="V1708" t="s">
        <v>991</v>
      </c>
      <c r="X1708">
        <v>0</v>
      </c>
      <c r="Y1708">
        <v>96</v>
      </c>
      <c r="Z1708">
        <v>1.8518518518518517E-2</v>
      </c>
      <c r="AA1708">
        <v>35</v>
      </c>
      <c r="AB1708">
        <v>0</v>
      </c>
      <c r="AC1708">
        <v>0</v>
      </c>
      <c r="AE1708" t="s">
        <v>129</v>
      </c>
      <c r="AF1708" t="s">
        <v>4153</v>
      </c>
      <c r="AG1708" t="s">
        <v>129</v>
      </c>
      <c r="AH1708">
        <v>0</v>
      </c>
      <c r="AI1708">
        <v>1.6</v>
      </c>
      <c r="AM1708">
        <v>1.6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1.4</v>
      </c>
      <c r="AX1708" t="s">
        <v>4154</v>
      </c>
      <c r="AY1708">
        <v>12.98</v>
      </c>
      <c r="AZ1708">
        <v>0</v>
      </c>
      <c r="BA1708" t="s">
        <v>138</v>
      </c>
      <c r="BB1708">
        <v>2.66</v>
      </c>
      <c r="BC1708" t="s">
        <v>95</v>
      </c>
      <c r="BD1708" t="s">
        <v>96</v>
      </c>
      <c r="BE1708" t="s">
        <v>97</v>
      </c>
      <c r="BF1708">
        <v>1</v>
      </c>
      <c r="BG1708">
        <v>0</v>
      </c>
      <c r="BH1708">
        <v>0</v>
      </c>
      <c r="BI1708" t="s">
        <v>98</v>
      </c>
    </row>
    <row r="1709" spans="1:61">
      <c r="A1709" s="164" t="s">
        <v>4155</v>
      </c>
      <c r="B1709" t="s">
        <v>4156</v>
      </c>
      <c r="C1709">
        <v>0</v>
      </c>
      <c r="D1709" t="s">
        <v>101</v>
      </c>
      <c r="E1709">
        <v>0</v>
      </c>
      <c r="F1709" t="s">
        <v>102</v>
      </c>
      <c r="G1709" t="s">
        <v>78</v>
      </c>
      <c r="H1709" t="s">
        <v>79</v>
      </c>
      <c r="I1709" t="s">
        <v>80</v>
      </c>
      <c r="J1709" t="s">
        <v>774</v>
      </c>
      <c r="K1709" t="s">
        <v>565</v>
      </c>
      <c r="L1709" t="s">
        <v>83</v>
      </c>
      <c r="M1709" t="s">
        <v>84</v>
      </c>
      <c r="N1709">
        <v>0.68</v>
      </c>
      <c r="O1709" t="b">
        <v>1</v>
      </c>
      <c r="P1709">
        <v>45</v>
      </c>
      <c r="Q1709" t="s">
        <v>85</v>
      </c>
      <c r="R1709" t="s">
        <v>86</v>
      </c>
      <c r="S1709">
        <v>0.68</v>
      </c>
      <c r="T1709">
        <v>1</v>
      </c>
      <c r="U1709" s="36">
        <v>1.6522000000000001</v>
      </c>
      <c r="V1709" t="s">
        <v>87</v>
      </c>
      <c r="W1709">
        <v>0</v>
      </c>
      <c r="X1709">
        <v>0</v>
      </c>
      <c r="Y1709">
        <v>8</v>
      </c>
      <c r="Z1709">
        <v>0.125</v>
      </c>
      <c r="AA1709">
        <v>30</v>
      </c>
      <c r="AB1709">
        <v>0</v>
      </c>
      <c r="AC1709">
        <v>0</v>
      </c>
      <c r="AD1709">
        <v>0</v>
      </c>
      <c r="AG1709" t="s">
        <v>129</v>
      </c>
      <c r="AH1709">
        <v>0</v>
      </c>
      <c r="AI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 t="s">
        <v>4157</v>
      </c>
      <c r="AY1709">
        <v>4.9000000000000004</v>
      </c>
      <c r="AZ1709">
        <v>8</v>
      </c>
      <c r="BA1709" t="s">
        <v>94</v>
      </c>
      <c r="BB1709">
        <v>2.82</v>
      </c>
      <c r="BC1709" t="s">
        <v>95</v>
      </c>
      <c r="BD1709" t="s">
        <v>139</v>
      </c>
      <c r="BE1709" t="s">
        <v>97</v>
      </c>
      <c r="BF1709">
        <v>1</v>
      </c>
      <c r="BG1709">
        <v>0</v>
      </c>
      <c r="BH1709">
        <v>0</v>
      </c>
      <c r="BI1709" t="s">
        <v>98</v>
      </c>
    </row>
    <row r="1710" spans="1:61">
      <c r="A1710" s="164" t="s">
        <v>4158</v>
      </c>
      <c r="B1710" t="s">
        <v>4159</v>
      </c>
      <c r="C1710">
        <v>0</v>
      </c>
      <c r="D1710" t="s">
        <v>304</v>
      </c>
      <c r="E1710">
        <v>0</v>
      </c>
      <c r="F1710" t="s">
        <v>305</v>
      </c>
      <c r="G1710" t="s">
        <v>78</v>
      </c>
      <c r="H1710" t="s">
        <v>79</v>
      </c>
      <c r="I1710" t="s">
        <v>80</v>
      </c>
      <c r="J1710" t="s">
        <v>196</v>
      </c>
      <c r="K1710" t="s">
        <v>13</v>
      </c>
      <c r="L1710" t="s">
        <v>83</v>
      </c>
      <c r="M1710" t="s">
        <v>84</v>
      </c>
      <c r="N1710">
        <v>1</v>
      </c>
      <c r="O1710" t="b">
        <v>1</v>
      </c>
      <c r="P1710">
        <v>0</v>
      </c>
      <c r="BB1710">
        <v>0</v>
      </c>
      <c r="BC1710" t="s">
        <v>306</v>
      </c>
      <c r="BD1710" t="s">
        <v>307</v>
      </c>
      <c r="BE1710" t="s">
        <v>117</v>
      </c>
      <c r="BF1710">
        <v>0</v>
      </c>
      <c r="BG1710">
        <v>25</v>
      </c>
      <c r="BH1710">
        <v>20000</v>
      </c>
      <c r="BI1710" t="s">
        <v>308</v>
      </c>
    </row>
    <row r="1711" spans="1:61">
      <c r="A1711" s="164" t="s">
        <v>4160</v>
      </c>
      <c r="B1711" t="s">
        <v>4161</v>
      </c>
      <c r="C1711">
        <v>0</v>
      </c>
      <c r="D1711" t="s">
        <v>304</v>
      </c>
      <c r="E1711">
        <v>0</v>
      </c>
      <c r="F1711" t="s">
        <v>269</v>
      </c>
      <c r="G1711" t="s">
        <v>103</v>
      </c>
      <c r="H1711" t="s">
        <v>104</v>
      </c>
      <c r="I1711" t="s">
        <v>80</v>
      </c>
      <c r="J1711" t="s">
        <v>196</v>
      </c>
      <c r="K1711" t="s">
        <v>13</v>
      </c>
      <c r="L1711" t="s">
        <v>83</v>
      </c>
      <c r="M1711" t="s">
        <v>84</v>
      </c>
      <c r="N1711">
        <v>1</v>
      </c>
      <c r="O1711" t="b">
        <v>0</v>
      </c>
      <c r="P1711">
        <v>0</v>
      </c>
      <c r="BB1711">
        <v>0</v>
      </c>
      <c r="BC1711" t="s">
        <v>306</v>
      </c>
      <c r="BD1711" t="s">
        <v>270</v>
      </c>
      <c r="BE1711" t="s">
        <v>117</v>
      </c>
      <c r="BF1711">
        <v>0</v>
      </c>
      <c r="BG1711">
        <v>0</v>
      </c>
      <c r="BH1711">
        <v>0</v>
      </c>
    </row>
    <row r="1712" spans="1:61">
      <c r="A1712" s="164" t="s">
        <v>4162</v>
      </c>
      <c r="B1712" t="s">
        <v>4163</v>
      </c>
      <c r="C1712">
        <v>0</v>
      </c>
      <c r="D1712" t="s">
        <v>304</v>
      </c>
      <c r="E1712">
        <v>0</v>
      </c>
      <c r="F1712" t="s">
        <v>269</v>
      </c>
      <c r="G1712" t="s">
        <v>103</v>
      </c>
      <c r="H1712" t="s">
        <v>104</v>
      </c>
      <c r="I1712" t="s">
        <v>80</v>
      </c>
      <c r="J1712" t="s">
        <v>196</v>
      </c>
      <c r="K1712" t="s">
        <v>13</v>
      </c>
      <c r="L1712" t="s">
        <v>83</v>
      </c>
      <c r="M1712" t="s">
        <v>84</v>
      </c>
      <c r="N1712">
        <v>1</v>
      </c>
      <c r="O1712" t="b">
        <v>0</v>
      </c>
      <c r="P1712">
        <v>0</v>
      </c>
      <c r="BB1712">
        <v>0</v>
      </c>
      <c r="BC1712" t="s">
        <v>306</v>
      </c>
      <c r="BD1712" t="s">
        <v>270</v>
      </c>
      <c r="BE1712" t="s">
        <v>117</v>
      </c>
      <c r="BF1712">
        <v>0</v>
      </c>
      <c r="BG1712">
        <v>0</v>
      </c>
      <c r="BH1712">
        <v>0</v>
      </c>
    </row>
    <row r="1713" spans="1:61">
      <c r="A1713" s="164" t="s">
        <v>4164</v>
      </c>
      <c r="B1713" t="s">
        <v>4165</v>
      </c>
      <c r="C1713">
        <v>0</v>
      </c>
      <c r="D1713" t="s">
        <v>304</v>
      </c>
      <c r="E1713">
        <v>0</v>
      </c>
      <c r="F1713" t="s">
        <v>269</v>
      </c>
      <c r="G1713" t="s">
        <v>103</v>
      </c>
      <c r="H1713" t="s">
        <v>104</v>
      </c>
      <c r="I1713" t="s">
        <v>80</v>
      </c>
      <c r="J1713" t="s">
        <v>196</v>
      </c>
      <c r="K1713" t="s">
        <v>13</v>
      </c>
      <c r="L1713" t="s">
        <v>83</v>
      </c>
      <c r="M1713" t="s">
        <v>84</v>
      </c>
      <c r="N1713">
        <v>1</v>
      </c>
      <c r="O1713" t="b">
        <v>0</v>
      </c>
      <c r="P1713">
        <v>0</v>
      </c>
      <c r="BB1713">
        <v>0</v>
      </c>
      <c r="BC1713" t="s">
        <v>306</v>
      </c>
      <c r="BD1713" t="s">
        <v>270</v>
      </c>
      <c r="BE1713" t="s">
        <v>117</v>
      </c>
      <c r="BF1713">
        <v>0</v>
      </c>
      <c r="BG1713">
        <v>0</v>
      </c>
      <c r="BH1713">
        <v>0</v>
      </c>
    </row>
    <row r="1714" spans="1:61">
      <c r="A1714" s="164" t="s">
        <v>4166</v>
      </c>
      <c r="B1714" t="s">
        <v>4167</v>
      </c>
      <c r="C1714">
        <v>0</v>
      </c>
      <c r="D1714" t="s">
        <v>304</v>
      </c>
      <c r="E1714">
        <v>0</v>
      </c>
      <c r="F1714" t="s">
        <v>269</v>
      </c>
      <c r="G1714" t="s">
        <v>103</v>
      </c>
      <c r="H1714" t="s">
        <v>104</v>
      </c>
      <c r="I1714" t="s">
        <v>80</v>
      </c>
      <c r="J1714" t="s">
        <v>196</v>
      </c>
      <c r="K1714" t="s">
        <v>13</v>
      </c>
      <c r="L1714" t="s">
        <v>83</v>
      </c>
      <c r="M1714" t="s">
        <v>84</v>
      </c>
      <c r="N1714">
        <v>1</v>
      </c>
      <c r="O1714" t="b">
        <v>0</v>
      </c>
      <c r="P1714">
        <v>0</v>
      </c>
      <c r="BB1714">
        <v>0</v>
      </c>
      <c r="BC1714" t="s">
        <v>306</v>
      </c>
      <c r="BD1714" t="s">
        <v>270</v>
      </c>
      <c r="BE1714" t="s">
        <v>117</v>
      </c>
      <c r="BF1714">
        <v>0</v>
      </c>
      <c r="BG1714">
        <v>0</v>
      </c>
      <c r="BH1714">
        <v>0</v>
      </c>
    </row>
    <row r="1715" spans="1:61">
      <c r="A1715" s="164" t="s">
        <v>4168</v>
      </c>
      <c r="B1715" t="s">
        <v>4169</v>
      </c>
      <c r="C1715">
        <v>0</v>
      </c>
      <c r="D1715" t="s">
        <v>304</v>
      </c>
      <c r="E1715">
        <v>0</v>
      </c>
      <c r="F1715" t="s">
        <v>269</v>
      </c>
      <c r="G1715" t="s">
        <v>103</v>
      </c>
      <c r="H1715" t="s">
        <v>104</v>
      </c>
      <c r="I1715" t="s">
        <v>80</v>
      </c>
      <c r="J1715" t="s">
        <v>196</v>
      </c>
      <c r="K1715" t="s">
        <v>13</v>
      </c>
      <c r="L1715" t="s">
        <v>83</v>
      </c>
      <c r="M1715" t="s">
        <v>84</v>
      </c>
      <c r="N1715">
        <v>1</v>
      </c>
      <c r="O1715" t="b">
        <v>0</v>
      </c>
      <c r="P1715">
        <v>0</v>
      </c>
      <c r="BB1715">
        <v>0</v>
      </c>
      <c r="BC1715" t="s">
        <v>306</v>
      </c>
      <c r="BD1715" t="s">
        <v>270</v>
      </c>
      <c r="BE1715" t="s">
        <v>117</v>
      </c>
      <c r="BF1715">
        <v>0</v>
      </c>
      <c r="BG1715">
        <v>0</v>
      </c>
      <c r="BH1715">
        <v>0</v>
      </c>
    </row>
    <row r="1716" spans="1:61">
      <c r="A1716" s="164" t="s">
        <v>4170</v>
      </c>
      <c r="B1716" t="s">
        <v>4171</v>
      </c>
      <c r="C1716">
        <v>0</v>
      </c>
      <c r="D1716" t="s">
        <v>304</v>
      </c>
      <c r="E1716">
        <v>0</v>
      </c>
      <c r="F1716" t="s">
        <v>269</v>
      </c>
      <c r="G1716" t="s">
        <v>103</v>
      </c>
      <c r="H1716" t="s">
        <v>104</v>
      </c>
      <c r="I1716" t="s">
        <v>80</v>
      </c>
      <c r="J1716" t="s">
        <v>196</v>
      </c>
      <c r="K1716" t="s">
        <v>13</v>
      </c>
      <c r="L1716" t="s">
        <v>83</v>
      </c>
      <c r="M1716" t="s">
        <v>84</v>
      </c>
      <c r="N1716">
        <v>1</v>
      </c>
      <c r="O1716" t="b">
        <v>0</v>
      </c>
      <c r="P1716">
        <v>0</v>
      </c>
      <c r="BB1716">
        <v>0</v>
      </c>
      <c r="BC1716" t="s">
        <v>306</v>
      </c>
      <c r="BD1716" t="s">
        <v>270</v>
      </c>
      <c r="BE1716" t="s">
        <v>117</v>
      </c>
      <c r="BF1716">
        <v>0</v>
      </c>
      <c r="BG1716">
        <v>0</v>
      </c>
      <c r="BH1716">
        <v>0</v>
      </c>
    </row>
    <row r="1717" spans="1:61">
      <c r="A1717" s="164" t="s">
        <v>4172</v>
      </c>
      <c r="B1717" t="s">
        <v>4173</v>
      </c>
      <c r="C1717">
        <v>0</v>
      </c>
      <c r="D1717" t="s">
        <v>304</v>
      </c>
      <c r="E1717">
        <v>0</v>
      </c>
      <c r="F1717" t="s">
        <v>430</v>
      </c>
      <c r="G1717" t="s">
        <v>78</v>
      </c>
      <c r="H1717" t="s">
        <v>79</v>
      </c>
      <c r="I1717" t="s">
        <v>80</v>
      </c>
      <c r="J1717" t="s">
        <v>196</v>
      </c>
      <c r="K1717" t="s">
        <v>13</v>
      </c>
      <c r="L1717" t="s">
        <v>83</v>
      </c>
      <c r="M1717" t="s">
        <v>606</v>
      </c>
      <c r="N1717">
        <v>1</v>
      </c>
      <c r="O1717" t="b">
        <v>1</v>
      </c>
      <c r="P1717">
        <v>0</v>
      </c>
      <c r="BB1717">
        <v>0</v>
      </c>
      <c r="BC1717" t="s">
        <v>306</v>
      </c>
      <c r="BD1717" t="s">
        <v>431</v>
      </c>
      <c r="BE1717" t="s">
        <v>117</v>
      </c>
      <c r="BF1717">
        <v>0</v>
      </c>
      <c r="BG1717">
        <v>15</v>
      </c>
      <c r="BH1717">
        <v>2</v>
      </c>
      <c r="BI1717" t="s">
        <v>435</v>
      </c>
    </row>
    <row r="1718" spans="1:61">
      <c r="A1718" s="164" t="s">
        <v>4174</v>
      </c>
      <c r="B1718" t="s">
        <v>4175</v>
      </c>
      <c r="C1718">
        <v>0</v>
      </c>
      <c r="D1718" t="s">
        <v>175</v>
      </c>
      <c r="E1718">
        <v>0</v>
      </c>
      <c r="F1718" t="s">
        <v>844</v>
      </c>
      <c r="G1718" t="s">
        <v>487</v>
      </c>
      <c r="H1718" t="s">
        <v>79</v>
      </c>
      <c r="I1718" t="s">
        <v>80</v>
      </c>
      <c r="J1718" t="s">
        <v>163</v>
      </c>
      <c r="K1718" t="s">
        <v>82</v>
      </c>
      <c r="L1718" t="s">
        <v>83</v>
      </c>
      <c r="M1718" t="s">
        <v>84</v>
      </c>
      <c r="N1718">
        <v>0.05</v>
      </c>
      <c r="O1718" t="b">
        <v>1</v>
      </c>
      <c r="P1718">
        <v>40</v>
      </c>
      <c r="Q1718" t="s">
        <v>137</v>
      </c>
      <c r="R1718" t="s">
        <v>164</v>
      </c>
      <c r="S1718">
        <v>0.05</v>
      </c>
      <c r="T1718">
        <v>1</v>
      </c>
      <c r="U1718" s="36">
        <v>0.30701500000000004</v>
      </c>
      <c r="V1718" t="s">
        <v>165</v>
      </c>
      <c r="W1718">
        <v>120</v>
      </c>
      <c r="X1718">
        <v>0</v>
      </c>
      <c r="Y1718">
        <v>150</v>
      </c>
      <c r="Z1718">
        <v>0</v>
      </c>
      <c r="AA1718">
        <v>35</v>
      </c>
      <c r="AB1718">
        <v>0</v>
      </c>
      <c r="AC1718">
        <v>0</v>
      </c>
      <c r="AD1718">
        <v>12000</v>
      </c>
      <c r="AE1718" t="s">
        <v>166</v>
      </c>
      <c r="AF1718" t="s">
        <v>844</v>
      </c>
      <c r="AG1718" t="s">
        <v>129</v>
      </c>
      <c r="AH1718">
        <v>0</v>
      </c>
      <c r="AI1718">
        <v>9.5</v>
      </c>
      <c r="AJ1718" t="s">
        <v>177</v>
      </c>
      <c r="AM1718">
        <v>10.11</v>
      </c>
      <c r="AN1718">
        <v>0</v>
      </c>
      <c r="AO1718">
        <v>0</v>
      </c>
      <c r="AP1718">
        <v>0</v>
      </c>
      <c r="AQ1718">
        <v>2.8571428571428564E-2</v>
      </c>
      <c r="AR1718">
        <v>0</v>
      </c>
      <c r="AS1718">
        <v>0</v>
      </c>
      <c r="AT1718">
        <v>1.0285714285714285</v>
      </c>
      <c r="AU1718">
        <v>0</v>
      </c>
      <c r="AV1718">
        <v>0</v>
      </c>
      <c r="AW1718">
        <v>0</v>
      </c>
      <c r="AY1718">
        <v>2.2258</v>
      </c>
      <c r="AZ1718">
        <v>5</v>
      </c>
      <c r="BA1718" t="s">
        <v>138</v>
      </c>
      <c r="BB1718">
        <v>0</v>
      </c>
      <c r="BC1718" t="s">
        <v>95</v>
      </c>
      <c r="BD1718" t="s">
        <v>96</v>
      </c>
      <c r="BE1718" t="s">
        <v>97</v>
      </c>
      <c r="BF1718">
        <v>1</v>
      </c>
      <c r="BG1718">
        <v>0</v>
      </c>
      <c r="BH1718">
        <v>0</v>
      </c>
      <c r="BI1718" t="s">
        <v>98</v>
      </c>
    </row>
    <row r="1719" spans="1:61">
      <c r="A1719" s="164" t="s">
        <v>4176</v>
      </c>
      <c r="B1719" t="s">
        <v>4177</v>
      </c>
      <c r="C1719">
        <v>0</v>
      </c>
      <c r="D1719" t="s">
        <v>486</v>
      </c>
      <c r="E1719">
        <v>0</v>
      </c>
      <c r="F1719" t="s">
        <v>2261</v>
      </c>
      <c r="G1719" t="s">
        <v>487</v>
      </c>
      <c r="H1719" t="s">
        <v>79</v>
      </c>
      <c r="I1719" t="s">
        <v>80</v>
      </c>
      <c r="J1719" t="s">
        <v>163</v>
      </c>
      <c r="K1719" t="s">
        <v>82</v>
      </c>
      <c r="L1719" t="s">
        <v>83</v>
      </c>
      <c r="M1719" t="s">
        <v>84</v>
      </c>
      <c r="N1719">
        <v>0.05</v>
      </c>
      <c r="O1719" t="b">
        <v>1</v>
      </c>
      <c r="P1719">
        <v>60</v>
      </c>
      <c r="Q1719" t="s">
        <v>137</v>
      </c>
      <c r="S1719">
        <v>0.05</v>
      </c>
      <c r="T1719">
        <v>1</v>
      </c>
      <c r="U1719" s="36">
        <v>2.68</v>
      </c>
      <c r="V1719" t="s">
        <v>165</v>
      </c>
      <c r="X1719">
        <v>0</v>
      </c>
      <c r="Y1719">
        <v>30</v>
      </c>
      <c r="Z1719">
        <v>3.3333333333333333E-2</v>
      </c>
      <c r="AA1719">
        <v>35</v>
      </c>
      <c r="AB1719">
        <v>0</v>
      </c>
      <c r="AC1719">
        <v>0</v>
      </c>
      <c r="AE1719" t="s">
        <v>129</v>
      </c>
      <c r="AF1719" t="s">
        <v>2261</v>
      </c>
      <c r="AG1719" t="s">
        <v>129</v>
      </c>
      <c r="AH1719">
        <v>0</v>
      </c>
      <c r="AI1719">
        <v>10.199999999999999</v>
      </c>
      <c r="AJ1719" t="s">
        <v>167</v>
      </c>
      <c r="AM1719">
        <v>10.38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 t="s">
        <v>2862</v>
      </c>
      <c r="AY1719">
        <v>10.15</v>
      </c>
      <c r="AZ1719">
        <v>8</v>
      </c>
      <c r="BA1719" t="s">
        <v>138</v>
      </c>
      <c r="BB1719">
        <v>0</v>
      </c>
      <c r="BC1719" t="s">
        <v>95</v>
      </c>
      <c r="BD1719" t="s">
        <v>96</v>
      </c>
      <c r="BE1719" t="s">
        <v>97</v>
      </c>
      <c r="BF1719">
        <v>1</v>
      </c>
      <c r="BG1719">
        <v>0</v>
      </c>
      <c r="BH1719">
        <v>0</v>
      </c>
      <c r="BI1719" t="s">
        <v>98</v>
      </c>
    </row>
    <row r="1720" spans="1:61">
      <c r="A1720" s="164" t="s">
        <v>4178</v>
      </c>
      <c r="B1720" t="s">
        <v>4179</v>
      </c>
      <c r="C1720">
        <v>0</v>
      </c>
      <c r="D1720" t="s">
        <v>181</v>
      </c>
      <c r="E1720">
        <v>0</v>
      </c>
      <c r="F1720" t="s">
        <v>181</v>
      </c>
      <c r="G1720" t="s">
        <v>487</v>
      </c>
      <c r="H1720" t="s">
        <v>79</v>
      </c>
      <c r="I1720" t="s">
        <v>80</v>
      </c>
      <c r="J1720" t="s">
        <v>163</v>
      </c>
      <c r="K1720" t="s">
        <v>82</v>
      </c>
      <c r="L1720" t="s">
        <v>83</v>
      </c>
      <c r="M1720" t="s">
        <v>84</v>
      </c>
      <c r="N1720">
        <v>0.2</v>
      </c>
      <c r="O1720" t="b">
        <v>1</v>
      </c>
      <c r="P1720">
        <v>90</v>
      </c>
      <c r="Q1720" t="s">
        <v>137</v>
      </c>
      <c r="S1720">
        <v>0.2</v>
      </c>
      <c r="T1720">
        <v>1</v>
      </c>
      <c r="U1720" s="36">
        <v>0.47434500000000002</v>
      </c>
      <c r="V1720" t="s">
        <v>991</v>
      </c>
      <c r="W1720">
        <v>8</v>
      </c>
      <c r="X1720">
        <v>0</v>
      </c>
      <c r="Y1720">
        <v>70</v>
      </c>
      <c r="AA1720">
        <v>35</v>
      </c>
      <c r="AB1720">
        <v>0</v>
      </c>
      <c r="AC1720">
        <v>0</v>
      </c>
      <c r="AD1720">
        <v>1600</v>
      </c>
      <c r="AE1720" t="s">
        <v>1699</v>
      </c>
      <c r="AF1720" t="s">
        <v>181</v>
      </c>
      <c r="AG1720" t="s">
        <v>129</v>
      </c>
      <c r="AH1720">
        <v>0</v>
      </c>
      <c r="AI1720">
        <v>11</v>
      </c>
      <c r="AM1720">
        <v>3.52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 t="s">
        <v>1700</v>
      </c>
      <c r="AZ1720">
        <v>0</v>
      </c>
      <c r="BA1720" t="s">
        <v>138</v>
      </c>
      <c r="BB1720">
        <v>0</v>
      </c>
      <c r="BC1720" t="s">
        <v>95</v>
      </c>
      <c r="BD1720" t="s">
        <v>96</v>
      </c>
      <c r="BE1720" t="s">
        <v>97</v>
      </c>
      <c r="BF1720">
        <v>1</v>
      </c>
      <c r="BG1720">
        <v>0</v>
      </c>
      <c r="BH1720">
        <v>0</v>
      </c>
      <c r="BI1720" t="s">
        <v>98</v>
      </c>
    </row>
    <row r="1721" spans="1:61">
      <c r="A1721" s="164" t="s">
        <v>4180</v>
      </c>
      <c r="B1721" t="s">
        <v>4181</v>
      </c>
      <c r="C1721">
        <v>0</v>
      </c>
      <c r="D1721" t="s">
        <v>181</v>
      </c>
      <c r="E1721">
        <v>0</v>
      </c>
      <c r="F1721" t="s">
        <v>181</v>
      </c>
      <c r="G1721" t="s">
        <v>487</v>
      </c>
      <c r="H1721" t="s">
        <v>79</v>
      </c>
      <c r="I1721" t="s">
        <v>80</v>
      </c>
      <c r="J1721" t="s">
        <v>163</v>
      </c>
      <c r="K1721" t="s">
        <v>82</v>
      </c>
      <c r="L1721" t="s">
        <v>83</v>
      </c>
      <c r="M1721" t="s">
        <v>84</v>
      </c>
      <c r="N1721">
        <v>0.19</v>
      </c>
      <c r="O1721" t="b">
        <v>1</v>
      </c>
      <c r="P1721">
        <v>90</v>
      </c>
      <c r="Q1721" t="s">
        <v>137</v>
      </c>
      <c r="S1721">
        <v>0.19</v>
      </c>
      <c r="T1721">
        <v>1</v>
      </c>
      <c r="U1721" s="36">
        <v>0.47434500000000002</v>
      </c>
      <c r="V1721" t="s">
        <v>991</v>
      </c>
      <c r="W1721">
        <v>8</v>
      </c>
      <c r="X1721">
        <v>0</v>
      </c>
      <c r="Y1721">
        <v>70</v>
      </c>
      <c r="AA1721">
        <v>35</v>
      </c>
      <c r="AB1721">
        <v>0</v>
      </c>
      <c r="AC1721">
        <v>0</v>
      </c>
      <c r="AD1721">
        <v>1600</v>
      </c>
      <c r="AE1721" t="s">
        <v>1699</v>
      </c>
      <c r="AF1721" t="s">
        <v>181</v>
      </c>
      <c r="AG1721" t="s">
        <v>129</v>
      </c>
      <c r="AH1721">
        <v>0</v>
      </c>
      <c r="AI1721">
        <v>11</v>
      </c>
      <c r="AM1721">
        <v>3.52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 t="s">
        <v>1700</v>
      </c>
      <c r="AZ1721">
        <v>0</v>
      </c>
      <c r="BA1721" t="s">
        <v>138</v>
      </c>
      <c r="BB1721">
        <v>0</v>
      </c>
      <c r="BC1721" t="s">
        <v>95</v>
      </c>
      <c r="BD1721" t="s">
        <v>96</v>
      </c>
      <c r="BE1721" t="s">
        <v>97</v>
      </c>
      <c r="BF1721">
        <v>1</v>
      </c>
      <c r="BG1721">
        <v>0</v>
      </c>
      <c r="BH1721">
        <v>0</v>
      </c>
      <c r="BI1721" t="s">
        <v>98</v>
      </c>
    </row>
    <row r="1722" spans="1:61">
      <c r="A1722" s="164" t="s">
        <v>4182</v>
      </c>
      <c r="B1722" t="s">
        <v>4183</v>
      </c>
      <c r="C1722">
        <v>0</v>
      </c>
      <c r="D1722" t="s">
        <v>175</v>
      </c>
      <c r="E1722">
        <v>0</v>
      </c>
      <c r="F1722" t="s">
        <v>4184</v>
      </c>
      <c r="G1722" t="s">
        <v>78</v>
      </c>
      <c r="H1722" t="s">
        <v>79</v>
      </c>
      <c r="I1722" t="s">
        <v>80</v>
      </c>
      <c r="J1722" t="s">
        <v>163</v>
      </c>
      <c r="K1722" t="s">
        <v>82</v>
      </c>
      <c r="L1722" t="s">
        <v>83</v>
      </c>
      <c r="M1722" t="s">
        <v>84</v>
      </c>
      <c r="N1722">
        <v>0.35</v>
      </c>
      <c r="O1722" t="b">
        <v>1</v>
      </c>
      <c r="P1722">
        <v>40</v>
      </c>
      <c r="Q1722" t="s">
        <v>137</v>
      </c>
      <c r="R1722" t="s">
        <v>164</v>
      </c>
      <c r="S1722">
        <v>0.35</v>
      </c>
      <c r="T1722">
        <v>1</v>
      </c>
      <c r="U1722" s="36">
        <v>0.94696000000000002</v>
      </c>
      <c r="V1722" t="s">
        <v>165</v>
      </c>
      <c r="W1722">
        <v>85</v>
      </c>
      <c r="X1722">
        <v>0</v>
      </c>
      <c r="Y1722">
        <v>120</v>
      </c>
      <c r="Z1722">
        <v>0</v>
      </c>
      <c r="AA1722">
        <v>35</v>
      </c>
      <c r="AB1722">
        <v>0</v>
      </c>
      <c r="AC1722">
        <v>0</v>
      </c>
      <c r="AD1722">
        <v>4000</v>
      </c>
      <c r="AE1722" t="s">
        <v>166</v>
      </c>
      <c r="AF1722" t="s">
        <v>508</v>
      </c>
      <c r="AG1722" t="s">
        <v>129</v>
      </c>
      <c r="AH1722">
        <v>0</v>
      </c>
      <c r="AI1722">
        <v>7.8</v>
      </c>
      <c r="AJ1722" t="s">
        <v>167</v>
      </c>
      <c r="AM1722">
        <v>8.3000000000000007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 t="s">
        <v>509</v>
      </c>
      <c r="AY1722">
        <v>15.860300000000001</v>
      </c>
      <c r="AZ1722">
        <v>0</v>
      </c>
      <c r="BA1722" t="s">
        <v>138</v>
      </c>
      <c r="BB1722">
        <v>0</v>
      </c>
      <c r="BC1722" t="s">
        <v>95</v>
      </c>
      <c r="BD1722" t="s">
        <v>96</v>
      </c>
      <c r="BE1722" t="s">
        <v>97</v>
      </c>
      <c r="BF1722">
        <v>1</v>
      </c>
      <c r="BG1722">
        <v>0</v>
      </c>
      <c r="BH1722">
        <v>0</v>
      </c>
      <c r="BI1722" t="s">
        <v>98</v>
      </c>
    </row>
    <row r="1723" spans="1:61">
      <c r="A1723" s="164" t="s">
        <v>4185</v>
      </c>
      <c r="B1723" t="s">
        <v>4186</v>
      </c>
      <c r="C1723">
        <v>0</v>
      </c>
      <c r="D1723" t="s">
        <v>175</v>
      </c>
      <c r="E1723">
        <v>0</v>
      </c>
      <c r="F1723" t="s">
        <v>4184</v>
      </c>
      <c r="G1723" t="s">
        <v>78</v>
      </c>
      <c r="H1723" t="s">
        <v>79</v>
      </c>
      <c r="I1723" t="s">
        <v>80</v>
      </c>
      <c r="J1723" t="s">
        <v>163</v>
      </c>
      <c r="K1723" t="s">
        <v>82</v>
      </c>
      <c r="L1723" t="s">
        <v>83</v>
      </c>
      <c r="M1723" t="s">
        <v>84</v>
      </c>
      <c r="N1723">
        <v>0.15</v>
      </c>
      <c r="O1723" t="b">
        <v>1</v>
      </c>
      <c r="P1723">
        <v>40</v>
      </c>
      <c r="Q1723" t="s">
        <v>137</v>
      </c>
      <c r="R1723" t="s">
        <v>164</v>
      </c>
      <c r="S1723">
        <v>0.15</v>
      </c>
      <c r="T1723">
        <v>1</v>
      </c>
      <c r="U1723" s="36">
        <v>0.94696000000000002</v>
      </c>
      <c r="V1723" t="s">
        <v>165</v>
      </c>
      <c r="W1723">
        <v>85</v>
      </c>
      <c r="X1723">
        <v>0</v>
      </c>
      <c r="Y1723">
        <v>120</v>
      </c>
      <c r="Z1723">
        <v>0</v>
      </c>
      <c r="AA1723">
        <v>35</v>
      </c>
      <c r="AB1723">
        <v>0</v>
      </c>
      <c r="AC1723">
        <v>0</v>
      </c>
      <c r="AD1723">
        <v>4000</v>
      </c>
      <c r="AE1723" t="s">
        <v>166</v>
      </c>
      <c r="AF1723" t="s">
        <v>508</v>
      </c>
      <c r="AG1723" t="s">
        <v>129</v>
      </c>
      <c r="AH1723">
        <v>0</v>
      </c>
      <c r="AI1723">
        <v>7.8</v>
      </c>
      <c r="AJ1723" t="s">
        <v>167</v>
      </c>
      <c r="AM1723">
        <v>8.3000000000000007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 t="s">
        <v>509</v>
      </c>
      <c r="AY1723">
        <v>15.860300000000001</v>
      </c>
      <c r="AZ1723">
        <v>0</v>
      </c>
      <c r="BA1723" t="s">
        <v>138</v>
      </c>
      <c r="BB1723">
        <v>0</v>
      </c>
      <c r="BC1723" t="s">
        <v>95</v>
      </c>
      <c r="BD1723" t="s">
        <v>96</v>
      </c>
      <c r="BE1723" t="s">
        <v>97</v>
      </c>
      <c r="BF1723">
        <v>1</v>
      </c>
      <c r="BG1723">
        <v>0</v>
      </c>
      <c r="BH1723">
        <v>0</v>
      </c>
      <c r="BI1723" t="s">
        <v>98</v>
      </c>
    </row>
    <row r="1724" spans="1:61">
      <c r="A1724" s="164" t="s">
        <v>4187</v>
      </c>
      <c r="B1724" t="s">
        <v>4188</v>
      </c>
      <c r="C1724">
        <v>0</v>
      </c>
      <c r="D1724" t="s">
        <v>175</v>
      </c>
      <c r="E1724">
        <v>0</v>
      </c>
      <c r="F1724" t="s">
        <v>4184</v>
      </c>
      <c r="G1724" t="s">
        <v>78</v>
      </c>
      <c r="H1724" t="s">
        <v>79</v>
      </c>
      <c r="I1724" t="s">
        <v>80</v>
      </c>
      <c r="J1724" t="s">
        <v>163</v>
      </c>
      <c r="K1724" t="s">
        <v>82</v>
      </c>
      <c r="L1724" t="s">
        <v>83</v>
      </c>
      <c r="M1724" t="s">
        <v>205</v>
      </c>
      <c r="N1724">
        <v>0.05</v>
      </c>
      <c r="O1724" t="b">
        <v>1</v>
      </c>
      <c r="P1724">
        <v>40</v>
      </c>
      <c r="Q1724" t="s">
        <v>137</v>
      </c>
      <c r="S1724">
        <v>0.05</v>
      </c>
      <c r="T1724">
        <v>1</v>
      </c>
      <c r="U1724" s="36">
        <v>5.7276199999999999</v>
      </c>
      <c r="V1724" t="s">
        <v>165</v>
      </c>
      <c r="X1724">
        <v>0</v>
      </c>
      <c r="Y1724">
        <v>30</v>
      </c>
      <c r="Z1724">
        <v>0.1</v>
      </c>
      <c r="AA1724">
        <v>20</v>
      </c>
      <c r="AB1724">
        <v>0</v>
      </c>
      <c r="AC1724">
        <v>0</v>
      </c>
      <c r="AE1724" t="s">
        <v>129</v>
      </c>
      <c r="AF1724" t="s">
        <v>758</v>
      </c>
      <c r="AG1724" t="s">
        <v>129</v>
      </c>
      <c r="AH1724">
        <v>0</v>
      </c>
      <c r="AI1724">
        <v>9.5</v>
      </c>
      <c r="AJ1724" t="s">
        <v>177</v>
      </c>
      <c r="AM1724">
        <v>10.11</v>
      </c>
      <c r="AN1724">
        <v>0</v>
      </c>
      <c r="AO1724">
        <v>0</v>
      </c>
      <c r="AP1724">
        <v>0</v>
      </c>
      <c r="AQ1724">
        <v>2.8571428571428564E-2</v>
      </c>
      <c r="AR1724">
        <v>0</v>
      </c>
      <c r="AS1724">
        <v>0</v>
      </c>
      <c r="AT1724">
        <v>1.0285714285714285</v>
      </c>
      <c r="AU1724">
        <v>0</v>
      </c>
      <c r="AV1724">
        <v>0</v>
      </c>
      <c r="AW1724">
        <v>0</v>
      </c>
      <c r="AX1724" t="s">
        <v>4189</v>
      </c>
      <c r="AY1724">
        <v>12.440000000000001</v>
      </c>
      <c r="AZ1724">
        <v>0</v>
      </c>
      <c r="BA1724" t="s">
        <v>138</v>
      </c>
      <c r="BB1724">
        <v>0</v>
      </c>
      <c r="BC1724" t="s">
        <v>95</v>
      </c>
      <c r="BD1724" t="s">
        <v>96</v>
      </c>
      <c r="BE1724" t="s">
        <v>97</v>
      </c>
      <c r="BF1724">
        <v>3</v>
      </c>
      <c r="BG1724">
        <v>0</v>
      </c>
      <c r="BH1724">
        <v>0</v>
      </c>
      <c r="BI1724" t="s">
        <v>98</v>
      </c>
    </row>
    <row r="1725" spans="1:61">
      <c r="A1725" s="164" t="s">
        <v>4190</v>
      </c>
      <c r="B1725" t="s">
        <v>4191</v>
      </c>
      <c r="C1725">
        <v>0</v>
      </c>
      <c r="D1725" t="s">
        <v>194</v>
      </c>
      <c r="E1725">
        <v>0</v>
      </c>
      <c r="F1725" t="s">
        <v>195</v>
      </c>
      <c r="G1725" t="s">
        <v>78</v>
      </c>
      <c r="H1725" t="s">
        <v>79</v>
      </c>
      <c r="I1725" t="s">
        <v>80</v>
      </c>
      <c r="J1725" t="s">
        <v>196</v>
      </c>
      <c r="K1725" t="s">
        <v>13</v>
      </c>
      <c r="L1725" t="s">
        <v>83</v>
      </c>
      <c r="M1725" t="s">
        <v>205</v>
      </c>
      <c r="N1725">
        <v>1</v>
      </c>
      <c r="O1725" t="b">
        <v>1</v>
      </c>
      <c r="P1725">
        <v>0</v>
      </c>
      <c r="BB1725">
        <v>0</v>
      </c>
      <c r="BC1725" t="s">
        <v>197</v>
      </c>
      <c r="BD1725" t="s">
        <v>198</v>
      </c>
      <c r="BE1725" t="s">
        <v>117</v>
      </c>
      <c r="BF1725">
        <v>0</v>
      </c>
      <c r="BG1725">
        <v>0</v>
      </c>
      <c r="BH1725">
        <v>0</v>
      </c>
    </row>
    <row r="1726" spans="1:61">
      <c r="A1726" s="164" t="s">
        <v>4192</v>
      </c>
      <c r="B1726" t="s">
        <v>4193</v>
      </c>
      <c r="C1726">
        <v>0</v>
      </c>
      <c r="D1726" t="s">
        <v>194</v>
      </c>
      <c r="E1726">
        <v>0</v>
      </c>
      <c r="F1726" t="s">
        <v>195</v>
      </c>
      <c r="G1726" t="s">
        <v>78</v>
      </c>
      <c r="H1726" t="s">
        <v>79</v>
      </c>
      <c r="I1726" t="s">
        <v>80</v>
      </c>
      <c r="J1726" t="s">
        <v>196</v>
      </c>
      <c r="K1726" t="s">
        <v>13</v>
      </c>
      <c r="L1726" t="s">
        <v>83</v>
      </c>
      <c r="M1726" t="s">
        <v>84</v>
      </c>
      <c r="N1726">
        <v>1</v>
      </c>
      <c r="O1726" t="b">
        <v>1</v>
      </c>
      <c r="P1726">
        <v>0</v>
      </c>
      <c r="BB1726">
        <v>0</v>
      </c>
      <c r="BC1726" t="s">
        <v>197</v>
      </c>
      <c r="BD1726" t="s">
        <v>198</v>
      </c>
      <c r="BE1726" t="s">
        <v>117</v>
      </c>
      <c r="BF1726">
        <v>0</v>
      </c>
      <c r="BG1726">
        <v>0</v>
      </c>
      <c r="BH1726">
        <v>0</v>
      </c>
    </row>
    <row r="1727" spans="1:61">
      <c r="A1727" s="164" t="s">
        <v>4194</v>
      </c>
      <c r="B1727" t="s">
        <v>4195</v>
      </c>
      <c r="C1727">
        <v>0</v>
      </c>
      <c r="D1727" t="s">
        <v>194</v>
      </c>
      <c r="E1727">
        <v>0</v>
      </c>
      <c r="F1727" t="s">
        <v>195</v>
      </c>
      <c r="G1727" t="s">
        <v>78</v>
      </c>
      <c r="H1727" t="s">
        <v>79</v>
      </c>
      <c r="I1727" t="s">
        <v>80</v>
      </c>
      <c r="J1727" t="s">
        <v>196</v>
      </c>
      <c r="K1727" t="s">
        <v>13</v>
      </c>
      <c r="L1727" t="s">
        <v>83</v>
      </c>
      <c r="M1727" t="s">
        <v>84</v>
      </c>
      <c r="N1727">
        <v>1</v>
      </c>
      <c r="O1727" t="b">
        <v>1</v>
      </c>
      <c r="P1727">
        <v>0</v>
      </c>
      <c r="BB1727">
        <v>0</v>
      </c>
      <c r="BC1727" t="s">
        <v>197</v>
      </c>
      <c r="BD1727" t="s">
        <v>198</v>
      </c>
      <c r="BE1727" t="s">
        <v>117</v>
      </c>
      <c r="BF1727">
        <v>0</v>
      </c>
      <c r="BG1727">
        <v>0</v>
      </c>
      <c r="BH1727">
        <v>0</v>
      </c>
    </row>
    <row r="1728" spans="1:61">
      <c r="A1728" s="164" t="s">
        <v>4196</v>
      </c>
      <c r="B1728" t="s">
        <v>4197</v>
      </c>
      <c r="C1728">
        <v>0</v>
      </c>
      <c r="D1728" t="s">
        <v>101</v>
      </c>
      <c r="E1728">
        <v>0</v>
      </c>
      <c r="F1728" t="s">
        <v>102</v>
      </c>
      <c r="G1728" t="s">
        <v>78</v>
      </c>
      <c r="H1728" t="s">
        <v>79</v>
      </c>
      <c r="I1728" t="s">
        <v>80</v>
      </c>
      <c r="J1728" t="s">
        <v>774</v>
      </c>
      <c r="K1728" t="s">
        <v>565</v>
      </c>
      <c r="L1728" t="s">
        <v>83</v>
      </c>
      <c r="M1728" t="s">
        <v>84</v>
      </c>
      <c r="N1728">
        <v>0.66500000000000004</v>
      </c>
      <c r="O1728" t="b">
        <v>1</v>
      </c>
      <c r="P1728">
        <v>45</v>
      </c>
      <c r="Q1728" t="s">
        <v>85</v>
      </c>
      <c r="R1728" t="s">
        <v>86</v>
      </c>
      <c r="S1728">
        <v>0.66500000000000004</v>
      </c>
      <c r="T1728">
        <v>1</v>
      </c>
      <c r="U1728" s="36">
        <v>1.5265749999999998</v>
      </c>
      <c r="V1728" t="s">
        <v>87</v>
      </c>
      <c r="W1728">
        <v>0</v>
      </c>
      <c r="X1728">
        <v>0</v>
      </c>
      <c r="Y1728">
        <v>6</v>
      </c>
      <c r="Z1728">
        <v>0.16666666666666666</v>
      </c>
      <c r="AA1728">
        <v>30</v>
      </c>
      <c r="AB1728">
        <v>0</v>
      </c>
      <c r="AC1728">
        <v>0</v>
      </c>
      <c r="AD1728">
        <v>0</v>
      </c>
      <c r="AG1728" t="s">
        <v>129</v>
      </c>
      <c r="AH1728">
        <v>0</v>
      </c>
      <c r="AI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 t="s">
        <v>1239</v>
      </c>
      <c r="AY1728">
        <v>4.5999999999999996</v>
      </c>
      <c r="AZ1728">
        <v>7</v>
      </c>
      <c r="BA1728" t="s">
        <v>94</v>
      </c>
      <c r="BB1728">
        <v>2.85</v>
      </c>
      <c r="BC1728" t="s">
        <v>95</v>
      </c>
      <c r="BD1728" t="s">
        <v>139</v>
      </c>
      <c r="BE1728" t="s">
        <v>97</v>
      </c>
      <c r="BF1728">
        <v>1</v>
      </c>
      <c r="BG1728">
        <v>0</v>
      </c>
      <c r="BH1728">
        <v>0</v>
      </c>
      <c r="BI1728" t="s">
        <v>98</v>
      </c>
    </row>
    <row r="1729" spans="1:61">
      <c r="A1729" s="164" t="s">
        <v>4198</v>
      </c>
      <c r="B1729" t="s">
        <v>4199</v>
      </c>
      <c r="C1729">
        <v>0</v>
      </c>
      <c r="D1729" t="s">
        <v>479</v>
      </c>
      <c r="E1729">
        <v>0</v>
      </c>
      <c r="F1729" t="s">
        <v>480</v>
      </c>
      <c r="G1729" t="s">
        <v>103</v>
      </c>
      <c r="H1729" t="s">
        <v>104</v>
      </c>
      <c r="I1729" t="s">
        <v>80</v>
      </c>
      <c r="J1729" t="s">
        <v>467</v>
      </c>
      <c r="K1729" t="s">
        <v>468</v>
      </c>
      <c r="L1729" t="s">
        <v>111</v>
      </c>
      <c r="M1729" t="s">
        <v>84</v>
      </c>
      <c r="N1729">
        <v>0.25</v>
      </c>
      <c r="O1729" t="b">
        <v>0</v>
      </c>
      <c r="P1729">
        <v>40</v>
      </c>
      <c r="Q1729" t="s">
        <v>479</v>
      </c>
      <c r="S1729">
        <v>0.25</v>
      </c>
      <c r="T1729">
        <v>1</v>
      </c>
      <c r="V1729" t="s">
        <v>165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H1729">
        <v>0</v>
      </c>
      <c r="AI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Y1729">
        <v>0</v>
      </c>
      <c r="AZ1729">
        <v>5</v>
      </c>
      <c r="BA1729" t="s">
        <v>138</v>
      </c>
      <c r="BB1729">
        <v>0</v>
      </c>
      <c r="BC1729" t="s">
        <v>95</v>
      </c>
      <c r="BD1729" t="s">
        <v>469</v>
      </c>
      <c r="BE1729" t="s">
        <v>97</v>
      </c>
      <c r="BF1729">
        <v>0</v>
      </c>
      <c r="BG1729">
        <v>0</v>
      </c>
      <c r="BH1729">
        <v>0</v>
      </c>
      <c r="BI1729" t="s">
        <v>98</v>
      </c>
    </row>
    <row r="1730" spans="1:61">
      <c r="A1730" s="164" t="s">
        <v>4200</v>
      </c>
      <c r="B1730" t="s">
        <v>4201</v>
      </c>
      <c r="C1730">
        <v>0</v>
      </c>
      <c r="D1730" t="s">
        <v>479</v>
      </c>
      <c r="E1730">
        <v>0</v>
      </c>
      <c r="F1730" t="s">
        <v>480</v>
      </c>
      <c r="G1730" t="s">
        <v>103</v>
      </c>
      <c r="H1730" t="s">
        <v>104</v>
      </c>
      <c r="I1730" t="s">
        <v>80</v>
      </c>
      <c r="J1730" t="s">
        <v>467</v>
      </c>
      <c r="K1730" t="s">
        <v>468</v>
      </c>
      <c r="L1730" t="s">
        <v>111</v>
      </c>
      <c r="M1730" t="s">
        <v>84</v>
      </c>
      <c r="N1730">
        <v>0.75</v>
      </c>
      <c r="O1730" t="b">
        <v>0</v>
      </c>
      <c r="P1730">
        <v>40</v>
      </c>
      <c r="Q1730" t="s">
        <v>479</v>
      </c>
      <c r="S1730">
        <v>0</v>
      </c>
      <c r="T1730">
        <v>1</v>
      </c>
      <c r="V1730" t="s">
        <v>87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G1730" t="s">
        <v>129</v>
      </c>
      <c r="AH1730">
        <v>0</v>
      </c>
      <c r="AI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Y1730">
        <v>0</v>
      </c>
      <c r="AZ1730">
        <v>7</v>
      </c>
      <c r="BA1730" t="s">
        <v>138</v>
      </c>
      <c r="BB1730">
        <v>0</v>
      </c>
      <c r="BC1730" t="s">
        <v>95</v>
      </c>
      <c r="BD1730" t="s">
        <v>469</v>
      </c>
      <c r="BE1730" t="s">
        <v>97</v>
      </c>
      <c r="BF1730">
        <v>0</v>
      </c>
      <c r="BG1730">
        <v>0</v>
      </c>
      <c r="BH1730">
        <v>0</v>
      </c>
      <c r="BI1730" t="s">
        <v>98</v>
      </c>
    </row>
    <row r="1731" spans="1:61">
      <c r="A1731" s="164" t="s">
        <v>4202</v>
      </c>
      <c r="B1731" t="s">
        <v>4203</v>
      </c>
      <c r="C1731">
        <v>0</v>
      </c>
      <c r="D1731" t="s">
        <v>161</v>
      </c>
      <c r="E1731">
        <v>0</v>
      </c>
      <c r="F1731" t="s">
        <v>2559</v>
      </c>
      <c r="G1731" t="s">
        <v>103</v>
      </c>
      <c r="H1731" t="s">
        <v>104</v>
      </c>
      <c r="I1731" t="s">
        <v>80</v>
      </c>
      <c r="J1731" t="s">
        <v>163</v>
      </c>
      <c r="K1731" t="s">
        <v>82</v>
      </c>
      <c r="L1731" t="s">
        <v>83</v>
      </c>
      <c r="M1731" t="s">
        <v>84</v>
      </c>
      <c r="N1731">
        <v>0.25</v>
      </c>
      <c r="O1731" t="b">
        <v>0</v>
      </c>
      <c r="P1731">
        <v>30</v>
      </c>
      <c r="Q1731" t="s">
        <v>137</v>
      </c>
      <c r="S1731">
        <v>0</v>
      </c>
      <c r="T1731">
        <v>1</v>
      </c>
      <c r="U1731" s="36">
        <v>0.51</v>
      </c>
      <c r="V1731" t="s">
        <v>165</v>
      </c>
      <c r="X1731">
        <v>0</v>
      </c>
      <c r="Z1731">
        <v>1.1111111111111112E-2</v>
      </c>
      <c r="AB1731">
        <v>0</v>
      </c>
      <c r="AC1731">
        <v>0</v>
      </c>
      <c r="AE1731" t="s">
        <v>129</v>
      </c>
      <c r="AF1731" t="s">
        <v>2559</v>
      </c>
      <c r="AG1731" t="s">
        <v>129</v>
      </c>
      <c r="AH1731">
        <v>0</v>
      </c>
      <c r="AI1731">
        <v>2.1</v>
      </c>
      <c r="AJ1731" t="s">
        <v>167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0.33</v>
      </c>
      <c r="AY1731">
        <v>0</v>
      </c>
      <c r="AZ1731">
        <v>0</v>
      </c>
      <c r="BA1731" t="s">
        <v>138</v>
      </c>
      <c r="BB1731">
        <v>0</v>
      </c>
      <c r="BC1731" t="s">
        <v>95</v>
      </c>
      <c r="BD1731" t="s">
        <v>96</v>
      </c>
      <c r="BE1731" t="s">
        <v>97</v>
      </c>
      <c r="BF1731">
        <v>0</v>
      </c>
      <c r="BG1731">
        <v>0</v>
      </c>
      <c r="BH1731">
        <v>0</v>
      </c>
      <c r="BI1731" t="s">
        <v>98</v>
      </c>
    </row>
    <row r="1732" spans="1:61">
      <c r="A1732" s="164" t="s">
        <v>4204</v>
      </c>
      <c r="B1732" t="s">
        <v>4205</v>
      </c>
      <c r="C1732">
        <v>0</v>
      </c>
      <c r="D1732" t="s">
        <v>101</v>
      </c>
      <c r="E1732">
        <v>0</v>
      </c>
      <c r="F1732" t="s">
        <v>102</v>
      </c>
      <c r="G1732" t="s">
        <v>103</v>
      </c>
      <c r="H1732" t="s">
        <v>104</v>
      </c>
      <c r="I1732" t="s">
        <v>80</v>
      </c>
      <c r="J1732" t="s">
        <v>81</v>
      </c>
      <c r="K1732" t="s">
        <v>468</v>
      </c>
      <c r="L1732" t="s">
        <v>111</v>
      </c>
      <c r="M1732" t="s">
        <v>84</v>
      </c>
      <c r="N1732">
        <v>0.99</v>
      </c>
      <c r="O1732" t="b">
        <v>0</v>
      </c>
      <c r="P1732">
        <v>45</v>
      </c>
      <c r="Q1732" t="s">
        <v>85</v>
      </c>
      <c r="S1732">
        <v>0</v>
      </c>
      <c r="T1732">
        <v>1</v>
      </c>
      <c r="V1732" t="s">
        <v>87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G1732" t="s">
        <v>129</v>
      </c>
      <c r="AH1732">
        <v>0</v>
      </c>
      <c r="AI1732">
        <v>0.8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Y1732">
        <v>0</v>
      </c>
      <c r="AZ1732">
        <v>6</v>
      </c>
      <c r="BA1732" t="s">
        <v>94</v>
      </c>
      <c r="BB1732">
        <v>0</v>
      </c>
      <c r="BC1732" t="s">
        <v>95</v>
      </c>
      <c r="BD1732" t="s">
        <v>469</v>
      </c>
      <c r="BE1732" t="s">
        <v>97</v>
      </c>
      <c r="BF1732">
        <v>0</v>
      </c>
      <c r="BG1732">
        <v>0</v>
      </c>
      <c r="BH1732">
        <v>0</v>
      </c>
      <c r="BI1732" t="s">
        <v>98</v>
      </c>
    </row>
    <row r="1733" spans="1:61">
      <c r="A1733" s="164" t="s">
        <v>4206</v>
      </c>
      <c r="B1733" t="s">
        <v>4207</v>
      </c>
      <c r="C1733">
        <v>0</v>
      </c>
      <c r="D1733" t="s">
        <v>194</v>
      </c>
      <c r="E1733">
        <v>0</v>
      </c>
      <c r="F1733" t="s">
        <v>214</v>
      </c>
      <c r="G1733" t="s">
        <v>78</v>
      </c>
      <c r="H1733" t="s">
        <v>79</v>
      </c>
      <c r="I1733" t="s">
        <v>80</v>
      </c>
      <c r="J1733" t="s">
        <v>196</v>
      </c>
      <c r="K1733" t="s">
        <v>13</v>
      </c>
      <c r="L1733" t="s">
        <v>83</v>
      </c>
      <c r="M1733" t="s">
        <v>215</v>
      </c>
      <c r="N1733">
        <v>1</v>
      </c>
      <c r="O1733" t="b">
        <v>1</v>
      </c>
      <c r="P1733">
        <v>0</v>
      </c>
      <c r="BB1733">
        <v>0</v>
      </c>
      <c r="BC1733" t="s">
        <v>197</v>
      </c>
      <c r="BD1733" t="s">
        <v>216</v>
      </c>
      <c r="BE1733" t="s">
        <v>117</v>
      </c>
      <c r="BF1733">
        <v>0</v>
      </c>
      <c r="BG1733">
        <v>0</v>
      </c>
      <c r="BH1733">
        <v>0</v>
      </c>
    </row>
    <row r="1734" spans="1:61">
      <c r="A1734" s="164" t="s">
        <v>4208</v>
      </c>
      <c r="B1734" t="s">
        <v>4209</v>
      </c>
      <c r="C1734">
        <v>0</v>
      </c>
      <c r="D1734" t="s">
        <v>194</v>
      </c>
      <c r="E1734">
        <v>0</v>
      </c>
      <c r="F1734" t="s">
        <v>195</v>
      </c>
      <c r="G1734" t="s">
        <v>78</v>
      </c>
      <c r="H1734" t="s">
        <v>79</v>
      </c>
      <c r="I1734" t="s">
        <v>80</v>
      </c>
      <c r="J1734" t="s">
        <v>196</v>
      </c>
      <c r="K1734" t="s">
        <v>13</v>
      </c>
      <c r="L1734" t="s">
        <v>83</v>
      </c>
      <c r="M1734" t="s">
        <v>84</v>
      </c>
      <c r="N1734">
        <v>1</v>
      </c>
      <c r="O1734" t="b">
        <v>1</v>
      </c>
      <c r="P1734">
        <v>0</v>
      </c>
      <c r="BB1734">
        <v>0</v>
      </c>
      <c r="BC1734" t="s">
        <v>197</v>
      </c>
      <c r="BD1734" t="s">
        <v>198</v>
      </c>
      <c r="BE1734" t="s">
        <v>117</v>
      </c>
      <c r="BF1734">
        <v>0</v>
      </c>
      <c r="BG1734">
        <v>0</v>
      </c>
      <c r="BH1734">
        <v>0</v>
      </c>
    </row>
    <row r="1735" spans="1:61">
      <c r="A1735" s="164" t="s">
        <v>4210</v>
      </c>
      <c r="B1735" t="s">
        <v>4211</v>
      </c>
      <c r="C1735">
        <v>0</v>
      </c>
      <c r="D1735" t="s">
        <v>194</v>
      </c>
      <c r="E1735">
        <v>0</v>
      </c>
      <c r="F1735" t="s">
        <v>195</v>
      </c>
      <c r="G1735" t="s">
        <v>78</v>
      </c>
      <c r="H1735" t="s">
        <v>79</v>
      </c>
      <c r="I1735" t="s">
        <v>80</v>
      </c>
      <c r="J1735" t="s">
        <v>196</v>
      </c>
      <c r="K1735" t="s">
        <v>13</v>
      </c>
      <c r="L1735" t="s">
        <v>83</v>
      </c>
      <c r="M1735" t="s">
        <v>84</v>
      </c>
      <c r="N1735">
        <v>1</v>
      </c>
      <c r="O1735" t="b">
        <v>1</v>
      </c>
      <c r="P1735">
        <v>0</v>
      </c>
      <c r="BB1735">
        <v>0</v>
      </c>
      <c r="BC1735" t="s">
        <v>197</v>
      </c>
      <c r="BD1735" t="s">
        <v>198</v>
      </c>
      <c r="BE1735" t="s">
        <v>117</v>
      </c>
      <c r="BF1735">
        <v>0</v>
      </c>
      <c r="BG1735">
        <v>0</v>
      </c>
      <c r="BH1735">
        <v>0</v>
      </c>
    </row>
    <row r="1736" spans="1:61">
      <c r="A1736" s="164" t="s">
        <v>4212</v>
      </c>
      <c r="B1736" t="s">
        <v>4213</v>
      </c>
      <c r="C1736">
        <v>0</v>
      </c>
      <c r="D1736" t="s">
        <v>194</v>
      </c>
      <c r="E1736">
        <v>0</v>
      </c>
      <c r="F1736" t="s">
        <v>195</v>
      </c>
      <c r="G1736" t="s">
        <v>78</v>
      </c>
      <c r="H1736" t="s">
        <v>79</v>
      </c>
      <c r="I1736" t="s">
        <v>80</v>
      </c>
      <c r="J1736" t="s">
        <v>196</v>
      </c>
      <c r="K1736" t="s">
        <v>13</v>
      </c>
      <c r="L1736" t="s">
        <v>83</v>
      </c>
      <c r="M1736" t="s">
        <v>84</v>
      </c>
      <c r="N1736">
        <v>1</v>
      </c>
      <c r="O1736" t="b">
        <v>1</v>
      </c>
      <c r="P1736">
        <v>0</v>
      </c>
      <c r="BB1736">
        <v>0</v>
      </c>
      <c r="BC1736" t="s">
        <v>197</v>
      </c>
      <c r="BD1736" t="s">
        <v>198</v>
      </c>
      <c r="BE1736" t="s">
        <v>117</v>
      </c>
      <c r="BF1736">
        <v>0</v>
      </c>
      <c r="BG1736">
        <v>0</v>
      </c>
      <c r="BH1736">
        <v>0</v>
      </c>
    </row>
    <row r="1737" spans="1:61">
      <c r="A1737" s="164" t="s">
        <v>4214</v>
      </c>
      <c r="B1737" t="s">
        <v>4215</v>
      </c>
      <c r="C1737">
        <v>0</v>
      </c>
      <c r="D1737" t="s">
        <v>194</v>
      </c>
      <c r="E1737">
        <v>0</v>
      </c>
      <c r="F1737" t="s">
        <v>195</v>
      </c>
      <c r="G1737" t="s">
        <v>78</v>
      </c>
      <c r="H1737" t="s">
        <v>79</v>
      </c>
      <c r="I1737" t="s">
        <v>80</v>
      </c>
      <c r="J1737" t="s">
        <v>196</v>
      </c>
      <c r="K1737" t="s">
        <v>13</v>
      </c>
      <c r="L1737" t="s">
        <v>83</v>
      </c>
      <c r="M1737" t="s">
        <v>84</v>
      </c>
      <c r="N1737">
        <v>1</v>
      </c>
      <c r="O1737" t="b">
        <v>1</v>
      </c>
      <c r="P1737">
        <v>0</v>
      </c>
      <c r="BB1737">
        <v>0</v>
      </c>
      <c r="BC1737" t="s">
        <v>197</v>
      </c>
      <c r="BD1737" t="s">
        <v>198</v>
      </c>
      <c r="BE1737" t="s">
        <v>117</v>
      </c>
      <c r="BF1737">
        <v>0</v>
      </c>
      <c r="BG1737">
        <v>0</v>
      </c>
      <c r="BH1737">
        <v>0</v>
      </c>
    </row>
    <row r="1738" spans="1:61">
      <c r="A1738" s="164" t="s">
        <v>4216</v>
      </c>
      <c r="B1738" t="s">
        <v>4217</v>
      </c>
      <c r="C1738">
        <v>0</v>
      </c>
      <c r="D1738" t="s">
        <v>194</v>
      </c>
      <c r="E1738">
        <v>0</v>
      </c>
      <c r="F1738" t="s">
        <v>195</v>
      </c>
      <c r="G1738" t="s">
        <v>78</v>
      </c>
      <c r="H1738" t="s">
        <v>79</v>
      </c>
      <c r="I1738" t="s">
        <v>80</v>
      </c>
      <c r="J1738" t="s">
        <v>196</v>
      </c>
      <c r="K1738" t="s">
        <v>13</v>
      </c>
      <c r="L1738" t="s">
        <v>83</v>
      </c>
      <c r="M1738" t="s">
        <v>84</v>
      </c>
      <c r="N1738">
        <v>1</v>
      </c>
      <c r="O1738" t="b">
        <v>1</v>
      </c>
      <c r="P1738">
        <v>0</v>
      </c>
      <c r="BB1738">
        <v>0</v>
      </c>
      <c r="BC1738" t="s">
        <v>197</v>
      </c>
      <c r="BD1738" t="s">
        <v>198</v>
      </c>
      <c r="BE1738" t="s">
        <v>117</v>
      </c>
      <c r="BF1738">
        <v>0</v>
      </c>
      <c r="BG1738">
        <v>0</v>
      </c>
      <c r="BH1738">
        <v>0</v>
      </c>
    </row>
    <row r="1739" spans="1:61">
      <c r="A1739" s="164" t="s">
        <v>4218</v>
      </c>
      <c r="B1739" t="s">
        <v>4219</v>
      </c>
      <c r="C1739">
        <v>0</v>
      </c>
      <c r="D1739" t="s">
        <v>194</v>
      </c>
      <c r="E1739">
        <v>0</v>
      </c>
      <c r="F1739" t="s">
        <v>214</v>
      </c>
      <c r="G1739" t="s">
        <v>78</v>
      </c>
      <c r="H1739" t="s">
        <v>79</v>
      </c>
      <c r="I1739" t="s">
        <v>80</v>
      </c>
      <c r="J1739" t="s">
        <v>196</v>
      </c>
      <c r="K1739" t="s">
        <v>13</v>
      </c>
      <c r="L1739" t="s">
        <v>83</v>
      </c>
      <c r="M1739" t="s">
        <v>215</v>
      </c>
      <c r="N1739">
        <v>1</v>
      </c>
      <c r="O1739" t="b">
        <v>1</v>
      </c>
      <c r="P1739">
        <v>0</v>
      </c>
      <c r="BB1739">
        <v>0</v>
      </c>
      <c r="BC1739" t="s">
        <v>197</v>
      </c>
      <c r="BD1739" t="s">
        <v>216</v>
      </c>
      <c r="BE1739" t="s">
        <v>117</v>
      </c>
      <c r="BF1739">
        <v>0</v>
      </c>
      <c r="BG1739">
        <v>0</v>
      </c>
      <c r="BH1739">
        <v>0</v>
      </c>
    </row>
    <row r="1740" spans="1:61">
      <c r="A1740" s="164" t="s">
        <v>4220</v>
      </c>
      <c r="B1740" t="s">
        <v>4221</v>
      </c>
      <c r="C1740">
        <v>0</v>
      </c>
      <c r="D1740" t="s">
        <v>194</v>
      </c>
      <c r="E1740">
        <v>0</v>
      </c>
      <c r="F1740" t="s">
        <v>195</v>
      </c>
      <c r="G1740" t="s">
        <v>78</v>
      </c>
      <c r="H1740" t="s">
        <v>79</v>
      </c>
      <c r="I1740" t="s">
        <v>80</v>
      </c>
      <c r="J1740" t="s">
        <v>196</v>
      </c>
      <c r="K1740" t="s">
        <v>13</v>
      </c>
      <c r="L1740" t="s">
        <v>83</v>
      </c>
      <c r="M1740" t="s">
        <v>84</v>
      </c>
      <c r="N1740">
        <v>1</v>
      </c>
      <c r="O1740" t="b">
        <v>1</v>
      </c>
      <c r="P1740">
        <v>0</v>
      </c>
      <c r="BB1740">
        <v>0</v>
      </c>
      <c r="BC1740" t="s">
        <v>197</v>
      </c>
      <c r="BD1740" t="s">
        <v>198</v>
      </c>
      <c r="BE1740" t="s">
        <v>117</v>
      </c>
      <c r="BF1740">
        <v>0</v>
      </c>
      <c r="BG1740">
        <v>0</v>
      </c>
      <c r="BH1740">
        <v>0</v>
      </c>
    </row>
    <row r="1741" spans="1:61">
      <c r="A1741" s="164" t="s">
        <v>4222</v>
      </c>
      <c r="B1741" t="s">
        <v>1555</v>
      </c>
      <c r="C1741">
        <v>0</v>
      </c>
      <c r="D1741" t="s">
        <v>194</v>
      </c>
      <c r="E1741">
        <v>0</v>
      </c>
      <c r="F1741" t="s">
        <v>195</v>
      </c>
      <c r="G1741" t="s">
        <v>78</v>
      </c>
      <c r="H1741" t="s">
        <v>79</v>
      </c>
      <c r="I1741" t="s">
        <v>80</v>
      </c>
      <c r="J1741" t="s">
        <v>196</v>
      </c>
      <c r="K1741" t="s">
        <v>13</v>
      </c>
      <c r="L1741" t="s">
        <v>83</v>
      </c>
      <c r="M1741" t="s">
        <v>205</v>
      </c>
      <c r="N1741">
        <v>1</v>
      </c>
      <c r="O1741" t="b">
        <v>1</v>
      </c>
      <c r="P1741">
        <v>0</v>
      </c>
      <c r="BB1741">
        <v>0</v>
      </c>
      <c r="BC1741" t="s">
        <v>197</v>
      </c>
      <c r="BD1741" t="s">
        <v>198</v>
      </c>
      <c r="BE1741" t="s">
        <v>117</v>
      </c>
      <c r="BF1741">
        <v>0</v>
      </c>
      <c r="BG1741">
        <v>0</v>
      </c>
      <c r="BH1741">
        <v>0</v>
      </c>
    </row>
    <row r="1742" spans="1:61">
      <c r="A1742" s="164" t="s">
        <v>4223</v>
      </c>
      <c r="B1742" t="s">
        <v>4224</v>
      </c>
      <c r="C1742">
        <v>0</v>
      </c>
      <c r="D1742" t="s">
        <v>161</v>
      </c>
      <c r="E1742">
        <v>0</v>
      </c>
      <c r="F1742" t="s">
        <v>745</v>
      </c>
      <c r="G1742" t="s">
        <v>103</v>
      </c>
      <c r="H1742" t="s">
        <v>104</v>
      </c>
      <c r="I1742" t="s">
        <v>80</v>
      </c>
      <c r="J1742" t="s">
        <v>163</v>
      </c>
      <c r="K1742" t="s">
        <v>82</v>
      </c>
      <c r="L1742" t="s">
        <v>83</v>
      </c>
      <c r="M1742" t="s">
        <v>84</v>
      </c>
      <c r="N1742">
        <v>0.45</v>
      </c>
      <c r="O1742" t="b">
        <v>0</v>
      </c>
      <c r="P1742">
        <v>30</v>
      </c>
      <c r="Q1742" t="s">
        <v>137</v>
      </c>
      <c r="S1742">
        <v>0</v>
      </c>
      <c r="T1742">
        <v>1</v>
      </c>
      <c r="U1742" s="36">
        <v>2.3462700000000001</v>
      </c>
      <c r="V1742" t="s">
        <v>87</v>
      </c>
      <c r="X1742">
        <v>0</v>
      </c>
      <c r="Z1742">
        <v>3.3333333333333333E-2</v>
      </c>
      <c r="AB1742">
        <v>0</v>
      </c>
      <c r="AC1742">
        <v>0</v>
      </c>
      <c r="AE1742" t="s">
        <v>129</v>
      </c>
      <c r="AF1742" t="s">
        <v>745</v>
      </c>
      <c r="AG1742" t="s">
        <v>129</v>
      </c>
      <c r="AH1742">
        <v>0</v>
      </c>
      <c r="AI1742">
        <v>0</v>
      </c>
      <c r="AJ1742" t="s">
        <v>493</v>
      </c>
      <c r="AM1742">
        <v>0</v>
      </c>
      <c r="AN1742">
        <v>0</v>
      </c>
      <c r="AO1742">
        <v>0</v>
      </c>
      <c r="AP1742">
        <v>0</v>
      </c>
      <c r="AQ1742">
        <v>4.8346055979643761E-2</v>
      </c>
      <c r="AR1742">
        <v>0</v>
      </c>
      <c r="AS1742">
        <v>0</v>
      </c>
      <c r="AT1742">
        <v>1.0483460559796438</v>
      </c>
      <c r="AU1742">
        <v>0</v>
      </c>
      <c r="AV1742">
        <v>0</v>
      </c>
      <c r="AW1742">
        <v>0</v>
      </c>
      <c r="AY1742">
        <v>0</v>
      </c>
      <c r="AZ1742">
        <v>0</v>
      </c>
      <c r="BA1742" t="s">
        <v>138</v>
      </c>
      <c r="BB1742">
        <v>0</v>
      </c>
      <c r="BC1742" t="s">
        <v>95</v>
      </c>
      <c r="BD1742" t="s">
        <v>96</v>
      </c>
      <c r="BE1742" t="s">
        <v>97</v>
      </c>
      <c r="BF1742">
        <v>0</v>
      </c>
      <c r="BG1742">
        <v>0</v>
      </c>
      <c r="BH1742">
        <v>0</v>
      </c>
      <c r="BI1742" t="s">
        <v>98</v>
      </c>
    </row>
    <row r="1743" spans="1:61">
      <c r="A1743" s="164" t="s">
        <v>4225</v>
      </c>
      <c r="B1743" t="s">
        <v>4226</v>
      </c>
      <c r="C1743">
        <v>0</v>
      </c>
      <c r="D1743" t="s">
        <v>479</v>
      </c>
      <c r="E1743">
        <v>0</v>
      </c>
      <c r="F1743" t="s">
        <v>480</v>
      </c>
      <c r="G1743" t="s">
        <v>103</v>
      </c>
      <c r="H1743" t="s">
        <v>104</v>
      </c>
      <c r="I1743" t="s">
        <v>80</v>
      </c>
      <c r="J1743" t="s">
        <v>467</v>
      </c>
      <c r="K1743" t="s">
        <v>468</v>
      </c>
      <c r="L1743" t="s">
        <v>111</v>
      </c>
      <c r="M1743" t="s">
        <v>84</v>
      </c>
      <c r="N1743">
        <v>0.45</v>
      </c>
      <c r="O1743" t="b">
        <v>0</v>
      </c>
      <c r="P1743">
        <v>40</v>
      </c>
      <c r="Q1743" t="s">
        <v>479</v>
      </c>
      <c r="S1743">
        <v>0.45</v>
      </c>
      <c r="T1743">
        <v>1</v>
      </c>
      <c r="U1743" s="36">
        <v>2.2283600000000003</v>
      </c>
      <c r="V1743" t="s">
        <v>468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H1743">
        <v>0</v>
      </c>
      <c r="AI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X1743" t="s">
        <v>4227</v>
      </c>
      <c r="AY1743">
        <v>0</v>
      </c>
      <c r="AZ1743">
        <v>0</v>
      </c>
      <c r="BA1743" t="s">
        <v>138</v>
      </c>
      <c r="BB1743">
        <v>0</v>
      </c>
      <c r="BC1743" t="s">
        <v>95</v>
      </c>
      <c r="BD1743" t="s">
        <v>469</v>
      </c>
      <c r="BE1743" t="s">
        <v>97</v>
      </c>
      <c r="BF1743">
        <v>0</v>
      </c>
      <c r="BG1743">
        <v>0</v>
      </c>
      <c r="BH1743">
        <v>0</v>
      </c>
      <c r="BI1743" t="s">
        <v>98</v>
      </c>
    </row>
    <row r="1744" spans="1:61">
      <c r="A1744" s="164" t="s">
        <v>4228</v>
      </c>
      <c r="B1744" t="s">
        <v>4229</v>
      </c>
      <c r="C1744">
        <v>0</v>
      </c>
      <c r="D1744" t="s">
        <v>147</v>
      </c>
      <c r="E1744">
        <v>0</v>
      </c>
      <c r="F1744" t="s">
        <v>154</v>
      </c>
      <c r="G1744" t="s">
        <v>78</v>
      </c>
      <c r="H1744" t="s">
        <v>79</v>
      </c>
      <c r="I1744" t="s">
        <v>80</v>
      </c>
      <c r="J1744" t="s">
        <v>81</v>
      </c>
      <c r="K1744" t="s">
        <v>82</v>
      </c>
      <c r="L1744" t="s">
        <v>83</v>
      </c>
      <c r="M1744" t="s">
        <v>84</v>
      </c>
      <c r="N1744">
        <v>1</v>
      </c>
      <c r="O1744" t="b">
        <v>1</v>
      </c>
      <c r="P1744">
        <v>45</v>
      </c>
      <c r="Q1744" t="s">
        <v>85</v>
      </c>
      <c r="R1744" t="s">
        <v>86</v>
      </c>
      <c r="S1744">
        <v>1</v>
      </c>
      <c r="T1744">
        <v>1</v>
      </c>
      <c r="U1744" s="36">
        <v>1.3619949999999998</v>
      </c>
      <c r="V1744" t="s">
        <v>87</v>
      </c>
      <c r="W1744">
        <v>24</v>
      </c>
      <c r="X1744">
        <v>0.45019999999999999</v>
      </c>
      <c r="Y1744">
        <v>18</v>
      </c>
      <c r="Z1744">
        <v>5.5555555555555552E-2</v>
      </c>
      <c r="AA1744">
        <v>30</v>
      </c>
      <c r="AB1744">
        <v>0</v>
      </c>
      <c r="AC1744">
        <v>515</v>
      </c>
      <c r="AD1744">
        <v>515</v>
      </c>
      <c r="AE1744" t="s">
        <v>155</v>
      </c>
      <c r="AF1744" t="s">
        <v>156</v>
      </c>
      <c r="AG1744" t="s">
        <v>240</v>
      </c>
      <c r="AH1744">
        <v>0</v>
      </c>
      <c r="AI1744">
        <v>0.9</v>
      </c>
      <c r="AJ1744" t="s">
        <v>91</v>
      </c>
      <c r="AK1744" t="s">
        <v>92</v>
      </c>
      <c r="AL1744" t="s">
        <v>93</v>
      </c>
      <c r="AM1744">
        <v>0.33553925925925926</v>
      </c>
      <c r="AN1744">
        <v>0.22369283950617286</v>
      </c>
      <c r="AO1744">
        <v>0.34672390123456792</v>
      </c>
      <c r="AP1744">
        <v>0</v>
      </c>
      <c r="AQ1744">
        <v>8.6691086691086688E-2</v>
      </c>
      <c r="AR1744">
        <v>2.6666666666666505E-3</v>
      </c>
      <c r="AS1744">
        <v>0</v>
      </c>
      <c r="AT1744">
        <v>1.0866910866910866</v>
      </c>
      <c r="AU1744">
        <v>1.0026666666666666</v>
      </c>
      <c r="AV1744">
        <v>1</v>
      </c>
      <c r="AW1744">
        <v>0</v>
      </c>
      <c r="AX1744" t="s">
        <v>4230</v>
      </c>
      <c r="AY1744">
        <v>53.4</v>
      </c>
      <c r="AZ1744">
        <v>0</v>
      </c>
      <c r="BA1744" t="s">
        <v>94</v>
      </c>
      <c r="BB1744">
        <v>3.07</v>
      </c>
      <c r="BC1744" t="s">
        <v>95</v>
      </c>
      <c r="BD1744" t="s">
        <v>96</v>
      </c>
      <c r="BE1744" t="s">
        <v>97</v>
      </c>
      <c r="BF1744">
        <v>1</v>
      </c>
      <c r="BG1744">
        <v>0</v>
      </c>
      <c r="BH1744">
        <v>0</v>
      </c>
      <c r="BI1744" t="s">
        <v>98</v>
      </c>
    </row>
    <row r="1745" spans="1:61">
      <c r="A1745" s="164" t="s">
        <v>4231</v>
      </c>
      <c r="B1745" t="s">
        <v>4232</v>
      </c>
      <c r="C1745">
        <v>0</v>
      </c>
      <c r="D1745" t="s">
        <v>147</v>
      </c>
      <c r="E1745">
        <v>0</v>
      </c>
      <c r="F1745" t="s">
        <v>2431</v>
      </c>
      <c r="G1745" t="s">
        <v>78</v>
      </c>
      <c r="H1745" t="s">
        <v>79</v>
      </c>
      <c r="I1745" t="s">
        <v>80</v>
      </c>
      <c r="J1745" t="s">
        <v>81</v>
      </c>
      <c r="K1745" t="s">
        <v>82</v>
      </c>
      <c r="L1745" t="s">
        <v>83</v>
      </c>
      <c r="M1745" t="s">
        <v>84</v>
      </c>
      <c r="N1745">
        <v>1.75</v>
      </c>
      <c r="O1745" t="b">
        <v>1</v>
      </c>
      <c r="P1745">
        <v>45</v>
      </c>
      <c r="Q1745" t="s">
        <v>85</v>
      </c>
      <c r="R1745" t="s">
        <v>86</v>
      </c>
      <c r="S1745">
        <v>1.75</v>
      </c>
      <c r="T1745">
        <v>1</v>
      </c>
      <c r="U1745" s="36">
        <v>2.3769900000000002</v>
      </c>
      <c r="V1745" t="s">
        <v>87</v>
      </c>
      <c r="W1745">
        <v>24</v>
      </c>
      <c r="X1745">
        <v>0.45019999999999999</v>
      </c>
      <c r="Y1745">
        <v>12</v>
      </c>
      <c r="Z1745">
        <v>8.3333333333333329E-2</v>
      </c>
      <c r="AA1745">
        <v>30</v>
      </c>
      <c r="AB1745">
        <v>0</v>
      </c>
      <c r="AC1745">
        <v>540</v>
      </c>
      <c r="AD1745">
        <v>308.57142857142856</v>
      </c>
      <c r="AE1745" t="s">
        <v>155</v>
      </c>
      <c r="AF1745" t="s">
        <v>2219</v>
      </c>
      <c r="AG1745" t="s">
        <v>240</v>
      </c>
      <c r="AH1745">
        <v>0</v>
      </c>
      <c r="AI1745">
        <v>0.9</v>
      </c>
      <c r="AJ1745" t="s">
        <v>91</v>
      </c>
      <c r="AK1745" t="s">
        <v>92</v>
      </c>
      <c r="AL1745" t="s">
        <v>93</v>
      </c>
      <c r="AM1745">
        <v>0.33553925925925926</v>
      </c>
      <c r="AN1745">
        <v>0.22369283950617286</v>
      </c>
      <c r="AO1745">
        <v>0.34672390123456792</v>
      </c>
      <c r="AP1745">
        <v>0</v>
      </c>
      <c r="AQ1745">
        <v>8.6691086691086688E-2</v>
      </c>
      <c r="AR1745">
        <v>2.6666666666666505E-3</v>
      </c>
      <c r="AS1745">
        <v>0</v>
      </c>
      <c r="AT1745">
        <v>1.0866910866910866</v>
      </c>
      <c r="AU1745">
        <v>1.0026666666666666</v>
      </c>
      <c r="AV1745">
        <v>1</v>
      </c>
      <c r="AW1745">
        <v>0</v>
      </c>
      <c r="AX1745" t="s">
        <v>4233</v>
      </c>
      <c r="AY1745">
        <v>83.4</v>
      </c>
      <c r="AZ1745">
        <v>5</v>
      </c>
      <c r="BA1745" t="s">
        <v>94</v>
      </c>
      <c r="BB1745">
        <v>5.09</v>
      </c>
      <c r="BC1745" t="s">
        <v>95</v>
      </c>
      <c r="BD1745" t="s">
        <v>96</v>
      </c>
      <c r="BE1745" t="s">
        <v>97</v>
      </c>
      <c r="BF1745">
        <v>1</v>
      </c>
      <c r="BG1745">
        <v>0</v>
      </c>
      <c r="BH1745">
        <v>0</v>
      </c>
      <c r="BI1745" t="s">
        <v>98</v>
      </c>
    </row>
    <row r="1746" spans="1:61">
      <c r="A1746" s="164" t="s">
        <v>4234</v>
      </c>
      <c r="B1746" t="s">
        <v>4235</v>
      </c>
      <c r="C1746">
        <v>0</v>
      </c>
      <c r="D1746" t="s">
        <v>107</v>
      </c>
      <c r="E1746">
        <v>0</v>
      </c>
      <c r="F1746" t="s">
        <v>108</v>
      </c>
      <c r="G1746" t="s">
        <v>103</v>
      </c>
      <c r="H1746" t="s">
        <v>104</v>
      </c>
      <c r="I1746" t="s">
        <v>80</v>
      </c>
      <c r="J1746" t="s">
        <v>81</v>
      </c>
      <c r="K1746" t="s">
        <v>468</v>
      </c>
      <c r="L1746" t="s">
        <v>111</v>
      </c>
      <c r="M1746" t="s">
        <v>84</v>
      </c>
      <c r="N1746">
        <v>4.5</v>
      </c>
      <c r="O1746" t="b">
        <v>0</v>
      </c>
      <c r="P1746">
        <v>45</v>
      </c>
      <c r="Q1746" t="s">
        <v>85</v>
      </c>
      <c r="S1746">
        <v>0</v>
      </c>
      <c r="T1746">
        <v>1</v>
      </c>
      <c r="U1746" s="36">
        <v>3.8336999999999999</v>
      </c>
      <c r="V1746" t="s">
        <v>87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G1746" t="s">
        <v>129</v>
      </c>
      <c r="AH1746">
        <v>0</v>
      </c>
      <c r="AI1746">
        <v>0.6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Y1746">
        <v>0</v>
      </c>
      <c r="AZ1746">
        <v>0</v>
      </c>
      <c r="BA1746" t="s">
        <v>94</v>
      </c>
      <c r="BB1746">
        <v>0</v>
      </c>
      <c r="BC1746" t="s">
        <v>95</v>
      </c>
      <c r="BD1746" t="s">
        <v>469</v>
      </c>
      <c r="BE1746" t="s">
        <v>97</v>
      </c>
      <c r="BF1746">
        <v>0</v>
      </c>
      <c r="BG1746">
        <v>0</v>
      </c>
      <c r="BH1746">
        <v>0</v>
      </c>
      <c r="BI1746" t="s">
        <v>98</v>
      </c>
    </row>
    <row r="1747" spans="1:61">
      <c r="A1747" s="164" t="s">
        <v>4236</v>
      </c>
      <c r="B1747" t="s">
        <v>4237</v>
      </c>
      <c r="C1747">
        <v>0</v>
      </c>
      <c r="D1747" t="s">
        <v>486</v>
      </c>
      <c r="E1747">
        <v>0</v>
      </c>
      <c r="F1747" t="s">
        <v>1743</v>
      </c>
      <c r="G1747" t="s">
        <v>487</v>
      </c>
      <c r="H1747" t="s">
        <v>117</v>
      </c>
      <c r="I1747" t="s">
        <v>80</v>
      </c>
      <c r="J1747" t="s">
        <v>163</v>
      </c>
      <c r="K1747" t="s">
        <v>82</v>
      </c>
      <c r="L1747" t="s">
        <v>83</v>
      </c>
      <c r="M1747" t="s">
        <v>84</v>
      </c>
      <c r="N1747">
        <v>0.05</v>
      </c>
      <c r="O1747" t="b">
        <v>1</v>
      </c>
      <c r="P1747">
        <v>180</v>
      </c>
      <c r="Q1747" t="s">
        <v>137</v>
      </c>
      <c r="S1747">
        <v>0.04</v>
      </c>
      <c r="T1747">
        <v>1</v>
      </c>
      <c r="V1747" t="s">
        <v>165</v>
      </c>
      <c r="X1747">
        <v>0</v>
      </c>
      <c r="Z1747">
        <v>6.6666666666666671E-3</v>
      </c>
      <c r="AB1747">
        <v>0</v>
      </c>
      <c r="AC1747">
        <v>0</v>
      </c>
      <c r="AE1747" t="s">
        <v>129</v>
      </c>
      <c r="AF1747" t="s">
        <v>1743</v>
      </c>
      <c r="AG1747" t="s">
        <v>129</v>
      </c>
      <c r="AH1747">
        <v>0</v>
      </c>
      <c r="AI1747">
        <v>0</v>
      </c>
      <c r="AJ1747" t="s">
        <v>177</v>
      </c>
      <c r="AM1747">
        <v>13.87</v>
      </c>
      <c r="AN1747">
        <v>0</v>
      </c>
      <c r="AO1747">
        <v>0</v>
      </c>
      <c r="AP1747">
        <v>0</v>
      </c>
      <c r="AQ1747">
        <v>2.8571428571428564E-2</v>
      </c>
      <c r="AR1747">
        <v>0</v>
      </c>
      <c r="AS1747">
        <v>0</v>
      </c>
      <c r="AT1747">
        <v>1.0285714285714285</v>
      </c>
      <c r="AU1747">
        <v>0</v>
      </c>
      <c r="AV1747">
        <v>0</v>
      </c>
      <c r="AW1747">
        <v>0</v>
      </c>
      <c r="AX1747" t="s">
        <v>1744</v>
      </c>
      <c r="AY1747">
        <v>2.48</v>
      </c>
      <c r="AZ1747">
        <v>0</v>
      </c>
      <c r="BA1747" t="s">
        <v>138</v>
      </c>
      <c r="BB1747">
        <v>0</v>
      </c>
      <c r="BC1747" t="s">
        <v>488</v>
      </c>
      <c r="BD1747" t="s">
        <v>489</v>
      </c>
      <c r="BE1747" t="s">
        <v>97</v>
      </c>
      <c r="BF1747">
        <v>1</v>
      </c>
      <c r="BG1747">
        <v>0</v>
      </c>
      <c r="BH1747">
        <v>0</v>
      </c>
      <c r="BI1747" t="s">
        <v>98</v>
      </c>
    </row>
    <row r="1748" spans="1:61">
      <c r="A1748" s="164" t="s">
        <v>4238</v>
      </c>
      <c r="B1748" t="s">
        <v>4239</v>
      </c>
      <c r="C1748">
        <v>0</v>
      </c>
      <c r="D1748" t="s">
        <v>486</v>
      </c>
      <c r="E1748">
        <v>0</v>
      </c>
      <c r="F1748" t="s">
        <v>1743</v>
      </c>
      <c r="G1748" t="s">
        <v>487</v>
      </c>
      <c r="H1748" t="s">
        <v>117</v>
      </c>
      <c r="I1748" t="s">
        <v>80</v>
      </c>
      <c r="J1748" t="s">
        <v>163</v>
      </c>
      <c r="K1748" t="s">
        <v>82</v>
      </c>
      <c r="L1748" t="s">
        <v>83</v>
      </c>
      <c r="M1748" t="s">
        <v>84</v>
      </c>
      <c r="N1748">
        <v>0.1</v>
      </c>
      <c r="O1748" t="b">
        <v>1</v>
      </c>
      <c r="P1748">
        <v>180</v>
      </c>
      <c r="Q1748" t="s">
        <v>137</v>
      </c>
      <c r="S1748">
        <v>0.04</v>
      </c>
      <c r="T1748">
        <v>1</v>
      </c>
      <c r="V1748" t="s">
        <v>165</v>
      </c>
      <c r="X1748">
        <v>0</v>
      </c>
      <c r="Z1748">
        <v>6.6666666666666671E-3</v>
      </c>
      <c r="AB1748">
        <v>0</v>
      </c>
      <c r="AC1748">
        <v>0</v>
      </c>
      <c r="AE1748" t="s">
        <v>129</v>
      </c>
      <c r="AF1748" t="s">
        <v>1743</v>
      </c>
      <c r="AG1748" t="s">
        <v>129</v>
      </c>
      <c r="AH1748">
        <v>0</v>
      </c>
      <c r="AI1748">
        <v>0</v>
      </c>
      <c r="AJ1748" t="s">
        <v>177</v>
      </c>
      <c r="AM1748">
        <v>13.87</v>
      </c>
      <c r="AN1748">
        <v>0</v>
      </c>
      <c r="AO1748">
        <v>0</v>
      </c>
      <c r="AP1748">
        <v>0</v>
      </c>
      <c r="AQ1748">
        <v>2.8571428571428564E-2</v>
      </c>
      <c r="AR1748">
        <v>0</v>
      </c>
      <c r="AS1748">
        <v>0</v>
      </c>
      <c r="AT1748">
        <v>1.0285714285714285</v>
      </c>
      <c r="AU1748">
        <v>0</v>
      </c>
      <c r="AV1748">
        <v>0</v>
      </c>
      <c r="AW1748">
        <v>0</v>
      </c>
      <c r="AX1748" t="s">
        <v>1744</v>
      </c>
      <c r="AY1748">
        <v>2.48</v>
      </c>
      <c r="AZ1748">
        <v>0</v>
      </c>
      <c r="BA1748" t="s">
        <v>138</v>
      </c>
      <c r="BB1748">
        <v>0</v>
      </c>
      <c r="BC1748" t="s">
        <v>488</v>
      </c>
      <c r="BD1748" t="s">
        <v>489</v>
      </c>
      <c r="BE1748" t="s">
        <v>97</v>
      </c>
      <c r="BF1748">
        <v>1</v>
      </c>
      <c r="BG1748">
        <v>0</v>
      </c>
      <c r="BH1748">
        <v>0</v>
      </c>
      <c r="BI1748" t="s">
        <v>98</v>
      </c>
    </row>
    <row r="1749" spans="1:61">
      <c r="A1749" s="164" t="s">
        <v>4240</v>
      </c>
      <c r="B1749" t="s">
        <v>4241</v>
      </c>
      <c r="C1749">
        <v>0</v>
      </c>
      <c r="D1749" t="s">
        <v>304</v>
      </c>
      <c r="E1749">
        <v>0</v>
      </c>
      <c r="F1749" t="s">
        <v>342</v>
      </c>
      <c r="G1749" t="s">
        <v>78</v>
      </c>
      <c r="H1749" t="s">
        <v>79</v>
      </c>
      <c r="I1749" t="s">
        <v>80</v>
      </c>
      <c r="J1749" t="s">
        <v>196</v>
      </c>
      <c r="K1749" t="s">
        <v>13</v>
      </c>
      <c r="L1749" t="s">
        <v>83</v>
      </c>
      <c r="M1749" t="s">
        <v>84</v>
      </c>
      <c r="N1749">
        <v>1</v>
      </c>
      <c r="O1749" t="b">
        <v>1</v>
      </c>
      <c r="P1749">
        <v>0</v>
      </c>
      <c r="BB1749">
        <v>0</v>
      </c>
      <c r="BC1749" t="s">
        <v>306</v>
      </c>
      <c r="BD1749" t="s">
        <v>343</v>
      </c>
      <c r="BE1749" t="s">
        <v>117</v>
      </c>
      <c r="BF1749">
        <v>0</v>
      </c>
      <c r="BG1749">
        <v>25</v>
      </c>
      <c r="BH1749">
        <v>10000</v>
      </c>
      <c r="BI1749" t="s">
        <v>344</v>
      </c>
    </row>
    <row r="1750" spans="1:61">
      <c r="A1750" s="164" t="s">
        <v>4242</v>
      </c>
      <c r="B1750" t="s">
        <v>4243</v>
      </c>
      <c r="C1750">
        <v>0</v>
      </c>
      <c r="D1750" t="s">
        <v>304</v>
      </c>
      <c r="E1750">
        <v>0</v>
      </c>
      <c r="F1750" t="s">
        <v>342</v>
      </c>
      <c r="G1750" t="s">
        <v>78</v>
      </c>
      <c r="H1750" t="s">
        <v>79</v>
      </c>
      <c r="I1750" t="s">
        <v>80</v>
      </c>
      <c r="J1750" t="s">
        <v>196</v>
      </c>
      <c r="K1750" t="s">
        <v>13</v>
      </c>
      <c r="L1750" t="s">
        <v>83</v>
      </c>
      <c r="M1750" t="s">
        <v>84</v>
      </c>
      <c r="N1750">
        <v>1</v>
      </c>
      <c r="O1750" t="b">
        <v>1</v>
      </c>
      <c r="P1750">
        <v>0</v>
      </c>
      <c r="BB1750">
        <v>0</v>
      </c>
      <c r="BC1750" t="s">
        <v>306</v>
      </c>
      <c r="BD1750" t="s">
        <v>343</v>
      </c>
      <c r="BE1750" t="s">
        <v>117</v>
      </c>
      <c r="BF1750">
        <v>0</v>
      </c>
      <c r="BG1750">
        <v>25</v>
      </c>
      <c r="BH1750">
        <v>10000</v>
      </c>
      <c r="BI1750" t="s">
        <v>344</v>
      </c>
    </row>
    <row r="1751" spans="1:61">
      <c r="A1751" s="164" t="s">
        <v>4244</v>
      </c>
      <c r="B1751" t="s">
        <v>4245</v>
      </c>
      <c r="C1751">
        <v>0</v>
      </c>
      <c r="D1751" t="s">
        <v>304</v>
      </c>
      <c r="E1751">
        <v>0</v>
      </c>
      <c r="F1751" t="s">
        <v>342</v>
      </c>
      <c r="G1751" t="s">
        <v>78</v>
      </c>
      <c r="H1751" t="s">
        <v>79</v>
      </c>
      <c r="I1751" t="s">
        <v>80</v>
      </c>
      <c r="J1751" t="s">
        <v>196</v>
      </c>
      <c r="K1751" t="s">
        <v>13</v>
      </c>
      <c r="L1751" t="s">
        <v>83</v>
      </c>
      <c r="M1751" t="s">
        <v>84</v>
      </c>
      <c r="N1751">
        <v>1</v>
      </c>
      <c r="O1751" t="b">
        <v>1</v>
      </c>
      <c r="P1751">
        <v>0</v>
      </c>
      <c r="BB1751">
        <v>0</v>
      </c>
      <c r="BC1751" t="s">
        <v>306</v>
      </c>
      <c r="BD1751" t="s">
        <v>343</v>
      </c>
      <c r="BE1751" t="s">
        <v>117</v>
      </c>
      <c r="BF1751">
        <v>0</v>
      </c>
      <c r="BG1751">
        <v>25</v>
      </c>
      <c r="BH1751">
        <v>10000</v>
      </c>
      <c r="BI1751" t="s">
        <v>344</v>
      </c>
    </row>
    <row r="1752" spans="1:61">
      <c r="A1752" s="164" t="s">
        <v>4246</v>
      </c>
      <c r="B1752" t="s">
        <v>4247</v>
      </c>
      <c r="C1752">
        <v>0</v>
      </c>
      <c r="D1752" t="s">
        <v>304</v>
      </c>
      <c r="E1752">
        <v>0</v>
      </c>
      <c r="F1752" t="s">
        <v>269</v>
      </c>
      <c r="G1752" t="s">
        <v>103</v>
      </c>
      <c r="H1752" t="s">
        <v>104</v>
      </c>
      <c r="I1752" t="s">
        <v>80</v>
      </c>
      <c r="J1752" t="s">
        <v>196</v>
      </c>
      <c r="K1752" t="s">
        <v>13</v>
      </c>
      <c r="L1752" t="s">
        <v>83</v>
      </c>
      <c r="M1752" t="s">
        <v>84</v>
      </c>
      <c r="N1752">
        <v>1</v>
      </c>
      <c r="O1752" t="b">
        <v>0</v>
      </c>
      <c r="P1752">
        <v>0</v>
      </c>
      <c r="BB1752">
        <v>0</v>
      </c>
      <c r="BC1752" t="s">
        <v>306</v>
      </c>
      <c r="BD1752" t="s">
        <v>270</v>
      </c>
      <c r="BE1752" t="s">
        <v>117</v>
      </c>
      <c r="BF1752">
        <v>0</v>
      </c>
      <c r="BG1752">
        <v>0</v>
      </c>
      <c r="BH1752">
        <v>0</v>
      </c>
    </row>
    <row r="1753" spans="1:61">
      <c r="A1753" s="164" t="s">
        <v>4248</v>
      </c>
      <c r="B1753" t="s">
        <v>4249</v>
      </c>
      <c r="C1753">
        <v>0</v>
      </c>
      <c r="D1753" t="s">
        <v>304</v>
      </c>
      <c r="E1753">
        <v>0</v>
      </c>
      <c r="F1753" t="s">
        <v>269</v>
      </c>
      <c r="G1753" t="s">
        <v>103</v>
      </c>
      <c r="H1753" t="s">
        <v>104</v>
      </c>
      <c r="I1753" t="s">
        <v>80</v>
      </c>
      <c r="J1753" t="s">
        <v>196</v>
      </c>
      <c r="K1753" t="s">
        <v>13</v>
      </c>
      <c r="L1753" t="s">
        <v>83</v>
      </c>
      <c r="M1753" t="s">
        <v>84</v>
      </c>
      <c r="N1753">
        <v>1</v>
      </c>
      <c r="O1753" t="b">
        <v>0</v>
      </c>
      <c r="P1753">
        <v>0</v>
      </c>
      <c r="BB1753">
        <v>0</v>
      </c>
      <c r="BC1753" t="s">
        <v>306</v>
      </c>
      <c r="BD1753" t="s">
        <v>270</v>
      </c>
      <c r="BE1753" t="s">
        <v>117</v>
      </c>
      <c r="BF1753">
        <v>0</v>
      </c>
      <c r="BG1753">
        <v>0</v>
      </c>
      <c r="BH1753">
        <v>0</v>
      </c>
    </row>
    <row r="1754" spans="1:61">
      <c r="A1754" s="164" t="s">
        <v>4250</v>
      </c>
      <c r="B1754" t="s">
        <v>4251</v>
      </c>
      <c r="C1754">
        <v>0</v>
      </c>
      <c r="D1754" t="s">
        <v>304</v>
      </c>
      <c r="E1754">
        <v>0</v>
      </c>
      <c r="F1754" t="s">
        <v>269</v>
      </c>
      <c r="G1754" t="s">
        <v>103</v>
      </c>
      <c r="H1754" t="s">
        <v>104</v>
      </c>
      <c r="I1754" t="s">
        <v>80</v>
      </c>
      <c r="J1754" t="s">
        <v>196</v>
      </c>
      <c r="K1754" t="s">
        <v>13</v>
      </c>
      <c r="L1754" t="s">
        <v>83</v>
      </c>
      <c r="M1754" t="s">
        <v>84</v>
      </c>
      <c r="N1754">
        <v>1</v>
      </c>
      <c r="O1754" t="b">
        <v>0</v>
      </c>
      <c r="P1754">
        <v>0</v>
      </c>
      <c r="BB1754">
        <v>0</v>
      </c>
      <c r="BC1754" t="s">
        <v>306</v>
      </c>
      <c r="BD1754" t="s">
        <v>270</v>
      </c>
      <c r="BE1754" t="s">
        <v>117</v>
      </c>
      <c r="BF1754">
        <v>0</v>
      </c>
      <c r="BG1754">
        <v>0</v>
      </c>
      <c r="BH1754">
        <v>0</v>
      </c>
    </row>
    <row r="1755" spans="1:61">
      <c r="A1755" s="164" t="s">
        <v>4252</v>
      </c>
      <c r="B1755" t="s">
        <v>4253</v>
      </c>
      <c r="C1755">
        <v>0</v>
      </c>
      <c r="D1755" t="s">
        <v>304</v>
      </c>
      <c r="E1755">
        <v>0</v>
      </c>
      <c r="F1755" t="s">
        <v>342</v>
      </c>
      <c r="G1755" t="s">
        <v>78</v>
      </c>
      <c r="H1755" t="s">
        <v>79</v>
      </c>
      <c r="I1755" t="s">
        <v>80</v>
      </c>
      <c r="J1755" t="s">
        <v>196</v>
      </c>
      <c r="K1755" t="s">
        <v>13</v>
      </c>
      <c r="L1755" t="s">
        <v>83</v>
      </c>
      <c r="M1755" t="s">
        <v>84</v>
      </c>
      <c r="N1755">
        <v>1</v>
      </c>
      <c r="O1755" t="b">
        <v>1</v>
      </c>
      <c r="P1755">
        <v>0</v>
      </c>
      <c r="BB1755">
        <v>0</v>
      </c>
      <c r="BC1755" t="s">
        <v>306</v>
      </c>
      <c r="BD1755" t="s">
        <v>343</v>
      </c>
      <c r="BE1755" t="s">
        <v>117</v>
      </c>
      <c r="BF1755">
        <v>0</v>
      </c>
      <c r="BG1755">
        <v>25</v>
      </c>
      <c r="BH1755">
        <v>10000</v>
      </c>
      <c r="BI1755" t="s">
        <v>344</v>
      </c>
    </row>
    <row r="1756" spans="1:61">
      <c r="A1756" s="164" t="s">
        <v>4254</v>
      </c>
      <c r="B1756" t="s">
        <v>4255</v>
      </c>
      <c r="C1756">
        <v>0</v>
      </c>
      <c r="D1756" t="s">
        <v>304</v>
      </c>
      <c r="E1756">
        <v>0</v>
      </c>
      <c r="F1756" t="s">
        <v>342</v>
      </c>
      <c r="G1756" t="s">
        <v>78</v>
      </c>
      <c r="H1756" t="s">
        <v>79</v>
      </c>
      <c r="I1756" t="s">
        <v>80</v>
      </c>
      <c r="J1756" t="s">
        <v>196</v>
      </c>
      <c r="K1756" t="s">
        <v>13</v>
      </c>
      <c r="L1756" t="s">
        <v>83</v>
      </c>
      <c r="M1756" t="s">
        <v>84</v>
      </c>
      <c r="N1756">
        <v>1</v>
      </c>
      <c r="O1756" t="b">
        <v>1</v>
      </c>
      <c r="P1756">
        <v>0</v>
      </c>
      <c r="BB1756">
        <v>0</v>
      </c>
      <c r="BC1756" t="s">
        <v>306</v>
      </c>
      <c r="BD1756" t="s">
        <v>343</v>
      </c>
      <c r="BE1756" t="s">
        <v>117</v>
      </c>
      <c r="BF1756">
        <v>0</v>
      </c>
      <c r="BG1756">
        <v>25</v>
      </c>
      <c r="BH1756">
        <v>10000</v>
      </c>
      <c r="BI1756" t="s">
        <v>344</v>
      </c>
    </row>
    <row r="1757" spans="1:61">
      <c r="A1757" s="164" t="s">
        <v>4256</v>
      </c>
      <c r="B1757" t="s">
        <v>4257</v>
      </c>
      <c r="C1757">
        <v>0</v>
      </c>
      <c r="D1757" t="s">
        <v>523</v>
      </c>
      <c r="E1757">
        <v>0</v>
      </c>
      <c r="F1757" t="s">
        <v>269</v>
      </c>
      <c r="G1757" t="s">
        <v>103</v>
      </c>
      <c r="H1757" t="s">
        <v>104</v>
      </c>
      <c r="I1757" t="s">
        <v>80</v>
      </c>
      <c r="J1757" t="s">
        <v>196</v>
      </c>
      <c r="K1757" t="s">
        <v>13</v>
      </c>
      <c r="L1757" t="s">
        <v>83</v>
      </c>
      <c r="M1757" t="s">
        <v>205</v>
      </c>
      <c r="N1757">
        <v>1</v>
      </c>
      <c r="O1757" t="b">
        <v>0</v>
      </c>
      <c r="P1757">
        <v>0</v>
      </c>
      <c r="BB1757">
        <v>0</v>
      </c>
      <c r="BC1757" t="s">
        <v>524</v>
      </c>
      <c r="BD1757" t="s">
        <v>270</v>
      </c>
      <c r="BE1757" t="s">
        <v>117</v>
      </c>
      <c r="BF1757">
        <v>0</v>
      </c>
      <c r="BG1757">
        <v>0</v>
      </c>
      <c r="BH1757">
        <v>0</v>
      </c>
    </row>
    <row r="1758" spans="1:61">
      <c r="A1758" s="164" t="s">
        <v>4258</v>
      </c>
      <c r="B1758" t="s">
        <v>4259</v>
      </c>
      <c r="C1758">
        <v>0</v>
      </c>
      <c r="D1758" t="s">
        <v>523</v>
      </c>
      <c r="E1758">
        <v>0</v>
      </c>
      <c r="F1758" t="s">
        <v>538</v>
      </c>
      <c r="G1758" t="s">
        <v>78</v>
      </c>
      <c r="H1758" t="s">
        <v>79</v>
      </c>
      <c r="I1758" t="s">
        <v>80</v>
      </c>
      <c r="J1758" t="s">
        <v>196</v>
      </c>
      <c r="K1758" t="s">
        <v>13</v>
      </c>
      <c r="L1758" t="s">
        <v>83</v>
      </c>
      <c r="M1758" t="s">
        <v>205</v>
      </c>
      <c r="N1758">
        <v>1</v>
      </c>
      <c r="O1758" t="b">
        <v>1</v>
      </c>
      <c r="P1758">
        <v>0</v>
      </c>
      <c r="BB1758">
        <v>0</v>
      </c>
      <c r="BC1758" t="s">
        <v>524</v>
      </c>
      <c r="BD1758" t="s">
        <v>539</v>
      </c>
      <c r="BE1758" t="s">
        <v>117</v>
      </c>
      <c r="BF1758">
        <v>0</v>
      </c>
      <c r="BG1758">
        <v>15</v>
      </c>
      <c r="BH1758">
        <v>24</v>
      </c>
      <c r="BI1758" t="s">
        <v>545</v>
      </c>
    </row>
    <row r="1759" spans="1:61">
      <c r="A1759" s="164" t="s">
        <v>4260</v>
      </c>
      <c r="B1759" t="s">
        <v>4261</v>
      </c>
      <c r="C1759">
        <v>0</v>
      </c>
      <c r="D1759" t="s">
        <v>523</v>
      </c>
      <c r="E1759">
        <v>0</v>
      </c>
      <c r="F1759" t="s">
        <v>538</v>
      </c>
      <c r="G1759" t="s">
        <v>78</v>
      </c>
      <c r="H1759" t="s">
        <v>79</v>
      </c>
      <c r="I1759" t="s">
        <v>80</v>
      </c>
      <c r="J1759" t="s">
        <v>196</v>
      </c>
      <c r="K1759" t="s">
        <v>13</v>
      </c>
      <c r="L1759" t="s">
        <v>83</v>
      </c>
      <c r="M1759" t="s">
        <v>205</v>
      </c>
      <c r="N1759">
        <v>1</v>
      </c>
      <c r="O1759" t="b">
        <v>1</v>
      </c>
      <c r="P1759">
        <v>0</v>
      </c>
      <c r="BB1759">
        <v>0</v>
      </c>
      <c r="BC1759" t="s">
        <v>524</v>
      </c>
      <c r="BD1759" t="s">
        <v>539</v>
      </c>
      <c r="BE1759" t="s">
        <v>117</v>
      </c>
      <c r="BF1759">
        <v>0</v>
      </c>
      <c r="BG1759">
        <v>15</v>
      </c>
      <c r="BH1759">
        <v>25</v>
      </c>
      <c r="BI1759" t="s">
        <v>545</v>
      </c>
    </row>
    <row r="1760" spans="1:61">
      <c r="A1760" s="164" t="s">
        <v>4262</v>
      </c>
      <c r="B1760" t="s">
        <v>4263</v>
      </c>
      <c r="C1760">
        <v>0</v>
      </c>
      <c r="D1760" t="s">
        <v>523</v>
      </c>
      <c r="E1760">
        <v>0</v>
      </c>
      <c r="F1760" t="s">
        <v>538</v>
      </c>
      <c r="G1760" t="s">
        <v>78</v>
      </c>
      <c r="H1760" t="s">
        <v>79</v>
      </c>
      <c r="I1760" t="s">
        <v>80</v>
      </c>
      <c r="J1760" t="s">
        <v>196</v>
      </c>
      <c r="K1760" t="s">
        <v>13</v>
      </c>
      <c r="L1760" t="s">
        <v>83</v>
      </c>
      <c r="M1760" t="s">
        <v>205</v>
      </c>
      <c r="N1760">
        <v>1</v>
      </c>
      <c r="O1760" t="b">
        <v>1</v>
      </c>
      <c r="P1760">
        <v>0</v>
      </c>
      <c r="BB1760">
        <v>0</v>
      </c>
      <c r="BC1760" t="s">
        <v>524</v>
      </c>
      <c r="BD1760" t="s">
        <v>539</v>
      </c>
      <c r="BE1760" t="s">
        <v>117</v>
      </c>
      <c r="BF1760">
        <v>0</v>
      </c>
      <c r="BG1760">
        <v>15</v>
      </c>
      <c r="BH1760">
        <v>30</v>
      </c>
      <c r="BI1760" t="s">
        <v>545</v>
      </c>
    </row>
    <row r="1761" spans="1:61">
      <c r="A1761" s="164" t="s">
        <v>4264</v>
      </c>
      <c r="B1761" t="s">
        <v>4265</v>
      </c>
      <c r="C1761">
        <v>0</v>
      </c>
      <c r="D1761" t="s">
        <v>523</v>
      </c>
      <c r="E1761">
        <v>0</v>
      </c>
      <c r="F1761" t="s">
        <v>538</v>
      </c>
      <c r="G1761" t="s">
        <v>78</v>
      </c>
      <c r="H1761" t="s">
        <v>79</v>
      </c>
      <c r="I1761" t="s">
        <v>80</v>
      </c>
      <c r="J1761" t="s">
        <v>196</v>
      </c>
      <c r="K1761" t="s">
        <v>13</v>
      </c>
      <c r="L1761" t="s">
        <v>83</v>
      </c>
      <c r="M1761" t="s">
        <v>205</v>
      </c>
      <c r="N1761">
        <v>1</v>
      </c>
      <c r="O1761" t="b">
        <v>1</v>
      </c>
      <c r="P1761">
        <v>0</v>
      </c>
      <c r="BB1761">
        <v>0</v>
      </c>
      <c r="BC1761" t="s">
        <v>524</v>
      </c>
      <c r="BD1761" t="s">
        <v>539</v>
      </c>
      <c r="BE1761" t="s">
        <v>117</v>
      </c>
      <c r="BF1761">
        <v>0</v>
      </c>
      <c r="BG1761">
        <v>15</v>
      </c>
      <c r="BH1761">
        <v>30</v>
      </c>
      <c r="BI1761" t="s">
        <v>545</v>
      </c>
    </row>
    <row r="1762" spans="1:61">
      <c r="A1762" s="164" t="s">
        <v>4266</v>
      </c>
      <c r="B1762" t="s">
        <v>4267</v>
      </c>
      <c r="C1762">
        <v>0</v>
      </c>
      <c r="D1762" t="s">
        <v>523</v>
      </c>
      <c r="E1762">
        <v>0</v>
      </c>
      <c r="F1762" t="s">
        <v>269</v>
      </c>
      <c r="G1762" t="s">
        <v>103</v>
      </c>
      <c r="H1762" t="s">
        <v>104</v>
      </c>
      <c r="I1762" t="s">
        <v>80</v>
      </c>
      <c r="J1762" t="s">
        <v>196</v>
      </c>
      <c r="K1762" t="s">
        <v>13</v>
      </c>
      <c r="L1762" t="s">
        <v>83</v>
      </c>
      <c r="M1762" t="s">
        <v>205</v>
      </c>
      <c r="N1762">
        <v>1</v>
      </c>
      <c r="O1762" t="b">
        <v>0</v>
      </c>
      <c r="P1762">
        <v>0</v>
      </c>
      <c r="BB1762">
        <v>0</v>
      </c>
      <c r="BC1762" t="s">
        <v>524</v>
      </c>
      <c r="BD1762" t="s">
        <v>270</v>
      </c>
      <c r="BE1762" t="s">
        <v>117</v>
      </c>
      <c r="BF1762">
        <v>0</v>
      </c>
      <c r="BG1762">
        <v>0</v>
      </c>
      <c r="BH1762">
        <v>0</v>
      </c>
    </row>
    <row r="1763" spans="1:61">
      <c r="A1763" s="164" t="s">
        <v>4268</v>
      </c>
      <c r="B1763" t="s">
        <v>4269</v>
      </c>
      <c r="C1763">
        <v>0</v>
      </c>
      <c r="D1763" t="s">
        <v>523</v>
      </c>
      <c r="E1763">
        <v>0</v>
      </c>
      <c r="F1763" t="s">
        <v>531</v>
      </c>
      <c r="G1763" t="s">
        <v>78</v>
      </c>
      <c r="H1763" t="s">
        <v>79</v>
      </c>
      <c r="I1763" t="s">
        <v>80</v>
      </c>
      <c r="J1763" t="s">
        <v>196</v>
      </c>
      <c r="K1763" t="s">
        <v>13</v>
      </c>
      <c r="L1763" t="s">
        <v>83</v>
      </c>
      <c r="M1763" t="s">
        <v>205</v>
      </c>
      <c r="N1763">
        <v>1</v>
      </c>
      <c r="O1763" t="b">
        <v>1</v>
      </c>
      <c r="P1763">
        <v>0</v>
      </c>
      <c r="BB1763">
        <v>0</v>
      </c>
      <c r="BC1763" t="s">
        <v>524</v>
      </c>
      <c r="BD1763" t="s">
        <v>532</v>
      </c>
      <c r="BE1763" t="s">
        <v>117</v>
      </c>
      <c r="BF1763">
        <v>0</v>
      </c>
      <c r="BG1763">
        <v>15</v>
      </c>
      <c r="BH1763">
        <v>25</v>
      </c>
      <c r="BI1763" t="s">
        <v>533</v>
      </c>
    </row>
    <row r="1764" spans="1:61">
      <c r="A1764" s="164" t="s">
        <v>4270</v>
      </c>
      <c r="B1764" t="s">
        <v>4271</v>
      </c>
      <c r="C1764">
        <v>0</v>
      </c>
      <c r="D1764" t="s">
        <v>523</v>
      </c>
      <c r="E1764">
        <v>0</v>
      </c>
      <c r="F1764" t="s">
        <v>269</v>
      </c>
      <c r="G1764" t="s">
        <v>103</v>
      </c>
      <c r="H1764" t="s">
        <v>104</v>
      </c>
      <c r="I1764" t="s">
        <v>80</v>
      </c>
      <c r="J1764" t="s">
        <v>196</v>
      </c>
      <c r="K1764" t="s">
        <v>13</v>
      </c>
      <c r="L1764" t="s">
        <v>83</v>
      </c>
      <c r="M1764" t="s">
        <v>548</v>
      </c>
      <c r="N1764">
        <v>1</v>
      </c>
      <c r="O1764" t="b">
        <v>0</v>
      </c>
      <c r="P1764">
        <v>0</v>
      </c>
      <c r="BB1764">
        <v>0</v>
      </c>
      <c r="BC1764" t="s">
        <v>524</v>
      </c>
      <c r="BD1764" t="s">
        <v>270</v>
      </c>
      <c r="BE1764" t="s">
        <v>117</v>
      </c>
      <c r="BF1764">
        <v>0</v>
      </c>
      <c r="BG1764">
        <v>0</v>
      </c>
      <c r="BH1764">
        <v>0</v>
      </c>
    </row>
    <row r="1765" spans="1:61">
      <c r="A1765" s="164" t="s">
        <v>4272</v>
      </c>
      <c r="B1765" t="s">
        <v>4273</v>
      </c>
      <c r="C1765">
        <v>0</v>
      </c>
      <c r="D1765" t="s">
        <v>523</v>
      </c>
      <c r="E1765">
        <v>0</v>
      </c>
      <c r="F1765" t="s">
        <v>531</v>
      </c>
      <c r="G1765" t="s">
        <v>78</v>
      </c>
      <c r="H1765" t="s">
        <v>79</v>
      </c>
      <c r="I1765" t="s">
        <v>80</v>
      </c>
      <c r="J1765" t="s">
        <v>196</v>
      </c>
      <c r="K1765" t="s">
        <v>13</v>
      </c>
      <c r="L1765" t="s">
        <v>83</v>
      </c>
      <c r="M1765" t="s">
        <v>205</v>
      </c>
      <c r="N1765">
        <v>1</v>
      </c>
      <c r="O1765" t="b">
        <v>1</v>
      </c>
      <c r="P1765">
        <v>0</v>
      </c>
      <c r="BB1765">
        <v>0</v>
      </c>
      <c r="BC1765" t="s">
        <v>524</v>
      </c>
      <c r="BD1765" t="s">
        <v>532</v>
      </c>
      <c r="BE1765" t="s">
        <v>117</v>
      </c>
      <c r="BF1765">
        <v>0</v>
      </c>
      <c r="BG1765">
        <v>15</v>
      </c>
      <c r="BH1765">
        <v>25</v>
      </c>
      <c r="BI1765" t="s">
        <v>533</v>
      </c>
    </row>
    <row r="1766" spans="1:61">
      <c r="A1766" s="164" t="s">
        <v>4274</v>
      </c>
      <c r="B1766" t="s">
        <v>4275</v>
      </c>
      <c r="C1766">
        <v>0</v>
      </c>
      <c r="D1766" t="s">
        <v>486</v>
      </c>
      <c r="E1766">
        <v>0</v>
      </c>
      <c r="F1766" t="s">
        <v>1782</v>
      </c>
      <c r="G1766" t="s">
        <v>78</v>
      </c>
      <c r="H1766" t="s">
        <v>79</v>
      </c>
      <c r="I1766" t="s">
        <v>80</v>
      </c>
      <c r="J1766" t="s">
        <v>163</v>
      </c>
      <c r="K1766" t="s">
        <v>82</v>
      </c>
      <c r="L1766" t="s">
        <v>83</v>
      </c>
      <c r="M1766" t="s">
        <v>84</v>
      </c>
      <c r="N1766">
        <v>7.4999999999999997E-2</v>
      </c>
      <c r="O1766" t="b">
        <v>1</v>
      </c>
      <c r="P1766">
        <v>90</v>
      </c>
      <c r="Q1766" t="s">
        <v>137</v>
      </c>
      <c r="U1766" s="36">
        <v>0.64679999999999993</v>
      </c>
      <c r="V1766" t="s">
        <v>165</v>
      </c>
      <c r="X1766">
        <v>0</v>
      </c>
      <c r="Y1766">
        <v>240</v>
      </c>
      <c r="Z1766">
        <v>0</v>
      </c>
      <c r="AA1766">
        <v>35</v>
      </c>
      <c r="AB1766">
        <v>0</v>
      </c>
      <c r="AC1766">
        <v>0</v>
      </c>
      <c r="AE1766" t="s">
        <v>129</v>
      </c>
      <c r="AF1766" t="s">
        <v>1782</v>
      </c>
      <c r="AH1766">
        <v>0</v>
      </c>
      <c r="AI1766">
        <v>10.199999999999999</v>
      </c>
      <c r="AX1766" t="s">
        <v>1783</v>
      </c>
      <c r="AY1766">
        <v>2.2313999999999998</v>
      </c>
      <c r="AZ1766">
        <v>0</v>
      </c>
      <c r="BA1766" t="s">
        <v>138</v>
      </c>
      <c r="BB1766">
        <v>0</v>
      </c>
      <c r="BC1766" t="s">
        <v>95</v>
      </c>
      <c r="BD1766" t="s">
        <v>96</v>
      </c>
      <c r="BE1766" t="s">
        <v>97</v>
      </c>
      <c r="BF1766">
        <v>1</v>
      </c>
      <c r="BG1766">
        <v>0</v>
      </c>
      <c r="BH1766">
        <v>0</v>
      </c>
      <c r="BI1766" t="s">
        <v>98</v>
      </c>
    </row>
    <row r="1767" spans="1:61">
      <c r="A1767" s="164" t="s">
        <v>4276</v>
      </c>
      <c r="B1767" t="s">
        <v>4277</v>
      </c>
      <c r="C1767">
        <v>0</v>
      </c>
      <c r="D1767" t="s">
        <v>748</v>
      </c>
      <c r="E1767">
        <v>0</v>
      </c>
      <c r="F1767" t="s">
        <v>748</v>
      </c>
      <c r="G1767" t="s">
        <v>103</v>
      </c>
      <c r="H1767" t="s">
        <v>104</v>
      </c>
      <c r="I1767" t="s">
        <v>80</v>
      </c>
      <c r="J1767" t="s">
        <v>81</v>
      </c>
      <c r="K1767" t="s">
        <v>82</v>
      </c>
      <c r="L1767" t="s">
        <v>83</v>
      </c>
      <c r="M1767" t="s">
        <v>84</v>
      </c>
      <c r="N1767">
        <v>0.16</v>
      </c>
      <c r="O1767" t="b">
        <v>1</v>
      </c>
      <c r="P1767">
        <v>90</v>
      </c>
      <c r="Q1767" t="s">
        <v>188</v>
      </c>
      <c r="R1767" t="s">
        <v>86</v>
      </c>
      <c r="S1767">
        <v>0.16</v>
      </c>
      <c r="T1767">
        <v>1</v>
      </c>
      <c r="V1767" t="s">
        <v>87</v>
      </c>
      <c r="W1767">
        <v>180</v>
      </c>
      <c r="X1767">
        <v>0.45</v>
      </c>
      <c r="Y1767">
        <v>43</v>
      </c>
      <c r="Z1767">
        <v>2.3255813953488372E-2</v>
      </c>
      <c r="AA1767">
        <v>30</v>
      </c>
      <c r="AB1767">
        <v>0</v>
      </c>
      <c r="AC1767">
        <v>500</v>
      </c>
      <c r="AD1767">
        <v>3125</v>
      </c>
      <c r="AE1767" t="s">
        <v>88</v>
      </c>
      <c r="AF1767" t="s">
        <v>749</v>
      </c>
      <c r="AG1767" t="s">
        <v>750</v>
      </c>
      <c r="AH1767">
        <v>0</v>
      </c>
      <c r="AI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 t="s">
        <v>4278</v>
      </c>
      <c r="AY1767">
        <v>0</v>
      </c>
      <c r="AZ1767">
        <v>8</v>
      </c>
      <c r="BA1767" t="s">
        <v>94</v>
      </c>
      <c r="BB1767">
        <v>0</v>
      </c>
      <c r="BC1767" t="s">
        <v>95</v>
      </c>
      <c r="BD1767" t="s">
        <v>96</v>
      </c>
      <c r="BE1767" t="s">
        <v>97</v>
      </c>
      <c r="BF1767">
        <v>0</v>
      </c>
      <c r="BG1767">
        <v>0</v>
      </c>
      <c r="BH1767">
        <v>0</v>
      </c>
      <c r="BI1767" t="s">
        <v>98</v>
      </c>
    </row>
    <row r="1768" spans="1:61">
      <c r="A1768" s="164" t="s">
        <v>4279</v>
      </c>
      <c r="B1768" t="s">
        <v>4280</v>
      </c>
      <c r="C1768">
        <v>0</v>
      </c>
      <c r="D1768" t="s">
        <v>147</v>
      </c>
      <c r="E1768">
        <v>0</v>
      </c>
      <c r="F1768" t="s">
        <v>154</v>
      </c>
      <c r="G1768" t="s">
        <v>78</v>
      </c>
      <c r="H1768" t="s">
        <v>79</v>
      </c>
      <c r="I1768" t="s">
        <v>80</v>
      </c>
      <c r="J1768" t="s">
        <v>81</v>
      </c>
      <c r="K1768" t="s">
        <v>82</v>
      </c>
      <c r="L1768" t="s">
        <v>83</v>
      </c>
      <c r="M1768" t="s">
        <v>84</v>
      </c>
      <c r="N1768">
        <v>1.75</v>
      </c>
      <c r="O1768" t="b">
        <v>1</v>
      </c>
      <c r="P1768">
        <v>45</v>
      </c>
      <c r="Q1768" t="s">
        <v>85</v>
      </c>
      <c r="R1768" t="s">
        <v>86</v>
      </c>
      <c r="S1768">
        <v>1.75</v>
      </c>
      <c r="T1768">
        <v>1</v>
      </c>
      <c r="U1768" s="36">
        <v>2.3115999999999999</v>
      </c>
      <c r="V1768" t="s">
        <v>87</v>
      </c>
      <c r="W1768">
        <v>24</v>
      </c>
      <c r="X1768">
        <v>0.45019999999999999</v>
      </c>
      <c r="Y1768">
        <v>12</v>
      </c>
      <c r="Z1768">
        <v>8.3333333333333329E-2</v>
      </c>
      <c r="AA1768">
        <v>30</v>
      </c>
      <c r="AB1768">
        <v>0</v>
      </c>
      <c r="AC1768">
        <v>515</v>
      </c>
      <c r="AD1768">
        <v>294.28571428571428</v>
      </c>
      <c r="AE1768" t="s">
        <v>155</v>
      </c>
      <c r="AF1768" t="s">
        <v>156</v>
      </c>
      <c r="AG1768" t="s">
        <v>240</v>
      </c>
      <c r="AH1768">
        <v>0</v>
      </c>
      <c r="AI1768">
        <v>0.9</v>
      </c>
      <c r="AJ1768" t="s">
        <v>91</v>
      </c>
      <c r="AK1768" t="s">
        <v>92</v>
      </c>
      <c r="AL1768" t="s">
        <v>93</v>
      </c>
      <c r="AM1768">
        <v>0.33553925925925926</v>
      </c>
      <c r="AN1768">
        <v>0.22369283950617286</v>
      </c>
      <c r="AO1768">
        <v>0.34672390123456792</v>
      </c>
      <c r="AP1768">
        <v>0</v>
      </c>
      <c r="AQ1768">
        <v>8.6691086691086688E-2</v>
      </c>
      <c r="AR1768">
        <v>2.6666666666666505E-3</v>
      </c>
      <c r="AS1768">
        <v>0</v>
      </c>
      <c r="AT1768">
        <v>1.0866910866910866</v>
      </c>
      <c r="AU1768">
        <v>1.0026666666666666</v>
      </c>
      <c r="AV1768">
        <v>1</v>
      </c>
      <c r="AW1768">
        <v>0</v>
      </c>
      <c r="AX1768" t="s">
        <v>4281</v>
      </c>
      <c r="AY1768">
        <v>83.4</v>
      </c>
      <c r="AZ1768">
        <v>0</v>
      </c>
      <c r="BA1768" t="s">
        <v>94</v>
      </c>
      <c r="BB1768">
        <v>4.9400000000000004</v>
      </c>
      <c r="BC1768" t="s">
        <v>95</v>
      </c>
      <c r="BD1768" t="s">
        <v>96</v>
      </c>
      <c r="BE1768" t="s">
        <v>97</v>
      </c>
      <c r="BF1768">
        <v>1</v>
      </c>
      <c r="BG1768">
        <v>0</v>
      </c>
      <c r="BH1768">
        <v>0</v>
      </c>
      <c r="BI1768" t="s">
        <v>98</v>
      </c>
    </row>
    <row r="1769" spans="1:61">
      <c r="A1769" s="164" t="s">
        <v>4282</v>
      </c>
      <c r="B1769" t="s">
        <v>4283</v>
      </c>
      <c r="C1769">
        <v>0</v>
      </c>
      <c r="D1769" t="s">
        <v>161</v>
      </c>
      <c r="E1769">
        <v>0</v>
      </c>
      <c r="F1769" t="s">
        <v>475</v>
      </c>
      <c r="G1769" t="s">
        <v>103</v>
      </c>
      <c r="H1769" t="s">
        <v>104</v>
      </c>
      <c r="I1769" t="s">
        <v>80</v>
      </c>
      <c r="J1769" t="s">
        <v>163</v>
      </c>
      <c r="K1769" t="s">
        <v>82</v>
      </c>
      <c r="L1769" t="s">
        <v>83</v>
      </c>
      <c r="M1769" t="s">
        <v>84</v>
      </c>
      <c r="N1769">
        <v>0.2</v>
      </c>
      <c r="O1769" t="b">
        <v>1</v>
      </c>
      <c r="P1769">
        <v>30</v>
      </c>
      <c r="Q1769" t="s">
        <v>137</v>
      </c>
      <c r="R1769" t="s">
        <v>164</v>
      </c>
      <c r="S1769">
        <v>0</v>
      </c>
      <c r="T1769">
        <v>1</v>
      </c>
      <c r="V1769" t="s">
        <v>165</v>
      </c>
      <c r="X1769">
        <v>0</v>
      </c>
      <c r="Z1769">
        <v>0</v>
      </c>
      <c r="AB1769">
        <v>0</v>
      </c>
      <c r="AC1769">
        <v>0</v>
      </c>
      <c r="AE1769" t="s">
        <v>129</v>
      </c>
      <c r="AF1769" t="s">
        <v>475</v>
      </c>
      <c r="AG1769" t="s">
        <v>129</v>
      </c>
      <c r="AH1769">
        <v>0</v>
      </c>
      <c r="AI1769">
        <v>7.7</v>
      </c>
      <c r="AJ1769" t="s">
        <v>167</v>
      </c>
      <c r="AM1769">
        <v>7.47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 t="s">
        <v>4284</v>
      </c>
      <c r="AY1769">
        <v>0</v>
      </c>
      <c r="AZ1769">
        <v>7</v>
      </c>
      <c r="BA1769" t="s">
        <v>138</v>
      </c>
      <c r="BB1769">
        <v>0</v>
      </c>
      <c r="BC1769" t="s">
        <v>95</v>
      </c>
      <c r="BD1769" t="s">
        <v>96</v>
      </c>
      <c r="BE1769" t="s">
        <v>97</v>
      </c>
      <c r="BF1769">
        <v>0</v>
      </c>
      <c r="BG1769">
        <v>0</v>
      </c>
      <c r="BH1769">
        <v>0</v>
      </c>
      <c r="BI1769" t="s">
        <v>98</v>
      </c>
    </row>
    <row r="1770" spans="1:61">
      <c r="A1770" s="164" t="s">
        <v>4285</v>
      </c>
      <c r="B1770" t="s">
        <v>4286</v>
      </c>
      <c r="C1770">
        <v>0</v>
      </c>
      <c r="D1770" t="s">
        <v>1811</v>
      </c>
      <c r="E1770">
        <v>0</v>
      </c>
      <c r="F1770" t="s">
        <v>4153</v>
      </c>
      <c r="G1770" t="s">
        <v>103</v>
      </c>
      <c r="H1770" t="s">
        <v>104</v>
      </c>
      <c r="I1770" t="s">
        <v>80</v>
      </c>
      <c r="J1770" t="s">
        <v>163</v>
      </c>
      <c r="K1770" t="s">
        <v>82</v>
      </c>
      <c r="L1770" t="s">
        <v>83</v>
      </c>
      <c r="M1770" t="s">
        <v>84</v>
      </c>
      <c r="N1770">
        <v>0.125</v>
      </c>
      <c r="O1770" t="b">
        <v>1</v>
      </c>
      <c r="P1770">
        <v>40</v>
      </c>
      <c r="Q1770" t="s">
        <v>137</v>
      </c>
      <c r="S1770">
        <v>0.125</v>
      </c>
      <c r="T1770">
        <v>1</v>
      </c>
      <c r="U1770" s="36">
        <v>0.59501999999999999</v>
      </c>
      <c r="V1770" t="s">
        <v>991</v>
      </c>
      <c r="X1770">
        <v>0</v>
      </c>
      <c r="Y1770">
        <v>126</v>
      </c>
      <c r="Z1770">
        <v>1.8518518518518517E-2</v>
      </c>
      <c r="AA1770">
        <v>35</v>
      </c>
      <c r="AB1770">
        <v>0</v>
      </c>
      <c r="AC1770">
        <v>0</v>
      </c>
      <c r="AE1770" t="s">
        <v>129</v>
      </c>
      <c r="AF1770" t="s">
        <v>4153</v>
      </c>
      <c r="AG1770" t="s">
        <v>129</v>
      </c>
      <c r="AH1770">
        <v>0</v>
      </c>
      <c r="AI1770">
        <v>1.6</v>
      </c>
      <c r="AM1770">
        <v>1.6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1.4</v>
      </c>
      <c r="AX1770" t="s">
        <v>4287</v>
      </c>
      <c r="AY1770">
        <v>8.36</v>
      </c>
      <c r="AZ1770">
        <v>5</v>
      </c>
      <c r="BA1770" t="s">
        <v>138</v>
      </c>
      <c r="BB1770">
        <v>1.57</v>
      </c>
      <c r="BC1770" t="s">
        <v>95</v>
      </c>
      <c r="BD1770" t="s">
        <v>96</v>
      </c>
      <c r="BE1770" t="s">
        <v>97</v>
      </c>
      <c r="BF1770">
        <v>1</v>
      </c>
      <c r="BG1770">
        <v>0</v>
      </c>
      <c r="BH1770">
        <v>0</v>
      </c>
      <c r="BI1770" t="s">
        <v>98</v>
      </c>
    </row>
    <row r="1771" spans="1:61">
      <c r="A1771" s="164" t="s">
        <v>4288</v>
      </c>
      <c r="B1771" t="s">
        <v>4289</v>
      </c>
      <c r="C1771">
        <v>0</v>
      </c>
      <c r="D1771" t="s">
        <v>101</v>
      </c>
      <c r="E1771">
        <v>0</v>
      </c>
      <c r="F1771" t="s">
        <v>102</v>
      </c>
      <c r="G1771" t="s">
        <v>103</v>
      </c>
      <c r="H1771" t="s">
        <v>104</v>
      </c>
      <c r="I1771" t="s">
        <v>80</v>
      </c>
      <c r="J1771" t="s">
        <v>81</v>
      </c>
      <c r="K1771" t="s">
        <v>82</v>
      </c>
      <c r="L1771" t="s">
        <v>83</v>
      </c>
      <c r="M1771" t="s">
        <v>84</v>
      </c>
      <c r="N1771">
        <v>0.13500000000000001</v>
      </c>
      <c r="O1771" t="b">
        <v>0</v>
      </c>
      <c r="P1771">
        <v>45</v>
      </c>
      <c r="Q1771" t="s">
        <v>85</v>
      </c>
      <c r="S1771">
        <v>0</v>
      </c>
      <c r="T1771">
        <v>1</v>
      </c>
      <c r="U1771" s="36">
        <v>0.28008</v>
      </c>
      <c r="V1771" t="s">
        <v>87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G1771" t="s">
        <v>129</v>
      </c>
      <c r="AH1771">
        <v>0</v>
      </c>
      <c r="AI1771">
        <v>0.8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Y1771">
        <v>0</v>
      </c>
      <c r="AZ1771">
        <v>0</v>
      </c>
      <c r="BA1771" t="s">
        <v>94</v>
      </c>
      <c r="BB1771">
        <v>0</v>
      </c>
      <c r="BC1771" t="s">
        <v>95</v>
      </c>
      <c r="BD1771" t="s">
        <v>96</v>
      </c>
      <c r="BE1771" t="s">
        <v>97</v>
      </c>
      <c r="BF1771">
        <v>0</v>
      </c>
      <c r="BG1771">
        <v>0</v>
      </c>
      <c r="BH1771">
        <v>0</v>
      </c>
      <c r="BI1771" t="s">
        <v>98</v>
      </c>
    </row>
    <row r="1772" spans="1:61">
      <c r="A1772" s="164" t="s">
        <v>4290</v>
      </c>
      <c r="B1772" t="s">
        <v>4291</v>
      </c>
      <c r="C1772">
        <v>0</v>
      </c>
      <c r="D1772" t="s">
        <v>107</v>
      </c>
      <c r="E1772">
        <v>0</v>
      </c>
      <c r="F1772" t="s">
        <v>558</v>
      </c>
      <c r="G1772" t="s">
        <v>103</v>
      </c>
      <c r="H1772" t="s">
        <v>104</v>
      </c>
      <c r="I1772" t="s">
        <v>80</v>
      </c>
      <c r="J1772" t="s">
        <v>81</v>
      </c>
      <c r="K1772" t="s">
        <v>82</v>
      </c>
      <c r="L1772" t="s">
        <v>83</v>
      </c>
      <c r="M1772" t="s">
        <v>84</v>
      </c>
      <c r="N1772">
        <v>0.95</v>
      </c>
      <c r="O1772" t="b">
        <v>1</v>
      </c>
      <c r="P1772">
        <v>45</v>
      </c>
      <c r="Q1772" t="s">
        <v>85</v>
      </c>
      <c r="R1772" t="s">
        <v>86</v>
      </c>
      <c r="S1772">
        <v>0.95</v>
      </c>
      <c r="T1772">
        <v>1</v>
      </c>
      <c r="U1772" s="36">
        <v>1.3174999999999999</v>
      </c>
      <c r="V1772" t="s">
        <v>87</v>
      </c>
      <c r="W1772">
        <v>24</v>
      </c>
      <c r="X1772">
        <v>0.45019999999999999</v>
      </c>
      <c r="Y1772">
        <v>18</v>
      </c>
      <c r="Z1772">
        <v>5.5555555555555552E-2</v>
      </c>
      <c r="AA1772">
        <v>30</v>
      </c>
      <c r="AB1772">
        <v>0</v>
      </c>
      <c r="AC1772">
        <v>540</v>
      </c>
      <c r="AD1772">
        <v>568.42105263157896</v>
      </c>
      <c r="AE1772" t="s">
        <v>155</v>
      </c>
      <c r="AF1772" t="s">
        <v>559</v>
      </c>
      <c r="AG1772" t="s">
        <v>560</v>
      </c>
      <c r="AH1772">
        <v>0</v>
      </c>
      <c r="AI1772">
        <v>0.9</v>
      </c>
      <c r="AJ1772" t="s">
        <v>91</v>
      </c>
      <c r="AK1772" t="s">
        <v>92</v>
      </c>
      <c r="AL1772" t="s">
        <v>93</v>
      </c>
      <c r="AM1772">
        <v>0.33138777777777773</v>
      </c>
      <c r="AN1772">
        <v>0.22092518518518517</v>
      </c>
      <c r="AO1772">
        <v>0.34243403703703701</v>
      </c>
      <c r="AP1772">
        <v>0</v>
      </c>
      <c r="AQ1772">
        <v>8.6691086691086688E-2</v>
      </c>
      <c r="AR1772">
        <v>2.6666666666666505E-3</v>
      </c>
      <c r="AS1772">
        <v>0</v>
      </c>
      <c r="AT1772">
        <v>1.0866910866910866</v>
      </c>
      <c r="AU1772">
        <v>1.0026666666666666</v>
      </c>
      <c r="AV1772">
        <v>1</v>
      </c>
      <c r="AW1772">
        <v>0</v>
      </c>
      <c r="AX1772" t="s">
        <v>4292</v>
      </c>
      <c r="AY1772">
        <v>53.4</v>
      </c>
      <c r="AZ1772">
        <v>0</v>
      </c>
      <c r="BA1772" t="s">
        <v>94</v>
      </c>
      <c r="BB1772">
        <v>3.01</v>
      </c>
      <c r="BC1772" t="s">
        <v>95</v>
      </c>
      <c r="BD1772" t="s">
        <v>96</v>
      </c>
      <c r="BE1772" t="s">
        <v>97</v>
      </c>
      <c r="BF1772">
        <v>0</v>
      </c>
      <c r="BG1772">
        <v>0</v>
      </c>
      <c r="BH1772">
        <v>0</v>
      </c>
      <c r="BI1772" t="s">
        <v>98</v>
      </c>
    </row>
    <row r="1773" spans="1:61">
      <c r="A1773" s="164" t="s">
        <v>4293</v>
      </c>
      <c r="B1773" t="s">
        <v>4294</v>
      </c>
      <c r="C1773">
        <v>0</v>
      </c>
      <c r="D1773" t="s">
        <v>161</v>
      </c>
      <c r="E1773">
        <v>0</v>
      </c>
      <c r="F1773" t="s">
        <v>162</v>
      </c>
      <c r="G1773" t="s">
        <v>78</v>
      </c>
      <c r="H1773" t="s">
        <v>79</v>
      </c>
      <c r="I1773" t="s">
        <v>80</v>
      </c>
      <c r="J1773" t="s">
        <v>163</v>
      </c>
      <c r="K1773" t="s">
        <v>82</v>
      </c>
      <c r="L1773" t="s">
        <v>83</v>
      </c>
      <c r="M1773" t="s">
        <v>84</v>
      </c>
      <c r="N1773">
        <v>0.25</v>
      </c>
      <c r="O1773" t="b">
        <v>1</v>
      </c>
      <c r="P1773">
        <v>35</v>
      </c>
      <c r="Q1773" t="s">
        <v>137</v>
      </c>
      <c r="R1773" t="s">
        <v>164</v>
      </c>
      <c r="S1773">
        <v>0.25</v>
      </c>
      <c r="T1773">
        <v>1</v>
      </c>
      <c r="U1773" s="36">
        <v>0.69428000000000001</v>
      </c>
      <c r="V1773" t="s">
        <v>165</v>
      </c>
      <c r="W1773">
        <v>55</v>
      </c>
      <c r="X1773">
        <v>0</v>
      </c>
      <c r="Y1773">
        <v>90</v>
      </c>
      <c r="Z1773">
        <v>0</v>
      </c>
      <c r="AA1773">
        <v>35</v>
      </c>
      <c r="AB1773">
        <v>0</v>
      </c>
      <c r="AC1773">
        <v>0</v>
      </c>
      <c r="AD1773">
        <v>700</v>
      </c>
      <c r="AE1773" t="s">
        <v>166</v>
      </c>
      <c r="AF1773" t="s">
        <v>162</v>
      </c>
      <c r="AG1773" t="s">
        <v>129</v>
      </c>
      <c r="AH1773">
        <v>0</v>
      </c>
      <c r="AI1773">
        <v>2.1</v>
      </c>
      <c r="AJ1773" t="s">
        <v>167</v>
      </c>
      <c r="AM1773">
        <v>2.11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0.33</v>
      </c>
      <c r="AX1773" t="s">
        <v>168</v>
      </c>
      <c r="AY1773">
        <v>4.2363</v>
      </c>
      <c r="AZ1773">
        <v>6</v>
      </c>
      <c r="BA1773" t="s">
        <v>138</v>
      </c>
      <c r="BB1773">
        <v>1.61</v>
      </c>
      <c r="BC1773" t="s">
        <v>95</v>
      </c>
      <c r="BD1773" t="s">
        <v>96</v>
      </c>
      <c r="BE1773" t="s">
        <v>97</v>
      </c>
      <c r="BF1773">
        <v>1</v>
      </c>
      <c r="BG1773">
        <v>0</v>
      </c>
      <c r="BH1773">
        <v>0</v>
      </c>
      <c r="BI1773" t="s">
        <v>98</v>
      </c>
    </row>
    <row r="1774" spans="1:61">
      <c r="A1774" s="164" t="s">
        <v>4295</v>
      </c>
      <c r="B1774" t="s">
        <v>4296</v>
      </c>
      <c r="C1774">
        <v>0</v>
      </c>
      <c r="D1774" t="s">
        <v>479</v>
      </c>
      <c r="E1774">
        <v>0</v>
      </c>
      <c r="F1774" t="s">
        <v>480</v>
      </c>
      <c r="G1774" t="s">
        <v>103</v>
      </c>
      <c r="H1774" t="s">
        <v>104</v>
      </c>
      <c r="I1774" t="s">
        <v>80</v>
      </c>
      <c r="J1774" t="s">
        <v>467</v>
      </c>
      <c r="K1774" t="s">
        <v>468</v>
      </c>
      <c r="L1774" t="s">
        <v>111</v>
      </c>
      <c r="M1774" t="s">
        <v>84</v>
      </c>
      <c r="N1774">
        <v>0.75</v>
      </c>
      <c r="O1774" t="b">
        <v>0</v>
      </c>
      <c r="P1774">
        <v>45</v>
      </c>
      <c r="Q1774" t="s">
        <v>479</v>
      </c>
      <c r="S1774">
        <v>0.75</v>
      </c>
      <c r="T1774">
        <v>1</v>
      </c>
      <c r="V1774" t="s">
        <v>87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H1774">
        <v>0</v>
      </c>
      <c r="AI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Y1774">
        <v>0</v>
      </c>
      <c r="AZ1774">
        <v>1</v>
      </c>
      <c r="BA1774" t="s">
        <v>138</v>
      </c>
      <c r="BB1774">
        <v>0</v>
      </c>
      <c r="BC1774" t="s">
        <v>95</v>
      </c>
      <c r="BD1774" t="s">
        <v>469</v>
      </c>
      <c r="BE1774" t="s">
        <v>97</v>
      </c>
      <c r="BF1774">
        <v>0</v>
      </c>
      <c r="BG1774">
        <v>0</v>
      </c>
      <c r="BH1774">
        <v>0</v>
      </c>
      <c r="BI1774" t="s">
        <v>98</v>
      </c>
    </row>
    <row r="1775" spans="1:61">
      <c r="A1775" s="164" t="s">
        <v>4297</v>
      </c>
      <c r="B1775" t="s">
        <v>4298</v>
      </c>
      <c r="C1775">
        <v>0</v>
      </c>
      <c r="D1775" t="s">
        <v>486</v>
      </c>
      <c r="E1775">
        <v>0</v>
      </c>
      <c r="F1775" t="s">
        <v>3880</v>
      </c>
      <c r="G1775" t="s">
        <v>1242</v>
      </c>
      <c r="H1775" t="s">
        <v>117</v>
      </c>
      <c r="I1775" t="s">
        <v>80</v>
      </c>
      <c r="J1775" t="s">
        <v>163</v>
      </c>
      <c r="K1775" t="s">
        <v>82</v>
      </c>
      <c r="L1775" t="s">
        <v>83</v>
      </c>
      <c r="M1775" t="s">
        <v>84</v>
      </c>
      <c r="N1775">
        <v>0.2</v>
      </c>
      <c r="O1775" t="b">
        <v>1</v>
      </c>
      <c r="P1775">
        <v>0</v>
      </c>
      <c r="Q1775" t="s">
        <v>137</v>
      </c>
      <c r="R1775" t="s">
        <v>86</v>
      </c>
      <c r="V1775" t="s">
        <v>165</v>
      </c>
      <c r="X1775">
        <v>0</v>
      </c>
      <c r="Z1775">
        <v>0</v>
      </c>
      <c r="AB1775">
        <v>0</v>
      </c>
      <c r="AC1775">
        <v>0</v>
      </c>
      <c r="AE1775" t="s">
        <v>129</v>
      </c>
      <c r="AF1775" t="s">
        <v>3880</v>
      </c>
      <c r="AG1775" t="s">
        <v>129</v>
      </c>
      <c r="AH1775">
        <v>0</v>
      </c>
      <c r="AI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 t="s">
        <v>4299</v>
      </c>
      <c r="AY1775">
        <v>0</v>
      </c>
      <c r="AZ1775">
        <v>0</v>
      </c>
      <c r="BA1775" t="s">
        <v>138</v>
      </c>
      <c r="BB1775">
        <v>0</v>
      </c>
      <c r="BC1775" t="s">
        <v>488</v>
      </c>
      <c r="BD1775" t="s">
        <v>489</v>
      </c>
      <c r="BE1775" t="s">
        <v>97</v>
      </c>
      <c r="BF1775">
        <v>0</v>
      </c>
      <c r="BG1775">
        <v>0</v>
      </c>
      <c r="BH1775">
        <v>0</v>
      </c>
      <c r="BI1775" t="s">
        <v>98</v>
      </c>
    </row>
    <row r="1776" spans="1:61">
      <c r="A1776" s="164" t="s">
        <v>4300</v>
      </c>
      <c r="B1776" t="s">
        <v>4301</v>
      </c>
      <c r="C1776">
        <v>0</v>
      </c>
      <c r="D1776" t="s">
        <v>175</v>
      </c>
      <c r="E1776">
        <v>0</v>
      </c>
      <c r="F1776" t="s">
        <v>1223</v>
      </c>
      <c r="G1776" t="s">
        <v>1242</v>
      </c>
      <c r="H1776" t="s">
        <v>117</v>
      </c>
      <c r="I1776" t="s">
        <v>80</v>
      </c>
      <c r="J1776" t="s">
        <v>163</v>
      </c>
      <c r="K1776" t="s">
        <v>82</v>
      </c>
      <c r="L1776" t="s">
        <v>83</v>
      </c>
      <c r="M1776" t="s">
        <v>84</v>
      </c>
      <c r="N1776">
        <v>0.3</v>
      </c>
      <c r="O1776" t="b">
        <v>1</v>
      </c>
      <c r="P1776">
        <v>0</v>
      </c>
      <c r="Q1776" t="s">
        <v>137</v>
      </c>
      <c r="R1776" t="s">
        <v>86</v>
      </c>
      <c r="V1776" t="s">
        <v>165</v>
      </c>
      <c r="X1776">
        <v>0</v>
      </c>
      <c r="Z1776">
        <v>0</v>
      </c>
      <c r="AB1776">
        <v>0</v>
      </c>
      <c r="AC1776">
        <v>0</v>
      </c>
      <c r="AE1776" t="s">
        <v>129</v>
      </c>
      <c r="AF1776" t="s">
        <v>1223</v>
      </c>
      <c r="AG1776" t="s">
        <v>129</v>
      </c>
      <c r="AH1776">
        <v>0</v>
      </c>
      <c r="AI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 t="s">
        <v>4302</v>
      </c>
      <c r="AY1776">
        <v>0</v>
      </c>
      <c r="AZ1776">
        <v>0</v>
      </c>
      <c r="BA1776" t="s">
        <v>138</v>
      </c>
      <c r="BB1776">
        <v>0</v>
      </c>
      <c r="BC1776" t="s">
        <v>488</v>
      </c>
      <c r="BD1776" t="s">
        <v>489</v>
      </c>
      <c r="BE1776" t="s">
        <v>97</v>
      </c>
      <c r="BF1776">
        <v>0</v>
      </c>
      <c r="BG1776">
        <v>0</v>
      </c>
      <c r="BH1776">
        <v>0</v>
      </c>
      <c r="BI1776" t="s">
        <v>98</v>
      </c>
    </row>
    <row r="1777" spans="1:61">
      <c r="A1777" s="164" t="s">
        <v>4303</v>
      </c>
      <c r="B1777" t="s">
        <v>4304</v>
      </c>
      <c r="C1777">
        <v>0</v>
      </c>
      <c r="D1777" t="s">
        <v>486</v>
      </c>
      <c r="E1777">
        <v>0</v>
      </c>
      <c r="F1777" t="s">
        <v>1248</v>
      </c>
      <c r="G1777" t="s">
        <v>1242</v>
      </c>
      <c r="H1777" t="s">
        <v>117</v>
      </c>
      <c r="I1777" t="s">
        <v>80</v>
      </c>
      <c r="J1777" t="s">
        <v>163</v>
      </c>
      <c r="K1777" t="s">
        <v>82</v>
      </c>
      <c r="L1777" t="s">
        <v>83</v>
      </c>
      <c r="M1777" t="s">
        <v>84</v>
      </c>
      <c r="N1777">
        <v>0.25</v>
      </c>
      <c r="O1777" t="b">
        <v>1</v>
      </c>
      <c r="P1777">
        <v>0</v>
      </c>
      <c r="Q1777" t="s">
        <v>137</v>
      </c>
      <c r="R1777" t="s">
        <v>86</v>
      </c>
      <c r="V1777" t="s">
        <v>165</v>
      </c>
      <c r="X1777">
        <v>0</v>
      </c>
      <c r="Z1777">
        <v>0</v>
      </c>
      <c r="AB1777">
        <v>0</v>
      </c>
      <c r="AC1777">
        <v>0</v>
      </c>
      <c r="AE1777" t="s">
        <v>129</v>
      </c>
      <c r="AF1777" t="s">
        <v>1248</v>
      </c>
      <c r="AG1777" t="s">
        <v>129</v>
      </c>
      <c r="AH1777">
        <v>0</v>
      </c>
      <c r="AI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 t="s">
        <v>4305</v>
      </c>
      <c r="AY1777">
        <v>0</v>
      </c>
      <c r="AZ1777">
        <v>0</v>
      </c>
      <c r="BA1777" t="s">
        <v>138</v>
      </c>
      <c r="BB1777">
        <v>0</v>
      </c>
      <c r="BC1777" t="s">
        <v>488</v>
      </c>
      <c r="BD1777" t="s">
        <v>489</v>
      </c>
      <c r="BE1777" t="s">
        <v>97</v>
      </c>
      <c r="BF1777">
        <v>0</v>
      </c>
      <c r="BG1777">
        <v>0</v>
      </c>
      <c r="BH1777">
        <v>0</v>
      </c>
      <c r="BI1777" t="s">
        <v>98</v>
      </c>
    </row>
    <row r="1778" spans="1:61">
      <c r="A1778" s="164" t="s">
        <v>4306</v>
      </c>
      <c r="B1778" t="s">
        <v>4307</v>
      </c>
      <c r="C1778">
        <v>0</v>
      </c>
      <c r="D1778" t="s">
        <v>175</v>
      </c>
      <c r="E1778">
        <v>0</v>
      </c>
      <c r="F1778" t="s">
        <v>844</v>
      </c>
      <c r="G1778" t="s">
        <v>78</v>
      </c>
      <c r="H1778" t="s">
        <v>79</v>
      </c>
      <c r="I1778" t="s">
        <v>80</v>
      </c>
      <c r="J1778" t="s">
        <v>163</v>
      </c>
      <c r="K1778" t="s">
        <v>82</v>
      </c>
      <c r="L1778" t="s">
        <v>83</v>
      </c>
      <c r="M1778" t="s">
        <v>84</v>
      </c>
      <c r="N1778">
        <v>3.5000000000000003E-2</v>
      </c>
      <c r="O1778" t="b">
        <v>1</v>
      </c>
      <c r="P1778">
        <v>40</v>
      </c>
      <c r="Q1778" t="s">
        <v>137</v>
      </c>
      <c r="R1778" t="s">
        <v>164</v>
      </c>
      <c r="S1778">
        <v>3.5000000000000003E-2</v>
      </c>
      <c r="T1778">
        <v>1</v>
      </c>
      <c r="U1778" s="36">
        <v>0.228385</v>
      </c>
      <c r="V1778" t="s">
        <v>165</v>
      </c>
      <c r="W1778">
        <v>140</v>
      </c>
      <c r="X1778">
        <v>0</v>
      </c>
      <c r="Y1778">
        <v>180</v>
      </c>
      <c r="Z1778">
        <v>0</v>
      </c>
      <c r="AA1778">
        <v>35</v>
      </c>
      <c r="AB1778">
        <v>0</v>
      </c>
      <c r="AC1778">
        <v>0</v>
      </c>
      <c r="AD1778">
        <v>3000</v>
      </c>
      <c r="AE1778" t="s">
        <v>166</v>
      </c>
      <c r="AF1778" t="s">
        <v>844</v>
      </c>
      <c r="AG1778" t="s">
        <v>129</v>
      </c>
      <c r="AH1778">
        <v>0</v>
      </c>
      <c r="AI1778">
        <v>9.4</v>
      </c>
      <c r="AJ1778" t="s">
        <v>493</v>
      </c>
      <c r="AM1778">
        <v>9.66</v>
      </c>
      <c r="AN1778">
        <v>0</v>
      </c>
      <c r="AO1778">
        <v>0</v>
      </c>
      <c r="AP1778">
        <v>0</v>
      </c>
      <c r="AQ1778">
        <v>4.8346055979643761E-2</v>
      </c>
      <c r="AR1778">
        <v>0</v>
      </c>
      <c r="AS1778">
        <v>0</v>
      </c>
      <c r="AT1778">
        <v>1.0483460559796438</v>
      </c>
      <c r="AU1778">
        <v>0</v>
      </c>
      <c r="AV1778">
        <v>0</v>
      </c>
      <c r="AW1778">
        <v>0</v>
      </c>
      <c r="AX1778" t="s">
        <v>1230</v>
      </c>
      <c r="AY1778">
        <v>2.2183000000000002</v>
      </c>
      <c r="AZ1778">
        <v>0</v>
      </c>
      <c r="BA1778" t="s">
        <v>138</v>
      </c>
      <c r="BB1778">
        <v>0.56000000000000005</v>
      </c>
      <c r="BC1778" t="s">
        <v>95</v>
      </c>
      <c r="BD1778" t="s">
        <v>96</v>
      </c>
      <c r="BE1778" t="s">
        <v>97</v>
      </c>
      <c r="BF1778">
        <v>1</v>
      </c>
      <c r="BG1778">
        <v>0</v>
      </c>
      <c r="BH1778">
        <v>0</v>
      </c>
      <c r="BI1778" t="s">
        <v>98</v>
      </c>
    </row>
    <row r="1779" spans="1:61">
      <c r="A1779" s="164" t="s">
        <v>4308</v>
      </c>
      <c r="B1779" t="s">
        <v>4309</v>
      </c>
      <c r="C1779">
        <v>0</v>
      </c>
      <c r="D1779" t="s">
        <v>76</v>
      </c>
      <c r="E1779">
        <v>0</v>
      </c>
      <c r="F1779" t="s">
        <v>972</v>
      </c>
      <c r="G1779" t="s">
        <v>78</v>
      </c>
      <c r="H1779" t="s">
        <v>79</v>
      </c>
      <c r="I1779" t="s">
        <v>80</v>
      </c>
      <c r="J1779" t="s">
        <v>81</v>
      </c>
      <c r="K1779" t="s">
        <v>82</v>
      </c>
      <c r="L1779" t="s">
        <v>83</v>
      </c>
      <c r="M1779" t="s">
        <v>84</v>
      </c>
      <c r="N1779">
        <v>1.67</v>
      </c>
      <c r="O1779" t="b">
        <v>1</v>
      </c>
      <c r="P1779">
        <v>45</v>
      </c>
      <c r="Q1779" t="s">
        <v>85</v>
      </c>
      <c r="R1779" t="s">
        <v>86</v>
      </c>
      <c r="S1779">
        <v>1.67</v>
      </c>
      <c r="T1779">
        <v>1</v>
      </c>
      <c r="U1779" s="36">
        <v>2.3031100000000002</v>
      </c>
      <c r="V1779" t="s">
        <v>87</v>
      </c>
      <c r="W1779">
        <v>24</v>
      </c>
      <c r="X1779">
        <v>0.45019999999999999</v>
      </c>
      <c r="Y1779">
        <v>12</v>
      </c>
      <c r="Z1779">
        <v>8.3333333333333329E-2</v>
      </c>
      <c r="AA1779">
        <v>30</v>
      </c>
      <c r="AB1779">
        <v>0</v>
      </c>
      <c r="AC1779">
        <v>540</v>
      </c>
      <c r="AD1779">
        <v>323.35329341317367</v>
      </c>
      <c r="AE1779" t="s">
        <v>155</v>
      </c>
      <c r="AF1779" t="s">
        <v>89</v>
      </c>
      <c r="AG1779" t="s">
        <v>90</v>
      </c>
      <c r="AH1779">
        <v>0</v>
      </c>
      <c r="AI1779">
        <v>1</v>
      </c>
      <c r="AJ1779" t="s">
        <v>91</v>
      </c>
      <c r="AK1779" t="s">
        <v>92</v>
      </c>
      <c r="AL1779" t="s">
        <v>93</v>
      </c>
      <c r="AM1779">
        <v>0.98220000000000007</v>
      </c>
      <c r="AN1779">
        <v>0</v>
      </c>
      <c r="AO1779">
        <v>0</v>
      </c>
      <c r="AP1779">
        <v>0</v>
      </c>
      <c r="AQ1779">
        <v>8.6691086691086688E-2</v>
      </c>
      <c r="AR1779">
        <v>2.6666666666666505E-3</v>
      </c>
      <c r="AS1779">
        <v>0</v>
      </c>
      <c r="AT1779">
        <v>1.0866910866910866</v>
      </c>
      <c r="AU1779">
        <v>1.0026666666666666</v>
      </c>
      <c r="AV1779">
        <v>1</v>
      </c>
      <c r="AW1779">
        <v>0</v>
      </c>
      <c r="AX1779" t="s">
        <v>4310</v>
      </c>
      <c r="AY1779">
        <v>89.4</v>
      </c>
      <c r="AZ1779">
        <v>0</v>
      </c>
      <c r="BA1779" t="s">
        <v>94</v>
      </c>
      <c r="BB1779">
        <v>5.08</v>
      </c>
      <c r="BC1779" t="s">
        <v>95</v>
      </c>
      <c r="BD1779" t="s">
        <v>96</v>
      </c>
      <c r="BE1779" t="s">
        <v>97</v>
      </c>
      <c r="BF1779">
        <v>1</v>
      </c>
      <c r="BG1779">
        <v>0</v>
      </c>
      <c r="BH1779">
        <v>0</v>
      </c>
      <c r="BI1779" t="s">
        <v>98</v>
      </c>
    </row>
    <row r="1780" spans="1:61">
      <c r="A1780" s="164" t="s">
        <v>4311</v>
      </c>
      <c r="B1780" t="s">
        <v>4312</v>
      </c>
      <c r="C1780">
        <v>0</v>
      </c>
      <c r="D1780" t="s">
        <v>1125</v>
      </c>
      <c r="E1780">
        <v>0</v>
      </c>
      <c r="F1780" t="s">
        <v>1125</v>
      </c>
      <c r="G1780" t="s">
        <v>103</v>
      </c>
      <c r="H1780" t="s">
        <v>104</v>
      </c>
      <c r="I1780" t="s">
        <v>126</v>
      </c>
      <c r="J1780" t="s">
        <v>127</v>
      </c>
      <c r="K1780" t="s">
        <v>82</v>
      </c>
      <c r="L1780" t="s">
        <v>83</v>
      </c>
      <c r="M1780" t="s">
        <v>84</v>
      </c>
      <c r="N1780">
        <v>0.14000000000000001</v>
      </c>
      <c r="O1780" t="b">
        <v>0</v>
      </c>
      <c r="P1780">
        <v>60</v>
      </c>
      <c r="Q1780" t="s">
        <v>188</v>
      </c>
      <c r="S1780">
        <v>0</v>
      </c>
      <c r="T1780">
        <v>1</v>
      </c>
      <c r="V1780" t="s">
        <v>87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G1780" t="s">
        <v>129</v>
      </c>
      <c r="AH1780">
        <v>0</v>
      </c>
      <c r="AI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Y1780">
        <v>0</v>
      </c>
      <c r="AZ1780">
        <v>2</v>
      </c>
      <c r="BA1780" t="s">
        <v>94</v>
      </c>
      <c r="BB1780">
        <v>0</v>
      </c>
      <c r="BC1780" t="s">
        <v>95</v>
      </c>
      <c r="BD1780" t="s">
        <v>1187</v>
      </c>
      <c r="BE1780" t="s">
        <v>97</v>
      </c>
      <c r="BF1780">
        <v>0</v>
      </c>
      <c r="BG1780">
        <v>0</v>
      </c>
      <c r="BH1780">
        <v>0</v>
      </c>
      <c r="BI1780" t="s">
        <v>98</v>
      </c>
    </row>
    <row r="1781" spans="1:61">
      <c r="A1781" s="164" t="s">
        <v>4313</v>
      </c>
      <c r="B1781" t="s">
        <v>4314</v>
      </c>
      <c r="C1781">
        <v>0</v>
      </c>
      <c r="D1781" t="s">
        <v>76</v>
      </c>
      <c r="E1781">
        <v>0</v>
      </c>
      <c r="F1781" t="s">
        <v>972</v>
      </c>
      <c r="G1781" t="s">
        <v>78</v>
      </c>
      <c r="H1781" t="s">
        <v>79</v>
      </c>
      <c r="I1781" t="s">
        <v>80</v>
      </c>
      <c r="J1781" t="s">
        <v>81</v>
      </c>
      <c r="K1781" t="s">
        <v>82</v>
      </c>
      <c r="L1781" t="s">
        <v>83</v>
      </c>
      <c r="M1781" t="s">
        <v>84</v>
      </c>
      <c r="N1781">
        <v>0.95</v>
      </c>
      <c r="O1781" t="b">
        <v>1</v>
      </c>
      <c r="P1781">
        <v>45</v>
      </c>
      <c r="Q1781" t="s">
        <v>85</v>
      </c>
      <c r="R1781" t="s">
        <v>86</v>
      </c>
      <c r="U1781" s="36">
        <v>1.24322</v>
      </c>
      <c r="V1781" t="s">
        <v>87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F1781" t="s">
        <v>89</v>
      </c>
      <c r="AH1781">
        <v>0</v>
      </c>
      <c r="AI1781">
        <v>1</v>
      </c>
      <c r="AX1781" t="s">
        <v>4315</v>
      </c>
      <c r="AY1781">
        <v>0</v>
      </c>
      <c r="AZ1781">
        <v>0</v>
      </c>
      <c r="BA1781" t="s">
        <v>94</v>
      </c>
      <c r="BB1781">
        <v>3.17</v>
      </c>
      <c r="BC1781" t="s">
        <v>95</v>
      </c>
      <c r="BD1781" t="s">
        <v>96</v>
      </c>
      <c r="BE1781" t="s">
        <v>97</v>
      </c>
      <c r="BF1781">
        <v>1</v>
      </c>
      <c r="BG1781">
        <v>0</v>
      </c>
      <c r="BH1781">
        <v>0</v>
      </c>
      <c r="BI1781" t="s">
        <v>98</v>
      </c>
    </row>
    <row r="1782" spans="1:61">
      <c r="A1782" s="164" t="s">
        <v>4316</v>
      </c>
      <c r="B1782" t="s">
        <v>4317</v>
      </c>
      <c r="C1782">
        <v>0</v>
      </c>
      <c r="D1782" t="s">
        <v>486</v>
      </c>
      <c r="E1782">
        <v>0</v>
      </c>
      <c r="F1782" t="s">
        <v>2261</v>
      </c>
      <c r="G1782" t="s">
        <v>78</v>
      </c>
      <c r="H1782" t="s">
        <v>79</v>
      </c>
      <c r="I1782" t="s">
        <v>80</v>
      </c>
      <c r="J1782" t="s">
        <v>163</v>
      </c>
      <c r="K1782" t="s">
        <v>82</v>
      </c>
      <c r="L1782" t="s">
        <v>83</v>
      </c>
      <c r="M1782" t="s">
        <v>84</v>
      </c>
      <c r="N1782">
        <v>0.35</v>
      </c>
      <c r="O1782" t="b">
        <v>1</v>
      </c>
      <c r="P1782">
        <v>60</v>
      </c>
      <c r="Q1782" t="s">
        <v>137</v>
      </c>
      <c r="S1782">
        <v>0.35</v>
      </c>
      <c r="T1782">
        <v>1</v>
      </c>
      <c r="U1782" s="36">
        <v>2.30749</v>
      </c>
      <c r="V1782" t="s">
        <v>165</v>
      </c>
      <c r="X1782">
        <v>0</v>
      </c>
      <c r="Y1782">
        <v>30</v>
      </c>
      <c r="Z1782">
        <v>3.3333333333333333E-2</v>
      </c>
      <c r="AA1782">
        <v>35</v>
      </c>
      <c r="AB1782">
        <v>0</v>
      </c>
      <c r="AC1782">
        <v>0</v>
      </c>
      <c r="AE1782" t="s">
        <v>129</v>
      </c>
      <c r="AF1782" t="s">
        <v>2261</v>
      </c>
      <c r="AG1782" t="s">
        <v>129</v>
      </c>
      <c r="AH1782">
        <v>0</v>
      </c>
      <c r="AI1782">
        <v>10.199999999999999</v>
      </c>
      <c r="AJ1782" t="s">
        <v>167</v>
      </c>
      <c r="AM1782">
        <v>10.38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 t="s">
        <v>4318</v>
      </c>
      <c r="AY1782">
        <v>10.15</v>
      </c>
      <c r="AZ1782">
        <v>8</v>
      </c>
      <c r="BA1782" t="s">
        <v>138</v>
      </c>
      <c r="BB1782">
        <v>5.98</v>
      </c>
      <c r="BC1782" t="s">
        <v>95</v>
      </c>
      <c r="BD1782" t="s">
        <v>96</v>
      </c>
      <c r="BE1782" t="s">
        <v>97</v>
      </c>
      <c r="BF1782">
        <v>1</v>
      </c>
      <c r="BG1782">
        <v>0</v>
      </c>
      <c r="BH1782">
        <v>0</v>
      </c>
      <c r="BI1782" t="s">
        <v>98</v>
      </c>
    </row>
    <row r="1783" spans="1:61">
      <c r="A1783" s="164" t="s">
        <v>4319</v>
      </c>
      <c r="B1783" t="s">
        <v>4320</v>
      </c>
      <c r="C1783">
        <v>0</v>
      </c>
      <c r="D1783" t="s">
        <v>1553</v>
      </c>
      <c r="E1783">
        <v>0</v>
      </c>
      <c r="F1783" t="s">
        <v>120</v>
      </c>
      <c r="G1783" t="s">
        <v>103</v>
      </c>
      <c r="H1783" t="s">
        <v>104</v>
      </c>
      <c r="I1783" t="s">
        <v>80</v>
      </c>
      <c r="J1783" t="s">
        <v>81</v>
      </c>
      <c r="K1783" t="s">
        <v>82</v>
      </c>
      <c r="L1783" t="s">
        <v>83</v>
      </c>
      <c r="M1783" t="s">
        <v>84</v>
      </c>
      <c r="N1783">
        <v>0.15</v>
      </c>
      <c r="O1783" t="b">
        <v>1</v>
      </c>
      <c r="P1783">
        <v>45</v>
      </c>
      <c r="Q1783" t="s">
        <v>85</v>
      </c>
      <c r="R1783" t="s">
        <v>1126</v>
      </c>
      <c r="S1783">
        <v>0.15</v>
      </c>
      <c r="T1783">
        <v>1</v>
      </c>
      <c r="U1783" s="36">
        <v>0.50078</v>
      </c>
      <c r="V1783" t="s">
        <v>87</v>
      </c>
      <c r="W1783">
        <v>135</v>
      </c>
      <c r="X1783">
        <v>0</v>
      </c>
      <c r="Y1783">
        <v>60</v>
      </c>
      <c r="Z1783">
        <v>1.5625E-2</v>
      </c>
      <c r="AA1783">
        <v>30</v>
      </c>
      <c r="AB1783">
        <v>3.3333333333333333E-2</v>
      </c>
      <c r="AC1783">
        <v>500</v>
      </c>
      <c r="AD1783">
        <v>3333.3333333333335</v>
      </c>
      <c r="AE1783" t="s">
        <v>88</v>
      </c>
      <c r="AF1783" t="s">
        <v>1554</v>
      </c>
      <c r="AG1783" t="s">
        <v>1555</v>
      </c>
      <c r="AH1783">
        <v>0</v>
      </c>
      <c r="AI1783">
        <v>0.9</v>
      </c>
      <c r="AJ1783" t="s">
        <v>91</v>
      </c>
      <c r="AL1783" t="s">
        <v>93</v>
      </c>
      <c r="AM1783">
        <v>0.52300000000000002</v>
      </c>
      <c r="AN1783">
        <v>0</v>
      </c>
      <c r="AO1783">
        <v>0.4</v>
      </c>
      <c r="AP1783">
        <v>0</v>
      </c>
      <c r="AQ1783">
        <v>8.6691086691086688E-2</v>
      </c>
      <c r="AR1783">
        <v>0</v>
      </c>
      <c r="AS1783">
        <v>0</v>
      </c>
      <c r="AT1783">
        <v>1.0866910866910866</v>
      </c>
      <c r="AU1783">
        <v>0</v>
      </c>
      <c r="AV1783">
        <v>1</v>
      </c>
      <c r="AW1783">
        <v>0</v>
      </c>
      <c r="AX1783" t="s">
        <v>4321</v>
      </c>
      <c r="AY1783">
        <v>13.200000000000001</v>
      </c>
      <c r="AZ1783">
        <v>0</v>
      </c>
      <c r="BA1783" t="s">
        <v>94</v>
      </c>
      <c r="BB1783">
        <v>1.37</v>
      </c>
      <c r="BC1783" t="s">
        <v>95</v>
      </c>
      <c r="BD1783" t="s">
        <v>96</v>
      </c>
      <c r="BE1783" t="s">
        <v>97</v>
      </c>
      <c r="BF1783">
        <v>0</v>
      </c>
      <c r="BG1783">
        <v>0</v>
      </c>
      <c r="BH1783">
        <v>0</v>
      </c>
      <c r="BI1783" t="s">
        <v>98</v>
      </c>
    </row>
    <row r="1784" spans="1:61">
      <c r="A1784" s="164" t="s">
        <v>4322</v>
      </c>
      <c r="B1784" t="s">
        <v>4323</v>
      </c>
      <c r="C1784">
        <v>0</v>
      </c>
      <c r="D1784" t="s">
        <v>175</v>
      </c>
      <c r="E1784">
        <v>0</v>
      </c>
      <c r="F1784" t="s">
        <v>508</v>
      </c>
      <c r="G1784" t="s">
        <v>103</v>
      </c>
      <c r="H1784" t="s">
        <v>104</v>
      </c>
      <c r="I1784" t="s">
        <v>80</v>
      </c>
      <c r="J1784" t="s">
        <v>163</v>
      </c>
      <c r="K1784" t="s">
        <v>82</v>
      </c>
      <c r="L1784" t="s">
        <v>83</v>
      </c>
      <c r="M1784" t="s">
        <v>84</v>
      </c>
      <c r="N1784">
        <v>0.1</v>
      </c>
      <c r="O1784" t="b">
        <v>1</v>
      </c>
      <c r="P1784">
        <v>40</v>
      </c>
      <c r="Q1784" t="s">
        <v>137</v>
      </c>
      <c r="R1784" t="s">
        <v>164</v>
      </c>
      <c r="S1784">
        <v>0.1</v>
      </c>
      <c r="T1784">
        <v>1</v>
      </c>
      <c r="U1784" s="36">
        <v>0.58159000000000005</v>
      </c>
      <c r="V1784" t="s">
        <v>165</v>
      </c>
      <c r="X1784">
        <v>0</v>
      </c>
      <c r="Z1784">
        <v>0</v>
      </c>
      <c r="AB1784">
        <v>0</v>
      </c>
      <c r="AC1784">
        <v>0</v>
      </c>
      <c r="AE1784" t="s">
        <v>129</v>
      </c>
      <c r="AF1784" t="s">
        <v>508</v>
      </c>
      <c r="AG1784" t="s">
        <v>129</v>
      </c>
      <c r="AH1784">
        <v>0</v>
      </c>
      <c r="AI1784">
        <v>7.8</v>
      </c>
      <c r="AJ1784" t="s">
        <v>167</v>
      </c>
      <c r="AM1784">
        <v>8.3000000000000007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 t="s">
        <v>4324</v>
      </c>
      <c r="AY1784">
        <v>15.860300000000001</v>
      </c>
      <c r="AZ1784">
        <v>2</v>
      </c>
      <c r="BA1784" t="s">
        <v>138</v>
      </c>
      <c r="BB1784">
        <v>1.1399999999999999</v>
      </c>
      <c r="BC1784" t="s">
        <v>95</v>
      </c>
      <c r="BD1784" t="s">
        <v>96</v>
      </c>
      <c r="BE1784" t="s">
        <v>97</v>
      </c>
      <c r="BF1784">
        <v>0</v>
      </c>
      <c r="BG1784">
        <v>0</v>
      </c>
      <c r="BH1784">
        <v>0</v>
      </c>
      <c r="BI1784" t="s">
        <v>98</v>
      </c>
    </row>
    <row r="1785" spans="1:61">
      <c r="A1785" s="164" t="s">
        <v>4325</v>
      </c>
      <c r="B1785" t="s">
        <v>4326</v>
      </c>
      <c r="C1785">
        <v>0</v>
      </c>
      <c r="D1785" t="s">
        <v>107</v>
      </c>
      <c r="E1785">
        <v>0</v>
      </c>
      <c r="F1785" t="s">
        <v>108</v>
      </c>
      <c r="G1785" t="s">
        <v>103</v>
      </c>
      <c r="H1785" t="s">
        <v>104</v>
      </c>
      <c r="I1785" t="s">
        <v>80</v>
      </c>
      <c r="J1785" t="s">
        <v>81</v>
      </c>
      <c r="K1785" t="s">
        <v>82</v>
      </c>
      <c r="L1785" t="s">
        <v>83</v>
      </c>
      <c r="M1785" t="s">
        <v>84</v>
      </c>
      <c r="N1785">
        <v>0.9</v>
      </c>
      <c r="O1785" t="b">
        <v>0</v>
      </c>
      <c r="P1785">
        <v>45</v>
      </c>
      <c r="Q1785" t="s">
        <v>85</v>
      </c>
      <c r="S1785">
        <v>0.9</v>
      </c>
      <c r="T1785">
        <v>1</v>
      </c>
      <c r="U1785" s="36">
        <v>0.62633000000000005</v>
      </c>
      <c r="V1785" t="s">
        <v>87</v>
      </c>
      <c r="W1785">
        <v>0</v>
      </c>
      <c r="X1785">
        <v>0.62562499999999999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 t="s">
        <v>112</v>
      </c>
      <c r="AF1785" t="s">
        <v>1117</v>
      </c>
      <c r="AG1785" t="s">
        <v>114</v>
      </c>
      <c r="AH1785">
        <v>0</v>
      </c>
      <c r="AI1785">
        <v>0.6</v>
      </c>
      <c r="AJ1785" t="s">
        <v>91</v>
      </c>
      <c r="AK1785" t="s">
        <v>92</v>
      </c>
      <c r="AL1785" t="s">
        <v>93</v>
      </c>
      <c r="AM1785">
        <v>0.34043629629629629</v>
      </c>
      <c r="AN1785">
        <v>0.22695753086419751</v>
      </c>
      <c r="AO1785">
        <v>0.35178417283950614</v>
      </c>
      <c r="AP1785">
        <v>0</v>
      </c>
      <c r="AQ1785">
        <v>8.6691086691086688E-2</v>
      </c>
      <c r="AR1785">
        <v>2.6666666666666505E-3</v>
      </c>
      <c r="AS1785">
        <v>0</v>
      </c>
      <c r="AT1785">
        <v>1.0866910866910866</v>
      </c>
      <c r="AU1785">
        <v>1.0026666666666666</v>
      </c>
      <c r="AV1785">
        <v>1</v>
      </c>
      <c r="AW1785">
        <v>0</v>
      </c>
      <c r="AY1785">
        <v>0</v>
      </c>
      <c r="AZ1785">
        <v>0</v>
      </c>
      <c r="BA1785" t="s">
        <v>94</v>
      </c>
      <c r="BB1785">
        <v>0</v>
      </c>
      <c r="BC1785" t="s">
        <v>95</v>
      </c>
      <c r="BD1785" t="s">
        <v>96</v>
      </c>
      <c r="BE1785" t="s">
        <v>97</v>
      </c>
      <c r="BF1785">
        <v>0</v>
      </c>
      <c r="BG1785">
        <v>0</v>
      </c>
      <c r="BH1785">
        <v>0</v>
      </c>
      <c r="BI1785" t="s">
        <v>98</v>
      </c>
    </row>
    <row r="1786" spans="1:61">
      <c r="A1786" s="164" t="s">
        <v>4327</v>
      </c>
      <c r="B1786" t="s">
        <v>4328</v>
      </c>
      <c r="C1786">
        <v>0</v>
      </c>
      <c r="D1786" t="s">
        <v>107</v>
      </c>
      <c r="E1786">
        <v>0</v>
      </c>
      <c r="F1786" t="s">
        <v>108</v>
      </c>
      <c r="G1786" t="s">
        <v>103</v>
      </c>
      <c r="H1786" t="s">
        <v>104</v>
      </c>
      <c r="I1786" t="s">
        <v>80</v>
      </c>
      <c r="J1786" t="s">
        <v>81</v>
      </c>
      <c r="K1786" t="s">
        <v>468</v>
      </c>
      <c r="L1786" t="s">
        <v>111</v>
      </c>
      <c r="M1786" t="s">
        <v>84</v>
      </c>
      <c r="N1786">
        <v>2.75</v>
      </c>
      <c r="O1786" t="b">
        <v>0</v>
      </c>
      <c r="P1786">
        <v>45</v>
      </c>
      <c r="Q1786" t="s">
        <v>85</v>
      </c>
      <c r="S1786">
        <v>0</v>
      </c>
      <c r="T1786">
        <v>1</v>
      </c>
      <c r="V1786" t="s">
        <v>87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G1786" t="s">
        <v>129</v>
      </c>
      <c r="AH1786">
        <v>0</v>
      </c>
      <c r="AI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Y1786">
        <v>0</v>
      </c>
      <c r="AZ1786">
        <v>0</v>
      </c>
      <c r="BA1786" t="s">
        <v>94</v>
      </c>
      <c r="BB1786">
        <v>0</v>
      </c>
      <c r="BC1786" t="s">
        <v>95</v>
      </c>
      <c r="BD1786" t="s">
        <v>139</v>
      </c>
      <c r="BE1786" t="s">
        <v>97</v>
      </c>
      <c r="BF1786">
        <v>0</v>
      </c>
      <c r="BG1786">
        <v>0</v>
      </c>
      <c r="BH1786">
        <v>0</v>
      </c>
      <c r="BI1786" t="s">
        <v>98</v>
      </c>
    </row>
    <row r="1787" spans="1:61">
      <c r="A1787" s="164" t="s">
        <v>4329</v>
      </c>
      <c r="B1787" t="s">
        <v>4330</v>
      </c>
      <c r="C1787">
        <v>0</v>
      </c>
      <c r="D1787" t="s">
        <v>304</v>
      </c>
      <c r="E1787">
        <v>0</v>
      </c>
      <c r="F1787" t="s">
        <v>313</v>
      </c>
      <c r="G1787" t="s">
        <v>78</v>
      </c>
      <c r="H1787" t="s">
        <v>79</v>
      </c>
      <c r="I1787" t="s">
        <v>80</v>
      </c>
      <c r="J1787" t="s">
        <v>196</v>
      </c>
      <c r="K1787" t="s">
        <v>13</v>
      </c>
      <c r="L1787" t="s">
        <v>83</v>
      </c>
      <c r="M1787" t="s">
        <v>84</v>
      </c>
      <c r="N1787">
        <v>1</v>
      </c>
      <c r="O1787" t="b">
        <v>1</v>
      </c>
      <c r="P1787">
        <v>0</v>
      </c>
      <c r="BB1787">
        <v>0</v>
      </c>
      <c r="BC1787" t="s">
        <v>306</v>
      </c>
      <c r="BD1787" t="s">
        <v>314</v>
      </c>
      <c r="BE1787" t="s">
        <v>117</v>
      </c>
      <c r="BF1787">
        <v>0</v>
      </c>
      <c r="BG1787">
        <v>30</v>
      </c>
      <c r="BH1787">
        <v>30000</v>
      </c>
      <c r="BI1787" t="s">
        <v>328</v>
      </c>
    </row>
    <row r="1788" spans="1:61">
      <c r="A1788" s="164" t="s">
        <v>4331</v>
      </c>
      <c r="B1788" t="s">
        <v>3404</v>
      </c>
      <c r="C1788">
        <v>0</v>
      </c>
      <c r="D1788" t="s">
        <v>304</v>
      </c>
      <c r="E1788">
        <v>0</v>
      </c>
      <c r="F1788" t="s">
        <v>313</v>
      </c>
      <c r="G1788" t="s">
        <v>78</v>
      </c>
      <c r="H1788" t="s">
        <v>79</v>
      </c>
      <c r="I1788" t="s">
        <v>80</v>
      </c>
      <c r="J1788" t="s">
        <v>196</v>
      </c>
      <c r="K1788" t="s">
        <v>13</v>
      </c>
      <c r="L1788" t="s">
        <v>83</v>
      </c>
      <c r="M1788" t="s">
        <v>84</v>
      </c>
      <c r="N1788">
        <v>1</v>
      </c>
      <c r="O1788" t="b">
        <v>1</v>
      </c>
      <c r="P1788">
        <v>0</v>
      </c>
      <c r="BB1788">
        <v>0</v>
      </c>
      <c r="BC1788" t="s">
        <v>306</v>
      </c>
      <c r="BD1788" t="s">
        <v>314</v>
      </c>
      <c r="BE1788" t="s">
        <v>117</v>
      </c>
      <c r="BF1788">
        <v>0</v>
      </c>
      <c r="BG1788">
        <v>45</v>
      </c>
      <c r="BH1788">
        <v>300</v>
      </c>
      <c r="BI1788" t="s">
        <v>315</v>
      </c>
    </row>
    <row r="1789" spans="1:61">
      <c r="A1789" s="164" t="s">
        <v>4332</v>
      </c>
      <c r="B1789" t="s">
        <v>4333</v>
      </c>
      <c r="C1789">
        <v>0</v>
      </c>
      <c r="D1789" t="s">
        <v>304</v>
      </c>
      <c r="E1789">
        <v>0</v>
      </c>
      <c r="F1789" t="s">
        <v>269</v>
      </c>
      <c r="G1789" t="s">
        <v>103</v>
      </c>
      <c r="H1789" t="s">
        <v>104</v>
      </c>
      <c r="I1789" t="s">
        <v>80</v>
      </c>
      <c r="J1789" t="s">
        <v>196</v>
      </c>
      <c r="K1789" t="s">
        <v>13</v>
      </c>
      <c r="L1789" t="s">
        <v>83</v>
      </c>
      <c r="M1789" t="s">
        <v>84</v>
      </c>
      <c r="N1789">
        <v>1</v>
      </c>
      <c r="O1789" t="b">
        <v>0</v>
      </c>
      <c r="P1789">
        <v>0</v>
      </c>
      <c r="BB1789">
        <v>0</v>
      </c>
      <c r="BC1789" t="s">
        <v>306</v>
      </c>
      <c r="BD1789" t="s">
        <v>270</v>
      </c>
      <c r="BE1789" t="s">
        <v>117</v>
      </c>
      <c r="BF1789">
        <v>0</v>
      </c>
      <c r="BG1789">
        <v>0</v>
      </c>
      <c r="BH1789">
        <v>0</v>
      </c>
    </row>
    <row r="1790" spans="1:61">
      <c r="A1790" s="164" t="s">
        <v>4334</v>
      </c>
      <c r="B1790" t="s">
        <v>4335</v>
      </c>
      <c r="C1790">
        <v>0</v>
      </c>
      <c r="D1790" t="s">
        <v>304</v>
      </c>
      <c r="E1790">
        <v>0</v>
      </c>
      <c r="F1790" t="s">
        <v>269</v>
      </c>
      <c r="G1790" t="s">
        <v>103</v>
      </c>
      <c r="H1790" t="s">
        <v>104</v>
      </c>
      <c r="I1790" t="s">
        <v>80</v>
      </c>
      <c r="J1790" t="s">
        <v>196</v>
      </c>
      <c r="K1790" t="s">
        <v>13</v>
      </c>
      <c r="L1790" t="s">
        <v>83</v>
      </c>
      <c r="M1790" t="s">
        <v>84</v>
      </c>
      <c r="N1790">
        <v>1</v>
      </c>
      <c r="O1790" t="b">
        <v>0</v>
      </c>
      <c r="P1790">
        <v>0</v>
      </c>
      <c r="BB1790">
        <v>0</v>
      </c>
      <c r="BC1790" t="s">
        <v>306</v>
      </c>
      <c r="BD1790" t="s">
        <v>270</v>
      </c>
      <c r="BE1790" t="s">
        <v>117</v>
      </c>
      <c r="BF1790">
        <v>0</v>
      </c>
      <c r="BG1790">
        <v>0</v>
      </c>
      <c r="BH1790">
        <v>0</v>
      </c>
    </row>
    <row r="1791" spans="1:61">
      <c r="A1791" s="164" t="s">
        <v>4336</v>
      </c>
      <c r="B1791" t="s">
        <v>4337</v>
      </c>
      <c r="C1791">
        <v>0</v>
      </c>
      <c r="D1791" t="s">
        <v>304</v>
      </c>
      <c r="E1791">
        <v>0</v>
      </c>
      <c r="F1791" t="s">
        <v>357</v>
      </c>
      <c r="G1791" t="s">
        <v>78</v>
      </c>
      <c r="H1791" t="s">
        <v>79</v>
      </c>
      <c r="I1791" t="s">
        <v>80</v>
      </c>
      <c r="J1791" t="s">
        <v>196</v>
      </c>
      <c r="K1791" t="s">
        <v>13</v>
      </c>
      <c r="L1791" t="s">
        <v>83</v>
      </c>
      <c r="M1791" t="s">
        <v>84</v>
      </c>
      <c r="N1791">
        <v>1</v>
      </c>
      <c r="O1791" t="b">
        <v>1</v>
      </c>
      <c r="P1791">
        <v>0</v>
      </c>
      <c r="BB1791">
        <v>0</v>
      </c>
      <c r="BC1791" t="s">
        <v>306</v>
      </c>
      <c r="BD1791" t="s">
        <v>358</v>
      </c>
      <c r="BE1791" t="s">
        <v>117</v>
      </c>
      <c r="BF1791">
        <v>0</v>
      </c>
      <c r="BG1791">
        <v>25</v>
      </c>
      <c r="BH1791">
        <v>500</v>
      </c>
      <c r="BI1791" t="s">
        <v>359</v>
      </c>
    </row>
    <row r="1792" spans="1:61">
      <c r="A1792" s="164" t="s">
        <v>4338</v>
      </c>
      <c r="B1792" t="s">
        <v>4339</v>
      </c>
      <c r="C1792">
        <v>0</v>
      </c>
      <c r="D1792" t="s">
        <v>304</v>
      </c>
      <c r="E1792">
        <v>0</v>
      </c>
      <c r="F1792" t="s">
        <v>589</v>
      </c>
      <c r="G1792" t="s">
        <v>78</v>
      </c>
      <c r="H1792" t="s">
        <v>79</v>
      </c>
      <c r="I1792" t="s">
        <v>80</v>
      </c>
      <c r="J1792" t="s">
        <v>196</v>
      </c>
      <c r="K1792" t="s">
        <v>13</v>
      </c>
      <c r="L1792" t="s">
        <v>83</v>
      </c>
      <c r="M1792" t="s">
        <v>84</v>
      </c>
      <c r="N1792">
        <v>1</v>
      </c>
      <c r="O1792" t="b">
        <v>1</v>
      </c>
      <c r="P1792">
        <v>0</v>
      </c>
      <c r="BB1792">
        <v>0</v>
      </c>
      <c r="BC1792" t="s">
        <v>306</v>
      </c>
      <c r="BD1792" t="s">
        <v>590</v>
      </c>
      <c r="BE1792" t="s">
        <v>117</v>
      </c>
      <c r="BF1792">
        <v>0</v>
      </c>
      <c r="BG1792">
        <v>25</v>
      </c>
      <c r="BH1792">
        <v>10000</v>
      </c>
      <c r="BI1792" t="s">
        <v>344</v>
      </c>
    </row>
    <row r="1793" spans="1:61">
      <c r="A1793" s="164" t="s">
        <v>4340</v>
      </c>
      <c r="B1793" t="s">
        <v>4341</v>
      </c>
      <c r="C1793">
        <v>0</v>
      </c>
      <c r="D1793" t="s">
        <v>304</v>
      </c>
      <c r="E1793">
        <v>0</v>
      </c>
      <c r="F1793" t="s">
        <v>1507</v>
      </c>
      <c r="G1793" t="s">
        <v>78</v>
      </c>
      <c r="H1793" t="s">
        <v>79</v>
      </c>
      <c r="I1793" t="s">
        <v>80</v>
      </c>
      <c r="J1793" t="s">
        <v>196</v>
      </c>
      <c r="K1793" t="s">
        <v>13</v>
      </c>
      <c r="L1793" t="s">
        <v>83</v>
      </c>
      <c r="M1793" t="s">
        <v>84</v>
      </c>
      <c r="N1793">
        <v>1</v>
      </c>
      <c r="O1793" t="b">
        <v>1</v>
      </c>
      <c r="P1793">
        <v>0</v>
      </c>
      <c r="BB1793">
        <v>0</v>
      </c>
      <c r="BC1793" t="s">
        <v>306</v>
      </c>
      <c r="BD1793" t="s">
        <v>1508</v>
      </c>
      <c r="BE1793" t="s">
        <v>117</v>
      </c>
      <c r="BF1793">
        <v>0</v>
      </c>
      <c r="BG1793">
        <v>60</v>
      </c>
      <c r="BH1793">
        <v>50000</v>
      </c>
      <c r="BI1793" t="s">
        <v>315</v>
      </c>
    </row>
    <row r="1794" spans="1:61">
      <c r="A1794" s="164" t="s">
        <v>4342</v>
      </c>
      <c r="B1794" t="s">
        <v>4343</v>
      </c>
      <c r="C1794">
        <v>0</v>
      </c>
      <c r="D1794" t="s">
        <v>304</v>
      </c>
      <c r="E1794">
        <v>0</v>
      </c>
      <c r="F1794" t="s">
        <v>357</v>
      </c>
      <c r="G1794" t="s">
        <v>78</v>
      </c>
      <c r="H1794" t="s">
        <v>79</v>
      </c>
      <c r="I1794" t="s">
        <v>80</v>
      </c>
      <c r="J1794" t="s">
        <v>196</v>
      </c>
      <c r="K1794" t="s">
        <v>13</v>
      </c>
      <c r="L1794" t="s">
        <v>83</v>
      </c>
      <c r="M1794" t="s">
        <v>84</v>
      </c>
      <c r="N1794">
        <v>1</v>
      </c>
      <c r="O1794" t="b">
        <v>1</v>
      </c>
      <c r="P1794">
        <v>0</v>
      </c>
      <c r="BB1794">
        <v>0</v>
      </c>
      <c r="BC1794" t="s">
        <v>306</v>
      </c>
      <c r="BD1794" t="s">
        <v>358</v>
      </c>
      <c r="BE1794" t="s">
        <v>117</v>
      </c>
      <c r="BF1794">
        <v>0</v>
      </c>
      <c r="BG1794">
        <v>30</v>
      </c>
      <c r="BH1794">
        <v>500</v>
      </c>
      <c r="BI1794" t="s">
        <v>359</v>
      </c>
    </row>
    <row r="1795" spans="1:61">
      <c r="A1795" s="164" t="s">
        <v>4344</v>
      </c>
      <c r="B1795" t="s">
        <v>3813</v>
      </c>
      <c r="C1795">
        <v>0</v>
      </c>
      <c r="D1795" t="s">
        <v>304</v>
      </c>
      <c r="E1795">
        <v>0</v>
      </c>
      <c r="F1795" t="s">
        <v>305</v>
      </c>
      <c r="G1795" t="s">
        <v>78</v>
      </c>
      <c r="H1795" t="s">
        <v>79</v>
      </c>
      <c r="I1795" t="s">
        <v>80</v>
      </c>
      <c r="J1795" t="s">
        <v>196</v>
      </c>
      <c r="K1795" t="s">
        <v>13</v>
      </c>
      <c r="L1795" t="s">
        <v>83</v>
      </c>
      <c r="M1795" t="s">
        <v>84</v>
      </c>
      <c r="N1795">
        <v>1</v>
      </c>
      <c r="O1795" t="b">
        <v>1</v>
      </c>
      <c r="P1795">
        <v>0</v>
      </c>
      <c r="BB1795">
        <v>0</v>
      </c>
      <c r="BC1795" t="s">
        <v>306</v>
      </c>
      <c r="BD1795" t="s">
        <v>307</v>
      </c>
      <c r="BE1795" t="s">
        <v>117</v>
      </c>
      <c r="BF1795">
        <v>0</v>
      </c>
      <c r="BG1795">
        <v>25</v>
      </c>
      <c r="BH1795">
        <v>20000</v>
      </c>
      <c r="BI1795" t="s">
        <v>308</v>
      </c>
    </row>
    <row r="1796" spans="1:61">
      <c r="A1796" s="164" t="s">
        <v>4345</v>
      </c>
      <c r="B1796" t="s">
        <v>4346</v>
      </c>
      <c r="C1796">
        <v>0</v>
      </c>
      <c r="D1796" t="s">
        <v>304</v>
      </c>
      <c r="E1796">
        <v>0</v>
      </c>
      <c r="F1796" t="s">
        <v>313</v>
      </c>
      <c r="G1796" t="s">
        <v>78</v>
      </c>
      <c r="H1796" t="s">
        <v>79</v>
      </c>
      <c r="I1796" t="s">
        <v>80</v>
      </c>
      <c r="J1796" t="s">
        <v>196</v>
      </c>
      <c r="K1796" t="s">
        <v>13</v>
      </c>
      <c r="L1796" t="s">
        <v>83</v>
      </c>
      <c r="M1796" t="s">
        <v>205</v>
      </c>
      <c r="N1796">
        <v>1</v>
      </c>
      <c r="O1796" t="b">
        <v>1</v>
      </c>
      <c r="P1796">
        <v>0</v>
      </c>
      <c r="BB1796">
        <v>0</v>
      </c>
      <c r="BC1796" t="s">
        <v>306</v>
      </c>
      <c r="BD1796" t="s">
        <v>314</v>
      </c>
      <c r="BE1796" t="s">
        <v>117</v>
      </c>
      <c r="BF1796">
        <v>0</v>
      </c>
      <c r="BG1796">
        <v>15</v>
      </c>
      <c r="BH1796">
        <v>100</v>
      </c>
      <c r="BI1796" t="s">
        <v>2777</v>
      </c>
    </row>
    <row r="1797" spans="1:61">
      <c r="A1797" s="164" t="s">
        <v>4347</v>
      </c>
      <c r="B1797" t="s">
        <v>4348</v>
      </c>
      <c r="C1797">
        <v>0</v>
      </c>
      <c r="D1797" t="s">
        <v>304</v>
      </c>
      <c r="E1797">
        <v>0</v>
      </c>
      <c r="F1797" t="s">
        <v>1507</v>
      </c>
      <c r="G1797" t="s">
        <v>78</v>
      </c>
      <c r="H1797" t="s">
        <v>79</v>
      </c>
      <c r="I1797" t="s">
        <v>80</v>
      </c>
      <c r="J1797" t="s">
        <v>196</v>
      </c>
      <c r="K1797" t="s">
        <v>13</v>
      </c>
      <c r="L1797" t="s">
        <v>83</v>
      </c>
      <c r="M1797" t="s">
        <v>84</v>
      </c>
      <c r="N1797">
        <v>1</v>
      </c>
      <c r="O1797" t="b">
        <v>1</v>
      </c>
      <c r="P1797">
        <v>0</v>
      </c>
      <c r="BB1797">
        <v>0</v>
      </c>
      <c r="BC1797" t="s">
        <v>306</v>
      </c>
      <c r="BD1797" t="s">
        <v>1508</v>
      </c>
      <c r="BE1797" t="s">
        <v>117</v>
      </c>
      <c r="BF1797">
        <v>0</v>
      </c>
      <c r="BG1797">
        <v>60</v>
      </c>
      <c r="BH1797">
        <v>50000</v>
      </c>
      <c r="BI1797" t="s">
        <v>1509</v>
      </c>
    </row>
    <row r="1798" spans="1:61">
      <c r="A1798" s="164" t="s">
        <v>4349</v>
      </c>
      <c r="B1798" t="s">
        <v>4350</v>
      </c>
      <c r="C1798">
        <v>0</v>
      </c>
      <c r="D1798" t="s">
        <v>304</v>
      </c>
      <c r="E1798">
        <v>0</v>
      </c>
      <c r="F1798" t="s">
        <v>342</v>
      </c>
      <c r="G1798" t="s">
        <v>78</v>
      </c>
      <c r="H1798" t="s">
        <v>79</v>
      </c>
      <c r="I1798" t="s">
        <v>80</v>
      </c>
      <c r="J1798" t="s">
        <v>196</v>
      </c>
      <c r="K1798" t="s">
        <v>13</v>
      </c>
      <c r="L1798" t="s">
        <v>83</v>
      </c>
      <c r="M1798" t="s">
        <v>84</v>
      </c>
      <c r="N1798">
        <v>1</v>
      </c>
      <c r="O1798" t="b">
        <v>1</v>
      </c>
      <c r="P1798">
        <v>0</v>
      </c>
      <c r="BB1798">
        <v>0</v>
      </c>
      <c r="BC1798" t="s">
        <v>306</v>
      </c>
      <c r="BD1798" t="s">
        <v>343</v>
      </c>
      <c r="BE1798" t="s">
        <v>117</v>
      </c>
      <c r="BF1798">
        <v>0</v>
      </c>
      <c r="BG1798">
        <v>25</v>
      </c>
      <c r="BH1798">
        <v>10000</v>
      </c>
      <c r="BI1798" t="s">
        <v>344</v>
      </c>
    </row>
    <row r="1799" spans="1:61">
      <c r="A1799" s="164" t="s">
        <v>4351</v>
      </c>
      <c r="B1799" t="s">
        <v>4352</v>
      </c>
      <c r="C1799">
        <v>0</v>
      </c>
      <c r="D1799" t="s">
        <v>304</v>
      </c>
      <c r="E1799">
        <v>0</v>
      </c>
      <c r="F1799" t="s">
        <v>336</v>
      </c>
      <c r="G1799" t="s">
        <v>78</v>
      </c>
      <c r="H1799" t="s">
        <v>79</v>
      </c>
      <c r="I1799" t="s">
        <v>80</v>
      </c>
      <c r="J1799" t="s">
        <v>196</v>
      </c>
      <c r="K1799" t="s">
        <v>13</v>
      </c>
      <c r="L1799" t="s">
        <v>83</v>
      </c>
      <c r="M1799" t="s">
        <v>84</v>
      </c>
      <c r="N1799">
        <v>1</v>
      </c>
      <c r="O1799" t="b">
        <v>1</v>
      </c>
      <c r="P1799">
        <v>0</v>
      </c>
      <c r="BB1799">
        <v>0</v>
      </c>
      <c r="BC1799" t="s">
        <v>306</v>
      </c>
      <c r="BD1799" t="s">
        <v>337</v>
      </c>
      <c r="BE1799" t="s">
        <v>117</v>
      </c>
      <c r="BF1799">
        <v>0</v>
      </c>
      <c r="BG1799">
        <v>30</v>
      </c>
      <c r="BH1799">
        <v>30000</v>
      </c>
      <c r="BI1799" t="s">
        <v>593</v>
      </c>
    </row>
    <row r="1800" spans="1:61">
      <c r="A1800" s="164" t="s">
        <v>4353</v>
      </c>
      <c r="B1800" t="s">
        <v>4354</v>
      </c>
      <c r="C1800">
        <v>0</v>
      </c>
      <c r="D1800" t="s">
        <v>304</v>
      </c>
      <c r="E1800">
        <v>0</v>
      </c>
      <c r="F1800" t="s">
        <v>269</v>
      </c>
      <c r="G1800" t="s">
        <v>103</v>
      </c>
      <c r="H1800" t="s">
        <v>104</v>
      </c>
      <c r="I1800" t="s">
        <v>80</v>
      </c>
      <c r="J1800" t="s">
        <v>196</v>
      </c>
      <c r="K1800" t="s">
        <v>13</v>
      </c>
      <c r="L1800" t="s">
        <v>83</v>
      </c>
      <c r="M1800" t="s">
        <v>84</v>
      </c>
      <c r="N1800">
        <v>1</v>
      </c>
      <c r="O1800" t="b">
        <v>0</v>
      </c>
      <c r="P1800">
        <v>0</v>
      </c>
      <c r="BB1800">
        <v>0</v>
      </c>
      <c r="BC1800" t="s">
        <v>306</v>
      </c>
      <c r="BD1800" t="s">
        <v>270</v>
      </c>
      <c r="BE1800" t="s">
        <v>117</v>
      </c>
      <c r="BF1800">
        <v>0</v>
      </c>
      <c r="BG1800">
        <v>0</v>
      </c>
      <c r="BH1800">
        <v>0</v>
      </c>
    </row>
    <row r="1801" spans="1:61">
      <c r="A1801" s="164" t="s">
        <v>4355</v>
      </c>
      <c r="B1801" t="s">
        <v>4356</v>
      </c>
      <c r="C1801">
        <v>0</v>
      </c>
      <c r="D1801" t="s">
        <v>304</v>
      </c>
      <c r="E1801">
        <v>0</v>
      </c>
      <c r="F1801" t="s">
        <v>1672</v>
      </c>
      <c r="G1801" t="s">
        <v>78</v>
      </c>
      <c r="H1801" t="s">
        <v>79</v>
      </c>
      <c r="I1801" t="s">
        <v>80</v>
      </c>
      <c r="J1801" t="s">
        <v>196</v>
      </c>
      <c r="K1801" t="s">
        <v>13</v>
      </c>
      <c r="L1801" t="s">
        <v>83</v>
      </c>
      <c r="M1801" t="s">
        <v>84</v>
      </c>
      <c r="N1801">
        <v>1</v>
      </c>
      <c r="O1801" t="b">
        <v>1</v>
      </c>
      <c r="P1801">
        <v>0</v>
      </c>
      <c r="BB1801">
        <v>0</v>
      </c>
      <c r="BC1801" t="s">
        <v>306</v>
      </c>
      <c r="BD1801" t="s">
        <v>1673</v>
      </c>
      <c r="BE1801" t="s">
        <v>117</v>
      </c>
      <c r="BF1801">
        <v>0</v>
      </c>
      <c r="BG1801">
        <v>20</v>
      </c>
      <c r="BH1801">
        <v>1000</v>
      </c>
      <c r="BI1801" t="s">
        <v>4357</v>
      </c>
    </row>
    <row r="1802" spans="1:61">
      <c r="A1802" s="164" t="s">
        <v>4358</v>
      </c>
      <c r="B1802" t="s">
        <v>4359</v>
      </c>
      <c r="C1802">
        <v>0</v>
      </c>
      <c r="D1802" t="s">
        <v>304</v>
      </c>
      <c r="E1802">
        <v>0</v>
      </c>
      <c r="F1802" t="s">
        <v>342</v>
      </c>
      <c r="G1802" t="s">
        <v>78</v>
      </c>
      <c r="H1802" t="s">
        <v>79</v>
      </c>
      <c r="I1802" t="s">
        <v>80</v>
      </c>
      <c r="J1802" t="s">
        <v>196</v>
      </c>
      <c r="K1802" t="s">
        <v>13</v>
      </c>
      <c r="L1802" t="s">
        <v>83</v>
      </c>
      <c r="M1802" t="s">
        <v>84</v>
      </c>
      <c r="N1802">
        <v>1</v>
      </c>
      <c r="O1802" t="b">
        <v>1</v>
      </c>
      <c r="P1802">
        <v>0</v>
      </c>
      <c r="BB1802">
        <v>0</v>
      </c>
      <c r="BC1802" t="s">
        <v>306</v>
      </c>
      <c r="BD1802" t="s">
        <v>343</v>
      </c>
      <c r="BE1802" t="s">
        <v>117</v>
      </c>
      <c r="BF1802">
        <v>0</v>
      </c>
      <c r="BG1802">
        <v>25</v>
      </c>
      <c r="BH1802">
        <v>10000</v>
      </c>
      <c r="BI1802" t="s">
        <v>344</v>
      </c>
    </row>
    <row r="1803" spans="1:61">
      <c r="A1803" s="164" t="s">
        <v>4360</v>
      </c>
      <c r="B1803" t="s">
        <v>4361</v>
      </c>
      <c r="C1803">
        <v>0</v>
      </c>
      <c r="D1803" t="s">
        <v>304</v>
      </c>
      <c r="E1803">
        <v>0</v>
      </c>
      <c r="F1803" t="s">
        <v>342</v>
      </c>
      <c r="G1803" t="s">
        <v>78</v>
      </c>
      <c r="H1803" t="s">
        <v>79</v>
      </c>
      <c r="I1803" t="s">
        <v>80</v>
      </c>
      <c r="J1803" t="s">
        <v>196</v>
      </c>
      <c r="K1803" t="s">
        <v>13</v>
      </c>
      <c r="L1803" t="s">
        <v>83</v>
      </c>
      <c r="M1803" t="s">
        <v>84</v>
      </c>
      <c r="N1803">
        <v>1</v>
      </c>
      <c r="O1803" t="b">
        <v>1</v>
      </c>
      <c r="P1803">
        <v>0</v>
      </c>
      <c r="BB1803">
        <v>0</v>
      </c>
      <c r="BC1803" t="s">
        <v>306</v>
      </c>
      <c r="BD1803" t="s">
        <v>343</v>
      </c>
      <c r="BE1803" t="s">
        <v>117</v>
      </c>
      <c r="BF1803">
        <v>0</v>
      </c>
      <c r="BG1803">
        <v>25</v>
      </c>
      <c r="BH1803">
        <v>10000</v>
      </c>
      <c r="BI1803" t="s">
        <v>344</v>
      </c>
    </row>
    <row r="1804" spans="1:61">
      <c r="A1804" s="164" t="s">
        <v>4362</v>
      </c>
      <c r="B1804" t="s">
        <v>4363</v>
      </c>
      <c r="C1804">
        <v>0</v>
      </c>
      <c r="D1804" t="s">
        <v>486</v>
      </c>
      <c r="E1804">
        <v>0</v>
      </c>
      <c r="F1804" t="s">
        <v>1743</v>
      </c>
      <c r="G1804" t="s">
        <v>487</v>
      </c>
      <c r="H1804" t="s">
        <v>117</v>
      </c>
      <c r="I1804" t="s">
        <v>80</v>
      </c>
      <c r="J1804" t="s">
        <v>163</v>
      </c>
      <c r="K1804" t="s">
        <v>82</v>
      </c>
      <c r="L1804" t="s">
        <v>83</v>
      </c>
      <c r="M1804" t="s">
        <v>84</v>
      </c>
      <c r="N1804">
        <v>0.25</v>
      </c>
      <c r="O1804" t="b">
        <v>1</v>
      </c>
      <c r="P1804">
        <v>180</v>
      </c>
      <c r="Q1804" t="s">
        <v>137</v>
      </c>
      <c r="S1804">
        <v>0.04</v>
      </c>
      <c r="T1804">
        <v>1</v>
      </c>
      <c r="V1804" t="s">
        <v>165</v>
      </c>
      <c r="X1804">
        <v>0</v>
      </c>
      <c r="Z1804">
        <v>6.6666666666666671E-3</v>
      </c>
      <c r="AB1804">
        <v>0</v>
      </c>
      <c r="AC1804">
        <v>0</v>
      </c>
      <c r="AE1804" t="s">
        <v>129</v>
      </c>
      <c r="AF1804" t="s">
        <v>1743</v>
      </c>
      <c r="AG1804" t="s">
        <v>129</v>
      </c>
      <c r="AH1804">
        <v>0</v>
      </c>
      <c r="AI1804">
        <v>0</v>
      </c>
      <c r="AJ1804" t="s">
        <v>177</v>
      </c>
      <c r="AM1804">
        <v>13.87</v>
      </c>
      <c r="AN1804">
        <v>0</v>
      </c>
      <c r="AO1804">
        <v>0</v>
      </c>
      <c r="AP1804">
        <v>0</v>
      </c>
      <c r="AQ1804">
        <v>2.8571428571428564E-2</v>
      </c>
      <c r="AR1804">
        <v>0</v>
      </c>
      <c r="AS1804">
        <v>0</v>
      </c>
      <c r="AT1804">
        <v>1.0285714285714285</v>
      </c>
      <c r="AU1804">
        <v>0</v>
      </c>
      <c r="AV1804">
        <v>0</v>
      </c>
      <c r="AW1804">
        <v>0</v>
      </c>
      <c r="AX1804" t="s">
        <v>1744</v>
      </c>
      <c r="AY1804">
        <v>2.48</v>
      </c>
      <c r="AZ1804">
        <v>0</v>
      </c>
      <c r="BA1804" t="s">
        <v>138</v>
      </c>
      <c r="BB1804">
        <v>0</v>
      </c>
      <c r="BC1804" t="s">
        <v>488</v>
      </c>
      <c r="BD1804" t="s">
        <v>489</v>
      </c>
      <c r="BE1804" t="s">
        <v>97</v>
      </c>
      <c r="BF1804">
        <v>1</v>
      </c>
      <c r="BG1804">
        <v>0</v>
      </c>
      <c r="BH1804">
        <v>0</v>
      </c>
      <c r="BI1804" t="s">
        <v>98</v>
      </c>
    </row>
    <row r="1805" spans="1:61">
      <c r="A1805" s="164" t="s">
        <v>4364</v>
      </c>
      <c r="B1805" t="s">
        <v>4365</v>
      </c>
      <c r="C1805">
        <v>0</v>
      </c>
      <c r="D1805" t="s">
        <v>194</v>
      </c>
      <c r="E1805">
        <v>0</v>
      </c>
      <c r="F1805" t="s">
        <v>195</v>
      </c>
      <c r="G1805" t="s">
        <v>78</v>
      </c>
      <c r="H1805" t="s">
        <v>79</v>
      </c>
      <c r="I1805" t="s">
        <v>80</v>
      </c>
      <c r="J1805" t="s">
        <v>196</v>
      </c>
      <c r="K1805" t="s">
        <v>13</v>
      </c>
      <c r="L1805" t="s">
        <v>83</v>
      </c>
      <c r="M1805" t="s">
        <v>205</v>
      </c>
      <c r="N1805">
        <v>1</v>
      </c>
      <c r="O1805" t="b">
        <v>1</v>
      </c>
      <c r="P1805">
        <v>0</v>
      </c>
      <c r="BB1805">
        <v>0</v>
      </c>
      <c r="BC1805" t="s">
        <v>197</v>
      </c>
      <c r="BD1805" t="s">
        <v>198</v>
      </c>
      <c r="BE1805" t="s">
        <v>117</v>
      </c>
      <c r="BF1805">
        <v>0</v>
      </c>
      <c r="BG1805">
        <v>0</v>
      </c>
      <c r="BH1805">
        <v>0</v>
      </c>
    </row>
    <row r="1806" spans="1:61">
      <c r="A1806" s="164" t="s">
        <v>4366</v>
      </c>
      <c r="B1806" t="s">
        <v>4367</v>
      </c>
      <c r="C1806">
        <v>0</v>
      </c>
      <c r="D1806" t="s">
        <v>194</v>
      </c>
      <c r="E1806">
        <v>0</v>
      </c>
      <c r="F1806" t="s">
        <v>195</v>
      </c>
      <c r="G1806" t="s">
        <v>78</v>
      </c>
      <c r="H1806" t="s">
        <v>79</v>
      </c>
      <c r="I1806" t="s">
        <v>80</v>
      </c>
      <c r="J1806" t="s">
        <v>196</v>
      </c>
      <c r="K1806" t="s">
        <v>13</v>
      </c>
      <c r="L1806" t="s">
        <v>83</v>
      </c>
      <c r="M1806" t="s">
        <v>84</v>
      </c>
      <c r="N1806">
        <v>1</v>
      </c>
      <c r="O1806" t="b">
        <v>1</v>
      </c>
      <c r="P1806">
        <v>0</v>
      </c>
      <c r="BB1806">
        <v>0</v>
      </c>
      <c r="BC1806" t="s">
        <v>197</v>
      </c>
      <c r="BD1806" t="s">
        <v>198</v>
      </c>
      <c r="BE1806" t="s">
        <v>117</v>
      </c>
      <c r="BF1806">
        <v>0</v>
      </c>
      <c r="BG1806">
        <v>0</v>
      </c>
      <c r="BH1806">
        <v>0</v>
      </c>
    </row>
    <row r="1807" spans="1:61">
      <c r="A1807" s="164" t="s">
        <v>4368</v>
      </c>
      <c r="B1807" t="s">
        <v>4369</v>
      </c>
      <c r="C1807">
        <v>0</v>
      </c>
      <c r="D1807" t="s">
        <v>194</v>
      </c>
      <c r="E1807">
        <v>0</v>
      </c>
      <c r="F1807" t="s">
        <v>195</v>
      </c>
      <c r="G1807" t="s">
        <v>78</v>
      </c>
      <c r="H1807" t="s">
        <v>79</v>
      </c>
      <c r="I1807" t="s">
        <v>80</v>
      </c>
      <c r="J1807" t="s">
        <v>196</v>
      </c>
      <c r="K1807" t="s">
        <v>13</v>
      </c>
      <c r="L1807" t="s">
        <v>83</v>
      </c>
      <c r="M1807" t="s">
        <v>205</v>
      </c>
      <c r="N1807">
        <v>1</v>
      </c>
      <c r="O1807" t="b">
        <v>1</v>
      </c>
      <c r="P1807">
        <v>0</v>
      </c>
      <c r="BB1807">
        <v>0</v>
      </c>
      <c r="BC1807" t="s">
        <v>197</v>
      </c>
      <c r="BD1807" t="s">
        <v>198</v>
      </c>
      <c r="BE1807" t="s">
        <v>117</v>
      </c>
      <c r="BF1807">
        <v>0</v>
      </c>
      <c r="BG1807">
        <v>0</v>
      </c>
      <c r="BH1807">
        <v>0</v>
      </c>
    </row>
    <row r="1808" spans="1:61">
      <c r="A1808" s="164" t="s">
        <v>4370</v>
      </c>
      <c r="B1808" t="s">
        <v>4371</v>
      </c>
      <c r="C1808">
        <v>0</v>
      </c>
      <c r="D1808" t="s">
        <v>194</v>
      </c>
      <c r="E1808">
        <v>0</v>
      </c>
      <c r="F1808" t="s">
        <v>195</v>
      </c>
      <c r="G1808" t="s">
        <v>78</v>
      </c>
      <c r="H1808" t="s">
        <v>79</v>
      </c>
      <c r="I1808" t="s">
        <v>80</v>
      </c>
      <c r="J1808" t="s">
        <v>196</v>
      </c>
      <c r="K1808" t="s">
        <v>13</v>
      </c>
      <c r="L1808" t="s">
        <v>83</v>
      </c>
      <c r="M1808" t="s">
        <v>84</v>
      </c>
      <c r="N1808">
        <v>1</v>
      </c>
      <c r="O1808" t="b">
        <v>1</v>
      </c>
      <c r="P1808">
        <v>0</v>
      </c>
      <c r="BB1808">
        <v>0</v>
      </c>
      <c r="BC1808" t="s">
        <v>197</v>
      </c>
      <c r="BD1808" t="s">
        <v>198</v>
      </c>
      <c r="BE1808" t="s">
        <v>117</v>
      </c>
      <c r="BF1808">
        <v>0</v>
      </c>
      <c r="BG1808">
        <v>0</v>
      </c>
      <c r="BH1808">
        <v>0</v>
      </c>
    </row>
    <row r="1809" spans="1:61">
      <c r="A1809" s="164" t="s">
        <v>4372</v>
      </c>
      <c r="B1809" t="s">
        <v>4373</v>
      </c>
      <c r="C1809">
        <v>0</v>
      </c>
      <c r="D1809" t="s">
        <v>194</v>
      </c>
      <c r="E1809">
        <v>0</v>
      </c>
      <c r="F1809" t="s">
        <v>233</v>
      </c>
      <c r="G1809" t="s">
        <v>78</v>
      </c>
      <c r="H1809" t="s">
        <v>79</v>
      </c>
      <c r="I1809" t="s">
        <v>80</v>
      </c>
      <c r="J1809" t="s">
        <v>196</v>
      </c>
      <c r="K1809" t="s">
        <v>13</v>
      </c>
      <c r="L1809" t="s">
        <v>83</v>
      </c>
      <c r="M1809" t="s">
        <v>84</v>
      </c>
      <c r="N1809">
        <v>1</v>
      </c>
      <c r="O1809" t="b">
        <v>1</v>
      </c>
      <c r="P1809">
        <v>0</v>
      </c>
      <c r="BB1809">
        <v>0</v>
      </c>
      <c r="BC1809" t="s">
        <v>197</v>
      </c>
      <c r="BD1809" t="s">
        <v>234</v>
      </c>
      <c r="BE1809" t="s">
        <v>117</v>
      </c>
      <c r="BF1809">
        <v>0</v>
      </c>
      <c r="BG1809">
        <v>0</v>
      </c>
      <c r="BH1809">
        <v>0</v>
      </c>
    </row>
    <row r="1810" spans="1:61">
      <c r="A1810" s="164" t="s">
        <v>4374</v>
      </c>
      <c r="B1810" t="s">
        <v>4375</v>
      </c>
      <c r="C1810">
        <v>0</v>
      </c>
      <c r="D1810" t="s">
        <v>194</v>
      </c>
      <c r="E1810">
        <v>0</v>
      </c>
      <c r="F1810" t="s">
        <v>195</v>
      </c>
      <c r="G1810" t="s">
        <v>78</v>
      </c>
      <c r="H1810" t="s">
        <v>79</v>
      </c>
      <c r="I1810" t="s">
        <v>80</v>
      </c>
      <c r="J1810" t="s">
        <v>196</v>
      </c>
      <c r="K1810" t="s">
        <v>13</v>
      </c>
      <c r="L1810" t="s">
        <v>83</v>
      </c>
      <c r="M1810" t="s">
        <v>84</v>
      </c>
      <c r="N1810">
        <v>1</v>
      </c>
      <c r="O1810" t="b">
        <v>1</v>
      </c>
      <c r="P1810">
        <v>0</v>
      </c>
      <c r="BB1810">
        <v>0</v>
      </c>
      <c r="BC1810" t="s">
        <v>197</v>
      </c>
      <c r="BD1810" t="s">
        <v>198</v>
      </c>
      <c r="BE1810" t="s">
        <v>117</v>
      </c>
      <c r="BF1810">
        <v>0</v>
      </c>
      <c r="BG1810">
        <v>0</v>
      </c>
      <c r="BH1810">
        <v>0</v>
      </c>
    </row>
    <row r="1811" spans="1:61">
      <c r="A1811" s="164" t="s">
        <v>4376</v>
      </c>
      <c r="B1811" t="s">
        <v>4377</v>
      </c>
      <c r="C1811">
        <v>0</v>
      </c>
      <c r="D1811" t="s">
        <v>194</v>
      </c>
      <c r="E1811">
        <v>0</v>
      </c>
      <c r="F1811" t="s">
        <v>195</v>
      </c>
      <c r="G1811" t="s">
        <v>78</v>
      </c>
      <c r="H1811" t="s">
        <v>79</v>
      </c>
      <c r="I1811" t="s">
        <v>80</v>
      </c>
      <c r="J1811" t="s">
        <v>196</v>
      </c>
      <c r="K1811" t="s">
        <v>13</v>
      </c>
      <c r="L1811" t="s">
        <v>83</v>
      </c>
      <c r="M1811" t="s">
        <v>84</v>
      </c>
      <c r="N1811">
        <v>1</v>
      </c>
      <c r="O1811" t="b">
        <v>1</v>
      </c>
      <c r="P1811">
        <v>0</v>
      </c>
      <c r="BB1811">
        <v>0</v>
      </c>
      <c r="BC1811" t="s">
        <v>197</v>
      </c>
      <c r="BD1811" t="s">
        <v>198</v>
      </c>
      <c r="BE1811" t="s">
        <v>117</v>
      </c>
      <c r="BF1811">
        <v>0</v>
      </c>
      <c r="BG1811">
        <v>0</v>
      </c>
      <c r="BH1811">
        <v>0</v>
      </c>
    </row>
    <row r="1812" spans="1:61">
      <c r="A1812" s="164" t="s">
        <v>4378</v>
      </c>
      <c r="B1812" t="s">
        <v>4379</v>
      </c>
      <c r="C1812">
        <v>0</v>
      </c>
      <c r="D1812" t="s">
        <v>486</v>
      </c>
      <c r="E1812">
        <v>0</v>
      </c>
      <c r="F1812" t="s">
        <v>1597</v>
      </c>
      <c r="G1812" t="s">
        <v>78</v>
      </c>
      <c r="H1812" t="s">
        <v>79</v>
      </c>
      <c r="I1812" t="s">
        <v>80</v>
      </c>
      <c r="J1812" t="s">
        <v>163</v>
      </c>
      <c r="K1812" t="s">
        <v>82</v>
      </c>
      <c r="L1812" t="s">
        <v>83</v>
      </c>
      <c r="M1812" t="s">
        <v>205</v>
      </c>
      <c r="N1812">
        <v>1</v>
      </c>
      <c r="O1812" t="b">
        <v>1</v>
      </c>
      <c r="P1812">
        <v>90</v>
      </c>
      <c r="Q1812" t="s">
        <v>137</v>
      </c>
      <c r="S1812">
        <v>1</v>
      </c>
      <c r="T1812">
        <v>1</v>
      </c>
      <c r="U1812" s="36">
        <v>6.2949450000000002</v>
      </c>
      <c r="V1812" t="s">
        <v>165</v>
      </c>
      <c r="X1812">
        <v>0</v>
      </c>
      <c r="Y1812">
        <v>27</v>
      </c>
      <c r="Z1812">
        <v>0.1</v>
      </c>
      <c r="AA1812">
        <v>20</v>
      </c>
      <c r="AB1812">
        <v>0</v>
      </c>
      <c r="AC1812">
        <v>0</v>
      </c>
      <c r="AE1812" t="s">
        <v>129</v>
      </c>
      <c r="AF1812" t="s">
        <v>1597</v>
      </c>
      <c r="AG1812" t="s">
        <v>129</v>
      </c>
      <c r="AH1812">
        <v>0</v>
      </c>
      <c r="AI1812">
        <v>10.199999999999999</v>
      </c>
      <c r="AJ1812" t="s">
        <v>167</v>
      </c>
      <c r="AM1812">
        <v>10.38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 t="s">
        <v>4380</v>
      </c>
      <c r="AY1812">
        <v>11.78</v>
      </c>
      <c r="AZ1812">
        <v>0</v>
      </c>
      <c r="BA1812" t="s">
        <v>138</v>
      </c>
      <c r="BB1812">
        <v>8.84</v>
      </c>
      <c r="BC1812" t="s">
        <v>95</v>
      </c>
      <c r="BD1812" t="s">
        <v>96</v>
      </c>
      <c r="BE1812" t="s">
        <v>97</v>
      </c>
      <c r="BF1812">
        <v>2.7</v>
      </c>
      <c r="BG1812">
        <v>0</v>
      </c>
      <c r="BH1812">
        <v>0</v>
      </c>
      <c r="BI1812" t="s">
        <v>98</v>
      </c>
    </row>
    <row r="1813" spans="1:61">
      <c r="A1813" s="164" t="s">
        <v>4381</v>
      </c>
      <c r="B1813" t="s">
        <v>4382</v>
      </c>
      <c r="C1813">
        <v>0</v>
      </c>
      <c r="D1813" t="s">
        <v>147</v>
      </c>
      <c r="E1813">
        <v>0</v>
      </c>
      <c r="F1813" t="s">
        <v>2431</v>
      </c>
      <c r="G1813" t="s">
        <v>78</v>
      </c>
      <c r="H1813" t="s">
        <v>79</v>
      </c>
      <c r="I1813" t="s">
        <v>80</v>
      </c>
      <c r="J1813" t="s">
        <v>81</v>
      </c>
      <c r="K1813" t="s">
        <v>82</v>
      </c>
      <c r="L1813" t="s">
        <v>83</v>
      </c>
      <c r="M1813" t="s">
        <v>84</v>
      </c>
      <c r="N1813">
        <v>1.75</v>
      </c>
      <c r="O1813" t="b">
        <v>1</v>
      </c>
      <c r="P1813">
        <v>45</v>
      </c>
      <c r="Q1813" t="s">
        <v>85</v>
      </c>
      <c r="R1813" t="s">
        <v>86</v>
      </c>
      <c r="S1813">
        <v>1.75</v>
      </c>
      <c r="T1813">
        <v>1</v>
      </c>
      <c r="U1813" s="36">
        <v>2.4097600000000003</v>
      </c>
      <c r="V1813" t="s">
        <v>87</v>
      </c>
      <c r="W1813">
        <v>24</v>
      </c>
      <c r="X1813">
        <v>0.45019999999999999</v>
      </c>
      <c r="Y1813">
        <v>12</v>
      </c>
      <c r="Z1813">
        <v>8.3333333333333329E-2</v>
      </c>
      <c r="AA1813">
        <v>30</v>
      </c>
      <c r="AB1813">
        <v>0</v>
      </c>
      <c r="AC1813">
        <v>540</v>
      </c>
      <c r="AD1813">
        <v>308.57142857142856</v>
      </c>
      <c r="AE1813" t="s">
        <v>155</v>
      </c>
      <c r="AF1813" t="s">
        <v>2219</v>
      </c>
      <c r="AG1813" t="s">
        <v>240</v>
      </c>
      <c r="AH1813">
        <v>0</v>
      </c>
      <c r="AI1813">
        <v>0.9</v>
      </c>
      <c r="AJ1813" t="s">
        <v>91</v>
      </c>
      <c r="AK1813" t="s">
        <v>92</v>
      </c>
      <c r="AL1813" t="s">
        <v>93</v>
      </c>
      <c r="AM1813">
        <v>0.33553925925925926</v>
      </c>
      <c r="AN1813">
        <v>0.22369283950617286</v>
      </c>
      <c r="AO1813">
        <v>0.34672390123456792</v>
      </c>
      <c r="AP1813">
        <v>0</v>
      </c>
      <c r="AQ1813">
        <v>8.6691086691086688E-2</v>
      </c>
      <c r="AR1813">
        <v>2.6666666666666505E-3</v>
      </c>
      <c r="AS1813">
        <v>0</v>
      </c>
      <c r="AT1813">
        <v>1.0866910866910866</v>
      </c>
      <c r="AU1813">
        <v>1.0026666666666666</v>
      </c>
      <c r="AV1813">
        <v>1</v>
      </c>
      <c r="AW1813">
        <v>0</v>
      </c>
      <c r="AX1813" t="s">
        <v>4383</v>
      </c>
      <c r="AY1813">
        <v>83.4</v>
      </c>
      <c r="AZ1813">
        <v>0</v>
      </c>
      <c r="BA1813" t="s">
        <v>94</v>
      </c>
      <c r="BB1813">
        <v>5.09</v>
      </c>
      <c r="BC1813" t="s">
        <v>95</v>
      </c>
      <c r="BD1813" t="s">
        <v>96</v>
      </c>
      <c r="BE1813" t="s">
        <v>97</v>
      </c>
      <c r="BF1813">
        <v>1</v>
      </c>
      <c r="BG1813">
        <v>0</v>
      </c>
      <c r="BH1813">
        <v>0</v>
      </c>
      <c r="BI1813" t="s">
        <v>98</v>
      </c>
    </row>
    <row r="1814" spans="1:61">
      <c r="A1814" s="164" t="s">
        <v>4384</v>
      </c>
      <c r="B1814" t="s">
        <v>4385</v>
      </c>
      <c r="C1814">
        <v>0</v>
      </c>
      <c r="D1814" t="s">
        <v>486</v>
      </c>
      <c r="E1814">
        <v>0</v>
      </c>
      <c r="F1814" t="s">
        <v>684</v>
      </c>
      <c r="G1814" t="s">
        <v>78</v>
      </c>
      <c r="H1814" t="s">
        <v>79</v>
      </c>
      <c r="I1814" t="s">
        <v>80</v>
      </c>
      <c r="J1814" t="s">
        <v>163</v>
      </c>
      <c r="K1814" t="s">
        <v>82</v>
      </c>
      <c r="L1814" t="s">
        <v>83</v>
      </c>
      <c r="M1814" t="s">
        <v>205</v>
      </c>
      <c r="N1814">
        <v>1</v>
      </c>
      <c r="O1814" t="b">
        <v>1</v>
      </c>
      <c r="P1814">
        <v>90</v>
      </c>
      <c r="Q1814" t="s">
        <v>137</v>
      </c>
      <c r="S1814">
        <v>1</v>
      </c>
      <c r="T1814">
        <v>1</v>
      </c>
      <c r="U1814" s="36">
        <v>7.5711700000000004</v>
      </c>
      <c r="V1814" t="s">
        <v>165</v>
      </c>
      <c r="X1814">
        <v>0</v>
      </c>
      <c r="Y1814">
        <v>25</v>
      </c>
      <c r="Z1814">
        <v>0.1</v>
      </c>
      <c r="AA1814">
        <v>20</v>
      </c>
      <c r="AB1814">
        <v>0</v>
      </c>
      <c r="AC1814">
        <v>0</v>
      </c>
      <c r="AE1814" t="s">
        <v>129</v>
      </c>
      <c r="AF1814" t="s">
        <v>684</v>
      </c>
      <c r="AG1814" t="s">
        <v>129</v>
      </c>
      <c r="AH1814">
        <v>0</v>
      </c>
      <c r="AI1814">
        <v>10.199999999999999</v>
      </c>
      <c r="AJ1814" t="s">
        <v>167</v>
      </c>
      <c r="AM1814">
        <v>10.38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 t="s">
        <v>4386</v>
      </c>
      <c r="AY1814">
        <v>72.22</v>
      </c>
      <c r="AZ1814">
        <v>6</v>
      </c>
      <c r="BA1814" t="s">
        <v>138</v>
      </c>
      <c r="BB1814">
        <v>11.33</v>
      </c>
      <c r="BC1814" t="s">
        <v>95</v>
      </c>
      <c r="BD1814" t="s">
        <v>96</v>
      </c>
      <c r="BE1814" t="s">
        <v>97</v>
      </c>
      <c r="BF1814">
        <v>2.5</v>
      </c>
      <c r="BG1814">
        <v>0</v>
      </c>
      <c r="BH1814">
        <v>0</v>
      </c>
      <c r="BI1814" t="s">
        <v>98</v>
      </c>
    </row>
    <row r="1815" spans="1:61">
      <c r="A1815" s="164" t="s">
        <v>4387</v>
      </c>
      <c r="B1815" t="s">
        <v>4388</v>
      </c>
      <c r="C1815">
        <v>0</v>
      </c>
      <c r="D1815" t="s">
        <v>486</v>
      </c>
      <c r="E1815">
        <v>0</v>
      </c>
      <c r="F1815" t="s">
        <v>684</v>
      </c>
      <c r="G1815" t="s">
        <v>78</v>
      </c>
      <c r="H1815" t="s">
        <v>79</v>
      </c>
      <c r="I1815" t="s">
        <v>80</v>
      </c>
      <c r="J1815" t="s">
        <v>163</v>
      </c>
      <c r="K1815" t="s">
        <v>82</v>
      </c>
      <c r="L1815" t="s">
        <v>83</v>
      </c>
      <c r="M1815" t="s">
        <v>84</v>
      </c>
      <c r="N1815">
        <v>7.4999999999999997E-2</v>
      </c>
      <c r="O1815" t="b">
        <v>1</v>
      </c>
      <c r="P1815">
        <v>90</v>
      </c>
      <c r="Q1815" t="s">
        <v>137</v>
      </c>
      <c r="S1815">
        <v>7.4999999999999997E-2</v>
      </c>
      <c r="U1815" s="36">
        <v>0.59355000000000002</v>
      </c>
      <c r="V1815" t="s">
        <v>165</v>
      </c>
      <c r="Y1815">
        <v>240</v>
      </c>
      <c r="AA1815">
        <v>35</v>
      </c>
      <c r="AE1815" t="s">
        <v>129</v>
      </c>
      <c r="AF1815" t="s">
        <v>684</v>
      </c>
      <c r="AI1815">
        <v>10.199999999999999</v>
      </c>
      <c r="AZ1815">
        <v>0</v>
      </c>
      <c r="BA1815" t="s">
        <v>138</v>
      </c>
      <c r="BB1815">
        <v>1.18</v>
      </c>
      <c r="BC1815" t="s">
        <v>95</v>
      </c>
      <c r="BD1815" t="s">
        <v>96</v>
      </c>
      <c r="BE1815" t="s">
        <v>97</v>
      </c>
      <c r="BF1815">
        <v>1</v>
      </c>
      <c r="BG1815">
        <v>0</v>
      </c>
      <c r="BH1815">
        <v>0</v>
      </c>
      <c r="BI1815" t="s">
        <v>98</v>
      </c>
    </row>
    <row r="1816" spans="1:61">
      <c r="A1816" s="164" t="s">
        <v>4389</v>
      </c>
      <c r="B1816" t="s">
        <v>4390</v>
      </c>
      <c r="C1816">
        <v>0</v>
      </c>
      <c r="D1816" t="s">
        <v>479</v>
      </c>
      <c r="E1816">
        <v>0</v>
      </c>
      <c r="F1816" t="s">
        <v>480</v>
      </c>
      <c r="G1816" t="s">
        <v>103</v>
      </c>
      <c r="H1816" t="s">
        <v>104</v>
      </c>
      <c r="I1816" t="s">
        <v>80</v>
      </c>
      <c r="J1816" t="s">
        <v>467</v>
      </c>
      <c r="K1816" t="s">
        <v>468</v>
      </c>
      <c r="L1816" t="s">
        <v>111</v>
      </c>
      <c r="M1816" t="s">
        <v>84</v>
      </c>
      <c r="N1816">
        <v>1.2</v>
      </c>
      <c r="O1816" t="b">
        <v>0</v>
      </c>
      <c r="P1816">
        <v>40</v>
      </c>
      <c r="Q1816" t="s">
        <v>479</v>
      </c>
      <c r="S1816">
        <v>1.2</v>
      </c>
      <c r="T1816">
        <v>1</v>
      </c>
      <c r="U1816" s="36">
        <v>1.7842799999999999</v>
      </c>
      <c r="V1816" t="s">
        <v>87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H1816">
        <v>0</v>
      </c>
      <c r="AI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 t="s">
        <v>4391</v>
      </c>
      <c r="AY1816">
        <v>0</v>
      </c>
      <c r="AZ1816">
        <v>8</v>
      </c>
      <c r="BA1816" t="s">
        <v>138</v>
      </c>
      <c r="BB1816">
        <v>0</v>
      </c>
      <c r="BC1816" t="s">
        <v>95</v>
      </c>
      <c r="BD1816" t="s">
        <v>139</v>
      </c>
      <c r="BE1816" t="s">
        <v>97</v>
      </c>
      <c r="BF1816">
        <v>0</v>
      </c>
      <c r="BG1816">
        <v>0</v>
      </c>
      <c r="BH1816">
        <v>0</v>
      </c>
      <c r="BI1816" t="s">
        <v>98</v>
      </c>
    </row>
    <row r="1817" spans="1:61">
      <c r="A1817" s="164" t="s">
        <v>4392</v>
      </c>
      <c r="B1817" t="s">
        <v>4393</v>
      </c>
      <c r="C1817">
        <v>0</v>
      </c>
      <c r="D1817" t="s">
        <v>2563</v>
      </c>
      <c r="E1817">
        <v>0</v>
      </c>
      <c r="F1817" t="s">
        <v>2563</v>
      </c>
      <c r="G1817" t="s">
        <v>103</v>
      </c>
      <c r="H1817" t="s">
        <v>104</v>
      </c>
      <c r="I1817" t="s">
        <v>1587</v>
      </c>
      <c r="J1817" t="s">
        <v>2866</v>
      </c>
      <c r="K1817" t="s">
        <v>82</v>
      </c>
      <c r="L1817" t="s">
        <v>83</v>
      </c>
      <c r="M1817" t="s">
        <v>84</v>
      </c>
      <c r="N1817">
        <v>0.25</v>
      </c>
      <c r="O1817" t="b">
        <v>1</v>
      </c>
      <c r="P1817">
        <v>120</v>
      </c>
      <c r="Q1817" t="s">
        <v>137</v>
      </c>
      <c r="S1817">
        <v>0.25</v>
      </c>
      <c r="T1817">
        <v>1</v>
      </c>
      <c r="U1817" s="36">
        <v>1.35</v>
      </c>
      <c r="V1817" t="s">
        <v>165</v>
      </c>
      <c r="W1817">
        <v>0</v>
      </c>
      <c r="X1817">
        <v>0</v>
      </c>
      <c r="Y1817">
        <v>54</v>
      </c>
      <c r="Z1817">
        <v>0</v>
      </c>
      <c r="AA1817">
        <v>0</v>
      </c>
      <c r="AB1817">
        <v>0</v>
      </c>
      <c r="AC1817">
        <v>0</v>
      </c>
      <c r="AD1817">
        <v>0</v>
      </c>
      <c r="AH1817">
        <v>0</v>
      </c>
      <c r="AI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 t="s">
        <v>4394</v>
      </c>
      <c r="AY1817">
        <v>27.3</v>
      </c>
      <c r="AZ1817">
        <v>8</v>
      </c>
      <c r="BA1817" t="s">
        <v>138</v>
      </c>
      <c r="BB1817">
        <v>0</v>
      </c>
      <c r="BC1817" t="s">
        <v>95</v>
      </c>
      <c r="BD1817" t="s">
        <v>96</v>
      </c>
      <c r="BE1817" t="s">
        <v>97</v>
      </c>
      <c r="BF1817">
        <v>0</v>
      </c>
      <c r="BG1817">
        <v>0</v>
      </c>
      <c r="BH1817">
        <v>0</v>
      </c>
      <c r="BI1817" t="s">
        <v>98</v>
      </c>
    </row>
    <row r="1818" spans="1:61">
      <c r="A1818" s="164" t="s">
        <v>4395</v>
      </c>
      <c r="B1818" t="s">
        <v>4396</v>
      </c>
      <c r="C1818">
        <v>0</v>
      </c>
      <c r="D1818" t="s">
        <v>124</v>
      </c>
      <c r="E1818">
        <v>0</v>
      </c>
      <c r="F1818" t="s">
        <v>125</v>
      </c>
      <c r="G1818" t="s">
        <v>103</v>
      </c>
      <c r="H1818" t="s">
        <v>104</v>
      </c>
      <c r="I1818" t="s">
        <v>80</v>
      </c>
      <c r="J1818" t="s">
        <v>1611</v>
      </c>
      <c r="K1818" t="s">
        <v>468</v>
      </c>
      <c r="L1818" t="s">
        <v>111</v>
      </c>
      <c r="M1818" t="s">
        <v>84</v>
      </c>
      <c r="N1818">
        <v>0.25</v>
      </c>
      <c r="O1818" t="b">
        <v>0</v>
      </c>
      <c r="P1818">
        <v>180</v>
      </c>
      <c r="Q1818" t="s">
        <v>85</v>
      </c>
      <c r="S1818">
        <v>0</v>
      </c>
      <c r="T1818">
        <v>1</v>
      </c>
      <c r="V1818" t="s">
        <v>87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G1818" t="s">
        <v>129</v>
      </c>
      <c r="AH1818">
        <v>0</v>
      </c>
      <c r="AI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Y1818">
        <v>0</v>
      </c>
      <c r="AZ1818">
        <v>7</v>
      </c>
      <c r="BA1818" t="s">
        <v>94</v>
      </c>
      <c r="BB1818">
        <v>0</v>
      </c>
      <c r="BC1818" t="s">
        <v>95</v>
      </c>
      <c r="BD1818" t="s">
        <v>139</v>
      </c>
      <c r="BE1818" t="s">
        <v>97</v>
      </c>
      <c r="BF1818">
        <v>0</v>
      </c>
      <c r="BG1818">
        <v>0</v>
      </c>
      <c r="BH1818">
        <v>0</v>
      </c>
      <c r="BI1818" t="s">
        <v>98</v>
      </c>
    </row>
    <row r="1819" spans="1:61">
      <c r="A1819" s="164" t="s">
        <v>4397</v>
      </c>
      <c r="B1819" t="s">
        <v>4398</v>
      </c>
      <c r="C1819">
        <v>0</v>
      </c>
      <c r="D1819" t="s">
        <v>194</v>
      </c>
      <c r="E1819">
        <v>0</v>
      </c>
      <c r="F1819" t="s">
        <v>195</v>
      </c>
      <c r="G1819" t="s">
        <v>78</v>
      </c>
      <c r="H1819" t="s">
        <v>79</v>
      </c>
      <c r="I1819" t="s">
        <v>80</v>
      </c>
      <c r="J1819" t="s">
        <v>196</v>
      </c>
      <c r="K1819" t="s">
        <v>13</v>
      </c>
      <c r="L1819" t="s">
        <v>83</v>
      </c>
      <c r="M1819" t="s">
        <v>84</v>
      </c>
      <c r="N1819">
        <v>1</v>
      </c>
      <c r="O1819" t="b">
        <v>1</v>
      </c>
      <c r="P1819">
        <v>0</v>
      </c>
      <c r="BB1819">
        <v>0</v>
      </c>
      <c r="BC1819" t="s">
        <v>197</v>
      </c>
      <c r="BD1819" t="s">
        <v>198</v>
      </c>
      <c r="BE1819" t="s">
        <v>117</v>
      </c>
      <c r="BF1819">
        <v>0</v>
      </c>
      <c r="BG1819">
        <v>0</v>
      </c>
      <c r="BH1819">
        <v>0</v>
      </c>
    </row>
    <row r="1820" spans="1:61">
      <c r="A1820" s="164" t="s">
        <v>4399</v>
      </c>
      <c r="B1820" t="s">
        <v>4400</v>
      </c>
      <c r="C1820">
        <v>0</v>
      </c>
      <c r="D1820" t="s">
        <v>194</v>
      </c>
      <c r="E1820">
        <v>0</v>
      </c>
      <c r="F1820" t="s">
        <v>195</v>
      </c>
      <c r="G1820" t="s">
        <v>78</v>
      </c>
      <c r="H1820" t="s">
        <v>79</v>
      </c>
      <c r="I1820" t="s">
        <v>80</v>
      </c>
      <c r="J1820" t="s">
        <v>196</v>
      </c>
      <c r="K1820" t="s">
        <v>13</v>
      </c>
      <c r="L1820" t="s">
        <v>83</v>
      </c>
      <c r="M1820" t="s">
        <v>215</v>
      </c>
      <c r="N1820">
        <v>1</v>
      </c>
      <c r="O1820" t="b">
        <v>1</v>
      </c>
      <c r="P1820">
        <v>0</v>
      </c>
      <c r="BB1820">
        <v>0</v>
      </c>
      <c r="BC1820" t="s">
        <v>197</v>
      </c>
      <c r="BD1820" t="s">
        <v>198</v>
      </c>
      <c r="BE1820" t="s">
        <v>117</v>
      </c>
      <c r="BF1820">
        <v>0</v>
      </c>
      <c r="BG1820">
        <v>0</v>
      </c>
      <c r="BH1820">
        <v>0</v>
      </c>
    </row>
    <row r="1821" spans="1:61">
      <c r="A1821" s="164" t="s">
        <v>4401</v>
      </c>
      <c r="B1821" t="s">
        <v>4402</v>
      </c>
      <c r="C1821">
        <v>0</v>
      </c>
      <c r="D1821" t="s">
        <v>194</v>
      </c>
      <c r="E1821">
        <v>0</v>
      </c>
      <c r="F1821" t="s">
        <v>214</v>
      </c>
      <c r="G1821" t="s">
        <v>78</v>
      </c>
      <c r="H1821" t="s">
        <v>79</v>
      </c>
      <c r="I1821" t="s">
        <v>80</v>
      </c>
      <c r="J1821" t="s">
        <v>196</v>
      </c>
      <c r="K1821" t="s">
        <v>13</v>
      </c>
      <c r="L1821" t="s">
        <v>83</v>
      </c>
      <c r="M1821" t="s">
        <v>215</v>
      </c>
      <c r="N1821">
        <v>1</v>
      </c>
      <c r="O1821" t="b">
        <v>1</v>
      </c>
      <c r="P1821">
        <v>0</v>
      </c>
      <c r="BB1821">
        <v>0</v>
      </c>
      <c r="BC1821" t="s">
        <v>197</v>
      </c>
      <c r="BD1821" t="s">
        <v>216</v>
      </c>
      <c r="BE1821" t="s">
        <v>117</v>
      </c>
      <c r="BF1821">
        <v>0</v>
      </c>
      <c r="BG1821">
        <v>0</v>
      </c>
      <c r="BH1821">
        <v>0</v>
      </c>
    </row>
    <row r="1822" spans="1:61">
      <c r="A1822" s="164" t="s">
        <v>4403</v>
      </c>
      <c r="B1822" t="s">
        <v>4404</v>
      </c>
      <c r="C1822">
        <v>0</v>
      </c>
      <c r="D1822" t="s">
        <v>194</v>
      </c>
      <c r="E1822">
        <v>0</v>
      </c>
      <c r="F1822" t="s">
        <v>214</v>
      </c>
      <c r="G1822" t="s">
        <v>78</v>
      </c>
      <c r="H1822" t="s">
        <v>79</v>
      </c>
      <c r="I1822" t="s">
        <v>80</v>
      </c>
      <c r="J1822" t="s">
        <v>196</v>
      </c>
      <c r="K1822" t="s">
        <v>13</v>
      </c>
      <c r="L1822" t="s">
        <v>83</v>
      </c>
      <c r="M1822" t="s">
        <v>215</v>
      </c>
      <c r="N1822">
        <v>1</v>
      </c>
      <c r="O1822" t="b">
        <v>1</v>
      </c>
      <c r="P1822">
        <v>0</v>
      </c>
      <c r="BB1822">
        <v>0</v>
      </c>
      <c r="BC1822" t="s">
        <v>197</v>
      </c>
      <c r="BD1822" t="s">
        <v>216</v>
      </c>
      <c r="BE1822" t="s">
        <v>117</v>
      </c>
      <c r="BF1822">
        <v>0</v>
      </c>
      <c r="BG1822">
        <v>0</v>
      </c>
      <c r="BH1822">
        <v>0</v>
      </c>
    </row>
    <row r="1823" spans="1:61">
      <c r="A1823" s="164" t="s">
        <v>4405</v>
      </c>
      <c r="B1823" t="s">
        <v>4406</v>
      </c>
      <c r="C1823">
        <v>0</v>
      </c>
      <c r="D1823" t="s">
        <v>194</v>
      </c>
      <c r="E1823">
        <v>0</v>
      </c>
      <c r="F1823" t="s">
        <v>214</v>
      </c>
      <c r="G1823" t="s">
        <v>78</v>
      </c>
      <c r="H1823" t="s">
        <v>79</v>
      </c>
      <c r="I1823" t="s">
        <v>80</v>
      </c>
      <c r="J1823" t="s">
        <v>196</v>
      </c>
      <c r="K1823" t="s">
        <v>13</v>
      </c>
      <c r="L1823" t="s">
        <v>83</v>
      </c>
      <c r="M1823" t="s">
        <v>215</v>
      </c>
      <c r="N1823">
        <v>1</v>
      </c>
      <c r="O1823" t="b">
        <v>1</v>
      </c>
      <c r="P1823">
        <v>0</v>
      </c>
      <c r="BB1823">
        <v>0</v>
      </c>
      <c r="BC1823" t="s">
        <v>197</v>
      </c>
      <c r="BD1823" t="s">
        <v>216</v>
      </c>
      <c r="BE1823" t="s">
        <v>117</v>
      </c>
      <c r="BF1823">
        <v>0</v>
      </c>
      <c r="BG1823">
        <v>0</v>
      </c>
      <c r="BH1823">
        <v>0</v>
      </c>
    </row>
    <row r="1824" spans="1:61">
      <c r="A1824" s="164" t="s">
        <v>4407</v>
      </c>
      <c r="B1824" t="s">
        <v>4408</v>
      </c>
      <c r="C1824">
        <v>0</v>
      </c>
      <c r="D1824" t="s">
        <v>194</v>
      </c>
      <c r="E1824">
        <v>0</v>
      </c>
      <c r="F1824" t="s">
        <v>214</v>
      </c>
      <c r="G1824" t="s">
        <v>78</v>
      </c>
      <c r="H1824" t="s">
        <v>79</v>
      </c>
      <c r="I1824" t="s">
        <v>80</v>
      </c>
      <c r="J1824" t="s">
        <v>196</v>
      </c>
      <c r="K1824" t="s">
        <v>13</v>
      </c>
      <c r="L1824" t="s">
        <v>83</v>
      </c>
      <c r="M1824" t="s">
        <v>215</v>
      </c>
      <c r="N1824">
        <v>1</v>
      </c>
      <c r="O1824" t="b">
        <v>1</v>
      </c>
      <c r="P1824">
        <v>0</v>
      </c>
      <c r="BB1824">
        <v>0</v>
      </c>
      <c r="BC1824" t="s">
        <v>197</v>
      </c>
      <c r="BD1824" t="s">
        <v>216</v>
      </c>
      <c r="BE1824" t="s">
        <v>117</v>
      </c>
      <c r="BF1824">
        <v>0</v>
      </c>
      <c r="BG1824">
        <v>0</v>
      </c>
      <c r="BH1824">
        <v>0</v>
      </c>
    </row>
    <row r="1825" spans="1:61">
      <c r="A1825" s="164" t="s">
        <v>4409</v>
      </c>
      <c r="B1825" t="s">
        <v>4410</v>
      </c>
      <c r="C1825">
        <v>0</v>
      </c>
      <c r="D1825" t="s">
        <v>194</v>
      </c>
      <c r="E1825">
        <v>0</v>
      </c>
      <c r="F1825" t="s">
        <v>195</v>
      </c>
      <c r="G1825" t="s">
        <v>78</v>
      </c>
      <c r="H1825" t="s">
        <v>79</v>
      </c>
      <c r="I1825" t="s">
        <v>80</v>
      </c>
      <c r="J1825" t="s">
        <v>196</v>
      </c>
      <c r="K1825" t="s">
        <v>13</v>
      </c>
      <c r="L1825" t="s">
        <v>83</v>
      </c>
      <c r="M1825" t="s">
        <v>205</v>
      </c>
      <c r="N1825">
        <v>1</v>
      </c>
      <c r="O1825" t="b">
        <v>1</v>
      </c>
      <c r="P1825">
        <v>0</v>
      </c>
      <c r="BB1825">
        <v>0</v>
      </c>
      <c r="BC1825" t="s">
        <v>197</v>
      </c>
      <c r="BD1825" t="s">
        <v>198</v>
      </c>
      <c r="BE1825" t="s">
        <v>117</v>
      </c>
      <c r="BF1825">
        <v>0</v>
      </c>
      <c r="BG1825">
        <v>0</v>
      </c>
      <c r="BH1825">
        <v>0</v>
      </c>
    </row>
    <row r="1826" spans="1:61">
      <c r="A1826" s="164" t="s">
        <v>4411</v>
      </c>
      <c r="B1826" t="s">
        <v>4412</v>
      </c>
      <c r="C1826">
        <v>0</v>
      </c>
      <c r="D1826" t="s">
        <v>194</v>
      </c>
      <c r="E1826">
        <v>0</v>
      </c>
      <c r="F1826" t="s">
        <v>195</v>
      </c>
      <c r="G1826" t="s">
        <v>78</v>
      </c>
      <c r="H1826" t="s">
        <v>79</v>
      </c>
      <c r="I1826" t="s">
        <v>80</v>
      </c>
      <c r="J1826" t="s">
        <v>196</v>
      </c>
      <c r="K1826" t="s">
        <v>13</v>
      </c>
      <c r="L1826" t="s">
        <v>83</v>
      </c>
      <c r="M1826" t="s">
        <v>84</v>
      </c>
      <c r="N1826">
        <v>1</v>
      </c>
      <c r="O1826" t="b">
        <v>1</v>
      </c>
      <c r="P1826">
        <v>0</v>
      </c>
      <c r="BB1826">
        <v>0</v>
      </c>
      <c r="BC1826" t="s">
        <v>197</v>
      </c>
      <c r="BD1826" t="s">
        <v>198</v>
      </c>
      <c r="BE1826" t="s">
        <v>117</v>
      </c>
      <c r="BF1826">
        <v>0</v>
      </c>
      <c r="BG1826">
        <v>0</v>
      </c>
      <c r="BH1826">
        <v>0</v>
      </c>
    </row>
    <row r="1827" spans="1:61">
      <c r="A1827" s="164" t="s">
        <v>4413</v>
      </c>
      <c r="B1827" t="s">
        <v>4414</v>
      </c>
      <c r="C1827">
        <v>0</v>
      </c>
      <c r="D1827" t="s">
        <v>76</v>
      </c>
      <c r="E1827">
        <v>0</v>
      </c>
      <c r="F1827" t="s">
        <v>142</v>
      </c>
      <c r="G1827" t="s">
        <v>78</v>
      </c>
      <c r="H1827" t="s">
        <v>79</v>
      </c>
      <c r="I1827" t="s">
        <v>80</v>
      </c>
      <c r="J1827" t="s">
        <v>81</v>
      </c>
      <c r="K1827" t="s">
        <v>82</v>
      </c>
      <c r="L1827" t="s">
        <v>83</v>
      </c>
      <c r="M1827" t="s">
        <v>84</v>
      </c>
      <c r="N1827">
        <v>0.18</v>
      </c>
      <c r="O1827" t="b">
        <v>1</v>
      </c>
      <c r="P1827">
        <v>45</v>
      </c>
      <c r="Q1827" t="s">
        <v>85</v>
      </c>
      <c r="R1827" t="s">
        <v>86</v>
      </c>
      <c r="S1827">
        <v>0.18</v>
      </c>
      <c r="T1827">
        <v>1</v>
      </c>
      <c r="U1827" s="36">
        <v>0.30833500000000003</v>
      </c>
      <c r="V1827" t="s">
        <v>87</v>
      </c>
      <c r="W1827">
        <v>125</v>
      </c>
      <c r="X1827">
        <v>0.38897500000000002</v>
      </c>
      <c r="Y1827">
        <v>108</v>
      </c>
      <c r="Z1827">
        <v>9.2592592592592587E-3</v>
      </c>
      <c r="AA1827">
        <v>30</v>
      </c>
      <c r="AB1827">
        <v>0</v>
      </c>
      <c r="AC1827">
        <v>540</v>
      </c>
      <c r="AD1827">
        <v>3000</v>
      </c>
      <c r="AE1827" t="s">
        <v>143</v>
      </c>
      <c r="AF1827" t="s">
        <v>89</v>
      </c>
      <c r="AG1827" t="s">
        <v>90</v>
      </c>
      <c r="AH1827">
        <v>0</v>
      </c>
      <c r="AI1827">
        <v>1</v>
      </c>
      <c r="AJ1827" t="s">
        <v>91</v>
      </c>
      <c r="AK1827" t="s">
        <v>92</v>
      </c>
      <c r="AL1827" t="s">
        <v>93</v>
      </c>
      <c r="AM1827">
        <v>0.98220000000000007</v>
      </c>
      <c r="AN1827">
        <v>0</v>
      </c>
      <c r="AO1827">
        <v>0</v>
      </c>
      <c r="AP1827">
        <v>0</v>
      </c>
      <c r="AQ1827">
        <v>8.6691086691086688E-2</v>
      </c>
      <c r="AR1827">
        <v>2.6666666666666505E-3</v>
      </c>
      <c r="AS1827">
        <v>0</v>
      </c>
      <c r="AT1827">
        <v>1.0866910866910866</v>
      </c>
      <c r="AU1827">
        <v>1.0026666666666666</v>
      </c>
      <c r="AV1827">
        <v>1</v>
      </c>
      <c r="AW1827">
        <v>0</v>
      </c>
      <c r="AX1827" t="s">
        <v>4415</v>
      </c>
      <c r="AY1827">
        <v>16.5</v>
      </c>
      <c r="AZ1827">
        <v>0</v>
      </c>
      <c r="BA1827" t="s">
        <v>94</v>
      </c>
      <c r="BB1827">
        <v>0.77</v>
      </c>
      <c r="BC1827" t="s">
        <v>95</v>
      </c>
      <c r="BD1827" t="s">
        <v>96</v>
      </c>
      <c r="BE1827" t="s">
        <v>97</v>
      </c>
      <c r="BF1827">
        <v>1</v>
      </c>
      <c r="BG1827">
        <v>0</v>
      </c>
      <c r="BH1827">
        <v>0</v>
      </c>
      <c r="BI1827" t="s">
        <v>98</v>
      </c>
    </row>
    <row r="1828" spans="1:61">
      <c r="A1828" s="164" t="s">
        <v>4416</v>
      </c>
      <c r="B1828" t="s">
        <v>4417</v>
      </c>
      <c r="C1828">
        <v>0</v>
      </c>
      <c r="D1828" t="s">
        <v>76</v>
      </c>
      <c r="E1828">
        <v>0</v>
      </c>
      <c r="F1828" t="s">
        <v>972</v>
      </c>
      <c r="G1828" t="s">
        <v>78</v>
      </c>
      <c r="H1828" t="s">
        <v>79</v>
      </c>
      <c r="I1828" t="s">
        <v>80</v>
      </c>
      <c r="J1828" t="s">
        <v>81</v>
      </c>
      <c r="K1828" t="s">
        <v>82</v>
      </c>
      <c r="L1828" t="s">
        <v>83</v>
      </c>
      <c r="M1828" t="s">
        <v>84</v>
      </c>
      <c r="N1828">
        <v>0.95</v>
      </c>
      <c r="O1828" t="b">
        <v>1</v>
      </c>
      <c r="P1828">
        <v>45</v>
      </c>
      <c r="Q1828" t="s">
        <v>85</v>
      </c>
      <c r="R1828" t="s">
        <v>86</v>
      </c>
      <c r="S1828">
        <v>0.95</v>
      </c>
      <c r="T1828">
        <v>1</v>
      </c>
      <c r="U1828" s="36">
        <v>1.46231</v>
      </c>
      <c r="V1828" t="s">
        <v>87</v>
      </c>
      <c r="W1828">
        <v>24</v>
      </c>
      <c r="X1828">
        <v>0.45019999999999999</v>
      </c>
      <c r="Y1828">
        <v>18</v>
      </c>
      <c r="Z1828">
        <v>5.5555555555555552E-2</v>
      </c>
      <c r="AA1828">
        <v>30</v>
      </c>
      <c r="AB1828">
        <v>0</v>
      </c>
      <c r="AC1828">
        <v>530</v>
      </c>
      <c r="AD1828">
        <v>557.89473684210532</v>
      </c>
      <c r="AE1828" t="s">
        <v>155</v>
      </c>
      <c r="AF1828" t="s">
        <v>89</v>
      </c>
      <c r="AG1828" t="s">
        <v>90</v>
      </c>
      <c r="AH1828">
        <v>0</v>
      </c>
      <c r="AI1828">
        <v>1</v>
      </c>
      <c r="AJ1828" t="s">
        <v>91</v>
      </c>
      <c r="AK1828" t="s">
        <v>92</v>
      </c>
      <c r="AL1828" t="s">
        <v>93</v>
      </c>
      <c r="AM1828">
        <v>0.98220000000000007</v>
      </c>
      <c r="AN1828">
        <v>0</v>
      </c>
      <c r="AO1828">
        <v>0</v>
      </c>
      <c r="AP1828">
        <v>0</v>
      </c>
      <c r="AQ1828">
        <v>8.6691086691086688E-2</v>
      </c>
      <c r="AR1828">
        <v>2.6666666666666505E-3</v>
      </c>
      <c r="AS1828">
        <v>0</v>
      </c>
      <c r="AT1828">
        <v>1.0866910866910866</v>
      </c>
      <c r="AU1828">
        <v>1.0026666666666666</v>
      </c>
      <c r="AV1828">
        <v>1</v>
      </c>
      <c r="AW1828">
        <v>0</v>
      </c>
      <c r="AX1828" t="s">
        <v>4418</v>
      </c>
      <c r="AY1828">
        <v>53.4</v>
      </c>
      <c r="AZ1828">
        <v>0</v>
      </c>
      <c r="BA1828" t="s">
        <v>94</v>
      </c>
      <c r="BB1828">
        <v>3.17</v>
      </c>
      <c r="BC1828" t="s">
        <v>95</v>
      </c>
      <c r="BD1828" t="s">
        <v>96</v>
      </c>
      <c r="BE1828" t="s">
        <v>97</v>
      </c>
      <c r="BF1828">
        <v>1</v>
      </c>
      <c r="BG1828">
        <v>0</v>
      </c>
      <c r="BH1828">
        <v>0</v>
      </c>
      <c r="BI1828" t="s">
        <v>98</v>
      </c>
    </row>
    <row r="1829" spans="1:61">
      <c r="A1829" s="164" t="s">
        <v>4419</v>
      </c>
      <c r="B1829" t="s">
        <v>4420</v>
      </c>
      <c r="C1829">
        <v>0</v>
      </c>
      <c r="D1829" t="s">
        <v>1811</v>
      </c>
      <c r="E1829">
        <v>0</v>
      </c>
      <c r="F1829" t="s">
        <v>1812</v>
      </c>
      <c r="G1829" t="s">
        <v>78</v>
      </c>
      <c r="H1829" t="s">
        <v>79</v>
      </c>
      <c r="I1829" t="s">
        <v>80</v>
      </c>
      <c r="J1829" t="s">
        <v>163</v>
      </c>
      <c r="K1829" t="s">
        <v>82</v>
      </c>
      <c r="L1829" t="s">
        <v>83</v>
      </c>
      <c r="M1829" t="s">
        <v>84</v>
      </c>
      <c r="N1829">
        <v>0.25</v>
      </c>
      <c r="O1829" t="b">
        <v>1</v>
      </c>
      <c r="P1829">
        <v>40</v>
      </c>
      <c r="Q1829" t="s">
        <v>137</v>
      </c>
      <c r="S1829">
        <v>0.25</v>
      </c>
      <c r="T1829">
        <v>1</v>
      </c>
      <c r="U1829" s="36">
        <v>1.0747450000000001</v>
      </c>
      <c r="V1829" t="s">
        <v>991</v>
      </c>
      <c r="X1829">
        <v>0</v>
      </c>
      <c r="Y1829">
        <v>96</v>
      </c>
      <c r="Z1829">
        <v>1.8518518518518517E-2</v>
      </c>
      <c r="AA1829">
        <v>35</v>
      </c>
      <c r="AB1829">
        <v>0</v>
      </c>
      <c r="AC1829">
        <v>0</v>
      </c>
      <c r="AE1829" t="s">
        <v>129</v>
      </c>
      <c r="AF1829" t="s">
        <v>1812</v>
      </c>
      <c r="AG1829" t="s">
        <v>129</v>
      </c>
      <c r="AH1829">
        <v>0</v>
      </c>
      <c r="AI1829">
        <v>1.6</v>
      </c>
      <c r="AM1829">
        <v>1.6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1.4</v>
      </c>
      <c r="AX1829" t="s">
        <v>4421</v>
      </c>
      <c r="AY1829">
        <v>12.98</v>
      </c>
      <c r="AZ1829">
        <v>0</v>
      </c>
      <c r="BA1829" t="s">
        <v>138</v>
      </c>
      <c r="BB1829">
        <v>2.66</v>
      </c>
      <c r="BC1829" t="s">
        <v>95</v>
      </c>
      <c r="BD1829" t="s">
        <v>96</v>
      </c>
      <c r="BE1829" t="s">
        <v>97</v>
      </c>
      <c r="BF1829">
        <v>1</v>
      </c>
      <c r="BG1829">
        <v>0</v>
      </c>
      <c r="BH1829">
        <v>0</v>
      </c>
      <c r="BI1829" t="s">
        <v>98</v>
      </c>
    </row>
    <row r="1830" spans="1:61">
      <c r="A1830" s="164" t="s">
        <v>4422</v>
      </c>
      <c r="B1830" t="s">
        <v>4423</v>
      </c>
      <c r="C1830">
        <v>0</v>
      </c>
      <c r="D1830" t="s">
        <v>486</v>
      </c>
      <c r="E1830">
        <v>0</v>
      </c>
      <c r="F1830" t="s">
        <v>1743</v>
      </c>
      <c r="G1830" t="s">
        <v>78</v>
      </c>
      <c r="H1830" t="s">
        <v>79</v>
      </c>
      <c r="I1830" t="s">
        <v>80</v>
      </c>
      <c r="J1830" t="s">
        <v>163</v>
      </c>
      <c r="K1830" t="s">
        <v>82</v>
      </c>
      <c r="L1830" t="s">
        <v>83</v>
      </c>
      <c r="M1830" t="s">
        <v>84</v>
      </c>
      <c r="N1830">
        <v>0.25</v>
      </c>
      <c r="O1830" t="b">
        <v>1</v>
      </c>
      <c r="P1830">
        <v>180</v>
      </c>
      <c r="Q1830" t="s">
        <v>137</v>
      </c>
      <c r="S1830">
        <v>0.25</v>
      </c>
      <c r="T1830">
        <v>1</v>
      </c>
      <c r="U1830" s="36">
        <v>2.3212000000000002</v>
      </c>
      <c r="V1830" t="s">
        <v>165</v>
      </c>
      <c r="X1830">
        <v>0</v>
      </c>
      <c r="Y1830">
        <v>40</v>
      </c>
      <c r="Z1830">
        <v>2.5000000000000001E-2</v>
      </c>
      <c r="AA1830">
        <v>35</v>
      </c>
      <c r="AB1830">
        <v>0</v>
      </c>
      <c r="AC1830">
        <v>0</v>
      </c>
      <c r="AE1830" t="s">
        <v>129</v>
      </c>
      <c r="AF1830" t="s">
        <v>1743</v>
      </c>
      <c r="AG1830" t="s">
        <v>129</v>
      </c>
      <c r="AH1830">
        <v>0</v>
      </c>
      <c r="AI1830">
        <v>13.4</v>
      </c>
      <c r="AJ1830" t="s">
        <v>177</v>
      </c>
      <c r="AM1830">
        <v>13.87</v>
      </c>
      <c r="AN1830">
        <v>0</v>
      </c>
      <c r="AO1830">
        <v>0</v>
      </c>
      <c r="AP1830">
        <v>0</v>
      </c>
      <c r="AQ1830">
        <v>2.8571428571428564E-2</v>
      </c>
      <c r="AR1830">
        <v>0</v>
      </c>
      <c r="AS1830">
        <v>0</v>
      </c>
      <c r="AT1830">
        <v>1.0285714285714285</v>
      </c>
      <c r="AU1830">
        <v>0</v>
      </c>
      <c r="AV1830">
        <v>0</v>
      </c>
      <c r="AW1830">
        <v>0</v>
      </c>
      <c r="AX1830" t="s">
        <v>4424</v>
      </c>
      <c r="AY1830">
        <v>10.119999999999999</v>
      </c>
      <c r="AZ1830">
        <v>0</v>
      </c>
      <c r="BA1830" t="s">
        <v>138</v>
      </c>
      <c r="BB1830">
        <v>5.33</v>
      </c>
      <c r="BC1830" t="s">
        <v>95</v>
      </c>
      <c r="BD1830" t="s">
        <v>96</v>
      </c>
      <c r="BE1830" t="s">
        <v>97</v>
      </c>
      <c r="BF1830">
        <v>1</v>
      </c>
      <c r="BG1830">
        <v>0</v>
      </c>
      <c r="BH1830">
        <v>0</v>
      </c>
      <c r="BI1830" t="s">
        <v>98</v>
      </c>
    </row>
    <row r="1831" spans="1:61">
      <c r="A1831" s="164" t="s">
        <v>4425</v>
      </c>
      <c r="B1831" t="s">
        <v>4426</v>
      </c>
      <c r="C1831">
        <v>0</v>
      </c>
      <c r="D1831" t="s">
        <v>107</v>
      </c>
      <c r="E1831">
        <v>0</v>
      </c>
      <c r="F1831" t="s">
        <v>499</v>
      </c>
      <c r="G1831" t="s">
        <v>103</v>
      </c>
      <c r="H1831" t="s">
        <v>104</v>
      </c>
      <c r="I1831" t="s">
        <v>80</v>
      </c>
      <c r="J1831" t="s">
        <v>81</v>
      </c>
      <c r="K1831" t="s">
        <v>82</v>
      </c>
      <c r="L1831" t="s">
        <v>83</v>
      </c>
      <c r="M1831" t="s">
        <v>84</v>
      </c>
      <c r="N1831">
        <v>0.18</v>
      </c>
      <c r="O1831" t="b">
        <v>0</v>
      </c>
      <c r="P1831">
        <v>45</v>
      </c>
      <c r="Q1831" t="s">
        <v>85</v>
      </c>
      <c r="S1831">
        <v>0</v>
      </c>
      <c r="T1831">
        <v>1</v>
      </c>
      <c r="U1831" s="36">
        <v>0.20524000000000001</v>
      </c>
      <c r="V1831" t="s">
        <v>87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G1831" t="s">
        <v>129</v>
      </c>
      <c r="AH1831">
        <v>0</v>
      </c>
      <c r="AI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Y1831">
        <v>0</v>
      </c>
      <c r="AZ1831">
        <v>6</v>
      </c>
      <c r="BA1831" t="s">
        <v>94</v>
      </c>
      <c r="BB1831">
        <v>0</v>
      </c>
      <c r="BC1831" t="s">
        <v>95</v>
      </c>
      <c r="BD1831" t="s">
        <v>96</v>
      </c>
      <c r="BE1831" t="s">
        <v>97</v>
      </c>
      <c r="BF1831">
        <v>0</v>
      </c>
      <c r="BG1831">
        <v>0</v>
      </c>
      <c r="BH1831">
        <v>0</v>
      </c>
      <c r="BI1831" t="s">
        <v>98</v>
      </c>
    </row>
    <row r="1832" spans="1:61">
      <c r="A1832" s="164" t="s">
        <v>4427</v>
      </c>
      <c r="B1832" t="s">
        <v>4428</v>
      </c>
      <c r="C1832">
        <v>0</v>
      </c>
      <c r="D1832" t="s">
        <v>175</v>
      </c>
      <c r="E1832">
        <v>0</v>
      </c>
      <c r="F1832" t="s">
        <v>758</v>
      </c>
      <c r="G1832" t="s">
        <v>78</v>
      </c>
      <c r="H1832" t="s">
        <v>79</v>
      </c>
      <c r="I1832" t="s">
        <v>80</v>
      </c>
      <c r="J1832" t="s">
        <v>163</v>
      </c>
      <c r="K1832" t="s">
        <v>82</v>
      </c>
      <c r="L1832" t="s">
        <v>83</v>
      </c>
      <c r="M1832" t="s">
        <v>205</v>
      </c>
      <c r="N1832">
        <v>1</v>
      </c>
      <c r="O1832" t="b">
        <v>1</v>
      </c>
      <c r="P1832">
        <v>40</v>
      </c>
      <c r="Q1832" t="s">
        <v>137</v>
      </c>
      <c r="S1832">
        <v>1</v>
      </c>
      <c r="T1832">
        <v>1</v>
      </c>
      <c r="U1832" s="36">
        <v>5.7276199999999999</v>
      </c>
      <c r="V1832" t="s">
        <v>165</v>
      </c>
      <c r="X1832">
        <v>0</v>
      </c>
      <c r="Y1832">
        <v>30</v>
      </c>
      <c r="Z1832">
        <v>0.1</v>
      </c>
      <c r="AA1832">
        <v>20</v>
      </c>
      <c r="AB1832">
        <v>0</v>
      </c>
      <c r="AC1832">
        <v>0</v>
      </c>
      <c r="AE1832" t="s">
        <v>129</v>
      </c>
      <c r="AF1832" t="s">
        <v>758</v>
      </c>
      <c r="AG1832" t="s">
        <v>129</v>
      </c>
      <c r="AH1832">
        <v>0</v>
      </c>
      <c r="AI1832">
        <v>9.5</v>
      </c>
      <c r="AJ1832" t="s">
        <v>177</v>
      </c>
      <c r="AM1832">
        <v>10.11</v>
      </c>
      <c r="AN1832">
        <v>0</v>
      </c>
      <c r="AO1832">
        <v>0</v>
      </c>
      <c r="AP1832">
        <v>0</v>
      </c>
      <c r="AQ1832">
        <v>2.8571428571428564E-2</v>
      </c>
      <c r="AR1832">
        <v>0</v>
      </c>
      <c r="AS1832">
        <v>0</v>
      </c>
      <c r="AT1832">
        <v>1.0285714285714285</v>
      </c>
      <c r="AU1832">
        <v>0</v>
      </c>
      <c r="AV1832">
        <v>0</v>
      </c>
      <c r="AW1832">
        <v>0</v>
      </c>
      <c r="AX1832" t="s">
        <v>4189</v>
      </c>
      <c r="AY1832">
        <v>12.440000000000001</v>
      </c>
      <c r="AZ1832">
        <v>0</v>
      </c>
      <c r="BA1832" t="s">
        <v>138</v>
      </c>
      <c r="BB1832">
        <v>8.4700000000000006</v>
      </c>
      <c r="BC1832" t="s">
        <v>95</v>
      </c>
      <c r="BD1832" t="s">
        <v>96</v>
      </c>
      <c r="BE1832" t="s">
        <v>97</v>
      </c>
      <c r="BF1832">
        <v>3</v>
      </c>
      <c r="BG1832">
        <v>0</v>
      </c>
      <c r="BH1832">
        <v>0</v>
      </c>
      <c r="BI1832" t="s">
        <v>98</v>
      </c>
    </row>
    <row r="1833" spans="1:61">
      <c r="A1833" s="164" t="s">
        <v>4429</v>
      </c>
      <c r="B1833" t="s">
        <v>3238</v>
      </c>
      <c r="C1833">
        <v>0</v>
      </c>
      <c r="D1833" t="s">
        <v>3238</v>
      </c>
      <c r="F1833" t="s">
        <v>3238</v>
      </c>
      <c r="G1833" t="s">
        <v>103</v>
      </c>
      <c r="O1833" t="b">
        <v>0</v>
      </c>
      <c r="AI1833">
        <v>0</v>
      </c>
      <c r="BB1833">
        <v>0</v>
      </c>
      <c r="BC1833" t="s">
        <v>95</v>
      </c>
      <c r="BD1833" t="s">
        <v>96</v>
      </c>
      <c r="BE1833" t="s">
        <v>97</v>
      </c>
      <c r="BF1833">
        <v>0</v>
      </c>
      <c r="BG1833">
        <v>0</v>
      </c>
      <c r="BH1833">
        <v>0</v>
      </c>
      <c r="BI1833" t="s">
        <v>98</v>
      </c>
    </row>
    <row r="1834" spans="1:61">
      <c r="A1834" s="164" t="s">
        <v>4430</v>
      </c>
      <c r="B1834" t="s">
        <v>4431</v>
      </c>
      <c r="C1834">
        <v>0</v>
      </c>
      <c r="D1834" t="s">
        <v>304</v>
      </c>
      <c r="E1834">
        <v>0</v>
      </c>
      <c r="F1834" t="s">
        <v>269</v>
      </c>
      <c r="G1834" t="s">
        <v>103</v>
      </c>
      <c r="H1834" t="s">
        <v>104</v>
      </c>
      <c r="I1834" t="s">
        <v>80</v>
      </c>
      <c r="J1834" t="s">
        <v>196</v>
      </c>
      <c r="K1834" t="s">
        <v>13</v>
      </c>
      <c r="L1834" t="s">
        <v>83</v>
      </c>
      <c r="M1834" t="s">
        <v>84</v>
      </c>
      <c r="N1834">
        <v>1</v>
      </c>
      <c r="O1834" t="b">
        <v>0</v>
      </c>
      <c r="P1834">
        <v>0</v>
      </c>
      <c r="BB1834">
        <v>0</v>
      </c>
      <c r="BC1834" t="s">
        <v>306</v>
      </c>
      <c r="BD1834" t="s">
        <v>270</v>
      </c>
      <c r="BE1834" t="s">
        <v>117</v>
      </c>
      <c r="BF1834">
        <v>0</v>
      </c>
      <c r="BG1834">
        <v>0</v>
      </c>
      <c r="BH1834">
        <v>0</v>
      </c>
    </row>
    <row r="1835" spans="1:61">
      <c r="A1835" s="164" t="s">
        <v>4432</v>
      </c>
      <c r="B1835" t="s">
        <v>4433</v>
      </c>
      <c r="C1835">
        <v>0</v>
      </c>
      <c r="D1835" t="s">
        <v>304</v>
      </c>
      <c r="E1835">
        <v>0</v>
      </c>
      <c r="F1835" t="s">
        <v>342</v>
      </c>
      <c r="G1835" t="s">
        <v>78</v>
      </c>
      <c r="H1835" t="s">
        <v>79</v>
      </c>
      <c r="I1835" t="s">
        <v>80</v>
      </c>
      <c r="J1835" t="s">
        <v>196</v>
      </c>
      <c r="K1835" t="s">
        <v>13</v>
      </c>
      <c r="L1835" t="s">
        <v>83</v>
      </c>
      <c r="M1835" t="s">
        <v>84</v>
      </c>
      <c r="N1835">
        <v>1</v>
      </c>
      <c r="O1835" t="b">
        <v>1</v>
      </c>
      <c r="P1835">
        <v>0</v>
      </c>
      <c r="BB1835">
        <v>0</v>
      </c>
      <c r="BC1835" t="s">
        <v>306</v>
      </c>
      <c r="BD1835" t="s">
        <v>343</v>
      </c>
      <c r="BE1835" t="s">
        <v>117</v>
      </c>
      <c r="BF1835">
        <v>0</v>
      </c>
      <c r="BG1835">
        <v>25</v>
      </c>
      <c r="BH1835">
        <v>10000</v>
      </c>
      <c r="BI1835" t="s">
        <v>344</v>
      </c>
    </row>
    <row r="1836" spans="1:61">
      <c r="A1836" s="164" t="s">
        <v>4434</v>
      </c>
      <c r="B1836" t="s">
        <v>4435</v>
      </c>
      <c r="C1836">
        <v>0</v>
      </c>
      <c r="D1836" t="s">
        <v>304</v>
      </c>
      <c r="E1836">
        <v>0</v>
      </c>
      <c r="F1836" t="s">
        <v>342</v>
      </c>
      <c r="G1836" t="s">
        <v>78</v>
      </c>
      <c r="H1836" t="s">
        <v>79</v>
      </c>
      <c r="I1836" t="s">
        <v>80</v>
      </c>
      <c r="J1836" t="s">
        <v>196</v>
      </c>
      <c r="K1836" t="s">
        <v>13</v>
      </c>
      <c r="L1836" t="s">
        <v>83</v>
      </c>
      <c r="M1836" t="s">
        <v>84</v>
      </c>
      <c r="N1836">
        <v>1</v>
      </c>
      <c r="O1836" t="b">
        <v>1</v>
      </c>
      <c r="P1836">
        <v>0</v>
      </c>
      <c r="BB1836">
        <v>0</v>
      </c>
      <c r="BC1836" t="s">
        <v>306</v>
      </c>
      <c r="BD1836" t="s">
        <v>343</v>
      </c>
      <c r="BE1836" t="s">
        <v>117</v>
      </c>
      <c r="BF1836">
        <v>0</v>
      </c>
      <c r="BG1836">
        <v>25</v>
      </c>
      <c r="BH1836">
        <v>10000</v>
      </c>
      <c r="BI1836" t="s">
        <v>344</v>
      </c>
    </row>
    <row r="1837" spans="1:61">
      <c r="A1837" s="164" t="s">
        <v>4436</v>
      </c>
      <c r="B1837" t="s">
        <v>4437</v>
      </c>
      <c r="C1837">
        <v>0</v>
      </c>
      <c r="D1837" t="s">
        <v>304</v>
      </c>
      <c r="E1837">
        <v>0</v>
      </c>
      <c r="F1837" t="s">
        <v>456</v>
      </c>
      <c r="G1837" t="s">
        <v>78</v>
      </c>
      <c r="H1837" t="s">
        <v>79</v>
      </c>
      <c r="I1837" t="s">
        <v>80</v>
      </c>
      <c r="J1837" t="s">
        <v>196</v>
      </c>
      <c r="K1837" t="s">
        <v>13</v>
      </c>
      <c r="L1837" t="s">
        <v>83</v>
      </c>
      <c r="M1837" t="s">
        <v>84</v>
      </c>
      <c r="N1837">
        <v>1</v>
      </c>
      <c r="O1837" t="b">
        <v>1</v>
      </c>
      <c r="P1837">
        <v>0</v>
      </c>
      <c r="BB1837">
        <v>0</v>
      </c>
      <c r="BC1837" t="s">
        <v>306</v>
      </c>
      <c r="BD1837" t="s">
        <v>457</v>
      </c>
      <c r="BE1837" t="s">
        <v>117</v>
      </c>
      <c r="BF1837">
        <v>0</v>
      </c>
      <c r="BG1837">
        <v>120</v>
      </c>
      <c r="BH1837">
        <v>1000000</v>
      </c>
      <c r="BI1837" t="s">
        <v>458</v>
      </c>
    </row>
    <row r="1838" spans="1:61">
      <c r="A1838" s="164" t="s">
        <v>4438</v>
      </c>
      <c r="B1838" t="s">
        <v>4439</v>
      </c>
      <c r="C1838">
        <v>0</v>
      </c>
      <c r="D1838" t="s">
        <v>304</v>
      </c>
      <c r="E1838">
        <v>0</v>
      </c>
      <c r="F1838" t="s">
        <v>456</v>
      </c>
      <c r="G1838" t="s">
        <v>78</v>
      </c>
      <c r="H1838" t="s">
        <v>79</v>
      </c>
      <c r="I1838" t="s">
        <v>80</v>
      </c>
      <c r="J1838" t="s">
        <v>196</v>
      </c>
      <c r="K1838" t="s">
        <v>13</v>
      </c>
      <c r="L1838" t="s">
        <v>83</v>
      </c>
      <c r="M1838" t="s">
        <v>84</v>
      </c>
      <c r="N1838">
        <v>1</v>
      </c>
      <c r="O1838" t="b">
        <v>1</v>
      </c>
      <c r="P1838">
        <v>0</v>
      </c>
      <c r="BB1838">
        <v>0</v>
      </c>
      <c r="BC1838" t="s">
        <v>306</v>
      </c>
      <c r="BD1838" t="s">
        <v>457</v>
      </c>
      <c r="BE1838" t="s">
        <v>117</v>
      </c>
      <c r="BF1838">
        <v>0</v>
      </c>
      <c r="BG1838">
        <v>120</v>
      </c>
      <c r="BH1838">
        <v>1000000</v>
      </c>
      <c r="BI1838" t="s">
        <v>458</v>
      </c>
    </row>
    <row r="1839" spans="1:61">
      <c r="A1839" s="164" t="s">
        <v>4440</v>
      </c>
      <c r="B1839" t="s">
        <v>4441</v>
      </c>
      <c r="C1839">
        <v>0</v>
      </c>
      <c r="D1839" t="s">
        <v>304</v>
      </c>
      <c r="E1839">
        <v>0</v>
      </c>
      <c r="F1839" t="s">
        <v>342</v>
      </c>
      <c r="G1839" t="s">
        <v>78</v>
      </c>
      <c r="H1839" t="s">
        <v>79</v>
      </c>
      <c r="I1839" t="s">
        <v>80</v>
      </c>
      <c r="J1839" t="s">
        <v>196</v>
      </c>
      <c r="K1839" t="s">
        <v>13</v>
      </c>
      <c r="L1839" t="s">
        <v>83</v>
      </c>
      <c r="M1839" t="s">
        <v>84</v>
      </c>
      <c r="N1839">
        <v>1</v>
      </c>
      <c r="O1839" t="b">
        <v>1</v>
      </c>
      <c r="P1839">
        <v>0</v>
      </c>
      <c r="BB1839">
        <v>0</v>
      </c>
      <c r="BC1839" t="s">
        <v>306</v>
      </c>
      <c r="BD1839" t="s">
        <v>343</v>
      </c>
      <c r="BE1839" t="s">
        <v>117</v>
      </c>
      <c r="BF1839">
        <v>0</v>
      </c>
      <c r="BG1839">
        <v>25</v>
      </c>
      <c r="BH1839">
        <v>10000</v>
      </c>
      <c r="BI1839" t="s">
        <v>344</v>
      </c>
    </row>
    <row r="1840" spans="1:61">
      <c r="A1840" s="164" t="s">
        <v>4442</v>
      </c>
      <c r="B1840" t="s">
        <v>4443</v>
      </c>
      <c r="C1840">
        <v>0</v>
      </c>
      <c r="D1840" t="s">
        <v>304</v>
      </c>
      <c r="E1840">
        <v>0</v>
      </c>
      <c r="F1840" t="s">
        <v>305</v>
      </c>
      <c r="G1840" t="s">
        <v>78</v>
      </c>
      <c r="H1840" t="s">
        <v>79</v>
      </c>
      <c r="I1840" t="s">
        <v>80</v>
      </c>
      <c r="J1840" t="s">
        <v>196</v>
      </c>
      <c r="K1840" t="s">
        <v>13</v>
      </c>
      <c r="L1840" t="s">
        <v>83</v>
      </c>
      <c r="M1840" t="s">
        <v>84</v>
      </c>
      <c r="N1840">
        <v>1</v>
      </c>
      <c r="O1840" t="b">
        <v>1</v>
      </c>
      <c r="P1840">
        <v>0</v>
      </c>
      <c r="BB1840">
        <v>0</v>
      </c>
      <c r="BC1840" t="s">
        <v>306</v>
      </c>
      <c r="BD1840" t="s">
        <v>307</v>
      </c>
      <c r="BE1840" t="s">
        <v>117</v>
      </c>
      <c r="BF1840">
        <v>0</v>
      </c>
      <c r="BG1840">
        <v>25</v>
      </c>
      <c r="BH1840">
        <v>10000</v>
      </c>
      <c r="BI1840" t="s">
        <v>308</v>
      </c>
    </row>
    <row r="1841" spans="1:61">
      <c r="A1841" s="164" t="s">
        <v>4444</v>
      </c>
      <c r="B1841" t="s">
        <v>4445</v>
      </c>
      <c r="C1841">
        <v>0</v>
      </c>
      <c r="D1841" t="s">
        <v>304</v>
      </c>
      <c r="E1841">
        <v>0</v>
      </c>
      <c r="F1841" t="s">
        <v>305</v>
      </c>
      <c r="G1841" t="s">
        <v>78</v>
      </c>
      <c r="H1841" t="s">
        <v>79</v>
      </c>
      <c r="I1841" t="s">
        <v>80</v>
      </c>
      <c r="J1841" t="s">
        <v>196</v>
      </c>
      <c r="K1841" t="s">
        <v>13</v>
      </c>
      <c r="L1841" t="s">
        <v>83</v>
      </c>
      <c r="M1841" t="s">
        <v>84</v>
      </c>
      <c r="N1841">
        <v>1</v>
      </c>
      <c r="O1841" t="b">
        <v>1</v>
      </c>
      <c r="P1841">
        <v>0</v>
      </c>
      <c r="BB1841">
        <v>0</v>
      </c>
      <c r="BC1841" t="s">
        <v>306</v>
      </c>
      <c r="BD1841" t="s">
        <v>307</v>
      </c>
      <c r="BE1841" t="s">
        <v>117</v>
      </c>
      <c r="BF1841">
        <v>0</v>
      </c>
      <c r="BG1841">
        <v>25</v>
      </c>
      <c r="BH1841">
        <v>20000</v>
      </c>
      <c r="BI1841" t="s">
        <v>308</v>
      </c>
    </row>
    <row r="1842" spans="1:61">
      <c r="A1842" s="164" t="s">
        <v>4446</v>
      </c>
      <c r="B1842" t="s">
        <v>4447</v>
      </c>
      <c r="C1842">
        <v>0</v>
      </c>
      <c r="D1842" t="s">
        <v>304</v>
      </c>
      <c r="E1842">
        <v>0</v>
      </c>
      <c r="F1842" t="s">
        <v>305</v>
      </c>
      <c r="G1842" t="s">
        <v>78</v>
      </c>
      <c r="H1842" t="s">
        <v>79</v>
      </c>
      <c r="I1842" t="s">
        <v>80</v>
      </c>
      <c r="J1842" t="s">
        <v>196</v>
      </c>
      <c r="K1842" t="s">
        <v>13</v>
      </c>
      <c r="L1842" t="s">
        <v>83</v>
      </c>
      <c r="M1842" t="s">
        <v>84</v>
      </c>
      <c r="N1842">
        <v>1</v>
      </c>
      <c r="O1842" t="b">
        <v>1</v>
      </c>
      <c r="P1842">
        <v>0</v>
      </c>
      <c r="BB1842">
        <v>0</v>
      </c>
      <c r="BC1842" t="s">
        <v>306</v>
      </c>
      <c r="BD1842" t="s">
        <v>307</v>
      </c>
      <c r="BE1842" t="s">
        <v>117</v>
      </c>
      <c r="BF1842">
        <v>0</v>
      </c>
      <c r="BG1842">
        <v>25</v>
      </c>
      <c r="BH1842">
        <v>20000</v>
      </c>
      <c r="BI1842" t="s">
        <v>308</v>
      </c>
    </row>
    <row r="1843" spans="1:61">
      <c r="A1843" s="164" t="s">
        <v>4448</v>
      </c>
      <c r="B1843" t="s">
        <v>4449</v>
      </c>
      <c r="C1843">
        <v>0</v>
      </c>
      <c r="D1843" t="s">
        <v>304</v>
      </c>
      <c r="E1843">
        <v>0</v>
      </c>
      <c r="F1843" t="s">
        <v>305</v>
      </c>
      <c r="G1843" t="s">
        <v>78</v>
      </c>
      <c r="H1843" t="s">
        <v>79</v>
      </c>
      <c r="I1843" t="s">
        <v>80</v>
      </c>
      <c r="J1843" t="s">
        <v>196</v>
      </c>
      <c r="K1843" t="s">
        <v>13</v>
      </c>
      <c r="L1843" t="s">
        <v>83</v>
      </c>
      <c r="M1843" t="s">
        <v>84</v>
      </c>
      <c r="N1843">
        <v>1</v>
      </c>
      <c r="O1843" t="b">
        <v>1</v>
      </c>
      <c r="P1843">
        <v>0</v>
      </c>
      <c r="BB1843">
        <v>0</v>
      </c>
      <c r="BC1843" t="s">
        <v>306</v>
      </c>
      <c r="BD1843" t="s">
        <v>307</v>
      </c>
      <c r="BE1843" t="s">
        <v>117</v>
      </c>
      <c r="BF1843">
        <v>0</v>
      </c>
      <c r="BG1843">
        <v>25</v>
      </c>
      <c r="BH1843">
        <v>10000</v>
      </c>
      <c r="BI1843" t="s">
        <v>308</v>
      </c>
    </row>
    <row r="1844" spans="1:61">
      <c r="A1844" s="164" t="s">
        <v>4450</v>
      </c>
      <c r="B1844" t="s">
        <v>4451</v>
      </c>
      <c r="C1844">
        <v>0</v>
      </c>
      <c r="D1844" t="s">
        <v>304</v>
      </c>
      <c r="E1844">
        <v>0</v>
      </c>
      <c r="F1844" t="s">
        <v>305</v>
      </c>
      <c r="G1844" t="s">
        <v>78</v>
      </c>
      <c r="H1844" t="s">
        <v>79</v>
      </c>
      <c r="I1844" t="s">
        <v>80</v>
      </c>
      <c r="J1844" t="s">
        <v>196</v>
      </c>
      <c r="K1844" t="s">
        <v>13</v>
      </c>
      <c r="L1844" t="s">
        <v>83</v>
      </c>
      <c r="M1844" t="s">
        <v>84</v>
      </c>
      <c r="N1844">
        <v>1</v>
      </c>
      <c r="O1844" t="b">
        <v>1</v>
      </c>
      <c r="P1844">
        <v>0</v>
      </c>
      <c r="BB1844">
        <v>0</v>
      </c>
      <c r="BC1844" t="s">
        <v>306</v>
      </c>
      <c r="BD1844" t="s">
        <v>307</v>
      </c>
      <c r="BE1844" t="s">
        <v>117</v>
      </c>
      <c r="BF1844">
        <v>0</v>
      </c>
      <c r="BG1844">
        <v>25</v>
      </c>
      <c r="BH1844">
        <v>20000</v>
      </c>
      <c r="BI1844" t="s">
        <v>308</v>
      </c>
    </row>
    <row r="1845" spans="1:61">
      <c r="A1845" s="164" t="s">
        <v>4452</v>
      </c>
      <c r="B1845" t="s">
        <v>4453</v>
      </c>
      <c r="C1845">
        <v>0</v>
      </c>
      <c r="D1845" t="s">
        <v>304</v>
      </c>
      <c r="E1845">
        <v>0</v>
      </c>
      <c r="F1845" t="s">
        <v>305</v>
      </c>
      <c r="G1845" t="s">
        <v>78</v>
      </c>
      <c r="H1845" t="s">
        <v>79</v>
      </c>
      <c r="I1845" t="s">
        <v>80</v>
      </c>
      <c r="J1845" t="s">
        <v>196</v>
      </c>
      <c r="K1845" t="s">
        <v>13</v>
      </c>
      <c r="L1845" t="s">
        <v>83</v>
      </c>
      <c r="M1845" t="s">
        <v>84</v>
      </c>
      <c r="N1845">
        <v>1</v>
      </c>
      <c r="O1845" t="b">
        <v>1</v>
      </c>
      <c r="P1845">
        <v>0</v>
      </c>
      <c r="BB1845">
        <v>0</v>
      </c>
      <c r="BC1845" t="s">
        <v>306</v>
      </c>
      <c r="BD1845" t="s">
        <v>307</v>
      </c>
      <c r="BE1845" t="s">
        <v>117</v>
      </c>
      <c r="BF1845">
        <v>0</v>
      </c>
      <c r="BG1845">
        <v>25</v>
      </c>
      <c r="BH1845">
        <v>10000</v>
      </c>
      <c r="BI1845" t="s">
        <v>308</v>
      </c>
    </row>
    <row r="1846" spans="1:61">
      <c r="A1846" s="164" t="s">
        <v>4454</v>
      </c>
      <c r="B1846" t="s">
        <v>4455</v>
      </c>
      <c r="C1846">
        <v>0</v>
      </c>
      <c r="D1846" t="s">
        <v>304</v>
      </c>
      <c r="E1846">
        <v>0</v>
      </c>
      <c r="F1846" t="s">
        <v>342</v>
      </c>
      <c r="G1846" t="s">
        <v>78</v>
      </c>
      <c r="H1846" t="s">
        <v>79</v>
      </c>
      <c r="I1846" t="s">
        <v>80</v>
      </c>
      <c r="J1846" t="s">
        <v>196</v>
      </c>
      <c r="K1846" t="s">
        <v>13</v>
      </c>
      <c r="L1846" t="s">
        <v>83</v>
      </c>
      <c r="M1846" t="s">
        <v>84</v>
      </c>
      <c r="N1846">
        <v>1</v>
      </c>
      <c r="O1846" t="b">
        <v>1</v>
      </c>
      <c r="P1846">
        <v>0</v>
      </c>
      <c r="BB1846">
        <v>0</v>
      </c>
      <c r="BC1846" t="s">
        <v>306</v>
      </c>
      <c r="BD1846" t="s">
        <v>343</v>
      </c>
      <c r="BE1846" t="s">
        <v>117</v>
      </c>
      <c r="BF1846">
        <v>0</v>
      </c>
      <c r="BG1846">
        <v>25</v>
      </c>
      <c r="BH1846">
        <v>10000</v>
      </c>
      <c r="BI1846" t="s">
        <v>344</v>
      </c>
    </row>
    <row r="1847" spans="1:61">
      <c r="A1847" s="164" t="s">
        <v>4456</v>
      </c>
      <c r="B1847" t="s">
        <v>4457</v>
      </c>
      <c r="C1847">
        <v>0</v>
      </c>
      <c r="D1847" t="s">
        <v>304</v>
      </c>
      <c r="E1847">
        <v>0</v>
      </c>
      <c r="F1847" t="s">
        <v>269</v>
      </c>
      <c r="G1847" t="s">
        <v>103</v>
      </c>
      <c r="H1847" t="s">
        <v>104</v>
      </c>
      <c r="I1847" t="s">
        <v>80</v>
      </c>
      <c r="J1847" t="s">
        <v>196</v>
      </c>
      <c r="K1847" t="s">
        <v>13</v>
      </c>
      <c r="L1847" t="s">
        <v>83</v>
      </c>
      <c r="M1847" t="s">
        <v>84</v>
      </c>
      <c r="N1847">
        <v>1</v>
      </c>
      <c r="O1847" t="b">
        <v>0</v>
      </c>
      <c r="P1847">
        <v>0</v>
      </c>
      <c r="BB1847">
        <v>0</v>
      </c>
      <c r="BC1847" t="s">
        <v>306</v>
      </c>
      <c r="BD1847" t="s">
        <v>270</v>
      </c>
      <c r="BE1847" t="s">
        <v>117</v>
      </c>
      <c r="BF1847">
        <v>0</v>
      </c>
      <c r="BG1847">
        <v>0</v>
      </c>
      <c r="BH1847">
        <v>0</v>
      </c>
    </row>
    <row r="1848" spans="1:61">
      <c r="A1848" s="164" t="s">
        <v>4458</v>
      </c>
      <c r="B1848" t="s">
        <v>4459</v>
      </c>
      <c r="C1848">
        <v>0</v>
      </c>
      <c r="D1848" t="s">
        <v>304</v>
      </c>
      <c r="E1848">
        <v>0</v>
      </c>
      <c r="F1848" t="s">
        <v>269</v>
      </c>
      <c r="G1848" t="s">
        <v>103</v>
      </c>
      <c r="H1848" t="s">
        <v>104</v>
      </c>
      <c r="I1848" t="s">
        <v>80</v>
      </c>
      <c r="J1848" t="s">
        <v>196</v>
      </c>
      <c r="K1848" t="s">
        <v>13</v>
      </c>
      <c r="L1848" t="s">
        <v>83</v>
      </c>
      <c r="M1848" t="s">
        <v>84</v>
      </c>
      <c r="N1848">
        <v>1</v>
      </c>
      <c r="O1848" t="b">
        <v>0</v>
      </c>
      <c r="P1848">
        <v>0</v>
      </c>
      <c r="BB1848">
        <v>0</v>
      </c>
      <c r="BC1848" t="s">
        <v>306</v>
      </c>
      <c r="BD1848" t="s">
        <v>270</v>
      </c>
      <c r="BE1848" t="s">
        <v>117</v>
      </c>
      <c r="BF1848">
        <v>0</v>
      </c>
      <c r="BG1848">
        <v>0</v>
      </c>
      <c r="BH1848">
        <v>0</v>
      </c>
    </row>
    <row r="1849" spans="1:61">
      <c r="A1849" s="164" t="s">
        <v>4460</v>
      </c>
      <c r="B1849" t="s">
        <v>4461</v>
      </c>
      <c r="C1849">
        <v>0</v>
      </c>
      <c r="D1849" t="s">
        <v>304</v>
      </c>
      <c r="E1849">
        <v>0</v>
      </c>
      <c r="F1849" t="s">
        <v>269</v>
      </c>
      <c r="G1849" t="s">
        <v>103</v>
      </c>
      <c r="H1849" t="s">
        <v>104</v>
      </c>
      <c r="I1849" t="s">
        <v>80</v>
      </c>
      <c r="J1849" t="s">
        <v>196</v>
      </c>
      <c r="K1849" t="s">
        <v>13</v>
      </c>
      <c r="L1849" t="s">
        <v>83</v>
      </c>
      <c r="M1849" t="s">
        <v>84</v>
      </c>
      <c r="N1849">
        <v>1</v>
      </c>
      <c r="O1849" t="b">
        <v>0</v>
      </c>
      <c r="P1849">
        <v>0</v>
      </c>
      <c r="BB1849">
        <v>0</v>
      </c>
      <c r="BC1849" t="s">
        <v>306</v>
      </c>
      <c r="BD1849" t="s">
        <v>270</v>
      </c>
      <c r="BE1849" t="s">
        <v>117</v>
      </c>
      <c r="BF1849">
        <v>0</v>
      </c>
      <c r="BG1849">
        <v>0</v>
      </c>
      <c r="BH1849">
        <v>0</v>
      </c>
    </row>
    <row r="1850" spans="1:61">
      <c r="A1850" s="164" t="s">
        <v>4462</v>
      </c>
      <c r="B1850" t="s">
        <v>4463</v>
      </c>
      <c r="C1850">
        <v>0</v>
      </c>
      <c r="D1850" t="s">
        <v>304</v>
      </c>
      <c r="E1850">
        <v>0</v>
      </c>
      <c r="F1850" t="s">
        <v>589</v>
      </c>
      <c r="G1850" t="s">
        <v>78</v>
      </c>
      <c r="H1850" t="s">
        <v>79</v>
      </c>
      <c r="I1850" t="s">
        <v>80</v>
      </c>
      <c r="J1850" t="s">
        <v>196</v>
      </c>
      <c r="K1850" t="s">
        <v>13</v>
      </c>
      <c r="L1850" t="s">
        <v>83</v>
      </c>
      <c r="M1850" t="s">
        <v>84</v>
      </c>
      <c r="N1850">
        <v>1</v>
      </c>
      <c r="O1850" t="b">
        <v>1</v>
      </c>
      <c r="P1850">
        <v>0</v>
      </c>
      <c r="BB1850">
        <v>0</v>
      </c>
      <c r="BC1850" t="s">
        <v>306</v>
      </c>
      <c r="BD1850" t="s">
        <v>590</v>
      </c>
      <c r="BE1850" t="s">
        <v>117</v>
      </c>
      <c r="BF1850">
        <v>0</v>
      </c>
      <c r="BG1850">
        <v>25</v>
      </c>
      <c r="BH1850">
        <v>10000</v>
      </c>
      <c r="BI1850" t="s">
        <v>344</v>
      </c>
    </row>
    <row r="1851" spans="1:61">
      <c r="A1851" s="164" t="s">
        <v>4464</v>
      </c>
      <c r="B1851" t="s">
        <v>4465</v>
      </c>
      <c r="C1851">
        <v>0</v>
      </c>
      <c r="D1851" t="s">
        <v>304</v>
      </c>
      <c r="E1851">
        <v>0</v>
      </c>
      <c r="F1851" t="s">
        <v>269</v>
      </c>
      <c r="G1851" t="s">
        <v>103</v>
      </c>
      <c r="H1851" t="s">
        <v>104</v>
      </c>
      <c r="I1851" t="s">
        <v>80</v>
      </c>
      <c r="J1851" t="s">
        <v>196</v>
      </c>
      <c r="K1851" t="s">
        <v>13</v>
      </c>
      <c r="L1851" t="s">
        <v>83</v>
      </c>
      <c r="M1851" t="s">
        <v>84</v>
      </c>
      <c r="N1851">
        <v>1</v>
      </c>
      <c r="O1851" t="b">
        <v>0</v>
      </c>
      <c r="P1851">
        <v>0</v>
      </c>
      <c r="BB1851">
        <v>0</v>
      </c>
      <c r="BC1851" t="s">
        <v>306</v>
      </c>
      <c r="BD1851" t="s">
        <v>270</v>
      </c>
      <c r="BE1851" t="s">
        <v>117</v>
      </c>
      <c r="BF1851">
        <v>0</v>
      </c>
      <c r="BG1851">
        <v>0</v>
      </c>
      <c r="BH1851">
        <v>0</v>
      </c>
    </row>
    <row r="1852" spans="1:61">
      <c r="A1852" s="164" t="s">
        <v>4466</v>
      </c>
      <c r="B1852" t="s">
        <v>4467</v>
      </c>
      <c r="C1852">
        <v>0</v>
      </c>
      <c r="D1852" t="s">
        <v>304</v>
      </c>
      <c r="E1852">
        <v>0</v>
      </c>
      <c r="F1852" t="s">
        <v>305</v>
      </c>
      <c r="G1852" t="s">
        <v>78</v>
      </c>
      <c r="H1852" t="s">
        <v>79</v>
      </c>
      <c r="I1852" t="s">
        <v>80</v>
      </c>
      <c r="J1852" t="s">
        <v>196</v>
      </c>
      <c r="K1852" t="s">
        <v>13</v>
      </c>
      <c r="L1852" t="s">
        <v>83</v>
      </c>
      <c r="M1852" t="s">
        <v>84</v>
      </c>
      <c r="N1852">
        <v>1</v>
      </c>
      <c r="O1852" t="b">
        <v>1</v>
      </c>
      <c r="P1852">
        <v>0</v>
      </c>
      <c r="BB1852">
        <v>0</v>
      </c>
      <c r="BC1852" t="s">
        <v>306</v>
      </c>
      <c r="BD1852" t="s">
        <v>307</v>
      </c>
      <c r="BE1852" t="s">
        <v>117</v>
      </c>
      <c r="BF1852">
        <v>0</v>
      </c>
      <c r="BG1852">
        <v>25</v>
      </c>
      <c r="BH1852">
        <v>20000</v>
      </c>
      <c r="BI1852" t="s">
        <v>308</v>
      </c>
    </row>
    <row r="1853" spans="1:61">
      <c r="A1853" s="164" t="s">
        <v>4468</v>
      </c>
      <c r="B1853" t="s">
        <v>4469</v>
      </c>
      <c r="C1853">
        <v>0</v>
      </c>
      <c r="D1853" t="s">
        <v>304</v>
      </c>
      <c r="E1853">
        <v>0</v>
      </c>
      <c r="F1853" t="s">
        <v>305</v>
      </c>
      <c r="G1853" t="s">
        <v>78</v>
      </c>
      <c r="H1853" t="s">
        <v>79</v>
      </c>
      <c r="I1853" t="s">
        <v>80</v>
      </c>
      <c r="J1853" t="s">
        <v>196</v>
      </c>
      <c r="K1853" t="s">
        <v>13</v>
      </c>
      <c r="L1853" t="s">
        <v>83</v>
      </c>
      <c r="M1853" t="s">
        <v>84</v>
      </c>
      <c r="N1853">
        <v>1</v>
      </c>
      <c r="O1853" t="b">
        <v>1</v>
      </c>
      <c r="P1853">
        <v>0</v>
      </c>
      <c r="BB1853">
        <v>0</v>
      </c>
      <c r="BC1853" t="s">
        <v>306</v>
      </c>
      <c r="BD1853" t="s">
        <v>307</v>
      </c>
      <c r="BE1853" t="s">
        <v>117</v>
      </c>
      <c r="BF1853">
        <v>0</v>
      </c>
      <c r="BG1853">
        <v>25</v>
      </c>
      <c r="BH1853">
        <v>10000</v>
      </c>
      <c r="BI1853" t="s">
        <v>308</v>
      </c>
    </row>
    <row r="1854" spans="1:61">
      <c r="A1854" s="164" t="s">
        <v>4470</v>
      </c>
      <c r="B1854" t="s">
        <v>4471</v>
      </c>
      <c r="C1854">
        <v>0</v>
      </c>
      <c r="D1854" t="s">
        <v>304</v>
      </c>
      <c r="E1854">
        <v>0</v>
      </c>
      <c r="F1854" t="s">
        <v>342</v>
      </c>
      <c r="G1854" t="s">
        <v>78</v>
      </c>
      <c r="H1854" t="s">
        <v>79</v>
      </c>
      <c r="I1854" t="s">
        <v>80</v>
      </c>
      <c r="J1854" t="s">
        <v>196</v>
      </c>
      <c r="K1854" t="s">
        <v>13</v>
      </c>
      <c r="L1854" t="s">
        <v>83</v>
      </c>
      <c r="M1854" t="s">
        <v>84</v>
      </c>
      <c r="N1854">
        <v>1</v>
      </c>
      <c r="O1854" t="b">
        <v>1</v>
      </c>
      <c r="P1854">
        <v>0</v>
      </c>
      <c r="BB1854">
        <v>0</v>
      </c>
      <c r="BC1854" t="s">
        <v>306</v>
      </c>
      <c r="BD1854" t="s">
        <v>343</v>
      </c>
      <c r="BE1854" t="s">
        <v>117</v>
      </c>
      <c r="BF1854">
        <v>0</v>
      </c>
      <c r="BG1854">
        <v>25</v>
      </c>
      <c r="BH1854">
        <v>10000</v>
      </c>
      <c r="BI1854" t="s">
        <v>344</v>
      </c>
    </row>
    <row r="1855" spans="1:61">
      <c r="A1855" s="164" t="s">
        <v>4472</v>
      </c>
      <c r="B1855" t="s">
        <v>4473</v>
      </c>
      <c r="C1855">
        <v>0</v>
      </c>
      <c r="D1855" t="s">
        <v>304</v>
      </c>
      <c r="E1855">
        <v>0</v>
      </c>
      <c r="F1855" t="s">
        <v>269</v>
      </c>
      <c r="G1855" t="s">
        <v>103</v>
      </c>
      <c r="H1855" t="s">
        <v>104</v>
      </c>
      <c r="I1855" t="s">
        <v>80</v>
      </c>
      <c r="J1855" t="s">
        <v>196</v>
      </c>
      <c r="K1855" t="s">
        <v>13</v>
      </c>
      <c r="L1855" t="s">
        <v>83</v>
      </c>
      <c r="M1855" t="s">
        <v>84</v>
      </c>
      <c r="N1855">
        <v>1</v>
      </c>
      <c r="O1855" t="b">
        <v>0</v>
      </c>
      <c r="P1855">
        <v>0</v>
      </c>
      <c r="BB1855">
        <v>0</v>
      </c>
      <c r="BC1855" t="s">
        <v>306</v>
      </c>
      <c r="BD1855" t="s">
        <v>270</v>
      </c>
      <c r="BE1855" t="s">
        <v>117</v>
      </c>
      <c r="BF1855">
        <v>0</v>
      </c>
      <c r="BG1855">
        <v>0</v>
      </c>
      <c r="BH1855">
        <v>0</v>
      </c>
    </row>
    <row r="1856" spans="1:61">
      <c r="A1856" s="164" t="s">
        <v>4474</v>
      </c>
      <c r="B1856" t="s">
        <v>4475</v>
      </c>
      <c r="C1856">
        <v>0</v>
      </c>
      <c r="D1856" t="s">
        <v>304</v>
      </c>
      <c r="E1856">
        <v>0</v>
      </c>
      <c r="F1856" t="s">
        <v>269</v>
      </c>
      <c r="G1856" t="s">
        <v>103</v>
      </c>
      <c r="H1856" t="s">
        <v>104</v>
      </c>
      <c r="I1856" t="s">
        <v>80</v>
      </c>
      <c r="J1856" t="s">
        <v>196</v>
      </c>
      <c r="K1856" t="s">
        <v>13</v>
      </c>
      <c r="L1856" t="s">
        <v>83</v>
      </c>
      <c r="M1856" t="s">
        <v>84</v>
      </c>
      <c r="N1856">
        <v>1</v>
      </c>
      <c r="O1856" t="b">
        <v>0</v>
      </c>
      <c r="P1856">
        <v>0</v>
      </c>
      <c r="BB1856">
        <v>0</v>
      </c>
      <c r="BC1856" t="s">
        <v>306</v>
      </c>
      <c r="BD1856" t="s">
        <v>270</v>
      </c>
      <c r="BE1856" t="s">
        <v>117</v>
      </c>
      <c r="BF1856">
        <v>0</v>
      </c>
      <c r="BG1856">
        <v>0</v>
      </c>
      <c r="BH1856">
        <v>0</v>
      </c>
    </row>
    <row r="1857" spans="1:61">
      <c r="A1857" s="164" t="s">
        <v>4476</v>
      </c>
      <c r="B1857" t="s">
        <v>4461</v>
      </c>
      <c r="C1857">
        <v>0</v>
      </c>
      <c r="D1857" t="s">
        <v>304</v>
      </c>
      <c r="E1857">
        <v>0</v>
      </c>
      <c r="F1857" t="s">
        <v>269</v>
      </c>
      <c r="G1857" t="s">
        <v>103</v>
      </c>
      <c r="H1857" t="s">
        <v>104</v>
      </c>
      <c r="I1857" t="s">
        <v>80</v>
      </c>
      <c r="J1857" t="s">
        <v>196</v>
      </c>
      <c r="K1857" t="s">
        <v>13</v>
      </c>
      <c r="L1857" t="s">
        <v>83</v>
      </c>
      <c r="M1857" t="s">
        <v>84</v>
      </c>
      <c r="N1857">
        <v>1</v>
      </c>
      <c r="O1857" t="b">
        <v>0</v>
      </c>
      <c r="P1857">
        <v>0</v>
      </c>
      <c r="BB1857">
        <v>0</v>
      </c>
      <c r="BC1857" t="s">
        <v>306</v>
      </c>
      <c r="BD1857" t="s">
        <v>270</v>
      </c>
      <c r="BE1857" t="s">
        <v>117</v>
      </c>
      <c r="BF1857">
        <v>0</v>
      </c>
      <c r="BG1857">
        <v>0</v>
      </c>
      <c r="BH1857">
        <v>0</v>
      </c>
    </row>
    <row r="1858" spans="1:61">
      <c r="A1858" s="164" t="s">
        <v>4477</v>
      </c>
      <c r="B1858" t="s">
        <v>4478</v>
      </c>
      <c r="C1858">
        <v>0</v>
      </c>
      <c r="D1858" t="s">
        <v>304</v>
      </c>
      <c r="E1858">
        <v>0</v>
      </c>
      <c r="F1858" t="s">
        <v>430</v>
      </c>
      <c r="G1858" t="s">
        <v>78</v>
      </c>
      <c r="H1858" t="s">
        <v>79</v>
      </c>
      <c r="I1858" t="s">
        <v>80</v>
      </c>
      <c r="J1858" t="s">
        <v>196</v>
      </c>
      <c r="K1858" t="s">
        <v>13</v>
      </c>
      <c r="L1858" t="s">
        <v>83</v>
      </c>
      <c r="M1858" t="s">
        <v>606</v>
      </c>
      <c r="N1858">
        <v>1</v>
      </c>
      <c r="O1858" t="b">
        <v>1</v>
      </c>
      <c r="P1858">
        <v>0</v>
      </c>
      <c r="BB1858">
        <v>0</v>
      </c>
      <c r="BC1858" t="s">
        <v>306</v>
      </c>
      <c r="BD1858" t="s">
        <v>431</v>
      </c>
      <c r="BE1858" t="s">
        <v>117</v>
      </c>
      <c r="BF1858">
        <v>0</v>
      </c>
      <c r="BG1858">
        <v>15</v>
      </c>
      <c r="BH1858">
        <v>2</v>
      </c>
      <c r="BI1858" t="s">
        <v>435</v>
      </c>
    </row>
    <row r="1859" spans="1:61">
      <c r="A1859" s="164" t="s">
        <v>4479</v>
      </c>
      <c r="B1859" t="s">
        <v>4480</v>
      </c>
      <c r="C1859">
        <v>0</v>
      </c>
      <c r="D1859" t="s">
        <v>304</v>
      </c>
      <c r="E1859">
        <v>0</v>
      </c>
      <c r="F1859" t="s">
        <v>336</v>
      </c>
      <c r="G1859" t="s">
        <v>78</v>
      </c>
      <c r="H1859" t="s">
        <v>79</v>
      </c>
      <c r="I1859" t="s">
        <v>80</v>
      </c>
      <c r="J1859" t="s">
        <v>196</v>
      </c>
      <c r="K1859" t="s">
        <v>13</v>
      </c>
      <c r="L1859" t="s">
        <v>83</v>
      </c>
      <c r="M1859" t="s">
        <v>84</v>
      </c>
      <c r="N1859">
        <v>1</v>
      </c>
      <c r="O1859" t="b">
        <v>1</v>
      </c>
      <c r="P1859">
        <v>0</v>
      </c>
      <c r="BB1859">
        <v>0</v>
      </c>
      <c r="BC1859" t="s">
        <v>306</v>
      </c>
      <c r="BD1859" t="s">
        <v>337</v>
      </c>
      <c r="BE1859" t="s">
        <v>117</v>
      </c>
      <c r="BF1859">
        <v>0</v>
      </c>
      <c r="BG1859">
        <v>60</v>
      </c>
      <c r="BH1859">
        <v>150000</v>
      </c>
      <c r="BI1859" t="s">
        <v>333</v>
      </c>
    </row>
    <row r="1860" spans="1:61">
      <c r="A1860" s="164" t="s">
        <v>4481</v>
      </c>
      <c r="B1860" t="s">
        <v>4482</v>
      </c>
      <c r="C1860">
        <v>0</v>
      </c>
      <c r="D1860" t="s">
        <v>304</v>
      </c>
      <c r="E1860">
        <v>0</v>
      </c>
      <c r="F1860" t="s">
        <v>357</v>
      </c>
      <c r="G1860" t="s">
        <v>78</v>
      </c>
      <c r="H1860" t="s">
        <v>79</v>
      </c>
      <c r="I1860" t="s">
        <v>80</v>
      </c>
      <c r="J1860" t="s">
        <v>196</v>
      </c>
      <c r="K1860" t="s">
        <v>13</v>
      </c>
      <c r="L1860" t="s">
        <v>83</v>
      </c>
      <c r="M1860" t="s">
        <v>84</v>
      </c>
      <c r="N1860">
        <v>1</v>
      </c>
      <c r="O1860" t="b">
        <v>1</v>
      </c>
      <c r="P1860">
        <v>0</v>
      </c>
      <c r="BB1860">
        <v>0</v>
      </c>
      <c r="BC1860" t="s">
        <v>306</v>
      </c>
      <c r="BD1860" t="s">
        <v>358</v>
      </c>
      <c r="BE1860" t="s">
        <v>117</v>
      </c>
      <c r="BF1860">
        <v>0</v>
      </c>
      <c r="BG1860">
        <v>25</v>
      </c>
      <c r="BH1860">
        <v>500</v>
      </c>
      <c r="BI1860" t="s">
        <v>359</v>
      </c>
    </row>
    <row r="1861" spans="1:61">
      <c r="A1861" s="164" t="s">
        <v>4483</v>
      </c>
      <c r="B1861" t="s">
        <v>4484</v>
      </c>
      <c r="C1861">
        <v>0</v>
      </c>
      <c r="D1861" t="s">
        <v>304</v>
      </c>
      <c r="E1861">
        <v>0</v>
      </c>
      <c r="F1861" t="s">
        <v>349</v>
      </c>
      <c r="G1861" t="s">
        <v>78</v>
      </c>
      <c r="H1861" t="s">
        <v>79</v>
      </c>
      <c r="I1861" t="s">
        <v>80</v>
      </c>
      <c r="J1861" t="s">
        <v>196</v>
      </c>
      <c r="K1861" t="s">
        <v>13</v>
      </c>
      <c r="L1861" t="s">
        <v>83</v>
      </c>
      <c r="M1861" t="s">
        <v>84</v>
      </c>
      <c r="N1861">
        <v>1</v>
      </c>
      <c r="O1861" t="b">
        <v>1</v>
      </c>
      <c r="P1861">
        <v>0</v>
      </c>
      <c r="BB1861">
        <v>0</v>
      </c>
      <c r="BC1861" t="s">
        <v>306</v>
      </c>
      <c r="BD1861" t="s">
        <v>350</v>
      </c>
      <c r="BE1861" t="s">
        <v>117</v>
      </c>
      <c r="BF1861">
        <v>0</v>
      </c>
      <c r="BG1861">
        <v>25</v>
      </c>
      <c r="BH1861">
        <v>10000</v>
      </c>
      <c r="BI1861" t="s">
        <v>344</v>
      </c>
    </row>
    <row r="1862" spans="1:61">
      <c r="A1862" s="164" t="s">
        <v>4485</v>
      </c>
      <c r="B1862" t="s">
        <v>4486</v>
      </c>
      <c r="C1862">
        <v>0</v>
      </c>
      <c r="D1862" t="s">
        <v>304</v>
      </c>
      <c r="E1862">
        <v>0</v>
      </c>
      <c r="F1862" t="s">
        <v>670</v>
      </c>
      <c r="G1862" t="s">
        <v>78</v>
      </c>
      <c r="H1862" t="s">
        <v>79</v>
      </c>
      <c r="I1862" t="s">
        <v>80</v>
      </c>
      <c r="J1862" t="s">
        <v>196</v>
      </c>
      <c r="K1862" t="s">
        <v>13</v>
      </c>
      <c r="L1862" t="s">
        <v>83</v>
      </c>
      <c r="M1862" t="s">
        <v>84</v>
      </c>
      <c r="N1862">
        <v>1</v>
      </c>
      <c r="O1862" t="b">
        <v>1</v>
      </c>
      <c r="P1862">
        <v>0</v>
      </c>
      <c r="BB1862">
        <v>0</v>
      </c>
      <c r="BC1862" t="s">
        <v>306</v>
      </c>
      <c r="BD1862" t="s">
        <v>671</v>
      </c>
      <c r="BE1862" t="s">
        <v>117</v>
      </c>
      <c r="BF1862">
        <v>0</v>
      </c>
      <c r="BG1862">
        <v>25</v>
      </c>
      <c r="BH1862">
        <v>700000</v>
      </c>
      <c r="BI1862" t="s">
        <v>3450</v>
      </c>
    </row>
    <row r="1863" spans="1:61">
      <c r="A1863" s="164" t="s">
        <v>4487</v>
      </c>
      <c r="B1863" t="s">
        <v>4488</v>
      </c>
      <c r="C1863">
        <v>0</v>
      </c>
      <c r="D1863" t="s">
        <v>304</v>
      </c>
      <c r="E1863">
        <v>0</v>
      </c>
      <c r="F1863" t="s">
        <v>589</v>
      </c>
      <c r="G1863" t="s">
        <v>78</v>
      </c>
      <c r="H1863" t="s">
        <v>79</v>
      </c>
      <c r="I1863" t="s">
        <v>80</v>
      </c>
      <c r="J1863" t="s">
        <v>196</v>
      </c>
      <c r="K1863" t="s">
        <v>13</v>
      </c>
      <c r="L1863" t="s">
        <v>83</v>
      </c>
      <c r="M1863" t="s">
        <v>84</v>
      </c>
      <c r="N1863">
        <v>1</v>
      </c>
      <c r="O1863" t="b">
        <v>1</v>
      </c>
      <c r="P1863">
        <v>0</v>
      </c>
      <c r="BB1863">
        <v>0</v>
      </c>
      <c r="BC1863" t="s">
        <v>306</v>
      </c>
      <c r="BD1863" t="s">
        <v>590</v>
      </c>
      <c r="BE1863" t="s">
        <v>117</v>
      </c>
      <c r="BF1863">
        <v>0</v>
      </c>
      <c r="BG1863">
        <v>25</v>
      </c>
      <c r="BH1863">
        <v>10000</v>
      </c>
      <c r="BI1863" t="s">
        <v>344</v>
      </c>
    </row>
    <row r="1864" spans="1:61">
      <c r="A1864" s="164" t="s">
        <v>4489</v>
      </c>
      <c r="B1864" t="s">
        <v>4490</v>
      </c>
      <c r="C1864">
        <v>0</v>
      </c>
      <c r="D1864" t="s">
        <v>304</v>
      </c>
      <c r="E1864">
        <v>0</v>
      </c>
      <c r="F1864" t="s">
        <v>336</v>
      </c>
      <c r="G1864" t="s">
        <v>78</v>
      </c>
      <c r="H1864" t="s">
        <v>79</v>
      </c>
      <c r="I1864" t="s">
        <v>80</v>
      </c>
      <c r="J1864" t="s">
        <v>196</v>
      </c>
      <c r="K1864" t="s">
        <v>13</v>
      </c>
      <c r="L1864" t="s">
        <v>83</v>
      </c>
      <c r="M1864" t="s">
        <v>84</v>
      </c>
      <c r="N1864">
        <v>1</v>
      </c>
      <c r="O1864" t="b">
        <v>1</v>
      </c>
      <c r="P1864">
        <v>0</v>
      </c>
      <c r="BB1864">
        <v>0</v>
      </c>
      <c r="BC1864" t="s">
        <v>306</v>
      </c>
      <c r="BD1864" t="s">
        <v>337</v>
      </c>
      <c r="BE1864" t="s">
        <v>117</v>
      </c>
      <c r="BF1864">
        <v>0</v>
      </c>
      <c r="BG1864">
        <v>60</v>
      </c>
      <c r="BH1864">
        <v>150000</v>
      </c>
      <c r="BI1864" t="s">
        <v>333</v>
      </c>
    </row>
    <row r="1865" spans="1:61">
      <c r="A1865" s="164" t="s">
        <v>4491</v>
      </c>
      <c r="B1865" t="s">
        <v>4492</v>
      </c>
      <c r="C1865">
        <v>0</v>
      </c>
      <c r="D1865" t="s">
        <v>304</v>
      </c>
      <c r="E1865">
        <v>0</v>
      </c>
      <c r="F1865" t="s">
        <v>1364</v>
      </c>
      <c r="G1865" t="s">
        <v>78</v>
      </c>
      <c r="H1865" t="s">
        <v>79</v>
      </c>
      <c r="I1865" t="s">
        <v>80</v>
      </c>
      <c r="J1865" t="s">
        <v>196</v>
      </c>
      <c r="K1865" t="s">
        <v>13</v>
      </c>
      <c r="L1865" t="s">
        <v>83</v>
      </c>
      <c r="M1865" t="s">
        <v>84</v>
      </c>
      <c r="N1865">
        <v>1</v>
      </c>
      <c r="O1865" t="b">
        <v>1</v>
      </c>
      <c r="P1865">
        <v>0</v>
      </c>
      <c r="BB1865">
        <v>0</v>
      </c>
      <c r="BC1865" t="s">
        <v>306</v>
      </c>
      <c r="BD1865" t="s">
        <v>1365</v>
      </c>
      <c r="BE1865" t="s">
        <v>117</v>
      </c>
      <c r="BF1865">
        <v>0</v>
      </c>
      <c r="BG1865">
        <v>45</v>
      </c>
      <c r="BH1865">
        <v>1000</v>
      </c>
      <c r="BI1865" t="s">
        <v>4493</v>
      </c>
    </row>
    <row r="1866" spans="1:61">
      <c r="A1866" s="164" t="s">
        <v>4494</v>
      </c>
      <c r="B1866" t="s">
        <v>4495</v>
      </c>
      <c r="C1866">
        <v>0</v>
      </c>
      <c r="D1866" t="s">
        <v>304</v>
      </c>
      <c r="E1866">
        <v>0</v>
      </c>
      <c r="F1866" t="s">
        <v>313</v>
      </c>
      <c r="G1866" t="s">
        <v>78</v>
      </c>
      <c r="H1866" t="s">
        <v>79</v>
      </c>
      <c r="I1866" t="s">
        <v>80</v>
      </c>
      <c r="J1866" t="s">
        <v>196</v>
      </c>
      <c r="K1866" t="s">
        <v>13</v>
      </c>
      <c r="L1866" t="s">
        <v>83</v>
      </c>
      <c r="M1866" t="s">
        <v>205</v>
      </c>
      <c r="N1866">
        <v>1</v>
      </c>
      <c r="O1866" t="b">
        <v>1</v>
      </c>
      <c r="P1866">
        <v>0</v>
      </c>
      <c r="BB1866">
        <v>0</v>
      </c>
      <c r="BC1866" t="s">
        <v>306</v>
      </c>
      <c r="BD1866" t="s">
        <v>314</v>
      </c>
      <c r="BE1866" t="s">
        <v>117</v>
      </c>
      <c r="BF1866">
        <v>0</v>
      </c>
      <c r="BG1866">
        <v>15</v>
      </c>
      <c r="BH1866">
        <v>100</v>
      </c>
      <c r="BI1866" t="s">
        <v>2777</v>
      </c>
    </row>
    <row r="1867" spans="1:61">
      <c r="A1867" s="164" t="s">
        <v>4496</v>
      </c>
      <c r="B1867" t="s">
        <v>4497</v>
      </c>
      <c r="C1867">
        <v>0</v>
      </c>
      <c r="D1867" t="s">
        <v>304</v>
      </c>
      <c r="E1867">
        <v>0</v>
      </c>
      <c r="F1867" t="s">
        <v>313</v>
      </c>
      <c r="G1867" t="s">
        <v>78</v>
      </c>
      <c r="H1867" t="s">
        <v>79</v>
      </c>
      <c r="I1867" t="s">
        <v>80</v>
      </c>
      <c r="J1867" t="s">
        <v>196</v>
      </c>
      <c r="K1867" t="s">
        <v>13</v>
      </c>
      <c r="L1867" t="s">
        <v>83</v>
      </c>
      <c r="M1867" t="s">
        <v>205</v>
      </c>
      <c r="N1867">
        <v>1</v>
      </c>
      <c r="O1867" t="b">
        <v>1</v>
      </c>
      <c r="P1867">
        <v>0</v>
      </c>
      <c r="BB1867">
        <v>0</v>
      </c>
      <c r="BC1867" t="s">
        <v>306</v>
      </c>
      <c r="BD1867" t="s">
        <v>314</v>
      </c>
      <c r="BE1867" t="s">
        <v>117</v>
      </c>
      <c r="BF1867">
        <v>0</v>
      </c>
      <c r="BG1867">
        <v>45</v>
      </c>
      <c r="BH1867">
        <v>300</v>
      </c>
      <c r="BI1867" t="s">
        <v>315</v>
      </c>
    </row>
    <row r="1868" spans="1:61">
      <c r="A1868" s="164" t="s">
        <v>4498</v>
      </c>
      <c r="B1868" t="s">
        <v>4499</v>
      </c>
      <c r="C1868">
        <v>0</v>
      </c>
      <c r="D1868" t="s">
        <v>304</v>
      </c>
      <c r="E1868">
        <v>0</v>
      </c>
      <c r="F1868" t="s">
        <v>2782</v>
      </c>
      <c r="G1868" t="s">
        <v>78</v>
      </c>
      <c r="H1868" t="s">
        <v>79</v>
      </c>
      <c r="I1868" t="s">
        <v>80</v>
      </c>
      <c r="J1868" t="s">
        <v>196</v>
      </c>
      <c r="K1868" t="s">
        <v>13</v>
      </c>
      <c r="L1868" t="s">
        <v>83</v>
      </c>
      <c r="M1868" t="s">
        <v>84</v>
      </c>
      <c r="N1868">
        <v>1</v>
      </c>
      <c r="O1868" t="b">
        <v>1</v>
      </c>
      <c r="P1868">
        <v>0</v>
      </c>
      <c r="BB1868">
        <v>0</v>
      </c>
      <c r="BC1868" t="s">
        <v>306</v>
      </c>
      <c r="BD1868" t="s">
        <v>2783</v>
      </c>
      <c r="BE1868" t="s">
        <v>117</v>
      </c>
      <c r="BF1868">
        <v>0</v>
      </c>
      <c r="BG1868">
        <v>25</v>
      </c>
      <c r="BH1868">
        <v>30000</v>
      </c>
      <c r="BI1868" t="s">
        <v>328</v>
      </c>
    </row>
    <row r="1869" spans="1:61">
      <c r="A1869" s="164" t="s">
        <v>4500</v>
      </c>
      <c r="B1869" t="s">
        <v>4501</v>
      </c>
      <c r="C1869">
        <v>0</v>
      </c>
      <c r="D1869" t="s">
        <v>479</v>
      </c>
      <c r="E1869">
        <v>0</v>
      </c>
      <c r="F1869" t="s">
        <v>480</v>
      </c>
      <c r="G1869" t="s">
        <v>103</v>
      </c>
      <c r="H1869" t="s">
        <v>104</v>
      </c>
      <c r="I1869" t="s">
        <v>80</v>
      </c>
      <c r="J1869" t="s">
        <v>467</v>
      </c>
      <c r="K1869" t="s">
        <v>468</v>
      </c>
      <c r="L1869" t="s">
        <v>111</v>
      </c>
      <c r="M1869" t="s">
        <v>84</v>
      </c>
      <c r="N1869">
        <v>0.6</v>
      </c>
      <c r="O1869" t="b">
        <v>0</v>
      </c>
      <c r="P1869">
        <v>45</v>
      </c>
      <c r="Q1869" t="s">
        <v>479</v>
      </c>
      <c r="S1869">
        <v>0.6</v>
      </c>
      <c r="T1869">
        <v>1</v>
      </c>
      <c r="V1869" t="s">
        <v>87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H1869">
        <v>0</v>
      </c>
      <c r="AI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Y1869">
        <v>0</v>
      </c>
      <c r="AZ1869">
        <v>8</v>
      </c>
      <c r="BA1869" t="s">
        <v>138</v>
      </c>
      <c r="BB1869">
        <v>0</v>
      </c>
      <c r="BC1869" t="s">
        <v>95</v>
      </c>
      <c r="BD1869" t="s">
        <v>469</v>
      </c>
      <c r="BE1869" t="s">
        <v>97</v>
      </c>
      <c r="BF1869">
        <v>0</v>
      </c>
      <c r="BG1869">
        <v>0</v>
      </c>
      <c r="BH1869">
        <v>0</v>
      </c>
      <c r="BI1869" t="s">
        <v>98</v>
      </c>
    </row>
    <row r="1870" spans="1:61">
      <c r="A1870" s="164" t="s">
        <v>4502</v>
      </c>
      <c r="B1870" t="s">
        <v>4503</v>
      </c>
      <c r="C1870">
        <v>0</v>
      </c>
      <c r="D1870" t="s">
        <v>479</v>
      </c>
      <c r="E1870">
        <v>0</v>
      </c>
      <c r="F1870" t="s">
        <v>480</v>
      </c>
      <c r="G1870" t="s">
        <v>103</v>
      </c>
      <c r="H1870" t="s">
        <v>104</v>
      </c>
      <c r="I1870" t="s">
        <v>80</v>
      </c>
      <c r="J1870" t="s">
        <v>467</v>
      </c>
      <c r="K1870" t="s">
        <v>468</v>
      </c>
      <c r="L1870" t="s">
        <v>111</v>
      </c>
      <c r="M1870" t="s">
        <v>84</v>
      </c>
      <c r="N1870">
        <v>0.9</v>
      </c>
      <c r="O1870" t="b">
        <v>0</v>
      </c>
      <c r="P1870">
        <v>45</v>
      </c>
      <c r="Q1870" t="s">
        <v>479</v>
      </c>
      <c r="S1870">
        <v>0.9</v>
      </c>
      <c r="T1870">
        <v>1</v>
      </c>
      <c r="V1870" t="s">
        <v>87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H1870">
        <v>0</v>
      </c>
      <c r="AI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Y1870">
        <v>0</v>
      </c>
      <c r="AZ1870">
        <v>0</v>
      </c>
      <c r="BA1870" t="s">
        <v>138</v>
      </c>
      <c r="BB1870">
        <v>0</v>
      </c>
      <c r="BC1870" t="s">
        <v>95</v>
      </c>
      <c r="BD1870" t="s">
        <v>469</v>
      </c>
      <c r="BE1870" t="s">
        <v>97</v>
      </c>
      <c r="BF1870">
        <v>0</v>
      </c>
      <c r="BG1870">
        <v>0</v>
      </c>
      <c r="BH1870">
        <v>0</v>
      </c>
      <c r="BI1870" t="s">
        <v>98</v>
      </c>
    </row>
    <row r="1871" spans="1:61">
      <c r="A1871" s="164" t="s">
        <v>4504</v>
      </c>
      <c r="B1871" t="s">
        <v>4505</v>
      </c>
      <c r="C1871">
        <v>0</v>
      </c>
      <c r="D1871" t="s">
        <v>479</v>
      </c>
      <c r="E1871">
        <v>0</v>
      </c>
      <c r="F1871" t="s">
        <v>480</v>
      </c>
      <c r="G1871" t="s">
        <v>103</v>
      </c>
      <c r="H1871" t="s">
        <v>104</v>
      </c>
      <c r="I1871" t="s">
        <v>80</v>
      </c>
      <c r="J1871" t="s">
        <v>467</v>
      </c>
      <c r="K1871" t="s">
        <v>468</v>
      </c>
      <c r="L1871" t="s">
        <v>111</v>
      </c>
      <c r="M1871" t="s">
        <v>84</v>
      </c>
      <c r="N1871">
        <v>0.75</v>
      </c>
      <c r="O1871" t="b">
        <v>0</v>
      </c>
      <c r="P1871">
        <v>45</v>
      </c>
      <c r="Q1871" t="s">
        <v>479</v>
      </c>
      <c r="S1871">
        <v>0</v>
      </c>
      <c r="T1871">
        <v>1</v>
      </c>
      <c r="U1871" s="36">
        <v>1.25186</v>
      </c>
      <c r="V1871" t="s">
        <v>468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G1871" t="s">
        <v>129</v>
      </c>
      <c r="AH1871">
        <v>0</v>
      </c>
      <c r="AI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Y1871">
        <v>0</v>
      </c>
      <c r="AZ1871">
        <v>0</v>
      </c>
      <c r="BA1871" t="s">
        <v>138</v>
      </c>
      <c r="BB1871">
        <v>0</v>
      </c>
      <c r="BC1871" t="s">
        <v>95</v>
      </c>
      <c r="BD1871" t="s">
        <v>469</v>
      </c>
      <c r="BE1871" t="s">
        <v>97</v>
      </c>
      <c r="BF1871">
        <v>0</v>
      </c>
      <c r="BG1871">
        <v>0</v>
      </c>
      <c r="BH1871">
        <v>0</v>
      </c>
      <c r="BI1871" t="s">
        <v>98</v>
      </c>
    </row>
    <row r="1872" spans="1:61">
      <c r="A1872" s="164" t="s">
        <v>4506</v>
      </c>
      <c r="B1872" t="s">
        <v>4507</v>
      </c>
      <c r="C1872">
        <v>0</v>
      </c>
      <c r="D1872" t="s">
        <v>479</v>
      </c>
      <c r="E1872">
        <v>0</v>
      </c>
      <c r="F1872" t="s">
        <v>480</v>
      </c>
      <c r="G1872" t="s">
        <v>103</v>
      </c>
      <c r="H1872" t="s">
        <v>104</v>
      </c>
      <c r="I1872" t="s">
        <v>80</v>
      </c>
      <c r="J1872" t="s">
        <v>467</v>
      </c>
      <c r="K1872" t="s">
        <v>468</v>
      </c>
      <c r="L1872" t="s">
        <v>111</v>
      </c>
      <c r="M1872" t="s">
        <v>84</v>
      </c>
      <c r="N1872">
        <v>0.45</v>
      </c>
      <c r="O1872" t="b">
        <v>0</v>
      </c>
      <c r="P1872">
        <v>45</v>
      </c>
      <c r="Q1872" t="s">
        <v>479</v>
      </c>
      <c r="S1872">
        <v>0.45</v>
      </c>
      <c r="T1872">
        <v>1</v>
      </c>
      <c r="V1872" t="s">
        <v>87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H1872">
        <v>0</v>
      </c>
      <c r="AI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Y1872">
        <v>0</v>
      </c>
      <c r="AZ1872">
        <v>3</v>
      </c>
      <c r="BA1872" t="s">
        <v>138</v>
      </c>
      <c r="BB1872">
        <v>0</v>
      </c>
      <c r="BC1872" t="s">
        <v>95</v>
      </c>
      <c r="BD1872" t="s">
        <v>469</v>
      </c>
      <c r="BE1872" t="s">
        <v>97</v>
      </c>
      <c r="BF1872">
        <v>0</v>
      </c>
      <c r="BG1872">
        <v>0</v>
      </c>
      <c r="BH1872">
        <v>0</v>
      </c>
      <c r="BI1872" t="s">
        <v>98</v>
      </c>
    </row>
    <row r="1873" spans="1:61">
      <c r="A1873" s="164" t="s">
        <v>4508</v>
      </c>
      <c r="B1873" t="s">
        <v>4509</v>
      </c>
      <c r="C1873">
        <v>0</v>
      </c>
      <c r="D1873" t="s">
        <v>175</v>
      </c>
      <c r="E1873">
        <v>0</v>
      </c>
      <c r="F1873" t="s">
        <v>508</v>
      </c>
      <c r="G1873" t="s">
        <v>78</v>
      </c>
      <c r="H1873" t="s">
        <v>79</v>
      </c>
      <c r="I1873" t="s">
        <v>80</v>
      </c>
      <c r="J1873" t="s">
        <v>163</v>
      </c>
      <c r="K1873" t="s">
        <v>82</v>
      </c>
      <c r="L1873" t="s">
        <v>83</v>
      </c>
      <c r="M1873" t="s">
        <v>84</v>
      </c>
      <c r="N1873">
        <v>0.9</v>
      </c>
      <c r="O1873" t="b">
        <v>1</v>
      </c>
      <c r="P1873">
        <v>40</v>
      </c>
      <c r="Q1873" t="s">
        <v>137</v>
      </c>
      <c r="R1873" t="s">
        <v>164</v>
      </c>
      <c r="S1873">
        <v>0.9</v>
      </c>
      <c r="T1873">
        <v>1</v>
      </c>
      <c r="U1873" s="36">
        <v>4.1744400000000006</v>
      </c>
      <c r="V1873" t="s">
        <v>165</v>
      </c>
      <c r="W1873">
        <v>36</v>
      </c>
      <c r="X1873">
        <v>0</v>
      </c>
      <c r="Y1873">
        <v>42</v>
      </c>
      <c r="Z1873">
        <v>0</v>
      </c>
      <c r="AA1873">
        <v>35</v>
      </c>
      <c r="AB1873">
        <v>0</v>
      </c>
      <c r="AC1873">
        <v>0</v>
      </c>
      <c r="AD1873">
        <v>800</v>
      </c>
      <c r="AE1873" t="s">
        <v>166</v>
      </c>
      <c r="AF1873" t="s">
        <v>508</v>
      </c>
      <c r="AG1873" t="s">
        <v>129</v>
      </c>
      <c r="AH1873">
        <v>0</v>
      </c>
      <c r="AI1873">
        <v>7.8</v>
      </c>
      <c r="AJ1873" t="s">
        <v>167</v>
      </c>
      <c r="AM1873">
        <v>8.3000000000000007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 t="s">
        <v>4510</v>
      </c>
      <c r="AY1873">
        <v>6.8033000000000001</v>
      </c>
      <c r="AZ1873">
        <v>0</v>
      </c>
      <c r="BA1873" t="s">
        <v>138</v>
      </c>
      <c r="BB1873">
        <v>8.8000000000000007</v>
      </c>
      <c r="BC1873" t="s">
        <v>95</v>
      </c>
      <c r="BD1873" t="s">
        <v>96</v>
      </c>
      <c r="BE1873" t="s">
        <v>97</v>
      </c>
      <c r="BF1873">
        <v>1</v>
      </c>
      <c r="BG1873">
        <v>0</v>
      </c>
      <c r="BH1873">
        <v>0</v>
      </c>
      <c r="BI1873" t="s">
        <v>98</v>
      </c>
    </row>
    <row r="1874" spans="1:61">
      <c r="A1874" s="164" t="s">
        <v>4511</v>
      </c>
      <c r="B1874" t="s">
        <v>4512</v>
      </c>
      <c r="C1874">
        <v>0</v>
      </c>
      <c r="D1874" t="s">
        <v>486</v>
      </c>
      <c r="E1874">
        <v>0</v>
      </c>
      <c r="F1874" t="s">
        <v>1743</v>
      </c>
      <c r="G1874" t="s">
        <v>487</v>
      </c>
      <c r="H1874" t="s">
        <v>117</v>
      </c>
      <c r="I1874" t="s">
        <v>80</v>
      </c>
      <c r="J1874" t="s">
        <v>163</v>
      </c>
      <c r="K1874" t="s">
        <v>82</v>
      </c>
      <c r="L1874" t="s">
        <v>83</v>
      </c>
      <c r="M1874" t="s">
        <v>84</v>
      </c>
      <c r="N1874">
        <v>0.25</v>
      </c>
      <c r="O1874" t="b">
        <v>1</v>
      </c>
      <c r="P1874">
        <v>180</v>
      </c>
      <c r="Q1874" t="s">
        <v>137</v>
      </c>
      <c r="S1874">
        <v>0.04</v>
      </c>
      <c r="T1874">
        <v>1</v>
      </c>
      <c r="V1874" t="s">
        <v>165</v>
      </c>
      <c r="X1874">
        <v>0</v>
      </c>
      <c r="Z1874">
        <v>6.6666666666666671E-3</v>
      </c>
      <c r="AB1874">
        <v>0</v>
      </c>
      <c r="AC1874">
        <v>0</v>
      </c>
      <c r="AE1874" t="s">
        <v>129</v>
      </c>
      <c r="AF1874" t="s">
        <v>1743</v>
      </c>
      <c r="AG1874" t="s">
        <v>129</v>
      </c>
      <c r="AH1874">
        <v>0</v>
      </c>
      <c r="AI1874">
        <v>0</v>
      </c>
      <c r="AJ1874" t="s">
        <v>177</v>
      </c>
      <c r="AM1874">
        <v>13.87</v>
      </c>
      <c r="AN1874">
        <v>0</v>
      </c>
      <c r="AO1874">
        <v>0</v>
      </c>
      <c r="AP1874">
        <v>0</v>
      </c>
      <c r="AQ1874">
        <v>2.8571428571428564E-2</v>
      </c>
      <c r="AR1874">
        <v>0</v>
      </c>
      <c r="AS1874">
        <v>0</v>
      </c>
      <c r="AT1874">
        <v>1.0285714285714285</v>
      </c>
      <c r="AU1874">
        <v>0</v>
      </c>
      <c r="AV1874">
        <v>0</v>
      </c>
      <c r="AW1874">
        <v>0</v>
      </c>
      <c r="AX1874" t="s">
        <v>1744</v>
      </c>
      <c r="AY1874">
        <v>2.48</v>
      </c>
      <c r="AZ1874">
        <v>0</v>
      </c>
      <c r="BA1874" t="s">
        <v>138</v>
      </c>
      <c r="BB1874">
        <v>0</v>
      </c>
      <c r="BC1874" t="s">
        <v>488</v>
      </c>
      <c r="BD1874" t="s">
        <v>489</v>
      </c>
      <c r="BE1874" t="s">
        <v>97</v>
      </c>
      <c r="BF1874">
        <v>1</v>
      </c>
      <c r="BG1874">
        <v>0</v>
      </c>
      <c r="BH1874">
        <v>0</v>
      </c>
      <c r="BI1874" t="s">
        <v>98</v>
      </c>
    </row>
    <row r="1875" spans="1:61">
      <c r="A1875" s="164" t="s">
        <v>4513</v>
      </c>
      <c r="B1875" t="s">
        <v>4514</v>
      </c>
      <c r="C1875">
        <v>0</v>
      </c>
      <c r="D1875" t="s">
        <v>175</v>
      </c>
      <c r="E1875">
        <v>0</v>
      </c>
      <c r="F1875" t="s">
        <v>508</v>
      </c>
      <c r="G1875" t="s">
        <v>78</v>
      </c>
      <c r="H1875" t="s">
        <v>79</v>
      </c>
      <c r="I1875" t="s">
        <v>80</v>
      </c>
      <c r="J1875" t="s">
        <v>163</v>
      </c>
      <c r="K1875" t="s">
        <v>82</v>
      </c>
      <c r="L1875" t="s">
        <v>83</v>
      </c>
      <c r="M1875" t="s">
        <v>84</v>
      </c>
      <c r="N1875">
        <v>0.5</v>
      </c>
      <c r="O1875" t="b">
        <v>1</v>
      </c>
      <c r="P1875">
        <v>40</v>
      </c>
      <c r="Q1875" t="s">
        <v>137</v>
      </c>
      <c r="R1875" t="s">
        <v>164</v>
      </c>
      <c r="S1875">
        <v>0.5</v>
      </c>
      <c r="T1875">
        <v>1</v>
      </c>
      <c r="U1875" s="36">
        <v>2.3418549999999998</v>
      </c>
      <c r="V1875" t="s">
        <v>165</v>
      </c>
      <c r="W1875">
        <v>55</v>
      </c>
      <c r="X1875">
        <v>0</v>
      </c>
      <c r="Y1875">
        <v>45</v>
      </c>
      <c r="Z1875">
        <v>0</v>
      </c>
      <c r="AA1875">
        <v>35</v>
      </c>
      <c r="AB1875">
        <v>0</v>
      </c>
      <c r="AC1875">
        <v>0</v>
      </c>
      <c r="AD1875">
        <v>1500</v>
      </c>
      <c r="AE1875" t="s">
        <v>166</v>
      </c>
      <c r="AF1875" t="s">
        <v>508</v>
      </c>
      <c r="AG1875" t="s">
        <v>129</v>
      </c>
      <c r="AH1875">
        <v>0</v>
      </c>
      <c r="AI1875">
        <v>7.8</v>
      </c>
      <c r="AJ1875" t="s">
        <v>167</v>
      </c>
      <c r="AM1875">
        <v>8.3000000000000007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 t="s">
        <v>4515</v>
      </c>
      <c r="AY1875">
        <v>4.2507999999999999</v>
      </c>
      <c r="AZ1875">
        <v>7</v>
      </c>
      <c r="BA1875" t="s">
        <v>138</v>
      </c>
      <c r="BB1875">
        <v>5.23</v>
      </c>
      <c r="BC1875" t="s">
        <v>95</v>
      </c>
      <c r="BD1875" t="s">
        <v>96</v>
      </c>
      <c r="BE1875" t="s">
        <v>97</v>
      </c>
      <c r="BF1875">
        <v>1</v>
      </c>
      <c r="BG1875">
        <v>0</v>
      </c>
      <c r="BH1875">
        <v>0</v>
      </c>
      <c r="BI1875" t="s">
        <v>98</v>
      </c>
    </row>
    <row r="1876" spans="1:61">
      <c r="A1876" s="164" t="s">
        <v>4516</v>
      </c>
      <c r="B1876" t="s">
        <v>4517</v>
      </c>
      <c r="C1876">
        <v>0</v>
      </c>
      <c r="D1876" t="s">
        <v>2592</v>
      </c>
      <c r="E1876">
        <v>0</v>
      </c>
      <c r="F1876" t="s">
        <v>2882</v>
      </c>
      <c r="G1876" t="s">
        <v>78</v>
      </c>
      <c r="H1876" t="s">
        <v>79</v>
      </c>
      <c r="I1876" t="s">
        <v>80</v>
      </c>
      <c r="J1876" t="s">
        <v>163</v>
      </c>
      <c r="K1876" t="s">
        <v>82</v>
      </c>
      <c r="L1876" t="s">
        <v>83</v>
      </c>
      <c r="M1876" t="s">
        <v>84</v>
      </c>
      <c r="N1876">
        <v>0.25</v>
      </c>
      <c r="O1876" t="b">
        <v>1</v>
      </c>
      <c r="P1876">
        <v>180</v>
      </c>
      <c r="Q1876" t="s">
        <v>188</v>
      </c>
      <c r="S1876">
        <v>0.25</v>
      </c>
      <c r="T1876">
        <v>1</v>
      </c>
      <c r="U1876" s="36">
        <v>0.69541500000000001</v>
      </c>
      <c r="V1876" t="s">
        <v>189</v>
      </c>
      <c r="W1876">
        <v>24</v>
      </c>
      <c r="X1876">
        <v>0</v>
      </c>
      <c r="Y1876">
        <v>54</v>
      </c>
      <c r="Z1876">
        <v>1.3888888888888888E-2</v>
      </c>
      <c r="AA1876">
        <v>35</v>
      </c>
      <c r="AB1876">
        <v>0</v>
      </c>
      <c r="AC1876">
        <v>0</v>
      </c>
      <c r="AD1876">
        <v>2000</v>
      </c>
      <c r="AE1876" t="s">
        <v>677</v>
      </c>
      <c r="AF1876" t="s">
        <v>2882</v>
      </c>
      <c r="AG1876" t="s">
        <v>129</v>
      </c>
      <c r="AH1876">
        <v>0</v>
      </c>
      <c r="AI1876">
        <v>2.1</v>
      </c>
      <c r="AJ1876" t="s">
        <v>167</v>
      </c>
      <c r="AM1876">
        <v>2.2000000000000002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 t="s">
        <v>4518</v>
      </c>
      <c r="AY1876">
        <v>16.11</v>
      </c>
      <c r="AZ1876">
        <v>0</v>
      </c>
      <c r="BA1876" t="s">
        <v>94</v>
      </c>
      <c r="BB1876">
        <v>1.4</v>
      </c>
      <c r="BC1876" t="s">
        <v>95</v>
      </c>
      <c r="BD1876" t="s">
        <v>96</v>
      </c>
      <c r="BE1876" t="s">
        <v>97</v>
      </c>
      <c r="BF1876">
        <v>1</v>
      </c>
      <c r="BG1876">
        <v>0</v>
      </c>
      <c r="BH1876">
        <v>0</v>
      </c>
      <c r="BI1876" t="s">
        <v>98</v>
      </c>
    </row>
    <row r="1877" spans="1:61">
      <c r="A1877" s="164" t="s">
        <v>4519</v>
      </c>
      <c r="B1877" t="s">
        <v>4520</v>
      </c>
      <c r="C1877">
        <v>0</v>
      </c>
      <c r="D1877" t="s">
        <v>304</v>
      </c>
      <c r="E1877">
        <v>0</v>
      </c>
      <c r="F1877" t="s">
        <v>342</v>
      </c>
      <c r="G1877" t="s">
        <v>78</v>
      </c>
      <c r="H1877" t="s">
        <v>79</v>
      </c>
      <c r="I1877" t="s">
        <v>80</v>
      </c>
      <c r="J1877" t="s">
        <v>196</v>
      </c>
      <c r="K1877" t="s">
        <v>13</v>
      </c>
      <c r="L1877" t="s">
        <v>83</v>
      </c>
      <c r="M1877" t="s">
        <v>84</v>
      </c>
      <c r="N1877">
        <v>1</v>
      </c>
      <c r="O1877" t="b">
        <v>1</v>
      </c>
      <c r="P1877">
        <v>0</v>
      </c>
      <c r="BB1877">
        <v>0</v>
      </c>
      <c r="BC1877" t="s">
        <v>306</v>
      </c>
      <c r="BD1877" t="s">
        <v>343</v>
      </c>
      <c r="BE1877" t="s">
        <v>117</v>
      </c>
      <c r="BF1877">
        <v>0</v>
      </c>
      <c r="BG1877">
        <v>25</v>
      </c>
      <c r="BH1877">
        <v>10000</v>
      </c>
      <c r="BI1877" t="s">
        <v>344</v>
      </c>
    </row>
    <row r="1878" spans="1:61">
      <c r="A1878" s="164" t="s">
        <v>4521</v>
      </c>
      <c r="B1878" t="s">
        <v>4522</v>
      </c>
      <c r="C1878">
        <v>0</v>
      </c>
      <c r="D1878" t="s">
        <v>304</v>
      </c>
      <c r="E1878">
        <v>0</v>
      </c>
      <c r="F1878" t="s">
        <v>342</v>
      </c>
      <c r="G1878" t="s">
        <v>78</v>
      </c>
      <c r="H1878" t="s">
        <v>79</v>
      </c>
      <c r="I1878" t="s">
        <v>80</v>
      </c>
      <c r="J1878" t="s">
        <v>196</v>
      </c>
      <c r="K1878" t="s">
        <v>13</v>
      </c>
      <c r="L1878" t="s">
        <v>83</v>
      </c>
      <c r="M1878" t="s">
        <v>84</v>
      </c>
      <c r="N1878">
        <v>1</v>
      </c>
      <c r="O1878" t="b">
        <v>1</v>
      </c>
      <c r="P1878">
        <v>0</v>
      </c>
      <c r="BB1878">
        <v>0</v>
      </c>
      <c r="BC1878" t="s">
        <v>306</v>
      </c>
      <c r="BD1878" t="s">
        <v>343</v>
      </c>
      <c r="BE1878" t="s">
        <v>117</v>
      </c>
      <c r="BF1878">
        <v>0</v>
      </c>
      <c r="BG1878">
        <v>25</v>
      </c>
      <c r="BH1878">
        <v>10000</v>
      </c>
      <c r="BI1878" t="s">
        <v>344</v>
      </c>
    </row>
    <row r="1879" spans="1:61">
      <c r="A1879" s="164" t="s">
        <v>4523</v>
      </c>
      <c r="B1879" t="s">
        <v>4524</v>
      </c>
      <c r="C1879">
        <v>0</v>
      </c>
      <c r="D1879" t="s">
        <v>304</v>
      </c>
      <c r="E1879">
        <v>0</v>
      </c>
      <c r="F1879" t="s">
        <v>269</v>
      </c>
      <c r="G1879" t="s">
        <v>103</v>
      </c>
      <c r="H1879" t="s">
        <v>104</v>
      </c>
      <c r="I1879" t="s">
        <v>80</v>
      </c>
      <c r="J1879" t="s">
        <v>196</v>
      </c>
      <c r="K1879" t="s">
        <v>13</v>
      </c>
      <c r="L1879" t="s">
        <v>83</v>
      </c>
      <c r="M1879" t="s">
        <v>84</v>
      </c>
      <c r="N1879">
        <v>1</v>
      </c>
      <c r="O1879" t="b">
        <v>0</v>
      </c>
      <c r="P1879">
        <v>0</v>
      </c>
      <c r="BB1879">
        <v>0</v>
      </c>
      <c r="BC1879" t="s">
        <v>306</v>
      </c>
      <c r="BD1879" t="s">
        <v>270</v>
      </c>
      <c r="BE1879" t="s">
        <v>117</v>
      </c>
      <c r="BF1879">
        <v>0</v>
      </c>
      <c r="BG1879">
        <v>0</v>
      </c>
      <c r="BH1879">
        <v>0</v>
      </c>
    </row>
    <row r="1880" spans="1:61">
      <c r="A1880" s="164" t="s">
        <v>4525</v>
      </c>
      <c r="B1880" t="s">
        <v>4526</v>
      </c>
      <c r="C1880">
        <v>0</v>
      </c>
      <c r="D1880" t="s">
        <v>304</v>
      </c>
      <c r="E1880">
        <v>0</v>
      </c>
      <c r="F1880" t="s">
        <v>269</v>
      </c>
      <c r="G1880" t="s">
        <v>103</v>
      </c>
      <c r="H1880" t="s">
        <v>104</v>
      </c>
      <c r="I1880" t="s">
        <v>80</v>
      </c>
      <c r="J1880" t="s">
        <v>196</v>
      </c>
      <c r="K1880" t="s">
        <v>13</v>
      </c>
      <c r="L1880" t="s">
        <v>83</v>
      </c>
      <c r="M1880" t="s">
        <v>205</v>
      </c>
      <c r="N1880">
        <v>1</v>
      </c>
      <c r="O1880" t="b">
        <v>0</v>
      </c>
      <c r="P1880">
        <v>0</v>
      </c>
      <c r="BB1880">
        <v>0</v>
      </c>
      <c r="BC1880" t="s">
        <v>306</v>
      </c>
      <c r="BD1880" t="s">
        <v>270</v>
      </c>
      <c r="BE1880" t="s">
        <v>117</v>
      </c>
      <c r="BF1880">
        <v>0</v>
      </c>
      <c r="BG1880">
        <v>0</v>
      </c>
      <c r="BH1880">
        <v>0</v>
      </c>
    </row>
    <row r="1881" spans="1:61">
      <c r="A1881" s="164" t="s">
        <v>4527</v>
      </c>
      <c r="B1881" t="s">
        <v>4528</v>
      </c>
      <c r="C1881">
        <v>0</v>
      </c>
      <c r="D1881" t="s">
        <v>304</v>
      </c>
      <c r="E1881">
        <v>0</v>
      </c>
      <c r="F1881" t="s">
        <v>269</v>
      </c>
      <c r="G1881" t="s">
        <v>103</v>
      </c>
      <c r="H1881" t="s">
        <v>104</v>
      </c>
      <c r="I1881" t="s">
        <v>80</v>
      </c>
      <c r="J1881" t="s">
        <v>196</v>
      </c>
      <c r="K1881" t="s">
        <v>13</v>
      </c>
      <c r="L1881" t="s">
        <v>83</v>
      </c>
      <c r="M1881" t="s">
        <v>84</v>
      </c>
      <c r="N1881">
        <v>1</v>
      </c>
      <c r="O1881" t="b">
        <v>0</v>
      </c>
      <c r="P1881">
        <v>0</v>
      </c>
      <c r="BB1881">
        <v>0</v>
      </c>
      <c r="BC1881" t="s">
        <v>306</v>
      </c>
      <c r="BD1881" t="s">
        <v>270</v>
      </c>
      <c r="BE1881" t="s">
        <v>117</v>
      </c>
      <c r="BF1881">
        <v>0</v>
      </c>
      <c r="BG1881">
        <v>0</v>
      </c>
      <c r="BH1881">
        <v>0</v>
      </c>
    </row>
    <row r="1882" spans="1:61">
      <c r="A1882" s="164" t="s">
        <v>4529</v>
      </c>
      <c r="B1882" t="s">
        <v>4530</v>
      </c>
      <c r="C1882">
        <v>0</v>
      </c>
      <c r="D1882" t="s">
        <v>304</v>
      </c>
      <c r="E1882">
        <v>0</v>
      </c>
      <c r="F1882" t="s">
        <v>800</v>
      </c>
      <c r="G1882" t="s">
        <v>78</v>
      </c>
      <c r="H1882" t="s">
        <v>79</v>
      </c>
      <c r="I1882" t="s">
        <v>80</v>
      </c>
      <c r="J1882" t="s">
        <v>196</v>
      </c>
      <c r="K1882" t="s">
        <v>13</v>
      </c>
      <c r="L1882" t="s">
        <v>83</v>
      </c>
      <c r="M1882" t="s">
        <v>84</v>
      </c>
      <c r="N1882">
        <v>1</v>
      </c>
      <c r="O1882" t="b">
        <v>1</v>
      </c>
      <c r="P1882">
        <v>0</v>
      </c>
      <c r="BB1882">
        <v>0</v>
      </c>
      <c r="BC1882" t="s">
        <v>306</v>
      </c>
      <c r="BD1882" t="s">
        <v>801</v>
      </c>
      <c r="BE1882" t="s">
        <v>117</v>
      </c>
      <c r="BF1882">
        <v>0</v>
      </c>
      <c r="BG1882">
        <v>15</v>
      </c>
      <c r="BH1882">
        <v>10000</v>
      </c>
      <c r="BI1882" t="s">
        <v>308</v>
      </c>
    </row>
    <row r="1883" spans="1:61">
      <c r="A1883" s="164" t="s">
        <v>4531</v>
      </c>
      <c r="B1883" t="s">
        <v>4532</v>
      </c>
      <c r="C1883">
        <v>0</v>
      </c>
      <c r="D1883" t="s">
        <v>304</v>
      </c>
      <c r="E1883">
        <v>0</v>
      </c>
      <c r="F1883" t="s">
        <v>1507</v>
      </c>
      <c r="G1883" t="s">
        <v>78</v>
      </c>
      <c r="H1883" t="s">
        <v>79</v>
      </c>
      <c r="I1883" t="s">
        <v>80</v>
      </c>
      <c r="J1883" t="s">
        <v>196</v>
      </c>
      <c r="K1883" t="s">
        <v>13</v>
      </c>
      <c r="L1883" t="s">
        <v>83</v>
      </c>
      <c r="M1883" t="s">
        <v>84</v>
      </c>
      <c r="N1883">
        <v>1</v>
      </c>
      <c r="O1883" t="b">
        <v>1</v>
      </c>
      <c r="P1883">
        <v>0</v>
      </c>
      <c r="BB1883">
        <v>0</v>
      </c>
      <c r="BC1883" t="s">
        <v>306</v>
      </c>
      <c r="BD1883" t="s">
        <v>1508</v>
      </c>
      <c r="BE1883" t="s">
        <v>117</v>
      </c>
      <c r="BF1883">
        <v>0</v>
      </c>
      <c r="BG1883">
        <v>60</v>
      </c>
      <c r="BH1883">
        <v>50000</v>
      </c>
      <c r="BI1883" t="s">
        <v>315</v>
      </c>
    </row>
    <row r="1884" spans="1:61">
      <c r="A1884" s="164" t="s">
        <v>4533</v>
      </c>
      <c r="B1884" t="s">
        <v>4534</v>
      </c>
      <c r="C1884">
        <v>0</v>
      </c>
      <c r="D1884" t="s">
        <v>304</v>
      </c>
      <c r="E1884">
        <v>0</v>
      </c>
      <c r="F1884" t="s">
        <v>1507</v>
      </c>
      <c r="G1884" t="s">
        <v>78</v>
      </c>
      <c r="H1884" t="s">
        <v>79</v>
      </c>
      <c r="I1884" t="s">
        <v>80</v>
      </c>
      <c r="J1884" t="s">
        <v>196</v>
      </c>
      <c r="K1884" t="s">
        <v>13</v>
      </c>
      <c r="L1884" t="s">
        <v>83</v>
      </c>
      <c r="M1884" t="s">
        <v>84</v>
      </c>
      <c r="N1884">
        <v>1</v>
      </c>
      <c r="O1884" t="b">
        <v>1</v>
      </c>
      <c r="P1884">
        <v>0</v>
      </c>
      <c r="BB1884">
        <v>0</v>
      </c>
      <c r="BC1884" t="s">
        <v>306</v>
      </c>
      <c r="BD1884" t="s">
        <v>1508</v>
      </c>
      <c r="BE1884" t="s">
        <v>117</v>
      </c>
      <c r="BF1884">
        <v>0</v>
      </c>
      <c r="BG1884">
        <v>60</v>
      </c>
      <c r="BH1884">
        <v>50000</v>
      </c>
      <c r="BI1884" t="s">
        <v>315</v>
      </c>
    </row>
    <row r="1885" spans="1:61">
      <c r="A1885" s="164" t="s">
        <v>4535</v>
      </c>
      <c r="B1885" t="s">
        <v>4536</v>
      </c>
      <c r="C1885">
        <v>0</v>
      </c>
      <c r="D1885" t="s">
        <v>257</v>
      </c>
      <c r="E1885">
        <v>0</v>
      </c>
      <c r="F1885" t="s">
        <v>925</v>
      </c>
      <c r="G1885" t="s">
        <v>78</v>
      </c>
      <c r="H1885" t="s">
        <v>79</v>
      </c>
      <c r="I1885" t="s">
        <v>80</v>
      </c>
      <c r="J1885" t="s">
        <v>196</v>
      </c>
      <c r="K1885" t="s">
        <v>13</v>
      </c>
      <c r="L1885" t="s">
        <v>83</v>
      </c>
      <c r="M1885" t="s">
        <v>205</v>
      </c>
      <c r="N1885">
        <v>1</v>
      </c>
      <c r="O1885" t="b">
        <v>1</v>
      </c>
      <c r="P1885">
        <v>0</v>
      </c>
      <c r="BB1885">
        <v>0</v>
      </c>
      <c r="BC1885" t="s">
        <v>259</v>
      </c>
      <c r="BD1885" t="s">
        <v>926</v>
      </c>
      <c r="BE1885" t="s">
        <v>117</v>
      </c>
      <c r="BF1885">
        <v>0</v>
      </c>
      <c r="BG1885">
        <v>30</v>
      </c>
      <c r="BH1885">
        <v>1500</v>
      </c>
      <c r="BI1885" t="s">
        <v>4537</v>
      </c>
    </row>
    <row r="1886" spans="1:61">
      <c r="A1886" s="164" t="s">
        <v>4538</v>
      </c>
      <c r="B1886" t="s">
        <v>4539</v>
      </c>
      <c r="C1886">
        <v>0</v>
      </c>
      <c r="D1886" t="s">
        <v>257</v>
      </c>
      <c r="E1886">
        <v>0</v>
      </c>
      <c r="F1886" t="s">
        <v>258</v>
      </c>
      <c r="G1886" t="s">
        <v>78</v>
      </c>
      <c r="H1886" t="s">
        <v>79</v>
      </c>
      <c r="I1886" t="s">
        <v>80</v>
      </c>
      <c r="J1886" t="s">
        <v>196</v>
      </c>
      <c r="K1886" t="s">
        <v>13</v>
      </c>
      <c r="L1886" t="s">
        <v>83</v>
      </c>
      <c r="M1886" t="s">
        <v>205</v>
      </c>
      <c r="N1886">
        <v>1</v>
      </c>
      <c r="O1886" t="b">
        <v>1</v>
      </c>
      <c r="P1886">
        <v>0</v>
      </c>
      <c r="BB1886">
        <v>0</v>
      </c>
      <c r="BC1886" t="s">
        <v>259</v>
      </c>
      <c r="BD1886" t="s">
        <v>260</v>
      </c>
      <c r="BE1886" t="s">
        <v>117</v>
      </c>
      <c r="BF1886">
        <v>0</v>
      </c>
      <c r="BG1886">
        <v>25</v>
      </c>
      <c r="BH1886">
        <v>30</v>
      </c>
      <c r="BI1886" t="s">
        <v>3681</v>
      </c>
    </row>
    <row r="1887" spans="1:61">
      <c r="A1887" s="164" t="s">
        <v>4540</v>
      </c>
      <c r="B1887" t="s">
        <v>4541</v>
      </c>
      <c r="C1887">
        <v>0</v>
      </c>
      <c r="D1887" t="s">
        <v>257</v>
      </c>
      <c r="E1887">
        <v>0</v>
      </c>
      <c r="F1887" t="s">
        <v>258</v>
      </c>
      <c r="G1887" t="s">
        <v>78</v>
      </c>
      <c r="H1887" t="s">
        <v>79</v>
      </c>
      <c r="I1887" t="s">
        <v>80</v>
      </c>
      <c r="J1887" t="s">
        <v>196</v>
      </c>
      <c r="K1887" t="s">
        <v>13</v>
      </c>
      <c r="L1887" t="s">
        <v>83</v>
      </c>
      <c r="M1887" t="s">
        <v>205</v>
      </c>
      <c r="N1887">
        <v>1</v>
      </c>
      <c r="O1887" t="b">
        <v>1</v>
      </c>
      <c r="P1887">
        <v>0</v>
      </c>
      <c r="BB1887">
        <v>0</v>
      </c>
      <c r="BC1887" t="s">
        <v>259</v>
      </c>
      <c r="BD1887" t="s">
        <v>260</v>
      </c>
      <c r="BE1887" t="s">
        <v>117</v>
      </c>
      <c r="BF1887">
        <v>0</v>
      </c>
      <c r="BG1887">
        <v>25</v>
      </c>
      <c r="BH1887">
        <v>30</v>
      </c>
      <c r="BI1887" t="s">
        <v>3681</v>
      </c>
    </row>
    <row r="1888" spans="1:61">
      <c r="A1888" s="164" t="s">
        <v>4542</v>
      </c>
      <c r="B1888" t="s">
        <v>4543</v>
      </c>
      <c r="C1888">
        <v>0</v>
      </c>
      <c r="D1888" t="s">
        <v>257</v>
      </c>
      <c r="E1888">
        <v>0</v>
      </c>
      <c r="F1888" t="s">
        <v>258</v>
      </c>
      <c r="G1888" t="s">
        <v>78</v>
      </c>
      <c r="H1888" t="s">
        <v>79</v>
      </c>
      <c r="I1888" t="s">
        <v>80</v>
      </c>
      <c r="J1888" t="s">
        <v>196</v>
      </c>
      <c r="K1888" t="s">
        <v>13</v>
      </c>
      <c r="L1888" t="s">
        <v>83</v>
      </c>
      <c r="M1888" t="s">
        <v>205</v>
      </c>
      <c r="N1888">
        <v>1</v>
      </c>
      <c r="O1888" t="b">
        <v>1</v>
      </c>
      <c r="P1888">
        <v>0</v>
      </c>
      <c r="BB1888">
        <v>0</v>
      </c>
      <c r="BC1888" t="s">
        <v>259</v>
      </c>
      <c r="BD1888" t="s">
        <v>260</v>
      </c>
      <c r="BE1888" t="s">
        <v>117</v>
      </c>
      <c r="BF1888">
        <v>0</v>
      </c>
      <c r="BG1888">
        <v>25</v>
      </c>
      <c r="BH1888">
        <v>30</v>
      </c>
      <c r="BI1888" t="s">
        <v>3681</v>
      </c>
    </row>
    <row r="1889" spans="1:61">
      <c r="A1889" s="164" t="s">
        <v>4544</v>
      </c>
      <c r="B1889" t="s">
        <v>4545</v>
      </c>
      <c r="C1889">
        <v>0</v>
      </c>
      <c r="D1889" t="s">
        <v>257</v>
      </c>
      <c r="E1889">
        <v>0</v>
      </c>
      <c r="F1889" t="s">
        <v>925</v>
      </c>
      <c r="G1889" t="s">
        <v>78</v>
      </c>
      <c r="H1889" t="s">
        <v>79</v>
      </c>
      <c r="I1889" t="s">
        <v>80</v>
      </c>
      <c r="J1889" t="s">
        <v>196</v>
      </c>
      <c r="K1889" t="s">
        <v>13</v>
      </c>
      <c r="L1889" t="s">
        <v>83</v>
      </c>
      <c r="M1889" t="s">
        <v>205</v>
      </c>
      <c r="N1889">
        <v>1</v>
      </c>
      <c r="O1889" t="b">
        <v>1</v>
      </c>
      <c r="P1889">
        <v>0</v>
      </c>
      <c r="BB1889">
        <v>0</v>
      </c>
      <c r="BC1889" t="s">
        <v>259</v>
      </c>
      <c r="BD1889" t="s">
        <v>926</v>
      </c>
      <c r="BE1889" t="s">
        <v>117</v>
      </c>
      <c r="BF1889">
        <v>0</v>
      </c>
      <c r="BG1889">
        <v>45</v>
      </c>
      <c r="BH1889">
        <v>25</v>
      </c>
      <c r="BI1889" t="s">
        <v>261</v>
      </c>
    </row>
    <row r="1890" spans="1:61">
      <c r="A1890" s="164" t="s">
        <v>4546</v>
      </c>
      <c r="B1890" t="s">
        <v>4547</v>
      </c>
      <c r="C1890">
        <v>0</v>
      </c>
      <c r="D1890" t="s">
        <v>257</v>
      </c>
      <c r="E1890">
        <v>0</v>
      </c>
      <c r="F1890" t="s">
        <v>258</v>
      </c>
      <c r="G1890" t="s">
        <v>78</v>
      </c>
      <c r="H1890" t="s">
        <v>79</v>
      </c>
      <c r="I1890" t="s">
        <v>80</v>
      </c>
      <c r="J1890" t="s">
        <v>196</v>
      </c>
      <c r="K1890" t="s">
        <v>13</v>
      </c>
      <c r="L1890" t="s">
        <v>83</v>
      </c>
      <c r="M1890" t="s">
        <v>205</v>
      </c>
      <c r="N1890">
        <v>1</v>
      </c>
      <c r="O1890" t="b">
        <v>1</v>
      </c>
      <c r="P1890">
        <v>0</v>
      </c>
      <c r="BB1890">
        <v>0</v>
      </c>
      <c r="BC1890" t="s">
        <v>259</v>
      </c>
      <c r="BD1890" t="s">
        <v>260</v>
      </c>
      <c r="BE1890" t="s">
        <v>117</v>
      </c>
      <c r="BF1890">
        <v>0</v>
      </c>
      <c r="BG1890">
        <v>15</v>
      </c>
      <c r="BH1890">
        <v>1</v>
      </c>
      <c r="BI1890" t="s">
        <v>927</v>
      </c>
    </row>
    <row r="1891" spans="1:61">
      <c r="A1891" s="164" t="s">
        <v>4548</v>
      </c>
      <c r="B1891" t="s">
        <v>4549</v>
      </c>
      <c r="C1891">
        <v>0</v>
      </c>
      <c r="D1891" t="s">
        <v>257</v>
      </c>
      <c r="E1891">
        <v>0</v>
      </c>
      <c r="F1891" t="s">
        <v>258</v>
      </c>
      <c r="G1891" t="s">
        <v>78</v>
      </c>
      <c r="H1891" t="s">
        <v>79</v>
      </c>
      <c r="I1891" t="s">
        <v>80</v>
      </c>
      <c r="J1891" t="s">
        <v>196</v>
      </c>
      <c r="K1891" t="s">
        <v>13</v>
      </c>
      <c r="L1891" t="s">
        <v>83</v>
      </c>
      <c r="M1891" t="s">
        <v>205</v>
      </c>
      <c r="N1891">
        <v>1</v>
      </c>
      <c r="O1891" t="b">
        <v>1</v>
      </c>
      <c r="P1891">
        <v>0</v>
      </c>
      <c r="BB1891">
        <v>0</v>
      </c>
      <c r="BC1891" t="s">
        <v>259</v>
      </c>
      <c r="BD1891" t="s">
        <v>260</v>
      </c>
      <c r="BE1891" t="s">
        <v>117</v>
      </c>
      <c r="BF1891">
        <v>0</v>
      </c>
      <c r="BG1891">
        <v>25</v>
      </c>
      <c r="BH1891">
        <v>30</v>
      </c>
      <c r="BI1891" t="s">
        <v>947</v>
      </c>
    </row>
    <row r="1892" spans="1:61">
      <c r="A1892" s="164" t="s">
        <v>4550</v>
      </c>
      <c r="B1892" t="s">
        <v>4551</v>
      </c>
      <c r="C1892">
        <v>0</v>
      </c>
      <c r="D1892" t="s">
        <v>257</v>
      </c>
      <c r="E1892">
        <v>0</v>
      </c>
      <c r="F1892" t="s">
        <v>258</v>
      </c>
      <c r="G1892" t="s">
        <v>78</v>
      </c>
      <c r="H1892" t="s">
        <v>79</v>
      </c>
      <c r="I1892" t="s">
        <v>80</v>
      </c>
      <c r="J1892" t="s">
        <v>196</v>
      </c>
      <c r="K1892" t="s">
        <v>13</v>
      </c>
      <c r="L1892" t="s">
        <v>83</v>
      </c>
      <c r="M1892" t="s">
        <v>205</v>
      </c>
      <c r="N1892">
        <v>1</v>
      </c>
      <c r="O1892" t="b">
        <v>1</v>
      </c>
      <c r="P1892">
        <v>0</v>
      </c>
      <c r="BB1892">
        <v>0</v>
      </c>
      <c r="BC1892" t="s">
        <v>259</v>
      </c>
      <c r="BD1892" t="s">
        <v>260</v>
      </c>
      <c r="BE1892" t="s">
        <v>117</v>
      </c>
      <c r="BF1892">
        <v>0</v>
      </c>
      <c r="BG1892">
        <v>120</v>
      </c>
      <c r="BH1892">
        <v>50</v>
      </c>
      <c r="BI1892" t="s">
        <v>4552</v>
      </c>
    </row>
    <row r="1893" spans="1:61">
      <c r="A1893" s="164" t="s">
        <v>4553</v>
      </c>
      <c r="B1893" t="s">
        <v>4554</v>
      </c>
      <c r="C1893">
        <v>0</v>
      </c>
      <c r="D1893" t="s">
        <v>257</v>
      </c>
      <c r="E1893">
        <v>0</v>
      </c>
      <c r="F1893" t="s">
        <v>258</v>
      </c>
      <c r="G1893" t="s">
        <v>78</v>
      </c>
      <c r="H1893" t="s">
        <v>79</v>
      </c>
      <c r="I1893" t="s">
        <v>80</v>
      </c>
      <c r="J1893" t="s">
        <v>196</v>
      </c>
      <c r="K1893" t="s">
        <v>13</v>
      </c>
      <c r="L1893" t="s">
        <v>83</v>
      </c>
      <c r="M1893" t="s">
        <v>205</v>
      </c>
      <c r="N1893">
        <v>1</v>
      </c>
      <c r="O1893" t="b">
        <v>1</v>
      </c>
      <c r="P1893">
        <v>0</v>
      </c>
      <c r="BB1893">
        <v>0</v>
      </c>
      <c r="BC1893" t="s">
        <v>259</v>
      </c>
      <c r="BD1893" t="s">
        <v>260</v>
      </c>
      <c r="BE1893" t="s">
        <v>117</v>
      </c>
      <c r="BF1893">
        <v>0</v>
      </c>
      <c r="BG1893">
        <v>30</v>
      </c>
      <c r="BH1893">
        <v>150</v>
      </c>
      <c r="BI1893" t="s">
        <v>1304</v>
      </c>
    </row>
    <row r="1894" spans="1:61">
      <c r="A1894" s="164" t="s">
        <v>4555</v>
      </c>
      <c r="B1894" t="s">
        <v>4556</v>
      </c>
      <c r="C1894">
        <v>0</v>
      </c>
      <c r="D1894" t="s">
        <v>304</v>
      </c>
      <c r="E1894">
        <v>0</v>
      </c>
      <c r="F1894" t="s">
        <v>349</v>
      </c>
      <c r="G1894" t="s">
        <v>78</v>
      </c>
      <c r="H1894" t="s">
        <v>79</v>
      </c>
      <c r="I1894" t="s">
        <v>80</v>
      </c>
      <c r="J1894" t="s">
        <v>196</v>
      </c>
      <c r="K1894" t="s">
        <v>13</v>
      </c>
      <c r="L1894" t="s">
        <v>83</v>
      </c>
      <c r="M1894" t="s">
        <v>84</v>
      </c>
      <c r="N1894">
        <v>1</v>
      </c>
      <c r="O1894" t="b">
        <v>1</v>
      </c>
      <c r="P1894">
        <v>0</v>
      </c>
      <c r="BB1894">
        <v>0</v>
      </c>
      <c r="BC1894" t="s">
        <v>306</v>
      </c>
      <c r="BD1894" t="s">
        <v>350</v>
      </c>
      <c r="BE1894" t="s">
        <v>117</v>
      </c>
      <c r="BF1894">
        <v>0</v>
      </c>
      <c r="BG1894">
        <v>25</v>
      </c>
      <c r="BH1894">
        <v>10000</v>
      </c>
      <c r="BI1894" t="s">
        <v>344</v>
      </c>
    </row>
    <row r="1895" spans="1:61">
      <c r="A1895" s="164" t="s">
        <v>4557</v>
      </c>
      <c r="B1895" t="s">
        <v>4558</v>
      </c>
      <c r="C1895">
        <v>0</v>
      </c>
      <c r="D1895" t="s">
        <v>304</v>
      </c>
      <c r="E1895">
        <v>0</v>
      </c>
      <c r="F1895" t="s">
        <v>331</v>
      </c>
      <c r="G1895" t="s">
        <v>78</v>
      </c>
      <c r="H1895" t="s">
        <v>79</v>
      </c>
      <c r="I1895" t="s">
        <v>80</v>
      </c>
      <c r="J1895" t="s">
        <v>196</v>
      </c>
      <c r="K1895" t="s">
        <v>13</v>
      </c>
      <c r="L1895" t="s">
        <v>83</v>
      </c>
      <c r="M1895" t="s">
        <v>84</v>
      </c>
      <c r="N1895">
        <v>1</v>
      </c>
      <c r="O1895" t="b">
        <v>1</v>
      </c>
      <c r="P1895">
        <v>0</v>
      </c>
      <c r="BB1895">
        <v>0</v>
      </c>
      <c r="BC1895" t="s">
        <v>306</v>
      </c>
      <c r="BD1895" t="s">
        <v>332</v>
      </c>
      <c r="BE1895" t="s">
        <v>117</v>
      </c>
      <c r="BF1895">
        <v>0</v>
      </c>
      <c r="BG1895">
        <v>60</v>
      </c>
      <c r="BH1895">
        <v>200000</v>
      </c>
      <c r="BI1895" t="s">
        <v>333</v>
      </c>
    </row>
    <row r="1896" spans="1:61">
      <c r="A1896" s="164" t="s">
        <v>4559</v>
      </c>
      <c r="B1896" t="s">
        <v>4560</v>
      </c>
      <c r="C1896">
        <v>0</v>
      </c>
      <c r="D1896" t="s">
        <v>304</v>
      </c>
      <c r="E1896">
        <v>0</v>
      </c>
      <c r="F1896" t="s">
        <v>336</v>
      </c>
      <c r="G1896" t="s">
        <v>78</v>
      </c>
      <c r="H1896" t="s">
        <v>79</v>
      </c>
      <c r="I1896" t="s">
        <v>80</v>
      </c>
      <c r="J1896" t="s">
        <v>196</v>
      </c>
      <c r="K1896" t="s">
        <v>13</v>
      </c>
      <c r="L1896" t="s">
        <v>83</v>
      </c>
      <c r="M1896" t="s">
        <v>84</v>
      </c>
      <c r="N1896">
        <v>1</v>
      </c>
      <c r="O1896" t="b">
        <v>1</v>
      </c>
      <c r="P1896">
        <v>0</v>
      </c>
      <c r="BB1896">
        <v>0</v>
      </c>
      <c r="BC1896" t="s">
        <v>306</v>
      </c>
      <c r="BD1896" t="s">
        <v>337</v>
      </c>
      <c r="BE1896" t="s">
        <v>117</v>
      </c>
      <c r="BF1896">
        <v>0</v>
      </c>
      <c r="BG1896">
        <v>30</v>
      </c>
      <c r="BH1896">
        <v>100000</v>
      </c>
      <c r="BI1896" t="s">
        <v>593</v>
      </c>
    </row>
    <row r="1897" spans="1:61">
      <c r="A1897" s="164" t="s">
        <v>4561</v>
      </c>
      <c r="B1897" t="s">
        <v>4562</v>
      </c>
      <c r="C1897">
        <v>0</v>
      </c>
      <c r="D1897" t="s">
        <v>304</v>
      </c>
      <c r="E1897">
        <v>0</v>
      </c>
      <c r="F1897" t="s">
        <v>305</v>
      </c>
      <c r="G1897" t="s">
        <v>78</v>
      </c>
      <c r="H1897" t="s">
        <v>79</v>
      </c>
      <c r="I1897" t="s">
        <v>80</v>
      </c>
      <c r="J1897" t="s">
        <v>196</v>
      </c>
      <c r="K1897" t="s">
        <v>13</v>
      </c>
      <c r="L1897" t="s">
        <v>83</v>
      </c>
      <c r="M1897" t="s">
        <v>84</v>
      </c>
      <c r="N1897">
        <v>1</v>
      </c>
      <c r="O1897" t="b">
        <v>1</v>
      </c>
      <c r="P1897">
        <v>0</v>
      </c>
      <c r="BB1897">
        <v>0</v>
      </c>
      <c r="BC1897" t="s">
        <v>306</v>
      </c>
      <c r="BD1897" t="s">
        <v>307</v>
      </c>
      <c r="BE1897" t="s">
        <v>117</v>
      </c>
      <c r="BF1897">
        <v>0</v>
      </c>
      <c r="BG1897">
        <v>25</v>
      </c>
      <c r="BH1897">
        <v>10000</v>
      </c>
      <c r="BI1897" t="s">
        <v>308</v>
      </c>
    </row>
    <row r="1898" spans="1:61">
      <c r="A1898" s="164" t="s">
        <v>4563</v>
      </c>
      <c r="B1898" t="s">
        <v>4564</v>
      </c>
      <c r="C1898">
        <v>0</v>
      </c>
      <c r="D1898" t="s">
        <v>304</v>
      </c>
      <c r="E1898">
        <v>0</v>
      </c>
      <c r="F1898" t="s">
        <v>305</v>
      </c>
      <c r="G1898" t="s">
        <v>78</v>
      </c>
      <c r="H1898" t="s">
        <v>79</v>
      </c>
      <c r="I1898" t="s">
        <v>80</v>
      </c>
      <c r="J1898" t="s">
        <v>196</v>
      </c>
      <c r="K1898" t="s">
        <v>13</v>
      </c>
      <c r="L1898" t="s">
        <v>83</v>
      </c>
      <c r="M1898" t="s">
        <v>84</v>
      </c>
      <c r="N1898">
        <v>1</v>
      </c>
      <c r="O1898" t="b">
        <v>1</v>
      </c>
      <c r="P1898">
        <v>0</v>
      </c>
      <c r="BB1898">
        <v>0</v>
      </c>
      <c r="BC1898" t="s">
        <v>306</v>
      </c>
      <c r="BD1898" t="s">
        <v>307</v>
      </c>
      <c r="BE1898" t="s">
        <v>117</v>
      </c>
      <c r="BF1898">
        <v>0</v>
      </c>
      <c r="BG1898">
        <v>25</v>
      </c>
      <c r="BH1898">
        <v>20000</v>
      </c>
      <c r="BI1898" t="s">
        <v>308</v>
      </c>
    </row>
    <row r="1899" spans="1:61">
      <c r="A1899" s="164" t="s">
        <v>4565</v>
      </c>
      <c r="B1899" t="s">
        <v>4566</v>
      </c>
      <c r="C1899">
        <v>0</v>
      </c>
      <c r="D1899" t="s">
        <v>304</v>
      </c>
      <c r="E1899">
        <v>0</v>
      </c>
      <c r="F1899" t="s">
        <v>800</v>
      </c>
      <c r="G1899" t="s">
        <v>78</v>
      </c>
      <c r="H1899" t="s">
        <v>79</v>
      </c>
      <c r="I1899" t="s">
        <v>80</v>
      </c>
      <c r="J1899" t="s">
        <v>196</v>
      </c>
      <c r="K1899" t="s">
        <v>13</v>
      </c>
      <c r="L1899" t="s">
        <v>83</v>
      </c>
      <c r="M1899" t="s">
        <v>84</v>
      </c>
      <c r="N1899">
        <v>1</v>
      </c>
      <c r="O1899" t="b">
        <v>1</v>
      </c>
      <c r="P1899">
        <v>0</v>
      </c>
      <c r="BB1899">
        <v>0</v>
      </c>
      <c r="BC1899" t="s">
        <v>306</v>
      </c>
      <c r="BD1899" t="s">
        <v>801</v>
      </c>
      <c r="BE1899" t="s">
        <v>117</v>
      </c>
      <c r="BF1899">
        <v>0</v>
      </c>
      <c r="BG1899">
        <v>15</v>
      </c>
      <c r="BH1899">
        <v>10000</v>
      </c>
      <c r="BI1899" t="s">
        <v>308</v>
      </c>
    </row>
    <row r="1900" spans="1:61">
      <c r="A1900" s="164" t="s">
        <v>4567</v>
      </c>
      <c r="B1900" t="s">
        <v>4568</v>
      </c>
      <c r="C1900">
        <v>0</v>
      </c>
      <c r="D1900" t="s">
        <v>304</v>
      </c>
      <c r="E1900">
        <v>0</v>
      </c>
      <c r="F1900" t="s">
        <v>1917</v>
      </c>
      <c r="G1900" t="s">
        <v>78</v>
      </c>
      <c r="H1900" t="s">
        <v>79</v>
      </c>
      <c r="I1900" t="s">
        <v>80</v>
      </c>
      <c r="J1900" t="s">
        <v>196</v>
      </c>
      <c r="K1900" t="s">
        <v>13</v>
      </c>
      <c r="L1900" t="s">
        <v>83</v>
      </c>
      <c r="M1900" t="s">
        <v>84</v>
      </c>
      <c r="N1900">
        <v>1</v>
      </c>
      <c r="O1900" t="b">
        <v>1</v>
      </c>
      <c r="P1900">
        <v>0</v>
      </c>
      <c r="BB1900">
        <v>0</v>
      </c>
      <c r="BC1900" t="s">
        <v>306</v>
      </c>
      <c r="BD1900" t="s">
        <v>1919</v>
      </c>
      <c r="BE1900" t="s">
        <v>117</v>
      </c>
      <c r="BF1900">
        <v>0</v>
      </c>
      <c r="BG1900">
        <v>30</v>
      </c>
      <c r="BH1900">
        <v>20000</v>
      </c>
      <c r="BI1900" t="s">
        <v>1920</v>
      </c>
    </row>
    <row r="1901" spans="1:61">
      <c r="A1901" s="164" t="s">
        <v>4569</v>
      </c>
      <c r="B1901" t="s">
        <v>4570</v>
      </c>
      <c r="C1901">
        <v>0</v>
      </c>
      <c r="D1901" t="s">
        <v>304</v>
      </c>
      <c r="E1901">
        <v>0</v>
      </c>
      <c r="F1901" t="s">
        <v>336</v>
      </c>
      <c r="G1901" t="s">
        <v>78</v>
      </c>
      <c r="H1901" t="s">
        <v>79</v>
      </c>
      <c r="I1901" t="s">
        <v>80</v>
      </c>
      <c r="J1901" t="s">
        <v>196</v>
      </c>
      <c r="K1901" t="s">
        <v>13</v>
      </c>
      <c r="L1901" t="s">
        <v>83</v>
      </c>
      <c r="M1901" t="s">
        <v>84</v>
      </c>
      <c r="N1901">
        <v>1</v>
      </c>
      <c r="O1901" t="b">
        <v>1</v>
      </c>
      <c r="P1901">
        <v>0</v>
      </c>
      <c r="BB1901">
        <v>0</v>
      </c>
      <c r="BC1901" t="s">
        <v>306</v>
      </c>
      <c r="BD1901" t="s">
        <v>337</v>
      </c>
      <c r="BE1901" t="s">
        <v>117</v>
      </c>
      <c r="BF1901">
        <v>0</v>
      </c>
      <c r="BG1901">
        <v>30</v>
      </c>
      <c r="BH1901">
        <v>30000</v>
      </c>
      <c r="BI1901" t="s">
        <v>593</v>
      </c>
    </row>
    <row r="1902" spans="1:61">
      <c r="A1902" s="164" t="s">
        <v>4571</v>
      </c>
      <c r="B1902" t="s">
        <v>4572</v>
      </c>
      <c r="C1902">
        <v>0</v>
      </c>
      <c r="D1902" t="s">
        <v>304</v>
      </c>
      <c r="E1902">
        <v>0</v>
      </c>
      <c r="F1902" t="s">
        <v>800</v>
      </c>
      <c r="G1902" t="s">
        <v>78</v>
      </c>
      <c r="H1902" t="s">
        <v>79</v>
      </c>
      <c r="I1902" t="s">
        <v>80</v>
      </c>
      <c r="J1902" t="s">
        <v>196</v>
      </c>
      <c r="K1902" t="s">
        <v>13</v>
      </c>
      <c r="L1902" t="s">
        <v>83</v>
      </c>
      <c r="M1902" t="s">
        <v>84</v>
      </c>
      <c r="N1902">
        <v>1</v>
      </c>
      <c r="O1902" t="b">
        <v>1</v>
      </c>
      <c r="P1902">
        <v>0</v>
      </c>
      <c r="BB1902">
        <v>0</v>
      </c>
      <c r="BC1902" t="s">
        <v>306</v>
      </c>
      <c r="BD1902" t="s">
        <v>801</v>
      </c>
      <c r="BE1902" t="s">
        <v>117</v>
      </c>
      <c r="BF1902">
        <v>0</v>
      </c>
      <c r="BG1902">
        <v>15</v>
      </c>
      <c r="BH1902">
        <v>10000</v>
      </c>
      <c r="BI1902" t="s">
        <v>308</v>
      </c>
    </row>
    <row r="1903" spans="1:61">
      <c r="A1903" s="164" t="s">
        <v>4573</v>
      </c>
      <c r="B1903" t="s">
        <v>4574</v>
      </c>
      <c r="C1903">
        <v>0</v>
      </c>
      <c r="D1903" t="s">
        <v>304</v>
      </c>
      <c r="E1903">
        <v>0</v>
      </c>
      <c r="F1903" t="s">
        <v>269</v>
      </c>
      <c r="G1903" t="s">
        <v>103</v>
      </c>
      <c r="H1903" t="s">
        <v>104</v>
      </c>
      <c r="I1903" t="s">
        <v>80</v>
      </c>
      <c r="J1903" t="s">
        <v>196</v>
      </c>
      <c r="K1903" t="s">
        <v>13</v>
      </c>
      <c r="L1903" t="s">
        <v>83</v>
      </c>
      <c r="M1903" t="s">
        <v>84</v>
      </c>
      <c r="N1903">
        <v>1</v>
      </c>
      <c r="O1903" t="b">
        <v>0</v>
      </c>
      <c r="P1903">
        <v>0</v>
      </c>
      <c r="BB1903">
        <v>0</v>
      </c>
      <c r="BC1903" t="s">
        <v>306</v>
      </c>
      <c r="BD1903" t="s">
        <v>270</v>
      </c>
      <c r="BE1903" t="s">
        <v>117</v>
      </c>
      <c r="BF1903">
        <v>0</v>
      </c>
      <c r="BG1903">
        <v>0</v>
      </c>
      <c r="BH1903">
        <v>0</v>
      </c>
    </row>
    <row r="1904" spans="1:61">
      <c r="A1904" s="164" t="s">
        <v>4575</v>
      </c>
      <c r="B1904" t="s">
        <v>4576</v>
      </c>
      <c r="C1904">
        <v>0</v>
      </c>
      <c r="D1904" t="s">
        <v>304</v>
      </c>
      <c r="E1904">
        <v>0</v>
      </c>
      <c r="F1904" t="s">
        <v>269</v>
      </c>
      <c r="G1904" t="s">
        <v>103</v>
      </c>
      <c r="H1904" t="s">
        <v>104</v>
      </c>
      <c r="I1904" t="s">
        <v>80</v>
      </c>
      <c r="J1904" t="s">
        <v>196</v>
      </c>
      <c r="K1904" t="s">
        <v>13</v>
      </c>
      <c r="L1904" t="s">
        <v>83</v>
      </c>
      <c r="M1904" t="s">
        <v>84</v>
      </c>
      <c r="N1904">
        <v>1</v>
      </c>
      <c r="O1904" t="b">
        <v>0</v>
      </c>
      <c r="P1904">
        <v>0</v>
      </c>
      <c r="BB1904">
        <v>0</v>
      </c>
      <c r="BC1904" t="s">
        <v>306</v>
      </c>
      <c r="BD1904" t="s">
        <v>270</v>
      </c>
      <c r="BE1904" t="s">
        <v>117</v>
      </c>
      <c r="BF1904">
        <v>0</v>
      </c>
      <c r="BG1904">
        <v>0</v>
      </c>
      <c r="BH1904">
        <v>0</v>
      </c>
    </row>
    <row r="1905" spans="1:61">
      <c r="A1905" s="164" t="s">
        <v>4577</v>
      </c>
      <c r="B1905" t="s">
        <v>4578</v>
      </c>
      <c r="C1905">
        <v>0</v>
      </c>
      <c r="D1905" t="s">
        <v>304</v>
      </c>
      <c r="E1905">
        <v>0</v>
      </c>
      <c r="F1905" t="s">
        <v>313</v>
      </c>
      <c r="G1905" t="s">
        <v>78</v>
      </c>
      <c r="H1905" t="s">
        <v>79</v>
      </c>
      <c r="I1905" t="s">
        <v>80</v>
      </c>
      <c r="J1905" t="s">
        <v>196</v>
      </c>
      <c r="K1905" t="s">
        <v>13</v>
      </c>
      <c r="L1905" t="s">
        <v>83</v>
      </c>
      <c r="M1905" t="s">
        <v>205</v>
      </c>
      <c r="N1905">
        <v>1</v>
      </c>
      <c r="O1905" t="b">
        <v>1</v>
      </c>
      <c r="P1905">
        <v>0</v>
      </c>
      <c r="BB1905">
        <v>0</v>
      </c>
      <c r="BC1905" t="s">
        <v>306</v>
      </c>
      <c r="BD1905" t="s">
        <v>314</v>
      </c>
      <c r="BE1905" t="s">
        <v>117</v>
      </c>
      <c r="BF1905">
        <v>0</v>
      </c>
      <c r="BG1905">
        <v>45</v>
      </c>
      <c r="BH1905">
        <v>1000</v>
      </c>
      <c r="BI1905" t="s">
        <v>315</v>
      </c>
    </row>
    <row r="1906" spans="1:61">
      <c r="A1906" s="164" t="s">
        <v>4579</v>
      </c>
      <c r="B1906" t="s">
        <v>4580</v>
      </c>
      <c r="C1906">
        <v>0</v>
      </c>
      <c r="D1906" t="s">
        <v>304</v>
      </c>
      <c r="E1906">
        <v>0</v>
      </c>
      <c r="F1906" t="s">
        <v>269</v>
      </c>
      <c r="G1906" t="s">
        <v>103</v>
      </c>
      <c r="H1906" t="s">
        <v>104</v>
      </c>
      <c r="I1906" t="s">
        <v>80</v>
      </c>
      <c r="J1906" t="s">
        <v>196</v>
      </c>
      <c r="K1906" t="s">
        <v>13</v>
      </c>
      <c r="L1906" t="s">
        <v>83</v>
      </c>
      <c r="M1906" t="s">
        <v>84</v>
      </c>
      <c r="N1906">
        <v>1</v>
      </c>
      <c r="O1906" t="b">
        <v>0</v>
      </c>
      <c r="P1906">
        <v>0</v>
      </c>
      <c r="BB1906">
        <v>0</v>
      </c>
      <c r="BC1906" t="s">
        <v>306</v>
      </c>
      <c r="BD1906" t="s">
        <v>270</v>
      </c>
      <c r="BE1906" t="s">
        <v>117</v>
      </c>
      <c r="BF1906">
        <v>0</v>
      </c>
      <c r="BG1906">
        <v>0</v>
      </c>
      <c r="BH1906">
        <v>0</v>
      </c>
    </row>
    <row r="1907" spans="1:61">
      <c r="A1907" s="164" t="s">
        <v>4581</v>
      </c>
      <c r="B1907" t="s">
        <v>4582</v>
      </c>
      <c r="C1907">
        <v>0</v>
      </c>
      <c r="D1907" t="s">
        <v>304</v>
      </c>
      <c r="E1907">
        <v>0</v>
      </c>
      <c r="F1907" t="s">
        <v>269</v>
      </c>
      <c r="G1907" t="s">
        <v>103</v>
      </c>
      <c r="H1907" t="s">
        <v>104</v>
      </c>
      <c r="I1907" t="s">
        <v>80</v>
      </c>
      <c r="J1907" t="s">
        <v>196</v>
      </c>
      <c r="K1907" t="s">
        <v>13</v>
      </c>
      <c r="L1907" t="s">
        <v>83</v>
      </c>
      <c r="M1907" t="s">
        <v>84</v>
      </c>
      <c r="N1907">
        <v>1</v>
      </c>
      <c r="O1907" t="b">
        <v>0</v>
      </c>
      <c r="P1907">
        <v>0</v>
      </c>
      <c r="BB1907">
        <v>0</v>
      </c>
      <c r="BC1907" t="s">
        <v>306</v>
      </c>
      <c r="BD1907" t="s">
        <v>270</v>
      </c>
      <c r="BE1907" t="s">
        <v>117</v>
      </c>
      <c r="BF1907">
        <v>0</v>
      </c>
      <c r="BG1907">
        <v>0</v>
      </c>
      <c r="BH1907">
        <v>0</v>
      </c>
    </row>
    <row r="1908" spans="1:61">
      <c r="A1908" s="164" t="s">
        <v>4583</v>
      </c>
      <c r="B1908" t="s">
        <v>4584</v>
      </c>
      <c r="C1908">
        <v>0</v>
      </c>
      <c r="D1908" t="s">
        <v>304</v>
      </c>
      <c r="E1908">
        <v>0</v>
      </c>
      <c r="F1908" t="s">
        <v>313</v>
      </c>
      <c r="G1908" t="s">
        <v>78</v>
      </c>
      <c r="H1908" t="s">
        <v>79</v>
      </c>
      <c r="I1908" t="s">
        <v>80</v>
      </c>
      <c r="J1908" t="s">
        <v>196</v>
      </c>
      <c r="K1908" t="s">
        <v>13</v>
      </c>
      <c r="L1908" t="s">
        <v>83</v>
      </c>
      <c r="M1908" t="s">
        <v>205</v>
      </c>
      <c r="N1908">
        <v>1</v>
      </c>
      <c r="O1908" t="b">
        <v>1</v>
      </c>
      <c r="P1908">
        <v>0</v>
      </c>
      <c r="BB1908">
        <v>0</v>
      </c>
      <c r="BC1908" t="s">
        <v>306</v>
      </c>
      <c r="BD1908" t="s">
        <v>314</v>
      </c>
      <c r="BE1908" t="s">
        <v>117</v>
      </c>
      <c r="BF1908">
        <v>0</v>
      </c>
      <c r="BG1908">
        <v>45</v>
      </c>
      <c r="BH1908">
        <v>100</v>
      </c>
      <c r="BI1908" t="s">
        <v>584</v>
      </c>
    </row>
    <row r="1909" spans="1:61">
      <c r="A1909" s="164" t="s">
        <v>4585</v>
      </c>
      <c r="B1909" t="s">
        <v>4586</v>
      </c>
      <c r="C1909">
        <v>0</v>
      </c>
      <c r="D1909" t="s">
        <v>304</v>
      </c>
      <c r="E1909">
        <v>0</v>
      </c>
      <c r="F1909" t="s">
        <v>313</v>
      </c>
      <c r="G1909" t="s">
        <v>78</v>
      </c>
      <c r="H1909" t="s">
        <v>79</v>
      </c>
      <c r="I1909" t="s">
        <v>80</v>
      </c>
      <c r="J1909" t="s">
        <v>196</v>
      </c>
      <c r="K1909" t="s">
        <v>13</v>
      </c>
      <c r="L1909" t="s">
        <v>83</v>
      </c>
      <c r="M1909" t="s">
        <v>205</v>
      </c>
      <c r="N1909">
        <v>1</v>
      </c>
      <c r="O1909" t="b">
        <v>1</v>
      </c>
      <c r="P1909">
        <v>0</v>
      </c>
      <c r="BB1909">
        <v>0</v>
      </c>
      <c r="BC1909" t="s">
        <v>306</v>
      </c>
      <c r="BD1909" t="s">
        <v>314</v>
      </c>
      <c r="BE1909" t="s">
        <v>117</v>
      </c>
      <c r="BF1909">
        <v>0</v>
      </c>
      <c r="BG1909">
        <v>45</v>
      </c>
      <c r="BH1909">
        <v>100</v>
      </c>
      <c r="BI1909" t="s">
        <v>584</v>
      </c>
    </row>
    <row r="1910" spans="1:61">
      <c r="A1910" s="164" t="s">
        <v>4587</v>
      </c>
      <c r="B1910" t="s">
        <v>4588</v>
      </c>
      <c r="C1910">
        <v>0</v>
      </c>
      <c r="D1910" t="s">
        <v>304</v>
      </c>
      <c r="E1910">
        <v>0</v>
      </c>
      <c r="F1910" t="s">
        <v>269</v>
      </c>
      <c r="G1910" t="s">
        <v>103</v>
      </c>
      <c r="H1910" t="s">
        <v>104</v>
      </c>
      <c r="I1910" t="s">
        <v>80</v>
      </c>
      <c r="J1910" t="s">
        <v>196</v>
      </c>
      <c r="K1910" t="s">
        <v>13</v>
      </c>
      <c r="L1910" t="s">
        <v>83</v>
      </c>
      <c r="M1910" t="s">
        <v>84</v>
      </c>
      <c r="N1910">
        <v>1</v>
      </c>
      <c r="O1910" t="b">
        <v>0</v>
      </c>
      <c r="P1910">
        <v>0</v>
      </c>
      <c r="BB1910">
        <v>0</v>
      </c>
      <c r="BC1910" t="s">
        <v>306</v>
      </c>
      <c r="BD1910" t="s">
        <v>270</v>
      </c>
      <c r="BE1910" t="s">
        <v>117</v>
      </c>
      <c r="BF1910">
        <v>0</v>
      </c>
      <c r="BG1910">
        <v>0</v>
      </c>
      <c r="BH1910">
        <v>0</v>
      </c>
    </row>
    <row r="1911" spans="1:61">
      <c r="A1911" s="164" t="s">
        <v>4589</v>
      </c>
      <c r="B1911" t="s">
        <v>4590</v>
      </c>
      <c r="C1911">
        <v>0</v>
      </c>
      <c r="D1911" t="s">
        <v>304</v>
      </c>
      <c r="E1911">
        <v>0</v>
      </c>
      <c r="F1911" t="s">
        <v>269</v>
      </c>
      <c r="G1911" t="s">
        <v>103</v>
      </c>
      <c r="H1911" t="s">
        <v>104</v>
      </c>
      <c r="I1911" t="s">
        <v>80</v>
      </c>
      <c r="J1911" t="s">
        <v>196</v>
      </c>
      <c r="K1911" t="s">
        <v>13</v>
      </c>
      <c r="L1911" t="s">
        <v>83</v>
      </c>
      <c r="M1911" t="s">
        <v>84</v>
      </c>
      <c r="N1911">
        <v>1</v>
      </c>
      <c r="O1911" t="b">
        <v>0</v>
      </c>
      <c r="P1911">
        <v>0</v>
      </c>
      <c r="BB1911">
        <v>0</v>
      </c>
      <c r="BC1911" t="s">
        <v>306</v>
      </c>
      <c r="BD1911" t="s">
        <v>270</v>
      </c>
      <c r="BE1911" t="s">
        <v>117</v>
      </c>
      <c r="BF1911">
        <v>0</v>
      </c>
      <c r="BG1911">
        <v>0</v>
      </c>
      <c r="BH1911">
        <v>0</v>
      </c>
    </row>
    <row r="1912" spans="1:61">
      <c r="A1912" s="164" t="s">
        <v>4591</v>
      </c>
      <c r="B1912" t="s">
        <v>4592</v>
      </c>
      <c r="C1912">
        <v>0</v>
      </c>
      <c r="D1912" t="s">
        <v>194</v>
      </c>
      <c r="E1912">
        <v>0</v>
      </c>
      <c r="F1912" t="s">
        <v>195</v>
      </c>
      <c r="G1912" t="s">
        <v>78</v>
      </c>
      <c r="H1912" t="s">
        <v>79</v>
      </c>
      <c r="I1912" t="s">
        <v>80</v>
      </c>
      <c r="J1912" t="s">
        <v>196</v>
      </c>
      <c r="K1912" t="s">
        <v>13</v>
      </c>
      <c r="L1912" t="s">
        <v>83</v>
      </c>
      <c r="M1912" t="s">
        <v>205</v>
      </c>
      <c r="N1912">
        <v>1</v>
      </c>
      <c r="O1912" t="b">
        <v>1</v>
      </c>
      <c r="P1912">
        <v>0</v>
      </c>
      <c r="BB1912">
        <v>0</v>
      </c>
      <c r="BC1912" t="s">
        <v>197</v>
      </c>
      <c r="BD1912" t="s">
        <v>198</v>
      </c>
      <c r="BE1912" t="s">
        <v>117</v>
      </c>
      <c r="BF1912">
        <v>0</v>
      </c>
      <c r="BG1912">
        <v>0</v>
      </c>
      <c r="BH1912">
        <v>0</v>
      </c>
    </row>
    <row r="1913" spans="1:61">
      <c r="A1913" s="164" t="s">
        <v>4593</v>
      </c>
      <c r="B1913" t="s">
        <v>4594</v>
      </c>
      <c r="C1913">
        <v>0</v>
      </c>
      <c r="D1913" t="s">
        <v>194</v>
      </c>
      <c r="E1913">
        <v>0</v>
      </c>
      <c r="F1913" t="s">
        <v>195</v>
      </c>
      <c r="G1913" t="s">
        <v>78</v>
      </c>
      <c r="H1913" t="s">
        <v>79</v>
      </c>
      <c r="I1913" t="s">
        <v>80</v>
      </c>
      <c r="J1913" t="s">
        <v>196</v>
      </c>
      <c r="K1913" t="s">
        <v>13</v>
      </c>
      <c r="L1913" t="s">
        <v>83</v>
      </c>
      <c r="M1913" t="s">
        <v>84</v>
      </c>
      <c r="N1913">
        <v>1</v>
      </c>
      <c r="O1913" t="b">
        <v>1</v>
      </c>
      <c r="P1913">
        <v>0</v>
      </c>
      <c r="BB1913">
        <v>0</v>
      </c>
      <c r="BC1913" t="s">
        <v>197</v>
      </c>
      <c r="BD1913" t="s">
        <v>198</v>
      </c>
      <c r="BE1913" t="s">
        <v>117</v>
      </c>
      <c r="BF1913">
        <v>0</v>
      </c>
      <c r="BG1913">
        <v>0</v>
      </c>
      <c r="BH1913">
        <v>0</v>
      </c>
    </row>
    <row r="1914" spans="1:61">
      <c r="A1914" s="164" t="s">
        <v>4595</v>
      </c>
      <c r="B1914" t="s">
        <v>4596</v>
      </c>
      <c r="C1914">
        <v>0</v>
      </c>
      <c r="D1914" t="s">
        <v>194</v>
      </c>
      <c r="E1914">
        <v>0</v>
      </c>
      <c r="F1914" t="s">
        <v>195</v>
      </c>
      <c r="G1914" t="s">
        <v>78</v>
      </c>
      <c r="H1914" t="s">
        <v>79</v>
      </c>
      <c r="I1914" t="s">
        <v>80</v>
      </c>
      <c r="J1914" t="s">
        <v>196</v>
      </c>
      <c r="K1914" t="s">
        <v>13</v>
      </c>
      <c r="L1914" t="s">
        <v>83</v>
      </c>
      <c r="M1914" t="s">
        <v>84</v>
      </c>
      <c r="N1914">
        <v>1</v>
      </c>
      <c r="O1914" t="b">
        <v>1</v>
      </c>
      <c r="P1914">
        <v>0</v>
      </c>
      <c r="BB1914">
        <v>0</v>
      </c>
      <c r="BC1914" t="s">
        <v>197</v>
      </c>
      <c r="BD1914" t="s">
        <v>198</v>
      </c>
      <c r="BE1914" t="s">
        <v>117</v>
      </c>
      <c r="BF1914">
        <v>0</v>
      </c>
      <c r="BG1914">
        <v>0</v>
      </c>
      <c r="BH1914">
        <v>0</v>
      </c>
    </row>
    <row r="1915" spans="1:61">
      <c r="A1915" s="164" t="s">
        <v>4597</v>
      </c>
      <c r="B1915" t="s">
        <v>4598</v>
      </c>
      <c r="C1915">
        <v>0</v>
      </c>
      <c r="D1915" t="s">
        <v>194</v>
      </c>
      <c r="E1915">
        <v>0</v>
      </c>
      <c r="F1915" t="s">
        <v>195</v>
      </c>
      <c r="G1915" t="s">
        <v>78</v>
      </c>
      <c r="H1915" t="s">
        <v>79</v>
      </c>
      <c r="I1915" t="s">
        <v>80</v>
      </c>
      <c r="J1915" t="s">
        <v>196</v>
      </c>
      <c r="K1915" t="s">
        <v>13</v>
      </c>
      <c r="L1915" t="s">
        <v>83</v>
      </c>
      <c r="M1915" t="s">
        <v>205</v>
      </c>
      <c r="N1915">
        <v>1</v>
      </c>
      <c r="O1915" t="b">
        <v>1</v>
      </c>
      <c r="P1915">
        <v>0</v>
      </c>
      <c r="BB1915">
        <v>0</v>
      </c>
      <c r="BC1915" t="s">
        <v>197</v>
      </c>
      <c r="BD1915" t="s">
        <v>198</v>
      </c>
      <c r="BE1915" t="s">
        <v>117</v>
      </c>
      <c r="BF1915">
        <v>0</v>
      </c>
      <c r="BG1915">
        <v>0</v>
      </c>
      <c r="BH1915">
        <v>0</v>
      </c>
    </row>
    <row r="1916" spans="1:61">
      <c r="A1916" s="164" t="s">
        <v>4599</v>
      </c>
      <c r="B1916" t="s">
        <v>4600</v>
      </c>
      <c r="C1916">
        <v>0</v>
      </c>
      <c r="D1916" t="s">
        <v>194</v>
      </c>
      <c r="E1916">
        <v>0</v>
      </c>
      <c r="F1916" t="s">
        <v>195</v>
      </c>
      <c r="G1916" t="s">
        <v>78</v>
      </c>
      <c r="H1916" t="s">
        <v>79</v>
      </c>
      <c r="I1916" t="s">
        <v>80</v>
      </c>
      <c r="J1916" t="s">
        <v>196</v>
      </c>
      <c r="K1916" t="s">
        <v>13</v>
      </c>
      <c r="L1916" t="s">
        <v>83</v>
      </c>
      <c r="M1916" t="s">
        <v>205</v>
      </c>
      <c r="N1916">
        <v>1</v>
      </c>
      <c r="O1916" t="b">
        <v>1</v>
      </c>
      <c r="P1916">
        <v>0</v>
      </c>
      <c r="BB1916">
        <v>0</v>
      </c>
      <c r="BC1916" t="s">
        <v>197</v>
      </c>
      <c r="BD1916" t="s">
        <v>198</v>
      </c>
      <c r="BE1916" t="s">
        <v>117</v>
      </c>
      <c r="BF1916">
        <v>0</v>
      </c>
      <c r="BG1916">
        <v>0</v>
      </c>
      <c r="BH1916">
        <v>0</v>
      </c>
    </row>
    <row r="1917" spans="1:61">
      <c r="A1917" s="164" t="s">
        <v>4601</v>
      </c>
      <c r="B1917" t="s">
        <v>4602</v>
      </c>
      <c r="C1917">
        <v>0</v>
      </c>
      <c r="D1917" t="s">
        <v>194</v>
      </c>
      <c r="E1917">
        <v>0</v>
      </c>
      <c r="F1917" t="s">
        <v>214</v>
      </c>
      <c r="G1917" t="s">
        <v>78</v>
      </c>
      <c r="H1917" t="s">
        <v>79</v>
      </c>
      <c r="I1917" t="s">
        <v>80</v>
      </c>
      <c r="J1917" t="s">
        <v>196</v>
      </c>
      <c r="K1917" t="s">
        <v>13</v>
      </c>
      <c r="L1917" t="s">
        <v>83</v>
      </c>
      <c r="M1917" t="s">
        <v>215</v>
      </c>
      <c r="N1917">
        <v>1</v>
      </c>
      <c r="O1917" t="b">
        <v>1</v>
      </c>
      <c r="P1917">
        <v>0</v>
      </c>
      <c r="BB1917">
        <v>0</v>
      </c>
      <c r="BC1917" t="s">
        <v>197</v>
      </c>
      <c r="BD1917" t="s">
        <v>216</v>
      </c>
      <c r="BE1917" t="s">
        <v>117</v>
      </c>
      <c r="BF1917">
        <v>0</v>
      </c>
      <c r="BG1917">
        <v>0</v>
      </c>
      <c r="BH1917">
        <v>0</v>
      </c>
    </row>
    <row r="1918" spans="1:61">
      <c r="A1918" s="164" t="s">
        <v>4603</v>
      </c>
      <c r="B1918" t="s">
        <v>4604</v>
      </c>
      <c r="C1918">
        <v>0</v>
      </c>
      <c r="D1918" t="s">
        <v>194</v>
      </c>
      <c r="E1918">
        <v>0</v>
      </c>
      <c r="F1918" t="s">
        <v>214</v>
      </c>
      <c r="G1918" t="s">
        <v>78</v>
      </c>
      <c r="H1918" t="s">
        <v>79</v>
      </c>
      <c r="I1918" t="s">
        <v>80</v>
      </c>
      <c r="J1918" t="s">
        <v>196</v>
      </c>
      <c r="K1918" t="s">
        <v>13</v>
      </c>
      <c r="L1918" t="s">
        <v>83</v>
      </c>
      <c r="M1918" t="s">
        <v>215</v>
      </c>
      <c r="N1918">
        <v>1</v>
      </c>
      <c r="O1918" t="b">
        <v>1</v>
      </c>
      <c r="P1918">
        <v>0</v>
      </c>
      <c r="BB1918">
        <v>0</v>
      </c>
      <c r="BC1918" t="s">
        <v>197</v>
      </c>
      <c r="BD1918" t="s">
        <v>216</v>
      </c>
      <c r="BE1918" t="s">
        <v>117</v>
      </c>
      <c r="BF1918">
        <v>0</v>
      </c>
      <c r="BG1918">
        <v>0</v>
      </c>
      <c r="BH1918">
        <v>0</v>
      </c>
    </row>
    <row r="1919" spans="1:61">
      <c r="A1919" s="164" t="s">
        <v>4605</v>
      </c>
      <c r="B1919" t="s">
        <v>4606</v>
      </c>
      <c r="C1919">
        <v>0</v>
      </c>
      <c r="D1919" t="s">
        <v>194</v>
      </c>
      <c r="E1919">
        <v>0</v>
      </c>
      <c r="F1919" t="s">
        <v>214</v>
      </c>
      <c r="G1919" t="s">
        <v>78</v>
      </c>
      <c r="H1919" t="s">
        <v>79</v>
      </c>
      <c r="I1919" t="s">
        <v>80</v>
      </c>
      <c r="J1919" t="s">
        <v>196</v>
      </c>
      <c r="K1919" t="s">
        <v>13</v>
      </c>
      <c r="L1919" t="s">
        <v>83</v>
      </c>
      <c r="M1919" t="s">
        <v>215</v>
      </c>
      <c r="N1919">
        <v>1</v>
      </c>
      <c r="O1919" t="b">
        <v>1</v>
      </c>
      <c r="P1919">
        <v>0</v>
      </c>
      <c r="BB1919">
        <v>0</v>
      </c>
      <c r="BC1919" t="s">
        <v>197</v>
      </c>
      <c r="BD1919" t="s">
        <v>216</v>
      </c>
      <c r="BE1919" t="s">
        <v>117</v>
      </c>
      <c r="BF1919">
        <v>0</v>
      </c>
      <c r="BG1919">
        <v>0</v>
      </c>
      <c r="BH1919">
        <v>0</v>
      </c>
    </row>
    <row r="1920" spans="1:61">
      <c r="A1920" s="164" t="s">
        <v>4607</v>
      </c>
      <c r="B1920" t="s">
        <v>4608</v>
      </c>
      <c r="C1920">
        <v>0</v>
      </c>
      <c r="D1920" t="s">
        <v>194</v>
      </c>
      <c r="E1920">
        <v>0</v>
      </c>
      <c r="F1920" t="s">
        <v>214</v>
      </c>
      <c r="G1920" t="s">
        <v>78</v>
      </c>
      <c r="H1920" t="s">
        <v>79</v>
      </c>
      <c r="I1920" t="s">
        <v>80</v>
      </c>
      <c r="J1920" t="s">
        <v>196</v>
      </c>
      <c r="K1920" t="s">
        <v>13</v>
      </c>
      <c r="L1920" t="s">
        <v>83</v>
      </c>
      <c r="M1920" t="s">
        <v>215</v>
      </c>
      <c r="N1920">
        <v>1</v>
      </c>
      <c r="O1920" t="b">
        <v>1</v>
      </c>
      <c r="P1920">
        <v>0</v>
      </c>
      <c r="BB1920">
        <v>0</v>
      </c>
      <c r="BC1920" t="s">
        <v>197</v>
      </c>
      <c r="BD1920" t="s">
        <v>216</v>
      </c>
      <c r="BE1920" t="s">
        <v>117</v>
      </c>
      <c r="BF1920">
        <v>0</v>
      </c>
      <c r="BG1920">
        <v>0</v>
      </c>
      <c r="BH1920">
        <v>0</v>
      </c>
    </row>
    <row r="1921" spans="1:61">
      <c r="A1921" s="164" t="s">
        <v>4609</v>
      </c>
      <c r="B1921" t="s">
        <v>4610</v>
      </c>
      <c r="C1921">
        <v>0</v>
      </c>
      <c r="D1921" t="s">
        <v>304</v>
      </c>
      <c r="E1921">
        <v>0</v>
      </c>
      <c r="F1921" t="s">
        <v>342</v>
      </c>
      <c r="G1921" t="s">
        <v>78</v>
      </c>
      <c r="H1921" t="s">
        <v>79</v>
      </c>
      <c r="I1921" t="s">
        <v>80</v>
      </c>
      <c r="J1921" t="s">
        <v>196</v>
      </c>
      <c r="K1921" t="s">
        <v>13</v>
      </c>
      <c r="L1921" t="s">
        <v>83</v>
      </c>
      <c r="M1921" t="s">
        <v>84</v>
      </c>
      <c r="N1921">
        <v>1</v>
      </c>
      <c r="O1921" t="b">
        <v>1</v>
      </c>
      <c r="P1921">
        <v>0</v>
      </c>
      <c r="BB1921">
        <v>0</v>
      </c>
      <c r="BC1921" t="s">
        <v>306</v>
      </c>
      <c r="BD1921" t="s">
        <v>343</v>
      </c>
      <c r="BE1921" t="s">
        <v>117</v>
      </c>
      <c r="BF1921">
        <v>0</v>
      </c>
      <c r="BG1921">
        <v>25</v>
      </c>
      <c r="BH1921">
        <v>10000</v>
      </c>
      <c r="BI1921" t="s">
        <v>344</v>
      </c>
    </row>
    <row r="1922" spans="1:61">
      <c r="A1922" s="164" t="s">
        <v>4611</v>
      </c>
      <c r="B1922" t="s">
        <v>4612</v>
      </c>
      <c r="C1922">
        <v>0</v>
      </c>
      <c r="D1922" t="s">
        <v>304</v>
      </c>
      <c r="E1922">
        <v>0</v>
      </c>
      <c r="F1922" t="s">
        <v>357</v>
      </c>
      <c r="G1922" t="s">
        <v>78</v>
      </c>
      <c r="H1922" t="s">
        <v>79</v>
      </c>
      <c r="I1922" t="s">
        <v>80</v>
      </c>
      <c r="J1922" t="s">
        <v>196</v>
      </c>
      <c r="K1922" t="s">
        <v>13</v>
      </c>
      <c r="L1922" t="s">
        <v>83</v>
      </c>
      <c r="M1922" t="s">
        <v>84</v>
      </c>
      <c r="N1922">
        <v>1</v>
      </c>
      <c r="O1922" t="b">
        <v>1</v>
      </c>
      <c r="P1922">
        <v>0</v>
      </c>
      <c r="BB1922">
        <v>0</v>
      </c>
      <c r="BC1922" t="s">
        <v>306</v>
      </c>
      <c r="BD1922" t="s">
        <v>358</v>
      </c>
      <c r="BE1922" t="s">
        <v>117</v>
      </c>
      <c r="BF1922">
        <v>0</v>
      </c>
      <c r="BG1922">
        <v>25</v>
      </c>
      <c r="BH1922">
        <v>500</v>
      </c>
      <c r="BI1922" t="s">
        <v>359</v>
      </c>
    </row>
    <row r="1923" spans="1:61">
      <c r="A1923" s="164" t="s">
        <v>4613</v>
      </c>
      <c r="B1923" t="s">
        <v>4614</v>
      </c>
      <c r="C1923">
        <v>0</v>
      </c>
      <c r="D1923" t="s">
        <v>304</v>
      </c>
      <c r="E1923">
        <v>0</v>
      </c>
      <c r="F1923" t="s">
        <v>349</v>
      </c>
      <c r="G1923" t="s">
        <v>78</v>
      </c>
      <c r="H1923" t="s">
        <v>79</v>
      </c>
      <c r="I1923" t="s">
        <v>80</v>
      </c>
      <c r="J1923" t="s">
        <v>196</v>
      </c>
      <c r="K1923" t="s">
        <v>13</v>
      </c>
      <c r="L1923" t="s">
        <v>83</v>
      </c>
      <c r="M1923" t="s">
        <v>84</v>
      </c>
      <c r="N1923">
        <v>1</v>
      </c>
      <c r="O1923" t="b">
        <v>1</v>
      </c>
      <c r="P1923">
        <v>0</v>
      </c>
      <c r="BB1923">
        <v>0</v>
      </c>
      <c r="BC1923" t="s">
        <v>306</v>
      </c>
      <c r="BD1923" t="s">
        <v>350</v>
      </c>
      <c r="BE1923" t="s">
        <v>117</v>
      </c>
      <c r="BF1923">
        <v>0</v>
      </c>
      <c r="BG1923">
        <v>25</v>
      </c>
      <c r="BH1923">
        <v>10000</v>
      </c>
      <c r="BI1923" t="s">
        <v>344</v>
      </c>
    </row>
    <row r="1924" spans="1:61">
      <c r="A1924" s="164" t="s">
        <v>4615</v>
      </c>
      <c r="B1924" t="s">
        <v>4616</v>
      </c>
      <c r="C1924">
        <v>0</v>
      </c>
      <c r="D1924" t="s">
        <v>304</v>
      </c>
      <c r="E1924">
        <v>0</v>
      </c>
      <c r="F1924" t="s">
        <v>313</v>
      </c>
      <c r="G1924" t="s">
        <v>78</v>
      </c>
      <c r="H1924" t="s">
        <v>79</v>
      </c>
      <c r="I1924" t="s">
        <v>80</v>
      </c>
      <c r="J1924" t="s">
        <v>196</v>
      </c>
      <c r="K1924" t="s">
        <v>13</v>
      </c>
      <c r="L1924" t="s">
        <v>83</v>
      </c>
      <c r="M1924" t="s">
        <v>84</v>
      </c>
      <c r="N1924">
        <v>1</v>
      </c>
      <c r="O1924" t="b">
        <v>1</v>
      </c>
      <c r="P1924">
        <v>0</v>
      </c>
      <c r="BB1924">
        <v>0</v>
      </c>
      <c r="BC1924" t="s">
        <v>306</v>
      </c>
      <c r="BD1924" t="s">
        <v>314</v>
      </c>
      <c r="BE1924" t="s">
        <v>117</v>
      </c>
      <c r="BF1924">
        <v>0</v>
      </c>
      <c r="BG1924">
        <v>45</v>
      </c>
      <c r="BH1924">
        <v>60000</v>
      </c>
      <c r="BI1924" t="s">
        <v>3721</v>
      </c>
    </row>
    <row r="1925" spans="1:61">
      <c r="A1925" s="164" t="s">
        <v>4617</v>
      </c>
      <c r="B1925" t="s">
        <v>4618</v>
      </c>
      <c r="C1925">
        <v>0</v>
      </c>
      <c r="D1925" t="s">
        <v>304</v>
      </c>
      <c r="E1925">
        <v>0</v>
      </c>
      <c r="F1925" t="s">
        <v>331</v>
      </c>
      <c r="G1925" t="s">
        <v>78</v>
      </c>
      <c r="H1925" t="s">
        <v>79</v>
      </c>
      <c r="I1925" t="s">
        <v>80</v>
      </c>
      <c r="J1925" t="s">
        <v>196</v>
      </c>
      <c r="K1925" t="s">
        <v>13</v>
      </c>
      <c r="L1925" t="s">
        <v>83</v>
      </c>
      <c r="M1925" t="s">
        <v>84</v>
      </c>
      <c r="N1925">
        <v>1</v>
      </c>
      <c r="O1925" t="b">
        <v>1</v>
      </c>
      <c r="P1925">
        <v>0</v>
      </c>
      <c r="BB1925">
        <v>0</v>
      </c>
      <c r="BC1925" t="s">
        <v>306</v>
      </c>
      <c r="BD1925" t="s">
        <v>332</v>
      </c>
      <c r="BE1925" t="s">
        <v>117</v>
      </c>
      <c r="BF1925">
        <v>0</v>
      </c>
      <c r="BG1925">
        <v>60</v>
      </c>
      <c r="BH1925">
        <v>200000</v>
      </c>
      <c r="BI1925" t="s">
        <v>333</v>
      </c>
    </row>
    <row r="1926" spans="1:61">
      <c r="A1926" s="164" t="s">
        <v>4619</v>
      </c>
      <c r="B1926" t="s">
        <v>4620</v>
      </c>
      <c r="C1926">
        <v>0</v>
      </c>
      <c r="D1926" t="s">
        <v>304</v>
      </c>
      <c r="E1926">
        <v>0</v>
      </c>
      <c r="F1926" t="s">
        <v>305</v>
      </c>
      <c r="G1926" t="s">
        <v>78</v>
      </c>
      <c r="H1926" t="s">
        <v>79</v>
      </c>
      <c r="I1926" t="s">
        <v>80</v>
      </c>
      <c r="J1926" t="s">
        <v>196</v>
      </c>
      <c r="K1926" t="s">
        <v>13</v>
      </c>
      <c r="L1926" t="s">
        <v>83</v>
      </c>
      <c r="M1926" t="s">
        <v>84</v>
      </c>
      <c r="N1926">
        <v>1</v>
      </c>
      <c r="O1926" t="b">
        <v>1</v>
      </c>
      <c r="P1926">
        <v>0</v>
      </c>
      <c r="BB1926">
        <v>0</v>
      </c>
      <c r="BC1926" t="s">
        <v>306</v>
      </c>
      <c r="BD1926" t="s">
        <v>307</v>
      </c>
      <c r="BE1926" t="s">
        <v>117</v>
      </c>
      <c r="BF1926">
        <v>0</v>
      </c>
      <c r="BG1926">
        <v>25</v>
      </c>
      <c r="BH1926">
        <v>10000</v>
      </c>
      <c r="BI1926" t="s">
        <v>308</v>
      </c>
    </row>
    <row r="1927" spans="1:61">
      <c r="A1927" s="164" t="s">
        <v>4621</v>
      </c>
      <c r="B1927" t="s">
        <v>4622</v>
      </c>
      <c r="C1927">
        <v>0</v>
      </c>
      <c r="D1927" t="s">
        <v>304</v>
      </c>
      <c r="E1927">
        <v>0</v>
      </c>
      <c r="F1927" t="s">
        <v>336</v>
      </c>
      <c r="G1927" t="s">
        <v>78</v>
      </c>
      <c r="H1927" t="s">
        <v>79</v>
      </c>
      <c r="I1927" t="s">
        <v>80</v>
      </c>
      <c r="J1927" t="s">
        <v>196</v>
      </c>
      <c r="K1927" t="s">
        <v>13</v>
      </c>
      <c r="L1927" t="s">
        <v>83</v>
      </c>
      <c r="M1927" t="s">
        <v>84</v>
      </c>
      <c r="N1927">
        <v>1</v>
      </c>
      <c r="O1927" t="b">
        <v>1</v>
      </c>
      <c r="P1927">
        <v>0</v>
      </c>
      <c r="BB1927">
        <v>0</v>
      </c>
      <c r="BC1927" t="s">
        <v>306</v>
      </c>
      <c r="BD1927" t="s">
        <v>337</v>
      </c>
      <c r="BE1927" t="s">
        <v>117</v>
      </c>
      <c r="BF1927">
        <v>0</v>
      </c>
      <c r="BG1927">
        <v>30</v>
      </c>
      <c r="BH1927">
        <v>30000</v>
      </c>
      <c r="BI1927" t="s">
        <v>593</v>
      </c>
    </row>
    <row r="1928" spans="1:61">
      <c r="A1928" s="164" t="s">
        <v>4623</v>
      </c>
      <c r="B1928" t="s">
        <v>4624</v>
      </c>
      <c r="C1928">
        <v>0</v>
      </c>
      <c r="D1928" t="s">
        <v>304</v>
      </c>
      <c r="E1928">
        <v>0</v>
      </c>
      <c r="F1928" t="s">
        <v>336</v>
      </c>
      <c r="G1928" t="s">
        <v>78</v>
      </c>
      <c r="H1928" t="s">
        <v>79</v>
      </c>
      <c r="I1928" t="s">
        <v>80</v>
      </c>
      <c r="J1928" t="s">
        <v>196</v>
      </c>
      <c r="K1928" t="s">
        <v>13</v>
      </c>
      <c r="L1928" t="s">
        <v>83</v>
      </c>
      <c r="M1928" t="s">
        <v>84</v>
      </c>
      <c r="N1928">
        <v>1</v>
      </c>
      <c r="O1928" t="b">
        <v>1</v>
      </c>
      <c r="P1928">
        <v>0</v>
      </c>
      <c r="BB1928">
        <v>0</v>
      </c>
      <c r="BC1928" t="s">
        <v>306</v>
      </c>
      <c r="BD1928" t="s">
        <v>337</v>
      </c>
      <c r="BE1928" t="s">
        <v>117</v>
      </c>
      <c r="BF1928">
        <v>0</v>
      </c>
      <c r="BG1928">
        <v>30</v>
      </c>
      <c r="BH1928">
        <v>30000</v>
      </c>
      <c r="BI1928" t="s">
        <v>593</v>
      </c>
    </row>
    <row r="1929" spans="1:61">
      <c r="A1929" s="164" t="s">
        <v>4625</v>
      </c>
      <c r="B1929" t="s">
        <v>4626</v>
      </c>
      <c r="C1929">
        <v>0</v>
      </c>
      <c r="D1929" t="s">
        <v>304</v>
      </c>
      <c r="E1929">
        <v>0</v>
      </c>
      <c r="F1929" t="s">
        <v>336</v>
      </c>
      <c r="G1929" t="s">
        <v>78</v>
      </c>
      <c r="H1929" t="s">
        <v>79</v>
      </c>
      <c r="I1929" t="s">
        <v>80</v>
      </c>
      <c r="J1929" t="s">
        <v>196</v>
      </c>
      <c r="K1929" t="s">
        <v>13</v>
      </c>
      <c r="L1929" t="s">
        <v>83</v>
      </c>
      <c r="M1929" t="s">
        <v>84</v>
      </c>
      <c r="N1929">
        <v>1</v>
      </c>
      <c r="O1929" t="b">
        <v>1</v>
      </c>
      <c r="P1929">
        <v>0</v>
      </c>
      <c r="BB1929">
        <v>0</v>
      </c>
      <c r="BC1929" t="s">
        <v>306</v>
      </c>
      <c r="BD1929" t="s">
        <v>337</v>
      </c>
      <c r="BE1929" t="s">
        <v>117</v>
      </c>
      <c r="BF1929">
        <v>0</v>
      </c>
      <c r="BG1929">
        <v>30</v>
      </c>
      <c r="BH1929">
        <v>30000</v>
      </c>
      <c r="BI1929" t="s">
        <v>593</v>
      </c>
    </row>
    <row r="1930" spans="1:61">
      <c r="A1930" s="164" t="s">
        <v>4627</v>
      </c>
      <c r="B1930" t="s">
        <v>4628</v>
      </c>
      <c r="C1930">
        <v>0</v>
      </c>
      <c r="D1930" t="s">
        <v>194</v>
      </c>
      <c r="E1930">
        <v>0</v>
      </c>
      <c r="F1930" t="s">
        <v>195</v>
      </c>
      <c r="G1930" t="s">
        <v>78</v>
      </c>
      <c r="H1930" t="s">
        <v>79</v>
      </c>
      <c r="I1930" t="s">
        <v>80</v>
      </c>
      <c r="J1930" t="s">
        <v>196</v>
      </c>
      <c r="K1930" t="s">
        <v>13</v>
      </c>
      <c r="L1930" t="s">
        <v>83</v>
      </c>
      <c r="M1930" t="s">
        <v>205</v>
      </c>
      <c r="N1930">
        <v>1</v>
      </c>
      <c r="O1930" t="b">
        <v>1</v>
      </c>
      <c r="P1930">
        <v>0</v>
      </c>
      <c r="BB1930">
        <v>0</v>
      </c>
      <c r="BC1930" t="s">
        <v>197</v>
      </c>
      <c r="BD1930" t="s">
        <v>198</v>
      </c>
      <c r="BE1930" t="s">
        <v>117</v>
      </c>
      <c r="BF1930">
        <v>0</v>
      </c>
      <c r="BG1930">
        <v>0</v>
      </c>
      <c r="BH1930">
        <v>0</v>
      </c>
    </row>
    <row r="1931" spans="1:61">
      <c r="A1931" s="164" t="s">
        <v>4629</v>
      </c>
      <c r="B1931" t="s">
        <v>4630</v>
      </c>
      <c r="C1931">
        <v>0</v>
      </c>
      <c r="D1931" t="s">
        <v>194</v>
      </c>
      <c r="E1931">
        <v>0</v>
      </c>
      <c r="F1931" t="s">
        <v>195</v>
      </c>
      <c r="G1931" t="s">
        <v>78</v>
      </c>
      <c r="H1931" t="s">
        <v>79</v>
      </c>
      <c r="I1931" t="s">
        <v>80</v>
      </c>
      <c r="J1931" t="s">
        <v>196</v>
      </c>
      <c r="K1931" t="s">
        <v>13</v>
      </c>
      <c r="L1931" t="s">
        <v>83</v>
      </c>
      <c r="M1931" t="s">
        <v>205</v>
      </c>
      <c r="N1931">
        <v>1</v>
      </c>
      <c r="O1931" t="b">
        <v>1</v>
      </c>
      <c r="P1931">
        <v>0</v>
      </c>
      <c r="BB1931">
        <v>0</v>
      </c>
      <c r="BC1931" t="s">
        <v>197</v>
      </c>
      <c r="BD1931" t="s">
        <v>198</v>
      </c>
      <c r="BE1931" t="s">
        <v>117</v>
      </c>
      <c r="BF1931">
        <v>0</v>
      </c>
      <c r="BG1931">
        <v>0</v>
      </c>
      <c r="BH1931">
        <v>0</v>
      </c>
    </row>
    <row r="1932" spans="1:61">
      <c r="A1932" s="164" t="s">
        <v>4631</v>
      </c>
      <c r="B1932" t="s">
        <v>4632</v>
      </c>
      <c r="C1932">
        <v>0</v>
      </c>
      <c r="D1932" t="s">
        <v>194</v>
      </c>
      <c r="E1932">
        <v>0</v>
      </c>
      <c r="F1932" t="s">
        <v>195</v>
      </c>
      <c r="G1932" t="s">
        <v>78</v>
      </c>
      <c r="H1932" t="s">
        <v>79</v>
      </c>
      <c r="I1932" t="s">
        <v>80</v>
      </c>
      <c r="J1932" t="s">
        <v>196</v>
      </c>
      <c r="K1932" t="s">
        <v>13</v>
      </c>
      <c r="L1932" t="s">
        <v>83</v>
      </c>
      <c r="M1932" t="s">
        <v>205</v>
      </c>
      <c r="N1932">
        <v>1</v>
      </c>
      <c r="O1932" t="b">
        <v>1</v>
      </c>
      <c r="P1932">
        <v>0</v>
      </c>
      <c r="BB1932">
        <v>0</v>
      </c>
      <c r="BC1932" t="s">
        <v>197</v>
      </c>
      <c r="BD1932" t="s">
        <v>198</v>
      </c>
      <c r="BE1932" t="s">
        <v>117</v>
      </c>
      <c r="BF1932">
        <v>0</v>
      </c>
      <c r="BG1932">
        <v>0</v>
      </c>
      <c r="BH1932">
        <v>0</v>
      </c>
    </row>
    <row r="1933" spans="1:61">
      <c r="A1933" s="164" t="s">
        <v>4633</v>
      </c>
      <c r="B1933" t="s">
        <v>4634</v>
      </c>
      <c r="C1933">
        <v>0</v>
      </c>
      <c r="D1933" t="s">
        <v>194</v>
      </c>
      <c r="E1933">
        <v>0</v>
      </c>
      <c r="F1933" t="s">
        <v>214</v>
      </c>
      <c r="G1933" t="s">
        <v>78</v>
      </c>
      <c r="H1933" t="s">
        <v>79</v>
      </c>
      <c r="I1933" t="s">
        <v>80</v>
      </c>
      <c r="J1933" t="s">
        <v>196</v>
      </c>
      <c r="K1933" t="s">
        <v>13</v>
      </c>
      <c r="L1933" t="s">
        <v>83</v>
      </c>
      <c r="M1933" t="s">
        <v>84</v>
      </c>
      <c r="N1933">
        <v>1</v>
      </c>
      <c r="O1933" t="b">
        <v>1</v>
      </c>
      <c r="P1933">
        <v>0</v>
      </c>
      <c r="BB1933">
        <v>0</v>
      </c>
      <c r="BC1933" t="s">
        <v>197</v>
      </c>
      <c r="BD1933" t="s">
        <v>216</v>
      </c>
      <c r="BE1933" t="s">
        <v>117</v>
      </c>
      <c r="BF1933">
        <v>0</v>
      </c>
      <c r="BG1933">
        <v>0</v>
      </c>
      <c r="BH1933">
        <v>0</v>
      </c>
    </row>
    <row r="1934" spans="1:61">
      <c r="A1934" s="164" t="s">
        <v>4635</v>
      </c>
      <c r="B1934" t="s">
        <v>4636</v>
      </c>
      <c r="C1934">
        <v>0</v>
      </c>
      <c r="D1934" t="s">
        <v>194</v>
      </c>
      <c r="E1934">
        <v>0</v>
      </c>
      <c r="F1934" t="s">
        <v>195</v>
      </c>
      <c r="G1934" t="s">
        <v>78</v>
      </c>
      <c r="H1934" t="s">
        <v>79</v>
      </c>
      <c r="I1934" t="s">
        <v>80</v>
      </c>
      <c r="J1934" t="s">
        <v>196</v>
      </c>
      <c r="K1934" t="s">
        <v>13</v>
      </c>
      <c r="L1934" t="s">
        <v>83</v>
      </c>
      <c r="M1934" t="s">
        <v>84</v>
      </c>
      <c r="N1934">
        <v>1</v>
      </c>
      <c r="O1934" t="b">
        <v>1</v>
      </c>
      <c r="P1934">
        <v>0</v>
      </c>
      <c r="BB1934">
        <v>0</v>
      </c>
      <c r="BC1934" t="s">
        <v>197</v>
      </c>
      <c r="BD1934" t="s">
        <v>198</v>
      </c>
      <c r="BE1934" t="s">
        <v>117</v>
      </c>
      <c r="BF1934">
        <v>0</v>
      </c>
      <c r="BG1934">
        <v>0</v>
      </c>
      <c r="BH1934">
        <v>0</v>
      </c>
    </row>
    <row r="1935" spans="1:61">
      <c r="A1935" s="164" t="s">
        <v>4637</v>
      </c>
      <c r="B1935" t="s">
        <v>90</v>
      </c>
      <c r="C1935">
        <v>0</v>
      </c>
      <c r="D1935" t="s">
        <v>194</v>
      </c>
      <c r="E1935">
        <v>0</v>
      </c>
      <c r="F1935" t="s">
        <v>195</v>
      </c>
      <c r="G1935" t="s">
        <v>78</v>
      </c>
      <c r="H1935" t="s">
        <v>79</v>
      </c>
      <c r="I1935" t="s">
        <v>80</v>
      </c>
      <c r="J1935" t="s">
        <v>196</v>
      </c>
      <c r="K1935" t="s">
        <v>13</v>
      </c>
      <c r="L1935" t="s">
        <v>83</v>
      </c>
      <c r="M1935" t="s">
        <v>205</v>
      </c>
      <c r="N1935">
        <v>1</v>
      </c>
      <c r="O1935" t="b">
        <v>1</v>
      </c>
      <c r="P1935">
        <v>0</v>
      </c>
      <c r="BB1935">
        <v>0</v>
      </c>
      <c r="BC1935" t="s">
        <v>197</v>
      </c>
      <c r="BD1935" t="s">
        <v>198</v>
      </c>
      <c r="BE1935" t="s">
        <v>117</v>
      </c>
      <c r="BF1935">
        <v>0</v>
      </c>
      <c r="BG1935">
        <v>0</v>
      </c>
      <c r="BH1935">
        <v>0</v>
      </c>
    </row>
    <row r="1936" spans="1:61">
      <c r="A1936" s="164" t="s">
        <v>4638</v>
      </c>
      <c r="B1936" t="s">
        <v>4639</v>
      </c>
      <c r="C1936">
        <v>0</v>
      </c>
      <c r="D1936" t="s">
        <v>194</v>
      </c>
      <c r="E1936">
        <v>0</v>
      </c>
      <c r="F1936" t="s">
        <v>195</v>
      </c>
      <c r="G1936" t="s">
        <v>78</v>
      </c>
      <c r="H1936" t="s">
        <v>79</v>
      </c>
      <c r="I1936" t="s">
        <v>80</v>
      </c>
      <c r="J1936" t="s">
        <v>196</v>
      </c>
      <c r="K1936" t="s">
        <v>13</v>
      </c>
      <c r="L1936" t="s">
        <v>83</v>
      </c>
      <c r="M1936" t="s">
        <v>205</v>
      </c>
      <c r="N1936">
        <v>1</v>
      </c>
      <c r="O1936" t="b">
        <v>1</v>
      </c>
      <c r="P1936">
        <v>0</v>
      </c>
      <c r="BB1936">
        <v>0</v>
      </c>
      <c r="BC1936" t="s">
        <v>197</v>
      </c>
      <c r="BD1936" t="s">
        <v>198</v>
      </c>
      <c r="BE1936" t="s">
        <v>117</v>
      </c>
      <c r="BF1936">
        <v>0</v>
      </c>
      <c r="BG1936">
        <v>0</v>
      </c>
      <c r="BH1936">
        <v>0</v>
      </c>
    </row>
    <row r="1937" spans="1:61">
      <c r="A1937" s="164" t="s">
        <v>4640</v>
      </c>
      <c r="B1937" t="s">
        <v>4641</v>
      </c>
      <c r="C1937">
        <v>0</v>
      </c>
      <c r="D1937" t="s">
        <v>194</v>
      </c>
      <c r="E1937">
        <v>0</v>
      </c>
      <c r="F1937" t="s">
        <v>195</v>
      </c>
      <c r="G1937" t="s">
        <v>78</v>
      </c>
      <c r="H1937" t="s">
        <v>79</v>
      </c>
      <c r="I1937" t="s">
        <v>80</v>
      </c>
      <c r="J1937" t="s">
        <v>196</v>
      </c>
      <c r="K1937" t="s">
        <v>13</v>
      </c>
      <c r="L1937" t="s">
        <v>83</v>
      </c>
      <c r="M1937" t="s">
        <v>205</v>
      </c>
      <c r="N1937">
        <v>1</v>
      </c>
      <c r="O1937" t="b">
        <v>1</v>
      </c>
      <c r="P1937">
        <v>0</v>
      </c>
      <c r="BB1937">
        <v>0</v>
      </c>
      <c r="BC1937" t="s">
        <v>197</v>
      </c>
      <c r="BD1937" t="s">
        <v>198</v>
      </c>
      <c r="BE1937" t="s">
        <v>117</v>
      </c>
      <c r="BF1937">
        <v>0</v>
      </c>
      <c r="BG1937">
        <v>0</v>
      </c>
      <c r="BH1937">
        <v>0</v>
      </c>
    </row>
    <row r="1938" spans="1:61">
      <c r="A1938" s="164" t="s">
        <v>4642</v>
      </c>
      <c r="B1938" t="s">
        <v>4643</v>
      </c>
      <c r="C1938">
        <v>0</v>
      </c>
      <c r="D1938" t="s">
        <v>194</v>
      </c>
      <c r="E1938">
        <v>0</v>
      </c>
      <c r="F1938" t="s">
        <v>195</v>
      </c>
      <c r="G1938" t="s">
        <v>78</v>
      </c>
      <c r="H1938" t="s">
        <v>79</v>
      </c>
      <c r="I1938" t="s">
        <v>80</v>
      </c>
      <c r="J1938" t="s">
        <v>196</v>
      </c>
      <c r="K1938" t="s">
        <v>13</v>
      </c>
      <c r="L1938" t="s">
        <v>83</v>
      </c>
      <c r="M1938" t="s">
        <v>84</v>
      </c>
      <c r="N1938">
        <v>1</v>
      </c>
      <c r="O1938" t="b">
        <v>1</v>
      </c>
      <c r="P1938">
        <v>0</v>
      </c>
      <c r="BB1938">
        <v>0</v>
      </c>
      <c r="BC1938" t="s">
        <v>197</v>
      </c>
      <c r="BD1938" t="s">
        <v>198</v>
      </c>
      <c r="BE1938" t="s">
        <v>117</v>
      </c>
      <c r="BF1938">
        <v>0</v>
      </c>
      <c r="BG1938">
        <v>0</v>
      </c>
      <c r="BH1938">
        <v>0</v>
      </c>
    </row>
    <row r="1939" spans="1:61">
      <c r="A1939" s="164" t="s">
        <v>4644</v>
      </c>
      <c r="B1939" t="s">
        <v>4645</v>
      </c>
      <c r="C1939">
        <v>0</v>
      </c>
      <c r="D1939" t="s">
        <v>175</v>
      </c>
      <c r="E1939">
        <v>0</v>
      </c>
      <c r="F1939" t="s">
        <v>986</v>
      </c>
      <c r="G1939" t="s">
        <v>78</v>
      </c>
      <c r="H1939" t="s">
        <v>79</v>
      </c>
      <c r="I1939" t="s">
        <v>80</v>
      </c>
      <c r="J1939" t="s">
        <v>163</v>
      </c>
      <c r="K1939" t="s">
        <v>82</v>
      </c>
      <c r="L1939" t="s">
        <v>83</v>
      </c>
      <c r="M1939" t="s">
        <v>84</v>
      </c>
      <c r="N1939">
        <v>0.3</v>
      </c>
      <c r="O1939" t="b">
        <v>1</v>
      </c>
      <c r="P1939">
        <v>40</v>
      </c>
      <c r="Q1939" t="s">
        <v>137</v>
      </c>
      <c r="R1939" t="s">
        <v>164</v>
      </c>
      <c r="S1939">
        <v>0.3</v>
      </c>
      <c r="T1939">
        <v>1</v>
      </c>
      <c r="U1939" s="36">
        <v>1.11269</v>
      </c>
      <c r="V1939" t="s">
        <v>165</v>
      </c>
      <c r="W1939">
        <v>85</v>
      </c>
      <c r="X1939">
        <v>0</v>
      </c>
      <c r="Y1939">
        <v>120</v>
      </c>
      <c r="Z1939">
        <v>0</v>
      </c>
      <c r="AA1939">
        <v>35</v>
      </c>
      <c r="AB1939">
        <v>0</v>
      </c>
      <c r="AC1939">
        <v>0</v>
      </c>
      <c r="AD1939">
        <v>3000</v>
      </c>
      <c r="AE1939" t="s">
        <v>166</v>
      </c>
      <c r="AF1939" t="s">
        <v>986</v>
      </c>
      <c r="AG1939" t="s">
        <v>129</v>
      </c>
      <c r="AH1939">
        <v>0</v>
      </c>
      <c r="AI1939">
        <v>9.4</v>
      </c>
      <c r="AJ1939" t="s">
        <v>493</v>
      </c>
      <c r="AM1939">
        <v>9.66</v>
      </c>
      <c r="AN1939">
        <v>0</v>
      </c>
      <c r="AO1939">
        <v>0</v>
      </c>
      <c r="AP1939">
        <v>0</v>
      </c>
      <c r="AQ1939">
        <v>4.8346055979643761E-2</v>
      </c>
      <c r="AR1939">
        <v>0</v>
      </c>
      <c r="AS1939">
        <v>0</v>
      </c>
      <c r="AT1939">
        <v>1.0483460559796438</v>
      </c>
      <c r="AU1939">
        <v>0</v>
      </c>
      <c r="AV1939">
        <v>0</v>
      </c>
      <c r="AW1939">
        <v>0</v>
      </c>
      <c r="AX1939" t="s">
        <v>987</v>
      </c>
      <c r="AY1939">
        <v>15.860300000000001</v>
      </c>
      <c r="AZ1939">
        <v>10</v>
      </c>
      <c r="BA1939" t="s">
        <v>138</v>
      </c>
      <c r="BB1939">
        <v>0</v>
      </c>
      <c r="BC1939" t="s">
        <v>95</v>
      </c>
      <c r="BD1939" t="s">
        <v>96</v>
      </c>
      <c r="BE1939" t="s">
        <v>97</v>
      </c>
      <c r="BF1939">
        <v>1</v>
      </c>
      <c r="BG1939">
        <v>0</v>
      </c>
      <c r="BH1939">
        <v>0</v>
      </c>
      <c r="BI1939" t="s">
        <v>98</v>
      </c>
    </row>
    <row r="1940" spans="1:61">
      <c r="A1940" s="164" t="s">
        <v>4646</v>
      </c>
      <c r="B1940" t="s">
        <v>4647</v>
      </c>
      <c r="C1940">
        <v>0</v>
      </c>
      <c r="D1940" t="s">
        <v>194</v>
      </c>
      <c r="E1940">
        <v>0</v>
      </c>
      <c r="F1940" t="s">
        <v>195</v>
      </c>
      <c r="G1940" t="s">
        <v>78</v>
      </c>
      <c r="H1940" t="s">
        <v>79</v>
      </c>
      <c r="I1940" t="s">
        <v>80</v>
      </c>
      <c r="J1940" t="s">
        <v>196</v>
      </c>
      <c r="K1940" t="s">
        <v>13</v>
      </c>
      <c r="L1940" t="s">
        <v>83</v>
      </c>
      <c r="M1940" t="s">
        <v>84</v>
      </c>
      <c r="N1940">
        <v>1</v>
      </c>
      <c r="O1940" t="b">
        <v>1</v>
      </c>
      <c r="P1940">
        <v>0</v>
      </c>
      <c r="BB1940">
        <v>0</v>
      </c>
      <c r="BC1940" t="s">
        <v>197</v>
      </c>
      <c r="BD1940" t="s">
        <v>198</v>
      </c>
      <c r="BE1940" t="s">
        <v>117</v>
      </c>
      <c r="BF1940">
        <v>0</v>
      </c>
      <c r="BG1940">
        <v>0</v>
      </c>
      <c r="BH1940">
        <v>0</v>
      </c>
    </row>
    <row r="1941" spans="1:61">
      <c r="A1941" s="164" t="s">
        <v>4648</v>
      </c>
      <c r="B1941" t="s">
        <v>4649</v>
      </c>
      <c r="C1941">
        <v>0</v>
      </c>
      <c r="D1941" t="s">
        <v>194</v>
      </c>
      <c r="E1941">
        <v>0</v>
      </c>
      <c r="F1941" t="s">
        <v>195</v>
      </c>
      <c r="G1941" t="s">
        <v>78</v>
      </c>
      <c r="H1941" t="s">
        <v>79</v>
      </c>
      <c r="I1941" t="s">
        <v>80</v>
      </c>
      <c r="J1941" t="s">
        <v>196</v>
      </c>
      <c r="K1941" t="s">
        <v>13</v>
      </c>
      <c r="L1941" t="s">
        <v>83</v>
      </c>
      <c r="M1941" t="s">
        <v>84</v>
      </c>
      <c r="N1941">
        <v>1</v>
      </c>
      <c r="O1941" t="b">
        <v>1</v>
      </c>
      <c r="P1941">
        <v>0</v>
      </c>
      <c r="BB1941">
        <v>0</v>
      </c>
      <c r="BC1941" t="s">
        <v>197</v>
      </c>
      <c r="BD1941" t="s">
        <v>198</v>
      </c>
      <c r="BE1941" t="s">
        <v>117</v>
      </c>
      <c r="BF1941">
        <v>0</v>
      </c>
      <c r="BG1941">
        <v>0</v>
      </c>
      <c r="BH1941">
        <v>0</v>
      </c>
    </row>
    <row r="1942" spans="1:61">
      <c r="A1942" s="164" t="s">
        <v>4650</v>
      </c>
      <c r="B1942" t="s">
        <v>4651</v>
      </c>
      <c r="C1942">
        <v>0</v>
      </c>
      <c r="D1942" t="s">
        <v>194</v>
      </c>
      <c r="E1942">
        <v>0</v>
      </c>
      <c r="F1942" t="s">
        <v>195</v>
      </c>
      <c r="G1942" t="s">
        <v>78</v>
      </c>
      <c r="H1942" t="s">
        <v>79</v>
      </c>
      <c r="I1942" t="s">
        <v>80</v>
      </c>
      <c r="J1942" t="s">
        <v>196</v>
      </c>
      <c r="K1942" t="s">
        <v>13</v>
      </c>
      <c r="L1942" t="s">
        <v>83</v>
      </c>
      <c r="M1942" t="s">
        <v>205</v>
      </c>
      <c r="N1942">
        <v>1</v>
      </c>
      <c r="O1942" t="b">
        <v>1</v>
      </c>
      <c r="P1942">
        <v>0</v>
      </c>
      <c r="BB1942">
        <v>0</v>
      </c>
      <c r="BC1942" t="s">
        <v>197</v>
      </c>
      <c r="BD1942" t="s">
        <v>198</v>
      </c>
      <c r="BE1942" t="s">
        <v>117</v>
      </c>
      <c r="BF1942">
        <v>0</v>
      </c>
      <c r="BG1942">
        <v>0</v>
      </c>
      <c r="BH1942">
        <v>0</v>
      </c>
    </row>
    <row r="1943" spans="1:61">
      <c r="A1943" s="164" t="s">
        <v>4652</v>
      </c>
      <c r="B1943" t="s">
        <v>4653</v>
      </c>
      <c r="C1943">
        <v>0</v>
      </c>
      <c r="D1943" t="s">
        <v>194</v>
      </c>
      <c r="E1943">
        <v>0</v>
      </c>
      <c r="F1943" t="s">
        <v>195</v>
      </c>
      <c r="G1943" t="s">
        <v>78</v>
      </c>
      <c r="H1943" t="s">
        <v>79</v>
      </c>
      <c r="I1943" t="s">
        <v>80</v>
      </c>
      <c r="J1943" t="s">
        <v>196</v>
      </c>
      <c r="K1943" t="s">
        <v>13</v>
      </c>
      <c r="L1943" t="s">
        <v>83</v>
      </c>
      <c r="M1943" t="s">
        <v>205</v>
      </c>
      <c r="N1943">
        <v>1</v>
      </c>
      <c r="O1943" t="b">
        <v>1</v>
      </c>
      <c r="P1943">
        <v>0</v>
      </c>
      <c r="BB1943">
        <v>0</v>
      </c>
      <c r="BC1943" t="s">
        <v>197</v>
      </c>
      <c r="BD1943" t="s">
        <v>198</v>
      </c>
      <c r="BE1943" t="s">
        <v>117</v>
      </c>
      <c r="BF1943">
        <v>0</v>
      </c>
      <c r="BG1943">
        <v>0</v>
      </c>
      <c r="BH1943">
        <v>0</v>
      </c>
    </row>
    <row r="1944" spans="1:61">
      <c r="A1944" s="164" t="s">
        <v>4654</v>
      </c>
      <c r="B1944" t="s">
        <v>4655</v>
      </c>
      <c r="C1944">
        <v>0</v>
      </c>
      <c r="D1944" t="s">
        <v>194</v>
      </c>
      <c r="E1944">
        <v>0</v>
      </c>
      <c r="F1944" t="s">
        <v>195</v>
      </c>
      <c r="G1944" t="s">
        <v>78</v>
      </c>
      <c r="H1944" t="s">
        <v>79</v>
      </c>
      <c r="I1944" t="s">
        <v>80</v>
      </c>
      <c r="J1944" t="s">
        <v>196</v>
      </c>
      <c r="K1944" t="s">
        <v>13</v>
      </c>
      <c r="L1944" t="s">
        <v>83</v>
      </c>
      <c r="M1944" t="s">
        <v>205</v>
      </c>
      <c r="N1944">
        <v>1</v>
      </c>
      <c r="O1944" t="b">
        <v>1</v>
      </c>
      <c r="P1944">
        <v>0</v>
      </c>
      <c r="BB1944">
        <v>0</v>
      </c>
      <c r="BC1944" t="s">
        <v>197</v>
      </c>
      <c r="BD1944" t="s">
        <v>198</v>
      </c>
      <c r="BE1944" t="s">
        <v>117</v>
      </c>
      <c r="BF1944">
        <v>0</v>
      </c>
      <c r="BG1944">
        <v>0</v>
      </c>
      <c r="BH1944">
        <v>0</v>
      </c>
    </row>
    <row r="1945" spans="1:61">
      <c r="A1945" s="164" t="s">
        <v>4656</v>
      </c>
      <c r="B1945" t="s">
        <v>4657</v>
      </c>
      <c r="C1945">
        <v>0</v>
      </c>
      <c r="D1945" t="s">
        <v>194</v>
      </c>
      <c r="E1945">
        <v>0</v>
      </c>
      <c r="F1945" t="s">
        <v>195</v>
      </c>
      <c r="G1945" t="s">
        <v>78</v>
      </c>
      <c r="H1945" t="s">
        <v>79</v>
      </c>
      <c r="I1945" t="s">
        <v>80</v>
      </c>
      <c r="J1945" t="s">
        <v>196</v>
      </c>
      <c r="K1945" t="s">
        <v>13</v>
      </c>
      <c r="L1945" t="s">
        <v>83</v>
      </c>
      <c r="M1945" t="s">
        <v>205</v>
      </c>
      <c r="N1945">
        <v>1</v>
      </c>
      <c r="O1945" t="b">
        <v>1</v>
      </c>
      <c r="P1945">
        <v>0</v>
      </c>
      <c r="BB1945">
        <v>0</v>
      </c>
      <c r="BC1945" t="s">
        <v>197</v>
      </c>
      <c r="BD1945" t="s">
        <v>198</v>
      </c>
      <c r="BE1945" t="s">
        <v>117</v>
      </c>
      <c r="BF1945">
        <v>0</v>
      </c>
      <c r="BG1945">
        <v>0</v>
      </c>
      <c r="BH1945">
        <v>0</v>
      </c>
    </row>
    <row r="1946" spans="1:61">
      <c r="A1946" s="164" t="s">
        <v>4658</v>
      </c>
      <c r="B1946" t="s">
        <v>4659</v>
      </c>
      <c r="C1946">
        <v>0</v>
      </c>
      <c r="D1946" t="s">
        <v>194</v>
      </c>
      <c r="E1946">
        <v>0</v>
      </c>
      <c r="F1946" t="s">
        <v>195</v>
      </c>
      <c r="G1946" t="s">
        <v>78</v>
      </c>
      <c r="H1946" t="s">
        <v>79</v>
      </c>
      <c r="I1946" t="s">
        <v>80</v>
      </c>
      <c r="J1946" t="s">
        <v>196</v>
      </c>
      <c r="K1946" t="s">
        <v>13</v>
      </c>
      <c r="L1946" t="s">
        <v>83</v>
      </c>
      <c r="M1946" t="s">
        <v>205</v>
      </c>
      <c r="N1946">
        <v>1</v>
      </c>
      <c r="O1946" t="b">
        <v>1</v>
      </c>
      <c r="P1946">
        <v>0</v>
      </c>
      <c r="BB1946">
        <v>0</v>
      </c>
      <c r="BC1946" t="s">
        <v>197</v>
      </c>
      <c r="BD1946" t="s">
        <v>198</v>
      </c>
      <c r="BE1946" t="s">
        <v>117</v>
      </c>
      <c r="BF1946">
        <v>0</v>
      </c>
      <c r="BG1946">
        <v>0</v>
      </c>
      <c r="BH1946">
        <v>0</v>
      </c>
    </row>
    <row r="1947" spans="1:61">
      <c r="A1947" s="164" t="s">
        <v>4660</v>
      </c>
      <c r="B1947" t="s">
        <v>4661</v>
      </c>
      <c r="C1947">
        <v>0</v>
      </c>
      <c r="D1947" t="s">
        <v>194</v>
      </c>
      <c r="E1947">
        <v>0</v>
      </c>
      <c r="F1947" t="s">
        <v>195</v>
      </c>
      <c r="G1947" t="s">
        <v>78</v>
      </c>
      <c r="H1947" t="s">
        <v>79</v>
      </c>
      <c r="I1947" t="s">
        <v>80</v>
      </c>
      <c r="J1947" t="s">
        <v>196</v>
      </c>
      <c r="K1947" t="s">
        <v>13</v>
      </c>
      <c r="L1947" t="s">
        <v>83</v>
      </c>
      <c r="M1947" t="s">
        <v>84</v>
      </c>
      <c r="N1947">
        <v>1</v>
      </c>
      <c r="O1947" t="b">
        <v>1</v>
      </c>
      <c r="P1947">
        <v>0</v>
      </c>
      <c r="BB1947">
        <v>0</v>
      </c>
      <c r="BC1947" t="s">
        <v>197</v>
      </c>
      <c r="BD1947" t="s">
        <v>198</v>
      </c>
      <c r="BE1947" t="s">
        <v>117</v>
      </c>
      <c r="BF1947">
        <v>0</v>
      </c>
      <c r="BG1947">
        <v>0</v>
      </c>
      <c r="BH1947">
        <v>0</v>
      </c>
    </row>
    <row r="1948" spans="1:61">
      <c r="A1948" s="164" t="s">
        <v>4662</v>
      </c>
      <c r="B1948" t="s">
        <v>4663</v>
      </c>
      <c r="C1948">
        <v>0</v>
      </c>
      <c r="D1948" t="s">
        <v>194</v>
      </c>
      <c r="E1948">
        <v>0</v>
      </c>
      <c r="F1948" t="s">
        <v>195</v>
      </c>
      <c r="G1948" t="s">
        <v>78</v>
      </c>
      <c r="H1948" t="s">
        <v>79</v>
      </c>
      <c r="I1948" t="s">
        <v>80</v>
      </c>
      <c r="J1948" t="s">
        <v>196</v>
      </c>
      <c r="K1948" t="s">
        <v>13</v>
      </c>
      <c r="L1948" t="s">
        <v>83</v>
      </c>
      <c r="M1948" t="s">
        <v>205</v>
      </c>
      <c r="N1948">
        <v>1</v>
      </c>
      <c r="O1948" t="b">
        <v>1</v>
      </c>
      <c r="P1948">
        <v>0</v>
      </c>
      <c r="BB1948">
        <v>0</v>
      </c>
      <c r="BC1948" t="s">
        <v>197</v>
      </c>
      <c r="BD1948" t="s">
        <v>198</v>
      </c>
      <c r="BE1948" t="s">
        <v>117</v>
      </c>
      <c r="BF1948">
        <v>0</v>
      </c>
      <c r="BG1948">
        <v>0</v>
      </c>
      <c r="BH1948">
        <v>0</v>
      </c>
    </row>
    <row r="1949" spans="1:61">
      <c r="A1949" s="164" t="s">
        <v>4664</v>
      </c>
      <c r="B1949" t="s">
        <v>4665</v>
      </c>
      <c r="C1949">
        <v>0</v>
      </c>
      <c r="D1949" t="s">
        <v>194</v>
      </c>
      <c r="E1949">
        <v>0</v>
      </c>
      <c r="F1949" t="s">
        <v>214</v>
      </c>
      <c r="G1949" t="s">
        <v>78</v>
      </c>
      <c r="H1949" t="s">
        <v>79</v>
      </c>
      <c r="I1949" t="s">
        <v>80</v>
      </c>
      <c r="J1949" t="s">
        <v>196</v>
      </c>
      <c r="K1949" t="s">
        <v>13</v>
      </c>
      <c r="L1949" t="s">
        <v>83</v>
      </c>
      <c r="M1949" t="s">
        <v>215</v>
      </c>
      <c r="N1949">
        <v>1</v>
      </c>
      <c r="O1949" t="b">
        <v>1</v>
      </c>
      <c r="P1949">
        <v>0</v>
      </c>
      <c r="BB1949">
        <v>0</v>
      </c>
      <c r="BC1949" t="s">
        <v>197</v>
      </c>
      <c r="BD1949" t="s">
        <v>216</v>
      </c>
      <c r="BE1949" t="s">
        <v>117</v>
      </c>
      <c r="BF1949">
        <v>0</v>
      </c>
      <c r="BG1949">
        <v>0</v>
      </c>
      <c r="BH1949">
        <v>0</v>
      </c>
    </row>
    <row r="1950" spans="1:61">
      <c r="A1950" s="164" t="s">
        <v>4666</v>
      </c>
      <c r="B1950" t="s">
        <v>4667</v>
      </c>
      <c r="C1950">
        <v>0</v>
      </c>
      <c r="D1950" t="s">
        <v>194</v>
      </c>
      <c r="E1950">
        <v>0</v>
      </c>
      <c r="F1950" t="s">
        <v>195</v>
      </c>
      <c r="G1950" t="s">
        <v>78</v>
      </c>
      <c r="H1950" t="s">
        <v>79</v>
      </c>
      <c r="I1950" t="s">
        <v>80</v>
      </c>
      <c r="J1950" t="s">
        <v>196</v>
      </c>
      <c r="K1950" t="s">
        <v>13</v>
      </c>
      <c r="L1950" t="s">
        <v>83</v>
      </c>
      <c r="M1950" t="s">
        <v>205</v>
      </c>
      <c r="N1950">
        <v>1</v>
      </c>
      <c r="O1950" t="b">
        <v>1</v>
      </c>
      <c r="P1950">
        <v>0</v>
      </c>
      <c r="BB1950">
        <v>0</v>
      </c>
      <c r="BC1950" t="s">
        <v>197</v>
      </c>
      <c r="BD1950" t="s">
        <v>198</v>
      </c>
      <c r="BE1950" t="s">
        <v>117</v>
      </c>
      <c r="BF1950">
        <v>0</v>
      </c>
      <c r="BG1950">
        <v>0</v>
      </c>
      <c r="BH1950">
        <v>0</v>
      </c>
    </row>
    <row r="1951" spans="1:61">
      <c r="A1951" s="164" t="s">
        <v>4668</v>
      </c>
      <c r="B1951" t="s">
        <v>4669</v>
      </c>
      <c r="C1951">
        <v>0</v>
      </c>
      <c r="D1951" t="s">
        <v>194</v>
      </c>
      <c r="E1951">
        <v>0</v>
      </c>
      <c r="F1951" t="s">
        <v>214</v>
      </c>
      <c r="G1951" t="s">
        <v>78</v>
      </c>
      <c r="H1951" t="s">
        <v>79</v>
      </c>
      <c r="I1951" t="s">
        <v>80</v>
      </c>
      <c r="J1951" t="s">
        <v>196</v>
      </c>
      <c r="K1951" t="s">
        <v>13</v>
      </c>
      <c r="L1951" t="s">
        <v>83</v>
      </c>
      <c r="M1951" t="s">
        <v>215</v>
      </c>
      <c r="N1951">
        <v>1</v>
      </c>
      <c r="O1951" t="b">
        <v>1</v>
      </c>
      <c r="P1951">
        <v>0</v>
      </c>
      <c r="BB1951">
        <v>0</v>
      </c>
      <c r="BC1951" t="s">
        <v>197</v>
      </c>
      <c r="BD1951" t="s">
        <v>216</v>
      </c>
      <c r="BE1951" t="s">
        <v>117</v>
      </c>
      <c r="BF1951">
        <v>0</v>
      </c>
      <c r="BG1951">
        <v>0</v>
      </c>
      <c r="BH1951">
        <v>0</v>
      </c>
    </row>
    <row r="1952" spans="1:61">
      <c r="A1952" s="164" t="s">
        <v>4670</v>
      </c>
      <c r="B1952" t="s">
        <v>4671</v>
      </c>
      <c r="C1952">
        <v>0</v>
      </c>
      <c r="D1952" t="s">
        <v>194</v>
      </c>
      <c r="E1952">
        <v>0</v>
      </c>
      <c r="F1952" t="s">
        <v>195</v>
      </c>
      <c r="G1952" t="s">
        <v>78</v>
      </c>
      <c r="H1952" t="s">
        <v>79</v>
      </c>
      <c r="I1952" t="s">
        <v>80</v>
      </c>
      <c r="J1952" t="s">
        <v>196</v>
      </c>
      <c r="K1952" t="s">
        <v>13</v>
      </c>
      <c r="L1952" t="s">
        <v>83</v>
      </c>
      <c r="M1952" t="s">
        <v>84</v>
      </c>
      <c r="N1952">
        <v>1</v>
      </c>
      <c r="O1952" t="b">
        <v>1</v>
      </c>
      <c r="P1952">
        <v>0</v>
      </c>
      <c r="BB1952">
        <v>0</v>
      </c>
      <c r="BC1952" t="s">
        <v>197</v>
      </c>
      <c r="BD1952" t="s">
        <v>198</v>
      </c>
      <c r="BE1952" t="s">
        <v>117</v>
      </c>
      <c r="BF1952">
        <v>0</v>
      </c>
      <c r="BG1952">
        <v>0</v>
      </c>
      <c r="BH1952">
        <v>0</v>
      </c>
    </row>
    <row r="1953" spans="1:61">
      <c r="A1953" s="164" t="s">
        <v>4672</v>
      </c>
      <c r="B1953" t="s">
        <v>4673</v>
      </c>
      <c r="C1953">
        <v>0</v>
      </c>
      <c r="D1953" t="s">
        <v>194</v>
      </c>
      <c r="E1953">
        <v>0</v>
      </c>
      <c r="F1953" t="s">
        <v>195</v>
      </c>
      <c r="G1953" t="s">
        <v>78</v>
      </c>
      <c r="H1953" t="s">
        <v>79</v>
      </c>
      <c r="I1953" t="s">
        <v>80</v>
      </c>
      <c r="J1953" t="s">
        <v>196</v>
      </c>
      <c r="K1953" t="s">
        <v>13</v>
      </c>
      <c r="L1953" t="s">
        <v>83</v>
      </c>
      <c r="M1953" t="s">
        <v>84</v>
      </c>
      <c r="N1953">
        <v>1</v>
      </c>
      <c r="O1953" t="b">
        <v>1</v>
      </c>
      <c r="P1953">
        <v>0</v>
      </c>
      <c r="BB1953">
        <v>0</v>
      </c>
      <c r="BC1953" t="s">
        <v>197</v>
      </c>
      <c r="BD1953" t="s">
        <v>198</v>
      </c>
      <c r="BE1953" t="s">
        <v>117</v>
      </c>
      <c r="BF1953">
        <v>0</v>
      </c>
      <c r="BG1953">
        <v>0</v>
      </c>
      <c r="BH1953">
        <v>0</v>
      </c>
    </row>
    <row r="1954" spans="1:61">
      <c r="A1954" s="164" t="s">
        <v>4674</v>
      </c>
      <c r="B1954" t="s">
        <v>4675</v>
      </c>
      <c r="C1954">
        <v>0</v>
      </c>
      <c r="D1954" t="s">
        <v>194</v>
      </c>
      <c r="E1954">
        <v>0</v>
      </c>
      <c r="F1954" t="s">
        <v>195</v>
      </c>
      <c r="G1954" t="s">
        <v>78</v>
      </c>
      <c r="H1954" t="s">
        <v>79</v>
      </c>
      <c r="I1954" t="s">
        <v>80</v>
      </c>
      <c r="J1954" t="s">
        <v>196</v>
      </c>
      <c r="K1954" t="s">
        <v>13</v>
      </c>
      <c r="L1954" t="s">
        <v>83</v>
      </c>
      <c r="M1954" t="s">
        <v>205</v>
      </c>
      <c r="N1954">
        <v>1</v>
      </c>
      <c r="O1954" t="b">
        <v>1</v>
      </c>
      <c r="P1954">
        <v>0</v>
      </c>
      <c r="BB1954">
        <v>0</v>
      </c>
      <c r="BC1954" t="s">
        <v>197</v>
      </c>
      <c r="BD1954" t="s">
        <v>198</v>
      </c>
      <c r="BE1954" t="s">
        <v>117</v>
      </c>
      <c r="BF1954">
        <v>0</v>
      </c>
      <c r="BG1954">
        <v>0</v>
      </c>
      <c r="BH1954">
        <v>0</v>
      </c>
    </row>
    <row r="1955" spans="1:61">
      <c r="A1955" s="164" t="s">
        <v>4676</v>
      </c>
      <c r="B1955" t="s">
        <v>4677</v>
      </c>
      <c r="C1955">
        <v>0</v>
      </c>
      <c r="D1955" t="s">
        <v>194</v>
      </c>
      <c r="E1955">
        <v>0</v>
      </c>
      <c r="F1955" t="s">
        <v>195</v>
      </c>
      <c r="G1955" t="s">
        <v>78</v>
      </c>
      <c r="H1955" t="s">
        <v>79</v>
      </c>
      <c r="I1955" t="s">
        <v>80</v>
      </c>
      <c r="J1955" t="s">
        <v>196</v>
      </c>
      <c r="K1955" t="s">
        <v>13</v>
      </c>
      <c r="L1955" t="s">
        <v>83</v>
      </c>
      <c r="M1955" t="s">
        <v>205</v>
      </c>
      <c r="N1955">
        <v>1</v>
      </c>
      <c r="O1955" t="b">
        <v>1</v>
      </c>
      <c r="P1955">
        <v>0</v>
      </c>
      <c r="BB1955">
        <v>0</v>
      </c>
      <c r="BC1955" t="s">
        <v>197</v>
      </c>
      <c r="BD1955" t="s">
        <v>198</v>
      </c>
      <c r="BE1955" t="s">
        <v>117</v>
      </c>
      <c r="BF1955">
        <v>0</v>
      </c>
      <c r="BG1955">
        <v>0</v>
      </c>
      <c r="BH1955">
        <v>0</v>
      </c>
    </row>
    <row r="1956" spans="1:61">
      <c r="A1956" s="164" t="s">
        <v>4678</v>
      </c>
      <c r="B1956" t="s">
        <v>4679</v>
      </c>
      <c r="C1956">
        <v>0</v>
      </c>
      <c r="D1956" t="s">
        <v>181</v>
      </c>
      <c r="E1956">
        <v>0</v>
      </c>
      <c r="F1956" t="s">
        <v>181</v>
      </c>
      <c r="G1956" t="s">
        <v>78</v>
      </c>
      <c r="H1956" t="s">
        <v>79</v>
      </c>
      <c r="I1956" t="s">
        <v>80</v>
      </c>
      <c r="J1956" t="s">
        <v>163</v>
      </c>
      <c r="K1956" t="s">
        <v>82</v>
      </c>
      <c r="L1956" t="s">
        <v>83</v>
      </c>
      <c r="M1956" t="s">
        <v>84</v>
      </c>
      <c r="N1956">
        <v>0.2</v>
      </c>
      <c r="O1956" t="b">
        <v>1</v>
      </c>
      <c r="P1956">
        <v>90</v>
      </c>
      <c r="Q1956" t="s">
        <v>137</v>
      </c>
      <c r="S1956">
        <v>0.2</v>
      </c>
      <c r="T1956">
        <v>1</v>
      </c>
      <c r="U1956" s="36">
        <v>0.37625999999999998</v>
      </c>
      <c r="V1956" t="s">
        <v>991</v>
      </c>
      <c r="W1956">
        <v>8</v>
      </c>
      <c r="X1956">
        <v>0</v>
      </c>
      <c r="Y1956">
        <v>70</v>
      </c>
      <c r="AA1956">
        <v>35</v>
      </c>
      <c r="AB1956">
        <v>0</v>
      </c>
      <c r="AC1956">
        <v>0</v>
      </c>
      <c r="AD1956">
        <v>1600</v>
      </c>
      <c r="AE1956" t="s">
        <v>1699</v>
      </c>
      <c r="AF1956" t="s">
        <v>181</v>
      </c>
      <c r="AG1956" t="s">
        <v>129</v>
      </c>
      <c r="AH1956">
        <v>0</v>
      </c>
      <c r="AI1956">
        <v>11</v>
      </c>
      <c r="AM1956">
        <v>3.52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 t="s">
        <v>4680</v>
      </c>
      <c r="AZ1956">
        <v>0</v>
      </c>
      <c r="BA1956" t="s">
        <v>138</v>
      </c>
      <c r="BB1956">
        <v>1.93</v>
      </c>
      <c r="BC1956" t="s">
        <v>95</v>
      </c>
      <c r="BD1956" t="s">
        <v>96</v>
      </c>
      <c r="BE1956" t="s">
        <v>97</v>
      </c>
      <c r="BF1956">
        <v>1</v>
      </c>
      <c r="BG1956">
        <v>0</v>
      </c>
      <c r="BH1956">
        <v>0</v>
      </c>
      <c r="BI1956" t="s">
        <v>98</v>
      </c>
    </row>
    <row r="1957" spans="1:61">
      <c r="A1957" s="164" t="s">
        <v>4681</v>
      </c>
      <c r="B1957" t="s">
        <v>4682</v>
      </c>
      <c r="C1957">
        <v>0</v>
      </c>
      <c r="D1957" t="s">
        <v>107</v>
      </c>
      <c r="E1957">
        <v>0</v>
      </c>
      <c r="F1957" t="s">
        <v>499</v>
      </c>
      <c r="G1957" t="s">
        <v>103</v>
      </c>
      <c r="H1957" t="s">
        <v>104</v>
      </c>
      <c r="I1957" t="s">
        <v>80</v>
      </c>
      <c r="J1957" t="s">
        <v>109</v>
      </c>
      <c r="K1957" t="s">
        <v>110</v>
      </c>
      <c r="L1957" t="s">
        <v>111</v>
      </c>
      <c r="M1957" t="s">
        <v>84</v>
      </c>
      <c r="N1957">
        <v>0.89999999999999991</v>
      </c>
      <c r="O1957" t="b">
        <v>0</v>
      </c>
      <c r="P1957">
        <v>45</v>
      </c>
      <c r="Q1957" t="s">
        <v>85</v>
      </c>
      <c r="S1957">
        <v>0</v>
      </c>
      <c r="T1957">
        <v>0</v>
      </c>
      <c r="V1957" t="s">
        <v>87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F1957" t="s">
        <v>3568</v>
      </c>
      <c r="AH1957">
        <v>0</v>
      </c>
      <c r="AI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 t="s">
        <v>4683</v>
      </c>
      <c r="AY1957">
        <v>0</v>
      </c>
      <c r="AZ1957">
        <v>0</v>
      </c>
      <c r="BA1957" t="s">
        <v>94</v>
      </c>
      <c r="BB1957">
        <v>0</v>
      </c>
      <c r="BC1957" t="s">
        <v>115</v>
      </c>
      <c r="BD1957" t="s">
        <v>116</v>
      </c>
      <c r="BE1957" t="s">
        <v>117</v>
      </c>
      <c r="BF1957">
        <v>0</v>
      </c>
      <c r="BG1957">
        <v>0</v>
      </c>
      <c r="BH1957">
        <v>0</v>
      </c>
      <c r="BI1957" t="s">
        <v>98</v>
      </c>
    </row>
    <row r="1958" spans="1:61">
      <c r="A1958" s="164" t="s">
        <v>4684</v>
      </c>
      <c r="B1958" t="s">
        <v>4685</v>
      </c>
      <c r="C1958">
        <v>0</v>
      </c>
      <c r="D1958" t="s">
        <v>107</v>
      </c>
      <c r="E1958">
        <v>0</v>
      </c>
      <c r="F1958" t="s">
        <v>108</v>
      </c>
      <c r="G1958" t="s">
        <v>103</v>
      </c>
      <c r="H1958" t="s">
        <v>104</v>
      </c>
      <c r="I1958" t="s">
        <v>80</v>
      </c>
      <c r="J1958" t="s">
        <v>109</v>
      </c>
      <c r="K1958" t="s">
        <v>110</v>
      </c>
      <c r="L1958" t="s">
        <v>111</v>
      </c>
      <c r="M1958" t="s">
        <v>84</v>
      </c>
      <c r="N1958">
        <v>6.3</v>
      </c>
      <c r="O1958" t="b">
        <v>0</v>
      </c>
      <c r="P1958">
        <v>45</v>
      </c>
      <c r="Q1958" t="s">
        <v>85</v>
      </c>
      <c r="S1958">
        <v>0</v>
      </c>
      <c r="T1958">
        <v>0</v>
      </c>
      <c r="V1958" t="s">
        <v>87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F1958" t="s">
        <v>3568</v>
      </c>
      <c r="AH1958">
        <v>0</v>
      </c>
      <c r="AI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 t="s">
        <v>4686</v>
      </c>
      <c r="AY1958">
        <v>0</v>
      </c>
      <c r="AZ1958">
        <v>7</v>
      </c>
      <c r="BA1958" t="s">
        <v>94</v>
      </c>
      <c r="BB1958">
        <v>7.26</v>
      </c>
      <c r="BC1958" t="s">
        <v>115</v>
      </c>
      <c r="BD1958" t="s">
        <v>116</v>
      </c>
      <c r="BE1958" t="s">
        <v>117</v>
      </c>
      <c r="BF1958">
        <v>0</v>
      </c>
      <c r="BG1958">
        <v>0</v>
      </c>
      <c r="BH1958">
        <v>0</v>
      </c>
      <c r="BI1958" t="s">
        <v>98</v>
      </c>
    </row>
    <row r="1959" spans="1:61">
      <c r="A1959" s="164" t="s">
        <v>4687</v>
      </c>
      <c r="B1959" t="s">
        <v>4688</v>
      </c>
      <c r="C1959">
        <v>0</v>
      </c>
      <c r="D1959" t="s">
        <v>76</v>
      </c>
      <c r="E1959">
        <v>0</v>
      </c>
      <c r="F1959" t="s">
        <v>77</v>
      </c>
      <c r="G1959" t="s">
        <v>103</v>
      </c>
      <c r="H1959" t="s">
        <v>104</v>
      </c>
      <c r="I1959" t="s">
        <v>80</v>
      </c>
      <c r="J1959" t="s">
        <v>81</v>
      </c>
      <c r="K1959" t="s">
        <v>82</v>
      </c>
      <c r="L1959" t="s">
        <v>83</v>
      </c>
      <c r="M1959" t="s">
        <v>84</v>
      </c>
      <c r="N1959">
        <v>0.17</v>
      </c>
      <c r="O1959" t="b">
        <v>1</v>
      </c>
      <c r="P1959">
        <v>45</v>
      </c>
      <c r="Q1959" t="s">
        <v>85</v>
      </c>
      <c r="R1959" t="s">
        <v>86</v>
      </c>
      <c r="S1959">
        <v>0.14000000000000001</v>
      </c>
      <c r="T1959">
        <v>0.82352941176470595</v>
      </c>
      <c r="U1959" s="36">
        <v>0.34762000000000004</v>
      </c>
      <c r="V1959" t="s">
        <v>87</v>
      </c>
      <c r="W1959">
        <v>150</v>
      </c>
      <c r="X1959">
        <v>0.45</v>
      </c>
      <c r="Y1959">
        <v>65</v>
      </c>
      <c r="Z1959">
        <v>1.6666666666666666E-2</v>
      </c>
      <c r="AA1959">
        <v>30</v>
      </c>
      <c r="AB1959">
        <v>0</v>
      </c>
      <c r="AC1959">
        <v>540</v>
      </c>
      <c r="AD1959">
        <v>3857.1428571428569</v>
      </c>
      <c r="AE1959" t="s">
        <v>88</v>
      </c>
      <c r="AF1959" t="s">
        <v>89</v>
      </c>
      <c r="AG1959" t="s">
        <v>90</v>
      </c>
      <c r="AH1959">
        <v>0</v>
      </c>
      <c r="AI1959">
        <v>1</v>
      </c>
      <c r="AJ1959" t="s">
        <v>91</v>
      </c>
      <c r="AK1959" t="s">
        <v>92</v>
      </c>
      <c r="AL1959" t="s">
        <v>93</v>
      </c>
      <c r="AM1959">
        <v>0.98220000000000007</v>
      </c>
      <c r="AN1959">
        <v>0</v>
      </c>
      <c r="AO1959">
        <v>0</v>
      </c>
      <c r="AP1959">
        <v>0</v>
      </c>
      <c r="AQ1959">
        <v>8.6691086691086688E-2</v>
      </c>
      <c r="AR1959">
        <v>2.6666666666666505E-3</v>
      </c>
      <c r="AS1959">
        <v>0</v>
      </c>
      <c r="AT1959">
        <v>1.0866910866910866</v>
      </c>
      <c r="AU1959">
        <v>1.0026666666666666</v>
      </c>
      <c r="AV1959">
        <v>1</v>
      </c>
      <c r="AW1959">
        <v>0</v>
      </c>
      <c r="AX1959" t="s">
        <v>4689</v>
      </c>
      <c r="AY1959">
        <v>15.98</v>
      </c>
      <c r="AZ1959">
        <v>0</v>
      </c>
      <c r="BA1959" t="s">
        <v>94</v>
      </c>
      <c r="BB1959">
        <v>1.03</v>
      </c>
      <c r="BC1959" t="s">
        <v>95</v>
      </c>
      <c r="BD1959" t="s">
        <v>96</v>
      </c>
      <c r="BE1959" t="s">
        <v>97</v>
      </c>
      <c r="BF1959">
        <v>1</v>
      </c>
      <c r="BG1959">
        <v>0</v>
      </c>
      <c r="BH1959">
        <v>0</v>
      </c>
      <c r="BI1959" t="s">
        <v>98</v>
      </c>
    </row>
    <row r="1960" spans="1:61">
      <c r="A1960" s="164" t="s">
        <v>4690</v>
      </c>
      <c r="B1960" t="s">
        <v>4691</v>
      </c>
      <c r="C1960">
        <v>0</v>
      </c>
      <c r="D1960" t="s">
        <v>124</v>
      </c>
      <c r="E1960">
        <v>0</v>
      </c>
      <c r="F1960" t="s">
        <v>125</v>
      </c>
      <c r="G1960" t="s">
        <v>78</v>
      </c>
      <c r="H1960" t="s">
        <v>79</v>
      </c>
      <c r="I1960" t="s">
        <v>126</v>
      </c>
      <c r="J1960" t="s">
        <v>127</v>
      </c>
      <c r="K1960" t="s">
        <v>82</v>
      </c>
      <c r="L1960" t="s">
        <v>83</v>
      </c>
      <c r="M1960" t="s">
        <v>84</v>
      </c>
      <c r="N1960">
        <v>0.25</v>
      </c>
      <c r="O1960" t="b">
        <v>1</v>
      </c>
      <c r="P1960">
        <v>180</v>
      </c>
      <c r="Q1960" t="s">
        <v>85</v>
      </c>
      <c r="R1960" t="s">
        <v>128</v>
      </c>
      <c r="S1960">
        <v>0.25</v>
      </c>
      <c r="T1960">
        <v>1</v>
      </c>
      <c r="U1960" s="36">
        <v>0.391795</v>
      </c>
      <c r="V1960" t="s">
        <v>87</v>
      </c>
      <c r="W1960">
        <v>0</v>
      </c>
      <c r="X1960">
        <v>0</v>
      </c>
      <c r="Y1960">
        <v>48</v>
      </c>
      <c r="Z1960">
        <v>2.0833333333333332E-2</v>
      </c>
      <c r="AA1960">
        <v>56</v>
      </c>
      <c r="AB1960">
        <v>0</v>
      </c>
      <c r="AC1960">
        <v>0</v>
      </c>
      <c r="AD1960">
        <v>0</v>
      </c>
      <c r="AG1960" t="s">
        <v>129</v>
      </c>
      <c r="AH1960">
        <v>0</v>
      </c>
      <c r="AI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 t="s">
        <v>4692</v>
      </c>
      <c r="AY1960">
        <v>9.6</v>
      </c>
      <c r="AZ1960">
        <v>3</v>
      </c>
      <c r="BA1960" t="s">
        <v>94</v>
      </c>
      <c r="BB1960">
        <v>0.92</v>
      </c>
      <c r="BC1960" t="s">
        <v>1128</v>
      </c>
      <c r="BD1960" t="s">
        <v>1129</v>
      </c>
      <c r="BE1960" t="s">
        <v>97</v>
      </c>
      <c r="BF1960">
        <v>1</v>
      </c>
      <c r="BG1960">
        <v>0</v>
      </c>
      <c r="BH1960">
        <v>0</v>
      </c>
      <c r="BI1960" t="s">
        <v>98</v>
      </c>
    </row>
    <row r="1961" spans="1:61">
      <c r="A1961" s="164" t="s">
        <v>4693</v>
      </c>
      <c r="B1961" t="s">
        <v>4694</v>
      </c>
      <c r="C1961">
        <v>0</v>
      </c>
      <c r="D1961" t="s">
        <v>175</v>
      </c>
      <c r="E1961">
        <v>0</v>
      </c>
      <c r="F1961" t="s">
        <v>508</v>
      </c>
      <c r="G1961" t="s">
        <v>103</v>
      </c>
      <c r="H1961" t="s">
        <v>104</v>
      </c>
      <c r="I1961" t="s">
        <v>80</v>
      </c>
      <c r="J1961" t="s">
        <v>81</v>
      </c>
      <c r="K1961" t="s">
        <v>468</v>
      </c>
      <c r="L1961" t="s">
        <v>111</v>
      </c>
      <c r="M1961" t="s">
        <v>84</v>
      </c>
      <c r="N1961">
        <v>3.5</v>
      </c>
      <c r="O1961" t="b">
        <v>0</v>
      </c>
      <c r="P1961">
        <v>40</v>
      </c>
      <c r="Q1961" t="s">
        <v>137</v>
      </c>
      <c r="S1961">
        <v>0</v>
      </c>
      <c r="T1961">
        <v>1</v>
      </c>
      <c r="V1961" t="s">
        <v>87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G1961" t="s">
        <v>129</v>
      </c>
      <c r="AH1961">
        <v>0</v>
      </c>
      <c r="AI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Y1961">
        <v>0</v>
      </c>
      <c r="AZ1961">
        <v>5</v>
      </c>
      <c r="BA1961" t="s">
        <v>138</v>
      </c>
      <c r="BB1961">
        <v>0</v>
      </c>
      <c r="BC1961" t="s">
        <v>95</v>
      </c>
      <c r="BD1961" t="s">
        <v>469</v>
      </c>
      <c r="BE1961" t="s">
        <v>97</v>
      </c>
      <c r="BF1961">
        <v>0</v>
      </c>
      <c r="BG1961">
        <v>0</v>
      </c>
      <c r="BH1961">
        <v>0</v>
      </c>
      <c r="BI1961" t="s">
        <v>98</v>
      </c>
    </row>
    <row r="1962" spans="1:61">
      <c r="A1962" s="164" t="s">
        <v>4695</v>
      </c>
      <c r="B1962" t="s">
        <v>4696</v>
      </c>
      <c r="C1962">
        <v>0</v>
      </c>
      <c r="D1962" t="s">
        <v>479</v>
      </c>
      <c r="E1962">
        <v>0</v>
      </c>
      <c r="F1962" t="s">
        <v>480</v>
      </c>
      <c r="G1962" t="s">
        <v>103</v>
      </c>
      <c r="H1962" t="s">
        <v>104</v>
      </c>
      <c r="I1962" t="s">
        <v>80</v>
      </c>
      <c r="J1962" t="s">
        <v>467</v>
      </c>
      <c r="K1962" t="s">
        <v>468</v>
      </c>
      <c r="L1962" t="s">
        <v>111</v>
      </c>
      <c r="M1962" t="s">
        <v>84</v>
      </c>
      <c r="N1962">
        <v>0.9</v>
      </c>
      <c r="O1962" t="b">
        <v>0</v>
      </c>
      <c r="P1962">
        <v>45</v>
      </c>
      <c r="Q1962" t="s">
        <v>479</v>
      </c>
      <c r="S1962">
        <v>0</v>
      </c>
      <c r="T1962">
        <v>1</v>
      </c>
      <c r="U1962" s="36">
        <v>1.71061</v>
      </c>
      <c r="V1962" t="s">
        <v>468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G1962" t="s">
        <v>129</v>
      </c>
      <c r="AH1962">
        <v>0</v>
      </c>
      <c r="AI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Y1962">
        <v>0</v>
      </c>
      <c r="AZ1962">
        <v>0</v>
      </c>
      <c r="BA1962" t="s">
        <v>138</v>
      </c>
      <c r="BB1962">
        <v>0</v>
      </c>
      <c r="BC1962" t="s">
        <v>95</v>
      </c>
      <c r="BD1962" t="s">
        <v>469</v>
      </c>
      <c r="BE1962" t="s">
        <v>97</v>
      </c>
      <c r="BF1962">
        <v>0</v>
      </c>
      <c r="BG1962">
        <v>0</v>
      </c>
      <c r="BH1962">
        <v>0</v>
      </c>
      <c r="BI1962" t="s">
        <v>98</v>
      </c>
    </row>
    <row r="1963" spans="1:61">
      <c r="A1963" s="164" t="s">
        <v>4697</v>
      </c>
      <c r="B1963" t="s">
        <v>4698</v>
      </c>
      <c r="C1963">
        <v>0</v>
      </c>
      <c r="D1963" t="s">
        <v>101</v>
      </c>
      <c r="E1963">
        <v>0</v>
      </c>
      <c r="F1963" t="s">
        <v>102</v>
      </c>
      <c r="G1963" t="s">
        <v>103</v>
      </c>
      <c r="H1963" t="s">
        <v>104</v>
      </c>
      <c r="I1963" t="s">
        <v>80</v>
      </c>
      <c r="J1963" t="s">
        <v>81</v>
      </c>
      <c r="K1963" t="s">
        <v>82</v>
      </c>
      <c r="L1963" t="s">
        <v>83</v>
      </c>
      <c r="M1963" t="s">
        <v>84</v>
      </c>
      <c r="N1963">
        <v>0.16300000000000001</v>
      </c>
      <c r="O1963" t="b">
        <v>0</v>
      </c>
      <c r="P1963">
        <v>30</v>
      </c>
      <c r="Q1963" t="s">
        <v>85</v>
      </c>
      <c r="R1963" t="s">
        <v>86</v>
      </c>
      <c r="S1963">
        <v>0</v>
      </c>
      <c r="T1963">
        <v>1</v>
      </c>
      <c r="V1963" t="s">
        <v>87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G1963" t="s">
        <v>129</v>
      </c>
      <c r="AH1963">
        <v>0</v>
      </c>
      <c r="AI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Y1963">
        <v>0</v>
      </c>
      <c r="AZ1963">
        <v>0</v>
      </c>
      <c r="BA1963" t="s">
        <v>94</v>
      </c>
      <c r="BB1963">
        <v>0</v>
      </c>
      <c r="BC1963" t="s">
        <v>95</v>
      </c>
      <c r="BD1963" t="s">
        <v>96</v>
      </c>
      <c r="BE1963" t="s">
        <v>97</v>
      </c>
      <c r="BF1963">
        <v>0</v>
      </c>
      <c r="BG1963">
        <v>0</v>
      </c>
      <c r="BH1963">
        <v>0</v>
      </c>
      <c r="BI1963" t="s">
        <v>98</v>
      </c>
    </row>
    <row r="1964" spans="1:61">
      <c r="A1964" s="164" t="s">
        <v>4699</v>
      </c>
      <c r="B1964" t="s">
        <v>4700</v>
      </c>
      <c r="C1964">
        <v>0</v>
      </c>
      <c r="D1964" t="s">
        <v>194</v>
      </c>
      <c r="E1964">
        <v>0</v>
      </c>
      <c r="F1964" t="s">
        <v>214</v>
      </c>
      <c r="G1964" t="s">
        <v>78</v>
      </c>
      <c r="H1964" t="s">
        <v>79</v>
      </c>
      <c r="I1964" t="s">
        <v>80</v>
      </c>
      <c r="J1964" t="s">
        <v>196</v>
      </c>
      <c r="K1964" t="s">
        <v>13</v>
      </c>
      <c r="L1964" t="s">
        <v>83</v>
      </c>
      <c r="M1964" t="s">
        <v>215</v>
      </c>
      <c r="N1964">
        <v>1</v>
      </c>
      <c r="O1964" t="b">
        <v>1</v>
      </c>
      <c r="P1964">
        <v>0</v>
      </c>
      <c r="BB1964">
        <v>0</v>
      </c>
      <c r="BC1964" t="s">
        <v>197</v>
      </c>
      <c r="BD1964" t="s">
        <v>216</v>
      </c>
      <c r="BE1964" t="s">
        <v>117</v>
      </c>
      <c r="BF1964">
        <v>0</v>
      </c>
      <c r="BG1964">
        <v>0</v>
      </c>
      <c r="BH1964">
        <v>0</v>
      </c>
    </row>
    <row r="1965" spans="1:61">
      <c r="A1965" s="164" t="s">
        <v>4701</v>
      </c>
      <c r="B1965" t="s">
        <v>4702</v>
      </c>
      <c r="C1965">
        <v>0</v>
      </c>
      <c r="D1965" t="s">
        <v>194</v>
      </c>
      <c r="E1965">
        <v>0</v>
      </c>
      <c r="F1965" t="s">
        <v>214</v>
      </c>
      <c r="G1965" t="s">
        <v>78</v>
      </c>
      <c r="H1965" t="s">
        <v>79</v>
      </c>
      <c r="I1965" t="s">
        <v>80</v>
      </c>
      <c r="J1965" t="s">
        <v>196</v>
      </c>
      <c r="K1965" t="s">
        <v>13</v>
      </c>
      <c r="L1965" t="s">
        <v>83</v>
      </c>
      <c r="M1965" t="s">
        <v>215</v>
      </c>
      <c r="N1965">
        <v>1</v>
      </c>
      <c r="O1965" t="b">
        <v>1</v>
      </c>
      <c r="P1965">
        <v>0</v>
      </c>
      <c r="BB1965">
        <v>0</v>
      </c>
      <c r="BC1965" t="s">
        <v>197</v>
      </c>
      <c r="BD1965" t="s">
        <v>216</v>
      </c>
      <c r="BE1965" t="s">
        <v>117</v>
      </c>
      <c r="BF1965">
        <v>0</v>
      </c>
      <c r="BG1965">
        <v>0</v>
      </c>
      <c r="BH1965">
        <v>0</v>
      </c>
    </row>
    <row r="1966" spans="1:61">
      <c r="A1966" s="164" t="s">
        <v>4703</v>
      </c>
      <c r="B1966" t="s">
        <v>4704</v>
      </c>
      <c r="C1966">
        <v>0</v>
      </c>
      <c r="D1966" t="s">
        <v>194</v>
      </c>
      <c r="E1966">
        <v>0</v>
      </c>
      <c r="F1966" t="s">
        <v>195</v>
      </c>
      <c r="G1966" t="s">
        <v>78</v>
      </c>
      <c r="H1966" t="s">
        <v>79</v>
      </c>
      <c r="I1966" t="s">
        <v>80</v>
      </c>
      <c r="J1966" t="s">
        <v>196</v>
      </c>
      <c r="K1966" t="s">
        <v>13</v>
      </c>
      <c r="L1966" t="s">
        <v>83</v>
      </c>
      <c r="M1966" t="s">
        <v>84</v>
      </c>
      <c r="N1966">
        <v>1</v>
      </c>
      <c r="O1966" t="b">
        <v>1</v>
      </c>
      <c r="P1966">
        <v>0</v>
      </c>
      <c r="BB1966">
        <v>0</v>
      </c>
      <c r="BC1966" t="s">
        <v>197</v>
      </c>
      <c r="BD1966" t="s">
        <v>198</v>
      </c>
      <c r="BE1966" t="s">
        <v>117</v>
      </c>
      <c r="BF1966">
        <v>0</v>
      </c>
      <c r="BG1966">
        <v>0</v>
      </c>
      <c r="BH1966">
        <v>0</v>
      </c>
    </row>
    <row r="1967" spans="1:61">
      <c r="A1967" s="164" t="s">
        <v>4705</v>
      </c>
      <c r="B1967" t="s">
        <v>4706</v>
      </c>
      <c r="C1967">
        <v>0</v>
      </c>
      <c r="D1967" t="s">
        <v>194</v>
      </c>
      <c r="E1967">
        <v>0</v>
      </c>
      <c r="F1967" t="s">
        <v>195</v>
      </c>
      <c r="G1967" t="s">
        <v>78</v>
      </c>
      <c r="H1967" t="s">
        <v>79</v>
      </c>
      <c r="I1967" t="s">
        <v>80</v>
      </c>
      <c r="J1967" t="s">
        <v>196</v>
      </c>
      <c r="K1967" t="s">
        <v>13</v>
      </c>
      <c r="L1967" t="s">
        <v>83</v>
      </c>
      <c r="M1967" t="s">
        <v>84</v>
      </c>
      <c r="N1967">
        <v>1</v>
      </c>
      <c r="O1967" t="b">
        <v>1</v>
      </c>
      <c r="P1967">
        <v>0</v>
      </c>
      <c r="BB1967">
        <v>0</v>
      </c>
      <c r="BC1967" t="s">
        <v>197</v>
      </c>
      <c r="BD1967" t="s">
        <v>198</v>
      </c>
      <c r="BE1967" t="s">
        <v>117</v>
      </c>
      <c r="BF1967">
        <v>0</v>
      </c>
      <c r="BG1967">
        <v>0</v>
      </c>
      <c r="BH1967">
        <v>0</v>
      </c>
    </row>
    <row r="1968" spans="1:61">
      <c r="A1968" s="164" t="s">
        <v>4707</v>
      </c>
      <c r="B1968" t="s">
        <v>4708</v>
      </c>
      <c r="C1968">
        <v>0</v>
      </c>
      <c r="D1968" t="s">
        <v>194</v>
      </c>
      <c r="E1968">
        <v>0</v>
      </c>
      <c r="F1968" t="s">
        <v>233</v>
      </c>
      <c r="G1968" t="s">
        <v>78</v>
      </c>
      <c r="H1968" t="s">
        <v>79</v>
      </c>
      <c r="I1968" t="s">
        <v>80</v>
      </c>
      <c r="J1968" t="s">
        <v>196</v>
      </c>
      <c r="K1968" t="s">
        <v>13</v>
      </c>
      <c r="L1968" t="s">
        <v>83</v>
      </c>
      <c r="M1968" t="s">
        <v>84</v>
      </c>
      <c r="N1968">
        <v>1</v>
      </c>
      <c r="O1968" t="b">
        <v>1</v>
      </c>
      <c r="P1968">
        <v>0</v>
      </c>
      <c r="BB1968">
        <v>0</v>
      </c>
      <c r="BC1968" t="s">
        <v>197</v>
      </c>
      <c r="BD1968" t="s">
        <v>234</v>
      </c>
      <c r="BE1968" t="s">
        <v>117</v>
      </c>
      <c r="BF1968">
        <v>0</v>
      </c>
      <c r="BG1968">
        <v>0</v>
      </c>
      <c r="BH1968">
        <v>0</v>
      </c>
    </row>
    <row r="1969" spans="1:61">
      <c r="A1969" s="164" t="s">
        <v>4709</v>
      </c>
      <c r="B1969" t="s">
        <v>4710</v>
      </c>
      <c r="C1969">
        <v>0</v>
      </c>
      <c r="D1969" t="s">
        <v>194</v>
      </c>
      <c r="E1969">
        <v>0</v>
      </c>
      <c r="F1969" t="s">
        <v>214</v>
      </c>
      <c r="G1969" t="s">
        <v>78</v>
      </c>
      <c r="H1969" t="s">
        <v>79</v>
      </c>
      <c r="I1969" t="s">
        <v>80</v>
      </c>
      <c r="J1969" t="s">
        <v>196</v>
      </c>
      <c r="K1969" t="s">
        <v>13</v>
      </c>
      <c r="L1969" t="s">
        <v>83</v>
      </c>
      <c r="M1969" t="s">
        <v>215</v>
      </c>
      <c r="N1969">
        <v>1</v>
      </c>
      <c r="O1969" t="b">
        <v>1</v>
      </c>
      <c r="P1969">
        <v>0</v>
      </c>
      <c r="BB1969">
        <v>0</v>
      </c>
      <c r="BC1969" t="s">
        <v>197</v>
      </c>
      <c r="BD1969" t="s">
        <v>216</v>
      </c>
      <c r="BE1969" t="s">
        <v>117</v>
      </c>
      <c r="BF1969">
        <v>0</v>
      </c>
      <c r="BG1969">
        <v>0</v>
      </c>
      <c r="BH1969">
        <v>0</v>
      </c>
    </row>
    <row r="1970" spans="1:61">
      <c r="A1970" s="164" t="s">
        <v>4711</v>
      </c>
      <c r="B1970" t="s">
        <v>4712</v>
      </c>
      <c r="C1970">
        <v>0</v>
      </c>
      <c r="D1970" t="s">
        <v>194</v>
      </c>
      <c r="E1970">
        <v>0</v>
      </c>
      <c r="F1970" t="s">
        <v>195</v>
      </c>
      <c r="G1970" t="s">
        <v>78</v>
      </c>
      <c r="H1970" t="s">
        <v>79</v>
      </c>
      <c r="I1970" t="s">
        <v>80</v>
      </c>
      <c r="J1970" t="s">
        <v>196</v>
      </c>
      <c r="K1970" t="s">
        <v>13</v>
      </c>
      <c r="L1970" t="s">
        <v>83</v>
      </c>
      <c r="M1970" t="s">
        <v>205</v>
      </c>
      <c r="N1970">
        <v>1</v>
      </c>
      <c r="O1970" t="b">
        <v>1</v>
      </c>
      <c r="P1970">
        <v>0</v>
      </c>
      <c r="BB1970">
        <v>0</v>
      </c>
      <c r="BC1970" t="s">
        <v>197</v>
      </c>
      <c r="BD1970" t="s">
        <v>198</v>
      </c>
      <c r="BE1970" t="s">
        <v>117</v>
      </c>
      <c r="BF1970">
        <v>0</v>
      </c>
      <c r="BG1970">
        <v>0</v>
      </c>
      <c r="BH1970">
        <v>0</v>
      </c>
    </row>
    <row r="1971" spans="1:61">
      <c r="A1971" s="164" t="s">
        <v>4713</v>
      </c>
      <c r="B1971" t="s">
        <v>4714</v>
      </c>
      <c r="C1971">
        <v>0</v>
      </c>
      <c r="D1971" t="s">
        <v>194</v>
      </c>
      <c r="E1971">
        <v>0</v>
      </c>
      <c r="F1971" t="s">
        <v>214</v>
      </c>
      <c r="G1971" t="s">
        <v>78</v>
      </c>
      <c r="H1971" t="s">
        <v>79</v>
      </c>
      <c r="I1971" t="s">
        <v>80</v>
      </c>
      <c r="J1971" t="s">
        <v>196</v>
      </c>
      <c r="K1971" t="s">
        <v>13</v>
      </c>
      <c r="L1971" t="s">
        <v>83</v>
      </c>
      <c r="M1971" t="s">
        <v>215</v>
      </c>
      <c r="N1971">
        <v>1</v>
      </c>
      <c r="O1971" t="b">
        <v>1</v>
      </c>
      <c r="P1971">
        <v>0</v>
      </c>
      <c r="BB1971">
        <v>0</v>
      </c>
      <c r="BC1971" t="s">
        <v>197</v>
      </c>
      <c r="BD1971" t="s">
        <v>216</v>
      </c>
      <c r="BE1971" t="s">
        <v>117</v>
      </c>
      <c r="BF1971">
        <v>0</v>
      </c>
      <c r="BG1971">
        <v>0</v>
      </c>
      <c r="BH1971">
        <v>0</v>
      </c>
    </row>
    <row r="1972" spans="1:61">
      <c r="A1972" s="164" t="s">
        <v>4715</v>
      </c>
      <c r="B1972" t="s">
        <v>4716</v>
      </c>
      <c r="C1972">
        <v>0</v>
      </c>
      <c r="D1972" t="s">
        <v>194</v>
      </c>
      <c r="E1972">
        <v>0</v>
      </c>
      <c r="F1972" t="s">
        <v>195</v>
      </c>
      <c r="G1972" t="s">
        <v>78</v>
      </c>
      <c r="H1972" t="s">
        <v>79</v>
      </c>
      <c r="I1972" t="s">
        <v>80</v>
      </c>
      <c r="J1972" t="s">
        <v>196</v>
      </c>
      <c r="K1972" t="s">
        <v>13</v>
      </c>
      <c r="L1972" t="s">
        <v>83</v>
      </c>
      <c r="M1972" t="s">
        <v>205</v>
      </c>
      <c r="N1972">
        <v>1</v>
      </c>
      <c r="O1972" t="b">
        <v>1</v>
      </c>
      <c r="P1972">
        <v>0</v>
      </c>
      <c r="BB1972">
        <v>0</v>
      </c>
      <c r="BC1972" t="s">
        <v>197</v>
      </c>
      <c r="BD1972" t="s">
        <v>198</v>
      </c>
      <c r="BE1972" t="s">
        <v>117</v>
      </c>
      <c r="BF1972">
        <v>0</v>
      </c>
      <c r="BG1972">
        <v>0</v>
      </c>
      <c r="BH1972">
        <v>0</v>
      </c>
    </row>
    <row r="1973" spans="1:61">
      <c r="A1973" s="164" t="s">
        <v>4717</v>
      </c>
      <c r="B1973" t="s">
        <v>4718</v>
      </c>
      <c r="C1973">
        <v>0</v>
      </c>
      <c r="D1973" t="s">
        <v>194</v>
      </c>
      <c r="E1973">
        <v>0</v>
      </c>
      <c r="F1973" t="s">
        <v>195</v>
      </c>
      <c r="G1973" t="s">
        <v>78</v>
      </c>
      <c r="H1973" t="s">
        <v>79</v>
      </c>
      <c r="I1973" t="s">
        <v>80</v>
      </c>
      <c r="J1973" t="s">
        <v>196</v>
      </c>
      <c r="K1973" t="s">
        <v>13</v>
      </c>
      <c r="L1973" t="s">
        <v>83</v>
      </c>
      <c r="M1973" t="s">
        <v>84</v>
      </c>
      <c r="N1973">
        <v>1</v>
      </c>
      <c r="O1973" t="b">
        <v>1</v>
      </c>
      <c r="P1973">
        <v>0</v>
      </c>
      <c r="BB1973">
        <v>0</v>
      </c>
      <c r="BC1973" t="s">
        <v>197</v>
      </c>
      <c r="BD1973" t="s">
        <v>198</v>
      </c>
      <c r="BE1973" t="s">
        <v>117</v>
      </c>
      <c r="BF1973">
        <v>0</v>
      </c>
      <c r="BG1973">
        <v>0</v>
      </c>
      <c r="BH1973">
        <v>0</v>
      </c>
    </row>
    <row r="1974" spans="1:61">
      <c r="A1974" s="164" t="s">
        <v>4719</v>
      </c>
      <c r="B1974" t="s">
        <v>4720</v>
      </c>
      <c r="C1974">
        <v>0</v>
      </c>
      <c r="D1974" t="s">
        <v>194</v>
      </c>
      <c r="E1974">
        <v>0</v>
      </c>
      <c r="F1974" t="s">
        <v>214</v>
      </c>
      <c r="G1974" t="s">
        <v>78</v>
      </c>
      <c r="H1974" t="s">
        <v>79</v>
      </c>
      <c r="I1974" t="s">
        <v>80</v>
      </c>
      <c r="J1974" t="s">
        <v>196</v>
      </c>
      <c r="K1974" t="s">
        <v>13</v>
      </c>
      <c r="L1974" t="s">
        <v>83</v>
      </c>
      <c r="M1974" t="s">
        <v>215</v>
      </c>
      <c r="N1974">
        <v>1</v>
      </c>
      <c r="O1974" t="b">
        <v>1</v>
      </c>
      <c r="P1974">
        <v>0</v>
      </c>
      <c r="BB1974">
        <v>0</v>
      </c>
      <c r="BC1974" t="s">
        <v>197</v>
      </c>
      <c r="BD1974" t="s">
        <v>216</v>
      </c>
      <c r="BE1974" t="s">
        <v>117</v>
      </c>
      <c r="BF1974">
        <v>0</v>
      </c>
      <c r="BG1974">
        <v>0</v>
      </c>
      <c r="BH1974">
        <v>0</v>
      </c>
    </row>
    <row r="1975" spans="1:61">
      <c r="A1975" s="164" t="s">
        <v>4721</v>
      </c>
      <c r="B1975" t="s">
        <v>4722</v>
      </c>
      <c r="C1975">
        <v>0</v>
      </c>
      <c r="D1975" t="s">
        <v>194</v>
      </c>
      <c r="E1975">
        <v>0</v>
      </c>
      <c r="F1975" t="s">
        <v>214</v>
      </c>
      <c r="G1975" t="s">
        <v>78</v>
      </c>
      <c r="H1975" t="s">
        <v>79</v>
      </c>
      <c r="I1975" t="s">
        <v>80</v>
      </c>
      <c r="J1975" t="s">
        <v>196</v>
      </c>
      <c r="K1975" t="s">
        <v>13</v>
      </c>
      <c r="L1975" t="s">
        <v>83</v>
      </c>
      <c r="M1975" t="s">
        <v>215</v>
      </c>
      <c r="N1975">
        <v>1</v>
      </c>
      <c r="O1975" t="b">
        <v>1</v>
      </c>
      <c r="P1975">
        <v>0</v>
      </c>
      <c r="BB1975">
        <v>0</v>
      </c>
      <c r="BC1975" t="s">
        <v>197</v>
      </c>
      <c r="BD1975" t="s">
        <v>216</v>
      </c>
      <c r="BE1975" t="s">
        <v>117</v>
      </c>
      <c r="BF1975">
        <v>0</v>
      </c>
      <c r="BG1975">
        <v>0</v>
      </c>
      <c r="BH1975">
        <v>0</v>
      </c>
    </row>
    <row r="1976" spans="1:61">
      <c r="A1976" s="164" t="s">
        <v>4723</v>
      </c>
      <c r="B1976" t="s">
        <v>1160</v>
      </c>
      <c r="C1976">
        <v>0</v>
      </c>
      <c r="D1976" t="s">
        <v>194</v>
      </c>
      <c r="E1976">
        <v>0</v>
      </c>
      <c r="F1976" t="s">
        <v>195</v>
      </c>
      <c r="G1976" t="s">
        <v>78</v>
      </c>
      <c r="H1976" t="s">
        <v>79</v>
      </c>
      <c r="I1976" t="s">
        <v>80</v>
      </c>
      <c r="J1976" t="s">
        <v>196</v>
      </c>
      <c r="K1976" t="s">
        <v>13</v>
      </c>
      <c r="L1976" t="s">
        <v>83</v>
      </c>
      <c r="M1976" t="s">
        <v>205</v>
      </c>
      <c r="N1976">
        <v>1</v>
      </c>
      <c r="O1976" t="b">
        <v>1</v>
      </c>
      <c r="P1976">
        <v>0</v>
      </c>
      <c r="BB1976">
        <v>0</v>
      </c>
      <c r="BC1976" t="s">
        <v>197</v>
      </c>
      <c r="BD1976" t="s">
        <v>198</v>
      </c>
      <c r="BE1976" t="s">
        <v>117</v>
      </c>
      <c r="BF1976">
        <v>0</v>
      </c>
      <c r="BG1976">
        <v>0</v>
      </c>
      <c r="BH1976">
        <v>0</v>
      </c>
    </row>
    <row r="1977" spans="1:61">
      <c r="A1977" s="164" t="s">
        <v>4724</v>
      </c>
      <c r="B1977" t="s">
        <v>4725</v>
      </c>
      <c r="C1977">
        <v>0</v>
      </c>
      <c r="D1977" t="s">
        <v>147</v>
      </c>
      <c r="E1977">
        <v>0</v>
      </c>
      <c r="F1977" t="s">
        <v>472</v>
      </c>
      <c r="G1977" t="s">
        <v>103</v>
      </c>
      <c r="H1977" t="s">
        <v>104</v>
      </c>
      <c r="I1977" t="s">
        <v>80</v>
      </c>
      <c r="J1977" t="s">
        <v>81</v>
      </c>
      <c r="K1977" t="s">
        <v>82</v>
      </c>
      <c r="L1977" t="s">
        <v>83</v>
      </c>
      <c r="M1977" t="s">
        <v>84</v>
      </c>
      <c r="N1977">
        <v>0.18</v>
      </c>
      <c r="O1977" t="b">
        <v>1</v>
      </c>
      <c r="P1977">
        <v>45</v>
      </c>
      <c r="Q1977" t="s">
        <v>85</v>
      </c>
      <c r="R1977" t="s">
        <v>86</v>
      </c>
      <c r="S1977">
        <v>0.18</v>
      </c>
      <c r="T1977">
        <v>1</v>
      </c>
      <c r="U1977" s="36">
        <v>0.34003499999999998</v>
      </c>
      <c r="V1977" t="s">
        <v>87</v>
      </c>
      <c r="W1977">
        <v>125</v>
      </c>
      <c r="X1977">
        <v>0.38897500000000002</v>
      </c>
      <c r="Y1977">
        <v>108</v>
      </c>
      <c r="Z1977">
        <v>9.2592592592592587E-3</v>
      </c>
      <c r="AA1977">
        <v>30</v>
      </c>
      <c r="AB1977">
        <v>0</v>
      </c>
      <c r="AC1977">
        <v>500</v>
      </c>
      <c r="AD1977">
        <v>2777.7777777777778</v>
      </c>
      <c r="AE1977" t="s">
        <v>143</v>
      </c>
      <c r="AF1977" t="s">
        <v>156</v>
      </c>
      <c r="AG1977" t="s">
        <v>157</v>
      </c>
      <c r="AH1977">
        <v>0</v>
      </c>
      <c r="AI1977">
        <v>0.9</v>
      </c>
      <c r="AJ1977" t="s">
        <v>91</v>
      </c>
      <c r="AK1977" t="s">
        <v>92</v>
      </c>
      <c r="AL1977" t="s">
        <v>93</v>
      </c>
      <c r="AM1977">
        <v>0.33553925925925926</v>
      </c>
      <c r="AN1977">
        <v>0.22369283950617286</v>
      </c>
      <c r="AO1977">
        <v>0.34672390123456792</v>
      </c>
      <c r="AP1977">
        <v>0</v>
      </c>
      <c r="AQ1977">
        <v>8.6691086691086688E-2</v>
      </c>
      <c r="AR1977">
        <v>2.6666666666666505E-3</v>
      </c>
      <c r="AS1977">
        <v>0</v>
      </c>
      <c r="AT1977">
        <v>1.0866910866910866</v>
      </c>
      <c r="AU1977">
        <v>1.0026666666666666</v>
      </c>
      <c r="AV1977">
        <v>1</v>
      </c>
      <c r="AW1977">
        <v>0</v>
      </c>
      <c r="AX1977" t="s">
        <v>2223</v>
      </c>
      <c r="AY1977">
        <v>16.2</v>
      </c>
      <c r="AZ1977">
        <v>3</v>
      </c>
      <c r="BA1977" t="s">
        <v>94</v>
      </c>
      <c r="BB1977">
        <v>0.76</v>
      </c>
      <c r="BC1977" t="s">
        <v>95</v>
      </c>
      <c r="BD1977" t="s">
        <v>96</v>
      </c>
      <c r="BE1977" t="s">
        <v>97</v>
      </c>
      <c r="BF1977">
        <v>0</v>
      </c>
      <c r="BG1977">
        <v>0</v>
      </c>
      <c r="BH1977">
        <v>0</v>
      </c>
      <c r="BI1977" t="s">
        <v>98</v>
      </c>
    </row>
    <row r="1978" spans="1:61">
      <c r="A1978" s="164" t="s">
        <v>4726</v>
      </c>
      <c r="B1978" t="s">
        <v>4727</v>
      </c>
      <c r="C1978">
        <v>0</v>
      </c>
      <c r="D1978" t="s">
        <v>748</v>
      </c>
      <c r="E1978">
        <v>0</v>
      </c>
      <c r="F1978" t="s">
        <v>748</v>
      </c>
      <c r="G1978" t="s">
        <v>103</v>
      </c>
      <c r="H1978" t="s">
        <v>104</v>
      </c>
      <c r="I1978" t="s">
        <v>80</v>
      </c>
      <c r="J1978" t="s">
        <v>81</v>
      </c>
      <c r="K1978" t="s">
        <v>468</v>
      </c>
      <c r="L1978" t="s">
        <v>111</v>
      </c>
      <c r="M1978" t="s">
        <v>84</v>
      </c>
      <c r="N1978">
        <v>0.85</v>
      </c>
      <c r="O1978" t="b">
        <v>0</v>
      </c>
      <c r="P1978">
        <v>90</v>
      </c>
      <c r="Q1978" t="s">
        <v>188</v>
      </c>
      <c r="S1978">
        <v>0</v>
      </c>
      <c r="T1978">
        <v>1</v>
      </c>
      <c r="V1978" t="s">
        <v>87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G1978" t="s">
        <v>129</v>
      </c>
      <c r="AH1978">
        <v>0</v>
      </c>
      <c r="AI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Y1978">
        <v>0</v>
      </c>
      <c r="AZ1978">
        <v>0</v>
      </c>
      <c r="BA1978" t="s">
        <v>94</v>
      </c>
      <c r="BB1978">
        <v>0</v>
      </c>
      <c r="BC1978" t="s">
        <v>95</v>
      </c>
      <c r="BD1978" t="s">
        <v>469</v>
      </c>
      <c r="BE1978" t="s">
        <v>97</v>
      </c>
      <c r="BF1978">
        <v>0</v>
      </c>
      <c r="BG1978">
        <v>0</v>
      </c>
      <c r="BH1978">
        <v>0</v>
      </c>
      <c r="BI1978" t="s">
        <v>98</v>
      </c>
    </row>
    <row r="1979" spans="1:61">
      <c r="A1979" s="164" t="s">
        <v>4728</v>
      </c>
      <c r="B1979" t="s">
        <v>4729</v>
      </c>
      <c r="C1979">
        <v>0</v>
      </c>
      <c r="D1979" t="s">
        <v>194</v>
      </c>
      <c r="E1979">
        <v>0</v>
      </c>
      <c r="F1979" t="s">
        <v>214</v>
      </c>
      <c r="G1979" t="s">
        <v>78</v>
      </c>
      <c r="H1979" t="s">
        <v>79</v>
      </c>
      <c r="I1979" t="s">
        <v>80</v>
      </c>
      <c r="J1979" t="s">
        <v>196</v>
      </c>
      <c r="K1979" t="s">
        <v>13</v>
      </c>
      <c r="L1979" t="s">
        <v>83</v>
      </c>
      <c r="M1979" t="s">
        <v>215</v>
      </c>
      <c r="N1979">
        <v>1</v>
      </c>
      <c r="O1979" t="b">
        <v>1</v>
      </c>
      <c r="P1979">
        <v>0</v>
      </c>
      <c r="BB1979">
        <v>0</v>
      </c>
      <c r="BC1979" t="s">
        <v>197</v>
      </c>
      <c r="BD1979" t="s">
        <v>216</v>
      </c>
      <c r="BE1979" t="s">
        <v>117</v>
      </c>
      <c r="BF1979">
        <v>0</v>
      </c>
      <c r="BG1979">
        <v>0</v>
      </c>
      <c r="BH1979">
        <v>0</v>
      </c>
    </row>
    <row r="1980" spans="1:61">
      <c r="A1980" s="164" t="s">
        <v>4730</v>
      </c>
      <c r="B1980" t="s">
        <v>4731</v>
      </c>
      <c r="C1980">
        <v>0</v>
      </c>
      <c r="D1980" t="s">
        <v>194</v>
      </c>
      <c r="E1980">
        <v>0</v>
      </c>
      <c r="F1980" t="s">
        <v>195</v>
      </c>
      <c r="G1980" t="s">
        <v>78</v>
      </c>
      <c r="H1980" t="s">
        <v>79</v>
      </c>
      <c r="I1980" t="s">
        <v>80</v>
      </c>
      <c r="J1980" t="s">
        <v>196</v>
      </c>
      <c r="K1980" t="s">
        <v>13</v>
      </c>
      <c r="L1980" t="s">
        <v>83</v>
      </c>
      <c r="M1980" t="s">
        <v>215</v>
      </c>
      <c r="N1980">
        <v>1</v>
      </c>
      <c r="O1980" t="b">
        <v>1</v>
      </c>
      <c r="P1980">
        <v>0</v>
      </c>
      <c r="BB1980">
        <v>0</v>
      </c>
      <c r="BC1980" t="s">
        <v>197</v>
      </c>
      <c r="BD1980" t="s">
        <v>198</v>
      </c>
      <c r="BE1980" t="s">
        <v>117</v>
      </c>
      <c r="BF1980">
        <v>0</v>
      </c>
      <c r="BG1980">
        <v>0</v>
      </c>
      <c r="BH1980">
        <v>0</v>
      </c>
    </row>
    <row r="1981" spans="1:61">
      <c r="A1981" s="164" t="s">
        <v>4732</v>
      </c>
      <c r="B1981" t="s">
        <v>4733</v>
      </c>
      <c r="C1981">
        <v>0</v>
      </c>
      <c r="D1981" t="s">
        <v>194</v>
      </c>
      <c r="E1981">
        <v>0</v>
      </c>
      <c r="F1981" t="s">
        <v>552</v>
      </c>
      <c r="G1981" t="s">
        <v>78</v>
      </c>
      <c r="H1981" t="s">
        <v>79</v>
      </c>
      <c r="I1981" t="s">
        <v>80</v>
      </c>
      <c r="J1981" t="s">
        <v>196</v>
      </c>
      <c r="K1981" t="s">
        <v>13</v>
      </c>
      <c r="L1981" t="s">
        <v>83</v>
      </c>
      <c r="M1981" t="s">
        <v>205</v>
      </c>
      <c r="N1981">
        <v>1</v>
      </c>
      <c r="O1981" t="b">
        <v>1</v>
      </c>
      <c r="P1981">
        <v>0</v>
      </c>
      <c r="BB1981">
        <v>0</v>
      </c>
      <c r="BC1981" t="s">
        <v>197</v>
      </c>
      <c r="BD1981" t="s">
        <v>553</v>
      </c>
      <c r="BE1981" t="s">
        <v>117</v>
      </c>
      <c r="BF1981">
        <v>0</v>
      </c>
      <c r="BG1981">
        <v>0</v>
      </c>
      <c r="BH1981">
        <v>0</v>
      </c>
    </row>
    <row r="1982" spans="1:61">
      <c r="A1982" s="164" t="s">
        <v>4734</v>
      </c>
      <c r="B1982" t="s">
        <v>4735</v>
      </c>
      <c r="C1982">
        <v>0</v>
      </c>
      <c r="D1982" t="s">
        <v>194</v>
      </c>
      <c r="E1982">
        <v>0</v>
      </c>
      <c r="F1982" t="s">
        <v>214</v>
      </c>
      <c r="G1982" t="s">
        <v>78</v>
      </c>
      <c r="H1982" t="s">
        <v>79</v>
      </c>
      <c r="I1982" t="s">
        <v>80</v>
      </c>
      <c r="J1982" t="s">
        <v>196</v>
      </c>
      <c r="K1982" t="s">
        <v>13</v>
      </c>
      <c r="L1982" t="s">
        <v>83</v>
      </c>
      <c r="M1982" t="s">
        <v>215</v>
      </c>
      <c r="N1982">
        <v>1</v>
      </c>
      <c r="O1982" t="b">
        <v>1</v>
      </c>
      <c r="P1982">
        <v>0</v>
      </c>
      <c r="BB1982">
        <v>0</v>
      </c>
      <c r="BC1982" t="s">
        <v>197</v>
      </c>
      <c r="BD1982" t="s">
        <v>216</v>
      </c>
      <c r="BE1982" t="s">
        <v>117</v>
      </c>
      <c r="BF1982">
        <v>0</v>
      </c>
      <c r="BG1982">
        <v>0</v>
      </c>
      <c r="BH1982">
        <v>0</v>
      </c>
    </row>
    <row r="1983" spans="1:61">
      <c r="A1983" s="164" t="s">
        <v>4736</v>
      </c>
      <c r="B1983" t="s">
        <v>4737</v>
      </c>
      <c r="C1983">
        <v>0</v>
      </c>
      <c r="D1983" t="s">
        <v>194</v>
      </c>
      <c r="E1983">
        <v>0</v>
      </c>
      <c r="F1983" t="s">
        <v>214</v>
      </c>
      <c r="G1983" t="s">
        <v>78</v>
      </c>
      <c r="H1983" t="s">
        <v>79</v>
      </c>
      <c r="I1983" t="s">
        <v>80</v>
      </c>
      <c r="J1983" t="s">
        <v>196</v>
      </c>
      <c r="K1983" t="s">
        <v>13</v>
      </c>
      <c r="L1983" t="s">
        <v>83</v>
      </c>
      <c r="M1983" t="s">
        <v>215</v>
      </c>
      <c r="N1983">
        <v>1</v>
      </c>
      <c r="O1983" t="b">
        <v>1</v>
      </c>
      <c r="P1983">
        <v>0</v>
      </c>
      <c r="BB1983">
        <v>0</v>
      </c>
      <c r="BC1983" t="s">
        <v>197</v>
      </c>
      <c r="BD1983" t="s">
        <v>216</v>
      </c>
      <c r="BE1983" t="s">
        <v>117</v>
      </c>
      <c r="BF1983">
        <v>0</v>
      </c>
      <c r="BG1983">
        <v>0</v>
      </c>
      <c r="BH1983">
        <v>0</v>
      </c>
    </row>
    <row r="1984" spans="1:61">
      <c r="A1984" s="164" t="s">
        <v>4738</v>
      </c>
      <c r="B1984" t="s">
        <v>4739</v>
      </c>
      <c r="C1984">
        <v>0</v>
      </c>
      <c r="D1984" t="s">
        <v>194</v>
      </c>
      <c r="E1984">
        <v>0</v>
      </c>
      <c r="F1984" t="s">
        <v>214</v>
      </c>
      <c r="G1984" t="s">
        <v>78</v>
      </c>
      <c r="H1984" t="s">
        <v>79</v>
      </c>
      <c r="I1984" t="s">
        <v>80</v>
      </c>
      <c r="J1984" t="s">
        <v>196</v>
      </c>
      <c r="K1984" t="s">
        <v>13</v>
      </c>
      <c r="L1984" t="s">
        <v>83</v>
      </c>
      <c r="M1984" t="s">
        <v>215</v>
      </c>
      <c r="N1984">
        <v>1</v>
      </c>
      <c r="O1984" t="b">
        <v>1</v>
      </c>
      <c r="P1984">
        <v>0</v>
      </c>
      <c r="BB1984">
        <v>0</v>
      </c>
      <c r="BC1984" t="s">
        <v>197</v>
      </c>
      <c r="BD1984" t="s">
        <v>216</v>
      </c>
      <c r="BE1984" t="s">
        <v>117</v>
      </c>
      <c r="BF1984">
        <v>0</v>
      </c>
      <c r="BG1984">
        <v>0</v>
      </c>
      <c r="BH1984">
        <v>0</v>
      </c>
    </row>
    <row r="1985" spans="1:61">
      <c r="A1985" s="164" t="s">
        <v>4740</v>
      </c>
      <c r="B1985" t="s">
        <v>4741</v>
      </c>
      <c r="C1985">
        <v>0</v>
      </c>
      <c r="D1985" t="s">
        <v>194</v>
      </c>
      <c r="E1985">
        <v>0</v>
      </c>
      <c r="F1985" t="s">
        <v>195</v>
      </c>
      <c r="G1985" t="s">
        <v>78</v>
      </c>
      <c r="H1985" t="s">
        <v>79</v>
      </c>
      <c r="I1985" t="s">
        <v>80</v>
      </c>
      <c r="J1985" t="s">
        <v>196</v>
      </c>
      <c r="K1985" t="s">
        <v>13</v>
      </c>
      <c r="L1985" t="s">
        <v>83</v>
      </c>
      <c r="M1985" t="s">
        <v>84</v>
      </c>
      <c r="N1985">
        <v>1</v>
      </c>
      <c r="O1985" t="b">
        <v>1</v>
      </c>
      <c r="P1985">
        <v>0</v>
      </c>
      <c r="BB1985">
        <v>0</v>
      </c>
      <c r="BC1985" t="s">
        <v>197</v>
      </c>
      <c r="BD1985" t="s">
        <v>198</v>
      </c>
      <c r="BE1985" t="s">
        <v>117</v>
      </c>
      <c r="BF1985">
        <v>0</v>
      </c>
      <c r="BG1985">
        <v>0</v>
      </c>
      <c r="BH1985">
        <v>0</v>
      </c>
    </row>
    <row r="1986" spans="1:61">
      <c r="A1986" s="164" t="s">
        <v>4742</v>
      </c>
      <c r="B1986" t="s">
        <v>4743</v>
      </c>
      <c r="C1986">
        <v>0</v>
      </c>
      <c r="D1986" t="s">
        <v>194</v>
      </c>
      <c r="E1986">
        <v>0</v>
      </c>
      <c r="F1986" t="s">
        <v>195</v>
      </c>
      <c r="G1986" t="s">
        <v>78</v>
      </c>
      <c r="H1986" t="s">
        <v>79</v>
      </c>
      <c r="I1986" t="s">
        <v>80</v>
      </c>
      <c r="J1986" t="s">
        <v>196</v>
      </c>
      <c r="K1986" t="s">
        <v>13</v>
      </c>
      <c r="L1986" t="s">
        <v>83</v>
      </c>
      <c r="M1986" t="s">
        <v>84</v>
      </c>
      <c r="N1986">
        <v>1</v>
      </c>
      <c r="O1986" t="b">
        <v>1</v>
      </c>
      <c r="P1986">
        <v>0</v>
      </c>
      <c r="BB1986">
        <v>0</v>
      </c>
      <c r="BC1986" t="s">
        <v>197</v>
      </c>
      <c r="BD1986" t="s">
        <v>198</v>
      </c>
      <c r="BE1986" t="s">
        <v>117</v>
      </c>
      <c r="BF1986">
        <v>0</v>
      </c>
      <c r="BG1986">
        <v>0</v>
      </c>
      <c r="BH1986">
        <v>0</v>
      </c>
    </row>
    <row r="1987" spans="1:61">
      <c r="A1987" s="164" t="s">
        <v>4744</v>
      </c>
      <c r="B1987" t="s">
        <v>4745</v>
      </c>
      <c r="C1987">
        <v>0</v>
      </c>
      <c r="D1987" t="s">
        <v>194</v>
      </c>
      <c r="E1987">
        <v>0</v>
      </c>
      <c r="F1987" t="s">
        <v>195</v>
      </c>
      <c r="G1987" t="s">
        <v>78</v>
      </c>
      <c r="H1987" t="s">
        <v>79</v>
      </c>
      <c r="I1987" t="s">
        <v>80</v>
      </c>
      <c r="J1987" t="s">
        <v>196</v>
      </c>
      <c r="K1987" t="s">
        <v>13</v>
      </c>
      <c r="L1987" t="s">
        <v>83</v>
      </c>
      <c r="M1987" t="s">
        <v>205</v>
      </c>
      <c r="N1987">
        <v>1</v>
      </c>
      <c r="O1987" t="b">
        <v>1</v>
      </c>
      <c r="P1987">
        <v>0</v>
      </c>
      <c r="BB1987">
        <v>0</v>
      </c>
      <c r="BC1987" t="s">
        <v>197</v>
      </c>
      <c r="BD1987" t="s">
        <v>198</v>
      </c>
      <c r="BE1987" t="s">
        <v>117</v>
      </c>
      <c r="BF1987">
        <v>0</v>
      </c>
      <c r="BG1987">
        <v>0</v>
      </c>
      <c r="BH1987">
        <v>0</v>
      </c>
    </row>
    <row r="1988" spans="1:61">
      <c r="A1988" s="164" t="s">
        <v>4746</v>
      </c>
      <c r="B1988" t="s">
        <v>4747</v>
      </c>
      <c r="C1988">
        <v>0</v>
      </c>
      <c r="D1988" t="s">
        <v>194</v>
      </c>
      <c r="E1988">
        <v>0</v>
      </c>
      <c r="F1988" t="s">
        <v>214</v>
      </c>
      <c r="G1988" t="s">
        <v>78</v>
      </c>
      <c r="H1988" t="s">
        <v>79</v>
      </c>
      <c r="I1988" t="s">
        <v>80</v>
      </c>
      <c r="J1988" t="s">
        <v>196</v>
      </c>
      <c r="K1988" t="s">
        <v>13</v>
      </c>
      <c r="L1988" t="s">
        <v>83</v>
      </c>
      <c r="M1988" t="s">
        <v>84</v>
      </c>
      <c r="N1988">
        <v>1</v>
      </c>
      <c r="O1988" t="b">
        <v>1</v>
      </c>
      <c r="P1988">
        <v>0</v>
      </c>
      <c r="BB1988">
        <v>0</v>
      </c>
      <c r="BC1988" t="s">
        <v>197</v>
      </c>
      <c r="BD1988" t="s">
        <v>216</v>
      </c>
      <c r="BE1988" t="s">
        <v>117</v>
      </c>
      <c r="BF1988">
        <v>0</v>
      </c>
      <c r="BG1988">
        <v>0</v>
      </c>
      <c r="BH1988">
        <v>0</v>
      </c>
    </row>
    <row r="1989" spans="1:61">
      <c r="A1989" s="164" t="s">
        <v>4748</v>
      </c>
      <c r="B1989" t="s">
        <v>4749</v>
      </c>
      <c r="C1989">
        <v>0</v>
      </c>
      <c r="D1989" t="s">
        <v>748</v>
      </c>
      <c r="E1989">
        <v>0</v>
      </c>
      <c r="F1989" t="s">
        <v>748</v>
      </c>
      <c r="G1989" t="s">
        <v>103</v>
      </c>
      <c r="H1989" t="s">
        <v>104</v>
      </c>
      <c r="I1989" t="s">
        <v>80</v>
      </c>
      <c r="J1989" t="s">
        <v>81</v>
      </c>
      <c r="K1989" t="s">
        <v>468</v>
      </c>
      <c r="L1989" t="s">
        <v>111</v>
      </c>
      <c r="M1989" t="s">
        <v>84</v>
      </c>
      <c r="N1989">
        <v>0.85</v>
      </c>
      <c r="O1989" t="b">
        <v>0</v>
      </c>
      <c r="P1989">
        <v>90</v>
      </c>
      <c r="Q1989" t="s">
        <v>188</v>
      </c>
      <c r="S1989">
        <v>0</v>
      </c>
      <c r="T1989">
        <v>1</v>
      </c>
      <c r="V1989" t="s">
        <v>87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G1989" t="s">
        <v>129</v>
      </c>
      <c r="AH1989">
        <v>0</v>
      </c>
      <c r="AI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Y1989">
        <v>0</v>
      </c>
      <c r="AZ1989">
        <v>0</v>
      </c>
      <c r="BA1989" t="s">
        <v>94</v>
      </c>
      <c r="BB1989">
        <v>0</v>
      </c>
      <c r="BC1989" t="s">
        <v>95</v>
      </c>
      <c r="BD1989" t="s">
        <v>469</v>
      </c>
      <c r="BE1989" t="s">
        <v>97</v>
      </c>
      <c r="BF1989">
        <v>0</v>
      </c>
      <c r="BG1989">
        <v>0</v>
      </c>
      <c r="BH1989">
        <v>0</v>
      </c>
      <c r="BI1989" t="s">
        <v>98</v>
      </c>
    </row>
    <row r="1990" spans="1:61">
      <c r="A1990" s="164" t="s">
        <v>4750</v>
      </c>
      <c r="B1990" t="s">
        <v>4751</v>
      </c>
      <c r="C1990">
        <v>0</v>
      </c>
      <c r="D1990" t="s">
        <v>107</v>
      </c>
      <c r="E1990">
        <v>0</v>
      </c>
      <c r="F1990" t="s">
        <v>108</v>
      </c>
      <c r="G1990" t="s">
        <v>103</v>
      </c>
      <c r="H1990" t="s">
        <v>104</v>
      </c>
      <c r="I1990" t="s">
        <v>80</v>
      </c>
      <c r="J1990" t="s">
        <v>81</v>
      </c>
      <c r="K1990" t="s">
        <v>468</v>
      </c>
      <c r="L1990" t="s">
        <v>111</v>
      </c>
      <c r="M1990" t="s">
        <v>84</v>
      </c>
      <c r="N1990">
        <v>2.7</v>
      </c>
      <c r="O1990" t="b">
        <v>0</v>
      </c>
      <c r="P1990">
        <v>45</v>
      </c>
      <c r="Q1990" t="s">
        <v>85</v>
      </c>
      <c r="S1990">
        <v>0</v>
      </c>
      <c r="T1990">
        <v>1</v>
      </c>
      <c r="V1990" t="s">
        <v>87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G1990" t="s">
        <v>129</v>
      </c>
      <c r="AH1990">
        <v>0</v>
      </c>
      <c r="AI1990">
        <v>0.6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Y1990">
        <v>0</v>
      </c>
      <c r="AZ1990">
        <v>0</v>
      </c>
      <c r="BA1990" t="s">
        <v>94</v>
      </c>
      <c r="BB1990">
        <v>0</v>
      </c>
      <c r="BC1990" t="s">
        <v>95</v>
      </c>
      <c r="BD1990" t="s">
        <v>469</v>
      </c>
      <c r="BE1990" t="s">
        <v>97</v>
      </c>
      <c r="BF1990">
        <v>0</v>
      </c>
      <c r="BG1990">
        <v>0</v>
      </c>
      <c r="BH1990">
        <v>0</v>
      </c>
      <c r="BI1990" t="s">
        <v>98</v>
      </c>
    </row>
    <row r="1991" spans="1:61">
      <c r="A1991" s="164" t="s">
        <v>4752</v>
      </c>
      <c r="B1991" t="s">
        <v>4753</v>
      </c>
      <c r="C1991">
        <v>0</v>
      </c>
      <c r="D1991" t="s">
        <v>175</v>
      </c>
      <c r="E1991">
        <v>0</v>
      </c>
      <c r="F1991" t="s">
        <v>844</v>
      </c>
      <c r="G1991" t="s">
        <v>78</v>
      </c>
      <c r="H1991" t="s">
        <v>79</v>
      </c>
      <c r="I1991" t="s">
        <v>80</v>
      </c>
      <c r="J1991" t="s">
        <v>163</v>
      </c>
      <c r="K1991" t="s">
        <v>82</v>
      </c>
      <c r="L1991" t="s">
        <v>83</v>
      </c>
      <c r="M1991" t="s">
        <v>84</v>
      </c>
      <c r="N1991">
        <v>0.05</v>
      </c>
      <c r="O1991" t="b">
        <v>1</v>
      </c>
      <c r="P1991">
        <v>40</v>
      </c>
      <c r="Q1991" t="s">
        <v>137</v>
      </c>
      <c r="R1991" t="s">
        <v>164</v>
      </c>
      <c r="S1991">
        <v>0.05</v>
      </c>
      <c r="T1991">
        <v>1</v>
      </c>
      <c r="U1991" s="36">
        <v>0.30701500000000004</v>
      </c>
      <c r="V1991" t="s">
        <v>165</v>
      </c>
      <c r="W1991">
        <v>120</v>
      </c>
      <c r="X1991">
        <v>0</v>
      </c>
      <c r="Y1991">
        <v>150</v>
      </c>
      <c r="Z1991">
        <v>0</v>
      </c>
      <c r="AA1991">
        <v>35</v>
      </c>
      <c r="AB1991">
        <v>0</v>
      </c>
      <c r="AC1991">
        <v>0</v>
      </c>
      <c r="AD1991">
        <v>12000</v>
      </c>
      <c r="AE1991" t="s">
        <v>166</v>
      </c>
      <c r="AF1991" t="s">
        <v>844</v>
      </c>
      <c r="AG1991" t="s">
        <v>129</v>
      </c>
      <c r="AH1991">
        <v>0</v>
      </c>
      <c r="AI1991">
        <v>9.5</v>
      </c>
      <c r="AJ1991" t="s">
        <v>177</v>
      </c>
      <c r="AM1991">
        <v>10.11</v>
      </c>
      <c r="AN1991">
        <v>0</v>
      </c>
      <c r="AO1991">
        <v>0</v>
      </c>
      <c r="AP1991">
        <v>0</v>
      </c>
      <c r="AQ1991">
        <v>2.8571428571428564E-2</v>
      </c>
      <c r="AR1991">
        <v>0</v>
      </c>
      <c r="AS1991">
        <v>0</v>
      </c>
      <c r="AT1991">
        <v>1.0285714285714285</v>
      </c>
      <c r="AU1991">
        <v>0</v>
      </c>
      <c r="AV1991">
        <v>0</v>
      </c>
      <c r="AW1991">
        <v>0</v>
      </c>
      <c r="AY1991">
        <v>2.2258</v>
      </c>
      <c r="AZ1991">
        <v>5</v>
      </c>
      <c r="BA1991" t="s">
        <v>138</v>
      </c>
      <c r="BB1991">
        <v>0.64</v>
      </c>
      <c r="BC1991" t="s">
        <v>95</v>
      </c>
      <c r="BD1991" t="s">
        <v>96</v>
      </c>
      <c r="BE1991" t="s">
        <v>97</v>
      </c>
      <c r="BF1991">
        <v>1</v>
      </c>
      <c r="BG1991">
        <v>0</v>
      </c>
      <c r="BH1991">
        <v>0</v>
      </c>
      <c r="BI1991" t="s">
        <v>98</v>
      </c>
    </row>
    <row r="1992" spans="1:61">
      <c r="A1992" s="164" t="s">
        <v>4754</v>
      </c>
      <c r="B1992" t="s">
        <v>4755</v>
      </c>
      <c r="C1992">
        <v>0</v>
      </c>
      <c r="D1992" t="s">
        <v>486</v>
      </c>
      <c r="E1992">
        <v>0</v>
      </c>
      <c r="F1992" t="s">
        <v>1743</v>
      </c>
      <c r="G1992" t="s">
        <v>487</v>
      </c>
      <c r="H1992" t="s">
        <v>117</v>
      </c>
      <c r="I1992" t="s">
        <v>80</v>
      </c>
      <c r="J1992" t="s">
        <v>163</v>
      </c>
      <c r="K1992" t="s">
        <v>82</v>
      </c>
      <c r="L1992" t="s">
        <v>83</v>
      </c>
      <c r="M1992" t="s">
        <v>84</v>
      </c>
      <c r="N1992">
        <v>0.25</v>
      </c>
      <c r="O1992" t="b">
        <v>1</v>
      </c>
      <c r="P1992">
        <v>180</v>
      </c>
      <c r="Q1992" t="s">
        <v>137</v>
      </c>
      <c r="S1992">
        <v>0.04</v>
      </c>
      <c r="T1992">
        <v>1</v>
      </c>
      <c r="V1992" t="s">
        <v>165</v>
      </c>
      <c r="X1992">
        <v>0</v>
      </c>
      <c r="Z1992">
        <v>6.6666666666666671E-3</v>
      </c>
      <c r="AB1992">
        <v>0</v>
      </c>
      <c r="AC1992">
        <v>0</v>
      </c>
      <c r="AE1992" t="s">
        <v>129</v>
      </c>
      <c r="AF1992" t="s">
        <v>1743</v>
      </c>
      <c r="AG1992" t="s">
        <v>129</v>
      </c>
      <c r="AH1992">
        <v>0</v>
      </c>
      <c r="AI1992">
        <v>13.4</v>
      </c>
      <c r="AJ1992" t="s">
        <v>177</v>
      </c>
      <c r="AM1992">
        <v>13.87</v>
      </c>
      <c r="AN1992">
        <v>0</v>
      </c>
      <c r="AO1992">
        <v>0</v>
      </c>
      <c r="AP1992">
        <v>0</v>
      </c>
      <c r="AQ1992">
        <v>2.8571428571428564E-2</v>
      </c>
      <c r="AR1992">
        <v>0</v>
      </c>
      <c r="AS1992">
        <v>0</v>
      </c>
      <c r="AT1992">
        <v>1.0285714285714285</v>
      </c>
      <c r="AU1992">
        <v>0</v>
      </c>
      <c r="AV1992">
        <v>0</v>
      </c>
      <c r="AW1992">
        <v>0</v>
      </c>
      <c r="AX1992" t="s">
        <v>1744</v>
      </c>
      <c r="AY1992">
        <v>2.48</v>
      </c>
      <c r="AZ1992">
        <v>0</v>
      </c>
      <c r="BA1992" t="s">
        <v>138</v>
      </c>
      <c r="BB1992">
        <v>0</v>
      </c>
      <c r="BC1992" t="s">
        <v>488</v>
      </c>
      <c r="BD1992" t="s">
        <v>489</v>
      </c>
      <c r="BE1992" t="s">
        <v>97</v>
      </c>
      <c r="BF1992">
        <v>1</v>
      </c>
      <c r="BG1992">
        <v>0</v>
      </c>
      <c r="BH1992">
        <v>0</v>
      </c>
      <c r="BI1992" t="s">
        <v>98</v>
      </c>
    </row>
    <row r="1993" spans="1:61">
      <c r="A1993" s="164" t="s">
        <v>4756</v>
      </c>
      <c r="B1993" t="s">
        <v>4757</v>
      </c>
      <c r="C1993">
        <v>0</v>
      </c>
      <c r="D1993" t="s">
        <v>486</v>
      </c>
      <c r="E1993">
        <v>0</v>
      </c>
      <c r="F1993" t="s">
        <v>1138</v>
      </c>
      <c r="G1993" t="s">
        <v>103</v>
      </c>
      <c r="H1993" t="s">
        <v>104</v>
      </c>
      <c r="I1993" t="s">
        <v>80</v>
      </c>
      <c r="J1993" t="s">
        <v>163</v>
      </c>
      <c r="K1993" t="s">
        <v>82</v>
      </c>
      <c r="L1993" t="s">
        <v>83</v>
      </c>
      <c r="M1993" t="s">
        <v>84</v>
      </c>
      <c r="N1993">
        <v>0.06</v>
      </c>
      <c r="O1993" t="b">
        <v>1</v>
      </c>
      <c r="P1993">
        <v>60</v>
      </c>
      <c r="Q1993" t="s">
        <v>137</v>
      </c>
      <c r="S1993">
        <v>0.06</v>
      </c>
      <c r="T1993">
        <v>1</v>
      </c>
      <c r="V1993" t="s">
        <v>165</v>
      </c>
      <c r="X1993">
        <v>0</v>
      </c>
      <c r="Z1993">
        <v>3.3333333333333335E-3</v>
      </c>
      <c r="AB1993">
        <v>0</v>
      </c>
      <c r="AC1993">
        <v>0</v>
      </c>
      <c r="AE1993" t="s">
        <v>129</v>
      </c>
      <c r="AF1993" t="s">
        <v>1138</v>
      </c>
      <c r="AG1993" t="s">
        <v>129</v>
      </c>
      <c r="AH1993">
        <v>0</v>
      </c>
      <c r="AI1993">
        <v>9.9</v>
      </c>
      <c r="AJ1993" t="s">
        <v>167</v>
      </c>
      <c r="AM1993">
        <v>10.38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 t="s">
        <v>4758</v>
      </c>
      <c r="AY1993">
        <v>0</v>
      </c>
      <c r="AZ1993">
        <v>0</v>
      </c>
      <c r="BA1993" t="s">
        <v>138</v>
      </c>
      <c r="BB1993">
        <v>0</v>
      </c>
      <c r="BC1993" t="s">
        <v>95</v>
      </c>
      <c r="BD1993" t="s">
        <v>96</v>
      </c>
      <c r="BE1993" t="s">
        <v>97</v>
      </c>
      <c r="BF1993">
        <v>0</v>
      </c>
      <c r="BG1993">
        <v>0</v>
      </c>
      <c r="BH1993">
        <v>0</v>
      </c>
      <c r="BI1993" t="s">
        <v>98</v>
      </c>
    </row>
    <row r="1994" spans="1:61">
      <c r="A1994" s="164" t="s">
        <v>4759</v>
      </c>
      <c r="B1994" t="s">
        <v>4760</v>
      </c>
      <c r="C1994">
        <v>0</v>
      </c>
      <c r="D1994" t="s">
        <v>101</v>
      </c>
      <c r="E1994">
        <v>0</v>
      </c>
      <c r="F1994" t="s">
        <v>1723</v>
      </c>
      <c r="G1994" t="s">
        <v>103</v>
      </c>
      <c r="H1994" t="s">
        <v>104</v>
      </c>
      <c r="I1994" t="s">
        <v>80</v>
      </c>
      <c r="J1994" t="s">
        <v>774</v>
      </c>
      <c r="K1994" t="s">
        <v>565</v>
      </c>
      <c r="L1994" t="s">
        <v>83</v>
      </c>
      <c r="M1994" t="s">
        <v>84</v>
      </c>
      <c r="N1994">
        <v>0.69</v>
      </c>
      <c r="O1994" t="b">
        <v>0</v>
      </c>
      <c r="P1994">
        <v>45</v>
      </c>
      <c r="Q1994" t="s">
        <v>85</v>
      </c>
      <c r="S1994">
        <v>0</v>
      </c>
      <c r="T1994">
        <v>1</v>
      </c>
      <c r="V1994" t="s">
        <v>468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G1994" t="s">
        <v>129</v>
      </c>
      <c r="AH1994">
        <v>0</v>
      </c>
      <c r="AI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Y1994">
        <v>0</v>
      </c>
      <c r="AZ1994">
        <v>0</v>
      </c>
      <c r="BA1994" t="s">
        <v>94</v>
      </c>
      <c r="BB1994">
        <v>0</v>
      </c>
      <c r="BC1994" t="s">
        <v>95</v>
      </c>
      <c r="BD1994" t="s">
        <v>139</v>
      </c>
      <c r="BE1994" t="s">
        <v>97</v>
      </c>
      <c r="BF1994">
        <v>0</v>
      </c>
      <c r="BG1994">
        <v>0</v>
      </c>
      <c r="BH1994">
        <v>0</v>
      </c>
      <c r="BI1994" t="s">
        <v>98</v>
      </c>
    </row>
    <row r="1995" spans="1:61">
      <c r="A1995" s="164" t="s">
        <v>4761</v>
      </c>
      <c r="B1995" t="s">
        <v>4762</v>
      </c>
      <c r="C1995">
        <v>0</v>
      </c>
      <c r="D1995" t="s">
        <v>107</v>
      </c>
      <c r="E1995">
        <v>0</v>
      </c>
      <c r="F1995" t="s">
        <v>2581</v>
      </c>
      <c r="G1995" t="s">
        <v>78</v>
      </c>
      <c r="H1995" t="s">
        <v>79</v>
      </c>
      <c r="I1995" t="s">
        <v>80</v>
      </c>
      <c r="J1995" t="s">
        <v>81</v>
      </c>
      <c r="K1995" t="s">
        <v>82</v>
      </c>
      <c r="L1995" t="s">
        <v>83</v>
      </c>
      <c r="M1995" t="s">
        <v>84</v>
      </c>
      <c r="N1995">
        <v>3.5</v>
      </c>
      <c r="O1995" t="b">
        <v>1</v>
      </c>
      <c r="P1995">
        <v>45</v>
      </c>
      <c r="Q1995" t="s">
        <v>85</v>
      </c>
      <c r="S1995">
        <v>3.5</v>
      </c>
      <c r="T1995">
        <v>1</v>
      </c>
      <c r="U1995" s="36">
        <v>2.91994</v>
      </c>
      <c r="V1995" t="s">
        <v>87</v>
      </c>
      <c r="W1995">
        <v>0</v>
      </c>
      <c r="X1995">
        <v>0</v>
      </c>
      <c r="Y1995">
        <v>4</v>
      </c>
      <c r="Z1995">
        <v>0.125</v>
      </c>
      <c r="AA1995">
        <v>0</v>
      </c>
      <c r="AB1995">
        <v>0</v>
      </c>
      <c r="AC1995">
        <v>0</v>
      </c>
      <c r="AD1995">
        <v>0</v>
      </c>
      <c r="AE1995" t="s">
        <v>2582</v>
      </c>
      <c r="AF1995" t="s">
        <v>1117</v>
      </c>
      <c r="AG1995" t="s">
        <v>114</v>
      </c>
      <c r="AH1995">
        <v>0</v>
      </c>
      <c r="AI1995">
        <v>0.6</v>
      </c>
      <c r="AJ1995" t="s">
        <v>167</v>
      </c>
      <c r="AM1995">
        <v>0.43188335694295682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 t="s">
        <v>4763</v>
      </c>
      <c r="AY1995">
        <v>129.6</v>
      </c>
      <c r="AZ1995">
        <v>0</v>
      </c>
      <c r="BA1995" t="s">
        <v>94</v>
      </c>
      <c r="BB1995">
        <v>5.71</v>
      </c>
      <c r="BC1995" t="s">
        <v>95</v>
      </c>
      <c r="BD1995" t="s">
        <v>96</v>
      </c>
      <c r="BE1995" t="s">
        <v>97</v>
      </c>
      <c r="BF1995">
        <v>1</v>
      </c>
      <c r="BG1995">
        <v>0</v>
      </c>
      <c r="BH1995">
        <v>0</v>
      </c>
      <c r="BI1995" t="s">
        <v>98</v>
      </c>
    </row>
    <row r="1996" spans="1:61">
      <c r="A1996" s="164" t="s">
        <v>4764</v>
      </c>
      <c r="B1996" t="s">
        <v>4765</v>
      </c>
      <c r="C1996">
        <v>0</v>
      </c>
      <c r="D1996" t="s">
        <v>257</v>
      </c>
      <c r="E1996">
        <v>0</v>
      </c>
      <c r="F1996" t="s">
        <v>950</v>
      </c>
      <c r="G1996" t="s">
        <v>78</v>
      </c>
      <c r="H1996" t="s">
        <v>79</v>
      </c>
      <c r="I1996" t="s">
        <v>80</v>
      </c>
      <c r="J1996" t="s">
        <v>196</v>
      </c>
      <c r="K1996" t="s">
        <v>13</v>
      </c>
      <c r="L1996" t="s">
        <v>83</v>
      </c>
      <c r="M1996" t="s">
        <v>205</v>
      </c>
      <c r="N1996">
        <v>1</v>
      </c>
      <c r="O1996" t="b">
        <v>1</v>
      </c>
      <c r="P1996">
        <v>0</v>
      </c>
      <c r="BB1996">
        <v>0</v>
      </c>
      <c r="BC1996" t="s">
        <v>259</v>
      </c>
      <c r="BD1996" t="s">
        <v>951</v>
      </c>
      <c r="BE1996" t="s">
        <v>117</v>
      </c>
      <c r="BF1996">
        <v>0</v>
      </c>
      <c r="BG1996">
        <v>25</v>
      </c>
      <c r="BH1996">
        <v>500</v>
      </c>
      <c r="BI1996" t="s">
        <v>3710</v>
      </c>
    </row>
    <row r="1997" spans="1:61">
      <c r="A1997" s="164" t="s">
        <v>4766</v>
      </c>
      <c r="B1997" t="s">
        <v>4767</v>
      </c>
      <c r="C1997">
        <v>0</v>
      </c>
      <c r="D1997" t="s">
        <v>257</v>
      </c>
      <c r="E1997">
        <v>0</v>
      </c>
      <c r="F1997" t="s">
        <v>258</v>
      </c>
      <c r="G1997" t="s">
        <v>78</v>
      </c>
      <c r="H1997" t="s">
        <v>79</v>
      </c>
      <c r="I1997" t="s">
        <v>80</v>
      </c>
      <c r="J1997" t="s">
        <v>196</v>
      </c>
      <c r="K1997" t="s">
        <v>13</v>
      </c>
      <c r="L1997" t="s">
        <v>83</v>
      </c>
      <c r="M1997" t="s">
        <v>205</v>
      </c>
      <c r="N1997">
        <v>1</v>
      </c>
      <c r="O1997" t="b">
        <v>1</v>
      </c>
      <c r="P1997">
        <v>0</v>
      </c>
      <c r="BB1997">
        <v>0</v>
      </c>
      <c r="BC1997" t="s">
        <v>259</v>
      </c>
      <c r="BD1997" t="s">
        <v>260</v>
      </c>
      <c r="BE1997" t="s">
        <v>117</v>
      </c>
      <c r="BF1997">
        <v>0</v>
      </c>
      <c r="BG1997">
        <v>25</v>
      </c>
      <c r="BH1997">
        <v>5</v>
      </c>
      <c r="BI1997" t="s">
        <v>4768</v>
      </c>
    </row>
    <row r="1998" spans="1:61">
      <c r="A1998" s="164" t="s">
        <v>4769</v>
      </c>
      <c r="B1998" t="s">
        <v>4770</v>
      </c>
      <c r="C1998">
        <v>0</v>
      </c>
      <c r="D1998" t="s">
        <v>257</v>
      </c>
      <c r="E1998">
        <v>0</v>
      </c>
      <c r="F1998" t="s">
        <v>269</v>
      </c>
      <c r="G1998" t="s">
        <v>103</v>
      </c>
      <c r="H1998" t="s">
        <v>104</v>
      </c>
      <c r="I1998" t="s">
        <v>80</v>
      </c>
      <c r="J1998" t="s">
        <v>196</v>
      </c>
      <c r="K1998" t="s">
        <v>13</v>
      </c>
      <c r="L1998" t="s">
        <v>83</v>
      </c>
      <c r="M1998" t="s">
        <v>84</v>
      </c>
      <c r="N1998">
        <v>1</v>
      </c>
      <c r="O1998" t="b">
        <v>0</v>
      </c>
      <c r="P1998">
        <v>0</v>
      </c>
      <c r="BB1998">
        <v>0</v>
      </c>
      <c r="BC1998" t="s">
        <v>259</v>
      </c>
      <c r="BD1998" t="s">
        <v>270</v>
      </c>
      <c r="BE1998" t="s">
        <v>117</v>
      </c>
      <c r="BF1998">
        <v>0</v>
      </c>
      <c r="BG1998">
        <v>0</v>
      </c>
      <c r="BH1998">
        <v>0</v>
      </c>
    </row>
    <row r="1999" spans="1:61">
      <c r="A1999" s="164" t="s">
        <v>4771</v>
      </c>
      <c r="B1999" t="s">
        <v>4772</v>
      </c>
      <c r="C1999">
        <v>0</v>
      </c>
      <c r="D1999" t="s">
        <v>257</v>
      </c>
      <c r="E1999">
        <v>0</v>
      </c>
      <c r="F1999" t="s">
        <v>4773</v>
      </c>
      <c r="G1999" t="s">
        <v>78</v>
      </c>
      <c r="H1999" t="s">
        <v>79</v>
      </c>
      <c r="I1999" t="s">
        <v>80</v>
      </c>
      <c r="J1999" t="s">
        <v>196</v>
      </c>
      <c r="K1999" t="s">
        <v>13</v>
      </c>
      <c r="L1999" t="s">
        <v>83</v>
      </c>
      <c r="M1999" t="s">
        <v>205</v>
      </c>
      <c r="N1999">
        <v>1</v>
      </c>
      <c r="O1999" t="b">
        <v>1</v>
      </c>
      <c r="P1999">
        <v>0</v>
      </c>
      <c r="BB1999">
        <v>0</v>
      </c>
      <c r="BC1999" t="s">
        <v>259</v>
      </c>
      <c r="BD1999" t="s">
        <v>4774</v>
      </c>
      <c r="BE1999" t="s">
        <v>117</v>
      </c>
      <c r="BF1999">
        <v>0</v>
      </c>
      <c r="BG1999">
        <v>20</v>
      </c>
      <c r="BH1999">
        <v>1500</v>
      </c>
      <c r="BI1999" t="s">
        <v>4775</v>
      </c>
    </row>
    <row r="2000" spans="1:61">
      <c r="A2000" s="164" t="s">
        <v>4776</v>
      </c>
      <c r="B2000" t="s">
        <v>4777</v>
      </c>
      <c r="C2000">
        <v>0</v>
      </c>
      <c r="D2000" t="s">
        <v>257</v>
      </c>
      <c r="E2000">
        <v>0</v>
      </c>
      <c r="F2000" t="s">
        <v>925</v>
      </c>
      <c r="G2000" t="s">
        <v>78</v>
      </c>
      <c r="H2000" t="s">
        <v>79</v>
      </c>
      <c r="I2000" t="s">
        <v>80</v>
      </c>
      <c r="J2000" t="s">
        <v>196</v>
      </c>
      <c r="K2000" t="s">
        <v>13</v>
      </c>
      <c r="L2000" t="s">
        <v>83</v>
      </c>
      <c r="M2000" t="s">
        <v>205</v>
      </c>
      <c r="N2000">
        <v>1</v>
      </c>
      <c r="O2000" t="b">
        <v>1</v>
      </c>
      <c r="P2000">
        <v>0</v>
      </c>
      <c r="BB2000">
        <v>0</v>
      </c>
      <c r="BC2000" t="s">
        <v>259</v>
      </c>
      <c r="BD2000" t="s">
        <v>926</v>
      </c>
      <c r="BE2000" t="s">
        <v>117</v>
      </c>
      <c r="BF2000">
        <v>0</v>
      </c>
      <c r="BG2000">
        <v>25</v>
      </c>
      <c r="BH2000">
        <v>25</v>
      </c>
      <c r="BI2000" t="s">
        <v>1344</v>
      </c>
    </row>
    <row r="2001" spans="1:61">
      <c r="A2001" s="164" t="s">
        <v>4778</v>
      </c>
      <c r="B2001" t="s">
        <v>4779</v>
      </c>
      <c r="C2001">
        <v>0</v>
      </c>
      <c r="D2001" t="s">
        <v>257</v>
      </c>
      <c r="E2001">
        <v>0</v>
      </c>
      <c r="F2001" t="s">
        <v>258</v>
      </c>
      <c r="G2001" t="s">
        <v>78</v>
      </c>
      <c r="H2001" t="s">
        <v>79</v>
      </c>
      <c r="I2001" t="s">
        <v>80</v>
      </c>
      <c r="J2001" t="s">
        <v>196</v>
      </c>
      <c r="K2001" t="s">
        <v>13</v>
      </c>
      <c r="L2001" t="s">
        <v>83</v>
      </c>
      <c r="M2001" t="s">
        <v>205</v>
      </c>
      <c r="N2001">
        <v>1</v>
      </c>
      <c r="O2001" t="b">
        <v>1</v>
      </c>
      <c r="P2001">
        <v>0</v>
      </c>
      <c r="BB2001">
        <v>0</v>
      </c>
      <c r="BC2001" t="s">
        <v>259</v>
      </c>
      <c r="BD2001" t="s">
        <v>260</v>
      </c>
      <c r="BE2001" t="s">
        <v>117</v>
      </c>
      <c r="BF2001">
        <v>0</v>
      </c>
      <c r="BG2001">
        <v>25</v>
      </c>
      <c r="BH2001">
        <v>20</v>
      </c>
      <c r="BI2001" t="s">
        <v>1897</v>
      </c>
    </row>
    <row r="2002" spans="1:61">
      <c r="A2002" s="164" t="s">
        <v>4780</v>
      </c>
      <c r="B2002" t="s">
        <v>4781</v>
      </c>
      <c r="C2002">
        <v>0</v>
      </c>
      <c r="D2002" t="s">
        <v>257</v>
      </c>
      <c r="E2002">
        <v>0</v>
      </c>
      <c r="F2002" t="s">
        <v>258</v>
      </c>
      <c r="G2002" t="s">
        <v>78</v>
      </c>
      <c r="H2002" t="s">
        <v>79</v>
      </c>
      <c r="I2002" t="s">
        <v>80</v>
      </c>
      <c r="J2002" t="s">
        <v>196</v>
      </c>
      <c r="K2002" t="s">
        <v>13</v>
      </c>
      <c r="L2002" t="s">
        <v>83</v>
      </c>
      <c r="M2002" t="s">
        <v>205</v>
      </c>
      <c r="N2002">
        <v>1</v>
      </c>
      <c r="O2002" t="b">
        <v>1</v>
      </c>
      <c r="P2002">
        <v>0</v>
      </c>
      <c r="BB2002">
        <v>0</v>
      </c>
      <c r="BC2002" t="s">
        <v>259</v>
      </c>
      <c r="BD2002" t="s">
        <v>260</v>
      </c>
      <c r="BE2002" t="s">
        <v>117</v>
      </c>
      <c r="BF2002">
        <v>0</v>
      </c>
      <c r="BG2002">
        <v>25</v>
      </c>
      <c r="BH2002">
        <v>20</v>
      </c>
      <c r="BI2002" t="s">
        <v>1897</v>
      </c>
    </row>
    <row r="2003" spans="1:61">
      <c r="A2003" s="164" t="s">
        <v>4782</v>
      </c>
      <c r="B2003" t="s">
        <v>4783</v>
      </c>
      <c r="C2003">
        <v>0</v>
      </c>
      <c r="D2003" t="s">
        <v>257</v>
      </c>
      <c r="E2003">
        <v>0</v>
      </c>
      <c r="F2003" t="s">
        <v>258</v>
      </c>
      <c r="G2003" t="s">
        <v>78</v>
      </c>
      <c r="H2003" t="s">
        <v>79</v>
      </c>
      <c r="I2003" t="s">
        <v>80</v>
      </c>
      <c r="J2003" t="s">
        <v>196</v>
      </c>
      <c r="K2003" t="s">
        <v>13</v>
      </c>
      <c r="L2003" t="s">
        <v>83</v>
      </c>
      <c r="M2003" t="s">
        <v>205</v>
      </c>
      <c r="N2003">
        <v>1</v>
      </c>
      <c r="O2003" t="b">
        <v>1</v>
      </c>
      <c r="P2003">
        <v>0</v>
      </c>
      <c r="BB2003">
        <v>0</v>
      </c>
      <c r="BC2003" t="s">
        <v>259</v>
      </c>
      <c r="BD2003" t="s">
        <v>260</v>
      </c>
      <c r="BE2003" t="s">
        <v>117</v>
      </c>
      <c r="BF2003">
        <v>0</v>
      </c>
      <c r="BG2003">
        <v>120</v>
      </c>
      <c r="BH2003">
        <v>5</v>
      </c>
      <c r="BI2003" t="s">
        <v>947</v>
      </c>
    </row>
    <row r="2004" spans="1:61">
      <c r="A2004" s="164" t="s">
        <v>4784</v>
      </c>
      <c r="B2004" t="s">
        <v>4785</v>
      </c>
      <c r="C2004">
        <v>0</v>
      </c>
      <c r="D2004" t="s">
        <v>257</v>
      </c>
      <c r="E2004">
        <v>0</v>
      </c>
      <c r="F2004" t="s">
        <v>925</v>
      </c>
      <c r="G2004" t="s">
        <v>78</v>
      </c>
      <c r="H2004" t="s">
        <v>79</v>
      </c>
      <c r="I2004" t="s">
        <v>80</v>
      </c>
      <c r="J2004" t="s">
        <v>196</v>
      </c>
      <c r="K2004" t="s">
        <v>13</v>
      </c>
      <c r="L2004" t="s">
        <v>83</v>
      </c>
      <c r="M2004" t="s">
        <v>205</v>
      </c>
      <c r="N2004">
        <v>1</v>
      </c>
      <c r="O2004" t="b">
        <v>1</v>
      </c>
      <c r="P2004">
        <v>0</v>
      </c>
      <c r="BB2004">
        <v>0</v>
      </c>
      <c r="BC2004" t="s">
        <v>259</v>
      </c>
      <c r="BD2004" t="s">
        <v>926</v>
      </c>
      <c r="BE2004" t="s">
        <v>117</v>
      </c>
      <c r="BF2004">
        <v>0</v>
      </c>
      <c r="BG2004">
        <v>15</v>
      </c>
      <c r="BH2004">
        <v>2</v>
      </c>
      <c r="BI2004" t="s">
        <v>1339</v>
      </c>
    </row>
    <row r="2005" spans="1:61">
      <c r="A2005" s="164" t="s">
        <v>4786</v>
      </c>
      <c r="B2005" t="s">
        <v>4787</v>
      </c>
      <c r="C2005">
        <v>0</v>
      </c>
      <c r="D2005" t="s">
        <v>523</v>
      </c>
      <c r="E2005">
        <v>0</v>
      </c>
      <c r="F2005" t="s">
        <v>531</v>
      </c>
      <c r="G2005" t="s">
        <v>78</v>
      </c>
      <c r="H2005" t="s">
        <v>79</v>
      </c>
      <c r="I2005" t="s">
        <v>80</v>
      </c>
      <c r="J2005" t="s">
        <v>196</v>
      </c>
      <c r="K2005" t="s">
        <v>13</v>
      </c>
      <c r="L2005" t="s">
        <v>83</v>
      </c>
      <c r="M2005" t="s">
        <v>205</v>
      </c>
      <c r="N2005">
        <v>1</v>
      </c>
      <c r="O2005" t="b">
        <v>1</v>
      </c>
      <c r="P2005">
        <v>0</v>
      </c>
      <c r="BB2005">
        <v>0</v>
      </c>
      <c r="BC2005" t="s">
        <v>524</v>
      </c>
      <c r="BD2005" t="s">
        <v>532</v>
      </c>
      <c r="BE2005" t="s">
        <v>117</v>
      </c>
      <c r="BF2005">
        <v>0</v>
      </c>
      <c r="BG2005">
        <v>20</v>
      </c>
      <c r="BH2005">
        <v>1000</v>
      </c>
      <c r="BI2005" t="s">
        <v>1043</v>
      </c>
    </row>
    <row r="2006" spans="1:61">
      <c r="A2006" s="164" t="s">
        <v>4788</v>
      </c>
      <c r="B2006" t="s">
        <v>4789</v>
      </c>
      <c r="C2006">
        <v>0</v>
      </c>
      <c r="D2006" t="s">
        <v>523</v>
      </c>
      <c r="E2006">
        <v>0</v>
      </c>
      <c r="F2006" t="s">
        <v>531</v>
      </c>
      <c r="G2006" t="s">
        <v>78</v>
      </c>
      <c r="H2006" t="s">
        <v>79</v>
      </c>
      <c r="I2006" t="s">
        <v>80</v>
      </c>
      <c r="J2006" t="s">
        <v>196</v>
      </c>
      <c r="K2006" t="s">
        <v>13</v>
      </c>
      <c r="L2006" t="s">
        <v>83</v>
      </c>
      <c r="M2006" t="s">
        <v>205</v>
      </c>
      <c r="N2006">
        <v>1</v>
      </c>
      <c r="O2006" t="b">
        <v>1</v>
      </c>
      <c r="P2006">
        <v>0</v>
      </c>
      <c r="BB2006">
        <v>0</v>
      </c>
      <c r="BC2006" t="s">
        <v>524</v>
      </c>
      <c r="BD2006" t="s">
        <v>532</v>
      </c>
      <c r="BE2006" t="s">
        <v>117</v>
      </c>
      <c r="BF2006">
        <v>0</v>
      </c>
      <c r="BG2006">
        <v>15</v>
      </c>
      <c r="BH2006">
        <v>300</v>
      </c>
      <c r="BI2006" t="s">
        <v>533</v>
      </c>
    </row>
    <row r="2007" spans="1:61">
      <c r="A2007" s="164" t="s">
        <v>4790</v>
      </c>
      <c r="B2007" t="s">
        <v>4791</v>
      </c>
      <c r="C2007">
        <v>0</v>
      </c>
      <c r="D2007" t="s">
        <v>523</v>
      </c>
      <c r="E2007">
        <v>0</v>
      </c>
      <c r="F2007" t="s">
        <v>531</v>
      </c>
      <c r="G2007" t="s">
        <v>78</v>
      </c>
      <c r="H2007" t="s">
        <v>79</v>
      </c>
      <c r="I2007" t="s">
        <v>80</v>
      </c>
      <c r="J2007" t="s">
        <v>196</v>
      </c>
      <c r="K2007" t="s">
        <v>13</v>
      </c>
      <c r="L2007" t="s">
        <v>83</v>
      </c>
      <c r="M2007" t="s">
        <v>205</v>
      </c>
      <c r="N2007">
        <v>1</v>
      </c>
      <c r="O2007" t="b">
        <v>1</v>
      </c>
      <c r="P2007">
        <v>0</v>
      </c>
      <c r="BB2007">
        <v>0</v>
      </c>
      <c r="BC2007" t="s">
        <v>524</v>
      </c>
      <c r="BD2007" t="s">
        <v>532</v>
      </c>
      <c r="BE2007" t="s">
        <v>117</v>
      </c>
      <c r="BF2007">
        <v>0</v>
      </c>
      <c r="BG2007">
        <v>15</v>
      </c>
      <c r="BH2007">
        <v>1000</v>
      </c>
      <c r="BI2007" t="s">
        <v>533</v>
      </c>
    </row>
    <row r="2008" spans="1:61">
      <c r="A2008" s="164" t="s">
        <v>4792</v>
      </c>
      <c r="B2008" t="s">
        <v>4793</v>
      </c>
      <c r="C2008">
        <v>0</v>
      </c>
      <c r="D2008" t="s">
        <v>523</v>
      </c>
      <c r="E2008">
        <v>0</v>
      </c>
      <c r="F2008" t="s">
        <v>269</v>
      </c>
      <c r="G2008" t="s">
        <v>103</v>
      </c>
      <c r="H2008" t="s">
        <v>104</v>
      </c>
      <c r="I2008" t="s">
        <v>80</v>
      </c>
      <c r="J2008" t="s">
        <v>196</v>
      </c>
      <c r="K2008" t="s">
        <v>13</v>
      </c>
      <c r="L2008" t="s">
        <v>83</v>
      </c>
      <c r="M2008" t="s">
        <v>84</v>
      </c>
      <c r="N2008">
        <v>1</v>
      </c>
      <c r="O2008" t="b">
        <v>0</v>
      </c>
      <c r="P2008">
        <v>0</v>
      </c>
      <c r="BB2008">
        <v>0</v>
      </c>
      <c r="BC2008" t="s">
        <v>524</v>
      </c>
      <c r="BD2008" t="s">
        <v>270</v>
      </c>
      <c r="BE2008" t="s">
        <v>117</v>
      </c>
      <c r="BF2008">
        <v>0</v>
      </c>
      <c r="BG2008">
        <v>0</v>
      </c>
      <c r="BH2008">
        <v>0</v>
      </c>
    </row>
    <row r="2009" spans="1:61">
      <c r="A2009" s="164" t="s">
        <v>4794</v>
      </c>
      <c r="B2009" t="s">
        <v>4795</v>
      </c>
      <c r="C2009">
        <v>0</v>
      </c>
      <c r="D2009" t="s">
        <v>523</v>
      </c>
      <c r="E2009">
        <v>0</v>
      </c>
      <c r="F2009" t="s">
        <v>269</v>
      </c>
      <c r="G2009" t="s">
        <v>103</v>
      </c>
      <c r="H2009" t="s">
        <v>104</v>
      </c>
      <c r="I2009" t="s">
        <v>80</v>
      </c>
      <c r="J2009" t="s">
        <v>196</v>
      </c>
      <c r="K2009" t="s">
        <v>13</v>
      </c>
      <c r="L2009" t="s">
        <v>83</v>
      </c>
      <c r="M2009" t="s">
        <v>84</v>
      </c>
      <c r="N2009">
        <v>1</v>
      </c>
      <c r="O2009" t="b">
        <v>0</v>
      </c>
      <c r="P2009">
        <v>0</v>
      </c>
      <c r="BB2009">
        <v>0</v>
      </c>
      <c r="BC2009" t="s">
        <v>524</v>
      </c>
      <c r="BD2009" t="s">
        <v>270</v>
      </c>
      <c r="BE2009" t="s">
        <v>117</v>
      </c>
      <c r="BF2009">
        <v>0</v>
      </c>
      <c r="BG2009">
        <v>0</v>
      </c>
      <c r="BH2009">
        <v>0</v>
      </c>
    </row>
    <row r="2010" spans="1:61">
      <c r="A2010" s="164" t="s">
        <v>4796</v>
      </c>
      <c r="B2010" t="s">
        <v>4797</v>
      </c>
      <c r="C2010">
        <v>0</v>
      </c>
      <c r="D2010" t="s">
        <v>523</v>
      </c>
      <c r="E2010">
        <v>0</v>
      </c>
      <c r="F2010" t="s">
        <v>538</v>
      </c>
      <c r="G2010" t="s">
        <v>78</v>
      </c>
      <c r="H2010" t="s">
        <v>79</v>
      </c>
      <c r="I2010" t="s">
        <v>80</v>
      </c>
      <c r="J2010" t="s">
        <v>196</v>
      </c>
      <c r="K2010" t="s">
        <v>13</v>
      </c>
      <c r="L2010" t="s">
        <v>83</v>
      </c>
      <c r="M2010" t="s">
        <v>205</v>
      </c>
      <c r="N2010">
        <v>1</v>
      </c>
      <c r="O2010" t="b">
        <v>1</v>
      </c>
      <c r="P2010">
        <v>0</v>
      </c>
      <c r="BB2010">
        <v>0</v>
      </c>
      <c r="BC2010" t="s">
        <v>524</v>
      </c>
      <c r="BD2010" t="s">
        <v>539</v>
      </c>
      <c r="BE2010" t="s">
        <v>117</v>
      </c>
      <c r="BF2010">
        <v>0</v>
      </c>
      <c r="BG2010">
        <v>15</v>
      </c>
      <c r="BH2010">
        <v>500</v>
      </c>
      <c r="BI2010" t="s">
        <v>540</v>
      </c>
    </row>
    <row r="2011" spans="1:61">
      <c r="A2011" s="164" t="s">
        <v>4798</v>
      </c>
      <c r="B2011" t="s">
        <v>4799</v>
      </c>
      <c r="C2011">
        <v>0</v>
      </c>
      <c r="D2011" t="s">
        <v>523</v>
      </c>
      <c r="E2011">
        <v>0</v>
      </c>
      <c r="F2011" t="s">
        <v>269</v>
      </c>
      <c r="G2011" t="s">
        <v>103</v>
      </c>
      <c r="H2011" t="s">
        <v>104</v>
      </c>
      <c r="I2011" t="s">
        <v>80</v>
      </c>
      <c r="J2011" t="s">
        <v>196</v>
      </c>
      <c r="K2011" t="s">
        <v>13</v>
      </c>
      <c r="L2011" t="s">
        <v>83</v>
      </c>
      <c r="M2011" t="s">
        <v>205</v>
      </c>
      <c r="N2011">
        <v>1</v>
      </c>
      <c r="O2011" t="b">
        <v>0</v>
      </c>
      <c r="P2011">
        <v>0</v>
      </c>
      <c r="BB2011">
        <v>0</v>
      </c>
      <c r="BC2011" t="s">
        <v>524</v>
      </c>
      <c r="BD2011" t="s">
        <v>270</v>
      </c>
      <c r="BE2011" t="s">
        <v>117</v>
      </c>
      <c r="BF2011">
        <v>0</v>
      </c>
      <c r="BG2011">
        <v>0</v>
      </c>
      <c r="BH2011">
        <v>0</v>
      </c>
    </row>
    <row r="2012" spans="1:61">
      <c r="A2012" s="164" t="s">
        <v>4800</v>
      </c>
      <c r="B2012" t="s">
        <v>4801</v>
      </c>
      <c r="C2012">
        <v>0</v>
      </c>
      <c r="D2012" t="s">
        <v>523</v>
      </c>
      <c r="E2012">
        <v>0</v>
      </c>
      <c r="F2012" t="s">
        <v>269</v>
      </c>
      <c r="G2012" t="s">
        <v>103</v>
      </c>
      <c r="H2012" t="s">
        <v>104</v>
      </c>
      <c r="I2012" t="s">
        <v>80</v>
      </c>
      <c r="J2012" t="s">
        <v>196</v>
      </c>
      <c r="K2012" t="s">
        <v>13</v>
      </c>
      <c r="L2012" t="s">
        <v>83</v>
      </c>
      <c r="M2012" t="s">
        <v>205</v>
      </c>
      <c r="N2012">
        <v>1</v>
      </c>
      <c r="O2012" t="b">
        <v>0</v>
      </c>
      <c r="P2012">
        <v>0</v>
      </c>
      <c r="BB2012">
        <v>0</v>
      </c>
      <c r="BC2012" t="s">
        <v>524</v>
      </c>
      <c r="BD2012" t="s">
        <v>270</v>
      </c>
      <c r="BE2012" t="s">
        <v>117</v>
      </c>
      <c r="BF2012">
        <v>0</v>
      </c>
      <c r="BG2012">
        <v>0</v>
      </c>
      <c r="BH2012">
        <v>0</v>
      </c>
    </row>
    <row r="2013" spans="1:61">
      <c r="A2013" s="164" t="s">
        <v>4802</v>
      </c>
      <c r="B2013" t="s">
        <v>4803</v>
      </c>
      <c r="C2013">
        <v>0</v>
      </c>
      <c r="D2013" t="s">
        <v>523</v>
      </c>
      <c r="E2013">
        <v>0</v>
      </c>
      <c r="F2013" t="s">
        <v>269</v>
      </c>
      <c r="G2013" t="s">
        <v>103</v>
      </c>
      <c r="H2013" t="s">
        <v>104</v>
      </c>
      <c r="I2013" t="s">
        <v>80</v>
      </c>
      <c r="J2013" t="s">
        <v>196</v>
      </c>
      <c r="K2013" t="s">
        <v>13</v>
      </c>
      <c r="L2013" t="s">
        <v>83</v>
      </c>
      <c r="M2013" t="s">
        <v>205</v>
      </c>
      <c r="N2013">
        <v>1</v>
      </c>
      <c r="O2013" t="b">
        <v>0</v>
      </c>
      <c r="P2013">
        <v>0</v>
      </c>
      <c r="BB2013">
        <v>0</v>
      </c>
      <c r="BC2013" t="s">
        <v>524</v>
      </c>
      <c r="BD2013" t="s">
        <v>270</v>
      </c>
      <c r="BE2013" t="s">
        <v>117</v>
      </c>
      <c r="BF2013">
        <v>0</v>
      </c>
      <c r="BG2013">
        <v>0</v>
      </c>
      <c r="BH2013">
        <v>0</v>
      </c>
    </row>
    <row r="2014" spans="1:61">
      <c r="A2014" s="164" t="s">
        <v>4804</v>
      </c>
      <c r="B2014" t="s">
        <v>1859</v>
      </c>
      <c r="C2014">
        <v>0</v>
      </c>
      <c r="D2014" t="s">
        <v>257</v>
      </c>
      <c r="E2014">
        <v>0</v>
      </c>
      <c r="F2014" t="s">
        <v>269</v>
      </c>
      <c r="G2014" t="s">
        <v>103</v>
      </c>
      <c r="H2014" t="s">
        <v>104</v>
      </c>
      <c r="I2014" t="s">
        <v>80</v>
      </c>
      <c r="J2014" t="s">
        <v>196</v>
      </c>
      <c r="K2014" t="s">
        <v>13</v>
      </c>
      <c r="L2014" t="s">
        <v>83</v>
      </c>
      <c r="M2014" t="s">
        <v>205</v>
      </c>
      <c r="N2014">
        <v>1</v>
      </c>
      <c r="O2014" t="b">
        <v>0</v>
      </c>
      <c r="P2014">
        <v>0</v>
      </c>
      <c r="BB2014">
        <v>0</v>
      </c>
      <c r="BC2014" t="s">
        <v>259</v>
      </c>
      <c r="BD2014" t="s">
        <v>270</v>
      </c>
      <c r="BE2014" t="s">
        <v>117</v>
      </c>
      <c r="BF2014">
        <v>0</v>
      </c>
      <c r="BG2014">
        <v>0</v>
      </c>
      <c r="BH2014">
        <v>0</v>
      </c>
    </row>
    <row r="2015" spans="1:61">
      <c r="A2015" s="164" t="s">
        <v>4805</v>
      </c>
      <c r="B2015" t="s">
        <v>4806</v>
      </c>
      <c r="C2015">
        <v>0</v>
      </c>
      <c r="D2015" t="s">
        <v>257</v>
      </c>
      <c r="E2015">
        <v>0</v>
      </c>
      <c r="F2015" t="s">
        <v>269</v>
      </c>
      <c r="G2015" t="s">
        <v>103</v>
      </c>
      <c r="H2015" t="s">
        <v>104</v>
      </c>
      <c r="I2015" t="s">
        <v>80</v>
      </c>
      <c r="J2015" t="s">
        <v>196</v>
      </c>
      <c r="K2015" t="s">
        <v>13</v>
      </c>
      <c r="L2015" t="s">
        <v>83</v>
      </c>
      <c r="M2015" t="s">
        <v>205</v>
      </c>
      <c r="N2015">
        <v>1</v>
      </c>
      <c r="O2015" t="b">
        <v>0</v>
      </c>
      <c r="P2015">
        <v>0</v>
      </c>
      <c r="BB2015">
        <v>0</v>
      </c>
      <c r="BC2015" t="s">
        <v>259</v>
      </c>
      <c r="BD2015" t="s">
        <v>270</v>
      </c>
      <c r="BE2015" t="s">
        <v>117</v>
      </c>
      <c r="BF2015">
        <v>0</v>
      </c>
      <c r="BG2015">
        <v>0</v>
      </c>
      <c r="BH2015">
        <v>0</v>
      </c>
    </row>
    <row r="2016" spans="1:61">
      <c r="A2016" s="164" t="s">
        <v>4807</v>
      </c>
      <c r="B2016" t="s">
        <v>4808</v>
      </c>
      <c r="C2016">
        <v>0</v>
      </c>
      <c r="D2016" t="s">
        <v>257</v>
      </c>
      <c r="E2016">
        <v>0</v>
      </c>
      <c r="F2016" t="s">
        <v>269</v>
      </c>
      <c r="G2016" t="s">
        <v>103</v>
      </c>
      <c r="H2016" t="s">
        <v>104</v>
      </c>
      <c r="I2016" t="s">
        <v>80</v>
      </c>
      <c r="J2016" t="s">
        <v>196</v>
      </c>
      <c r="K2016" t="s">
        <v>13</v>
      </c>
      <c r="L2016" t="s">
        <v>83</v>
      </c>
      <c r="M2016" t="s">
        <v>205</v>
      </c>
      <c r="N2016">
        <v>1</v>
      </c>
      <c r="O2016" t="b">
        <v>0</v>
      </c>
      <c r="P2016">
        <v>0</v>
      </c>
      <c r="BB2016">
        <v>0</v>
      </c>
      <c r="BC2016" t="s">
        <v>259</v>
      </c>
      <c r="BD2016" t="s">
        <v>270</v>
      </c>
      <c r="BE2016" t="s">
        <v>117</v>
      </c>
      <c r="BF2016">
        <v>0</v>
      </c>
      <c r="BG2016">
        <v>0</v>
      </c>
      <c r="BH2016">
        <v>0</v>
      </c>
    </row>
    <row r="2017" spans="1:61">
      <c r="A2017" s="164" t="s">
        <v>4809</v>
      </c>
      <c r="B2017" t="s">
        <v>4810</v>
      </c>
      <c r="C2017">
        <v>0</v>
      </c>
      <c r="D2017" t="s">
        <v>257</v>
      </c>
      <c r="E2017">
        <v>0</v>
      </c>
      <c r="F2017" t="s">
        <v>269</v>
      </c>
      <c r="G2017" t="s">
        <v>103</v>
      </c>
      <c r="H2017" t="s">
        <v>104</v>
      </c>
      <c r="I2017" t="s">
        <v>80</v>
      </c>
      <c r="J2017" t="s">
        <v>196</v>
      </c>
      <c r="K2017" t="s">
        <v>13</v>
      </c>
      <c r="L2017" t="s">
        <v>83</v>
      </c>
      <c r="M2017" t="s">
        <v>205</v>
      </c>
      <c r="N2017">
        <v>1</v>
      </c>
      <c r="O2017" t="b">
        <v>0</v>
      </c>
      <c r="P2017">
        <v>0</v>
      </c>
      <c r="BB2017">
        <v>0</v>
      </c>
      <c r="BC2017" t="s">
        <v>259</v>
      </c>
      <c r="BD2017" t="s">
        <v>270</v>
      </c>
      <c r="BE2017" t="s">
        <v>117</v>
      </c>
      <c r="BF2017">
        <v>0</v>
      </c>
      <c r="BG2017">
        <v>0</v>
      </c>
      <c r="BH2017">
        <v>0</v>
      </c>
    </row>
    <row r="2018" spans="1:61">
      <c r="A2018" s="164" t="s">
        <v>4811</v>
      </c>
      <c r="B2018" t="s">
        <v>4812</v>
      </c>
      <c r="C2018">
        <v>0</v>
      </c>
      <c r="D2018" t="s">
        <v>257</v>
      </c>
      <c r="E2018">
        <v>0</v>
      </c>
      <c r="F2018" t="s">
        <v>269</v>
      </c>
      <c r="G2018" t="s">
        <v>103</v>
      </c>
      <c r="H2018" t="s">
        <v>104</v>
      </c>
      <c r="I2018" t="s">
        <v>80</v>
      </c>
      <c r="J2018" t="s">
        <v>196</v>
      </c>
      <c r="K2018" t="s">
        <v>13</v>
      </c>
      <c r="L2018" t="s">
        <v>83</v>
      </c>
      <c r="M2018" t="s">
        <v>205</v>
      </c>
      <c r="N2018">
        <v>1</v>
      </c>
      <c r="O2018" t="b">
        <v>0</v>
      </c>
      <c r="P2018">
        <v>0</v>
      </c>
      <c r="BB2018">
        <v>0</v>
      </c>
      <c r="BC2018" t="s">
        <v>259</v>
      </c>
      <c r="BD2018" t="s">
        <v>270</v>
      </c>
      <c r="BE2018" t="s">
        <v>117</v>
      </c>
      <c r="BF2018">
        <v>0</v>
      </c>
      <c r="BG2018">
        <v>0</v>
      </c>
      <c r="BH2018">
        <v>0</v>
      </c>
    </row>
    <row r="2019" spans="1:61">
      <c r="A2019" s="164" t="s">
        <v>4813</v>
      </c>
      <c r="B2019" t="s">
        <v>4814</v>
      </c>
      <c r="C2019">
        <v>0</v>
      </c>
      <c r="D2019" t="s">
        <v>257</v>
      </c>
      <c r="E2019">
        <v>0</v>
      </c>
      <c r="F2019" t="s">
        <v>269</v>
      </c>
      <c r="G2019" t="s">
        <v>103</v>
      </c>
      <c r="H2019" t="s">
        <v>104</v>
      </c>
      <c r="I2019" t="s">
        <v>80</v>
      </c>
      <c r="J2019" t="s">
        <v>196</v>
      </c>
      <c r="K2019" t="s">
        <v>13</v>
      </c>
      <c r="L2019" t="s">
        <v>83</v>
      </c>
      <c r="M2019" t="s">
        <v>205</v>
      </c>
      <c r="N2019">
        <v>1</v>
      </c>
      <c r="O2019" t="b">
        <v>0</v>
      </c>
      <c r="P2019">
        <v>0</v>
      </c>
      <c r="BB2019">
        <v>0</v>
      </c>
      <c r="BC2019" t="s">
        <v>259</v>
      </c>
      <c r="BD2019" t="s">
        <v>270</v>
      </c>
      <c r="BE2019" t="s">
        <v>117</v>
      </c>
      <c r="BF2019">
        <v>0</v>
      </c>
      <c r="BG2019">
        <v>0</v>
      </c>
      <c r="BH2019">
        <v>0</v>
      </c>
    </row>
    <row r="2020" spans="1:61">
      <c r="A2020" s="164" t="s">
        <v>4815</v>
      </c>
      <c r="B2020" t="s">
        <v>4816</v>
      </c>
      <c r="C2020">
        <v>0</v>
      </c>
      <c r="D2020" t="s">
        <v>257</v>
      </c>
      <c r="E2020">
        <v>0</v>
      </c>
      <c r="F2020" t="s">
        <v>269</v>
      </c>
      <c r="G2020" t="s">
        <v>103</v>
      </c>
      <c r="H2020" t="s">
        <v>104</v>
      </c>
      <c r="I2020" t="s">
        <v>80</v>
      </c>
      <c r="J2020" t="s">
        <v>196</v>
      </c>
      <c r="K2020" t="s">
        <v>13</v>
      </c>
      <c r="L2020" t="s">
        <v>83</v>
      </c>
      <c r="M2020" t="s">
        <v>205</v>
      </c>
      <c r="N2020">
        <v>1</v>
      </c>
      <c r="O2020" t="b">
        <v>0</v>
      </c>
      <c r="P2020">
        <v>0</v>
      </c>
      <c r="BB2020">
        <v>0</v>
      </c>
      <c r="BC2020" t="s">
        <v>259</v>
      </c>
      <c r="BD2020" t="s">
        <v>270</v>
      </c>
      <c r="BE2020" t="s">
        <v>117</v>
      </c>
      <c r="BF2020">
        <v>0</v>
      </c>
      <c r="BG2020">
        <v>0</v>
      </c>
      <c r="BH2020">
        <v>0</v>
      </c>
    </row>
    <row r="2021" spans="1:61">
      <c r="A2021" s="164" t="s">
        <v>4817</v>
      </c>
      <c r="B2021" t="s">
        <v>4818</v>
      </c>
      <c r="C2021">
        <v>0</v>
      </c>
      <c r="D2021" t="s">
        <v>257</v>
      </c>
      <c r="E2021">
        <v>0</v>
      </c>
      <c r="F2021" t="s">
        <v>269</v>
      </c>
      <c r="G2021" t="s">
        <v>103</v>
      </c>
      <c r="H2021" t="s">
        <v>104</v>
      </c>
      <c r="I2021" t="s">
        <v>80</v>
      </c>
      <c r="J2021" t="s">
        <v>196</v>
      </c>
      <c r="K2021" t="s">
        <v>13</v>
      </c>
      <c r="L2021" t="s">
        <v>83</v>
      </c>
      <c r="M2021" t="s">
        <v>205</v>
      </c>
      <c r="N2021">
        <v>1</v>
      </c>
      <c r="O2021" t="b">
        <v>0</v>
      </c>
      <c r="P2021">
        <v>0</v>
      </c>
      <c r="BB2021">
        <v>0</v>
      </c>
      <c r="BC2021" t="s">
        <v>259</v>
      </c>
      <c r="BD2021" t="s">
        <v>270</v>
      </c>
      <c r="BE2021" t="s">
        <v>117</v>
      </c>
      <c r="BF2021">
        <v>0</v>
      </c>
      <c r="BG2021">
        <v>0</v>
      </c>
      <c r="BH2021">
        <v>0</v>
      </c>
    </row>
    <row r="2022" spans="1:61">
      <c r="A2022" s="164" t="s">
        <v>4819</v>
      </c>
      <c r="B2022" t="s">
        <v>4820</v>
      </c>
      <c r="C2022">
        <v>0</v>
      </c>
      <c r="D2022" t="s">
        <v>257</v>
      </c>
      <c r="E2022">
        <v>0</v>
      </c>
      <c r="F2022" t="s">
        <v>269</v>
      </c>
      <c r="G2022" t="s">
        <v>103</v>
      </c>
      <c r="H2022" t="s">
        <v>104</v>
      </c>
      <c r="I2022" t="s">
        <v>80</v>
      </c>
      <c r="J2022" t="s">
        <v>196</v>
      </c>
      <c r="K2022" t="s">
        <v>13</v>
      </c>
      <c r="L2022" t="s">
        <v>83</v>
      </c>
      <c r="M2022" t="s">
        <v>205</v>
      </c>
      <c r="N2022">
        <v>1</v>
      </c>
      <c r="O2022" t="b">
        <v>0</v>
      </c>
      <c r="P2022">
        <v>0</v>
      </c>
      <c r="BB2022">
        <v>0</v>
      </c>
      <c r="BC2022" t="s">
        <v>259</v>
      </c>
      <c r="BD2022" t="s">
        <v>270</v>
      </c>
      <c r="BE2022" t="s">
        <v>117</v>
      </c>
      <c r="BF2022">
        <v>0</v>
      </c>
      <c r="BG2022">
        <v>0</v>
      </c>
      <c r="BH2022">
        <v>0</v>
      </c>
    </row>
    <row r="2023" spans="1:61">
      <c r="A2023" s="164" t="s">
        <v>4821</v>
      </c>
      <c r="B2023" t="s">
        <v>4822</v>
      </c>
      <c r="C2023">
        <v>0</v>
      </c>
      <c r="D2023" t="s">
        <v>304</v>
      </c>
      <c r="E2023">
        <v>0</v>
      </c>
      <c r="F2023" t="s">
        <v>4823</v>
      </c>
      <c r="G2023" t="s">
        <v>78</v>
      </c>
      <c r="H2023" t="s">
        <v>79</v>
      </c>
      <c r="I2023" t="s">
        <v>80</v>
      </c>
      <c r="J2023" t="s">
        <v>196</v>
      </c>
      <c r="K2023" t="s">
        <v>13</v>
      </c>
      <c r="L2023" t="s">
        <v>83</v>
      </c>
      <c r="M2023" t="s">
        <v>84</v>
      </c>
      <c r="N2023">
        <v>1</v>
      </c>
      <c r="O2023" t="b">
        <v>1</v>
      </c>
      <c r="P2023">
        <v>0</v>
      </c>
      <c r="BB2023">
        <v>0</v>
      </c>
      <c r="BC2023" t="s">
        <v>306</v>
      </c>
      <c r="BD2023" t="s">
        <v>4824</v>
      </c>
      <c r="BE2023" t="s">
        <v>117</v>
      </c>
      <c r="BF2023">
        <v>0</v>
      </c>
      <c r="BG2023">
        <v>25</v>
      </c>
      <c r="BH2023">
        <v>10000</v>
      </c>
      <c r="BI2023" t="s">
        <v>1054</v>
      </c>
    </row>
    <row r="2024" spans="1:61">
      <c r="A2024" s="164" t="s">
        <v>4825</v>
      </c>
      <c r="B2024" t="s">
        <v>4826</v>
      </c>
      <c r="C2024">
        <v>0</v>
      </c>
      <c r="D2024" t="s">
        <v>304</v>
      </c>
      <c r="E2024">
        <v>0</v>
      </c>
      <c r="F2024" t="s">
        <v>357</v>
      </c>
      <c r="G2024" t="s">
        <v>78</v>
      </c>
      <c r="H2024" t="s">
        <v>79</v>
      </c>
      <c r="I2024" t="s">
        <v>80</v>
      </c>
      <c r="J2024" t="s">
        <v>196</v>
      </c>
      <c r="K2024" t="s">
        <v>13</v>
      </c>
      <c r="L2024" t="s">
        <v>83</v>
      </c>
      <c r="M2024" t="s">
        <v>84</v>
      </c>
      <c r="N2024">
        <v>1</v>
      </c>
      <c r="O2024" t="b">
        <v>1</v>
      </c>
      <c r="P2024">
        <v>0</v>
      </c>
      <c r="BB2024">
        <v>0</v>
      </c>
      <c r="BC2024" t="s">
        <v>306</v>
      </c>
      <c r="BD2024" t="s">
        <v>358</v>
      </c>
      <c r="BE2024" t="s">
        <v>117</v>
      </c>
      <c r="BF2024">
        <v>0</v>
      </c>
      <c r="BG2024">
        <v>25</v>
      </c>
      <c r="BH2024">
        <v>500</v>
      </c>
      <c r="BI2024" t="s">
        <v>359</v>
      </c>
    </row>
    <row r="2025" spans="1:61">
      <c r="A2025" s="164" t="s">
        <v>4827</v>
      </c>
      <c r="B2025" t="s">
        <v>4828</v>
      </c>
      <c r="C2025">
        <v>0</v>
      </c>
      <c r="D2025" t="s">
        <v>304</v>
      </c>
      <c r="E2025">
        <v>0</v>
      </c>
      <c r="F2025" t="s">
        <v>313</v>
      </c>
      <c r="G2025" t="s">
        <v>78</v>
      </c>
      <c r="H2025" t="s">
        <v>79</v>
      </c>
      <c r="I2025" t="s">
        <v>80</v>
      </c>
      <c r="J2025" t="s">
        <v>196</v>
      </c>
      <c r="K2025" t="s">
        <v>13</v>
      </c>
      <c r="L2025" t="s">
        <v>83</v>
      </c>
      <c r="M2025" t="s">
        <v>205</v>
      </c>
      <c r="N2025">
        <v>1</v>
      </c>
      <c r="O2025" t="b">
        <v>1</v>
      </c>
      <c r="P2025">
        <v>0</v>
      </c>
      <c r="BB2025">
        <v>0</v>
      </c>
      <c r="BC2025" t="s">
        <v>306</v>
      </c>
      <c r="BD2025" t="s">
        <v>314</v>
      </c>
      <c r="BE2025" t="s">
        <v>117</v>
      </c>
      <c r="BF2025">
        <v>0</v>
      </c>
      <c r="BG2025">
        <v>45</v>
      </c>
      <c r="BH2025">
        <v>300</v>
      </c>
      <c r="BI2025" t="s">
        <v>315</v>
      </c>
    </row>
    <row r="2026" spans="1:61">
      <c r="A2026" s="164" t="s">
        <v>4829</v>
      </c>
      <c r="B2026" t="s">
        <v>4830</v>
      </c>
      <c r="C2026">
        <v>0</v>
      </c>
      <c r="D2026" t="s">
        <v>304</v>
      </c>
      <c r="E2026">
        <v>0</v>
      </c>
      <c r="F2026" t="s">
        <v>305</v>
      </c>
      <c r="G2026" t="s">
        <v>78</v>
      </c>
      <c r="H2026" t="s">
        <v>79</v>
      </c>
      <c r="I2026" t="s">
        <v>80</v>
      </c>
      <c r="J2026" t="s">
        <v>196</v>
      </c>
      <c r="K2026" t="s">
        <v>13</v>
      </c>
      <c r="L2026" t="s">
        <v>83</v>
      </c>
      <c r="M2026" t="s">
        <v>84</v>
      </c>
      <c r="N2026">
        <v>1</v>
      </c>
      <c r="O2026" t="b">
        <v>1</v>
      </c>
      <c r="P2026">
        <v>0</v>
      </c>
      <c r="BB2026">
        <v>0</v>
      </c>
      <c r="BC2026" t="s">
        <v>306</v>
      </c>
      <c r="BD2026" t="s">
        <v>307</v>
      </c>
      <c r="BE2026" t="s">
        <v>117</v>
      </c>
      <c r="BF2026">
        <v>0</v>
      </c>
      <c r="BG2026">
        <v>25</v>
      </c>
      <c r="BH2026">
        <v>10000</v>
      </c>
      <c r="BI2026" t="s">
        <v>308</v>
      </c>
    </row>
    <row r="2027" spans="1:61">
      <c r="A2027" s="164" t="s">
        <v>4831</v>
      </c>
      <c r="B2027" t="s">
        <v>4832</v>
      </c>
      <c r="C2027">
        <v>0</v>
      </c>
      <c r="D2027" t="s">
        <v>304</v>
      </c>
      <c r="E2027">
        <v>0</v>
      </c>
      <c r="F2027" t="s">
        <v>342</v>
      </c>
      <c r="G2027" t="s">
        <v>78</v>
      </c>
      <c r="H2027" t="s">
        <v>79</v>
      </c>
      <c r="I2027" t="s">
        <v>80</v>
      </c>
      <c r="J2027" t="s">
        <v>196</v>
      </c>
      <c r="K2027" t="s">
        <v>13</v>
      </c>
      <c r="L2027" t="s">
        <v>83</v>
      </c>
      <c r="M2027" t="s">
        <v>84</v>
      </c>
      <c r="N2027">
        <v>1</v>
      </c>
      <c r="O2027" t="b">
        <v>1</v>
      </c>
      <c r="P2027">
        <v>0</v>
      </c>
      <c r="BB2027">
        <v>0</v>
      </c>
      <c r="BC2027" t="s">
        <v>306</v>
      </c>
      <c r="BD2027" t="s">
        <v>343</v>
      </c>
      <c r="BE2027" t="s">
        <v>117</v>
      </c>
      <c r="BF2027">
        <v>0</v>
      </c>
      <c r="BG2027">
        <v>25</v>
      </c>
      <c r="BH2027">
        <v>10000</v>
      </c>
      <c r="BI2027" t="s">
        <v>344</v>
      </c>
    </row>
    <row r="2028" spans="1:61">
      <c r="A2028" s="164" t="s">
        <v>4833</v>
      </c>
      <c r="B2028" t="s">
        <v>4834</v>
      </c>
      <c r="C2028">
        <v>0</v>
      </c>
      <c r="D2028" t="s">
        <v>304</v>
      </c>
      <c r="E2028">
        <v>0</v>
      </c>
      <c r="F2028" t="s">
        <v>269</v>
      </c>
      <c r="G2028" t="s">
        <v>103</v>
      </c>
      <c r="H2028" t="s">
        <v>104</v>
      </c>
      <c r="I2028" t="s">
        <v>80</v>
      </c>
      <c r="J2028" t="s">
        <v>196</v>
      </c>
      <c r="K2028" t="s">
        <v>13</v>
      </c>
      <c r="L2028" t="s">
        <v>83</v>
      </c>
      <c r="M2028" t="s">
        <v>84</v>
      </c>
      <c r="N2028">
        <v>1</v>
      </c>
      <c r="O2028" t="b">
        <v>0</v>
      </c>
      <c r="P2028">
        <v>0</v>
      </c>
      <c r="BB2028">
        <v>0</v>
      </c>
      <c r="BC2028" t="s">
        <v>306</v>
      </c>
      <c r="BD2028" t="s">
        <v>270</v>
      </c>
      <c r="BE2028" t="s">
        <v>117</v>
      </c>
      <c r="BF2028">
        <v>0</v>
      </c>
      <c r="BG2028">
        <v>0</v>
      </c>
      <c r="BH2028">
        <v>0</v>
      </c>
    </row>
    <row r="2029" spans="1:61">
      <c r="A2029" s="164" t="s">
        <v>4835</v>
      </c>
      <c r="B2029" t="s">
        <v>4836</v>
      </c>
      <c r="C2029">
        <v>0</v>
      </c>
      <c r="D2029" t="s">
        <v>304</v>
      </c>
      <c r="E2029">
        <v>0</v>
      </c>
      <c r="F2029" t="s">
        <v>1507</v>
      </c>
      <c r="G2029" t="s">
        <v>78</v>
      </c>
      <c r="H2029" t="s">
        <v>79</v>
      </c>
      <c r="I2029" t="s">
        <v>80</v>
      </c>
      <c r="J2029" t="s">
        <v>196</v>
      </c>
      <c r="K2029" t="s">
        <v>13</v>
      </c>
      <c r="L2029" t="s">
        <v>83</v>
      </c>
      <c r="M2029" t="s">
        <v>84</v>
      </c>
      <c r="N2029">
        <v>1</v>
      </c>
      <c r="O2029" t="b">
        <v>1</v>
      </c>
      <c r="P2029">
        <v>0</v>
      </c>
      <c r="BB2029">
        <v>0</v>
      </c>
      <c r="BC2029" t="s">
        <v>306</v>
      </c>
      <c r="BD2029" t="s">
        <v>1508</v>
      </c>
      <c r="BE2029" t="s">
        <v>117</v>
      </c>
      <c r="BF2029">
        <v>0</v>
      </c>
      <c r="BG2029">
        <v>60</v>
      </c>
      <c r="BH2029">
        <v>50000</v>
      </c>
      <c r="BI2029" t="s">
        <v>1509</v>
      </c>
    </row>
    <row r="2030" spans="1:61">
      <c r="A2030" s="164" t="s">
        <v>4837</v>
      </c>
      <c r="B2030" t="s">
        <v>4838</v>
      </c>
      <c r="C2030">
        <v>0</v>
      </c>
      <c r="D2030" t="s">
        <v>304</v>
      </c>
      <c r="E2030">
        <v>0</v>
      </c>
      <c r="F2030" t="s">
        <v>342</v>
      </c>
      <c r="G2030" t="s">
        <v>78</v>
      </c>
      <c r="H2030" t="s">
        <v>79</v>
      </c>
      <c r="I2030" t="s">
        <v>80</v>
      </c>
      <c r="J2030" t="s">
        <v>196</v>
      </c>
      <c r="K2030" t="s">
        <v>13</v>
      </c>
      <c r="L2030" t="s">
        <v>83</v>
      </c>
      <c r="M2030" t="s">
        <v>84</v>
      </c>
      <c r="N2030">
        <v>1</v>
      </c>
      <c r="O2030" t="b">
        <v>1</v>
      </c>
      <c r="P2030">
        <v>0</v>
      </c>
      <c r="BB2030">
        <v>0</v>
      </c>
      <c r="BC2030" t="s">
        <v>306</v>
      </c>
      <c r="BD2030" t="s">
        <v>343</v>
      </c>
      <c r="BE2030" t="s">
        <v>117</v>
      </c>
      <c r="BF2030">
        <v>0</v>
      </c>
      <c r="BG2030">
        <v>25</v>
      </c>
      <c r="BH2030">
        <v>10000</v>
      </c>
      <c r="BI2030" t="s">
        <v>344</v>
      </c>
    </row>
    <row r="2031" spans="1:61">
      <c r="A2031" s="164" t="s">
        <v>4839</v>
      </c>
      <c r="B2031" t="s">
        <v>4840</v>
      </c>
      <c r="C2031">
        <v>0</v>
      </c>
      <c r="D2031" t="s">
        <v>304</v>
      </c>
      <c r="E2031">
        <v>0</v>
      </c>
      <c r="F2031" t="s">
        <v>357</v>
      </c>
      <c r="G2031" t="s">
        <v>78</v>
      </c>
      <c r="H2031" t="s">
        <v>79</v>
      </c>
      <c r="I2031" t="s">
        <v>80</v>
      </c>
      <c r="J2031" t="s">
        <v>196</v>
      </c>
      <c r="K2031" t="s">
        <v>13</v>
      </c>
      <c r="L2031" t="s">
        <v>83</v>
      </c>
      <c r="M2031" t="s">
        <v>84</v>
      </c>
      <c r="N2031">
        <v>1</v>
      </c>
      <c r="O2031" t="b">
        <v>1</v>
      </c>
      <c r="P2031">
        <v>0</v>
      </c>
      <c r="BB2031">
        <v>0</v>
      </c>
      <c r="BC2031" t="s">
        <v>306</v>
      </c>
      <c r="BD2031" t="s">
        <v>358</v>
      </c>
      <c r="BE2031" t="s">
        <v>117</v>
      </c>
      <c r="BF2031">
        <v>0</v>
      </c>
      <c r="BG2031">
        <v>25</v>
      </c>
      <c r="BH2031">
        <v>500</v>
      </c>
      <c r="BI2031" t="s">
        <v>359</v>
      </c>
    </row>
    <row r="2032" spans="1:61">
      <c r="A2032" s="164" t="s">
        <v>4841</v>
      </c>
      <c r="B2032" t="s">
        <v>4842</v>
      </c>
      <c r="C2032">
        <v>0</v>
      </c>
      <c r="D2032" t="s">
        <v>304</v>
      </c>
      <c r="E2032">
        <v>0</v>
      </c>
      <c r="F2032" t="s">
        <v>357</v>
      </c>
      <c r="G2032" t="s">
        <v>78</v>
      </c>
      <c r="H2032" t="s">
        <v>79</v>
      </c>
      <c r="I2032" t="s">
        <v>80</v>
      </c>
      <c r="J2032" t="s">
        <v>196</v>
      </c>
      <c r="K2032" t="s">
        <v>13</v>
      </c>
      <c r="L2032" t="s">
        <v>83</v>
      </c>
      <c r="M2032" t="s">
        <v>84</v>
      </c>
      <c r="N2032">
        <v>1</v>
      </c>
      <c r="O2032" t="b">
        <v>1</v>
      </c>
      <c r="P2032">
        <v>0</v>
      </c>
      <c r="BB2032">
        <v>0</v>
      </c>
      <c r="BC2032" t="s">
        <v>306</v>
      </c>
      <c r="BD2032" t="s">
        <v>358</v>
      </c>
      <c r="BE2032" t="s">
        <v>117</v>
      </c>
      <c r="BF2032">
        <v>0</v>
      </c>
      <c r="BG2032">
        <v>25</v>
      </c>
      <c r="BH2032">
        <v>500</v>
      </c>
      <c r="BI2032" t="s">
        <v>359</v>
      </c>
    </row>
    <row r="2033" spans="1:61">
      <c r="A2033" s="164" t="s">
        <v>4843</v>
      </c>
      <c r="B2033" t="s">
        <v>4844</v>
      </c>
      <c r="C2033">
        <v>0</v>
      </c>
      <c r="D2033" t="s">
        <v>304</v>
      </c>
      <c r="E2033">
        <v>0</v>
      </c>
      <c r="F2033" t="s">
        <v>1507</v>
      </c>
      <c r="G2033" t="s">
        <v>78</v>
      </c>
      <c r="H2033" t="s">
        <v>79</v>
      </c>
      <c r="I2033" t="s">
        <v>80</v>
      </c>
      <c r="J2033" t="s">
        <v>196</v>
      </c>
      <c r="K2033" t="s">
        <v>13</v>
      </c>
      <c r="L2033" t="s">
        <v>83</v>
      </c>
      <c r="M2033" t="s">
        <v>84</v>
      </c>
      <c r="N2033">
        <v>1</v>
      </c>
      <c r="O2033" t="b">
        <v>1</v>
      </c>
      <c r="P2033">
        <v>0</v>
      </c>
      <c r="BB2033">
        <v>0</v>
      </c>
      <c r="BC2033" t="s">
        <v>306</v>
      </c>
      <c r="BD2033" t="s">
        <v>1508</v>
      </c>
      <c r="BE2033" t="s">
        <v>117</v>
      </c>
      <c r="BF2033">
        <v>0</v>
      </c>
      <c r="BG2033">
        <v>60</v>
      </c>
      <c r="BH2033">
        <v>50000</v>
      </c>
      <c r="BI2033" t="s">
        <v>1509</v>
      </c>
    </row>
    <row r="2034" spans="1:61">
      <c r="A2034" s="164" t="s">
        <v>4845</v>
      </c>
      <c r="B2034" t="s">
        <v>4846</v>
      </c>
      <c r="C2034">
        <v>0</v>
      </c>
      <c r="D2034" t="s">
        <v>304</v>
      </c>
      <c r="E2034">
        <v>0</v>
      </c>
      <c r="F2034" t="s">
        <v>336</v>
      </c>
      <c r="G2034" t="s">
        <v>78</v>
      </c>
      <c r="H2034" t="s">
        <v>79</v>
      </c>
      <c r="I2034" t="s">
        <v>80</v>
      </c>
      <c r="J2034" t="s">
        <v>196</v>
      </c>
      <c r="K2034" t="s">
        <v>13</v>
      </c>
      <c r="L2034" t="s">
        <v>83</v>
      </c>
      <c r="M2034" t="s">
        <v>84</v>
      </c>
      <c r="N2034">
        <v>1</v>
      </c>
      <c r="O2034" t="b">
        <v>1</v>
      </c>
      <c r="P2034">
        <v>0</v>
      </c>
      <c r="BB2034">
        <v>0</v>
      </c>
      <c r="BC2034" t="s">
        <v>306</v>
      </c>
      <c r="BD2034" t="s">
        <v>337</v>
      </c>
      <c r="BE2034" t="s">
        <v>117</v>
      </c>
      <c r="BF2034">
        <v>0</v>
      </c>
      <c r="BG2034">
        <v>30</v>
      </c>
      <c r="BH2034">
        <v>30000</v>
      </c>
      <c r="BI2034" t="s">
        <v>328</v>
      </c>
    </row>
    <row r="2035" spans="1:61">
      <c r="A2035" s="164" t="s">
        <v>4847</v>
      </c>
      <c r="B2035" t="s">
        <v>4848</v>
      </c>
      <c r="C2035">
        <v>0</v>
      </c>
      <c r="D2035" t="s">
        <v>304</v>
      </c>
      <c r="E2035">
        <v>0</v>
      </c>
      <c r="F2035" t="s">
        <v>336</v>
      </c>
      <c r="G2035" t="s">
        <v>78</v>
      </c>
      <c r="H2035" t="s">
        <v>79</v>
      </c>
      <c r="I2035" t="s">
        <v>80</v>
      </c>
      <c r="J2035" t="s">
        <v>196</v>
      </c>
      <c r="K2035" t="s">
        <v>13</v>
      </c>
      <c r="L2035" t="s">
        <v>83</v>
      </c>
      <c r="M2035" t="s">
        <v>84</v>
      </c>
      <c r="N2035">
        <v>1</v>
      </c>
      <c r="O2035" t="b">
        <v>1</v>
      </c>
      <c r="P2035">
        <v>0</v>
      </c>
      <c r="BB2035">
        <v>0</v>
      </c>
      <c r="BC2035" t="s">
        <v>306</v>
      </c>
      <c r="BD2035" t="s">
        <v>337</v>
      </c>
      <c r="BE2035" t="s">
        <v>117</v>
      </c>
      <c r="BF2035">
        <v>0</v>
      </c>
      <c r="BG2035">
        <v>30</v>
      </c>
      <c r="BH2035">
        <v>30000</v>
      </c>
      <c r="BI2035" t="s">
        <v>328</v>
      </c>
    </row>
    <row r="2036" spans="1:61">
      <c r="A2036" s="164" t="s">
        <v>4849</v>
      </c>
      <c r="B2036" t="s">
        <v>4850</v>
      </c>
      <c r="C2036">
        <v>0</v>
      </c>
      <c r="D2036" t="s">
        <v>304</v>
      </c>
      <c r="E2036">
        <v>0</v>
      </c>
      <c r="F2036" t="s">
        <v>342</v>
      </c>
      <c r="G2036" t="s">
        <v>78</v>
      </c>
      <c r="H2036" t="s">
        <v>79</v>
      </c>
      <c r="I2036" t="s">
        <v>80</v>
      </c>
      <c r="J2036" t="s">
        <v>196</v>
      </c>
      <c r="K2036" t="s">
        <v>13</v>
      </c>
      <c r="L2036" t="s">
        <v>83</v>
      </c>
      <c r="M2036" t="s">
        <v>84</v>
      </c>
      <c r="N2036">
        <v>1</v>
      </c>
      <c r="O2036" t="b">
        <v>1</v>
      </c>
      <c r="P2036">
        <v>0</v>
      </c>
      <c r="BB2036">
        <v>0</v>
      </c>
      <c r="BC2036" t="s">
        <v>306</v>
      </c>
      <c r="BD2036" t="s">
        <v>343</v>
      </c>
      <c r="BE2036" t="s">
        <v>117</v>
      </c>
      <c r="BF2036">
        <v>0</v>
      </c>
      <c r="BG2036">
        <v>25</v>
      </c>
      <c r="BH2036">
        <v>10000</v>
      </c>
      <c r="BI2036" t="s">
        <v>344</v>
      </c>
    </row>
    <row r="2037" spans="1:61">
      <c r="A2037" s="164" t="s">
        <v>4851</v>
      </c>
      <c r="B2037" t="s">
        <v>4852</v>
      </c>
      <c r="C2037">
        <v>0</v>
      </c>
      <c r="D2037" t="s">
        <v>304</v>
      </c>
      <c r="E2037">
        <v>0</v>
      </c>
      <c r="F2037" t="s">
        <v>342</v>
      </c>
      <c r="G2037" t="s">
        <v>78</v>
      </c>
      <c r="H2037" t="s">
        <v>79</v>
      </c>
      <c r="I2037" t="s">
        <v>80</v>
      </c>
      <c r="J2037" t="s">
        <v>196</v>
      </c>
      <c r="K2037" t="s">
        <v>13</v>
      </c>
      <c r="L2037" t="s">
        <v>83</v>
      </c>
      <c r="M2037" t="s">
        <v>84</v>
      </c>
      <c r="N2037">
        <v>1</v>
      </c>
      <c r="O2037" t="b">
        <v>1</v>
      </c>
      <c r="P2037">
        <v>0</v>
      </c>
      <c r="BB2037">
        <v>0</v>
      </c>
      <c r="BC2037" t="s">
        <v>306</v>
      </c>
      <c r="BD2037" t="s">
        <v>343</v>
      </c>
      <c r="BE2037" t="s">
        <v>117</v>
      </c>
      <c r="BF2037">
        <v>0</v>
      </c>
      <c r="BG2037">
        <v>25</v>
      </c>
      <c r="BH2037">
        <v>10000</v>
      </c>
      <c r="BI2037" t="s">
        <v>344</v>
      </c>
    </row>
    <row r="2038" spans="1:61">
      <c r="A2038" s="164" t="s">
        <v>4853</v>
      </c>
      <c r="B2038" t="s">
        <v>4854</v>
      </c>
      <c r="C2038">
        <v>0</v>
      </c>
      <c r="D2038" t="s">
        <v>304</v>
      </c>
      <c r="E2038">
        <v>0</v>
      </c>
      <c r="F2038" t="s">
        <v>342</v>
      </c>
      <c r="G2038" t="s">
        <v>78</v>
      </c>
      <c r="H2038" t="s">
        <v>79</v>
      </c>
      <c r="I2038" t="s">
        <v>80</v>
      </c>
      <c r="J2038" t="s">
        <v>196</v>
      </c>
      <c r="K2038" t="s">
        <v>13</v>
      </c>
      <c r="L2038" t="s">
        <v>83</v>
      </c>
      <c r="M2038" t="s">
        <v>84</v>
      </c>
      <c r="N2038">
        <v>1</v>
      </c>
      <c r="O2038" t="b">
        <v>1</v>
      </c>
      <c r="P2038">
        <v>0</v>
      </c>
      <c r="BB2038">
        <v>0</v>
      </c>
      <c r="BC2038" t="s">
        <v>306</v>
      </c>
      <c r="BD2038" t="s">
        <v>343</v>
      </c>
      <c r="BE2038" t="s">
        <v>117</v>
      </c>
      <c r="BF2038">
        <v>0</v>
      </c>
      <c r="BG2038">
        <v>25</v>
      </c>
      <c r="BH2038">
        <v>10000</v>
      </c>
      <c r="BI2038" t="s">
        <v>344</v>
      </c>
    </row>
    <row r="2039" spans="1:61">
      <c r="A2039" s="164" t="s">
        <v>4855</v>
      </c>
      <c r="B2039" t="s">
        <v>4856</v>
      </c>
      <c r="C2039">
        <v>0</v>
      </c>
      <c r="D2039" t="s">
        <v>304</v>
      </c>
      <c r="E2039">
        <v>0</v>
      </c>
      <c r="F2039" t="s">
        <v>342</v>
      </c>
      <c r="G2039" t="s">
        <v>78</v>
      </c>
      <c r="H2039" t="s">
        <v>79</v>
      </c>
      <c r="I2039" t="s">
        <v>80</v>
      </c>
      <c r="J2039" t="s">
        <v>196</v>
      </c>
      <c r="K2039" t="s">
        <v>13</v>
      </c>
      <c r="L2039" t="s">
        <v>83</v>
      </c>
      <c r="M2039" t="s">
        <v>84</v>
      </c>
      <c r="N2039">
        <v>1</v>
      </c>
      <c r="O2039" t="b">
        <v>1</v>
      </c>
      <c r="P2039">
        <v>0</v>
      </c>
      <c r="BB2039">
        <v>0</v>
      </c>
      <c r="BC2039" t="s">
        <v>306</v>
      </c>
      <c r="BD2039" t="s">
        <v>343</v>
      </c>
      <c r="BE2039" t="s">
        <v>117</v>
      </c>
      <c r="BF2039">
        <v>0</v>
      </c>
      <c r="BG2039">
        <v>25</v>
      </c>
      <c r="BH2039">
        <v>10000</v>
      </c>
      <c r="BI2039" t="s">
        <v>344</v>
      </c>
    </row>
    <row r="2040" spans="1:61">
      <c r="A2040" s="164" t="s">
        <v>4857</v>
      </c>
      <c r="B2040" t="s">
        <v>4858</v>
      </c>
      <c r="C2040">
        <v>0</v>
      </c>
      <c r="D2040" t="s">
        <v>194</v>
      </c>
      <c r="E2040">
        <v>0</v>
      </c>
      <c r="F2040" t="s">
        <v>214</v>
      </c>
      <c r="G2040" t="s">
        <v>78</v>
      </c>
      <c r="H2040" t="s">
        <v>79</v>
      </c>
      <c r="I2040" t="s">
        <v>80</v>
      </c>
      <c r="J2040" t="s">
        <v>196</v>
      </c>
      <c r="K2040" t="s">
        <v>13</v>
      </c>
      <c r="L2040" t="s">
        <v>83</v>
      </c>
      <c r="M2040" t="s">
        <v>84</v>
      </c>
      <c r="N2040">
        <v>1</v>
      </c>
      <c r="O2040" t="b">
        <v>1</v>
      </c>
      <c r="P2040">
        <v>0</v>
      </c>
      <c r="BB2040">
        <v>0</v>
      </c>
      <c r="BC2040" t="s">
        <v>197</v>
      </c>
      <c r="BD2040" t="s">
        <v>216</v>
      </c>
      <c r="BE2040" t="s">
        <v>117</v>
      </c>
      <c r="BF2040">
        <v>0</v>
      </c>
      <c r="BG2040">
        <v>0</v>
      </c>
      <c r="BH2040">
        <v>0</v>
      </c>
    </row>
    <row r="2041" spans="1:61">
      <c r="A2041" s="164" t="s">
        <v>4859</v>
      </c>
      <c r="B2041" t="s">
        <v>4860</v>
      </c>
      <c r="C2041">
        <v>0</v>
      </c>
      <c r="D2041" t="s">
        <v>194</v>
      </c>
      <c r="E2041">
        <v>0</v>
      </c>
      <c r="F2041" t="s">
        <v>214</v>
      </c>
      <c r="G2041" t="s">
        <v>78</v>
      </c>
      <c r="H2041" t="s">
        <v>79</v>
      </c>
      <c r="I2041" t="s">
        <v>80</v>
      </c>
      <c r="J2041" t="s">
        <v>196</v>
      </c>
      <c r="K2041" t="s">
        <v>13</v>
      </c>
      <c r="L2041" t="s">
        <v>83</v>
      </c>
      <c r="M2041" t="s">
        <v>84</v>
      </c>
      <c r="N2041">
        <v>1</v>
      </c>
      <c r="O2041" t="b">
        <v>1</v>
      </c>
      <c r="P2041">
        <v>0</v>
      </c>
      <c r="BB2041">
        <v>0</v>
      </c>
      <c r="BC2041" t="s">
        <v>197</v>
      </c>
      <c r="BD2041" t="s">
        <v>216</v>
      </c>
      <c r="BE2041" t="s">
        <v>117</v>
      </c>
      <c r="BF2041">
        <v>0</v>
      </c>
      <c r="BG2041">
        <v>0</v>
      </c>
      <c r="BH2041">
        <v>0</v>
      </c>
    </row>
    <row r="2042" spans="1:61">
      <c r="A2042" s="164" t="s">
        <v>4861</v>
      </c>
      <c r="B2042" t="s">
        <v>4862</v>
      </c>
      <c r="C2042">
        <v>0</v>
      </c>
      <c r="D2042" t="s">
        <v>194</v>
      </c>
      <c r="E2042">
        <v>0</v>
      </c>
      <c r="F2042" t="s">
        <v>214</v>
      </c>
      <c r="G2042" t="s">
        <v>78</v>
      </c>
      <c r="H2042" t="s">
        <v>79</v>
      </c>
      <c r="I2042" t="s">
        <v>80</v>
      </c>
      <c r="J2042" t="s">
        <v>196</v>
      </c>
      <c r="K2042" t="s">
        <v>13</v>
      </c>
      <c r="L2042" t="s">
        <v>83</v>
      </c>
      <c r="M2042" t="s">
        <v>84</v>
      </c>
      <c r="N2042">
        <v>1</v>
      </c>
      <c r="O2042" t="b">
        <v>1</v>
      </c>
      <c r="P2042">
        <v>0</v>
      </c>
      <c r="BB2042">
        <v>0</v>
      </c>
      <c r="BC2042" t="s">
        <v>197</v>
      </c>
      <c r="BD2042" t="s">
        <v>216</v>
      </c>
      <c r="BE2042" t="s">
        <v>117</v>
      </c>
      <c r="BF2042">
        <v>0</v>
      </c>
      <c r="BG2042">
        <v>0</v>
      </c>
      <c r="BH2042">
        <v>0</v>
      </c>
    </row>
    <row r="2043" spans="1:61">
      <c r="A2043" s="164" t="s">
        <v>4863</v>
      </c>
      <c r="B2043" t="s">
        <v>4864</v>
      </c>
      <c r="C2043">
        <v>0</v>
      </c>
      <c r="D2043" t="s">
        <v>194</v>
      </c>
      <c r="E2043">
        <v>0</v>
      </c>
      <c r="F2043" t="s">
        <v>214</v>
      </c>
      <c r="G2043" t="s">
        <v>78</v>
      </c>
      <c r="H2043" t="s">
        <v>79</v>
      </c>
      <c r="I2043" t="s">
        <v>80</v>
      </c>
      <c r="J2043" t="s">
        <v>196</v>
      </c>
      <c r="K2043" t="s">
        <v>13</v>
      </c>
      <c r="L2043" t="s">
        <v>83</v>
      </c>
      <c r="M2043" t="s">
        <v>84</v>
      </c>
      <c r="N2043">
        <v>1</v>
      </c>
      <c r="O2043" t="b">
        <v>1</v>
      </c>
      <c r="P2043">
        <v>0</v>
      </c>
      <c r="BB2043">
        <v>0</v>
      </c>
      <c r="BC2043" t="s">
        <v>197</v>
      </c>
      <c r="BD2043" t="s">
        <v>216</v>
      </c>
      <c r="BE2043" t="s">
        <v>117</v>
      </c>
      <c r="BF2043">
        <v>0</v>
      </c>
      <c r="BG2043">
        <v>0</v>
      </c>
      <c r="BH2043">
        <v>0</v>
      </c>
    </row>
    <row r="2044" spans="1:61">
      <c r="A2044" s="164" t="s">
        <v>4865</v>
      </c>
      <c r="B2044" t="s">
        <v>4866</v>
      </c>
      <c r="C2044">
        <v>0</v>
      </c>
      <c r="D2044" t="s">
        <v>194</v>
      </c>
      <c r="E2044">
        <v>0</v>
      </c>
      <c r="F2044" t="s">
        <v>195</v>
      </c>
      <c r="G2044" t="s">
        <v>78</v>
      </c>
      <c r="H2044" t="s">
        <v>79</v>
      </c>
      <c r="I2044" t="s">
        <v>80</v>
      </c>
      <c r="J2044" t="s">
        <v>196</v>
      </c>
      <c r="K2044" t="s">
        <v>13</v>
      </c>
      <c r="L2044" t="s">
        <v>83</v>
      </c>
      <c r="M2044" t="s">
        <v>205</v>
      </c>
      <c r="N2044">
        <v>1</v>
      </c>
      <c r="O2044" t="b">
        <v>1</v>
      </c>
      <c r="P2044">
        <v>0</v>
      </c>
      <c r="BB2044">
        <v>0</v>
      </c>
      <c r="BC2044" t="s">
        <v>197</v>
      </c>
      <c r="BD2044" t="s">
        <v>198</v>
      </c>
      <c r="BE2044" t="s">
        <v>117</v>
      </c>
      <c r="BF2044">
        <v>0</v>
      </c>
      <c r="BG2044">
        <v>0</v>
      </c>
      <c r="BH2044">
        <v>0</v>
      </c>
    </row>
    <row r="2045" spans="1:61">
      <c r="A2045" s="164" t="s">
        <v>4867</v>
      </c>
      <c r="B2045" t="s">
        <v>4868</v>
      </c>
      <c r="C2045">
        <v>0</v>
      </c>
      <c r="D2045" t="s">
        <v>194</v>
      </c>
      <c r="E2045">
        <v>0</v>
      </c>
      <c r="F2045" t="s">
        <v>214</v>
      </c>
      <c r="G2045" t="s">
        <v>78</v>
      </c>
      <c r="H2045" t="s">
        <v>79</v>
      </c>
      <c r="I2045" t="s">
        <v>80</v>
      </c>
      <c r="J2045" t="s">
        <v>196</v>
      </c>
      <c r="K2045" t="s">
        <v>13</v>
      </c>
      <c r="L2045" t="s">
        <v>83</v>
      </c>
      <c r="M2045" t="s">
        <v>215</v>
      </c>
      <c r="N2045">
        <v>1</v>
      </c>
      <c r="O2045" t="b">
        <v>1</v>
      </c>
      <c r="P2045">
        <v>0</v>
      </c>
      <c r="BB2045">
        <v>0</v>
      </c>
      <c r="BC2045" t="s">
        <v>197</v>
      </c>
      <c r="BD2045" t="s">
        <v>216</v>
      </c>
      <c r="BE2045" t="s">
        <v>117</v>
      </c>
      <c r="BF2045">
        <v>0</v>
      </c>
      <c r="BG2045">
        <v>0</v>
      </c>
      <c r="BH2045">
        <v>0</v>
      </c>
    </row>
    <row r="2046" spans="1:61">
      <c r="A2046" s="164" t="s">
        <v>4869</v>
      </c>
      <c r="B2046" t="s">
        <v>4870</v>
      </c>
      <c r="C2046">
        <v>0</v>
      </c>
      <c r="D2046" t="s">
        <v>194</v>
      </c>
      <c r="E2046">
        <v>0</v>
      </c>
      <c r="F2046" t="s">
        <v>214</v>
      </c>
      <c r="G2046" t="s">
        <v>78</v>
      </c>
      <c r="H2046" t="s">
        <v>79</v>
      </c>
      <c r="I2046" t="s">
        <v>80</v>
      </c>
      <c r="J2046" t="s">
        <v>196</v>
      </c>
      <c r="K2046" t="s">
        <v>13</v>
      </c>
      <c r="L2046" t="s">
        <v>83</v>
      </c>
      <c r="M2046" t="s">
        <v>215</v>
      </c>
      <c r="N2046">
        <v>1</v>
      </c>
      <c r="O2046" t="b">
        <v>1</v>
      </c>
      <c r="P2046">
        <v>0</v>
      </c>
      <c r="BB2046">
        <v>0</v>
      </c>
      <c r="BC2046" t="s">
        <v>197</v>
      </c>
      <c r="BD2046" t="s">
        <v>216</v>
      </c>
      <c r="BE2046" t="s">
        <v>117</v>
      </c>
      <c r="BF2046">
        <v>0</v>
      </c>
      <c r="BG2046">
        <v>0</v>
      </c>
      <c r="BH2046">
        <v>0</v>
      </c>
    </row>
    <row r="2047" spans="1:61">
      <c r="A2047" s="164" t="s">
        <v>4871</v>
      </c>
      <c r="B2047" t="s">
        <v>4872</v>
      </c>
      <c r="C2047">
        <v>0</v>
      </c>
      <c r="D2047" t="s">
        <v>194</v>
      </c>
      <c r="E2047">
        <v>0</v>
      </c>
      <c r="F2047" t="s">
        <v>214</v>
      </c>
      <c r="G2047" t="s">
        <v>78</v>
      </c>
      <c r="H2047" t="s">
        <v>79</v>
      </c>
      <c r="I2047" t="s">
        <v>80</v>
      </c>
      <c r="J2047" t="s">
        <v>196</v>
      </c>
      <c r="K2047" t="s">
        <v>13</v>
      </c>
      <c r="L2047" t="s">
        <v>83</v>
      </c>
      <c r="M2047" t="s">
        <v>215</v>
      </c>
      <c r="N2047">
        <v>1</v>
      </c>
      <c r="O2047" t="b">
        <v>1</v>
      </c>
      <c r="P2047">
        <v>0</v>
      </c>
      <c r="BB2047">
        <v>0</v>
      </c>
      <c r="BC2047" t="s">
        <v>197</v>
      </c>
      <c r="BD2047" t="s">
        <v>216</v>
      </c>
      <c r="BE2047" t="s">
        <v>117</v>
      </c>
      <c r="BF2047">
        <v>0</v>
      </c>
      <c r="BG2047">
        <v>0</v>
      </c>
      <c r="BH2047">
        <v>0</v>
      </c>
    </row>
    <row r="2048" spans="1:61">
      <c r="A2048" s="164" t="s">
        <v>4873</v>
      </c>
      <c r="B2048" t="s">
        <v>4874</v>
      </c>
      <c r="C2048">
        <v>0</v>
      </c>
      <c r="D2048" t="s">
        <v>1811</v>
      </c>
      <c r="E2048">
        <v>0</v>
      </c>
      <c r="F2048" t="s">
        <v>1812</v>
      </c>
      <c r="G2048" t="s">
        <v>103</v>
      </c>
      <c r="H2048" t="s">
        <v>104</v>
      </c>
      <c r="I2048" t="s">
        <v>80</v>
      </c>
      <c r="J2048" t="s">
        <v>163</v>
      </c>
      <c r="K2048" t="s">
        <v>82</v>
      </c>
      <c r="L2048" t="s">
        <v>83</v>
      </c>
      <c r="M2048" t="s">
        <v>84</v>
      </c>
      <c r="N2048">
        <v>0.2</v>
      </c>
      <c r="O2048" t="b">
        <v>0</v>
      </c>
      <c r="P2048">
        <v>60</v>
      </c>
      <c r="Q2048" t="s">
        <v>137</v>
      </c>
      <c r="S2048">
        <v>0</v>
      </c>
      <c r="T2048">
        <v>1</v>
      </c>
      <c r="U2048" s="36">
        <v>0.65864</v>
      </c>
      <c r="V2048" t="s">
        <v>991</v>
      </c>
      <c r="X2048">
        <v>0</v>
      </c>
      <c r="Z2048">
        <v>1.8518518518518517E-2</v>
      </c>
      <c r="AB2048">
        <v>0</v>
      </c>
      <c r="AC2048">
        <v>0</v>
      </c>
      <c r="AE2048" t="s">
        <v>129</v>
      </c>
      <c r="AF2048" t="s">
        <v>1812</v>
      </c>
      <c r="AG2048" t="s">
        <v>129</v>
      </c>
      <c r="AH2048">
        <v>0</v>
      </c>
      <c r="AI2048">
        <v>1.6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1.4</v>
      </c>
      <c r="AY2048">
        <v>0</v>
      </c>
      <c r="AZ2048">
        <v>0</v>
      </c>
      <c r="BA2048" t="s">
        <v>138</v>
      </c>
      <c r="BB2048">
        <v>0</v>
      </c>
      <c r="BC2048" t="s">
        <v>95</v>
      </c>
      <c r="BD2048" t="s">
        <v>96</v>
      </c>
      <c r="BE2048" t="s">
        <v>97</v>
      </c>
      <c r="BF2048">
        <v>0</v>
      </c>
      <c r="BG2048">
        <v>0</v>
      </c>
      <c r="BH2048">
        <v>0</v>
      </c>
      <c r="BI2048" t="s">
        <v>98</v>
      </c>
    </row>
    <row r="2049" spans="1:61">
      <c r="A2049" s="164" t="s">
        <v>4875</v>
      </c>
      <c r="B2049" t="s">
        <v>4876</v>
      </c>
      <c r="C2049">
        <v>0</v>
      </c>
      <c r="D2049" t="s">
        <v>2302</v>
      </c>
      <c r="E2049">
        <v>0</v>
      </c>
      <c r="F2049" t="s">
        <v>3492</v>
      </c>
      <c r="G2049" t="s">
        <v>103</v>
      </c>
      <c r="H2049" t="s">
        <v>104</v>
      </c>
      <c r="I2049" t="s">
        <v>80</v>
      </c>
      <c r="J2049" t="s">
        <v>163</v>
      </c>
      <c r="K2049" t="s">
        <v>82</v>
      </c>
      <c r="L2049" t="s">
        <v>83</v>
      </c>
      <c r="M2049" t="s">
        <v>84</v>
      </c>
      <c r="N2049">
        <v>0.2</v>
      </c>
      <c r="O2049" t="b">
        <v>0</v>
      </c>
      <c r="P2049">
        <v>45</v>
      </c>
      <c r="Q2049" t="s">
        <v>137</v>
      </c>
      <c r="S2049">
        <v>0</v>
      </c>
      <c r="T2049">
        <v>1</v>
      </c>
      <c r="V2049" t="s">
        <v>87</v>
      </c>
      <c r="X2049">
        <v>0</v>
      </c>
      <c r="Z2049">
        <v>1.6666666666666666E-2</v>
      </c>
      <c r="AB2049">
        <v>0</v>
      </c>
      <c r="AC2049">
        <v>0</v>
      </c>
      <c r="AE2049" t="s">
        <v>129</v>
      </c>
      <c r="AF2049" t="s">
        <v>3492</v>
      </c>
      <c r="AG2049" t="s">
        <v>129</v>
      </c>
      <c r="AH2049">
        <v>0</v>
      </c>
      <c r="AI2049">
        <v>9.5</v>
      </c>
      <c r="AJ2049" t="s">
        <v>177</v>
      </c>
      <c r="AM2049">
        <v>0</v>
      </c>
      <c r="AN2049">
        <v>0</v>
      </c>
      <c r="AO2049">
        <v>0</v>
      </c>
      <c r="AP2049">
        <v>0</v>
      </c>
      <c r="AQ2049">
        <v>2.8571428571428564E-2</v>
      </c>
      <c r="AR2049">
        <v>0</v>
      </c>
      <c r="AS2049">
        <v>0</v>
      </c>
      <c r="AT2049">
        <v>1.0285714285714285</v>
      </c>
      <c r="AU2049">
        <v>0</v>
      </c>
      <c r="AV2049">
        <v>0</v>
      </c>
      <c r="AW2049">
        <v>0</v>
      </c>
      <c r="AY2049">
        <v>0</v>
      </c>
      <c r="AZ2049">
        <v>0</v>
      </c>
      <c r="BA2049" t="s">
        <v>138</v>
      </c>
      <c r="BB2049">
        <v>0</v>
      </c>
      <c r="BC2049" t="s">
        <v>95</v>
      </c>
      <c r="BD2049" t="s">
        <v>96</v>
      </c>
      <c r="BE2049" t="s">
        <v>97</v>
      </c>
      <c r="BF2049">
        <v>0</v>
      </c>
      <c r="BG2049">
        <v>0</v>
      </c>
      <c r="BH2049">
        <v>0</v>
      </c>
      <c r="BI2049" t="s">
        <v>98</v>
      </c>
    </row>
    <row r="2050" spans="1:61">
      <c r="A2050" s="164" t="s">
        <v>4877</v>
      </c>
      <c r="B2050" t="s">
        <v>4878</v>
      </c>
      <c r="C2050">
        <v>0</v>
      </c>
      <c r="D2050" t="s">
        <v>147</v>
      </c>
      <c r="E2050">
        <v>0</v>
      </c>
      <c r="F2050" t="s">
        <v>965</v>
      </c>
      <c r="G2050" t="s">
        <v>103</v>
      </c>
      <c r="H2050" t="s">
        <v>104</v>
      </c>
      <c r="I2050" t="s">
        <v>80</v>
      </c>
      <c r="J2050" t="s">
        <v>81</v>
      </c>
      <c r="K2050" t="s">
        <v>82</v>
      </c>
      <c r="L2050" t="s">
        <v>83</v>
      </c>
      <c r="M2050" t="s">
        <v>84</v>
      </c>
      <c r="N2050">
        <v>1</v>
      </c>
      <c r="O2050" t="b">
        <v>1</v>
      </c>
      <c r="P2050">
        <v>45</v>
      </c>
      <c r="Q2050" t="s">
        <v>85</v>
      </c>
      <c r="R2050" t="s">
        <v>86</v>
      </c>
      <c r="S2050">
        <v>1</v>
      </c>
      <c r="T2050">
        <v>1</v>
      </c>
      <c r="U2050" s="36">
        <v>0.74587000000000003</v>
      </c>
      <c r="V2050" t="s">
        <v>87</v>
      </c>
      <c r="W2050">
        <v>24</v>
      </c>
      <c r="X2050">
        <v>0.45019999999999999</v>
      </c>
      <c r="Y2050">
        <v>18</v>
      </c>
      <c r="Z2050">
        <v>5.5555555555555552E-2</v>
      </c>
      <c r="AA2050">
        <v>30</v>
      </c>
      <c r="AB2050">
        <v>0</v>
      </c>
      <c r="AC2050">
        <v>540</v>
      </c>
      <c r="AD2050">
        <v>540</v>
      </c>
      <c r="AE2050" t="s">
        <v>155</v>
      </c>
      <c r="AF2050" t="s">
        <v>1159</v>
      </c>
      <c r="AG2050" t="s">
        <v>1160</v>
      </c>
      <c r="AH2050">
        <v>0</v>
      </c>
      <c r="AI2050">
        <v>0.9</v>
      </c>
      <c r="AJ2050" t="s">
        <v>91</v>
      </c>
      <c r="AK2050" t="s">
        <v>92</v>
      </c>
      <c r="AL2050" t="s">
        <v>93</v>
      </c>
      <c r="AM2050">
        <v>0.35588148148148147</v>
      </c>
      <c r="AN2050">
        <v>0.23725432098765428</v>
      </c>
      <c r="AO2050">
        <v>0.36774419753086418</v>
      </c>
      <c r="AP2050">
        <v>0</v>
      </c>
      <c r="AQ2050">
        <v>8.6691086691086688E-2</v>
      </c>
      <c r="AR2050">
        <v>2.6666666666666505E-3</v>
      </c>
      <c r="AS2050">
        <v>0</v>
      </c>
      <c r="AT2050">
        <v>1.0866910866910866</v>
      </c>
      <c r="AU2050">
        <v>1.0026666666666666</v>
      </c>
      <c r="AV2050">
        <v>1</v>
      </c>
      <c r="AW2050">
        <v>0</v>
      </c>
      <c r="AX2050" t="s">
        <v>4879</v>
      </c>
      <c r="AY2050">
        <v>0</v>
      </c>
      <c r="AZ2050">
        <v>6</v>
      </c>
      <c r="BA2050" t="s">
        <v>94</v>
      </c>
      <c r="BB2050">
        <v>0</v>
      </c>
      <c r="BC2050" t="s">
        <v>95</v>
      </c>
      <c r="BD2050" t="s">
        <v>96</v>
      </c>
      <c r="BE2050" t="s">
        <v>97</v>
      </c>
      <c r="BF2050">
        <v>0</v>
      </c>
      <c r="BG2050">
        <v>0</v>
      </c>
      <c r="BH2050">
        <v>0</v>
      </c>
      <c r="BI2050" t="s">
        <v>98</v>
      </c>
    </row>
    <row r="2051" spans="1:61">
      <c r="A2051" s="164" t="s">
        <v>4880</v>
      </c>
      <c r="B2051" t="s">
        <v>4881</v>
      </c>
      <c r="C2051">
        <v>0</v>
      </c>
      <c r="D2051" t="s">
        <v>124</v>
      </c>
      <c r="E2051">
        <v>0</v>
      </c>
      <c r="F2051" t="s">
        <v>125</v>
      </c>
      <c r="G2051" t="s">
        <v>78</v>
      </c>
      <c r="H2051" t="s">
        <v>79</v>
      </c>
      <c r="I2051" t="s">
        <v>126</v>
      </c>
      <c r="J2051" t="s">
        <v>1611</v>
      </c>
      <c r="K2051" t="s">
        <v>565</v>
      </c>
      <c r="L2051" t="s">
        <v>83</v>
      </c>
      <c r="M2051" t="s">
        <v>84</v>
      </c>
      <c r="N2051">
        <v>1</v>
      </c>
      <c r="O2051" t="b">
        <v>0</v>
      </c>
      <c r="P2051">
        <v>180</v>
      </c>
      <c r="Q2051" t="s">
        <v>85</v>
      </c>
      <c r="R2051" t="s">
        <v>1126</v>
      </c>
      <c r="S2051">
        <v>1</v>
      </c>
      <c r="T2051">
        <v>1</v>
      </c>
      <c r="U2051" s="36">
        <v>1.795145</v>
      </c>
      <c r="V2051" t="s">
        <v>87</v>
      </c>
      <c r="W2051">
        <v>0</v>
      </c>
      <c r="X2051">
        <v>0</v>
      </c>
      <c r="Y2051">
        <v>16</v>
      </c>
      <c r="Z2051">
        <v>6.25E-2</v>
      </c>
      <c r="AA2051">
        <v>30</v>
      </c>
      <c r="AB2051">
        <v>0</v>
      </c>
      <c r="AC2051">
        <v>0</v>
      </c>
      <c r="AD2051">
        <v>0</v>
      </c>
      <c r="AG2051" t="s">
        <v>129</v>
      </c>
      <c r="AH2051">
        <v>0</v>
      </c>
      <c r="AI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 t="s">
        <v>4882</v>
      </c>
      <c r="AY2051">
        <v>5.4</v>
      </c>
      <c r="AZ2051">
        <v>8</v>
      </c>
      <c r="BA2051" t="s">
        <v>94</v>
      </c>
      <c r="BB2051">
        <v>3.31</v>
      </c>
      <c r="BC2051" t="s">
        <v>95</v>
      </c>
      <c r="BD2051" t="s">
        <v>96</v>
      </c>
      <c r="BE2051" t="s">
        <v>97</v>
      </c>
      <c r="BF2051">
        <v>1</v>
      </c>
      <c r="BG2051">
        <v>0</v>
      </c>
      <c r="BH2051">
        <v>0</v>
      </c>
      <c r="BI2051" t="s">
        <v>98</v>
      </c>
    </row>
    <row r="2052" spans="1:61">
      <c r="A2052" s="164" t="s">
        <v>4883</v>
      </c>
      <c r="B2052" t="s">
        <v>4884</v>
      </c>
      <c r="C2052">
        <v>0</v>
      </c>
      <c r="D2052" t="s">
        <v>147</v>
      </c>
      <c r="E2052">
        <v>0</v>
      </c>
      <c r="F2052" t="s">
        <v>154</v>
      </c>
      <c r="G2052" t="s">
        <v>103</v>
      </c>
      <c r="H2052" t="s">
        <v>104</v>
      </c>
      <c r="I2052" t="s">
        <v>80</v>
      </c>
      <c r="J2052" t="s">
        <v>81</v>
      </c>
      <c r="K2052" t="s">
        <v>82</v>
      </c>
      <c r="L2052" t="s">
        <v>83</v>
      </c>
      <c r="M2052" t="s">
        <v>84</v>
      </c>
      <c r="N2052">
        <v>1.75</v>
      </c>
      <c r="O2052" t="b">
        <v>1</v>
      </c>
      <c r="P2052">
        <v>45</v>
      </c>
      <c r="Q2052" t="s">
        <v>85</v>
      </c>
      <c r="R2052" t="s">
        <v>86</v>
      </c>
      <c r="S2052">
        <v>1.75</v>
      </c>
      <c r="T2052">
        <v>1</v>
      </c>
      <c r="U2052" s="36">
        <v>2.08779</v>
      </c>
      <c r="V2052" t="s">
        <v>87</v>
      </c>
      <c r="W2052">
        <v>24</v>
      </c>
      <c r="X2052">
        <v>0.45019999999999999</v>
      </c>
      <c r="Y2052">
        <v>12</v>
      </c>
      <c r="Z2052">
        <v>8.3333333333333329E-2</v>
      </c>
      <c r="AA2052">
        <v>30</v>
      </c>
      <c r="AB2052">
        <v>0</v>
      </c>
      <c r="AC2052">
        <v>500</v>
      </c>
      <c r="AD2052">
        <v>285.71428571428572</v>
      </c>
      <c r="AE2052" t="s">
        <v>155</v>
      </c>
      <c r="AF2052" t="s">
        <v>156</v>
      </c>
      <c r="AG2052" t="s">
        <v>157</v>
      </c>
      <c r="AH2052">
        <v>0</v>
      </c>
      <c r="AI2052">
        <v>0.9</v>
      </c>
      <c r="AJ2052" t="s">
        <v>91</v>
      </c>
      <c r="AK2052" t="s">
        <v>92</v>
      </c>
      <c r="AL2052" t="s">
        <v>93</v>
      </c>
      <c r="AM2052">
        <v>0.33553925925925926</v>
      </c>
      <c r="AN2052">
        <v>0.22369283950617286</v>
      </c>
      <c r="AO2052">
        <v>0.34672390123456792</v>
      </c>
      <c r="AP2052">
        <v>0</v>
      </c>
      <c r="AQ2052">
        <v>8.6691086691086688E-2</v>
      </c>
      <c r="AR2052">
        <v>2.6666666666666505E-3</v>
      </c>
      <c r="AS2052">
        <v>0</v>
      </c>
      <c r="AT2052">
        <v>1.0866910866910866</v>
      </c>
      <c r="AU2052">
        <v>1.0026666666666666</v>
      </c>
      <c r="AV2052">
        <v>1</v>
      </c>
      <c r="AW2052">
        <v>0</v>
      </c>
      <c r="AX2052" t="s">
        <v>158</v>
      </c>
      <c r="AY2052">
        <v>83.4</v>
      </c>
      <c r="AZ2052">
        <v>0</v>
      </c>
      <c r="BA2052" t="s">
        <v>94</v>
      </c>
      <c r="BB2052">
        <v>4.8099999999999996</v>
      </c>
      <c r="BC2052" t="s">
        <v>95</v>
      </c>
      <c r="BD2052" t="s">
        <v>96</v>
      </c>
      <c r="BE2052" t="s">
        <v>97</v>
      </c>
      <c r="BF2052">
        <v>0</v>
      </c>
      <c r="BG2052">
        <v>0</v>
      </c>
      <c r="BH2052">
        <v>0</v>
      </c>
      <c r="BI2052" t="s">
        <v>98</v>
      </c>
    </row>
    <row r="2053" spans="1:61">
      <c r="A2053" s="164" t="s">
        <v>4885</v>
      </c>
      <c r="B2053" t="s">
        <v>4886</v>
      </c>
      <c r="C2053">
        <v>0</v>
      </c>
      <c r="D2053" t="s">
        <v>133</v>
      </c>
      <c r="E2053">
        <v>0</v>
      </c>
      <c r="F2053" t="s">
        <v>990</v>
      </c>
      <c r="G2053" t="s">
        <v>78</v>
      </c>
      <c r="H2053" t="s">
        <v>79</v>
      </c>
      <c r="I2053" t="s">
        <v>80</v>
      </c>
      <c r="J2053" t="s">
        <v>163</v>
      </c>
      <c r="K2053" t="s">
        <v>82</v>
      </c>
      <c r="L2053" t="s">
        <v>83</v>
      </c>
      <c r="M2053" t="s">
        <v>84</v>
      </c>
      <c r="N2053">
        <v>0.2</v>
      </c>
      <c r="O2053" t="b">
        <v>1</v>
      </c>
      <c r="P2053">
        <v>60</v>
      </c>
      <c r="Q2053" t="s">
        <v>137</v>
      </c>
      <c r="S2053">
        <v>0.2</v>
      </c>
      <c r="T2053">
        <v>1</v>
      </c>
      <c r="U2053" s="36">
        <v>0.45100499999999999</v>
      </c>
      <c r="V2053" t="s">
        <v>991</v>
      </c>
      <c r="W2053">
        <v>8</v>
      </c>
      <c r="X2053">
        <v>0</v>
      </c>
      <c r="Y2053">
        <v>70</v>
      </c>
      <c r="AA2053">
        <v>35</v>
      </c>
      <c r="AB2053">
        <v>0</v>
      </c>
      <c r="AC2053">
        <v>0</v>
      </c>
      <c r="AD2053">
        <v>650</v>
      </c>
      <c r="AE2053" t="s">
        <v>1699</v>
      </c>
      <c r="AF2053" t="s">
        <v>990</v>
      </c>
      <c r="AG2053" t="s">
        <v>129</v>
      </c>
      <c r="AH2053">
        <v>0</v>
      </c>
      <c r="AI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 t="s">
        <v>4887</v>
      </c>
      <c r="AZ2053">
        <v>4</v>
      </c>
      <c r="BA2053" t="s">
        <v>138</v>
      </c>
      <c r="BB2053">
        <v>1.49</v>
      </c>
      <c r="BC2053" t="s">
        <v>95</v>
      </c>
      <c r="BD2053" t="s">
        <v>96</v>
      </c>
      <c r="BE2053" t="s">
        <v>97</v>
      </c>
      <c r="BF2053">
        <v>1</v>
      </c>
      <c r="BG2053">
        <v>0</v>
      </c>
      <c r="BH2053">
        <v>0</v>
      </c>
      <c r="BI2053" t="s">
        <v>98</v>
      </c>
    </row>
    <row r="2054" spans="1:61">
      <c r="A2054" s="164" t="s">
        <v>4888</v>
      </c>
      <c r="B2054" t="s">
        <v>4889</v>
      </c>
      <c r="C2054">
        <v>0</v>
      </c>
      <c r="D2054" t="s">
        <v>2563</v>
      </c>
      <c r="E2054">
        <v>0</v>
      </c>
      <c r="F2054" t="s">
        <v>2563</v>
      </c>
      <c r="G2054" t="s">
        <v>1242</v>
      </c>
      <c r="H2054" t="s">
        <v>117</v>
      </c>
      <c r="I2054" t="s">
        <v>80</v>
      </c>
      <c r="J2054" t="s">
        <v>163</v>
      </c>
      <c r="K2054" t="s">
        <v>82</v>
      </c>
      <c r="L2054" t="s">
        <v>83</v>
      </c>
      <c r="M2054" t="s">
        <v>84</v>
      </c>
      <c r="N2054">
        <v>0.5</v>
      </c>
      <c r="O2054" t="b">
        <v>1</v>
      </c>
      <c r="P2054">
        <v>0</v>
      </c>
      <c r="Q2054" t="s">
        <v>137</v>
      </c>
      <c r="R2054" t="s">
        <v>86</v>
      </c>
      <c r="V2054" t="s">
        <v>165</v>
      </c>
      <c r="X2054">
        <v>0</v>
      </c>
      <c r="Z2054">
        <v>0</v>
      </c>
      <c r="AB2054">
        <v>0</v>
      </c>
      <c r="AC2054">
        <v>0</v>
      </c>
      <c r="AE2054" t="s">
        <v>129</v>
      </c>
      <c r="AF2054" t="s">
        <v>2563</v>
      </c>
      <c r="AG2054" t="s">
        <v>129</v>
      </c>
      <c r="AH2054">
        <v>0</v>
      </c>
      <c r="AI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 t="s">
        <v>4890</v>
      </c>
      <c r="AY2054">
        <v>0</v>
      </c>
      <c r="AZ2054">
        <v>0</v>
      </c>
      <c r="BA2054" t="s">
        <v>138</v>
      </c>
      <c r="BB2054">
        <v>0</v>
      </c>
      <c r="BC2054" t="s">
        <v>488</v>
      </c>
      <c r="BD2054" t="s">
        <v>489</v>
      </c>
      <c r="BE2054" t="s">
        <v>97</v>
      </c>
      <c r="BF2054">
        <v>0</v>
      </c>
      <c r="BG2054">
        <v>0</v>
      </c>
      <c r="BH2054">
        <v>0</v>
      </c>
      <c r="BI2054" t="s">
        <v>98</v>
      </c>
    </row>
    <row r="2055" spans="1:61">
      <c r="A2055" s="164" t="s">
        <v>4891</v>
      </c>
      <c r="B2055" t="s">
        <v>4892</v>
      </c>
      <c r="C2055">
        <v>0</v>
      </c>
      <c r="D2055" t="s">
        <v>257</v>
      </c>
      <c r="E2055">
        <v>0</v>
      </c>
      <c r="F2055" t="s">
        <v>925</v>
      </c>
      <c r="G2055" t="s">
        <v>78</v>
      </c>
      <c r="H2055" t="s">
        <v>79</v>
      </c>
      <c r="I2055" t="s">
        <v>80</v>
      </c>
      <c r="J2055" t="s">
        <v>196</v>
      </c>
      <c r="K2055" t="s">
        <v>13</v>
      </c>
      <c r="L2055" t="s">
        <v>83</v>
      </c>
      <c r="M2055" t="s">
        <v>205</v>
      </c>
      <c r="N2055">
        <v>1</v>
      </c>
      <c r="O2055" t="b">
        <v>1</v>
      </c>
      <c r="P2055">
        <v>0</v>
      </c>
      <c r="BB2055">
        <v>0</v>
      </c>
      <c r="BC2055" t="s">
        <v>259</v>
      </c>
      <c r="BD2055" t="s">
        <v>926</v>
      </c>
      <c r="BE2055" t="s">
        <v>117</v>
      </c>
      <c r="BF2055">
        <v>0</v>
      </c>
      <c r="BG2055">
        <v>20</v>
      </c>
      <c r="BH2055">
        <v>1</v>
      </c>
      <c r="BI2055" t="s">
        <v>927</v>
      </c>
    </row>
    <row r="2056" spans="1:61">
      <c r="A2056" s="164" t="s">
        <v>4893</v>
      </c>
      <c r="B2056" t="s">
        <v>4894</v>
      </c>
      <c r="C2056">
        <v>0</v>
      </c>
      <c r="D2056" t="s">
        <v>257</v>
      </c>
      <c r="E2056">
        <v>0</v>
      </c>
      <c r="F2056" t="s">
        <v>269</v>
      </c>
      <c r="G2056" t="s">
        <v>103</v>
      </c>
      <c r="H2056" t="s">
        <v>104</v>
      </c>
      <c r="I2056" t="s">
        <v>80</v>
      </c>
      <c r="J2056" t="s">
        <v>196</v>
      </c>
      <c r="K2056" t="s">
        <v>13</v>
      </c>
      <c r="L2056" t="s">
        <v>83</v>
      </c>
      <c r="M2056" t="s">
        <v>205</v>
      </c>
      <c r="N2056">
        <v>1</v>
      </c>
      <c r="O2056" t="b">
        <v>0</v>
      </c>
      <c r="P2056">
        <v>0</v>
      </c>
      <c r="BB2056">
        <v>0</v>
      </c>
      <c r="BC2056" t="s">
        <v>259</v>
      </c>
      <c r="BD2056" t="s">
        <v>270</v>
      </c>
      <c r="BE2056" t="s">
        <v>117</v>
      </c>
      <c r="BF2056">
        <v>0</v>
      </c>
      <c r="BG2056">
        <v>0</v>
      </c>
      <c r="BH2056">
        <v>0</v>
      </c>
    </row>
    <row r="2057" spans="1:61">
      <c r="A2057" s="164" t="s">
        <v>4895</v>
      </c>
      <c r="B2057" t="s">
        <v>4896</v>
      </c>
      <c r="C2057">
        <v>0</v>
      </c>
      <c r="D2057" t="s">
        <v>257</v>
      </c>
      <c r="E2057">
        <v>0</v>
      </c>
      <c r="F2057" t="s">
        <v>955</v>
      </c>
      <c r="G2057" t="s">
        <v>78</v>
      </c>
      <c r="H2057" t="s">
        <v>79</v>
      </c>
      <c r="I2057" t="s">
        <v>80</v>
      </c>
      <c r="J2057" t="s">
        <v>196</v>
      </c>
      <c r="K2057" t="s">
        <v>13</v>
      </c>
      <c r="L2057" t="s">
        <v>83</v>
      </c>
      <c r="M2057" t="s">
        <v>84</v>
      </c>
      <c r="N2057">
        <v>1</v>
      </c>
      <c r="O2057" t="b">
        <v>1</v>
      </c>
      <c r="P2057">
        <v>0</v>
      </c>
      <c r="BB2057">
        <v>0</v>
      </c>
      <c r="BC2057" t="s">
        <v>259</v>
      </c>
      <c r="BD2057" t="s">
        <v>956</v>
      </c>
      <c r="BE2057" t="s">
        <v>117</v>
      </c>
      <c r="BF2057">
        <v>0</v>
      </c>
      <c r="BG2057">
        <v>10</v>
      </c>
      <c r="BH2057">
        <v>10</v>
      </c>
      <c r="BI2057" t="s">
        <v>1324</v>
      </c>
    </row>
    <row r="2058" spans="1:61">
      <c r="A2058" s="164" t="s">
        <v>4897</v>
      </c>
      <c r="B2058" t="s">
        <v>4898</v>
      </c>
      <c r="C2058">
        <v>0</v>
      </c>
      <c r="D2058" t="s">
        <v>257</v>
      </c>
      <c r="E2058">
        <v>0</v>
      </c>
      <c r="F2058" t="s">
        <v>258</v>
      </c>
      <c r="G2058" t="s">
        <v>78</v>
      </c>
      <c r="H2058" t="s">
        <v>79</v>
      </c>
      <c r="I2058" t="s">
        <v>80</v>
      </c>
      <c r="J2058" t="s">
        <v>196</v>
      </c>
      <c r="K2058" t="s">
        <v>13</v>
      </c>
      <c r="L2058" t="s">
        <v>83</v>
      </c>
      <c r="M2058" t="s">
        <v>205</v>
      </c>
      <c r="N2058">
        <v>1</v>
      </c>
      <c r="O2058" t="b">
        <v>1</v>
      </c>
      <c r="P2058">
        <v>0</v>
      </c>
      <c r="BB2058">
        <v>0</v>
      </c>
      <c r="BC2058" t="s">
        <v>259</v>
      </c>
      <c r="BD2058" t="s">
        <v>260</v>
      </c>
      <c r="BE2058" t="s">
        <v>117</v>
      </c>
      <c r="BF2058">
        <v>0</v>
      </c>
      <c r="BG2058">
        <v>30</v>
      </c>
      <c r="BH2058">
        <v>10</v>
      </c>
      <c r="BI2058" t="s">
        <v>3681</v>
      </c>
    </row>
    <row r="2059" spans="1:61">
      <c r="A2059" s="164" t="s">
        <v>4899</v>
      </c>
      <c r="B2059" t="s">
        <v>4900</v>
      </c>
      <c r="C2059">
        <v>0</v>
      </c>
      <c r="D2059" t="s">
        <v>257</v>
      </c>
      <c r="E2059">
        <v>0</v>
      </c>
      <c r="F2059" t="s">
        <v>258</v>
      </c>
      <c r="G2059" t="s">
        <v>78</v>
      </c>
      <c r="H2059" t="s">
        <v>79</v>
      </c>
      <c r="I2059" t="s">
        <v>80</v>
      </c>
      <c r="J2059" t="s">
        <v>196</v>
      </c>
      <c r="K2059" t="s">
        <v>13</v>
      </c>
      <c r="L2059" t="s">
        <v>83</v>
      </c>
      <c r="M2059" t="s">
        <v>205</v>
      </c>
      <c r="N2059">
        <v>1</v>
      </c>
      <c r="O2059" t="b">
        <v>1</v>
      </c>
      <c r="P2059">
        <v>0</v>
      </c>
      <c r="BB2059">
        <v>0</v>
      </c>
      <c r="BC2059" t="s">
        <v>259</v>
      </c>
      <c r="BD2059" t="s">
        <v>260</v>
      </c>
      <c r="BE2059" t="s">
        <v>117</v>
      </c>
      <c r="BF2059">
        <v>0</v>
      </c>
      <c r="BG2059">
        <v>20</v>
      </c>
      <c r="BH2059">
        <v>75</v>
      </c>
      <c r="BI2059" t="s">
        <v>2497</v>
      </c>
    </row>
    <row r="2060" spans="1:61">
      <c r="A2060" s="164" t="s">
        <v>4901</v>
      </c>
      <c r="B2060" t="s">
        <v>4902</v>
      </c>
      <c r="C2060">
        <v>0</v>
      </c>
      <c r="D2060" t="s">
        <v>257</v>
      </c>
      <c r="E2060">
        <v>0</v>
      </c>
      <c r="F2060" t="s">
        <v>293</v>
      </c>
      <c r="G2060" t="s">
        <v>78</v>
      </c>
      <c r="H2060" t="s">
        <v>79</v>
      </c>
      <c r="I2060" t="s">
        <v>80</v>
      </c>
      <c r="J2060" t="s">
        <v>196</v>
      </c>
      <c r="K2060" t="s">
        <v>13</v>
      </c>
      <c r="L2060" t="s">
        <v>83</v>
      </c>
      <c r="M2060" t="s">
        <v>205</v>
      </c>
      <c r="N2060">
        <v>1</v>
      </c>
      <c r="O2060" t="b">
        <v>1</v>
      </c>
      <c r="P2060">
        <v>0</v>
      </c>
      <c r="BB2060">
        <v>0</v>
      </c>
      <c r="BC2060" t="s">
        <v>259</v>
      </c>
      <c r="BD2060" t="s">
        <v>294</v>
      </c>
      <c r="BE2060" t="s">
        <v>117</v>
      </c>
      <c r="BF2060">
        <v>0</v>
      </c>
      <c r="BG2060">
        <v>10</v>
      </c>
      <c r="BH2060">
        <v>150</v>
      </c>
      <c r="BI2060" t="s">
        <v>295</v>
      </c>
    </row>
    <row r="2061" spans="1:61">
      <c r="A2061" s="164" t="s">
        <v>4903</v>
      </c>
      <c r="B2061" t="s">
        <v>4904</v>
      </c>
      <c r="C2061">
        <v>0</v>
      </c>
      <c r="D2061" t="s">
        <v>257</v>
      </c>
      <c r="E2061">
        <v>0</v>
      </c>
      <c r="F2061" t="s">
        <v>925</v>
      </c>
      <c r="G2061" t="s">
        <v>78</v>
      </c>
      <c r="H2061" t="s">
        <v>79</v>
      </c>
      <c r="I2061" t="s">
        <v>80</v>
      </c>
      <c r="J2061" t="s">
        <v>196</v>
      </c>
      <c r="K2061" t="s">
        <v>13</v>
      </c>
      <c r="L2061" t="s">
        <v>83</v>
      </c>
      <c r="M2061" t="s">
        <v>205</v>
      </c>
      <c r="N2061">
        <v>1</v>
      </c>
      <c r="O2061" t="b">
        <v>1</v>
      </c>
      <c r="P2061">
        <v>0</v>
      </c>
      <c r="BB2061">
        <v>0</v>
      </c>
      <c r="BC2061" t="s">
        <v>259</v>
      </c>
      <c r="BD2061" t="s">
        <v>926</v>
      </c>
      <c r="BE2061" t="s">
        <v>117</v>
      </c>
      <c r="BF2061">
        <v>0</v>
      </c>
      <c r="BG2061">
        <v>25</v>
      </c>
      <c r="BH2061">
        <v>50</v>
      </c>
      <c r="BI2061" t="s">
        <v>947</v>
      </c>
    </row>
    <row r="2062" spans="1:61">
      <c r="A2062" s="164" t="s">
        <v>4905</v>
      </c>
      <c r="B2062" t="s">
        <v>4906</v>
      </c>
      <c r="C2062">
        <v>0</v>
      </c>
      <c r="D2062" t="s">
        <v>257</v>
      </c>
      <c r="E2062">
        <v>0</v>
      </c>
      <c r="F2062" t="s">
        <v>950</v>
      </c>
      <c r="G2062" t="s">
        <v>78</v>
      </c>
      <c r="H2062" t="s">
        <v>79</v>
      </c>
      <c r="I2062" t="s">
        <v>80</v>
      </c>
      <c r="J2062" t="s">
        <v>196</v>
      </c>
      <c r="K2062" t="s">
        <v>13</v>
      </c>
      <c r="L2062" t="s">
        <v>83</v>
      </c>
      <c r="M2062" t="s">
        <v>205</v>
      </c>
      <c r="N2062">
        <v>1</v>
      </c>
      <c r="O2062" t="b">
        <v>1</v>
      </c>
      <c r="P2062">
        <v>0</v>
      </c>
      <c r="BB2062">
        <v>0</v>
      </c>
      <c r="BC2062" t="s">
        <v>259</v>
      </c>
      <c r="BD2062" t="s">
        <v>951</v>
      </c>
      <c r="BE2062" t="s">
        <v>117</v>
      </c>
      <c r="BF2062">
        <v>0</v>
      </c>
      <c r="BG2062">
        <v>30</v>
      </c>
      <c r="BH2062">
        <v>500</v>
      </c>
      <c r="BI2062" t="s">
        <v>4907</v>
      </c>
    </row>
    <row r="2063" spans="1:61">
      <c r="A2063" s="164" t="s">
        <v>4908</v>
      </c>
      <c r="B2063" t="s">
        <v>4909</v>
      </c>
      <c r="C2063">
        <v>0</v>
      </c>
      <c r="D2063" t="s">
        <v>257</v>
      </c>
      <c r="E2063">
        <v>0</v>
      </c>
      <c r="F2063" t="s">
        <v>258</v>
      </c>
      <c r="G2063" t="s">
        <v>78</v>
      </c>
      <c r="H2063" t="s">
        <v>79</v>
      </c>
      <c r="I2063" t="s">
        <v>80</v>
      </c>
      <c r="J2063" t="s">
        <v>196</v>
      </c>
      <c r="K2063" t="s">
        <v>13</v>
      </c>
      <c r="L2063" t="s">
        <v>83</v>
      </c>
      <c r="M2063" t="s">
        <v>205</v>
      </c>
      <c r="N2063">
        <v>1</v>
      </c>
      <c r="O2063" t="b">
        <v>1</v>
      </c>
      <c r="P2063">
        <v>0</v>
      </c>
      <c r="BB2063">
        <v>0</v>
      </c>
      <c r="BC2063" t="s">
        <v>259</v>
      </c>
      <c r="BD2063" t="s">
        <v>260</v>
      </c>
      <c r="BE2063" t="s">
        <v>117</v>
      </c>
      <c r="BF2063">
        <v>0</v>
      </c>
      <c r="BG2063">
        <v>120</v>
      </c>
      <c r="BH2063">
        <v>25</v>
      </c>
      <c r="BI2063" t="s">
        <v>947</v>
      </c>
    </row>
    <row r="2064" spans="1:61">
      <c r="A2064" s="164" t="s">
        <v>4910</v>
      </c>
      <c r="B2064" t="s">
        <v>4911</v>
      </c>
      <c r="C2064">
        <v>0</v>
      </c>
      <c r="D2064" t="s">
        <v>304</v>
      </c>
      <c r="E2064">
        <v>0</v>
      </c>
      <c r="F2064" t="s">
        <v>313</v>
      </c>
      <c r="G2064" t="s">
        <v>78</v>
      </c>
      <c r="H2064" t="s">
        <v>79</v>
      </c>
      <c r="I2064" t="s">
        <v>80</v>
      </c>
      <c r="J2064" t="s">
        <v>196</v>
      </c>
      <c r="K2064" t="s">
        <v>13</v>
      </c>
      <c r="L2064" t="s">
        <v>83</v>
      </c>
      <c r="M2064" t="s">
        <v>205</v>
      </c>
      <c r="N2064">
        <v>1</v>
      </c>
      <c r="O2064" t="b">
        <v>1</v>
      </c>
      <c r="P2064">
        <v>0</v>
      </c>
      <c r="BB2064">
        <v>0</v>
      </c>
      <c r="BC2064" t="s">
        <v>306</v>
      </c>
      <c r="BD2064" t="s">
        <v>314</v>
      </c>
      <c r="BE2064" t="s">
        <v>117</v>
      </c>
      <c r="BF2064">
        <v>0</v>
      </c>
      <c r="BG2064">
        <v>45</v>
      </c>
      <c r="BH2064">
        <v>1000</v>
      </c>
      <c r="BI2064" t="s">
        <v>315</v>
      </c>
    </row>
    <row r="2065" spans="1:61">
      <c r="A2065" s="164" t="s">
        <v>4912</v>
      </c>
      <c r="B2065" t="s">
        <v>4913</v>
      </c>
      <c r="C2065">
        <v>0</v>
      </c>
      <c r="D2065" t="s">
        <v>304</v>
      </c>
      <c r="E2065">
        <v>0</v>
      </c>
      <c r="F2065" t="s">
        <v>357</v>
      </c>
      <c r="G2065" t="s">
        <v>78</v>
      </c>
      <c r="H2065" t="s">
        <v>79</v>
      </c>
      <c r="I2065" t="s">
        <v>80</v>
      </c>
      <c r="J2065" t="s">
        <v>196</v>
      </c>
      <c r="K2065" t="s">
        <v>13</v>
      </c>
      <c r="L2065" t="s">
        <v>83</v>
      </c>
      <c r="M2065" t="s">
        <v>84</v>
      </c>
      <c r="N2065">
        <v>1</v>
      </c>
      <c r="O2065" t="b">
        <v>1</v>
      </c>
      <c r="P2065">
        <v>0</v>
      </c>
      <c r="BB2065">
        <v>0</v>
      </c>
      <c r="BC2065" t="s">
        <v>306</v>
      </c>
      <c r="BD2065" t="s">
        <v>358</v>
      </c>
      <c r="BE2065" t="s">
        <v>117</v>
      </c>
      <c r="BF2065">
        <v>0</v>
      </c>
      <c r="BG2065">
        <v>25</v>
      </c>
      <c r="BH2065">
        <v>500</v>
      </c>
      <c r="BI2065" t="s">
        <v>359</v>
      </c>
    </row>
    <row r="2066" spans="1:61">
      <c r="A2066" s="164" t="s">
        <v>4914</v>
      </c>
      <c r="B2066" t="s">
        <v>4915</v>
      </c>
      <c r="C2066">
        <v>0</v>
      </c>
      <c r="D2066" t="s">
        <v>304</v>
      </c>
      <c r="E2066">
        <v>0</v>
      </c>
      <c r="F2066" t="s">
        <v>269</v>
      </c>
      <c r="G2066" t="s">
        <v>103</v>
      </c>
      <c r="H2066" t="s">
        <v>104</v>
      </c>
      <c r="I2066" t="s">
        <v>80</v>
      </c>
      <c r="J2066" t="s">
        <v>196</v>
      </c>
      <c r="K2066" t="s">
        <v>13</v>
      </c>
      <c r="L2066" t="s">
        <v>83</v>
      </c>
      <c r="M2066" t="s">
        <v>84</v>
      </c>
      <c r="N2066">
        <v>1</v>
      </c>
      <c r="O2066" t="b">
        <v>0</v>
      </c>
      <c r="P2066">
        <v>0</v>
      </c>
      <c r="BB2066">
        <v>0</v>
      </c>
      <c r="BC2066" t="s">
        <v>306</v>
      </c>
      <c r="BD2066" t="s">
        <v>270</v>
      </c>
      <c r="BE2066" t="s">
        <v>117</v>
      </c>
      <c r="BF2066">
        <v>0</v>
      </c>
      <c r="BG2066">
        <v>0</v>
      </c>
      <c r="BH2066">
        <v>0</v>
      </c>
    </row>
    <row r="2067" spans="1:61">
      <c r="A2067" s="164" t="s">
        <v>4916</v>
      </c>
      <c r="B2067" t="s">
        <v>4917</v>
      </c>
      <c r="C2067">
        <v>0</v>
      </c>
      <c r="D2067" t="s">
        <v>304</v>
      </c>
      <c r="E2067">
        <v>0</v>
      </c>
      <c r="F2067" t="s">
        <v>269</v>
      </c>
      <c r="G2067" t="s">
        <v>103</v>
      </c>
      <c r="H2067" t="s">
        <v>104</v>
      </c>
      <c r="I2067" t="s">
        <v>80</v>
      </c>
      <c r="J2067" t="s">
        <v>196</v>
      </c>
      <c r="K2067" t="s">
        <v>13</v>
      </c>
      <c r="L2067" t="s">
        <v>83</v>
      </c>
      <c r="M2067" t="s">
        <v>84</v>
      </c>
      <c r="N2067">
        <v>1</v>
      </c>
      <c r="O2067" t="b">
        <v>0</v>
      </c>
      <c r="P2067">
        <v>0</v>
      </c>
      <c r="BB2067">
        <v>0</v>
      </c>
      <c r="BC2067" t="s">
        <v>306</v>
      </c>
      <c r="BD2067" t="s">
        <v>270</v>
      </c>
      <c r="BE2067" t="s">
        <v>117</v>
      </c>
      <c r="BF2067">
        <v>0</v>
      </c>
      <c r="BG2067">
        <v>0</v>
      </c>
      <c r="BH2067">
        <v>0</v>
      </c>
    </row>
    <row r="2068" spans="1:61">
      <c r="A2068" s="164" t="s">
        <v>4918</v>
      </c>
      <c r="B2068" t="s">
        <v>4919</v>
      </c>
      <c r="C2068">
        <v>0</v>
      </c>
      <c r="D2068" t="s">
        <v>304</v>
      </c>
      <c r="E2068">
        <v>0</v>
      </c>
      <c r="F2068" t="s">
        <v>269</v>
      </c>
      <c r="G2068" t="s">
        <v>103</v>
      </c>
      <c r="H2068" t="s">
        <v>104</v>
      </c>
      <c r="I2068" t="s">
        <v>80</v>
      </c>
      <c r="J2068" t="s">
        <v>196</v>
      </c>
      <c r="K2068" t="s">
        <v>13</v>
      </c>
      <c r="L2068" t="s">
        <v>83</v>
      </c>
      <c r="M2068" t="s">
        <v>84</v>
      </c>
      <c r="N2068">
        <v>1</v>
      </c>
      <c r="O2068" t="b">
        <v>0</v>
      </c>
      <c r="P2068">
        <v>0</v>
      </c>
      <c r="BB2068">
        <v>0</v>
      </c>
      <c r="BC2068" t="s">
        <v>306</v>
      </c>
      <c r="BD2068" t="s">
        <v>270</v>
      </c>
      <c r="BE2068" t="s">
        <v>117</v>
      </c>
      <c r="BF2068">
        <v>0</v>
      </c>
      <c r="BG2068">
        <v>0</v>
      </c>
      <c r="BH2068">
        <v>0</v>
      </c>
    </row>
    <row r="2069" spans="1:61">
      <c r="A2069" s="164" t="s">
        <v>4920</v>
      </c>
      <c r="B2069" t="s">
        <v>4921</v>
      </c>
      <c r="C2069">
        <v>0</v>
      </c>
      <c r="D2069" t="s">
        <v>304</v>
      </c>
      <c r="E2069">
        <v>0</v>
      </c>
      <c r="F2069" t="s">
        <v>430</v>
      </c>
      <c r="G2069" t="s">
        <v>78</v>
      </c>
      <c r="H2069" t="s">
        <v>79</v>
      </c>
      <c r="I2069" t="s">
        <v>80</v>
      </c>
      <c r="J2069" t="s">
        <v>196</v>
      </c>
      <c r="K2069" t="s">
        <v>13</v>
      </c>
      <c r="L2069" t="s">
        <v>83</v>
      </c>
      <c r="M2069" t="s">
        <v>84</v>
      </c>
      <c r="N2069">
        <v>1</v>
      </c>
      <c r="O2069" t="b">
        <v>1</v>
      </c>
      <c r="P2069">
        <v>0</v>
      </c>
      <c r="BB2069">
        <v>0</v>
      </c>
      <c r="BC2069" t="s">
        <v>306</v>
      </c>
      <c r="BD2069" t="s">
        <v>431</v>
      </c>
      <c r="BE2069" t="s">
        <v>117</v>
      </c>
      <c r="BF2069">
        <v>0</v>
      </c>
      <c r="BG2069">
        <v>15</v>
      </c>
      <c r="BH2069">
        <v>100</v>
      </c>
      <c r="BI2069" t="s">
        <v>432</v>
      </c>
    </row>
    <row r="2070" spans="1:61">
      <c r="A2070" s="164" t="s">
        <v>4922</v>
      </c>
      <c r="B2070" t="s">
        <v>4923</v>
      </c>
      <c r="C2070">
        <v>0</v>
      </c>
      <c r="D2070" t="s">
        <v>304</v>
      </c>
      <c r="E2070">
        <v>0</v>
      </c>
      <c r="F2070" t="s">
        <v>430</v>
      </c>
      <c r="G2070" t="s">
        <v>78</v>
      </c>
      <c r="H2070" t="s">
        <v>79</v>
      </c>
      <c r="I2070" t="s">
        <v>80</v>
      </c>
      <c r="J2070" t="s">
        <v>196</v>
      </c>
      <c r="K2070" t="s">
        <v>13</v>
      </c>
      <c r="L2070" t="s">
        <v>83</v>
      </c>
      <c r="M2070" t="s">
        <v>84</v>
      </c>
      <c r="N2070">
        <v>1</v>
      </c>
      <c r="O2070" t="b">
        <v>1</v>
      </c>
      <c r="P2070">
        <v>0</v>
      </c>
      <c r="BB2070">
        <v>0</v>
      </c>
      <c r="BC2070" t="s">
        <v>306</v>
      </c>
      <c r="BD2070" t="s">
        <v>431</v>
      </c>
      <c r="BE2070" t="s">
        <v>117</v>
      </c>
      <c r="BF2070">
        <v>0</v>
      </c>
      <c r="BG2070">
        <v>15</v>
      </c>
      <c r="BH2070">
        <v>100</v>
      </c>
      <c r="BI2070" t="s">
        <v>432</v>
      </c>
    </row>
    <row r="2071" spans="1:61">
      <c r="A2071" s="164" t="s">
        <v>4924</v>
      </c>
      <c r="B2071" t="s">
        <v>4925</v>
      </c>
      <c r="C2071">
        <v>0</v>
      </c>
      <c r="D2071" t="s">
        <v>304</v>
      </c>
      <c r="E2071">
        <v>0</v>
      </c>
      <c r="F2071" t="s">
        <v>430</v>
      </c>
      <c r="G2071" t="s">
        <v>78</v>
      </c>
      <c r="H2071" t="s">
        <v>79</v>
      </c>
      <c r="I2071" t="s">
        <v>80</v>
      </c>
      <c r="J2071" t="s">
        <v>196</v>
      </c>
      <c r="K2071" t="s">
        <v>13</v>
      </c>
      <c r="L2071" t="s">
        <v>83</v>
      </c>
      <c r="M2071" t="s">
        <v>84</v>
      </c>
      <c r="N2071">
        <v>1</v>
      </c>
      <c r="O2071" t="b">
        <v>1</v>
      </c>
      <c r="P2071">
        <v>0</v>
      </c>
      <c r="BB2071">
        <v>0</v>
      </c>
      <c r="BC2071" t="s">
        <v>306</v>
      </c>
      <c r="BD2071" t="s">
        <v>431</v>
      </c>
      <c r="BE2071" t="s">
        <v>117</v>
      </c>
      <c r="BF2071">
        <v>0</v>
      </c>
      <c r="BG2071">
        <v>15</v>
      </c>
      <c r="BH2071">
        <v>100</v>
      </c>
      <c r="BI2071" t="s">
        <v>432</v>
      </c>
    </row>
  </sheetData>
  <phoneticPr fontId="17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E58F8-AF24-49C8-9D48-623D675E7D04}">
  <sheetPr codeName="Hoja3">
    <tabColor theme="9" tint="0.39997558519241921"/>
    <pageSetUpPr fitToPage="1"/>
  </sheetPr>
  <dimension ref="A1:AD1458"/>
  <sheetViews>
    <sheetView showGridLines="0" showZeros="0" topLeftCell="A2" zoomScale="78" zoomScaleNormal="78" zoomScaleSheetLayoutView="80" workbookViewId="0">
      <pane xSplit="10" ySplit="6" topLeftCell="R8" activePane="bottomRight" state="frozen"/>
      <selection pane="topRight" activeCell="K21" sqref="K21"/>
      <selection pane="bottomLeft" activeCell="K21" sqref="K21"/>
      <selection pane="bottomRight" activeCell="T5" sqref="T5"/>
    </sheetView>
  </sheetViews>
  <sheetFormatPr baseColWidth="10" defaultColWidth="11.453125" defaultRowHeight="14.5" outlineLevelCol="1"/>
  <cols>
    <col min="1" max="1" width="20.54296875" style="1" hidden="1" customWidth="1" outlineLevel="1"/>
    <col min="2" max="2" width="19.453125" style="1" hidden="1" customWidth="1" outlineLevel="1"/>
    <col min="3" max="3" width="24.54296875" style="1" hidden="1" customWidth="1" outlineLevel="1"/>
    <col min="4" max="4" width="24.453125" style="1" hidden="1" customWidth="1" outlineLevel="1"/>
    <col min="5" max="5" width="43.54296875" style="1" hidden="1" customWidth="1" outlineLevel="1"/>
    <col min="6" max="6" width="12.453125" style="1" hidden="1" customWidth="1" collapsed="1"/>
    <col min="7" max="8" width="12.453125" style="1" hidden="1" customWidth="1"/>
    <col min="9" max="9" width="13.54296875" style="59" bestFit="1" customWidth="1"/>
    <col min="10" max="10" width="44" style="2" customWidth="1"/>
    <col min="11" max="11" width="13.54296875" style="4" hidden="1" customWidth="1"/>
    <col min="12" max="12" width="14.453125" style="3" hidden="1" customWidth="1"/>
    <col min="13" max="13" width="13.54296875" style="3" hidden="1" customWidth="1"/>
    <col min="14" max="14" width="13" style="4" hidden="1" customWidth="1"/>
    <col min="15" max="15" width="13.453125" style="7" hidden="1" customWidth="1"/>
    <col min="16" max="16" width="15.453125" style="7" hidden="1" customWidth="1"/>
    <col min="17" max="17" width="19.453125" style="8" hidden="1" customWidth="1"/>
    <col min="18" max="18" width="12" style="8" customWidth="1"/>
    <col min="19" max="19" width="14.54296875" style="4" customWidth="1" outlineLevel="1"/>
    <col min="20" max="20" width="10" style="96" customWidth="1" outlineLevel="1"/>
    <col min="21" max="21" width="16.453125" style="283" customWidth="1"/>
    <col min="22" max="22" width="18.54296875" style="172" customWidth="1"/>
    <col min="23" max="23" width="11.453125" style="88" customWidth="1"/>
    <col min="24" max="24" width="13.54296875" style="4" customWidth="1"/>
    <col min="25" max="25" width="15.453125" style="227" bestFit="1" customWidth="1"/>
    <col min="26" max="26" width="15.54296875" style="227" bestFit="1" customWidth="1"/>
    <col min="27" max="27" width="12.54296875" style="227" bestFit="1" customWidth="1"/>
    <col min="28" max="28" width="19.54296875" style="3" customWidth="1"/>
    <col min="29" max="29" width="28.54296875" style="4" customWidth="1"/>
    <col min="30" max="30" width="13.54296875" customWidth="1"/>
  </cols>
  <sheetData>
    <row r="1" spans="1:30" ht="24" hidden="1" customHeight="1">
      <c r="I1" s="310" t="s">
        <v>4926</v>
      </c>
      <c r="J1" s="310"/>
      <c r="O1" s="5" t="s">
        <v>4927</v>
      </c>
      <c r="P1" s="6" t="s">
        <v>4928</v>
      </c>
      <c r="X1" s="3"/>
      <c r="AB1" s="4"/>
      <c r="AC1" s="47"/>
    </row>
    <row r="2" spans="1:30" ht="25.5" customHeight="1">
      <c r="A2" s="1">
        <v>1</v>
      </c>
      <c r="B2" s="1">
        <v>2</v>
      </c>
      <c r="C2" s="1">
        <v>3</v>
      </c>
      <c r="D2" s="1">
        <v>4</v>
      </c>
      <c r="E2" s="1">
        <v>5</v>
      </c>
      <c r="F2" s="1">
        <v>1</v>
      </c>
      <c r="I2" s="62">
        <v>2</v>
      </c>
      <c r="J2" s="1">
        <v>3</v>
      </c>
      <c r="K2" s="63">
        <v>4</v>
      </c>
      <c r="L2" s="63">
        <v>5</v>
      </c>
      <c r="M2" s="63">
        <v>6</v>
      </c>
      <c r="N2" s="63">
        <v>7</v>
      </c>
      <c r="O2" s="63">
        <v>8</v>
      </c>
      <c r="P2" s="63">
        <v>9</v>
      </c>
      <c r="Q2" s="63">
        <v>10</v>
      </c>
      <c r="R2" s="63">
        <v>11</v>
      </c>
      <c r="S2" s="63">
        <v>12</v>
      </c>
      <c r="T2" s="63">
        <v>13</v>
      </c>
      <c r="U2" s="284">
        <v>14</v>
      </c>
      <c r="V2" s="173">
        <v>15</v>
      </c>
      <c r="W2" s="268">
        <v>16</v>
      </c>
      <c r="X2" s="63">
        <v>17</v>
      </c>
      <c r="Y2" s="230">
        <v>18</v>
      </c>
      <c r="Z2" s="230">
        <v>19</v>
      </c>
      <c r="AA2" s="230">
        <v>20</v>
      </c>
      <c r="AB2" s="63">
        <v>21</v>
      </c>
      <c r="AC2" s="63">
        <v>22</v>
      </c>
      <c r="AD2" s="1">
        <v>28</v>
      </c>
    </row>
    <row r="3" spans="1:30" ht="31.5" customHeight="1">
      <c r="I3" s="61" t="s">
        <v>4929</v>
      </c>
      <c r="J3" s="41">
        <f ca="1">+TODAY()</f>
        <v>45624</v>
      </c>
      <c r="K3" s="22"/>
      <c r="N3" s="64"/>
      <c r="O3" s="69" t="s">
        <v>4930</v>
      </c>
      <c r="P3" s="15" t="s">
        <v>4931</v>
      </c>
      <c r="W3" s="91"/>
      <c r="X3" s="16"/>
      <c r="AB3" s="4"/>
      <c r="AC3" s="47"/>
    </row>
    <row r="4" spans="1:30" ht="18.649999999999999" customHeight="1">
      <c r="J4" s="14"/>
      <c r="L4" s="10"/>
      <c r="M4" s="10"/>
      <c r="N4" s="64"/>
      <c r="O4" s="69" t="s">
        <v>4932</v>
      </c>
      <c r="P4" s="17" t="s">
        <v>4933</v>
      </c>
      <c r="R4" s="70"/>
      <c r="S4" s="18"/>
      <c r="X4" s="3"/>
      <c r="AB4" s="4"/>
      <c r="AC4" s="47"/>
    </row>
    <row r="5" spans="1:30" ht="18.649999999999999" customHeight="1">
      <c r="F5" s="74"/>
      <c r="G5" s="74"/>
      <c r="H5" s="74"/>
      <c r="I5" s="75"/>
      <c r="J5" s="76"/>
      <c r="L5" s="55" t="s">
        <v>4934</v>
      </c>
      <c r="M5" s="40"/>
      <c r="N5" s="71"/>
      <c r="O5" s="48"/>
      <c r="Q5" s="71" t="s">
        <v>4935</v>
      </c>
      <c r="R5" s="48"/>
      <c r="S5" s="64"/>
      <c r="T5" s="106"/>
    </row>
    <row r="6" spans="1:30" ht="17.899999999999999" customHeight="1">
      <c r="A6" s="20"/>
      <c r="B6" s="20"/>
      <c r="C6" s="20"/>
      <c r="D6" s="20"/>
      <c r="E6" s="20"/>
      <c r="F6" s="20"/>
      <c r="G6" s="20"/>
      <c r="H6" s="20"/>
      <c r="I6" s="60"/>
      <c r="J6" s="21"/>
      <c r="K6" s="22" t="s">
        <v>4936</v>
      </c>
      <c r="L6" s="23"/>
      <c r="M6" s="23"/>
      <c r="N6" s="64"/>
      <c r="T6" s="106"/>
      <c r="Y6" s="232">
        <f>+SUBTOTAL(9,GUAYAQUIL[COSTO UNIT base])</f>
        <v>1483.9740650000008</v>
      </c>
      <c r="Z6" s="233">
        <f>+SUBTOTAL(9,GUAYAQUIL[COSTO UNIT Conv])</f>
        <v>1949.3324295000023</v>
      </c>
      <c r="AA6" s="233">
        <f>+SUBTOTAL(9,GUAYAQUIL[COSTO TOTAL])</f>
        <v>246701.32780789997</v>
      </c>
    </row>
    <row r="7" spans="1:30" s="39" customFormat="1" ht="47.15" customHeight="1">
      <c r="A7" s="67" t="s">
        <v>4937</v>
      </c>
      <c r="B7" s="67" t="s">
        <v>4938</v>
      </c>
      <c r="C7" s="67" t="s">
        <v>4939</v>
      </c>
      <c r="D7" s="67" t="s">
        <v>4940</v>
      </c>
      <c r="E7" s="67" t="s">
        <v>4941</v>
      </c>
      <c r="F7" s="156" t="s">
        <v>4942</v>
      </c>
      <c r="G7" s="156" t="s">
        <v>4943</v>
      </c>
      <c r="H7" s="156" t="s">
        <v>4944</v>
      </c>
      <c r="I7" s="156" t="s">
        <v>4945</v>
      </c>
      <c r="J7" s="157" t="s">
        <v>4946</v>
      </c>
      <c r="K7" s="167" t="s">
        <v>4947</v>
      </c>
      <c r="L7" s="158" t="s">
        <v>4948</v>
      </c>
      <c r="M7" s="158" t="s">
        <v>26</v>
      </c>
      <c r="N7" s="157" t="s">
        <v>4949</v>
      </c>
      <c r="O7" s="166" t="s">
        <v>4950</v>
      </c>
      <c r="P7" s="157" t="s">
        <v>4951</v>
      </c>
      <c r="Q7" s="159" t="s">
        <v>4952</v>
      </c>
      <c r="R7" s="166" t="s">
        <v>4953</v>
      </c>
      <c r="S7" s="157" t="s">
        <v>4954</v>
      </c>
      <c r="T7" s="157" t="s">
        <v>4955</v>
      </c>
      <c r="U7" s="285" t="s">
        <v>4956</v>
      </c>
      <c r="V7" s="174" t="s">
        <v>4957</v>
      </c>
      <c r="W7" s="269" t="s">
        <v>4958</v>
      </c>
      <c r="X7" s="157" t="s">
        <v>4959</v>
      </c>
      <c r="Y7" s="240" t="s">
        <v>4960</v>
      </c>
      <c r="Z7" s="240" t="s">
        <v>4961</v>
      </c>
      <c r="AA7" s="240" t="s">
        <v>4962</v>
      </c>
      <c r="AB7" s="161" t="s">
        <v>4963</v>
      </c>
      <c r="AC7" s="162" t="s">
        <v>4964</v>
      </c>
      <c r="AD7" s="163" t="s">
        <v>4965</v>
      </c>
    </row>
    <row r="8" spans="1:30">
      <c r="A8" s="24" t="str">
        <f>+IFERROR(IF(GUAYAQUIL[[#This Row],[CODIGO]]="","",VLOOKUP(GUAYAQUIL[[#This Row],[CODIGO]],MAESTRO!$A:$J,10,FALSE)),"")</f>
        <v>SAN GABRIEL</v>
      </c>
      <c r="B8" s="24" t="str">
        <f>+IFERROR(IF(GUAYAQUIL[[#This Row],[CODIGO]]="","",VLOOKUP(GUAYAQUIL[[#This Row],[CODIGO]],MAESTRO!$A:$Q,17,FALSE)),"")</f>
        <v>QUESOS Y GRASAS</v>
      </c>
      <c r="C8" s="24" t="str">
        <f>+IFERROR(IF(GUAYAQUIL[[#This Row],[CODIGO]]="","",VLOOKUP(GUAYAQUIL[[#This Row],[CODIGO]],MAESTRO!$A:$BA,53,FALSE)),"")</f>
        <v xml:space="preserve">Esteban Montenegro                      </v>
      </c>
      <c r="D8" s="24" t="str">
        <f>+IFERROR(IF(GUAYAQUIL[[#This Row],[CODIGO]]="","",VLOOKUP(GUAYAQUIL[[#This Row],[CODIGO]],MAESTRO!$A:$D,4,FALSE)),"")</f>
        <v>QUESO FRESCO KIOSKO</v>
      </c>
      <c r="E8" s="24" t="str">
        <f>+IFERROR(IF(GUAYAQUIL[[#This Row],[CODIGO]]="","",VLOOKUP(GUAYAQUIL[[#This Row],[CODIGO]],MAESTRO!$A:$F,6,FALSE)),"")</f>
        <v>QUESO FRESCO CREMOSO KIOSKO BLOQUE</v>
      </c>
      <c r="F8" s="42" t="str">
        <f>IF(GUAYAQUIL[[#This Row],[CODIGO]]="","",$K$6)</f>
        <v>GUAYAQUIL</v>
      </c>
      <c r="G8" s="42">
        <f>IF(GUAYAQUIL[[#This Row],[CODIGO]]="","",7711)</f>
        <v>7711</v>
      </c>
      <c r="H8" s="42">
        <f>IF(GUAYAQUIL[[#This Row],[CODIGO]]="","",1001)</f>
        <v>1001</v>
      </c>
      <c r="I8" s="257" t="s">
        <v>169</v>
      </c>
      <c r="J8" s="25" t="str">
        <f>IFERROR((VLOOKUP(GUAYAQUIL[[#This Row],[CODIGO]],MAESTRO!A:B,2,FALSE)),"")</f>
        <v>Q CREMO DEL CAMPO KIOSKO BLOQ 450G</v>
      </c>
      <c r="K8" s="26">
        <v>270</v>
      </c>
      <c r="L8" s="38">
        <f>+IFERROR(IF(GUAYAQUIL[[#This Row],[CODIGO]]="","",VLOOKUP(GUAYAQUIL[[#This Row],[CODIGO]],MAESTRO!$A:$BF,58,FALSE)),"")</f>
        <v>1</v>
      </c>
      <c r="M8" s="27">
        <f>+IFERROR(IF(GUAYAQUIL[[#This Row],[CODIGO]]="","",VLOOKUP(GUAYAQUIL[[#This Row],[CODIGO]],MAESTRO!A:N,14,FALSE)),"")</f>
        <v>0.45</v>
      </c>
      <c r="N8" s="28">
        <f>+IFERROR(IF(GUAYAQUIL[[#This Row],[CODIGO]]="","",VLOOKUP(GUAYAQUIL[[#This Row],[CODIGO]],MAESTRO!A:P,16,FALSE)),"")</f>
        <v>45</v>
      </c>
      <c r="O8" s="29">
        <v>45615</v>
      </c>
      <c r="P8" s="72" t="str">
        <f t="shared" ref="P8:P71" si="0">+IF(R8="","",TEXT(O8,"dddd"))</f>
        <v>martes</v>
      </c>
      <c r="Q8" s="29">
        <f>IFERROR(IF(GUAYAQUIL[[#This Row],[CODIGO]]="","",IF(GUAYAQUIL[[#This Row],[Fecha Cad]]="","",(GUAYAQUIL[[#This Row],[Fecha Cad]]-GUAYAQUIL[[#This Row],[VIDA UTIL (Días)]]))+1),"")</f>
        <v>45611</v>
      </c>
      <c r="R8" s="29">
        <v>45655</v>
      </c>
      <c r="S8" s="30">
        <f t="shared" ref="S8:S71" ca="1" si="1">+IFERROR(IF(R8="","",R8-$J$3),0)</f>
        <v>31</v>
      </c>
      <c r="T8" s="31">
        <f t="shared" ref="T8:T71" ca="1" si="2">IFERROR(IF(8="","",S8/N8),0)</f>
        <v>0.68888888888888888</v>
      </c>
      <c r="U8" s="286">
        <v>2</v>
      </c>
      <c r="V8" s="260">
        <f>+IFERROR(IF(GUAYAQUIL[[#This Row],[CODIGO]]="","",GUAYAQUIL[[#This Row],[Stock Actual Unds]]*GUAYAQUIL[[#This Row],[Gramaje]]*GUAYAQUIL[[#This Row],[Conversión]]),"")</f>
        <v>0.9</v>
      </c>
      <c r="W8" s="270">
        <f t="shared" ref="W8:W71" si="3">IFERROR(O8-Q8,0)</f>
        <v>4</v>
      </c>
      <c r="X8" s="32">
        <f t="shared" ref="X8:X71" si="4">IF(I8="","",1-(W8/N8))</f>
        <v>0.91111111111111109</v>
      </c>
      <c r="Y8" s="236">
        <f>IFERROR(VLOOKUP(GUAYAQUIL[[#This Row],[CODIGO]],MAESTRO!A:BI,21,FALSE),0)</f>
        <v>2.3185549999999999</v>
      </c>
      <c r="Z8" s="237">
        <f>+IFERROR(IF(GUAYAQUIL[[#This Row],[CODIGO]]="","",GUAYAQUIL[[#This Row],[COSTO UNIT base]]*GUAYAQUIL[[#This Row],[Conversión]]),"")</f>
        <v>2.3185549999999999</v>
      </c>
      <c r="AA8" s="236">
        <f>+IFERROR(IF(GUAYAQUIL[[#This Row],[CODIGO]]="","",GUAYAQUIL[[#This Row],[COSTO UNIT Conv]]*GUAYAQUIL[[#This Row],[Stock Actual Kgs]]),"")</f>
        <v>2.0866994999999999</v>
      </c>
      <c r="AB8" s="33">
        <f ca="1">+IFERROR(IF(GUAYAQUIL[[#This Row],[CODIGO]]="","",$J$3-O8),"")</f>
        <v>9</v>
      </c>
      <c r="AC8" s="34" t="str">
        <f ca="1">IF(GUAYAQUIL[[#This Row],[CODIGO]]="","",IF(S8&lt;=0,"CADUCADO",IF(AND(S8&gt;0,S8&lt;=21),"FECHA CORTA",IF(AND(S8&gt;=22,S8&lt;=26),"PROXIMOS FECHA CORTA", "VIGENTE"))))</f>
        <v>VIGENTE</v>
      </c>
      <c r="AD8" s="37">
        <f>+IF(GUAYAQUIL[[#This Row],[CODIGO]]="","",GUAYAQUIL[[#This Row],[Stock Actual Unds]]*GUAYAQUIL[[#This Row],[Gramaje]]*GUAYAQUIL[[#This Row],[Conversión]])/1000</f>
        <v>8.9999999999999998E-4</v>
      </c>
    </row>
    <row r="9" spans="1:30">
      <c r="A9" s="24" t="str">
        <f>+IFERROR(IF(GUAYAQUIL[[#This Row],[CODIGO]]="","",VLOOKUP(GUAYAQUIL[[#This Row],[CODIGO]],MAESTRO!$A:$J,10,FALSE)),"")</f>
        <v>SAN GABRIEL</v>
      </c>
      <c r="B9" s="24" t="str">
        <f>+IFERROR(IF(GUAYAQUIL[[#This Row],[CODIGO]]="","",VLOOKUP(GUAYAQUIL[[#This Row],[CODIGO]],MAESTRO!$A:$Q,17,FALSE)),"")</f>
        <v>QUESOS Y GRASAS</v>
      </c>
      <c r="C9" s="24" t="str">
        <f>+IFERROR(IF(GUAYAQUIL[[#This Row],[CODIGO]]="","",VLOOKUP(GUAYAQUIL[[#This Row],[CODIGO]],MAESTRO!$A:$BA,53,FALSE)),"")</f>
        <v xml:space="preserve">Esteban Montenegro                      </v>
      </c>
      <c r="D9" s="24" t="str">
        <f>+IFERROR(IF(GUAYAQUIL[[#This Row],[CODIGO]]="","",VLOOKUP(GUAYAQUIL[[#This Row],[CODIGO]],MAESTRO!$A:$D,4,FALSE)),"")</f>
        <v>QUESO FRESCO KIOSKO</v>
      </c>
      <c r="E9" s="24" t="str">
        <f>+IFERROR(IF(GUAYAQUIL[[#This Row],[CODIGO]]="","",VLOOKUP(GUAYAQUIL[[#This Row],[CODIGO]],MAESTRO!$A:$F,6,FALSE)),"")</f>
        <v>QUESO FRESCO CREMOSO KIOSKO BLOQUE</v>
      </c>
      <c r="F9" s="42" t="str">
        <f>IF(GUAYAQUIL[[#This Row],[CODIGO]]="","",$K$6)</f>
        <v>GUAYAQUIL</v>
      </c>
      <c r="G9" s="42">
        <f>IF(GUAYAQUIL[[#This Row],[CODIGO]]="","",7711)</f>
        <v>7711</v>
      </c>
      <c r="H9" s="42">
        <f>IF(GUAYAQUIL[[#This Row],[CODIGO]]="","",1001)</f>
        <v>1001</v>
      </c>
      <c r="I9" s="258" t="s">
        <v>169</v>
      </c>
      <c r="J9" s="25" t="str">
        <f>IFERROR((VLOOKUP(GUAYAQUIL[[#This Row],[CODIGO]],MAESTRO!A:B,2,FALSE)),"")</f>
        <v>Q CREMO DEL CAMPO KIOSKO BLOQ 450G</v>
      </c>
      <c r="K9" s="35">
        <v>90</v>
      </c>
      <c r="L9" s="38">
        <f>+IFERROR(IF(GUAYAQUIL[[#This Row],[CODIGO]]="","",VLOOKUP(GUAYAQUIL[[#This Row],[CODIGO]],MAESTRO!$A:$BF,58,FALSE)),"")</f>
        <v>1</v>
      </c>
      <c r="M9" s="27">
        <f>+IFERROR(IF(GUAYAQUIL[[#This Row],[CODIGO]]="","",VLOOKUP(GUAYAQUIL[[#This Row],[CODIGO]],MAESTRO!A:N,14,FALSE)),"")</f>
        <v>0.45</v>
      </c>
      <c r="N9" s="28">
        <f>+IFERROR(IF(GUAYAQUIL[[#This Row],[CODIGO]]="","",VLOOKUP(GUAYAQUIL[[#This Row],[CODIGO]],MAESTRO!A:P,16,FALSE)),"")</f>
        <v>45</v>
      </c>
      <c r="O9" s="29">
        <v>45617</v>
      </c>
      <c r="P9" s="72" t="str">
        <f t="shared" si="0"/>
        <v>jueves</v>
      </c>
      <c r="Q9" s="29">
        <f>IFERROR(IF(GUAYAQUIL[[#This Row],[CODIGO]]="","",IF(GUAYAQUIL[[#This Row],[Fecha Cad]]="","",(GUAYAQUIL[[#This Row],[Fecha Cad]]-GUAYAQUIL[[#This Row],[VIDA UTIL (Días)]]))+1),"")</f>
        <v>45611</v>
      </c>
      <c r="R9" s="29">
        <v>45655</v>
      </c>
      <c r="S9" s="30">
        <f t="shared" ca="1" si="1"/>
        <v>31</v>
      </c>
      <c r="T9" s="31">
        <f t="shared" ca="1" si="2"/>
        <v>0.68888888888888888</v>
      </c>
      <c r="U9" s="286">
        <v>90</v>
      </c>
      <c r="V9" s="261">
        <f>+IFERROR(IF(GUAYAQUIL[[#This Row],[CODIGO]]="","",GUAYAQUIL[[#This Row],[Stock Actual Unds]]*GUAYAQUIL[[#This Row],[Gramaje]]*GUAYAQUIL[[#This Row],[Conversión]]),"")</f>
        <v>40.5</v>
      </c>
      <c r="W9" s="270">
        <f t="shared" si="3"/>
        <v>6</v>
      </c>
      <c r="X9" s="32">
        <f t="shared" si="4"/>
        <v>0.8666666666666667</v>
      </c>
      <c r="Y9" s="236">
        <f>IFERROR(VLOOKUP(GUAYAQUIL[[#This Row],[CODIGO]],MAESTRO!A:BI,21,FALSE),0)</f>
        <v>2.3185549999999999</v>
      </c>
      <c r="Z9" s="237">
        <f>+IFERROR(IF(GUAYAQUIL[[#This Row],[CODIGO]]="","",GUAYAQUIL[[#This Row],[COSTO UNIT base]]*GUAYAQUIL[[#This Row],[Conversión]]),"")</f>
        <v>2.3185549999999999</v>
      </c>
      <c r="AA9" s="236">
        <f>+IFERROR(IF(GUAYAQUIL[[#This Row],[CODIGO]]="","",GUAYAQUIL[[#This Row],[COSTO UNIT Conv]]*GUAYAQUIL[[#This Row],[Stock Actual Kgs]]),"")</f>
        <v>93.901477499999999</v>
      </c>
      <c r="AB9" s="33">
        <f ca="1">+IFERROR(IF(GUAYAQUIL[[#This Row],[CODIGO]]="","",$J$3-O9),"")</f>
        <v>7</v>
      </c>
      <c r="AC9" s="34" t="str">
        <f ca="1">IF(GUAYAQUIL[[#This Row],[CODIGO]]="","",IF(S9&lt;=0,"CADUCADO",IF(AND(S9&gt;0,S9&lt;=21),"FECHA CORTA",IF(AND(S9&gt;=22,S9&lt;=26),"PROXIMOS FECHA CORTA", "VIGENTE"))))</f>
        <v>VIGENTE</v>
      </c>
      <c r="AD9" s="37">
        <f>+IF(GUAYAQUIL[[#This Row],[CODIGO]]="","",GUAYAQUIL[[#This Row],[Stock Actual Unds]]*GUAYAQUIL[[#This Row],[Gramaje]]*GUAYAQUIL[[#This Row],[Conversión]])/1000</f>
        <v>4.0500000000000001E-2</v>
      </c>
    </row>
    <row r="10" spans="1:30">
      <c r="A10" s="24" t="str">
        <f>+IFERROR(IF(GUAYAQUIL[[#This Row],[CODIGO]]="","",VLOOKUP(GUAYAQUIL[[#This Row],[CODIGO]],MAESTRO!$A:$J,10,FALSE)),"")</f>
        <v>SAN GABRIEL</v>
      </c>
      <c r="B10" s="24" t="str">
        <f>+IFERROR(IF(GUAYAQUIL[[#This Row],[CODIGO]]="","",VLOOKUP(GUAYAQUIL[[#This Row],[CODIGO]],MAESTRO!$A:$Q,17,FALSE)),"")</f>
        <v>QUESOS Y GRASAS</v>
      </c>
      <c r="C10" s="24" t="str">
        <f>+IFERROR(IF(GUAYAQUIL[[#This Row],[CODIGO]]="","",VLOOKUP(GUAYAQUIL[[#This Row],[CODIGO]],MAESTRO!$A:$BA,53,FALSE)),"")</f>
        <v xml:space="preserve">Esteban Montenegro                      </v>
      </c>
      <c r="D10" s="24" t="str">
        <f>+IFERROR(IF(GUAYAQUIL[[#This Row],[CODIGO]]="","",VLOOKUP(GUAYAQUIL[[#This Row],[CODIGO]],MAESTRO!$A:$D,4,FALSE)),"")</f>
        <v>QUESO MOZARELLA KIOSKO</v>
      </c>
      <c r="E10" s="24" t="str">
        <f>+IFERROR(IF(GUAYAQUIL[[#This Row],[CODIGO]]="","",VLOOKUP(GUAYAQUIL[[#This Row],[CODIGO]],MAESTRO!$A:$F,6,FALSE)),"")</f>
        <v>QUESO MOZARELLA SNACK</v>
      </c>
      <c r="F10" s="42" t="str">
        <f>IF(GUAYAQUIL[[#This Row],[CODIGO]]="","",$K$6)</f>
        <v>GUAYAQUIL</v>
      </c>
      <c r="G10" s="42">
        <f>IF(GUAYAQUIL[[#This Row],[CODIGO]]="","",7711)</f>
        <v>7711</v>
      </c>
      <c r="H10" s="42">
        <f>IF(GUAYAQUIL[[#This Row],[CODIGO]]="","",1001)</f>
        <v>1001</v>
      </c>
      <c r="I10" s="257" t="s">
        <v>4752</v>
      </c>
      <c r="J10" s="25" t="str">
        <f>IFERROR((VLOOKUP(GUAYAQUIL[[#This Row],[CODIGO]],MAESTRO!A:B,2,FALSE)),"")</f>
        <v>Q MOZAR KIOSKO SNACK 50G</v>
      </c>
      <c r="K10" s="26">
        <v>1950</v>
      </c>
      <c r="L10" s="38">
        <f>+IFERROR(IF(GUAYAQUIL[[#This Row],[CODIGO]]="","",VLOOKUP(GUAYAQUIL[[#This Row],[CODIGO]],MAESTRO!$A:$BF,58,FALSE)),"")</f>
        <v>1</v>
      </c>
      <c r="M10" s="27">
        <f>+IFERROR(IF(GUAYAQUIL[[#This Row],[CODIGO]]="","",VLOOKUP(GUAYAQUIL[[#This Row],[CODIGO]],MAESTRO!A:N,14,FALSE)),"")</f>
        <v>0.05</v>
      </c>
      <c r="N10" s="28">
        <f>+IFERROR(IF(GUAYAQUIL[[#This Row],[CODIGO]]="","",VLOOKUP(GUAYAQUIL[[#This Row],[CODIGO]],MAESTRO!A:P,16,FALSE)),"")</f>
        <v>40</v>
      </c>
      <c r="O10" s="29">
        <v>45611</v>
      </c>
      <c r="P10" s="72" t="str">
        <f t="shared" si="0"/>
        <v>viernes</v>
      </c>
      <c r="Q10" s="29">
        <f>IFERROR(IF(GUAYAQUIL[[#This Row],[CODIGO]]="","",IF(GUAYAQUIL[[#This Row],[Fecha Cad]]="","",(GUAYAQUIL[[#This Row],[Fecha Cad]]-GUAYAQUIL[[#This Row],[VIDA UTIL (Días)]]))+1),"")</f>
        <v>45608</v>
      </c>
      <c r="R10" s="29">
        <v>45647</v>
      </c>
      <c r="S10" s="30">
        <f t="shared" ca="1" si="1"/>
        <v>23</v>
      </c>
      <c r="T10" s="31">
        <f t="shared" ca="1" si="2"/>
        <v>0.57499999999999996</v>
      </c>
      <c r="U10" s="286">
        <v>1059</v>
      </c>
      <c r="V10" s="260">
        <f>+IFERROR(IF(GUAYAQUIL[[#This Row],[CODIGO]]="","",GUAYAQUIL[[#This Row],[Stock Actual Unds]]*GUAYAQUIL[[#This Row],[Gramaje]]*GUAYAQUIL[[#This Row],[Conversión]]),"")</f>
        <v>52.95</v>
      </c>
      <c r="W10" s="270">
        <f t="shared" si="3"/>
        <v>3</v>
      </c>
      <c r="X10" s="32">
        <f t="shared" si="4"/>
        <v>0.92500000000000004</v>
      </c>
      <c r="Y10" s="236">
        <f>IFERROR(VLOOKUP(GUAYAQUIL[[#This Row],[CODIGO]],MAESTRO!A:BI,21,FALSE),0)</f>
        <v>0.30701500000000004</v>
      </c>
      <c r="Z10" s="237">
        <f>+IFERROR(IF(GUAYAQUIL[[#This Row],[CODIGO]]="","",GUAYAQUIL[[#This Row],[COSTO UNIT base]]*GUAYAQUIL[[#This Row],[Conversión]]),"")</f>
        <v>0.30701500000000004</v>
      </c>
      <c r="AA10" s="236">
        <f>+IFERROR(IF(GUAYAQUIL[[#This Row],[CODIGO]]="","",GUAYAQUIL[[#This Row],[COSTO UNIT Conv]]*GUAYAQUIL[[#This Row],[Stock Actual Kgs]]),"")</f>
        <v>16.256444250000001</v>
      </c>
      <c r="AB10" s="33">
        <f ca="1">+IFERROR(IF(GUAYAQUIL[[#This Row],[CODIGO]]="","",$J$3-O10),"")</f>
        <v>13</v>
      </c>
      <c r="AC10" s="34" t="str">
        <f ca="1">IF(GUAYAQUIL[[#This Row],[CODIGO]]="","",IF(S10&lt;=0,"CADUCADO",IF(AND(S10&gt;0,S10&lt;=21),"FECHA CORTA",IF(AND(S10&gt;=22,S10&lt;=26),"PROXIMOS FECHA CORTA", "VIGENTE"))))</f>
        <v>PROXIMOS FECHA CORTA</v>
      </c>
      <c r="AD10" s="37">
        <f>+IF(GUAYAQUIL[[#This Row],[CODIGO]]="","",GUAYAQUIL[[#This Row],[Stock Actual Unds]]*GUAYAQUIL[[#This Row],[Gramaje]]*GUAYAQUIL[[#This Row],[Conversión]])/1000</f>
        <v>5.2950000000000004E-2</v>
      </c>
    </row>
    <row r="11" spans="1:30">
      <c r="A11" s="24" t="str">
        <f>+IFERROR(IF(GUAYAQUIL[[#This Row],[CODIGO]]="","",VLOOKUP(GUAYAQUIL[[#This Row],[CODIGO]],MAESTRO!$A:$J,10,FALSE)),"")</f>
        <v>SAN GABRIEL</v>
      </c>
      <c r="B11" s="24" t="str">
        <f>+IFERROR(IF(GUAYAQUIL[[#This Row],[CODIGO]]="","",VLOOKUP(GUAYAQUIL[[#This Row],[CODIGO]],MAESTRO!$A:$Q,17,FALSE)),"")</f>
        <v>QUESOS Y GRASAS</v>
      </c>
      <c r="C11" s="24" t="str">
        <f>+IFERROR(IF(GUAYAQUIL[[#This Row],[CODIGO]]="","",VLOOKUP(GUAYAQUIL[[#This Row],[CODIGO]],MAESTRO!$A:$BA,53,FALSE)),"")</f>
        <v xml:space="preserve">Esteban Montenegro                      </v>
      </c>
      <c r="D11" s="24" t="str">
        <f>+IFERROR(IF(GUAYAQUIL[[#This Row],[CODIGO]]="","",VLOOKUP(GUAYAQUIL[[#This Row],[CODIGO]],MAESTRO!$A:$D,4,FALSE)),"")</f>
        <v>QUESO MOZARELLA KIOSKO</v>
      </c>
      <c r="E11" s="24" t="str">
        <f>+IFERROR(IF(GUAYAQUIL[[#This Row],[CODIGO]]="","",VLOOKUP(GUAYAQUIL[[#This Row],[CODIGO]],MAESTRO!$A:$F,6,FALSE)),"")</f>
        <v>QUESO MOZARELLA SNACK</v>
      </c>
      <c r="F11" s="42" t="str">
        <f>IF(GUAYAQUIL[[#This Row],[CODIGO]]="","",$K$6)</f>
        <v>GUAYAQUIL</v>
      </c>
      <c r="G11" s="209">
        <f>IF(GUAYAQUIL[[#This Row],[CODIGO]]="","",7711)</f>
        <v>7711</v>
      </c>
      <c r="H11" s="209">
        <f>IF(GUAYAQUIL[[#This Row],[CODIGO]]="","",1001)</f>
        <v>1001</v>
      </c>
      <c r="I11" s="257" t="s">
        <v>4752</v>
      </c>
      <c r="J11" s="25" t="str">
        <f>IFERROR((VLOOKUP(GUAYAQUIL[[#This Row],[CODIGO]],MAESTRO!A:B,2,FALSE)),"")</f>
        <v>Q MOZAR KIOSKO SNACK 50G</v>
      </c>
      <c r="K11" s="26">
        <v>3150</v>
      </c>
      <c r="L11" s="38">
        <f>+IFERROR(IF(GUAYAQUIL[[#This Row],[CODIGO]]="","",VLOOKUP(GUAYAQUIL[[#This Row],[CODIGO]],MAESTRO!$A:$BF,58,FALSE)),"")</f>
        <v>1</v>
      </c>
      <c r="M11" s="27">
        <f>+IFERROR(IF(GUAYAQUIL[[#This Row],[CODIGO]]="","",VLOOKUP(GUAYAQUIL[[#This Row],[CODIGO]],MAESTRO!A:N,14,FALSE)),"")</f>
        <v>0.05</v>
      </c>
      <c r="N11" s="28">
        <f>+IFERROR(IF(GUAYAQUIL[[#This Row],[CODIGO]]="","",VLOOKUP(GUAYAQUIL[[#This Row],[CODIGO]],MAESTRO!A:P,16,FALSE)),"")</f>
        <v>40</v>
      </c>
      <c r="O11" s="29">
        <v>45615</v>
      </c>
      <c r="P11" s="72" t="str">
        <f t="shared" si="0"/>
        <v>martes</v>
      </c>
      <c r="Q11" s="29">
        <f>IFERROR(IF(GUAYAQUIL[[#This Row],[CODIGO]]="","",IF(GUAYAQUIL[[#This Row],[Fecha Cad]]="","",(GUAYAQUIL[[#This Row],[Fecha Cad]]-GUAYAQUIL[[#This Row],[VIDA UTIL (Días)]]))+1),"")</f>
        <v>45614</v>
      </c>
      <c r="R11" s="29">
        <v>45653</v>
      </c>
      <c r="S11" s="30">
        <f t="shared" ca="1" si="1"/>
        <v>29</v>
      </c>
      <c r="T11" s="31">
        <f t="shared" ca="1" si="2"/>
        <v>0.72499999999999998</v>
      </c>
      <c r="U11" s="286">
        <v>2287</v>
      </c>
      <c r="V11" s="260">
        <f>+IFERROR(IF(GUAYAQUIL[[#This Row],[CODIGO]]="","",GUAYAQUIL[[#This Row],[Stock Actual Unds]]*GUAYAQUIL[[#This Row],[Gramaje]]*GUAYAQUIL[[#This Row],[Conversión]]),"")</f>
        <v>114.35000000000001</v>
      </c>
      <c r="W11" s="270">
        <f t="shared" si="3"/>
        <v>1</v>
      </c>
      <c r="X11" s="32">
        <f t="shared" si="4"/>
        <v>0.97499999999999998</v>
      </c>
      <c r="Y11" s="236">
        <f>IFERROR(VLOOKUP(GUAYAQUIL[[#This Row],[CODIGO]],MAESTRO!A:BI,21,FALSE),0)</f>
        <v>0.30701500000000004</v>
      </c>
      <c r="Z11" s="237">
        <f>+IFERROR(IF(GUAYAQUIL[[#This Row],[CODIGO]]="","",GUAYAQUIL[[#This Row],[COSTO UNIT base]]*GUAYAQUIL[[#This Row],[Conversión]]),"")</f>
        <v>0.30701500000000004</v>
      </c>
      <c r="AA11" s="236">
        <f>+IFERROR(IF(GUAYAQUIL[[#This Row],[CODIGO]]="","",GUAYAQUIL[[#This Row],[COSTO UNIT Conv]]*GUAYAQUIL[[#This Row],[Stock Actual Kgs]]),"")</f>
        <v>35.107165250000008</v>
      </c>
      <c r="AB11" s="33">
        <f ca="1">+IFERROR(IF(GUAYAQUIL[[#This Row],[CODIGO]]="","",$J$3-O11),"")</f>
        <v>9</v>
      </c>
      <c r="AC11" s="34" t="str">
        <f ca="1">IF(GUAYAQUIL[[#This Row],[CODIGO]]="","",IF(S11&lt;=0,"CADUCADO",IF(AND(S11&gt;0,S11&lt;=21),"FECHA CORTA",IF(AND(S11&gt;=22,S11&lt;=26),"PROXIMOS FECHA CORTA", "VIGENTE"))))</f>
        <v>VIGENTE</v>
      </c>
      <c r="AD11" s="37">
        <f>+IF(GUAYAQUIL[[#This Row],[CODIGO]]="","",GUAYAQUIL[[#This Row],[Stock Actual Unds]]*GUAYAQUIL[[#This Row],[Gramaje]]*GUAYAQUIL[[#This Row],[Conversión]])/1000</f>
        <v>0.11435000000000001</v>
      </c>
    </row>
    <row r="12" spans="1:30">
      <c r="A12" s="24" t="str">
        <f>+IFERROR(IF(GUAYAQUIL[[#This Row],[CODIGO]]="","",VLOOKUP(GUAYAQUIL[[#This Row],[CODIGO]],MAESTRO!$A:$J,10,FALSE)),"")</f>
        <v>SAN GABRIEL</v>
      </c>
      <c r="B12" s="24" t="str">
        <f>+IFERROR(IF(GUAYAQUIL[[#This Row],[CODIGO]]="","",VLOOKUP(GUAYAQUIL[[#This Row],[CODIGO]],MAESTRO!$A:$Q,17,FALSE)),"")</f>
        <v>QUESOS Y GRASAS</v>
      </c>
      <c r="C12" s="24" t="str">
        <f>+IFERROR(IF(GUAYAQUIL[[#This Row],[CODIGO]]="","",VLOOKUP(GUAYAQUIL[[#This Row],[CODIGO]],MAESTRO!$A:$BA,53,FALSE)),"")</f>
        <v xml:space="preserve">Esteban Montenegro                      </v>
      </c>
      <c r="D12" s="24" t="str">
        <f>+IFERROR(IF(GUAYAQUIL[[#This Row],[CODIGO]]="","",VLOOKUP(GUAYAQUIL[[#This Row],[CODIGO]],MAESTRO!$A:$D,4,FALSE)),"")</f>
        <v>QUESO MOZARELLA KIOSKO</v>
      </c>
      <c r="E12" s="24" t="str">
        <f>+IFERROR(IF(GUAYAQUIL[[#This Row],[CODIGO]]="","",VLOOKUP(GUAYAQUIL[[#This Row],[CODIGO]],MAESTRO!$A:$F,6,FALSE)),"")</f>
        <v>QUESO MOZARELLA SNACK</v>
      </c>
      <c r="F12" s="42" t="str">
        <f>IF(GUAYAQUIL[[#This Row],[CODIGO]]="","",$K$6)</f>
        <v>GUAYAQUIL</v>
      </c>
      <c r="G12" s="42">
        <f>IF(GUAYAQUIL[[#This Row],[CODIGO]]="","",7711)</f>
        <v>7711</v>
      </c>
      <c r="H12" s="42">
        <f>IF(GUAYAQUIL[[#This Row],[CODIGO]]="","",1001)</f>
        <v>1001</v>
      </c>
      <c r="I12" s="258" t="s">
        <v>4752</v>
      </c>
      <c r="J12" s="25" t="str">
        <f>IFERROR((VLOOKUP(GUAYAQUIL[[#This Row],[CODIGO]],MAESTRO!A:B,2,FALSE)),"")</f>
        <v>Q MOZAR KIOSKO SNACK 50G</v>
      </c>
      <c r="K12" s="35">
        <v>450</v>
      </c>
      <c r="L12" s="38">
        <f>+IFERROR(IF(GUAYAQUIL[[#This Row],[CODIGO]]="","",VLOOKUP(GUAYAQUIL[[#This Row],[CODIGO]],MAESTRO!$A:$BF,58,FALSE)),"")</f>
        <v>1</v>
      </c>
      <c r="M12" s="27">
        <f>+IFERROR(IF(GUAYAQUIL[[#This Row],[CODIGO]]="","",VLOOKUP(GUAYAQUIL[[#This Row],[CODIGO]],MAESTRO!A:N,14,FALSE)),"")</f>
        <v>0.05</v>
      </c>
      <c r="N12" s="28">
        <f>+IFERROR(IF(GUAYAQUIL[[#This Row],[CODIGO]]="","",VLOOKUP(GUAYAQUIL[[#This Row],[CODIGO]],MAESTRO!A:P,16,FALSE)),"")</f>
        <v>40</v>
      </c>
      <c r="O12" s="45">
        <v>45616</v>
      </c>
      <c r="P12" s="72" t="str">
        <f t="shared" si="0"/>
        <v>miércoles</v>
      </c>
      <c r="Q12" s="29">
        <f>IFERROR(IF(GUAYAQUIL[[#This Row],[CODIGO]]="","",IF(GUAYAQUIL[[#This Row],[Fecha Cad]]="","",(GUAYAQUIL[[#This Row],[Fecha Cad]]-GUAYAQUIL[[#This Row],[VIDA UTIL (Días)]]))+1),"")</f>
        <v>45617</v>
      </c>
      <c r="R12" s="45">
        <v>45656</v>
      </c>
      <c r="S12" s="30">
        <f t="shared" ca="1" si="1"/>
        <v>32</v>
      </c>
      <c r="T12" s="31">
        <f t="shared" ca="1" si="2"/>
        <v>0.8</v>
      </c>
      <c r="U12" s="286">
        <v>450</v>
      </c>
      <c r="V12" s="262">
        <f>+IFERROR(IF(GUAYAQUIL[[#This Row],[CODIGO]]="","",GUAYAQUIL[[#This Row],[Stock Actual Unds]]*GUAYAQUIL[[#This Row],[Gramaje]]*GUAYAQUIL[[#This Row],[Conversión]]),"")</f>
        <v>22.5</v>
      </c>
      <c r="W12" s="270">
        <f t="shared" si="3"/>
        <v>-1</v>
      </c>
      <c r="X12" s="32">
        <f t="shared" si="4"/>
        <v>1.0249999999999999</v>
      </c>
      <c r="Y12" s="236">
        <f>IFERROR(VLOOKUP(GUAYAQUIL[[#This Row],[CODIGO]],MAESTRO!A:BI,21,FALSE),0)</f>
        <v>0.30701500000000004</v>
      </c>
      <c r="Z12" s="237">
        <f>+IFERROR(IF(GUAYAQUIL[[#This Row],[CODIGO]]="","",GUAYAQUIL[[#This Row],[COSTO UNIT base]]*GUAYAQUIL[[#This Row],[Conversión]]),"")</f>
        <v>0.30701500000000004</v>
      </c>
      <c r="AA12" s="236">
        <f>+IFERROR(IF(GUAYAQUIL[[#This Row],[CODIGO]]="","",GUAYAQUIL[[#This Row],[COSTO UNIT Conv]]*GUAYAQUIL[[#This Row],[Stock Actual Kgs]]),"")</f>
        <v>6.9078375000000012</v>
      </c>
      <c r="AB12" s="33">
        <f ca="1">+IFERROR(IF(GUAYAQUIL[[#This Row],[CODIGO]]="","",$J$3-O12),"")</f>
        <v>8</v>
      </c>
      <c r="AC12" s="34" t="str">
        <f ca="1">IF(GUAYAQUIL[[#This Row],[CODIGO]]="","",IF(S12&lt;=0,"CADUCADO",IF(AND(S12&gt;0,S12&lt;=21),"FECHA CORTA",IF(AND(S12&gt;=22,S12&lt;=26),"PROXIMOS FECHA CORTA", "VIGENTE"))))</f>
        <v>VIGENTE</v>
      </c>
      <c r="AD12" s="37">
        <f>+IF(GUAYAQUIL[[#This Row],[CODIGO]]="","",GUAYAQUIL[[#This Row],[Stock Actual Unds]]*GUAYAQUIL[[#This Row],[Gramaje]]*GUAYAQUIL[[#This Row],[Conversión]])/1000</f>
        <v>2.2499999999999999E-2</v>
      </c>
    </row>
    <row r="13" spans="1:30">
      <c r="A13" s="24" t="str">
        <f>+IFERROR(IF(GUAYAQUIL[[#This Row],[CODIGO]]="","",VLOOKUP(GUAYAQUIL[[#This Row],[CODIGO]],MAESTRO!$A:$J,10,FALSE)),"")</f>
        <v>SAN GABRIEL</v>
      </c>
      <c r="B13" s="24" t="str">
        <f>+IFERROR(IF(GUAYAQUIL[[#This Row],[CODIGO]]="","",VLOOKUP(GUAYAQUIL[[#This Row],[CODIGO]],MAESTRO!$A:$Q,17,FALSE)),"")</f>
        <v>QUESOS Y GRASAS</v>
      </c>
      <c r="C13" s="24" t="str">
        <f>+IFERROR(IF(GUAYAQUIL[[#This Row],[CODIGO]]="","",VLOOKUP(GUAYAQUIL[[#This Row],[CODIGO]],MAESTRO!$A:$BA,53,FALSE)),"")</f>
        <v xml:space="preserve">Esteban Montenegro                      </v>
      </c>
      <c r="D13" s="24" t="str">
        <f>+IFERROR(IF(GUAYAQUIL[[#This Row],[CODIGO]]="","",VLOOKUP(GUAYAQUIL[[#This Row],[CODIGO]],MAESTRO!$A:$D,4,FALSE)),"")</f>
        <v>QUESO MOZARELLA KIOSKO</v>
      </c>
      <c r="E13" s="24" t="str">
        <f>+IFERROR(IF(GUAYAQUIL[[#This Row],[CODIGO]]="","",VLOOKUP(GUAYAQUIL[[#This Row],[CODIGO]],MAESTRO!$A:$F,6,FALSE)),"")</f>
        <v>QUESO MOZARELLA SNACK</v>
      </c>
      <c r="F13" s="42" t="str">
        <f>IF(GUAYAQUIL[[#This Row],[CODIGO]]="","",$K$6)</f>
        <v>GUAYAQUIL</v>
      </c>
      <c r="G13" s="209">
        <f>IF(GUAYAQUIL[[#This Row],[CODIGO]]="","",7711)</f>
        <v>7711</v>
      </c>
      <c r="H13" s="209">
        <f>IF(GUAYAQUIL[[#This Row],[CODIGO]]="","",1001)</f>
        <v>1001</v>
      </c>
      <c r="I13" s="258" t="s">
        <v>4752</v>
      </c>
      <c r="J13" s="25" t="str">
        <f>IFERROR((VLOOKUP(GUAYAQUIL[[#This Row],[CODIGO]],MAESTRO!A:B,2,FALSE)),"")</f>
        <v>Q MOZAR KIOSKO SNACK 50G</v>
      </c>
      <c r="K13" s="35">
        <v>750</v>
      </c>
      <c r="L13" s="38">
        <f>+IFERROR(IF(GUAYAQUIL[[#This Row],[CODIGO]]="","",VLOOKUP(GUAYAQUIL[[#This Row],[CODIGO]],MAESTRO!$A:$BF,58,FALSE)),"")</f>
        <v>1</v>
      </c>
      <c r="M13" s="27">
        <f>+IFERROR(IF(GUAYAQUIL[[#This Row],[CODIGO]]="","",VLOOKUP(GUAYAQUIL[[#This Row],[CODIGO]],MAESTRO!A:N,14,FALSE)),"")</f>
        <v>0.05</v>
      </c>
      <c r="N13" s="28">
        <f>+IFERROR(IF(GUAYAQUIL[[#This Row],[CODIGO]]="","",VLOOKUP(GUAYAQUIL[[#This Row],[CODIGO]],MAESTRO!A:P,16,FALSE)),"")</f>
        <v>40</v>
      </c>
      <c r="O13" s="45">
        <v>45617</v>
      </c>
      <c r="P13" s="72" t="str">
        <f t="shared" si="0"/>
        <v>jueves</v>
      </c>
      <c r="Q13" s="29">
        <f>IFERROR(IF(GUAYAQUIL[[#This Row],[CODIGO]]="","",IF(GUAYAQUIL[[#This Row],[Fecha Cad]]="","",(GUAYAQUIL[[#This Row],[Fecha Cad]]-GUAYAQUIL[[#This Row],[VIDA UTIL (Días)]]))+1),"")</f>
        <v>45617</v>
      </c>
      <c r="R13" s="45">
        <v>45656</v>
      </c>
      <c r="S13" s="30">
        <f t="shared" ca="1" si="1"/>
        <v>32</v>
      </c>
      <c r="T13" s="31">
        <f t="shared" ca="1" si="2"/>
        <v>0.8</v>
      </c>
      <c r="U13" s="286">
        <v>750</v>
      </c>
      <c r="V13" s="262">
        <f>+IFERROR(IF(GUAYAQUIL[[#This Row],[CODIGO]]="","",GUAYAQUIL[[#This Row],[Stock Actual Unds]]*GUAYAQUIL[[#This Row],[Gramaje]]*GUAYAQUIL[[#This Row],[Conversión]]),"")</f>
        <v>37.5</v>
      </c>
      <c r="W13" s="270">
        <f t="shared" si="3"/>
        <v>0</v>
      </c>
      <c r="X13" s="32">
        <f t="shared" si="4"/>
        <v>1</v>
      </c>
      <c r="Y13" s="236">
        <f>IFERROR(VLOOKUP(GUAYAQUIL[[#This Row],[CODIGO]],MAESTRO!A:BI,21,FALSE),0)</f>
        <v>0.30701500000000004</v>
      </c>
      <c r="Z13" s="237">
        <f>+IFERROR(IF(GUAYAQUIL[[#This Row],[CODIGO]]="","",GUAYAQUIL[[#This Row],[COSTO UNIT base]]*GUAYAQUIL[[#This Row],[Conversión]]),"")</f>
        <v>0.30701500000000004</v>
      </c>
      <c r="AA13" s="236">
        <f>+IFERROR(IF(GUAYAQUIL[[#This Row],[CODIGO]]="","",GUAYAQUIL[[#This Row],[COSTO UNIT Conv]]*GUAYAQUIL[[#This Row],[Stock Actual Kgs]]),"")</f>
        <v>11.513062500000002</v>
      </c>
      <c r="AB13" s="33">
        <f ca="1">+IFERROR(IF(GUAYAQUIL[[#This Row],[CODIGO]]="","",$J$3-O13),"")</f>
        <v>7</v>
      </c>
      <c r="AC13" s="34" t="str">
        <f ca="1">IF(GUAYAQUIL[[#This Row],[CODIGO]]="","",IF(S13&lt;=0,"CADUCADO",IF(AND(S13&gt;0,S13&lt;=21),"FECHA CORTA",IF(AND(S13&gt;=22,S13&lt;=26),"PROXIMOS FECHA CORTA", "VIGENTE"))))</f>
        <v>VIGENTE</v>
      </c>
      <c r="AD13" s="37">
        <f>+IF(GUAYAQUIL[[#This Row],[CODIGO]]="","",GUAYAQUIL[[#This Row],[Stock Actual Unds]]*GUAYAQUIL[[#This Row],[Gramaje]]*GUAYAQUIL[[#This Row],[Conversión]])/1000</f>
        <v>3.7499999999999999E-2</v>
      </c>
    </row>
    <row r="14" spans="1:30">
      <c r="A14" s="24" t="str">
        <f>+IFERROR(IF(GUAYAQUIL[[#This Row],[CODIGO]]="","",VLOOKUP(GUAYAQUIL[[#This Row],[CODIGO]],MAESTRO!$A:$J,10,FALSE)),"")</f>
        <v>MACHACHI</v>
      </c>
      <c r="B14" s="24" t="str">
        <f>+IFERROR(IF(GUAYAQUIL[[#This Row],[CODIGO]]="","",VLOOKUP(GUAYAQUIL[[#This Row],[CODIGO]],MAESTRO!$A:$Q,17,FALSE)),"")</f>
        <v>BEBIDAS LACTEAS</v>
      </c>
      <c r="C14" s="24" t="str">
        <f>+IFERROR(IF(GUAYAQUIL[[#This Row],[CODIGO]]="","",VLOOKUP(GUAYAQUIL[[#This Row],[CODIGO]],MAESTRO!$A:$BA,53,FALSE)),"")</f>
        <v xml:space="preserve">Luis Armendariz                         </v>
      </c>
      <c r="D14" s="24" t="str">
        <f>+IFERROR(IF(GUAYAQUIL[[#This Row],[CODIGO]]="","",VLOOKUP(GUAYAQUIL[[#This Row],[CODIGO]],MAESTRO!$A:$D,4,FALSE)),"")</f>
        <v>BON YURT</v>
      </c>
      <c r="E14" s="24" t="str">
        <f>+IFERROR(IF(GUAYAQUIL[[#This Row],[CODIGO]]="","",VLOOKUP(GUAYAQUIL[[#This Row],[CODIGO]],MAESTRO!$A:$F,6,FALSE)),"")</f>
        <v>BON YURT REGULAR</v>
      </c>
      <c r="F14" s="42" t="str">
        <f>IF(GUAYAQUIL[[#This Row],[CODIGO]]="","",$K$6)</f>
        <v>GUAYAQUIL</v>
      </c>
      <c r="G14" s="42">
        <f>IF(GUAYAQUIL[[#This Row],[CODIGO]]="","",7711)</f>
        <v>7711</v>
      </c>
      <c r="H14" s="42">
        <f>IF(GUAYAQUIL[[#This Row],[CODIGO]]="","",1001)</f>
        <v>1001</v>
      </c>
      <c r="I14" s="257" t="s">
        <v>868</v>
      </c>
      <c r="J14" s="25" t="str">
        <f>IFERROR((VLOOKUP(GUAYAQUIL[[#This Row],[CODIGO]],MAESTRO!A:B,2,FALSE)),"")</f>
        <v>BY NEON VASO 170G</v>
      </c>
      <c r="K14" s="26">
        <v>840</v>
      </c>
      <c r="L14" s="38">
        <f>+IFERROR(IF(GUAYAQUIL[[#This Row],[CODIGO]]="","",VLOOKUP(GUAYAQUIL[[#This Row],[CODIGO]],MAESTRO!$A:$BF,58,FALSE)),"")</f>
        <v>1</v>
      </c>
      <c r="M14" s="27">
        <f>+IFERROR(IF(GUAYAQUIL[[#This Row],[CODIGO]]="","",VLOOKUP(GUAYAQUIL[[#This Row],[CODIGO]],MAESTRO!A:N,14,FALSE)),"")</f>
        <v>0.17</v>
      </c>
      <c r="N14" s="28">
        <f>+IFERROR(IF(GUAYAQUIL[[#This Row],[CODIGO]]="","",VLOOKUP(GUAYAQUIL[[#This Row],[CODIGO]],MAESTRO!A:P,16,FALSE)),"")</f>
        <v>45</v>
      </c>
      <c r="O14" s="29">
        <v>45605</v>
      </c>
      <c r="P14" s="72" t="str">
        <f t="shared" si="0"/>
        <v>sábado</v>
      </c>
      <c r="Q14" s="29">
        <f>IFERROR(IF(GUAYAQUIL[[#This Row],[CODIGO]]="","",IF(GUAYAQUIL[[#This Row],[Fecha Cad]]="","",(GUAYAQUIL[[#This Row],[Fecha Cad]]-GUAYAQUIL[[#This Row],[VIDA UTIL (Días)]]))+1),"")</f>
        <v>45597</v>
      </c>
      <c r="R14" s="29">
        <v>45641</v>
      </c>
      <c r="S14" s="30">
        <f t="shared" ca="1" si="1"/>
        <v>17</v>
      </c>
      <c r="T14" s="31">
        <f t="shared" ca="1" si="2"/>
        <v>0.37777777777777777</v>
      </c>
      <c r="U14" s="286">
        <v>6</v>
      </c>
      <c r="V14" s="260">
        <f>+IFERROR(IF(GUAYAQUIL[[#This Row],[CODIGO]]="","",GUAYAQUIL[[#This Row],[Stock Actual Unds]]*GUAYAQUIL[[#This Row],[Gramaje]]*GUAYAQUIL[[#This Row],[Conversión]]),"")</f>
        <v>1.02</v>
      </c>
      <c r="W14" s="270">
        <f t="shared" si="3"/>
        <v>8</v>
      </c>
      <c r="X14" s="32">
        <f t="shared" si="4"/>
        <v>0.82222222222222219</v>
      </c>
      <c r="Y14" s="236">
        <f>IFERROR(VLOOKUP(GUAYAQUIL[[#This Row],[CODIGO]],MAESTRO!A:BI,21,FALSE),0)</f>
        <v>0.38769999999999999</v>
      </c>
      <c r="Z14" s="237">
        <f>+IFERROR(IF(GUAYAQUIL[[#This Row],[CODIGO]]="","",GUAYAQUIL[[#This Row],[COSTO UNIT base]]*GUAYAQUIL[[#This Row],[Conversión]]),"")</f>
        <v>0.38769999999999999</v>
      </c>
      <c r="AA14" s="236">
        <f>+IFERROR(IF(GUAYAQUIL[[#This Row],[CODIGO]]="","",GUAYAQUIL[[#This Row],[COSTO UNIT Conv]]*GUAYAQUIL[[#This Row],[Stock Actual Kgs]]),"")</f>
        <v>0.39545399999999997</v>
      </c>
      <c r="AB14" s="33">
        <f ca="1">+IFERROR(IF(GUAYAQUIL[[#This Row],[CODIGO]]="","",$J$3-O14),"")</f>
        <v>19</v>
      </c>
      <c r="AC14" s="34" t="str">
        <f ca="1">IF(GUAYAQUIL[[#This Row],[CODIGO]]="","",IF(S14&lt;=0,"CADUCADO",IF(AND(S14&gt;0,S14&lt;=21),"FECHA CORTA",IF(AND(S14&gt;=22,S14&lt;=26),"PROXIMOS FECHA CORTA", "VIGENTE"))))</f>
        <v>FECHA CORTA</v>
      </c>
      <c r="AD14" s="37">
        <f>+IF(GUAYAQUIL[[#This Row],[CODIGO]]="","",GUAYAQUIL[[#This Row],[Stock Actual Unds]]*GUAYAQUIL[[#This Row],[Gramaje]]*GUAYAQUIL[[#This Row],[Conversión]])/1000</f>
        <v>1.0200000000000001E-3</v>
      </c>
    </row>
    <row r="15" spans="1:30">
      <c r="A15" s="24" t="str">
        <f>+IFERROR(IF(GUAYAQUIL[[#This Row],[CODIGO]]="","",VLOOKUP(GUAYAQUIL[[#This Row],[CODIGO]],MAESTRO!$A:$J,10,FALSE)),"")</f>
        <v>MACHACHI</v>
      </c>
      <c r="B15" s="24" t="str">
        <f>+IFERROR(IF(GUAYAQUIL[[#This Row],[CODIGO]]="","",VLOOKUP(GUAYAQUIL[[#This Row],[CODIGO]],MAESTRO!$A:$Q,17,FALSE)),"")</f>
        <v>BEBIDAS LACTEAS</v>
      </c>
      <c r="C15" s="24" t="str">
        <f>+IFERROR(IF(GUAYAQUIL[[#This Row],[CODIGO]]="","",VLOOKUP(GUAYAQUIL[[#This Row],[CODIGO]],MAESTRO!$A:$BA,53,FALSE)),"")</f>
        <v xml:space="preserve">Luis Armendariz                         </v>
      </c>
      <c r="D15" s="24" t="str">
        <f>+IFERROR(IF(GUAYAQUIL[[#This Row],[CODIGO]]="","",VLOOKUP(GUAYAQUIL[[#This Row],[CODIGO]],MAESTRO!$A:$D,4,FALSE)),"")</f>
        <v>BON YURT</v>
      </c>
      <c r="E15" s="24" t="str">
        <f>+IFERROR(IF(GUAYAQUIL[[#This Row],[CODIGO]]="","",VLOOKUP(GUAYAQUIL[[#This Row],[CODIGO]],MAESTRO!$A:$F,6,FALSE)),"")</f>
        <v>BON YURT REGULAR</v>
      </c>
      <c r="F15" s="49" t="str">
        <f>IF(GUAYAQUIL[[#This Row],[CODIGO]]="","",$K$6)</f>
        <v>GUAYAQUIL</v>
      </c>
      <c r="G15" s="49">
        <f>IF(GUAYAQUIL[[#This Row],[CODIGO]]="","",7711)</f>
        <v>7711</v>
      </c>
      <c r="H15" s="49">
        <f>IF(GUAYAQUIL[[#This Row],[CODIGO]]="","",1001)</f>
        <v>1001</v>
      </c>
      <c r="I15" s="257" t="s">
        <v>868</v>
      </c>
      <c r="J15" s="25" t="str">
        <f>IFERROR((VLOOKUP(GUAYAQUIL[[#This Row],[CODIGO]],MAESTRO!A:B,2,FALSE)),"")</f>
        <v>BY NEON VASO 170G</v>
      </c>
      <c r="K15" s="26">
        <v>480</v>
      </c>
      <c r="L15" s="38">
        <f>+IFERROR(IF(GUAYAQUIL[[#This Row],[CODIGO]]="","",VLOOKUP(GUAYAQUIL[[#This Row],[CODIGO]],MAESTRO!$A:$BF,58,FALSE)),"")</f>
        <v>1</v>
      </c>
      <c r="M15" s="27">
        <f>+IFERROR(IF(GUAYAQUIL[[#This Row],[CODIGO]]="","",VLOOKUP(GUAYAQUIL[[#This Row],[CODIGO]],MAESTRO!A:N,14,FALSE)),"")</f>
        <v>0.17</v>
      </c>
      <c r="N15" s="28">
        <f>+IFERROR(IF(GUAYAQUIL[[#This Row],[CODIGO]]="","",VLOOKUP(GUAYAQUIL[[#This Row],[CODIGO]],MAESTRO!A:P,16,FALSE)),"")</f>
        <v>45</v>
      </c>
      <c r="O15" s="29">
        <v>45612</v>
      </c>
      <c r="P15" s="72" t="str">
        <f t="shared" si="0"/>
        <v>sábado</v>
      </c>
      <c r="Q15" s="29">
        <f>IFERROR(IF(GUAYAQUIL[[#This Row],[CODIGO]]="","",IF(GUAYAQUIL[[#This Row],[Fecha Cad]]="","",(GUAYAQUIL[[#This Row],[Fecha Cad]]-GUAYAQUIL[[#This Row],[VIDA UTIL (Días)]]))+1),"")</f>
        <v>45608</v>
      </c>
      <c r="R15" s="29">
        <v>45652</v>
      </c>
      <c r="S15" s="30">
        <f t="shared" ca="1" si="1"/>
        <v>28</v>
      </c>
      <c r="T15" s="31">
        <f t="shared" ca="1" si="2"/>
        <v>0.62222222222222223</v>
      </c>
      <c r="U15" s="286">
        <v>480</v>
      </c>
      <c r="V15" s="260">
        <f>+IFERROR(IF(GUAYAQUIL[[#This Row],[CODIGO]]="","",GUAYAQUIL[[#This Row],[Stock Actual Unds]]*GUAYAQUIL[[#This Row],[Gramaje]]*GUAYAQUIL[[#This Row],[Conversión]]),"")</f>
        <v>81.600000000000009</v>
      </c>
      <c r="W15" s="270">
        <f t="shared" si="3"/>
        <v>4</v>
      </c>
      <c r="X15" s="32">
        <f t="shared" si="4"/>
        <v>0.91111111111111109</v>
      </c>
      <c r="Y15" s="236">
        <f>IFERROR(VLOOKUP(GUAYAQUIL[[#This Row],[CODIGO]],MAESTRO!A:BI,21,FALSE),0)</f>
        <v>0.38769999999999999</v>
      </c>
      <c r="Z15" s="237">
        <f>+IFERROR(IF(GUAYAQUIL[[#This Row],[CODIGO]]="","",GUAYAQUIL[[#This Row],[COSTO UNIT base]]*GUAYAQUIL[[#This Row],[Conversión]]),"")</f>
        <v>0.38769999999999999</v>
      </c>
      <c r="AA15" s="236">
        <f>+IFERROR(IF(GUAYAQUIL[[#This Row],[CODIGO]]="","",GUAYAQUIL[[#This Row],[COSTO UNIT Conv]]*GUAYAQUIL[[#This Row],[Stock Actual Kgs]]),"")</f>
        <v>31.636320000000001</v>
      </c>
      <c r="AB15" s="33">
        <f ca="1">+IFERROR(IF(GUAYAQUIL[[#This Row],[CODIGO]]="","",$J$3-O15),"")</f>
        <v>12</v>
      </c>
      <c r="AC15" s="34" t="str">
        <f ca="1">IF(GUAYAQUIL[[#This Row],[CODIGO]]="","",IF(S15&lt;=0,"CADUCADO",IF(AND(S15&gt;0,S15&lt;=21),"FECHA CORTA",IF(AND(S15&gt;=22,S15&lt;=26),"PROXIMOS FECHA CORTA", "VIGENTE"))))</f>
        <v>VIGENTE</v>
      </c>
      <c r="AD15" s="37">
        <f>+IF(GUAYAQUIL[[#This Row],[CODIGO]]="","",GUAYAQUIL[[#This Row],[Stock Actual Unds]]*GUAYAQUIL[[#This Row],[Gramaje]]*GUAYAQUIL[[#This Row],[Conversión]])/1000</f>
        <v>8.1600000000000006E-2</v>
      </c>
    </row>
    <row r="16" spans="1:30">
      <c r="A16" s="24" t="str">
        <f>+IFERROR(IF(GUAYAQUIL[[#This Row],[CODIGO]]="","",VLOOKUP(GUAYAQUIL[[#This Row],[CODIGO]],MAESTRO!$A:$J,10,FALSE)),"")</f>
        <v>MACHACHI</v>
      </c>
      <c r="B16" s="24" t="str">
        <f>+IFERROR(IF(GUAYAQUIL[[#This Row],[CODIGO]]="","",VLOOKUP(GUAYAQUIL[[#This Row],[CODIGO]],MAESTRO!$A:$Q,17,FALSE)),"")</f>
        <v>BEBIDAS LACTEAS</v>
      </c>
      <c r="C16" s="24" t="str">
        <f>+IFERROR(IF(GUAYAQUIL[[#This Row],[CODIGO]]="","",VLOOKUP(GUAYAQUIL[[#This Row],[CODIGO]],MAESTRO!$A:$BA,53,FALSE)),"")</f>
        <v xml:space="preserve">Luis Armendariz                         </v>
      </c>
      <c r="D16" s="24" t="str">
        <f>+IFERROR(IF(GUAYAQUIL[[#This Row],[CODIGO]]="","",VLOOKUP(GUAYAQUIL[[#This Row],[CODIGO]],MAESTRO!$A:$D,4,FALSE)),"")</f>
        <v>BON YURT</v>
      </c>
      <c r="E16" s="24" t="str">
        <f>+IFERROR(IF(GUAYAQUIL[[#This Row],[CODIGO]]="","",VLOOKUP(GUAYAQUIL[[#This Row],[CODIGO]],MAESTRO!$A:$F,6,FALSE)),"")</f>
        <v>BON YURT REGULAR</v>
      </c>
      <c r="F16" s="49" t="str">
        <f>IF(GUAYAQUIL[[#This Row],[CODIGO]]="","",$K$6)</f>
        <v>GUAYAQUIL</v>
      </c>
      <c r="G16" s="49">
        <f>IF(GUAYAQUIL[[#This Row],[CODIGO]]="","",7711)</f>
        <v>7711</v>
      </c>
      <c r="H16" s="49">
        <f>IF(GUAYAQUIL[[#This Row],[CODIGO]]="","",1001)</f>
        <v>1001</v>
      </c>
      <c r="I16" s="257" t="s">
        <v>868</v>
      </c>
      <c r="J16" s="25" t="str">
        <f>IFERROR((VLOOKUP(GUAYAQUIL[[#This Row],[CODIGO]],MAESTRO!A:B,2,FALSE)),"")</f>
        <v>BY NEON VASO 170G</v>
      </c>
      <c r="K16" s="26">
        <v>540</v>
      </c>
      <c r="L16" s="38">
        <f>+IFERROR(IF(GUAYAQUIL[[#This Row],[CODIGO]]="","",VLOOKUP(GUAYAQUIL[[#This Row],[CODIGO]],MAESTRO!$A:$BF,58,FALSE)),"")</f>
        <v>1</v>
      </c>
      <c r="M16" s="27">
        <f>+IFERROR(IF(GUAYAQUIL[[#This Row],[CODIGO]]="","",VLOOKUP(GUAYAQUIL[[#This Row],[CODIGO]],MAESTRO!A:N,14,FALSE)),"")</f>
        <v>0.17</v>
      </c>
      <c r="N16" s="28">
        <f>+IFERROR(IF(GUAYAQUIL[[#This Row],[CODIGO]]="","",VLOOKUP(GUAYAQUIL[[#This Row],[CODIGO]],MAESTRO!A:P,16,FALSE)),"")</f>
        <v>45</v>
      </c>
      <c r="O16" s="29">
        <v>45611</v>
      </c>
      <c r="P16" s="72" t="str">
        <f t="shared" si="0"/>
        <v>viernes</v>
      </c>
      <c r="Q16" s="29">
        <f>IFERROR(IF(GUAYAQUIL[[#This Row],[CODIGO]]="","",IF(GUAYAQUIL[[#This Row],[Fecha Cad]]="","",(GUAYAQUIL[[#This Row],[Fecha Cad]]-GUAYAQUIL[[#This Row],[VIDA UTIL (Días)]]))+1),"")</f>
        <v>45608</v>
      </c>
      <c r="R16" s="29">
        <v>45652</v>
      </c>
      <c r="S16" s="30">
        <f t="shared" ca="1" si="1"/>
        <v>28</v>
      </c>
      <c r="T16" s="31">
        <f t="shared" ca="1" si="2"/>
        <v>0.62222222222222223</v>
      </c>
      <c r="U16" s="286">
        <v>540</v>
      </c>
      <c r="V16" s="260">
        <f>+IFERROR(IF(GUAYAQUIL[[#This Row],[CODIGO]]="","",GUAYAQUIL[[#This Row],[Stock Actual Unds]]*GUAYAQUIL[[#This Row],[Gramaje]]*GUAYAQUIL[[#This Row],[Conversión]]),"")</f>
        <v>91.800000000000011</v>
      </c>
      <c r="W16" s="270">
        <f t="shared" si="3"/>
        <v>3</v>
      </c>
      <c r="X16" s="32">
        <f t="shared" si="4"/>
        <v>0.93333333333333335</v>
      </c>
      <c r="Y16" s="236">
        <f>IFERROR(VLOOKUP(GUAYAQUIL[[#This Row],[CODIGO]],MAESTRO!A:BI,21,FALSE),0)</f>
        <v>0.38769999999999999</v>
      </c>
      <c r="Z16" s="237">
        <f>+IFERROR(IF(GUAYAQUIL[[#This Row],[CODIGO]]="","",GUAYAQUIL[[#This Row],[COSTO UNIT base]]*GUAYAQUIL[[#This Row],[Conversión]]),"")</f>
        <v>0.38769999999999999</v>
      </c>
      <c r="AA16" s="236">
        <f>+IFERROR(IF(GUAYAQUIL[[#This Row],[CODIGO]]="","",GUAYAQUIL[[#This Row],[COSTO UNIT Conv]]*GUAYAQUIL[[#This Row],[Stock Actual Kgs]]),"")</f>
        <v>35.590860000000006</v>
      </c>
      <c r="AB16" s="33">
        <f ca="1">+IFERROR(IF(GUAYAQUIL[[#This Row],[CODIGO]]="","",$J$3-O16),"")</f>
        <v>13</v>
      </c>
      <c r="AC16" s="34" t="str">
        <f ca="1">IF(GUAYAQUIL[[#This Row],[CODIGO]]="","",IF(S16&lt;=0,"CADUCADO",IF(AND(S16&gt;0,S16&lt;=21),"FECHA CORTA",IF(AND(S16&gt;=22,S16&lt;=26),"PROXIMOS FECHA CORTA", "VIGENTE"))))</f>
        <v>VIGENTE</v>
      </c>
      <c r="AD16" s="37">
        <f>+IF(GUAYAQUIL[[#This Row],[CODIGO]]="","",GUAYAQUIL[[#This Row],[Stock Actual Unds]]*GUAYAQUIL[[#This Row],[Gramaje]]*GUAYAQUIL[[#This Row],[Conversión]])/1000</f>
        <v>9.1800000000000007E-2</v>
      </c>
    </row>
    <row r="17" spans="1:30" ht="14.9" customHeight="1">
      <c r="A17" s="24" t="str">
        <f>+IFERROR(IF(GUAYAQUIL[[#This Row],[CODIGO]]="","",VLOOKUP(GUAYAQUIL[[#This Row],[CODIGO]],MAESTRO!$A:$J,10,FALSE)),"")</f>
        <v>MACHACHI</v>
      </c>
      <c r="B17" s="24" t="str">
        <f>+IFERROR(IF(GUAYAQUIL[[#This Row],[CODIGO]]="","",VLOOKUP(GUAYAQUIL[[#This Row],[CODIGO]],MAESTRO!$A:$Q,17,FALSE)),"")</f>
        <v>BEBIDAS LACTEAS</v>
      </c>
      <c r="C17" s="24" t="str">
        <f>+IFERROR(IF(GUAYAQUIL[[#This Row],[CODIGO]]="","",VLOOKUP(GUAYAQUIL[[#This Row],[CODIGO]],MAESTRO!$A:$BA,53,FALSE)),"")</f>
        <v xml:space="preserve">Luis Armendariz                         </v>
      </c>
      <c r="D17" s="24" t="str">
        <f>+IFERROR(IF(GUAYAQUIL[[#This Row],[CODIGO]]="","",VLOOKUP(GUAYAQUIL[[#This Row],[CODIGO]],MAESTRO!$A:$D,4,FALSE)),"")</f>
        <v>BON YURT</v>
      </c>
      <c r="E17" s="24" t="str">
        <f>+IFERROR(IF(GUAYAQUIL[[#This Row],[CODIGO]]="","",VLOOKUP(GUAYAQUIL[[#This Row],[CODIGO]],MAESTRO!$A:$F,6,FALSE)),"")</f>
        <v>BON YURT REGULAR</v>
      </c>
      <c r="F17" s="42" t="str">
        <f>IF(GUAYAQUIL[[#This Row],[CODIGO]]="","",$K$6)</f>
        <v>GUAYAQUIL</v>
      </c>
      <c r="G17" s="209">
        <f>IF(GUAYAQUIL[[#This Row],[CODIGO]]="","",7711)</f>
        <v>7711</v>
      </c>
      <c r="H17" s="209">
        <f>IF(GUAYAQUIL[[#This Row],[CODIGO]]="","",1001)</f>
        <v>1001</v>
      </c>
      <c r="I17" s="258" t="s">
        <v>868</v>
      </c>
      <c r="J17" s="25" t="str">
        <f>IFERROR((VLOOKUP(GUAYAQUIL[[#This Row],[CODIGO]],MAESTRO!A:B,2,FALSE)),"")</f>
        <v>BY NEON VASO 170G</v>
      </c>
      <c r="K17" s="35">
        <v>600</v>
      </c>
      <c r="L17" s="38">
        <f>+IFERROR(IF(GUAYAQUIL[[#This Row],[CODIGO]]="","",VLOOKUP(GUAYAQUIL[[#This Row],[CODIGO]],MAESTRO!$A:$BF,58,FALSE)),"")</f>
        <v>1</v>
      </c>
      <c r="M17" s="27">
        <f>+IFERROR(IF(GUAYAQUIL[[#This Row],[CODIGO]]="","",VLOOKUP(GUAYAQUIL[[#This Row],[CODIGO]],MAESTRO!A:N,14,FALSE)),"")</f>
        <v>0.17</v>
      </c>
      <c r="N17" s="28">
        <f>+IFERROR(IF(GUAYAQUIL[[#This Row],[CODIGO]]="","",VLOOKUP(GUAYAQUIL[[#This Row],[CODIGO]],MAESTRO!A:P,16,FALSE)),"")</f>
        <v>45</v>
      </c>
      <c r="O17" s="45">
        <v>45610</v>
      </c>
      <c r="P17" s="72" t="str">
        <f t="shared" si="0"/>
        <v>jueves</v>
      </c>
      <c r="Q17" s="29">
        <f>IFERROR(IF(GUAYAQUIL[[#This Row],[CODIGO]]="","",IF(GUAYAQUIL[[#This Row],[Fecha Cad]]="","",(GUAYAQUIL[[#This Row],[Fecha Cad]]-GUAYAQUIL[[#This Row],[VIDA UTIL (Días)]]))+1),"")</f>
        <v>45605</v>
      </c>
      <c r="R17" s="45">
        <v>45649</v>
      </c>
      <c r="S17" s="30">
        <f t="shared" ca="1" si="1"/>
        <v>25</v>
      </c>
      <c r="T17" s="31">
        <f t="shared" ca="1" si="2"/>
        <v>0.55555555555555558</v>
      </c>
      <c r="U17" s="286">
        <v>102</v>
      </c>
      <c r="V17" s="262">
        <f>+IFERROR(IF(GUAYAQUIL[[#This Row],[CODIGO]]="","",GUAYAQUIL[[#This Row],[Stock Actual Unds]]*GUAYAQUIL[[#This Row],[Gramaje]]*GUAYAQUIL[[#This Row],[Conversión]]),"")</f>
        <v>17.34</v>
      </c>
      <c r="W17" s="270">
        <f t="shared" si="3"/>
        <v>5</v>
      </c>
      <c r="X17" s="32">
        <f t="shared" si="4"/>
        <v>0.88888888888888884</v>
      </c>
      <c r="Y17" s="236">
        <f>IFERROR(VLOOKUP(GUAYAQUIL[[#This Row],[CODIGO]],MAESTRO!A:BI,21,FALSE),0)</f>
        <v>0.38769999999999999</v>
      </c>
      <c r="Z17" s="237">
        <f>+IFERROR(IF(GUAYAQUIL[[#This Row],[CODIGO]]="","",GUAYAQUIL[[#This Row],[COSTO UNIT base]]*GUAYAQUIL[[#This Row],[Conversión]]),"")</f>
        <v>0.38769999999999999</v>
      </c>
      <c r="AA17" s="236">
        <f>+IFERROR(IF(GUAYAQUIL[[#This Row],[CODIGO]]="","",GUAYAQUIL[[#This Row],[COSTO UNIT Conv]]*GUAYAQUIL[[#This Row],[Stock Actual Kgs]]),"")</f>
        <v>6.7227179999999995</v>
      </c>
      <c r="AB17" s="33">
        <f ca="1">+IFERROR(IF(GUAYAQUIL[[#This Row],[CODIGO]]="","",$J$3-O17),"")</f>
        <v>14</v>
      </c>
      <c r="AC17" s="34" t="str">
        <f ca="1">IF(GUAYAQUIL[[#This Row],[CODIGO]]="","",IF(S17&lt;=0,"CADUCADO",IF(AND(S17&gt;0,S17&lt;=21),"FECHA CORTA",IF(AND(S17&gt;=22,S17&lt;=26),"PROXIMOS FECHA CORTA", "VIGENTE"))))</f>
        <v>PROXIMOS FECHA CORTA</v>
      </c>
      <c r="AD17" s="37">
        <f>+IF(GUAYAQUIL[[#This Row],[CODIGO]]="","",GUAYAQUIL[[#This Row],[Stock Actual Unds]]*GUAYAQUIL[[#This Row],[Gramaje]]*GUAYAQUIL[[#This Row],[Conversión]])/1000</f>
        <v>1.7340000000000001E-2</v>
      </c>
    </row>
    <row r="18" spans="1:30">
      <c r="A18" s="24" t="str">
        <f>+IFERROR(IF(GUAYAQUIL[[#This Row],[CODIGO]]="","",VLOOKUP(GUAYAQUIL[[#This Row],[CODIGO]],MAESTRO!$A:$J,10,FALSE)),"")</f>
        <v>MACHACHI</v>
      </c>
      <c r="B18" s="24" t="str">
        <f>+IFERROR(IF(GUAYAQUIL[[#This Row],[CODIGO]]="","",VLOOKUP(GUAYAQUIL[[#This Row],[CODIGO]],MAESTRO!$A:$Q,17,FALSE)),"")</f>
        <v>BEBIDAS LACTEAS</v>
      </c>
      <c r="C18" s="24" t="str">
        <f>+IFERROR(IF(GUAYAQUIL[[#This Row],[CODIGO]]="","",VLOOKUP(GUAYAQUIL[[#This Row],[CODIGO]],MAESTRO!$A:$BA,53,FALSE)),"")</f>
        <v xml:space="preserve">Luis Armendariz                         </v>
      </c>
      <c r="D18" s="24" t="str">
        <f>+IFERROR(IF(GUAYAQUIL[[#This Row],[CODIGO]]="","",VLOOKUP(GUAYAQUIL[[#This Row],[CODIGO]],MAESTRO!$A:$D,4,FALSE)),"")</f>
        <v>BON YURT</v>
      </c>
      <c r="E18" s="24" t="str">
        <f>+IFERROR(IF(GUAYAQUIL[[#This Row],[CODIGO]]="","",VLOOKUP(GUAYAQUIL[[#This Row],[CODIGO]],MAESTRO!$A:$F,6,FALSE)),"")</f>
        <v>BON YURT REGULAR</v>
      </c>
      <c r="F18" s="42" t="str">
        <f>IF(GUAYAQUIL[[#This Row],[CODIGO]]="","",$K$6)</f>
        <v>GUAYAQUIL</v>
      </c>
      <c r="G18" s="42">
        <f>IF(GUAYAQUIL[[#This Row],[CODIGO]]="","",7711)</f>
        <v>7711</v>
      </c>
      <c r="H18" s="42">
        <f>IF(GUAYAQUIL[[#This Row],[CODIGO]]="","",1001)</f>
        <v>1001</v>
      </c>
      <c r="I18" s="258" t="s">
        <v>868</v>
      </c>
      <c r="J18" s="25" t="str">
        <f>IFERROR((VLOOKUP(GUAYAQUIL[[#This Row],[CODIGO]],MAESTRO!A:B,2,FALSE)),"")</f>
        <v>BY NEON VASO 170G</v>
      </c>
      <c r="K18" s="35">
        <v>480</v>
      </c>
      <c r="L18" s="38">
        <f>+IFERROR(IF(GUAYAQUIL[[#This Row],[CODIGO]]="","",VLOOKUP(GUAYAQUIL[[#This Row],[CODIGO]],MAESTRO!$A:$BF,58,FALSE)),"")</f>
        <v>1</v>
      </c>
      <c r="M18" s="27">
        <f>+IFERROR(IF(GUAYAQUIL[[#This Row],[CODIGO]]="","",VLOOKUP(GUAYAQUIL[[#This Row],[CODIGO]],MAESTRO!A:N,14,FALSE)),"")</f>
        <v>0.17</v>
      </c>
      <c r="N18" s="28">
        <f>+IFERROR(IF(GUAYAQUIL[[#This Row],[CODIGO]]="","",VLOOKUP(GUAYAQUIL[[#This Row],[CODIGO]],MAESTRO!A:P,16,FALSE)),"")</f>
        <v>45</v>
      </c>
      <c r="O18" s="45">
        <v>45616</v>
      </c>
      <c r="P18" s="72" t="str">
        <f t="shared" si="0"/>
        <v>miércoles</v>
      </c>
      <c r="Q18" s="29">
        <f>IFERROR(IF(GUAYAQUIL[[#This Row],[CODIGO]]="","",IF(GUAYAQUIL[[#This Row],[Fecha Cad]]="","",(GUAYAQUIL[[#This Row],[Fecha Cad]]-GUAYAQUIL[[#This Row],[VIDA UTIL (Días)]]))+1),"")</f>
        <v>45612</v>
      </c>
      <c r="R18" s="45">
        <v>45656</v>
      </c>
      <c r="S18" s="30">
        <f t="shared" ca="1" si="1"/>
        <v>32</v>
      </c>
      <c r="T18" s="31">
        <f t="shared" ca="1" si="2"/>
        <v>0.71111111111111114</v>
      </c>
      <c r="U18" s="286">
        <v>300</v>
      </c>
      <c r="V18" s="262">
        <f>+IFERROR(IF(GUAYAQUIL[[#This Row],[CODIGO]]="","",GUAYAQUIL[[#This Row],[Stock Actual Unds]]*GUAYAQUIL[[#This Row],[Gramaje]]*GUAYAQUIL[[#This Row],[Conversión]]),"")</f>
        <v>51.000000000000007</v>
      </c>
      <c r="W18" s="270">
        <f t="shared" si="3"/>
        <v>4</v>
      </c>
      <c r="X18" s="32">
        <f t="shared" si="4"/>
        <v>0.91111111111111109</v>
      </c>
      <c r="Y18" s="236">
        <f>IFERROR(VLOOKUP(GUAYAQUIL[[#This Row],[CODIGO]],MAESTRO!A:BI,21,FALSE),0)</f>
        <v>0.38769999999999999</v>
      </c>
      <c r="Z18" s="237">
        <f>+IFERROR(IF(GUAYAQUIL[[#This Row],[CODIGO]]="","",GUAYAQUIL[[#This Row],[COSTO UNIT base]]*GUAYAQUIL[[#This Row],[Conversión]]),"")</f>
        <v>0.38769999999999999</v>
      </c>
      <c r="AA18" s="236">
        <f>+IFERROR(IF(GUAYAQUIL[[#This Row],[CODIGO]]="","",GUAYAQUIL[[#This Row],[COSTO UNIT Conv]]*GUAYAQUIL[[#This Row],[Stock Actual Kgs]]),"")</f>
        <v>19.772700000000004</v>
      </c>
      <c r="AB18" s="33">
        <f ca="1">+IFERROR(IF(GUAYAQUIL[[#This Row],[CODIGO]]="","",$J$3-O18),"")</f>
        <v>8</v>
      </c>
      <c r="AC18" s="34" t="str">
        <f ca="1">IF(GUAYAQUIL[[#This Row],[CODIGO]]="","",IF(S18&lt;=0,"CADUCADO",IF(AND(S18&gt;0,S18&lt;=21),"FECHA CORTA",IF(AND(S18&gt;=22,S18&lt;=26),"PROXIMOS FECHA CORTA", "VIGENTE"))))</f>
        <v>VIGENTE</v>
      </c>
      <c r="AD18" s="37">
        <f>+IF(GUAYAQUIL[[#This Row],[CODIGO]]="","",GUAYAQUIL[[#This Row],[Stock Actual Unds]]*GUAYAQUIL[[#This Row],[Gramaje]]*GUAYAQUIL[[#This Row],[Conversión]])/1000</f>
        <v>5.1000000000000004E-2</v>
      </c>
    </row>
    <row r="19" spans="1:30">
      <c r="A19" s="24" t="str">
        <f>+IFERROR(IF(GUAYAQUIL[[#This Row],[CODIGO]]="","",VLOOKUP(GUAYAQUIL[[#This Row],[CODIGO]],MAESTRO!$A:$J,10,FALSE)),"")</f>
        <v>MACHACHI</v>
      </c>
      <c r="B19" s="24" t="str">
        <f>+IFERROR(IF(GUAYAQUIL[[#This Row],[CODIGO]]="","",VLOOKUP(GUAYAQUIL[[#This Row],[CODIGO]],MAESTRO!$A:$Q,17,FALSE)),"")</f>
        <v>BEBIDAS LACTEAS</v>
      </c>
      <c r="C19" s="24" t="str">
        <f>+IFERROR(IF(GUAYAQUIL[[#This Row],[CODIGO]]="","",VLOOKUP(GUAYAQUIL[[#This Row],[CODIGO]],MAESTRO!$A:$BA,53,FALSE)),"")</f>
        <v xml:space="preserve">Luis Armendariz                         </v>
      </c>
      <c r="D19" s="24" t="str">
        <f>+IFERROR(IF(GUAYAQUIL[[#This Row],[CODIGO]]="","",VLOOKUP(GUAYAQUIL[[#This Row],[CODIGO]],MAESTRO!$A:$D,4,FALSE)),"")</f>
        <v>BON YURT</v>
      </c>
      <c r="E19" s="24" t="str">
        <f>+IFERROR(IF(GUAYAQUIL[[#This Row],[CODIGO]]="","",VLOOKUP(GUAYAQUIL[[#This Row],[CODIGO]],MAESTRO!$A:$F,6,FALSE)),"")</f>
        <v>BON YURT REGULAR</v>
      </c>
      <c r="F19" s="42" t="str">
        <f>IF(GUAYAQUIL[[#This Row],[CODIGO]]="","",$K$6)</f>
        <v>GUAYAQUIL</v>
      </c>
      <c r="G19" s="42">
        <f>IF(GUAYAQUIL[[#This Row],[CODIGO]]="","",7711)</f>
        <v>7711</v>
      </c>
      <c r="H19" s="42">
        <f>IF(GUAYAQUIL[[#This Row],[CODIGO]]="","",1001)</f>
        <v>1001</v>
      </c>
      <c r="I19" s="258" t="s">
        <v>868</v>
      </c>
      <c r="J19" s="25" t="str">
        <f>IFERROR((VLOOKUP(GUAYAQUIL[[#This Row],[CODIGO]],MAESTRO!A:B,2,FALSE)),"")</f>
        <v>BY NEON VASO 170G</v>
      </c>
      <c r="K19" s="35">
        <v>780</v>
      </c>
      <c r="L19" s="38">
        <f>+IFERROR(IF(GUAYAQUIL[[#This Row],[CODIGO]]="","",VLOOKUP(GUAYAQUIL[[#This Row],[CODIGO]],MAESTRO!$A:$BF,58,FALSE)),"")</f>
        <v>1</v>
      </c>
      <c r="M19" s="27">
        <f>+IFERROR(IF(GUAYAQUIL[[#This Row],[CODIGO]]="","",VLOOKUP(GUAYAQUIL[[#This Row],[CODIGO]],MAESTRO!A:N,14,FALSE)),"")</f>
        <v>0.17</v>
      </c>
      <c r="N19" s="28">
        <f>+IFERROR(IF(GUAYAQUIL[[#This Row],[CODIGO]]="","",VLOOKUP(GUAYAQUIL[[#This Row],[CODIGO]],MAESTRO!A:P,16,FALSE)),"")</f>
        <v>45</v>
      </c>
      <c r="O19" s="45">
        <v>45617</v>
      </c>
      <c r="P19" s="72" t="str">
        <f t="shared" si="0"/>
        <v>jueves</v>
      </c>
      <c r="Q19" s="29">
        <f>IFERROR(IF(GUAYAQUIL[[#This Row],[CODIGO]]="","",IF(GUAYAQUIL[[#This Row],[Fecha Cad]]="","",(GUAYAQUIL[[#This Row],[Fecha Cad]]-GUAYAQUIL[[#This Row],[VIDA UTIL (Días)]]))+1),"")</f>
        <v>45612</v>
      </c>
      <c r="R19" s="45">
        <v>45656</v>
      </c>
      <c r="S19" s="30">
        <f t="shared" ca="1" si="1"/>
        <v>32</v>
      </c>
      <c r="T19" s="31">
        <f t="shared" ca="1" si="2"/>
        <v>0.71111111111111114</v>
      </c>
      <c r="U19" s="286">
        <v>780</v>
      </c>
      <c r="V19" s="262">
        <f>+IFERROR(IF(GUAYAQUIL[[#This Row],[CODIGO]]="","",GUAYAQUIL[[#This Row],[Stock Actual Unds]]*GUAYAQUIL[[#This Row],[Gramaje]]*GUAYAQUIL[[#This Row],[Conversión]]),"")</f>
        <v>132.60000000000002</v>
      </c>
      <c r="W19" s="270">
        <f t="shared" si="3"/>
        <v>5</v>
      </c>
      <c r="X19" s="32">
        <f t="shared" si="4"/>
        <v>0.88888888888888884</v>
      </c>
      <c r="Y19" s="236">
        <f>IFERROR(VLOOKUP(GUAYAQUIL[[#This Row],[CODIGO]],MAESTRO!A:BI,21,FALSE),0)</f>
        <v>0.38769999999999999</v>
      </c>
      <c r="Z19" s="237">
        <f>+IFERROR(IF(GUAYAQUIL[[#This Row],[CODIGO]]="","",GUAYAQUIL[[#This Row],[COSTO UNIT base]]*GUAYAQUIL[[#This Row],[Conversión]]),"")</f>
        <v>0.38769999999999999</v>
      </c>
      <c r="AA19" s="236">
        <f>+IFERROR(IF(GUAYAQUIL[[#This Row],[CODIGO]]="","",GUAYAQUIL[[#This Row],[COSTO UNIT Conv]]*GUAYAQUIL[[#This Row],[Stock Actual Kgs]]),"")</f>
        <v>51.409020000000005</v>
      </c>
      <c r="AB19" s="33">
        <f ca="1">+IFERROR(IF(GUAYAQUIL[[#This Row],[CODIGO]]="","",$J$3-O19),"")</f>
        <v>7</v>
      </c>
      <c r="AC19" s="34" t="str">
        <f ca="1">IF(GUAYAQUIL[[#This Row],[CODIGO]]="","",IF(S19&lt;=0,"CADUCADO",IF(AND(S19&gt;0,S19&lt;=21),"FECHA CORTA",IF(AND(S19&gt;=22,S19&lt;=26),"PROXIMOS FECHA CORTA", "VIGENTE"))))</f>
        <v>VIGENTE</v>
      </c>
      <c r="AD19" s="37">
        <f>+IF(GUAYAQUIL[[#This Row],[CODIGO]]="","",GUAYAQUIL[[#This Row],[Stock Actual Unds]]*GUAYAQUIL[[#This Row],[Gramaje]]*GUAYAQUIL[[#This Row],[Conversión]])/1000</f>
        <v>0.13260000000000002</v>
      </c>
    </row>
    <row r="20" spans="1:30">
      <c r="A20" s="24" t="str">
        <f>+IFERROR(IF(GUAYAQUIL[[#This Row],[CODIGO]]="","",VLOOKUP(GUAYAQUIL[[#This Row],[CODIGO]],MAESTRO!$A:$J,10,FALSE)),"")</f>
        <v>MACHACHI</v>
      </c>
      <c r="B20" s="24" t="str">
        <f>+IFERROR(IF(GUAYAQUIL[[#This Row],[CODIGO]]="","",VLOOKUP(GUAYAQUIL[[#This Row],[CODIGO]],MAESTRO!$A:$Q,17,FALSE)),"")</f>
        <v>BEBIDAS LACTEAS</v>
      </c>
      <c r="C20" s="24" t="str">
        <f>+IFERROR(IF(GUAYAQUIL[[#This Row],[CODIGO]]="","",VLOOKUP(GUAYAQUIL[[#This Row],[CODIGO]],MAESTRO!$A:$BA,53,FALSE)),"")</f>
        <v xml:space="preserve">Luis Armendariz                         </v>
      </c>
      <c r="D20" s="24" t="str">
        <f>+IFERROR(IF(GUAYAQUIL[[#This Row],[CODIGO]]="","",VLOOKUP(GUAYAQUIL[[#This Row],[CODIGO]],MAESTRO!$A:$D,4,FALSE)),"")</f>
        <v>YOGURT KIOSKO</v>
      </c>
      <c r="E20" s="24" t="str">
        <f>+IFERROR(IF(GUAYAQUIL[[#This Row],[CODIGO]]="","",VLOOKUP(GUAYAQUIL[[#This Row],[CODIGO]],MAESTRO!$A:$F,6,FALSE)),"")</f>
        <v>BEBIDA DE YOGURT KIOSKO GALONERA</v>
      </c>
      <c r="F20" s="42" t="str">
        <f>IF(GUAYAQUIL[[#This Row],[CODIGO]]="","",$K$6)</f>
        <v>GUAYAQUIL</v>
      </c>
      <c r="G20" s="42">
        <f>IF(GUAYAQUIL[[#This Row],[CODIGO]]="","",7711)</f>
        <v>7711</v>
      </c>
      <c r="H20" s="42">
        <f>IF(GUAYAQUIL[[#This Row],[CODIGO]]="","",1001)</f>
        <v>1001</v>
      </c>
      <c r="I20" s="258" t="s">
        <v>2579</v>
      </c>
      <c r="J20" s="25" t="str">
        <f>IFERROR((VLOOKUP(GUAYAQUIL[[#This Row],[CODIGO]],MAESTRO!A:B,2,FALSE)),"")</f>
        <v>YOG BBLE KIOSKO DZNO BOT 3.5KG</v>
      </c>
      <c r="K20" s="35">
        <v>56</v>
      </c>
      <c r="L20" s="38">
        <f>+IFERROR(IF(GUAYAQUIL[[#This Row],[CODIGO]]="","",VLOOKUP(GUAYAQUIL[[#This Row],[CODIGO]],MAESTRO!$A:$BF,58,FALSE)),"")</f>
        <v>1</v>
      </c>
      <c r="M20" s="27">
        <f>+IFERROR(IF(GUAYAQUIL[[#This Row],[CODIGO]]="","",VLOOKUP(GUAYAQUIL[[#This Row],[CODIGO]],MAESTRO!A:N,14,FALSE)),"")</f>
        <v>3.5</v>
      </c>
      <c r="N20" s="28">
        <f>+IFERROR(IF(GUAYAQUIL[[#This Row],[CODIGO]]="","",VLOOKUP(GUAYAQUIL[[#This Row],[CODIGO]],MAESTRO!A:P,16,FALSE)),"")</f>
        <v>45</v>
      </c>
      <c r="O20" s="45">
        <v>45612</v>
      </c>
      <c r="P20" s="72" t="str">
        <f t="shared" si="0"/>
        <v>sábado</v>
      </c>
      <c r="Q20" s="29">
        <f>IFERROR(IF(GUAYAQUIL[[#This Row],[CODIGO]]="","",IF(GUAYAQUIL[[#This Row],[Fecha Cad]]="","",(GUAYAQUIL[[#This Row],[Fecha Cad]]-GUAYAQUIL[[#This Row],[VIDA UTIL (Días)]]))+1),"")</f>
        <v>45610</v>
      </c>
      <c r="R20" s="45">
        <v>45654</v>
      </c>
      <c r="S20" s="30">
        <f t="shared" ca="1" si="1"/>
        <v>30</v>
      </c>
      <c r="T20" s="31">
        <f t="shared" ca="1" si="2"/>
        <v>0.66666666666666663</v>
      </c>
      <c r="U20" s="286">
        <v>56</v>
      </c>
      <c r="V20" s="262">
        <f>+IFERROR(IF(GUAYAQUIL[[#This Row],[CODIGO]]="","",GUAYAQUIL[[#This Row],[Stock Actual Unds]]*GUAYAQUIL[[#This Row],[Gramaje]]*GUAYAQUIL[[#This Row],[Conversión]]),"")</f>
        <v>196</v>
      </c>
      <c r="W20" s="270">
        <f t="shared" si="3"/>
        <v>2</v>
      </c>
      <c r="X20" s="32">
        <f t="shared" si="4"/>
        <v>0.9555555555555556</v>
      </c>
      <c r="Y20" s="236">
        <f>IFERROR(VLOOKUP(GUAYAQUIL[[#This Row],[CODIGO]],MAESTRO!A:BI,21,FALSE),0)</f>
        <v>2.9180649999999999</v>
      </c>
      <c r="Z20" s="237">
        <f>+IFERROR(IF(GUAYAQUIL[[#This Row],[CODIGO]]="","",GUAYAQUIL[[#This Row],[COSTO UNIT base]]*GUAYAQUIL[[#This Row],[Conversión]]),"")</f>
        <v>2.9180649999999999</v>
      </c>
      <c r="AA20" s="236">
        <f>+IFERROR(IF(GUAYAQUIL[[#This Row],[CODIGO]]="","",GUAYAQUIL[[#This Row],[COSTO UNIT Conv]]*GUAYAQUIL[[#This Row],[Stock Actual Kgs]]),"")</f>
        <v>571.94074000000001</v>
      </c>
      <c r="AB20" s="33">
        <f ca="1">+IFERROR(IF(GUAYAQUIL[[#This Row],[CODIGO]]="","",$J$3-O20),"")</f>
        <v>12</v>
      </c>
      <c r="AC20" s="34" t="str">
        <f ca="1">IF(GUAYAQUIL[[#This Row],[CODIGO]]="","",IF(S20&lt;=0,"CADUCADO",IF(AND(S20&gt;0,S20&lt;=21),"FECHA CORTA",IF(AND(S20&gt;=22,S20&lt;=26),"PROXIMOS FECHA CORTA", "VIGENTE"))))</f>
        <v>VIGENTE</v>
      </c>
      <c r="AD20" s="37">
        <f>+IF(GUAYAQUIL[[#This Row],[CODIGO]]="","",GUAYAQUIL[[#This Row],[Stock Actual Unds]]*GUAYAQUIL[[#This Row],[Gramaje]]*GUAYAQUIL[[#This Row],[Conversión]])/1000</f>
        <v>0.19600000000000001</v>
      </c>
    </row>
    <row r="21" spans="1:30">
      <c r="A21" s="24" t="str">
        <f>+IFERROR(IF(GUAYAQUIL[[#This Row],[CODIGO]]="","",VLOOKUP(GUAYAQUIL[[#This Row],[CODIGO]],MAESTRO!$A:$J,10,FALSE)),"")</f>
        <v>MACHACHI</v>
      </c>
      <c r="B21" s="24" t="str">
        <f>+IFERROR(IF(GUAYAQUIL[[#This Row],[CODIGO]]="","",VLOOKUP(GUAYAQUIL[[#This Row],[CODIGO]],MAESTRO!$A:$Q,17,FALSE)),"")</f>
        <v>BEBIDAS LACTEAS</v>
      </c>
      <c r="C21" s="24" t="str">
        <f>+IFERROR(IF(GUAYAQUIL[[#This Row],[CODIGO]]="","",VLOOKUP(GUAYAQUIL[[#This Row],[CODIGO]],MAESTRO!$A:$BA,53,FALSE)),"")</f>
        <v xml:space="preserve">Luis Armendariz                         </v>
      </c>
      <c r="D21" s="24" t="str">
        <f>+IFERROR(IF(GUAYAQUIL[[#This Row],[CODIGO]]="","",VLOOKUP(GUAYAQUIL[[#This Row],[CODIGO]],MAESTRO!$A:$D,4,FALSE)),"")</f>
        <v>YOGURT KIOSKO</v>
      </c>
      <c r="E21" s="24" t="str">
        <f>+IFERROR(IF(GUAYAQUIL[[#This Row],[CODIGO]]="","",VLOOKUP(GUAYAQUIL[[#This Row],[CODIGO]],MAESTRO!$A:$F,6,FALSE)),"")</f>
        <v>BEBIDA DE YOGURT KIOSKO GALONERA</v>
      </c>
      <c r="F21" s="42" t="str">
        <f>IF(GUAYAQUIL[[#This Row],[CODIGO]]="","",$K$6)</f>
        <v>GUAYAQUIL</v>
      </c>
      <c r="G21" s="42">
        <f>IF(GUAYAQUIL[[#This Row],[CODIGO]]="","",7711)</f>
        <v>7711</v>
      </c>
      <c r="H21" s="42">
        <f>IF(GUAYAQUIL[[#This Row],[CODIGO]]="","",1001)</f>
        <v>1001</v>
      </c>
      <c r="I21" s="258" t="s">
        <v>2579</v>
      </c>
      <c r="J21" s="25" t="str">
        <f>IFERROR((VLOOKUP(GUAYAQUIL[[#This Row],[CODIGO]],MAESTRO!A:B,2,FALSE)),"")</f>
        <v>YOG BBLE KIOSKO DZNO BOT 3.5KG</v>
      </c>
      <c r="K21" s="35">
        <v>104</v>
      </c>
      <c r="L21" s="38">
        <f>+IFERROR(IF(GUAYAQUIL[[#This Row],[CODIGO]]="","",VLOOKUP(GUAYAQUIL[[#This Row],[CODIGO]],MAESTRO!$A:$BF,58,FALSE)),"")</f>
        <v>1</v>
      </c>
      <c r="M21" s="27">
        <f>+IFERROR(IF(GUAYAQUIL[[#This Row],[CODIGO]]="","",VLOOKUP(GUAYAQUIL[[#This Row],[CODIGO]],MAESTRO!A:N,14,FALSE)),"")</f>
        <v>3.5</v>
      </c>
      <c r="N21" s="28">
        <f>+IFERROR(IF(GUAYAQUIL[[#This Row],[CODIGO]]="","",VLOOKUP(GUAYAQUIL[[#This Row],[CODIGO]],MAESTRO!A:P,16,FALSE)),"")</f>
        <v>45</v>
      </c>
      <c r="O21" s="45">
        <v>45611</v>
      </c>
      <c r="P21" s="72" t="str">
        <f t="shared" si="0"/>
        <v>viernes</v>
      </c>
      <c r="Q21" s="29">
        <f>IFERROR(IF(GUAYAQUIL[[#This Row],[CODIGO]]="","",IF(GUAYAQUIL[[#This Row],[Fecha Cad]]="","",(GUAYAQUIL[[#This Row],[Fecha Cad]]-GUAYAQUIL[[#This Row],[VIDA UTIL (Días)]]))+1),"")</f>
        <v>45610</v>
      </c>
      <c r="R21" s="45">
        <v>45654</v>
      </c>
      <c r="S21" s="30">
        <f t="shared" ca="1" si="1"/>
        <v>30</v>
      </c>
      <c r="T21" s="31">
        <f t="shared" ca="1" si="2"/>
        <v>0.66666666666666663</v>
      </c>
      <c r="U21" s="286">
        <v>11</v>
      </c>
      <c r="V21" s="262">
        <f>+IFERROR(IF(GUAYAQUIL[[#This Row],[CODIGO]]="","",GUAYAQUIL[[#This Row],[Stock Actual Unds]]*GUAYAQUIL[[#This Row],[Gramaje]]*GUAYAQUIL[[#This Row],[Conversión]]),"")</f>
        <v>38.5</v>
      </c>
      <c r="W21" s="270">
        <f t="shared" si="3"/>
        <v>1</v>
      </c>
      <c r="X21" s="32">
        <f t="shared" si="4"/>
        <v>0.97777777777777775</v>
      </c>
      <c r="Y21" s="236">
        <f>IFERROR(VLOOKUP(GUAYAQUIL[[#This Row],[CODIGO]],MAESTRO!A:BI,21,FALSE),0)</f>
        <v>2.9180649999999999</v>
      </c>
      <c r="Z21" s="237">
        <f>+IFERROR(IF(GUAYAQUIL[[#This Row],[CODIGO]]="","",GUAYAQUIL[[#This Row],[COSTO UNIT base]]*GUAYAQUIL[[#This Row],[Conversión]]),"")</f>
        <v>2.9180649999999999</v>
      </c>
      <c r="AA21" s="236">
        <f>+IFERROR(IF(GUAYAQUIL[[#This Row],[CODIGO]]="","",GUAYAQUIL[[#This Row],[COSTO UNIT Conv]]*GUAYAQUIL[[#This Row],[Stock Actual Kgs]]),"")</f>
        <v>112.34550249999999</v>
      </c>
      <c r="AB21" s="33">
        <f ca="1">+IFERROR(IF(GUAYAQUIL[[#This Row],[CODIGO]]="","",$J$3-O21),"")</f>
        <v>13</v>
      </c>
      <c r="AC21" s="34" t="str">
        <f ca="1">IF(GUAYAQUIL[[#This Row],[CODIGO]]="","",IF(S21&lt;=0,"CADUCADO",IF(AND(S21&gt;0,S21&lt;=21),"FECHA CORTA",IF(AND(S21&gt;=22,S21&lt;=26),"PROXIMOS FECHA CORTA", "VIGENTE"))))</f>
        <v>VIGENTE</v>
      </c>
      <c r="AD21" s="37">
        <f>+IF(GUAYAQUIL[[#This Row],[CODIGO]]="","",GUAYAQUIL[[#This Row],[Stock Actual Unds]]*GUAYAQUIL[[#This Row],[Gramaje]]*GUAYAQUIL[[#This Row],[Conversión]])/1000</f>
        <v>3.85E-2</v>
      </c>
    </row>
    <row r="22" spans="1:30">
      <c r="A22" s="24" t="str">
        <f>+IFERROR(IF(GUAYAQUIL[[#This Row],[CODIGO]]="","",VLOOKUP(GUAYAQUIL[[#This Row],[CODIGO]],MAESTRO!$A:$J,10,FALSE)),"")</f>
        <v>MACHACHI</v>
      </c>
      <c r="B22" s="24" t="str">
        <f>+IFERROR(IF(GUAYAQUIL[[#This Row],[CODIGO]]="","",VLOOKUP(GUAYAQUIL[[#This Row],[CODIGO]],MAESTRO!$A:$Q,17,FALSE)),"")</f>
        <v>BEBIDAS LACTEAS</v>
      </c>
      <c r="C22" s="24" t="str">
        <f>+IFERROR(IF(GUAYAQUIL[[#This Row],[CODIGO]]="","",VLOOKUP(GUAYAQUIL[[#This Row],[CODIGO]],MAESTRO!$A:$BA,53,FALSE)),"")</f>
        <v xml:space="preserve">Luis Armendariz                         </v>
      </c>
      <c r="D22" s="24" t="str">
        <f>+IFERROR(IF(GUAYAQUIL[[#This Row],[CODIGO]]="","",VLOOKUP(GUAYAQUIL[[#This Row],[CODIGO]],MAESTRO!$A:$D,4,FALSE)),"")</f>
        <v>YOGURT KIOSKO</v>
      </c>
      <c r="E22" s="24" t="str">
        <f>+IFERROR(IF(GUAYAQUIL[[#This Row],[CODIGO]]="","",VLOOKUP(GUAYAQUIL[[#This Row],[CODIGO]],MAESTRO!$A:$F,6,FALSE)),"")</f>
        <v>BEBIDA DE YOGURT KIOSKO GALONERA</v>
      </c>
      <c r="F22" s="42" t="str">
        <f>IF(GUAYAQUIL[[#This Row],[CODIGO]]="","",$K$6)</f>
        <v>GUAYAQUIL</v>
      </c>
      <c r="G22" s="42">
        <f>IF(GUAYAQUIL[[#This Row],[CODIGO]]="","",7711)</f>
        <v>7711</v>
      </c>
      <c r="H22" s="42">
        <f>IF(GUAYAQUIL[[#This Row],[CODIGO]]="","",1001)</f>
        <v>1001</v>
      </c>
      <c r="I22" s="258" t="s">
        <v>2579</v>
      </c>
      <c r="J22" s="25" t="str">
        <f>IFERROR((VLOOKUP(GUAYAQUIL[[#This Row],[CODIGO]],MAESTRO!A:B,2,FALSE)),"")</f>
        <v>YOG BBLE KIOSKO DZNO BOT 3.5KG</v>
      </c>
      <c r="K22" s="35">
        <v>104</v>
      </c>
      <c r="L22" s="38">
        <f>+IFERROR(IF(GUAYAQUIL[[#This Row],[CODIGO]]="","",VLOOKUP(GUAYAQUIL[[#This Row],[CODIGO]],MAESTRO!$A:$BF,58,FALSE)),"")</f>
        <v>1</v>
      </c>
      <c r="M22" s="27">
        <f>+IFERROR(IF(GUAYAQUIL[[#This Row],[CODIGO]]="","",VLOOKUP(GUAYAQUIL[[#This Row],[CODIGO]],MAESTRO!A:N,14,FALSE)),"")</f>
        <v>3.5</v>
      </c>
      <c r="N22" s="28">
        <f>+IFERROR(IF(GUAYAQUIL[[#This Row],[CODIGO]]="","",VLOOKUP(GUAYAQUIL[[#This Row],[CODIGO]],MAESTRO!A:P,16,FALSE)),"")</f>
        <v>45</v>
      </c>
      <c r="O22" s="45">
        <v>45615</v>
      </c>
      <c r="P22" s="72" t="str">
        <f t="shared" si="0"/>
        <v>martes</v>
      </c>
      <c r="Q22" s="29">
        <f>IFERROR(IF(GUAYAQUIL[[#This Row],[CODIGO]]="","",IF(GUAYAQUIL[[#This Row],[Fecha Cad]]="","",(GUAYAQUIL[[#This Row],[Fecha Cad]]-GUAYAQUIL[[#This Row],[VIDA UTIL (Días)]]))+1),"")</f>
        <v>45611</v>
      </c>
      <c r="R22" s="45">
        <v>45655</v>
      </c>
      <c r="S22" s="30">
        <f t="shared" ca="1" si="1"/>
        <v>31</v>
      </c>
      <c r="T22" s="31">
        <f t="shared" ca="1" si="2"/>
        <v>0.68888888888888888</v>
      </c>
      <c r="U22" s="286">
        <v>104</v>
      </c>
      <c r="V22" s="262">
        <f>+IFERROR(IF(GUAYAQUIL[[#This Row],[CODIGO]]="","",GUAYAQUIL[[#This Row],[Stock Actual Unds]]*GUAYAQUIL[[#This Row],[Gramaje]]*GUAYAQUIL[[#This Row],[Conversión]]),"")</f>
        <v>364</v>
      </c>
      <c r="W22" s="270">
        <f t="shared" si="3"/>
        <v>4</v>
      </c>
      <c r="X22" s="32">
        <f t="shared" si="4"/>
        <v>0.91111111111111109</v>
      </c>
      <c r="Y22" s="236">
        <f>IFERROR(VLOOKUP(GUAYAQUIL[[#This Row],[CODIGO]],MAESTRO!A:BI,21,FALSE),0)</f>
        <v>2.9180649999999999</v>
      </c>
      <c r="Z22" s="237">
        <f>+IFERROR(IF(GUAYAQUIL[[#This Row],[CODIGO]]="","",GUAYAQUIL[[#This Row],[COSTO UNIT base]]*GUAYAQUIL[[#This Row],[Conversión]]),"")</f>
        <v>2.9180649999999999</v>
      </c>
      <c r="AA22" s="236">
        <f>+IFERROR(IF(GUAYAQUIL[[#This Row],[CODIGO]]="","",GUAYAQUIL[[#This Row],[COSTO UNIT Conv]]*GUAYAQUIL[[#This Row],[Stock Actual Kgs]]),"")</f>
        <v>1062.1756599999999</v>
      </c>
      <c r="AB22" s="33">
        <f ca="1">+IFERROR(IF(GUAYAQUIL[[#This Row],[CODIGO]]="","",$J$3-O22),"")</f>
        <v>9</v>
      </c>
      <c r="AC22" s="34" t="str">
        <f ca="1">IF(GUAYAQUIL[[#This Row],[CODIGO]]="","",IF(S22&lt;=0,"CADUCADO",IF(AND(S22&gt;0,S22&lt;=21),"FECHA CORTA",IF(AND(S22&gt;=22,S22&lt;=26),"PROXIMOS FECHA CORTA", "VIGENTE"))))</f>
        <v>VIGENTE</v>
      </c>
      <c r="AD22" s="37">
        <f>+IF(GUAYAQUIL[[#This Row],[CODIGO]]="","",GUAYAQUIL[[#This Row],[Stock Actual Unds]]*GUAYAQUIL[[#This Row],[Gramaje]]*GUAYAQUIL[[#This Row],[Conversión]])/1000</f>
        <v>0.36399999999999999</v>
      </c>
    </row>
    <row r="23" spans="1:30">
      <c r="A23" s="24" t="str">
        <f>+IFERROR(IF(GUAYAQUIL[[#This Row],[CODIGO]]="","",VLOOKUP(GUAYAQUIL[[#This Row],[CODIGO]],MAESTRO!$A:$J,10,FALSE)),"")</f>
        <v>MACHACHI</v>
      </c>
      <c r="B23" s="24" t="str">
        <f>+IFERROR(IF(GUAYAQUIL[[#This Row],[CODIGO]]="","",VLOOKUP(GUAYAQUIL[[#This Row],[CODIGO]],MAESTRO!$A:$Q,17,FALSE)),"")</f>
        <v>BEBIDAS LACTEAS</v>
      </c>
      <c r="C23" s="24" t="str">
        <f>+IFERROR(IF(GUAYAQUIL[[#This Row],[CODIGO]]="","",VLOOKUP(GUAYAQUIL[[#This Row],[CODIGO]],MAESTRO!$A:$BA,53,FALSE)),"")</f>
        <v xml:space="preserve">Luis Armendariz                         </v>
      </c>
      <c r="D23" s="24" t="str">
        <f>+IFERROR(IF(GUAYAQUIL[[#This Row],[CODIGO]]="","",VLOOKUP(GUAYAQUIL[[#This Row],[CODIGO]],MAESTRO!$A:$D,4,FALSE)),"")</f>
        <v>YOGURT KIOSKO</v>
      </c>
      <c r="E23" s="24" t="str">
        <f>+IFERROR(IF(GUAYAQUIL[[#This Row],[CODIGO]]="","",VLOOKUP(GUAYAQUIL[[#This Row],[CODIGO]],MAESTRO!$A:$F,6,FALSE)),"")</f>
        <v>BEBIDA DE YOGURT KIOSKO GALONERA</v>
      </c>
      <c r="F23" s="42" t="str">
        <f>IF(GUAYAQUIL[[#This Row],[CODIGO]]="","",$K$6)</f>
        <v>GUAYAQUIL</v>
      </c>
      <c r="G23" s="42">
        <f>IF(GUAYAQUIL[[#This Row],[CODIGO]]="","",7711)</f>
        <v>7711</v>
      </c>
      <c r="H23" s="42">
        <f>IF(GUAYAQUIL[[#This Row],[CODIGO]]="","",1001)</f>
        <v>1001</v>
      </c>
      <c r="I23" s="258" t="s">
        <v>2579</v>
      </c>
      <c r="J23" s="25" t="str">
        <f>IFERROR((VLOOKUP(GUAYAQUIL[[#This Row],[CODIGO]],MAESTRO!A:B,2,FALSE)),"")</f>
        <v>YOG BBLE KIOSKO DZNO BOT 3.5KG</v>
      </c>
      <c r="K23" s="35">
        <v>104</v>
      </c>
      <c r="L23" s="38">
        <f>+IFERROR(IF(GUAYAQUIL[[#This Row],[CODIGO]]="","",VLOOKUP(GUAYAQUIL[[#This Row],[CODIGO]],MAESTRO!$A:$BF,58,FALSE)),"")</f>
        <v>1</v>
      </c>
      <c r="M23" s="27">
        <f>+IFERROR(IF(GUAYAQUIL[[#This Row],[CODIGO]]="","",VLOOKUP(GUAYAQUIL[[#This Row],[CODIGO]],MAESTRO!A:N,14,FALSE)),"")</f>
        <v>3.5</v>
      </c>
      <c r="N23" s="28">
        <f>+IFERROR(IF(GUAYAQUIL[[#This Row],[CODIGO]]="","",VLOOKUP(GUAYAQUIL[[#This Row],[CODIGO]],MAESTRO!A:P,16,FALSE)),"")</f>
        <v>45</v>
      </c>
      <c r="O23" s="45">
        <v>45616</v>
      </c>
      <c r="P23" s="72" t="str">
        <f t="shared" si="0"/>
        <v>miércoles</v>
      </c>
      <c r="Q23" s="29">
        <f>IFERROR(IF(GUAYAQUIL[[#This Row],[CODIGO]]="","",IF(GUAYAQUIL[[#This Row],[Fecha Cad]]="","",(GUAYAQUIL[[#This Row],[Fecha Cad]]-GUAYAQUIL[[#This Row],[VIDA UTIL (Días)]]))+1),"")</f>
        <v>45615</v>
      </c>
      <c r="R23" s="45">
        <v>45659</v>
      </c>
      <c r="S23" s="30">
        <f t="shared" ca="1" si="1"/>
        <v>35</v>
      </c>
      <c r="T23" s="31">
        <f t="shared" ca="1" si="2"/>
        <v>0.77777777777777779</v>
      </c>
      <c r="U23" s="286">
        <v>104</v>
      </c>
      <c r="V23" s="262">
        <f>+IFERROR(IF(GUAYAQUIL[[#This Row],[CODIGO]]="","",GUAYAQUIL[[#This Row],[Stock Actual Unds]]*GUAYAQUIL[[#This Row],[Gramaje]]*GUAYAQUIL[[#This Row],[Conversión]]),"")</f>
        <v>364</v>
      </c>
      <c r="W23" s="270">
        <f t="shared" si="3"/>
        <v>1</v>
      </c>
      <c r="X23" s="32">
        <f t="shared" si="4"/>
        <v>0.97777777777777775</v>
      </c>
      <c r="Y23" s="236">
        <f>IFERROR(VLOOKUP(GUAYAQUIL[[#This Row],[CODIGO]],MAESTRO!A:BI,21,FALSE),0)</f>
        <v>2.9180649999999999</v>
      </c>
      <c r="Z23" s="237">
        <f>+IFERROR(IF(GUAYAQUIL[[#This Row],[CODIGO]]="","",GUAYAQUIL[[#This Row],[COSTO UNIT base]]*GUAYAQUIL[[#This Row],[Conversión]]),"")</f>
        <v>2.9180649999999999</v>
      </c>
      <c r="AA23" s="236">
        <f>+IFERROR(IF(GUAYAQUIL[[#This Row],[CODIGO]]="","",GUAYAQUIL[[#This Row],[COSTO UNIT Conv]]*GUAYAQUIL[[#This Row],[Stock Actual Kgs]]),"")</f>
        <v>1062.1756599999999</v>
      </c>
      <c r="AB23" s="33">
        <f ca="1">+IFERROR(IF(GUAYAQUIL[[#This Row],[CODIGO]]="","",$J$3-O23),"")</f>
        <v>8</v>
      </c>
      <c r="AC23" s="34" t="str">
        <f ca="1">IF(GUAYAQUIL[[#This Row],[CODIGO]]="","",IF(S23&lt;=0,"CADUCADO",IF(AND(S23&gt;0,S23&lt;=21),"FECHA CORTA",IF(AND(S23&gt;=22,S23&lt;=26),"PROXIMOS FECHA CORTA", "VIGENTE"))))</f>
        <v>VIGENTE</v>
      </c>
      <c r="AD23" s="37">
        <f>+IF(GUAYAQUIL[[#This Row],[CODIGO]]="","",GUAYAQUIL[[#This Row],[Stock Actual Unds]]*GUAYAQUIL[[#This Row],[Gramaje]]*GUAYAQUIL[[#This Row],[Conversión]])/1000</f>
        <v>0.36399999999999999</v>
      </c>
    </row>
    <row r="24" spans="1:30">
      <c r="A24" s="24" t="str">
        <f>+IFERROR(IF(GUAYAQUIL[[#This Row],[CODIGO]]="","",VLOOKUP(GUAYAQUIL[[#This Row],[CODIGO]],MAESTRO!$A:$J,10,FALSE)),"")</f>
        <v>MACHACHI</v>
      </c>
      <c r="B24" s="24" t="str">
        <f>+IFERROR(IF(GUAYAQUIL[[#This Row],[CODIGO]]="","",VLOOKUP(GUAYAQUIL[[#This Row],[CODIGO]],MAESTRO!$A:$Q,17,FALSE)),"")</f>
        <v>BEBIDAS LACTEAS</v>
      </c>
      <c r="C24" s="24" t="str">
        <f>+IFERROR(IF(GUAYAQUIL[[#This Row],[CODIGO]]="","",VLOOKUP(GUAYAQUIL[[#This Row],[CODIGO]],MAESTRO!$A:$BA,53,FALSE)),"")</f>
        <v xml:space="preserve">Luis Armendariz                         </v>
      </c>
      <c r="D24" s="24" t="str">
        <f>+IFERROR(IF(GUAYAQUIL[[#This Row],[CODIGO]]="","",VLOOKUP(GUAYAQUIL[[#This Row],[CODIGO]],MAESTRO!$A:$D,4,FALSE)),"")</f>
        <v>YOGURT KIOSKO</v>
      </c>
      <c r="E24" s="24" t="str">
        <f>+IFERROR(IF(GUAYAQUIL[[#This Row],[CODIGO]]="","",VLOOKUP(GUAYAQUIL[[#This Row],[CODIGO]],MAESTRO!$A:$F,6,FALSE)),"")</f>
        <v>BEBIDA DE YOGURT KIOSKO BOTELLA PERSONAL</v>
      </c>
      <c r="F24" s="42" t="str">
        <f>IF(GUAYAQUIL[[#This Row],[CODIGO]]="","",$K$6)</f>
        <v>GUAYAQUIL</v>
      </c>
      <c r="G24" s="42">
        <f>IF(GUAYAQUIL[[#This Row],[CODIGO]]="","",7711)</f>
        <v>7711</v>
      </c>
      <c r="H24" s="42">
        <f>IF(GUAYAQUIL[[#This Row],[CODIGO]]="","",1001)</f>
        <v>1001</v>
      </c>
      <c r="I24" s="258" t="s">
        <v>1604</v>
      </c>
      <c r="J24" s="25" t="str">
        <f>IFERROR((VLOOKUP(GUAYAQUIL[[#This Row],[CODIGO]],MAESTRO!A:B,2,FALSE)),"")</f>
        <v>YOG BBLE KID KK FTLLA BOT 120G</v>
      </c>
      <c r="K24" s="35">
        <v>2730</v>
      </c>
      <c r="L24" s="38">
        <f>+IFERROR(IF(GUAYAQUIL[[#This Row],[CODIGO]]="","",VLOOKUP(GUAYAQUIL[[#This Row],[CODIGO]],MAESTRO!$A:$BF,58,FALSE)),"")</f>
        <v>1</v>
      </c>
      <c r="M24" s="27">
        <f>+IFERROR(IF(GUAYAQUIL[[#This Row],[CODIGO]]="","",VLOOKUP(GUAYAQUIL[[#This Row],[CODIGO]],MAESTRO!A:N,14,FALSE)),"")</f>
        <v>0.12</v>
      </c>
      <c r="N24" s="28">
        <f>+IFERROR(IF(GUAYAQUIL[[#This Row],[CODIGO]]="","",VLOOKUP(GUAYAQUIL[[#This Row],[CODIGO]],MAESTRO!A:P,16,FALSE)),"")</f>
        <v>45</v>
      </c>
      <c r="O24" s="29">
        <v>45605</v>
      </c>
      <c r="P24" s="72" t="str">
        <f t="shared" si="0"/>
        <v>sábado</v>
      </c>
      <c r="Q24" s="29">
        <f>IFERROR(IF(GUAYAQUIL[[#This Row],[CODIGO]]="","",IF(GUAYAQUIL[[#This Row],[Fecha Cad]]="","",(GUAYAQUIL[[#This Row],[Fecha Cad]]-GUAYAQUIL[[#This Row],[VIDA UTIL (Días)]]))+1),"")</f>
        <v>45597</v>
      </c>
      <c r="R24" s="45">
        <v>45641</v>
      </c>
      <c r="S24" s="30">
        <f t="shared" ca="1" si="1"/>
        <v>17</v>
      </c>
      <c r="T24" s="31">
        <f t="shared" ca="1" si="2"/>
        <v>0.37777777777777777</v>
      </c>
      <c r="U24" s="286">
        <v>1</v>
      </c>
      <c r="V24" s="262">
        <f>+IFERROR(IF(GUAYAQUIL[[#This Row],[CODIGO]]="","",GUAYAQUIL[[#This Row],[Stock Actual Unds]]*GUAYAQUIL[[#This Row],[Gramaje]]*GUAYAQUIL[[#This Row],[Conversión]]),"")</f>
        <v>0.12</v>
      </c>
      <c r="W24" s="270">
        <f t="shared" si="3"/>
        <v>8</v>
      </c>
      <c r="X24" s="32">
        <f t="shared" si="4"/>
        <v>0.82222222222222219</v>
      </c>
      <c r="Y24" s="236">
        <f>IFERROR(VLOOKUP(GUAYAQUIL[[#This Row],[CODIGO]],MAESTRO!A:BI,21,FALSE),0)</f>
        <v>0.25833499999999998</v>
      </c>
      <c r="Z24" s="237">
        <f>+IFERROR(IF(GUAYAQUIL[[#This Row],[CODIGO]]="","",GUAYAQUIL[[#This Row],[COSTO UNIT base]]*GUAYAQUIL[[#This Row],[Conversión]]),"")</f>
        <v>0.25833499999999998</v>
      </c>
      <c r="AA24" s="236">
        <f>+IFERROR(IF(GUAYAQUIL[[#This Row],[CODIGO]]="","",GUAYAQUIL[[#This Row],[COSTO UNIT Conv]]*GUAYAQUIL[[#This Row],[Stock Actual Kgs]]),"")</f>
        <v>3.1000199999999995E-2</v>
      </c>
      <c r="AB24" s="33">
        <f ca="1">+IFERROR(IF(GUAYAQUIL[[#This Row],[CODIGO]]="","",$J$3-O24),"")</f>
        <v>19</v>
      </c>
      <c r="AC24" s="34" t="str">
        <f ca="1">IF(GUAYAQUIL[[#This Row],[CODIGO]]="","",IF(S24&lt;=0,"CADUCADO",IF(AND(S24&gt;0,S24&lt;=21),"FECHA CORTA",IF(AND(S24&gt;=22,S24&lt;=26),"PROXIMOS FECHA CORTA", "VIGENTE"))))</f>
        <v>FECHA CORTA</v>
      </c>
      <c r="AD24" s="37">
        <f>+IF(GUAYAQUIL[[#This Row],[CODIGO]]="","",GUAYAQUIL[[#This Row],[Stock Actual Unds]]*GUAYAQUIL[[#This Row],[Gramaje]]*GUAYAQUIL[[#This Row],[Conversión]])/1000</f>
        <v>1.1999999999999999E-4</v>
      </c>
    </row>
    <row r="25" spans="1:30">
      <c r="A25" s="24" t="str">
        <f>+IFERROR(IF(GUAYAQUIL[[#This Row],[CODIGO]]="","",VLOOKUP(GUAYAQUIL[[#This Row],[CODIGO]],MAESTRO!$A:$J,10,FALSE)),"")</f>
        <v>MACHACHI</v>
      </c>
      <c r="B25" s="24" t="str">
        <f>+IFERROR(IF(GUAYAQUIL[[#This Row],[CODIGO]]="","",VLOOKUP(GUAYAQUIL[[#This Row],[CODIGO]],MAESTRO!$A:$Q,17,FALSE)),"")</f>
        <v>BEBIDAS LACTEAS</v>
      </c>
      <c r="C25" s="24" t="str">
        <f>+IFERROR(IF(GUAYAQUIL[[#This Row],[CODIGO]]="","",VLOOKUP(GUAYAQUIL[[#This Row],[CODIGO]],MAESTRO!$A:$BA,53,FALSE)),"")</f>
        <v xml:space="preserve">Luis Armendariz                         </v>
      </c>
      <c r="D25" s="24" t="str">
        <f>+IFERROR(IF(GUAYAQUIL[[#This Row],[CODIGO]]="","",VLOOKUP(GUAYAQUIL[[#This Row],[CODIGO]],MAESTRO!$A:$D,4,FALSE)),"")</f>
        <v>YOGURT KIOSKO</v>
      </c>
      <c r="E25" s="24" t="str">
        <f>+IFERROR(IF(GUAYAQUIL[[#This Row],[CODIGO]]="","",VLOOKUP(GUAYAQUIL[[#This Row],[CODIGO]],MAESTRO!$A:$F,6,FALSE)),"")</f>
        <v>BEBIDA DE YOGURT KIOSKO BOTELLA PERSONAL</v>
      </c>
      <c r="F25" s="42" t="str">
        <f>IF(GUAYAQUIL[[#This Row],[CODIGO]]="","",$K$6)</f>
        <v>GUAYAQUIL</v>
      </c>
      <c r="G25" s="42">
        <f>IF(GUAYAQUIL[[#This Row],[CODIGO]]="","",7711)</f>
        <v>7711</v>
      </c>
      <c r="H25" s="42">
        <f>IF(GUAYAQUIL[[#This Row],[CODIGO]]="","",1001)</f>
        <v>1001</v>
      </c>
      <c r="I25" s="257" t="s">
        <v>1604</v>
      </c>
      <c r="J25" s="25" t="str">
        <f>IFERROR((VLOOKUP(GUAYAQUIL[[#This Row],[CODIGO]],MAESTRO!A:B,2,FALSE)),"")</f>
        <v>YOG BBLE KID KK FTLLA BOT 120G</v>
      </c>
      <c r="K25" s="26">
        <v>728</v>
      </c>
      <c r="L25" s="38">
        <f>+IFERROR(IF(GUAYAQUIL[[#This Row],[CODIGO]]="","",VLOOKUP(GUAYAQUIL[[#This Row],[CODIGO]],MAESTRO!$A:$BF,58,FALSE)),"")</f>
        <v>1</v>
      </c>
      <c r="M25" s="27">
        <f>+IFERROR(IF(GUAYAQUIL[[#This Row],[CODIGO]]="","",VLOOKUP(GUAYAQUIL[[#This Row],[CODIGO]],MAESTRO!A:N,14,FALSE)),"")</f>
        <v>0.12</v>
      </c>
      <c r="N25" s="28">
        <f>+IFERROR(IF(GUAYAQUIL[[#This Row],[CODIGO]]="","",VLOOKUP(GUAYAQUIL[[#This Row],[CODIGO]],MAESTRO!A:P,16,FALSE)),"")</f>
        <v>45</v>
      </c>
      <c r="O25" s="29">
        <v>45612</v>
      </c>
      <c r="P25" s="72" t="str">
        <f t="shared" si="0"/>
        <v>sábado</v>
      </c>
      <c r="Q25" s="29">
        <f>IFERROR(IF(GUAYAQUIL[[#This Row],[CODIGO]]="","",IF(GUAYAQUIL[[#This Row],[Fecha Cad]]="","",(GUAYAQUIL[[#This Row],[Fecha Cad]]-GUAYAQUIL[[#This Row],[VIDA UTIL (Días)]]))+1),"")</f>
        <v>45609</v>
      </c>
      <c r="R25" s="29">
        <v>45653</v>
      </c>
      <c r="S25" s="30">
        <f t="shared" ca="1" si="1"/>
        <v>29</v>
      </c>
      <c r="T25" s="31">
        <f t="shared" ca="1" si="2"/>
        <v>0.64444444444444449</v>
      </c>
      <c r="U25" s="286">
        <v>406</v>
      </c>
      <c r="V25" s="260">
        <f>+IFERROR(IF(GUAYAQUIL[[#This Row],[CODIGO]]="","",GUAYAQUIL[[#This Row],[Stock Actual Unds]]*GUAYAQUIL[[#This Row],[Gramaje]]*GUAYAQUIL[[#This Row],[Conversión]]),"")</f>
        <v>48.72</v>
      </c>
      <c r="W25" s="270">
        <f t="shared" si="3"/>
        <v>3</v>
      </c>
      <c r="X25" s="32">
        <f t="shared" si="4"/>
        <v>0.93333333333333335</v>
      </c>
      <c r="Y25" s="236">
        <f>IFERROR(VLOOKUP(GUAYAQUIL[[#This Row],[CODIGO]],MAESTRO!A:BI,21,FALSE),0)</f>
        <v>0.25833499999999998</v>
      </c>
      <c r="Z25" s="237">
        <f>+IFERROR(IF(GUAYAQUIL[[#This Row],[CODIGO]]="","",GUAYAQUIL[[#This Row],[COSTO UNIT base]]*GUAYAQUIL[[#This Row],[Conversión]]),"")</f>
        <v>0.25833499999999998</v>
      </c>
      <c r="AA25" s="236">
        <f>+IFERROR(IF(GUAYAQUIL[[#This Row],[CODIGO]]="","",GUAYAQUIL[[#This Row],[COSTO UNIT Conv]]*GUAYAQUIL[[#This Row],[Stock Actual Kgs]]),"")</f>
        <v>12.586081199999999</v>
      </c>
      <c r="AB25" s="33">
        <f ca="1">+IFERROR(IF(GUAYAQUIL[[#This Row],[CODIGO]]="","",$J$3-O25),"")</f>
        <v>12</v>
      </c>
      <c r="AC25" s="34" t="str">
        <f ca="1">IF(GUAYAQUIL[[#This Row],[CODIGO]]="","",IF(S25&lt;=0,"CADUCADO",IF(AND(S25&gt;0,S25&lt;=21),"FECHA CORTA",IF(AND(S25&gt;=22,S25&lt;=26),"PROXIMOS FECHA CORTA", "VIGENTE"))))</f>
        <v>VIGENTE</v>
      </c>
      <c r="AD25" s="37">
        <f>+IF(GUAYAQUIL[[#This Row],[CODIGO]]="","",GUAYAQUIL[[#This Row],[Stock Actual Unds]]*GUAYAQUIL[[#This Row],[Gramaje]]*GUAYAQUIL[[#This Row],[Conversión]])/1000</f>
        <v>4.8719999999999999E-2</v>
      </c>
    </row>
    <row r="26" spans="1:30">
      <c r="A26" s="24" t="str">
        <f>+IFERROR(IF(GUAYAQUIL[[#This Row],[CODIGO]]="","",VLOOKUP(GUAYAQUIL[[#This Row],[CODIGO]],MAESTRO!$A:$J,10,FALSE)),"")</f>
        <v>MACHACHI</v>
      </c>
      <c r="B26" s="24" t="str">
        <f>+IFERROR(IF(GUAYAQUIL[[#This Row],[CODIGO]]="","",VLOOKUP(GUAYAQUIL[[#This Row],[CODIGO]],MAESTRO!$A:$Q,17,FALSE)),"")</f>
        <v>BEBIDAS LACTEAS</v>
      </c>
      <c r="C26" s="24" t="str">
        <f>+IFERROR(IF(GUAYAQUIL[[#This Row],[CODIGO]]="","",VLOOKUP(GUAYAQUIL[[#This Row],[CODIGO]],MAESTRO!$A:$BA,53,FALSE)),"")</f>
        <v xml:space="preserve">Luis Armendariz                         </v>
      </c>
      <c r="D26" s="24" t="str">
        <f>+IFERROR(IF(GUAYAQUIL[[#This Row],[CODIGO]]="","",VLOOKUP(GUAYAQUIL[[#This Row],[CODIGO]],MAESTRO!$A:$D,4,FALSE)),"")</f>
        <v>YOGURT KIOSKO</v>
      </c>
      <c r="E26" s="24" t="str">
        <f>+IFERROR(IF(GUAYAQUIL[[#This Row],[CODIGO]]="","",VLOOKUP(GUAYAQUIL[[#This Row],[CODIGO]],MAESTRO!$A:$F,6,FALSE)),"")</f>
        <v>BEBIDA DE YOGURT KIOSKO BOTELLA PERSONAL</v>
      </c>
      <c r="F26" s="42" t="str">
        <f>IF(GUAYAQUIL[[#This Row],[CODIGO]]="","",$K$6)</f>
        <v>GUAYAQUIL</v>
      </c>
      <c r="G26" s="42">
        <f>IF(GUAYAQUIL[[#This Row],[CODIGO]]="","",7711)</f>
        <v>7711</v>
      </c>
      <c r="H26" s="42">
        <f>IF(GUAYAQUIL[[#This Row],[CODIGO]]="","",1001)</f>
        <v>1001</v>
      </c>
      <c r="I26" s="258" t="s">
        <v>1604</v>
      </c>
      <c r="J26" s="25" t="str">
        <f>IFERROR((VLOOKUP(GUAYAQUIL[[#This Row],[CODIGO]],MAESTRO!A:B,2,FALSE)),"")</f>
        <v>YOG BBLE KID KK FTLLA BOT 120G</v>
      </c>
      <c r="K26" s="35">
        <v>364</v>
      </c>
      <c r="L26" s="38">
        <f>+IFERROR(IF(GUAYAQUIL[[#This Row],[CODIGO]]="","",VLOOKUP(GUAYAQUIL[[#This Row],[CODIGO]],MAESTRO!$A:$BF,58,FALSE)),"")</f>
        <v>1</v>
      </c>
      <c r="M26" s="27">
        <f>+IFERROR(IF(GUAYAQUIL[[#This Row],[CODIGO]]="","",VLOOKUP(GUAYAQUIL[[#This Row],[CODIGO]],MAESTRO!A:N,14,FALSE)),"")</f>
        <v>0.12</v>
      </c>
      <c r="N26" s="28">
        <f>+IFERROR(IF(GUAYAQUIL[[#This Row],[CODIGO]]="","",VLOOKUP(GUAYAQUIL[[#This Row],[CODIGO]],MAESTRO!A:P,16,FALSE)),"")</f>
        <v>45</v>
      </c>
      <c r="O26" s="29">
        <v>45610</v>
      </c>
      <c r="P26" s="72" t="str">
        <f t="shared" si="0"/>
        <v>jueves</v>
      </c>
      <c r="Q26" s="29">
        <f>IFERROR(IF(GUAYAQUIL[[#This Row],[CODIGO]]="","",IF(GUAYAQUIL[[#This Row],[Fecha Cad]]="","",(GUAYAQUIL[[#This Row],[Fecha Cad]]-GUAYAQUIL[[#This Row],[VIDA UTIL (Días)]]))+1),"")</f>
        <v>45604</v>
      </c>
      <c r="R26" s="29">
        <v>45648</v>
      </c>
      <c r="S26" s="30">
        <f t="shared" ca="1" si="1"/>
        <v>24</v>
      </c>
      <c r="T26" s="31">
        <f t="shared" ca="1" si="2"/>
        <v>0.53333333333333333</v>
      </c>
      <c r="U26" s="286">
        <v>8</v>
      </c>
      <c r="V26" s="261">
        <f>+IFERROR(IF(GUAYAQUIL[[#This Row],[CODIGO]]="","",GUAYAQUIL[[#This Row],[Stock Actual Unds]]*GUAYAQUIL[[#This Row],[Gramaje]]*GUAYAQUIL[[#This Row],[Conversión]]),"")</f>
        <v>0.96</v>
      </c>
      <c r="W26" s="270">
        <f t="shared" si="3"/>
        <v>6</v>
      </c>
      <c r="X26" s="32">
        <f t="shared" si="4"/>
        <v>0.8666666666666667</v>
      </c>
      <c r="Y26" s="236">
        <f>IFERROR(VLOOKUP(GUAYAQUIL[[#This Row],[CODIGO]],MAESTRO!A:BI,21,FALSE),0)</f>
        <v>0.25833499999999998</v>
      </c>
      <c r="Z26" s="237">
        <f>+IFERROR(IF(GUAYAQUIL[[#This Row],[CODIGO]]="","",GUAYAQUIL[[#This Row],[COSTO UNIT base]]*GUAYAQUIL[[#This Row],[Conversión]]),"")</f>
        <v>0.25833499999999998</v>
      </c>
      <c r="AA26" s="236">
        <f>+IFERROR(IF(GUAYAQUIL[[#This Row],[CODIGO]]="","",GUAYAQUIL[[#This Row],[COSTO UNIT Conv]]*GUAYAQUIL[[#This Row],[Stock Actual Kgs]]),"")</f>
        <v>0.24800159999999996</v>
      </c>
      <c r="AB26" s="33">
        <f ca="1">+IFERROR(IF(GUAYAQUIL[[#This Row],[CODIGO]]="","",$J$3-O26),"")</f>
        <v>14</v>
      </c>
      <c r="AC26" s="34" t="str">
        <f ca="1">IF(GUAYAQUIL[[#This Row],[CODIGO]]="","",IF(S26&lt;=0,"CADUCADO",IF(AND(S26&gt;0,S26&lt;=21),"FECHA CORTA",IF(AND(S26&gt;=22,S26&lt;=26),"PROXIMOS FECHA CORTA", "VIGENTE"))))</f>
        <v>PROXIMOS FECHA CORTA</v>
      </c>
      <c r="AD26" s="37">
        <f>+IF(GUAYAQUIL[[#This Row],[CODIGO]]="","",GUAYAQUIL[[#This Row],[Stock Actual Unds]]*GUAYAQUIL[[#This Row],[Gramaje]]*GUAYAQUIL[[#This Row],[Conversión]])/1000</f>
        <v>9.5999999999999992E-4</v>
      </c>
    </row>
    <row r="27" spans="1:30">
      <c r="A27" s="24" t="str">
        <f>+IFERROR(IF(GUAYAQUIL[[#This Row],[CODIGO]]="","",VLOOKUP(GUAYAQUIL[[#This Row],[CODIGO]],MAESTRO!$A:$J,10,FALSE)),"")</f>
        <v>MACHACHI</v>
      </c>
      <c r="B27" s="24" t="str">
        <f>+IFERROR(IF(GUAYAQUIL[[#This Row],[CODIGO]]="","",VLOOKUP(GUAYAQUIL[[#This Row],[CODIGO]],MAESTRO!$A:$Q,17,FALSE)),"")</f>
        <v>BEBIDAS LACTEAS</v>
      </c>
      <c r="C27" s="24" t="str">
        <f>+IFERROR(IF(GUAYAQUIL[[#This Row],[CODIGO]]="","",VLOOKUP(GUAYAQUIL[[#This Row],[CODIGO]],MAESTRO!$A:$BA,53,FALSE)),"")</f>
        <v xml:space="preserve">Luis Armendariz                         </v>
      </c>
      <c r="D27" s="24" t="str">
        <f>+IFERROR(IF(GUAYAQUIL[[#This Row],[CODIGO]]="","",VLOOKUP(GUAYAQUIL[[#This Row],[CODIGO]],MAESTRO!$A:$D,4,FALSE)),"")</f>
        <v>YOGURT KIOSKO</v>
      </c>
      <c r="E27" s="24" t="str">
        <f>+IFERROR(IF(GUAYAQUIL[[#This Row],[CODIGO]]="","",VLOOKUP(GUAYAQUIL[[#This Row],[CODIGO]],MAESTRO!$A:$F,6,FALSE)),"")</f>
        <v>BEBIDA DE YOGURT KIOSKO BOTELLA PERSONAL</v>
      </c>
      <c r="F27" s="42" t="str">
        <f>IF(GUAYAQUIL[[#This Row],[CODIGO]]="","",$K$6)</f>
        <v>GUAYAQUIL</v>
      </c>
      <c r="G27" s="42">
        <f>IF(GUAYAQUIL[[#This Row],[CODIGO]]="","",7711)</f>
        <v>7711</v>
      </c>
      <c r="H27" s="42">
        <f>IF(GUAYAQUIL[[#This Row],[CODIGO]]="","",1001)</f>
        <v>1001</v>
      </c>
      <c r="I27" s="258" t="s">
        <v>1604</v>
      </c>
      <c r="J27" s="25" t="str">
        <f>IFERROR((VLOOKUP(GUAYAQUIL[[#This Row],[CODIGO]],MAESTRO!A:B,2,FALSE)),"")</f>
        <v>YOG BBLE KID KK FTLLA BOT 120G</v>
      </c>
      <c r="K27" s="35">
        <v>728</v>
      </c>
      <c r="L27" s="38">
        <f>+IFERROR(IF(GUAYAQUIL[[#This Row],[CODIGO]]="","",VLOOKUP(GUAYAQUIL[[#This Row],[CODIGO]],MAESTRO!$A:$BF,58,FALSE)),"")</f>
        <v>1</v>
      </c>
      <c r="M27" s="27">
        <f>+IFERROR(IF(GUAYAQUIL[[#This Row],[CODIGO]]="","",VLOOKUP(GUAYAQUIL[[#This Row],[CODIGO]],MAESTRO!A:N,14,FALSE)),"")</f>
        <v>0.12</v>
      </c>
      <c r="N27" s="28">
        <f>+IFERROR(IF(GUAYAQUIL[[#This Row],[CODIGO]]="","",VLOOKUP(GUAYAQUIL[[#This Row],[CODIGO]],MAESTRO!A:P,16,FALSE)),"")</f>
        <v>45</v>
      </c>
      <c r="O27" s="29">
        <v>45615</v>
      </c>
      <c r="P27" s="72" t="str">
        <f t="shared" si="0"/>
        <v>martes</v>
      </c>
      <c r="Q27" s="29">
        <f>IFERROR(IF(GUAYAQUIL[[#This Row],[CODIGO]]="","",IF(GUAYAQUIL[[#This Row],[Fecha Cad]]="","",(GUAYAQUIL[[#This Row],[Fecha Cad]]-GUAYAQUIL[[#This Row],[VIDA UTIL (Días)]]))+1),"")</f>
        <v>45609</v>
      </c>
      <c r="R27" s="29">
        <v>45653</v>
      </c>
      <c r="S27" s="30">
        <f t="shared" ca="1" si="1"/>
        <v>29</v>
      </c>
      <c r="T27" s="31">
        <f t="shared" ca="1" si="2"/>
        <v>0.64444444444444449</v>
      </c>
      <c r="U27" s="286">
        <v>728</v>
      </c>
      <c r="V27" s="261">
        <f>+IFERROR(IF(GUAYAQUIL[[#This Row],[CODIGO]]="","",GUAYAQUIL[[#This Row],[Stock Actual Unds]]*GUAYAQUIL[[#This Row],[Gramaje]]*GUAYAQUIL[[#This Row],[Conversión]]),"")</f>
        <v>87.36</v>
      </c>
      <c r="W27" s="270">
        <f t="shared" si="3"/>
        <v>6</v>
      </c>
      <c r="X27" s="32">
        <f t="shared" si="4"/>
        <v>0.8666666666666667</v>
      </c>
      <c r="Y27" s="236">
        <f>IFERROR(VLOOKUP(GUAYAQUIL[[#This Row],[CODIGO]],MAESTRO!A:BI,21,FALSE),0)</f>
        <v>0.25833499999999998</v>
      </c>
      <c r="Z27" s="237">
        <f>+IFERROR(IF(GUAYAQUIL[[#This Row],[CODIGO]]="","",GUAYAQUIL[[#This Row],[COSTO UNIT base]]*GUAYAQUIL[[#This Row],[Conversión]]),"")</f>
        <v>0.25833499999999998</v>
      </c>
      <c r="AA27" s="236">
        <f>+IFERROR(IF(GUAYAQUIL[[#This Row],[CODIGO]]="","",GUAYAQUIL[[#This Row],[COSTO UNIT Conv]]*GUAYAQUIL[[#This Row],[Stock Actual Kgs]]),"")</f>
        <v>22.568145599999998</v>
      </c>
      <c r="AB27" s="33">
        <f ca="1">+IFERROR(IF(GUAYAQUIL[[#This Row],[CODIGO]]="","",$J$3-O27),"")</f>
        <v>9</v>
      </c>
      <c r="AC27" s="34" t="str">
        <f ca="1">IF(GUAYAQUIL[[#This Row],[CODIGO]]="","",IF(S27&lt;=0,"CADUCADO",IF(AND(S27&gt;0,S27&lt;=21),"FECHA CORTA",IF(AND(S27&gt;=22,S27&lt;=26),"PROXIMOS FECHA CORTA", "VIGENTE"))))</f>
        <v>VIGENTE</v>
      </c>
      <c r="AD27" s="37">
        <f>+IF(GUAYAQUIL[[#This Row],[CODIGO]]="","",GUAYAQUIL[[#This Row],[Stock Actual Unds]]*GUAYAQUIL[[#This Row],[Gramaje]]*GUAYAQUIL[[#This Row],[Conversión]])/1000</f>
        <v>8.7359999999999993E-2</v>
      </c>
    </row>
    <row r="28" spans="1:30">
      <c r="A28" s="24" t="str">
        <f>+IFERROR(IF(GUAYAQUIL[[#This Row],[CODIGO]]="","",VLOOKUP(GUAYAQUIL[[#This Row],[CODIGO]],MAESTRO!$A:$J,10,FALSE)),"")</f>
        <v>MACHACHI</v>
      </c>
      <c r="B28" s="24" t="str">
        <f>+IFERROR(IF(GUAYAQUIL[[#This Row],[CODIGO]]="","",VLOOKUP(GUAYAQUIL[[#This Row],[CODIGO]],MAESTRO!$A:$Q,17,FALSE)),"")</f>
        <v>BEBIDAS LACTEAS</v>
      </c>
      <c r="C28" s="24" t="str">
        <f>+IFERROR(IF(GUAYAQUIL[[#This Row],[CODIGO]]="","",VLOOKUP(GUAYAQUIL[[#This Row],[CODIGO]],MAESTRO!$A:$BA,53,FALSE)),"")</f>
        <v xml:space="preserve">Luis Armendariz                         </v>
      </c>
      <c r="D28" s="24" t="str">
        <f>+IFERROR(IF(GUAYAQUIL[[#This Row],[CODIGO]]="","",VLOOKUP(GUAYAQUIL[[#This Row],[CODIGO]],MAESTRO!$A:$D,4,FALSE)),"")</f>
        <v>YOGURT KIOSKO</v>
      </c>
      <c r="E28" s="24" t="str">
        <f>+IFERROR(IF(GUAYAQUIL[[#This Row],[CODIGO]]="","",VLOOKUP(GUAYAQUIL[[#This Row],[CODIGO]],MAESTRO!$A:$F,6,FALSE)),"")</f>
        <v>BEBIDA DE YOGURT KIOSKO BOTELLA PERSONAL</v>
      </c>
      <c r="F28" s="42" t="str">
        <f>IF(GUAYAQUIL[[#This Row],[CODIGO]]="","",$K$6)</f>
        <v>GUAYAQUIL</v>
      </c>
      <c r="G28" s="42">
        <f>IF(GUAYAQUIL[[#This Row],[CODIGO]]="","",7711)</f>
        <v>7711</v>
      </c>
      <c r="H28" s="42">
        <f>IF(GUAYAQUIL[[#This Row],[CODIGO]]="","",1001)</f>
        <v>1001</v>
      </c>
      <c r="I28" s="258" t="s">
        <v>1604</v>
      </c>
      <c r="J28" s="25" t="str">
        <f>IFERROR((VLOOKUP(GUAYAQUIL[[#This Row],[CODIGO]],MAESTRO!A:B,2,FALSE)),"")</f>
        <v>YOG BBLE KID KK FTLLA BOT 120G</v>
      </c>
      <c r="K28" s="35">
        <v>1092</v>
      </c>
      <c r="L28" s="38">
        <f>+IFERROR(IF(GUAYAQUIL[[#This Row],[CODIGO]]="","",VLOOKUP(GUAYAQUIL[[#This Row],[CODIGO]],MAESTRO!$A:$BF,58,FALSE)),"")</f>
        <v>1</v>
      </c>
      <c r="M28" s="27">
        <f>+IFERROR(IF(GUAYAQUIL[[#This Row],[CODIGO]]="","",VLOOKUP(GUAYAQUIL[[#This Row],[CODIGO]],MAESTRO!A:N,14,FALSE)),"")</f>
        <v>0.12</v>
      </c>
      <c r="N28" s="28">
        <f>+IFERROR(IF(GUAYAQUIL[[#This Row],[CODIGO]]="","",VLOOKUP(GUAYAQUIL[[#This Row],[CODIGO]],MAESTRO!A:P,16,FALSE)),"")</f>
        <v>45</v>
      </c>
      <c r="O28" s="45">
        <v>45616</v>
      </c>
      <c r="P28" s="72" t="str">
        <f t="shared" si="0"/>
        <v>miércoles</v>
      </c>
      <c r="Q28" s="29">
        <f>IFERROR(IF(GUAYAQUIL[[#This Row],[CODIGO]]="","",IF(GUAYAQUIL[[#This Row],[Fecha Cad]]="","",(GUAYAQUIL[[#This Row],[Fecha Cad]]-GUAYAQUIL[[#This Row],[VIDA UTIL (Días)]]))+1),"")</f>
        <v>45609</v>
      </c>
      <c r="R28" s="45">
        <v>45653</v>
      </c>
      <c r="S28" s="30">
        <f t="shared" ca="1" si="1"/>
        <v>29</v>
      </c>
      <c r="T28" s="31">
        <f t="shared" ca="1" si="2"/>
        <v>0.64444444444444449</v>
      </c>
      <c r="U28" s="286">
        <v>1092</v>
      </c>
      <c r="V28" s="262">
        <f>+IFERROR(IF(GUAYAQUIL[[#This Row],[CODIGO]]="","",GUAYAQUIL[[#This Row],[Stock Actual Unds]]*GUAYAQUIL[[#This Row],[Gramaje]]*GUAYAQUIL[[#This Row],[Conversión]]),"")</f>
        <v>131.04</v>
      </c>
      <c r="W28" s="270">
        <f t="shared" si="3"/>
        <v>7</v>
      </c>
      <c r="X28" s="32">
        <f t="shared" si="4"/>
        <v>0.84444444444444444</v>
      </c>
      <c r="Y28" s="236">
        <f>IFERROR(VLOOKUP(GUAYAQUIL[[#This Row],[CODIGO]],MAESTRO!A:BI,21,FALSE),0)</f>
        <v>0.25833499999999998</v>
      </c>
      <c r="Z28" s="237">
        <f>+IFERROR(IF(GUAYAQUIL[[#This Row],[CODIGO]]="","",GUAYAQUIL[[#This Row],[COSTO UNIT base]]*GUAYAQUIL[[#This Row],[Conversión]]),"")</f>
        <v>0.25833499999999998</v>
      </c>
      <c r="AA28" s="236">
        <f>+IFERROR(IF(GUAYAQUIL[[#This Row],[CODIGO]]="","",GUAYAQUIL[[#This Row],[COSTO UNIT Conv]]*GUAYAQUIL[[#This Row],[Stock Actual Kgs]]),"")</f>
        <v>33.852218399999998</v>
      </c>
      <c r="AB28" s="33">
        <f ca="1">+IFERROR(IF(GUAYAQUIL[[#This Row],[CODIGO]]="","",$J$3-O28),"")</f>
        <v>8</v>
      </c>
      <c r="AC28" s="34" t="str">
        <f ca="1">IF(GUAYAQUIL[[#This Row],[CODIGO]]="","",IF(S28&lt;=0,"CADUCADO",IF(AND(S28&gt;0,S28&lt;=21),"FECHA CORTA",IF(AND(S28&gt;=22,S28&lt;=26),"PROXIMOS FECHA CORTA", "VIGENTE"))))</f>
        <v>VIGENTE</v>
      </c>
      <c r="AD28" s="37">
        <f>+IF(GUAYAQUIL[[#This Row],[CODIGO]]="","",GUAYAQUIL[[#This Row],[Stock Actual Unds]]*GUAYAQUIL[[#This Row],[Gramaje]]*GUAYAQUIL[[#This Row],[Conversión]])/1000</f>
        <v>0.13103999999999999</v>
      </c>
    </row>
    <row r="29" spans="1:30">
      <c r="A29" s="24" t="str">
        <f>+IFERROR(IF(GUAYAQUIL[[#This Row],[CODIGO]]="","",VLOOKUP(GUAYAQUIL[[#This Row],[CODIGO]],MAESTRO!$A:$J,10,FALSE)),"")</f>
        <v>MACHACHI</v>
      </c>
      <c r="B29" s="24" t="str">
        <f>+IFERROR(IF(GUAYAQUIL[[#This Row],[CODIGO]]="","",VLOOKUP(GUAYAQUIL[[#This Row],[CODIGO]],MAESTRO!$A:$Q,17,FALSE)),"")</f>
        <v>BEBIDAS LACTEAS</v>
      </c>
      <c r="C29" s="24" t="str">
        <f>+IFERROR(IF(GUAYAQUIL[[#This Row],[CODIGO]]="","",VLOOKUP(GUAYAQUIL[[#This Row],[CODIGO]],MAESTRO!$A:$BA,53,FALSE)),"")</f>
        <v xml:space="preserve">Luis Armendariz                         </v>
      </c>
      <c r="D29" s="24" t="str">
        <f>+IFERROR(IF(GUAYAQUIL[[#This Row],[CODIGO]]="","",VLOOKUP(GUAYAQUIL[[#This Row],[CODIGO]],MAESTRO!$A:$D,4,FALSE)),"")</f>
        <v>YOGURT KIOSKO</v>
      </c>
      <c r="E29" s="24" t="str">
        <f>+IFERROR(IF(GUAYAQUIL[[#This Row],[CODIGO]]="","",VLOOKUP(GUAYAQUIL[[#This Row],[CODIGO]],MAESTRO!$A:$F,6,FALSE)),"")</f>
        <v>BEBIDA DE YOGURT KIOSKO BOTELLA FAMILIAR</v>
      </c>
      <c r="F29" s="42" t="str">
        <f>IF(GUAYAQUIL[[#This Row],[CODIGO]]="","",$K$6)</f>
        <v>GUAYAQUIL</v>
      </c>
      <c r="G29" s="209">
        <f>IF(GUAYAQUIL[[#This Row],[CODIGO]]="","",7711)</f>
        <v>7711</v>
      </c>
      <c r="H29" s="209">
        <f>IF(GUAYAQUIL[[#This Row],[CODIGO]]="","",1001)</f>
        <v>1001</v>
      </c>
      <c r="I29" s="258" t="s">
        <v>3223</v>
      </c>
      <c r="J29" s="25" t="str">
        <f>IFERROR((VLOOKUP(GUAYAQUIL[[#This Row],[CODIGO]],MAESTRO!A:B,2,FALSE)),"")</f>
        <v>YOG BBLE KIOSKO MOR BOT 950G</v>
      </c>
      <c r="K29" s="35">
        <v>18</v>
      </c>
      <c r="L29" s="38">
        <f>+IFERROR(IF(GUAYAQUIL[[#This Row],[CODIGO]]="","",VLOOKUP(GUAYAQUIL[[#This Row],[CODIGO]],MAESTRO!$A:$BF,58,FALSE)),"")</f>
        <v>1</v>
      </c>
      <c r="M29" s="27">
        <f>+IFERROR(IF(GUAYAQUIL[[#This Row],[CODIGO]]="","",VLOOKUP(GUAYAQUIL[[#This Row],[CODIGO]],MAESTRO!A:N,14,FALSE)),"")</f>
        <v>0.95</v>
      </c>
      <c r="N29" s="28">
        <f>+IFERROR(IF(GUAYAQUIL[[#This Row],[CODIGO]]="","",VLOOKUP(GUAYAQUIL[[#This Row],[CODIGO]],MAESTRO!A:P,16,FALSE)),"")</f>
        <v>45</v>
      </c>
      <c r="O29" s="45">
        <v>45612</v>
      </c>
      <c r="P29" s="72" t="str">
        <f t="shared" si="0"/>
        <v>sábado</v>
      </c>
      <c r="Q29" s="29">
        <f>IFERROR(IF(GUAYAQUIL[[#This Row],[CODIGO]]="","",IF(GUAYAQUIL[[#This Row],[Fecha Cad]]="","",(GUAYAQUIL[[#This Row],[Fecha Cad]]-GUAYAQUIL[[#This Row],[VIDA UTIL (Días)]]))+1),"")</f>
        <v>45604</v>
      </c>
      <c r="R29" s="45">
        <v>45648</v>
      </c>
      <c r="S29" s="30">
        <f t="shared" ca="1" si="1"/>
        <v>24</v>
      </c>
      <c r="T29" s="31">
        <f t="shared" ca="1" si="2"/>
        <v>0.53333333333333333</v>
      </c>
      <c r="U29" s="286">
        <v>18</v>
      </c>
      <c r="V29" s="262">
        <f>+IFERROR(IF(GUAYAQUIL[[#This Row],[CODIGO]]="","",GUAYAQUIL[[#This Row],[Stock Actual Unds]]*GUAYAQUIL[[#This Row],[Gramaje]]*GUAYAQUIL[[#This Row],[Conversión]]),"")</f>
        <v>17.099999999999998</v>
      </c>
      <c r="W29" s="270">
        <f t="shared" si="3"/>
        <v>8</v>
      </c>
      <c r="X29" s="32">
        <f t="shared" si="4"/>
        <v>0.82222222222222219</v>
      </c>
      <c r="Y29" s="236">
        <f>IFERROR(VLOOKUP(GUAYAQUIL[[#This Row],[CODIGO]],MAESTRO!A:BI,21,FALSE),0)</f>
        <v>1.02759</v>
      </c>
      <c r="Z29" s="237">
        <f>+IFERROR(IF(GUAYAQUIL[[#This Row],[CODIGO]]="","",GUAYAQUIL[[#This Row],[COSTO UNIT base]]*GUAYAQUIL[[#This Row],[Conversión]]),"")</f>
        <v>1.02759</v>
      </c>
      <c r="AA29" s="236">
        <f>+IFERROR(IF(GUAYAQUIL[[#This Row],[CODIGO]]="","",GUAYAQUIL[[#This Row],[COSTO UNIT Conv]]*GUAYAQUIL[[#This Row],[Stock Actual Kgs]]),"")</f>
        <v>17.571788999999999</v>
      </c>
      <c r="AB29" s="33">
        <f ca="1">+IFERROR(IF(GUAYAQUIL[[#This Row],[CODIGO]]="","",$J$3-O29),"")</f>
        <v>12</v>
      </c>
      <c r="AC29" s="34" t="str">
        <f ca="1">IF(GUAYAQUIL[[#This Row],[CODIGO]]="","",IF(S29&lt;=0,"CADUCADO",IF(AND(S29&gt;0,S29&lt;=21),"FECHA CORTA",IF(AND(S29&gt;=22,S29&lt;=26),"PROXIMOS FECHA CORTA", "VIGENTE"))))</f>
        <v>PROXIMOS FECHA CORTA</v>
      </c>
      <c r="AD29" s="37">
        <f>+IF(GUAYAQUIL[[#This Row],[CODIGO]]="","",GUAYAQUIL[[#This Row],[Stock Actual Unds]]*GUAYAQUIL[[#This Row],[Gramaje]]*GUAYAQUIL[[#This Row],[Conversión]])/1000</f>
        <v>1.7099999999999997E-2</v>
      </c>
    </row>
    <row r="30" spans="1:30">
      <c r="A30" s="24" t="str">
        <f>+IFERROR(IF(GUAYAQUIL[[#This Row],[CODIGO]]="","",VLOOKUP(GUAYAQUIL[[#This Row],[CODIGO]],MAESTRO!$A:$J,10,FALSE)),"")</f>
        <v>MACHACHI</v>
      </c>
      <c r="B30" s="24" t="str">
        <f>+IFERROR(IF(GUAYAQUIL[[#This Row],[CODIGO]]="","",VLOOKUP(GUAYAQUIL[[#This Row],[CODIGO]],MAESTRO!$A:$Q,17,FALSE)),"")</f>
        <v>BEBIDAS LACTEAS</v>
      </c>
      <c r="C30" s="24" t="str">
        <f>+IFERROR(IF(GUAYAQUIL[[#This Row],[CODIGO]]="","",VLOOKUP(GUAYAQUIL[[#This Row],[CODIGO]],MAESTRO!$A:$BA,53,FALSE)),"")</f>
        <v xml:space="preserve">Luis Armendariz                         </v>
      </c>
      <c r="D30" s="24" t="str">
        <f>+IFERROR(IF(GUAYAQUIL[[#This Row],[CODIGO]]="","",VLOOKUP(GUAYAQUIL[[#This Row],[CODIGO]],MAESTRO!$A:$D,4,FALSE)),"")</f>
        <v>YOGURT KIOSKO</v>
      </c>
      <c r="E30" s="24" t="str">
        <f>+IFERROR(IF(GUAYAQUIL[[#This Row],[CODIGO]]="","",VLOOKUP(GUAYAQUIL[[#This Row],[CODIGO]],MAESTRO!$A:$F,6,FALSE)),"")</f>
        <v>BEBIDA DE YOGURT KIOSKO BOTELLA FAMILIAR</v>
      </c>
      <c r="F30" s="42" t="str">
        <f>IF(GUAYAQUIL[[#This Row],[CODIGO]]="","",$K$6)</f>
        <v>GUAYAQUIL</v>
      </c>
      <c r="G30" s="42">
        <f>IF(GUAYAQUIL[[#This Row],[CODIGO]]="","",7711)</f>
        <v>7711</v>
      </c>
      <c r="H30" s="42">
        <f>IF(GUAYAQUIL[[#This Row],[CODIGO]]="","",1001)</f>
        <v>1001</v>
      </c>
      <c r="I30" s="258" t="s">
        <v>3223</v>
      </c>
      <c r="J30" s="25" t="str">
        <f>IFERROR((VLOOKUP(GUAYAQUIL[[#This Row],[CODIGO]],MAESTRO!A:B,2,FALSE)),"")</f>
        <v>YOG BBLE KIOSKO MOR BOT 950G</v>
      </c>
      <c r="K30" s="35">
        <v>18</v>
      </c>
      <c r="L30" s="38">
        <f>+IFERROR(IF(GUAYAQUIL[[#This Row],[CODIGO]]="","",VLOOKUP(GUAYAQUIL[[#This Row],[CODIGO]],MAESTRO!$A:$BF,58,FALSE)),"")</f>
        <v>1</v>
      </c>
      <c r="M30" s="27">
        <f>+IFERROR(IF(GUAYAQUIL[[#This Row],[CODIGO]]="","",VLOOKUP(GUAYAQUIL[[#This Row],[CODIGO]],MAESTRO!A:N,14,FALSE)),"")</f>
        <v>0.95</v>
      </c>
      <c r="N30" s="28">
        <f>+IFERROR(IF(GUAYAQUIL[[#This Row],[CODIGO]]="","",VLOOKUP(GUAYAQUIL[[#This Row],[CODIGO]],MAESTRO!A:P,16,FALSE)),"")</f>
        <v>45</v>
      </c>
      <c r="O30" s="29">
        <v>45611</v>
      </c>
      <c r="P30" s="72" t="str">
        <f t="shared" si="0"/>
        <v>viernes</v>
      </c>
      <c r="Q30" s="29">
        <f>IFERROR(IF(GUAYAQUIL[[#This Row],[CODIGO]]="","",IF(GUAYAQUIL[[#This Row],[Fecha Cad]]="","",(GUAYAQUIL[[#This Row],[Fecha Cad]]-GUAYAQUIL[[#This Row],[VIDA UTIL (Días)]]))+1),"")</f>
        <v>45604</v>
      </c>
      <c r="R30" s="29">
        <v>45648</v>
      </c>
      <c r="S30" s="30">
        <f t="shared" ca="1" si="1"/>
        <v>24</v>
      </c>
      <c r="T30" s="31">
        <f t="shared" ca="1" si="2"/>
        <v>0.53333333333333333</v>
      </c>
      <c r="U30" s="286">
        <v>18</v>
      </c>
      <c r="V30" s="261">
        <f>+IFERROR(IF(GUAYAQUIL[[#This Row],[CODIGO]]="","",GUAYAQUIL[[#This Row],[Stock Actual Unds]]*GUAYAQUIL[[#This Row],[Gramaje]]*GUAYAQUIL[[#This Row],[Conversión]]),"")</f>
        <v>17.099999999999998</v>
      </c>
      <c r="W30" s="270">
        <f t="shared" si="3"/>
        <v>7</v>
      </c>
      <c r="X30" s="32">
        <f t="shared" si="4"/>
        <v>0.84444444444444444</v>
      </c>
      <c r="Y30" s="236">
        <f>IFERROR(VLOOKUP(GUAYAQUIL[[#This Row],[CODIGO]],MAESTRO!A:BI,21,FALSE),0)</f>
        <v>1.02759</v>
      </c>
      <c r="Z30" s="237">
        <f>+IFERROR(IF(GUAYAQUIL[[#This Row],[CODIGO]]="","",GUAYAQUIL[[#This Row],[COSTO UNIT base]]*GUAYAQUIL[[#This Row],[Conversión]]),"")</f>
        <v>1.02759</v>
      </c>
      <c r="AA30" s="236">
        <f>+IFERROR(IF(GUAYAQUIL[[#This Row],[CODIGO]]="","",GUAYAQUIL[[#This Row],[COSTO UNIT Conv]]*GUAYAQUIL[[#This Row],[Stock Actual Kgs]]),"")</f>
        <v>17.571788999999999</v>
      </c>
      <c r="AB30" s="33">
        <f ca="1">+IFERROR(IF(GUAYAQUIL[[#This Row],[CODIGO]]="","",$J$3-O30),"")</f>
        <v>13</v>
      </c>
      <c r="AC30" s="34" t="str">
        <f ca="1">IF(GUAYAQUIL[[#This Row],[CODIGO]]="","",IF(S30&lt;=0,"CADUCADO",IF(AND(S30&gt;0,S30&lt;=21),"FECHA CORTA",IF(AND(S30&gt;=22,S30&lt;=26),"PROXIMOS FECHA CORTA", "VIGENTE"))))</f>
        <v>PROXIMOS FECHA CORTA</v>
      </c>
      <c r="AD30" s="37">
        <f>+IF(GUAYAQUIL[[#This Row],[CODIGO]]="","",GUAYAQUIL[[#This Row],[Stock Actual Unds]]*GUAYAQUIL[[#This Row],[Gramaje]]*GUAYAQUIL[[#This Row],[Conversión]])/1000</f>
        <v>1.7099999999999997E-2</v>
      </c>
    </row>
    <row r="31" spans="1:30">
      <c r="A31" s="24" t="str">
        <f>+IFERROR(IF(GUAYAQUIL[[#This Row],[CODIGO]]="","",VLOOKUP(GUAYAQUIL[[#This Row],[CODIGO]],MAESTRO!$A:$J,10,FALSE)),"")</f>
        <v>MACHACHI</v>
      </c>
      <c r="B31" s="24" t="str">
        <f>+IFERROR(IF(GUAYAQUIL[[#This Row],[CODIGO]]="","",VLOOKUP(GUAYAQUIL[[#This Row],[CODIGO]],MAESTRO!$A:$Q,17,FALSE)),"")</f>
        <v>BEBIDAS LACTEAS</v>
      </c>
      <c r="C31" s="24" t="str">
        <f>+IFERROR(IF(GUAYAQUIL[[#This Row],[CODIGO]]="","",VLOOKUP(GUAYAQUIL[[#This Row],[CODIGO]],MAESTRO!$A:$BA,53,FALSE)),"")</f>
        <v xml:space="preserve">Luis Armendariz                         </v>
      </c>
      <c r="D31" s="24" t="str">
        <f>+IFERROR(IF(GUAYAQUIL[[#This Row],[CODIGO]]="","",VLOOKUP(GUAYAQUIL[[#This Row],[CODIGO]],MAESTRO!$A:$D,4,FALSE)),"")</f>
        <v>YOGURT KIOSKO</v>
      </c>
      <c r="E31" s="24" t="str">
        <f>+IFERROR(IF(GUAYAQUIL[[#This Row],[CODIGO]]="","",VLOOKUP(GUAYAQUIL[[#This Row],[CODIGO]],MAESTRO!$A:$F,6,FALSE)),"")</f>
        <v>BEBIDA DE YOGURT KIOSKO BOTELLA FAMILIAR</v>
      </c>
      <c r="F31" s="42" t="str">
        <f>IF(GUAYAQUIL[[#This Row],[CODIGO]]="","",$K$6)</f>
        <v>GUAYAQUIL</v>
      </c>
      <c r="G31" s="42">
        <f>IF(GUAYAQUIL[[#This Row],[CODIGO]]="","",7711)</f>
        <v>7711</v>
      </c>
      <c r="H31" s="42">
        <f>IF(GUAYAQUIL[[#This Row],[CODIGO]]="","",1001)</f>
        <v>1001</v>
      </c>
      <c r="I31" s="258" t="s">
        <v>3223</v>
      </c>
      <c r="J31" s="25" t="str">
        <f>IFERROR((VLOOKUP(GUAYAQUIL[[#This Row],[CODIGO]],MAESTRO!A:B,2,FALSE)),"")</f>
        <v>YOG BBLE KIOSKO MOR BOT 950G</v>
      </c>
      <c r="K31" s="35">
        <v>18</v>
      </c>
      <c r="L31" s="38">
        <f>+IFERROR(IF(GUAYAQUIL[[#This Row],[CODIGO]]="","",VLOOKUP(GUAYAQUIL[[#This Row],[CODIGO]],MAESTRO!$A:$BF,58,FALSE)),"")</f>
        <v>1</v>
      </c>
      <c r="M31" s="27">
        <f>+IFERROR(IF(GUAYAQUIL[[#This Row],[CODIGO]]="","",VLOOKUP(GUAYAQUIL[[#This Row],[CODIGO]],MAESTRO!A:N,14,FALSE)),"")</f>
        <v>0.95</v>
      </c>
      <c r="N31" s="28">
        <f>+IFERROR(IF(GUAYAQUIL[[#This Row],[CODIGO]]="","",VLOOKUP(GUAYAQUIL[[#This Row],[CODIGO]],MAESTRO!A:P,16,FALSE)),"")</f>
        <v>45</v>
      </c>
      <c r="O31" s="29">
        <v>45610</v>
      </c>
      <c r="P31" s="72" t="str">
        <f t="shared" si="0"/>
        <v>jueves</v>
      </c>
      <c r="Q31" s="29">
        <f>IFERROR(IF(GUAYAQUIL[[#This Row],[CODIGO]]="","",IF(GUAYAQUIL[[#This Row],[Fecha Cad]]="","",(GUAYAQUIL[[#This Row],[Fecha Cad]]-GUAYAQUIL[[#This Row],[VIDA UTIL (Días)]]))+1),"")</f>
        <v>45604</v>
      </c>
      <c r="R31" s="29">
        <v>45648</v>
      </c>
      <c r="S31" s="30">
        <f t="shared" ca="1" si="1"/>
        <v>24</v>
      </c>
      <c r="T31" s="31">
        <f t="shared" ca="1" si="2"/>
        <v>0.53333333333333333</v>
      </c>
      <c r="U31" s="286">
        <v>3</v>
      </c>
      <c r="V31" s="261">
        <f>+IFERROR(IF(GUAYAQUIL[[#This Row],[CODIGO]]="","",GUAYAQUIL[[#This Row],[Stock Actual Unds]]*GUAYAQUIL[[#This Row],[Gramaje]]*GUAYAQUIL[[#This Row],[Conversión]]),"")</f>
        <v>2.8499999999999996</v>
      </c>
      <c r="W31" s="270">
        <f t="shared" si="3"/>
        <v>6</v>
      </c>
      <c r="X31" s="32">
        <f t="shared" si="4"/>
        <v>0.8666666666666667</v>
      </c>
      <c r="Y31" s="236">
        <f>IFERROR(VLOOKUP(GUAYAQUIL[[#This Row],[CODIGO]],MAESTRO!A:BI,21,FALSE),0)</f>
        <v>1.02759</v>
      </c>
      <c r="Z31" s="237">
        <f>+IFERROR(IF(GUAYAQUIL[[#This Row],[CODIGO]]="","",GUAYAQUIL[[#This Row],[COSTO UNIT base]]*GUAYAQUIL[[#This Row],[Conversión]]),"")</f>
        <v>1.02759</v>
      </c>
      <c r="AA31" s="236">
        <f>+IFERROR(IF(GUAYAQUIL[[#This Row],[CODIGO]]="","",GUAYAQUIL[[#This Row],[COSTO UNIT Conv]]*GUAYAQUIL[[#This Row],[Stock Actual Kgs]]),"")</f>
        <v>2.9286314999999998</v>
      </c>
      <c r="AB31" s="33">
        <f ca="1">+IFERROR(IF(GUAYAQUIL[[#This Row],[CODIGO]]="","",$J$3-O31),"")</f>
        <v>14</v>
      </c>
      <c r="AC31" s="34" t="str">
        <f ca="1">IF(GUAYAQUIL[[#This Row],[CODIGO]]="","",IF(S31&lt;=0,"CADUCADO",IF(AND(S31&gt;0,S31&lt;=21),"FECHA CORTA",IF(AND(S31&gt;=22,S31&lt;=26),"PROXIMOS FECHA CORTA", "VIGENTE"))))</f>
        <v>PROXIMOS FECHA CORTA</v>
      </c>
      <c r="AD31" s="37">
        <f>+IF(GUAYAQUIL[[#This Row],[CODIGO]]="","",GUAYAQUIL[[#This Row],[Stock Actual Unds]]*GUAYAQUIL[[#This Row],[Gramaje]]*GUAYAQUIL[[#This Row],[Conversión]])/1000</f>
        <v>2.8499999999999997E-3</v>
      </c>
    </row>
    <row r="32" spans="1:30">
      <c r="A32" s="24" t="str">
        <f>+IFERROR(IF(GUAYAQUIL[[#This Row],[CODIGO]]="","",VLOOKUP(GUAYAQUIL[[#This Row],[CODIGO]],MAESTRO!$A:$J,10,FALSE)),"")</f>
        <v>MACHACHI</v>
      </c>
      <c r="B32" s="24" t="str">
        <f>+IFERROR(IF(GUAYAQUIL[[#This Row],[CODIGO]]="","",VLOOKUP(GUAYAQUIL[[#This Row],[CODIGO]],MAESTRO!$A:$Q,17,FALSE)),"")</f>
        <v>BEBIDAS LACTEAS</v>
      </c>
      <c r="C32" s="24" t="str">
        <f>+IFERROR(IF(GUAYAQUIL[[#This Row],[CODIGO]]="","",VLOOKUP(GUAYAQUIL[[#This Row],[CODIGO]],MAESTRO!$A:$BA,53,FALSE)),"")</f>
        <v xml:space="preserve">Luis Armendariz                         </v>
      </c>
      <c r="D32" s="24" t="str">
        <f>+IFERROR(IF(GUAYAQUIL[[#This Row],[CODIGO]]="","",VLOOKUP(GUAYAQUIL[[#This Row],[CODIGO]],MAESTRO!$A:$D,4,FALSE)),"")</f>
        <v>YOGURT KIOSKO</v>
      </c>
      <c r="E32" s="24" t="str">
        <f>+IFERROR(IF(GUAYAQUIL[[#This Row],[CODIGO]]="","",VLOOKUP(GUAYAQUIL[[#This Row],[CODIGO]],MAESTRO!$A:$F,6,FALSE)),"")</f>
        <v>BEBIDA DE YOGURT KIOSKO BOTELLA FAMILIAR</v>
      </c>
      <c r="F32" s="42" t="str">
        <f>IF(GUAYAQUIL[[#This Row],[CODIGO]]="","",$K$6)</f>
        <v>GUAYAQUIL</v>
      </c>
      <c r="G32" s="42">
        <f>IF(GUAYAQUIL[[#This Row],[CODIGO]]="","",7711)</f>
        <v>7711</v>
      </c>
      <c r="H32" s="42">
        <f>IF(GUAYAQUIL[[#This Row],[CODIGO]]="","",1001)</f>
        <v>1001</v>
      </c>
      <c r="I32" s="258" t="s">
        <v>3223</v>
      </c>
      <c r="J32" s="25" t="str">
        <f>IFERROR((VLOOKUP(GUAYAQUIL[[#This Row],[CODIGO]],MAESTRO!A:B,2,FALSE)),"")</f>
        <v>YOG BBLE KIOSKO MOR BOT 950G</v>
      </c>
      <c r="K32" s="35">
        <v>18</v>
      </c>
      <c r="L32" s="38">
        <f>+IFERROR(IF(GUAYAQUIL[[#This Row],[CODIGO]]="","",VLOOKUP(GUAYAQUIL[[#This Row],[CODIGO]],MAESTRO!$A:$BF,58,FALSE)),"")</f>
        <v>1</v>
      </c>
      <c r="M32" s="27">
        <f>+IFERROR(IF(GUAYAQUIL[[#This Row],[CODIGO]]="","",VLOOKUP(GUAYAQUIL[[#This Row],[CODIGO]],MAESTRO!A:N,14,FALSE)),"")</f>
        <v>0.95</v>
      </c>
      <c r="N32" s="28">
        <f>+IFERROR(IF(GUAYAQUIL[[#This Row],[CODIGO]]="","",VLOOKUP(GUAYAQUIL[[#This Row],[CODIGO]],MAESTRO!A:P,16,FALSE)),"")</f>
        <v>45</v>
      </c>
      <c r="O32" s="29">
        <v>45615</v>
      </c>
      <c r="P32" s="72" t="str">
        <f t="shared" si="0"/>
        <v>martes</v>
      </c>
      <c r="Q32" s="29">
        <f>IFERROR(IF(GUAYAQUIL[[#This Row],[CODIGO]]="","",IF(GUAYAQUIL[[#This Row],[Fecha Cad]]="","",(GUAYAQUIL[[#This Row],[Fecha Cad]]-GUAYAQUIL[[#This Row],[VIDA UTIL (Días)]]))+1),"")</f>
        <v>45611</v>
      </c>
      <c r="R32" s="29">
        <v>45655</v>
      </c>
      <c r="S32" s="30">
        <f t="shared" ca="1" si="1"/>
        <v>31</v>
      </c>
      <c r="T32" s="31">
        <f t="shared" ca="1" si="2"/>
        <v>0.68888888888888888</v>
      </c>
      <c r="U32" s="286">
        <v>0</v>
      </c>
      <c r="V32" s="261">
        <f>+IFERROR(IF(GUAYAQUIL[[#This Row],[CODIGO]]="","",GUAYAQUIL[[#This Row],[Stock Actual Unds]]*GUAYAQUIL[[#This Row],[Gramaje]]*GUAYAQUIL[[#This Row],[Conversión]]),"")</f>
        <v>0</v>
      </c>
      <c r="W32" s="270">
        <f t="shared" si="3"/>
        <v>4</v>
      </c>
      <c r="X32" s="32">
        <f t="shared" si="4"/>
        <v>0.91111111111111109</v>
      </c>
      <c r="Y32" s="236">
        <f>IFERROR(VLOOKUP(GUAYAQUIL[[#This Row],[CODIGO]],MAESTRO!A:BI,21,FALSE),0)</f>
        <v>1.02759</v>
      </c>
      <c r="Z32" s="237">
        <f>+IFERROR(IF(GUAYAQUIL[[#This Row],[CODIGO]]="","",GUAYAQUIL[[#This Row],[COSTO UNIT base]]*GUAYAQUIL[[#This Row],[Conversión]]),"")</f>
        <v>1.02759</v>
      </c>
      <c r="AA32" s="236">
        <f>+IFERROR(IF(GUAYAQUIL[[#This Row],[CODIGO]]="","",GUAYAQUIL[[#This Row],[COSTO UNIT Conv]]*GUAYAQUIL[[#This Row],[Stock Actual Kgs]]),"")</f>
        <v>0</v>
      </c>
      <c r="AB32" s="33">
        <f ca="1">+IFERROR(IF(GUAYAQUIL[[#This Row],[CODIGO]]="","",$J$3-O32),"")</f>
        <v>9</v>
      </c>
      <c r="AC32" s="34" t="str">
        <f ca="1">IF(GUAYAQUIL[[#This Row],[CODIGO]]="","",IF(S32&lt;=0,"CADUCADO",IF(AND(S32&gt;0,S32&lt;=21),"FECHA CORTA",IF(AND(S32&gt;=22,S32&lt;=26),"PROXIMOS FECHA CORTA", "VIGENTE"))))</f>
        <v>VIGENTE</v>
      </c>
      <c r="AD32" s="37">
        <f>+IF(GUAYAQUIL[[#This Row],[CODIGO]]="","",GUAYAQUIL[[#This Row],[Stock Actual Unds]]*GUAYAQUIL[[#This Row],[Gramaje]]*GUAYAQUIL[[#This Row],[Conversión]])/1000</f>
        <v>0</v>
      </c>
    </row>
    <row r="33" spans="1:30">
      <c r="A33" s="24" t="str">
        <f>+IFERROR(IF(GUAYAQUIL[[#This Row],[CODIGO]]="","",VLOOKUP(GUAYAQUIL[[#This Row],[CODIGO]],MAESTRO!$A:$J,10,FALSE)),"")</f>
        <v>MACHACHI</v>
      </c>
      <c r="B33" s="24" t="str">
        <f>+IFERROR(IF(GUAYAQUIL[[#This Row],[CODIGO]]="","",VLOOKUP(GUAYAQUIL[[#This Row],[CODIGO]],MAESTRO!$A:$Q,17,FALSE)),"")</f>
        <v>BEBIDAS LACTEAS</v>
      </c>
      <c r="C33" s="24" t="str">
        <f>+IFERROR(IF(GUAYAQUIL[[#This Row],[CODIGO]]="","",VLOOKUP(GUAYAQUIL[[#This Row],[CODIGO]],MAESTRO!$A:$BA,53,FALSE)),"")</f>
        <v xml:space="preserve">Luis Armendariz                         </v>
      </c>
      <c r="D33" s="24" t="str">
        <f>+IFERROR(IF(GUAYAQUIL[[#This Row],[CODIGO]]="","",VLOOKUP(GUAYAQUIL[[#This Row],[CODIGO]],MAESTRO!$A:$D,4,FALSE)),"")</f>
        <v>YOGURT KIOSKO</v>
      </c>
      <c r="E33" s="24" t="str">
        <f>+IFERROR(IF(GUAYAQUIL[[#This Row],[CODIGO]]="","",VLOOKUP(GUAYAQUIL[[#This Row],[CODIGO]],MAESTRO!$A:$F,6,FALSE)),"")</f>
        <v>BEBIDA DE YOGURT KIOSKO BOTELLA FAMILIAR</v>
      </c>
      <c r="F33" s="42" t="str">
        <f>IF(GUAYAQUIL[[#This Row],[CODIGO]]="","",$K$6)</f>
        <v>GUAYAQUIL</v>
      </c>
      <c r="G33" s="42">
        <f>IF(GUAYAQUIL[[#This Row],[CODIGO]]="","",7711)</f>
        <v>7711</v>
      </c>
      <c r="H33" s="42">
        <f>IF(GUAYAQUIL[[#This Row],[CODIGO]]="","",1001)</f>
        <v>1001</v>
      </c>
      <c r="I33" s="258" t="s">
        <v>3223</v>
      </c>
      <c r="J33" s="25" t="str">
        <f>IFERROR((VLOOKUP(GUAYAQUIL[[#This Row],[CODIGO]],MAESTRO!A:B,2,FALSE)),"")</f>
        <v>YOG BBLE KIOSKO MOR BOT 950G</v>
      </c>
      <c r="K33" s="35">
        <v>18</v>
      </c>
      <c r="L33" s="38">
        <f>+IFERROR(IF(GUAYAQUIL[[#This Row],[CODIGO]]="","",VLOOKUP(GUAYAQUIL[[#This Row],[CODIGO]],MAESTRO!$A:$BF,58,FALSE)),"")</f>
        <v>1</v>
      </c>
      <c r="M33" s="27">
        <f>+IFERROR(IF(GUAYAQUIL[[#This Row],[CODIGO]]="","",VLOOKUP(GUAYAQUIL[[#This Row],[CODIGO]],MAESTRO!A:N,14,FALSE)),"")</f>
        <v>0.95</v>
      </c>
      <c r="N33" s="28">
        <f>+IFERROR(IF(GUAYAQUIL[[#This Row],[CODIGO]]="","",VLOOKUP(GUAYAQUIL[[#This Row],[CODIGO]],MAESTRO!A:P,16,FALSE)),"")</f>
        <v>45</v>
      </c>
      <c r="O33" s="29">
        <v>45616</v>
      </c>
      <c r="P33" s="72" t="str">
        <f t="shared" si="0"/>
        <v>miércoles</v>
      </c>
      <c r="Q33" s="29">
        <f>IFERROR(IF(GUAYAQUIL[[#This Row],[CODIGO]]="","",IF(GUAYAQUIL[[#This Row],[Fecha Cad]]="","",(GUAYAQUIL[[#This Row],[Fecha Cad]]-GUAYAQUIL[[#This Row],[VIDA UTIL (Días)]]))+1),"")</f>
        <v>45611</v>
      </c>
      <c r="R33" s="29">
        <v>45655</v>
      </c>
      <c r="S33" s="30">
        <f t="shared" ca="1" si="1"/>
        <v>31</v>
      </c>
      <c r="T33" s="31">
        <f t="shared" ca="1" si="2"/>
        <v>0.68888888888888888</v>
      </c>
      <c r="U33" s="286">
        <v>18</v>
      </c>
      <c r="V33" s="261">
        <f>+IFERROR(IF(GUAYAQUIL[[#This Row],[CODIGO]]="","",GUAYAQUIL[[#This Row],[Stock Actual Unds]]*GUAYAQUIL[[#This Row],[Gramaje]]*GUAYAQUIL[[#This Row],[Conversión]]),"")</f>
        <v>17.099999999999998</v>
      </c>
      <c r="W33" s="270">
        <f t="shared" si="3"/>
        <v>5</v>
      </c>
      <c r="X33" s="32">
        <f t="shared" si="4"/>
        <v>0.88888888888888884</v>
      </c>
      <c r="Y33" s="236">
        <f>IFERROR(VLOOKUP(GUAYAQUIL[[#This Row],[CODIGO]],MAESTRO!A:BI,21,FALSE),0)</f>
        <v>1.02759</v>
      </c>
      <c r="Z33" s="237">
        <f>+IFERROR(IF(GUAYAQUIL[[#This Row],[CODIGO]]="","",GUAYAQUIL[[#This Row],[COSTO UNIT base]]*GUAYAQUIL[[#This Row],[Conversión]]),"")</f>
        <v>1.02759</v>
      </c>
      <c r="AA33" s="236">
        <f>+IFERROR(IF(GUAYAQUIL[[#This Row],[CODIGO]]="","",GUAYAQUIL[[#This Row],[COSTO UNIT Conv]]*GUAYAQUIL[[#This Row],[Stock Actual Kgs]]),"")</f>
        <v>17.571788999999999</v>
      </c>
      <c r="AB33" s="33">
        <f ca="1">+IFERROR(IF(GUAYAQUIL[[#This Row],[CODIGO]]="","",$J$3-O33),"")</f>
        <v>8</v>
      </c>
      <c r="AC33" s="34" t="str">
        <f ca="1">IF(GUAYAQUIL[[#This Row],[CODIGO]]="","",IF(S33&lt;=0,"CADUCADO",IF(AND(S33&gt;0,S33&lt;=21),"FECHA CORTA",IF(AND(S33&gt;=22,S33&lt;=26),"PROXIMOS FECHA CORTA", "VIGENTE"))))</f>
        <v>VIGENTE</v>
      </c>
      <c r="AD33" s="37">
        <f>+IF(GUAYAQUIL[[#This Row],[CODIGO]]="","",GUAYAQUIL[[#This Row],[Stock Actual Unds]]*GUAYAQUIL[[#This Row],[Gramaje]]*GUAYAQUIL[[#This Row],[Conversión]])/1000</f>
        <v>1.7099999999999997E-2</v>
      </c>
    </row>
    <row r="34" spans="1:30">
      <c r="A34" s="24" t="str">
        <f>+IFERROR(IF(GUAYAQUIL[[#This Row],[CODIGO]]="","",VLOOKUP(GUAYAQUIL[[#This Row],[CODIGO]],MAESTRO!$A:$J,10,FALSE)),"")</f>
        <v>MACHACHI</v>
      </c>
      <c r="B34" s="24" t="str">
        <f>+IFERROR(IF(GUAYAQUIL[[#This Row],[CODIGO]]="","",VLOOKUP(GUAYAQUIL[[#This Row],[CODIGO]],MAESTRO!$A:$Q,17,FALSE)),"")</f>
        <v>BEBIDAS LACTEAS</v>
      </c>
      <c r="C34" s="24" t="str">
        <f>+IFERROR(IF(GUAYAQUIL[[#This Row],[CODIGO]]="","",VLOOKUP(GUAYAQUIL[[#This Row],[CODIGO]],MAESTRO!$A:$BA,53,FALSE)),"")</f>
        <v xml:space="preserve">Luis Armendariz                         </v>
      </c>
      <c r="D34" s="24" t="str">
        <f>+IFERROR(IF(GUAYAQUIL[[#This Row],[CODIGO]]="","",VLOOKUP(GUAYAQUIL[[#This Row],[CODIGO]],MAESTRO!$A:$D,4,FALSE)),"")</f>
        <v>YOGURT KIOSKO</v>
      </c>
      <c r="E34" s="24" t="str">
        <f>+IFERROR(IF(GUAYAQUIL[[#This Row],[CODIGO]]="","",VLOOKUP(GUAYAQUIL[[#This Row],[CODIGO]],MAESTRO!$A:$F,6,FALSE)),"")</f>
        <v>BEBIDA DE YOGURT KIOSKO BOTELLA FAMILIAR</v>
      </c>
      <c r="F34" s="42" t="str">
        <f>IF(GUAYAQUIL[[#This Row],[CODIGO]]="","",$K$6)</f>
        <v>GUAYAQUIL</v>
      </c>
      <c r="G34" s="42">
        <f>IF(GUAYAQUIL[[#This Row],[CODIGO]]="","",7711)</f>
        <v>7711</v>
      </c>
      <c r="H34" s="42">
        <f>IF(GUAYAQUIL[[#This Row],[CODIGO]]="","",1001)</f>
        <v>1001</v>
      </c>
      <c r="I34" s="258" t="s">
        <v>3223</v>
      </c>
      <c r="J34" s="25" t="str">
        <f>IFERROR((VLOOKUP(GUAYAQUIL[[#This Row],[CODIGO]],MAESTRO!A:B,2,FALSE)),"")</f>
        <v>YOG BBLE KIOSKO MOR BOT 950G</v>
      </c>
      <c r="K34" s="35">
        <v>18</v>
      </c>
      <c r="L34" s="38">
        <f>+IFERROR(IF(GUAYAQUIL[[#This Row],[CODIGO]]="","",VLOOKUP(GUAYAQUIL[[#This Row],[CODIGO]],MAESTRO!$A:$BF,58,FALSE)),"")</f>
        <v>1</v>
      </c>
      <c r="M34" s="27">
        <f>+IFERROR(IF(GUAYAQUIL[[#This Row],[CODIGO]]="","",VLOOKUP(GUAYAQUIL[[#This Row],[CODIGO]],MAESTRO!A:N,14,FALSE)),"")</f>
        <v>0.95</v>
      </c>
      <c r="N34" s="28">
        <f>+IFERROR(IF(GUAYAQUIL[[#This Row],[CODIGO]]="","",VLOOKUP(GUAYAQUIL[[#This Row],[CODIGO]],MAESTRO!A:P,16,FALSE)),"")</f>
        <v>45</v>
      </c>
      <c r="O34" s="45">
        <v>45617</v>
      </c>
      <c r="P34" s="72" t="str">
        <f t="shared" si="0"/>
        <v>jueves</v>
      </c>
      <c r="Q34" s="29">
        <f>IFERROR(IF(GUAYAQUIL[[#This Row],[CODIGO]]="","",IF(GUAYAQUIL[[#This Row],[Fecha Cad]]="","",(GUAYAQUIL[[#This Row],[Fecha Cad]]-GUAYAQUIL[[#This Row],[VIDA UTIL (Días)]]))+1),"")</f>
        <v>45611</v>
      </c>
      <c r="R34" s="45">
        <v>45655</v>
      </c>
      <c r="S34" s="30">
        <f t="shared" ca="1" si="1"/>
        <v>31</v>
      </c>
      <c r="T34" s="31">
        <f t="shared" ca="1" si="2"/>
        <v>0.68888888888888888</v>
      </c>
      <c r="U34" s="286">
        <v>18</v>
      </c>
      <c r="V34" s="262">
        <f>+IFERROR(IF(GUAYAQUIL[[#This Row],[CODIGO]]="","",GUAYAQUIL[[#This Row],[Stock Actual Unds]]*GUAYAQUIL[[#This Row],[Gramaje]]*GUAYAQUIL[[#This Row],[Conversión]]),"")</f>
        <v>17.099999999999998</v>
      </c>
      <c r="W34" s="270">
        <f t="shared" si="3"/>
        <v>6</v>
      </c>
      <c r="X34" s="32">
        <f t="shared" si="4"/>
        <v>0.8666666666666667</v>
      </c>
      <c r="Y34" s="236">
        <f>IFERROR(VLOOKUP(GUAYAQUIL[[#This Row],[CODIGO]],MAESTRO!A:BI,21,FALSE),0)</f>
        <v>1.02759</v>
      </c>
      <c r="Z34" s="237">
        <f>+IFERROR(IF(GUAYAQUIL[[#This Row],[CODIGO]]="","",GUAYAQUIL[[#This Row],[COSTO UNIT base]]*GUAYAQUIL[[#This Row],[Conversión]]),"")</f>
        <v>1.02759</v>
      </c>
      <c r="AA34" s="236">
        <f>+IFERROR(IF(GUAYAQUIL[[#This Row],[CODIGO]]="","",GUAYAQUIL[[#This Row],[COSTO UNIT Conv]]*GUAYAQUIL[[#This Row],[Stock Actual Kgs]]),"")</f>
        <v>17.571788999999999</v>
      </c>
      <c r="AB34" s="33">
        <f ca="1">+IFERROR(IF(GUAYAQUIL[[#This Row],[CODIGO]]="","",$J$3-O34),"")</f>
        <v>7</v>
      </c>
      <c r="AC34" s="34" t="str">
        <f ca="1">IF(GUAYAQUIL[[#This Row],[CODIGO]]="","",IF(S34&lt;=0,"CADUCADO",IF(AND(S34&gt;0,S34&lt;=21),"FECHA CORTA",IF(AND(S34&gt;=22,S34&lt;=26),"PROXIMOS FECHA CORTA", "VIGENTE"))))</f>
        <v>VIGENTE</v>
      </c>
      <c r="AD34" s="37">
        <f>+IF(GUAYAQUIL[[#This Row],[CODIGO]]="","",GUAYAQUIL[[#This Row],[Stock Actual Unds]]*GUAYAQUIL[[#This Row],[Gramaje]]*GUAYAQUIL[[#This Row],[Conversión]])/1000</f>
        <v>1.7099999999999997E-2</v>
      </c>
    </row>
    <row r="35" spans="1:30">
      <c r="A35" s="24" t="str">
        <f>+IFERROR(IF(GUAYAQUIL[[#This Row],[CODIGO]]="","",VLOOKUP(GUAYAQUIL[[#This Row],[CODIGO]],MAESTRO!$A:$J,10,FALSE)),"")</f>
        <v>MACHACHI</v>
      </c>
      <c r="B35" s="24" t="str">
        <f>+IFERROR(IF(GUAYAQUIL[[#This Row],[CODIGO]]="","",VLOOKUP(GUAYAQUIL[[#This Row],[CODIGO]],MAESTRO!$A:$Q,17,FALSE)),"")</f>
        <v>BEBIDAS LACTEAS</v>
      </c>
      <c r="C35" s="24" t="str">
        <f>+IFERROR(IF(GUAYAQUIL[[#This Row],[CODIGO]]="","",VLOOKUP(GUAYAQUIL[[#This Row],[CODIGO]],MAESTRO!$A:$BA,53,FALSE)),"")</f>
        <v xml:space="preserve">Luis Armendariz                         </v>
      </c>
      <c r="D35" s="24" t="str">
        <f>+IFERROR(IF(GUAYAQUIL[[#This Row],[CODIGO]]="","",VLOOKUP(GUAYAQUIL[[#This Row],[CODIGO]],MAESTRO!$A:$D,4,FALSE)),"")</f>
        <v>YOGURT KIOSKO</v>
      </c>
      <c r="E35" s="24" t="str">
        <f>+IFERROR(IF(GUAYAQUIL[[#This Row],[CODIGO]]="","",VLOOKUP(GUAYAQUIL[[#This Row],[CODIGO]],MAESTRO!$A:$F,6,FALSE)),"")</f>
        <v>BEBIDA DE YOGURT KIOSKO BOTELLA PERSONAL</v>
      </c>
      <c r="F35" s="42" t="str">
        <f>IF(GUAYAQUIL[[#This Row],[CODIGO]]="","",$K$6)</f>
        <v>GUAYAQUIL</v>
      </c>
      <c r="G35" s="42">
        <f>IF(GUAYAQUIL[[#This Row],[CODIGO]]="","",7711)</f>
        <v>7711</v>
      </c>
      <c r="H35" s="42">
        <f>IF(GUAYAQUIL[[#This Row],[CODIGO]]="","",1001)</f>
        <v>1001</v>
      </c>
      <c r="I35" s="258" t="s">
        <v>1630</v>
      </c>
      <c r="J35" s="25" t="str">
        <f>IFERROR((VLOOKUP(GUAYAQUIL[[#This Row],[CODIGO]],MAESTRO!A:B,2,FALSE)),"")</f>
        <v>YOG BBLE KID KK FTLLA BOT 180G</v>
      </c>
      <c r="K35" s="35">
        <v>756</v>
      </c>
      <c r="L35" s="38">
        <f>+IFERROR(IF(GUAYAQUIL[[#This Row],[CODIGO]]="","",VLOOKUP(GUAYAQUIL[[#This Row],[CODIGO]],MAESTRO!$A:$BF,58,FALSE)),"")</f>
        <v>1</v>
      </c>
      <c r="M35" s="27">
        <f>+IFERROR(IF(GUAYAQUIL[[#This Row],[CODIGO]]="","",VLOOKUP(GUAYAQUIL[[#This Row],[CODIGO]],MAESTRO!A:N,14,FALSE)),"")</f>
        <v>0.18</v>
      </c>
      <c r="N35" s="28">
        <f>+IFERROR(IF(GUAYAQUIL[[#This Row],[CODIGO]]="","",VLOOKUP(GUAYAQUIL[[#This Row],[CODIGO]],MAESTRO!A:P,16,FALSE)),"")</f>
        <v>45</v>
      </c>
      <c r="O35" s="45">
        <v>45605</v>
      </c>
      <c r="P35" s="72" t="str">
        <f t="shared" si="0"/>
        <v>sábado</v>
      </c>
      <c r="Q35" s="29">
        <f>IFERROR(IF(GUAYAQUIL[[#This Row],[CODIGO]]="","",IF(GUAYAQUIL[[#This Row],[Fecha Cad]]="","",(GUAYAQUIL[[#This Row],[Fecha Cad]]-GUAYAQUIL[[#This Row],[VIDA UTIL (Días)]]))+1),"")</f>
        <v>45596</v>
      </c>
      <c r="R35" s="45">
        <v>45640</v>
      </c>
      <c r="S35" s="30">
        <f t="shared" ca="1" si="1"/>
        <v>16</v>
      </c>
      <c r="T35" s="31">
        <f t="shared" ca="1" si="2"/>
        <v>0.35555555555555557</v>
      </c>
      <c r="U35" s="286">
        <v>2</v>
      </c>
      <c r="V35" s="262">
        <f>+IFERROR(IF(GUAYAQUIL[[#This Row],[CODIGO]]="","",GUAYAQUIL[[#This Row],[Stock Actual Unds]]*GUAYAQUIL[[#This Row],[Gramaje]]*GUAYAQUIL[[#This Row],[Conversión]]),"")</f>
        <v>0.36</v>
      </c>
      <c r="W35" s="270">
        <f t="shared" si="3"/>
        <v>9</v>
      </c>
      <c r="X35" s="32">
        <f t="shared" si="4"/>
        <v>0.8</v>
      </c>
      <c r="Y35" s="236">
        <f>IFERROR(VLOOKUP(GUAYAQUIL[[#This Row],[CODIGO]],MAESTRO!A:BI,21,FALSE),0)</f>
        <v>0.323905</v>
      </c>
      <c r="Z35" s="237">
        <f>+IFERROR(IF(GUAYAQUIL[[#This Row],[CODIGO]]="","",GUAYAQUIL[[#This Row],[COSTO UNIT base]]*GUAYAQUIL[[#This Row],[Conversión]]),"")</f>
        <v>0.323905</v>
      </c>
      <c r="AA35" s="236">
        <f>+IFERROR(IF(GUAYAQUIL[[#This Row],[CODIGO]]="","",GUAYAQUIL[[#This Row],[COSTO UNIT Conv]]*GUAYAQUIL[[#This Row],[Stock Actual Kgs]]),"")</f>
        <v>0.1166058</v>
      </c>
      <c r="AB35" s="33">
        <f ca="1">+IFERROR(IF(GUAYAQUIL[[#This Row],[CODIGO]]="","",$J$3-O35),"")</f>
        <v>19</v>
      </c>
      <c r="AC35" s="34" t="str">
        <f ca="1">IF(GUAYAQUIL[[#This Row],[CODIGO]]="","",IF(S35&lt;=0,"CADUCADO",IF(AND(S35&gt;0,S35&lt;=21),"FECHA CORTA",IF(AND(S35&gt;=22,S35&lt;=26),"PROXIMOS FECHA CORTA", "VIGENTE"))))</f>
        <v>FECHA CORTA</v>
      </c>
      <c r="AD35" s="37">
        <f>+IF(GUAYAQUIL[[#This Row],[CODIGO]]="","",GUAYAQUIL[[#This Row],[Stock Actual Unds]]*GUAYAQUIL[[#This Row],[Gramaje]]*GUAYAQUIL[[#This Row],[Conversión]])/1000</f>
        <v>3.5999999999999997E-4</v>
      </c>
    </row>
    <row r="36" spans="1:30">
      <c r="A36" s="24" t="str">
        <f>+IFERROR(IF(GUAYAQUIL[[#This Row],[CODIGO]]="","",VLOOKUP(GUAYAQUIL[[#This Row],[CODIGO]],MAESTRO!$A:$J,10,FALSE)),"")</f>
        <v>MACHACHI</v>
      </c>
      <c r="B36" s="24" t="str">
        <f>+IFERROR(IF(GUAYAQUIL[[#This Row],[CODIGO]]="","",VLOOKUP(GUAYAQUIL[[#This Row],[CODIGO]],MAESTRO!$A:$Q,17,FALSE)),"")</f>
        <v>BEBIDAS LACTEAS</v>
      </c>
      <c r="C36" s="24" t="str">
        <f>+IFERROR(IF(GUAYAQUIL[[#This Row],[CODIGO]]="","",VLOOKUP(GUAYAQUIL[[#This Row],[CODIGO]],MAESTRO!$A:$BA,53,FALSE)),"")</f>
        <v xml:space="preserve">Luis Armendariz                         </v>
      </c>
      <c r="D36" s="24" t="str">
        <f>+IFERROR(IF(GUAYAQUIL[[#This Row],[CODIGO]]="","",VLOOKUP(GUAYAQUIL[[#This Row],[CODIGO]],MAESTRO!$A:$D,4,FALSE)),"")</f>
        <v>YOGURT KIOSKO</v>
      </c>
      <c r="E36" s="24" t="str">
        <f>+IFERROR(IF(GUAYAQUIL[[#This Row],[CODIGO]]="","",VLOOKUP(GUAYAQUIL[[#This Row],[CODIGO]],MAESTRO!$A:$F,6,FALSE)),"")</f>
        <v>BEBIDA DE YOGURT KIOSKO BOTELLA PERSONAL</v>
      </c>
      <c r="F36" s="42" t="str">
        <f>IF(GUAYAQUIL[[#This Row],[CODIGO]]="","",$K$6)</f>
        <v>GUAYAQUIL</v>
      </c>
      <c r="G36" s="42">
        <f>IF(GUAYAQUIL[[#This Row],[CODIGO]]="","",7711)</f>
        <v>7711</v>
      </c>
      <c r="H36" s="42">
        <f>IF(GUAYAQUIL[[#This Row],[CODIGO]]="","",1001)</f>
        <v>1001</v>
      </c>
      <c r="I36" s="258" t="s">
        <v>1630</v>
      </c>
      <c r="J36" s="25" t="str">
        <f>IFERROR((VLOOKUP(GUAYAQUIL[[#This Row],[CODIGO]],MAESTRO!A:B,2,FALSE)),"")</f>
        <v>YOG BBLE KID KK FTLLA BOT 180G</v>
      </c>
      <c r="K36" s="35">
        <v>1296</v>
      </c>
      <c r="L36" s="38">
        <f>+IFERROR(IF(GUAYAQUIL[[#This Row],[CODIGO]]="","",VLOOKUP(GUAYAQUIL[[#This Row],[CODIGO]],MAESTRO!$A:$BF,58,FALSE)),"")</f>
        <v>1</v>
      </c>
      <c r="M36" s="27">
        <f>+IFERROR(IF(GUAYAQUIL[[#This Row],[CODIGO]]="","",VLOOKUP(GUAYAQUIL[[#This Row],[CODIGO]],MAESTRO!A:N,14,FALSE)),"")</f>
        <v>0.18</v>
      </c>
      <c r="N36" s="28">
        <f>+IFERROR(IF(GUAYAQUIL[[#This Row],[CODIGO]]="","",VLOOKUP(GUAYAQUIL[[#This Row],[CODIGO]],MAESTRO!A:P,16,FALSE)),"")</f>
        <v>45</v>
      </c>
      <c r="O36" s="45">
        <v>45608</v>
      </c>
      <c r="P36" s="72" t="str">
        <f t="shared" si="0"/>
        <v>martes</v>
      </c>
      <c r="Q36" s="29">
        <f>IFERROR(IF(GUAYAQUIL[[#This Row],[CODIGO]]="","",IF(GUAYAQUIL[[#This Row],[Fecha Cad]]="","",(GUAYAQUIL[[#This Row],[Fecha Cad]]-GUAYAQUIL[[#This Row],[VIDA UTIL (Días)]]))+1),"")</f>
        <v>45602</v>
      </c>
      <c r="R36" s="45">
        <v>45646</v>
      </c>
      <c r="S36" s="30">
        <f t="shared" ca="1" si="1"/>
        <v>22</v>
      </c>
      <c r="T36" s="31">
        <f t="shared" ca="1" si="2"/>
        <v>0.48888888888888887</v>
      </c>
      <c r="U36" s="286">
        <v>3</v>
      </c>
      <c r="V36" s="262">
        <f>+IFERROR(IF(GUAYAQUIL[[#This Row],[CODIGO]]="","",GUAYAQUIL[[#This Row],[Stock Actual Unds]]*GUAYAQUIL[[#This Row],[Gramaje]]*GUAYAQUIL[[#This Row],[Conversión]]),"")</f>
        <v>0.54</v>
      </c>
      <c r="W36" s="270">
        <f t="shared" si="3"/>
        <v>6</v>
      </c>
      <c r="X36" s="32">
        <f t="shared" si="4"/>
        <v>0.8666666666666667</v>
      </c>
      <c r="Y36" s="236">
        <f>IFERROR(VLOOKUP(GUAYAQUIL[[#This Row],[CODIGO]],MAESTRO!A:BI,21,FALSE),0)</f>
        <v>0.323905</v>
      </c>
      <c r="Z36" s="237">
        <f>+IFERROR(IF(GUAYAQUIL[[#This Row],[CODIGO]]="","",GUAYAQUIL[[#This Row],[COSTO UNIT base]]*GUAYAQUIL[[#This Row],[Conversión]]),"")</f>
        <v>0.323905</v>
      </c>
      <c r="AA36" s="236">
        <f>+IFERROR(IF(GUAYAQUIL[[#This Row],[CODIGO]]="","",GUAYAQUIL[[#This Row],[COSTO UNIT Conv]]*GUAYAQUIL[[#This Row],[Stock Actual Kgs]]),"")</f>
        <v>0.1749087</v>
      </c>
      <c r="AB36" s="33">
        <f ca="1">+IFERROR(IF(GUAYAQUIL[[#This Row],[CODIGO]]="","",$J$3-O36),"")</f>
        <v>16</v>
      </c>
      <c r="AC36" s="34" t="str">
        <f ca="1">IF(GUAYAQUIL[[#This Row],[CODIGO]]="","",IF(S36&lt;=0,"CADUCADO",IF(AND(S36&gt;0,S36&lt;=21),"FECHA CORTA",IF(AND(S36&gt;=22,S36&lt;=26),"PROXIMOS FECHA CORTA", "VIGENTE"))))</f>
        <v>PROXIMOS FECHA CORTA</v>
      </c>
      <c r="AD36" s="37">
        <f>+IF(GUAYAQUIL[[#This Row],[CODIGO]]="","",GUAYAQUIL[[#This Row],[Stock Actual Unds]]*GUAYAQUIL[[#This Row],[Gramaje]]*GUAYAQUIL[[#This Row],[Conversión]])/1000</f>
        <v>5.4000000000000001E-4</v>
      </c>
    </row>
    <row r="37" spans="1:30">
      <c r="A37" s="24" t="str">
        <f>+IFERROR(IF(GUAYAQUIL[[#This Row],[CODIGO]]="","",VLOOKUP(GUAYAQUIL[[#This Row],[CODIGO]],MAESTRO!$A:$J,10,FALSE)),"")</f>
        <v>MACHACHI</v>
      </c>
      <c r="B37" s="24" t="str">
        <f>+IFERROR(IF(GUAYAQUIL[[#This Row],[CODIGO]]="","",VLOOKUP(GUAYAQUIL[[#This Row],[CODIGO]],MAESTRO!$A:$Q,17,FALSE)),"")</f>
        <v>BEBIDAS LACTEAS</v>
      </c>
      <c r="C37" s="24" t="str">
        <f>+IFERROR(IF(GUAYAQUIL[[#This Row],[CODIGO]]="","",VLOOKUP(GUAYAQUIL[[#This Row],[CODIGO]],MAESTRO!$A:$BA,53,FALSE)),"")</f>
        <v xml:space="preserve">Luis Armendariz                         </v>
      </c>
      <c r="D37" s="24" t="str">
        <f>+IFERROR(IF(GUAYAQUIL[[#This Row],[CODIGO]]="","",VLOOKUP(GUAYAQUIL[[#This Row],[CODIGO]],MAESTRO!$A:$D,4,FALSE)),"")</f>
        <v>YOGURT KIOSKO</v>
      </c>
      <c r="E37" s="24" t="str">
        <f>+IFERROR(IF(GUAYAQUIL[[#This Row],[CODIGO]]="","",VLOOKUP(GUAYAQUIL[[#This Row],[CODIGO]],MAESTRO!$A:$F,6,FALSE)),"")</f>
        <v>BEBIDA DE YOGURT KIOSKO BOTELLA PERSONAL</v>
      </c>
      <c r="F37" s="42" t="str">
        <f>IF(GUAYAQUIL[[#This Row],[CODIGO]]="","",$K$6)</f>
        <v>GUAYAQUIL</v>
      </c>
      <c r="G37" s="209">
        <f>IF(GUAYAQUIL[[#This Row],[CODIGO]]="","",7711)</f>
        <v>7711</v>
      </c>
      <c r="H37" s="209">
        <f>IF(GUAYAQUIL[[#This Row],[CODIGO]]="","",1001)</f>
        <v>1001</v>
      </c>
      <c r="I37" s="258" t="s">
        <v>1630</v>
      </c>
      <c r="J37" s="25" t="str">
        <f>IFERROR((VLOOKUP(GUAYAQUIL[[#This Row],[CODIGO]],MAESTRO!A:B,2,FALSE)),"")</f>
        <v>YOG BBLE KID KK FTLLA BOT 180G</v>
      </c>
      <c r="K37" s="35">
        <v>432</v>
      </c>
      <c r="L37" s="38">
        <f>+IFERROR(IF(GUAYAQUIL[[#This Row],[CODIGO]]="","",VLOOKUP(GUAYAQUIL[[#This Row],[CODIGO]],MAESTRO!$A:$BF,58,FALSE)),"")</f>
        <v>1</v>
      </c>
      <c r="M37" s="27">
        <f>+IFERROR(IF(GUAYAQUIL[[#This Row],[CODIGO]]="","",VLOOKUP(GUAYAQUIL[[#This Row],[CODIGO]],MAESTRO!A:N,14,FALSE)),"")</f>
        <v>0.18</v>
      </c>
      <c r="N37" s="28">
        <f>+IFERROR(IF(GUAYAQUIL[[#This Row],[CODIGO]]="","",VLOOKUP(GUAYAQUIL[[#This Row],[CODIGO]],MAESTRO!A:P,16,FALSE)),"")</f>
        <v>45</v>
      </c>
      <c r="O37" s="45">
        <v>45612</v>
      </c>
      <c r="P37" s="72" t="str">
        <f t="shared" si="0"/>
        <v>sábado</v>
      </c>
      <c r="Q37" s="29">
        <f>IFERROR(IF(GUAYAQUIL[[#This Row],[CODIGO]]="","",IF(GUAYAQUIL[[#This Row],[Fecha Cad]]="","",(GUAYAQUIL[[#This Row],[Fecha Cad]]-GUAYAQUIL[[#This Row],[VIDA UTIL (Días)]]))+1),"")</f>
        <v>45609</v>
      </c>
      <c r="R37" s="45">
        <v>45653</v>
      </c>
      <c r="S37" s="30">
        <f t="shared" ca="1" si="1"/>
        <v>29</v>
      </c>
      <c r="T37" s="31">
        <f t="shared" ca="1" si="2"/>
        <v>0.64444444444444449</v>
      </c>
      <c r="U37" s="286">
        <v>432</v>
      </c>
      <c r="V37" s="262">
        <f>+IFERROR(IF(GUAYAQUIL[[#This Row],[CODIGO]]="","",GUAYAQUIL[[#This Row],[Stock Actual Unds]]*GUAYAQUIL[[#This Row],[Gramaje]]*GUAYAQUIL[[#This Row],[Conversión]]),"")</f>
        <v>77.759999999999991</v>
      </c>
      <c r="W37" s="270">
        <f t="shared" si="3"/>
        <v>3</v>
      </c>
      <c r="X37" s="32">
        <f t="shared" si="4"/>
        <v>0.93333333333333335</v>
      </c>
      <c r="Y37" s="236">
        <f>IFERROR(VLOOKUP(GUAYAQUIL[[#This Row],[CODIGO]],MAESTRO!A:BI,21,FALSE),0)</f>
        <v>0.323905</v>
      </c>
      <c r="Z37" s="237">
        <f>+IFERROR(IF(GUAYAQUIL[[#This Row],[CODIGO]]="","",GUAYAQUIL[[#This Row],[COSTO UNIT base]]*GUAYAQUIL[[#This Row],[Conversión]]),"")</f>
        <v>0.323905</v>
      </c>
      <c r="AA37" s="236">
        <f>+IFERROR(IF(GUAYAQUIL[[#This Row],[CODIGO]]="","",GUAYAQUIL[[#This Row],[COSTO UNIT Conv]]*GUAYAQUIL[[#This Row],[Stock Actual Kgs]]),"")</f>
        <v>25.186852799999997</v>
      </c>
      <c r="AB37" s="33">
        <f ca="1">+IFERROR(IF(GUAYAQUIL[[#This Row],[CODIGO]]="","",$J$3-O37),"")</f>
        <v>12</v>
      </c>
      <c r="AC37" s="34" t="str">
        <f ca="1">IF(GUAYAQUIL[[#This Row],[CODIGO]]="","",IF(S37&lt;=0,"CADUCADO",IF(AND(S37&gt;0,S37&lt;=21),"FECHA CORTA",IF(AND(S37&gt;=22,S37&lt;=26),"PROXIMOS FECHA CORTA", "VIGENTE"))))</f>
        <v>VIGENTE</v>
      </c>
      <c r="AD37" s="37">
        <f>+IF(GUAYAQUIL[[#This Row],[CODIGO]]="","",GUAYAQUIL[[#This Row],[Stock Actual Unds]]*GUAYAQUIL[[#This Row],[Gramaje]]*GUAYAQUIL[[#This Row],[Conversión]])/1000</f>
        <v>7.7759999999999996E-2</v>
      </c>
    </row>
    <row r="38" spans="1:30">
      <c r="A38" s="24" t="str">
        <f>+IFERROR(IF(GUAYAQUIL[[#This Row],[CODIGO]]="","",VLOOKUP(GUAYAQUIL[[#This Row],[CODIGO]],MAESTRO!$A:$J,10,FALSE)),"")</f>
        <v>MACHACHI</v>
      </c>
      <c r="B38" s="24" t="str">
        <f>+IFERROR(IF(GUAYAQUIL[[#This Row],[CODIGO]]="","",VLOOKUP(GUAYAQUIL[[#This Row],[CODIGO]],MAESTRO!$A:$Q,17,FALSE)),"")</f>
        <v>BEBIDAS LACTEAS</v>
      </c>
      <c r="C38" s="24" t="str">
        <f>+IFERROR(IF(GUAYAQUIL[[#This Row],[CODIGO]]="","",VLOOKUP(GUAYAQUIL[[#This Row],[CODIGO]],MAESTRO!$A:$BA,53,FALSE)),"")</f>
        <v xml:space="preserve">Luis Armendariz                         </v>
      </c>
      <c r="D38" s="24" t="str">
        <f>+IFERROR(IF(GUAYAQUIL[[#This Row],[CODIGO]]="","",VLOOKUP(GUAYAQUIL[[#This Row],[CODIGO]],MAESTRO!$A:$D,4,FALSE)),"")</f>
        <v>YOGURT KIOSKO</v>
      </c>
      <c r="E38" s="24" t="str">
        <f>+IFERROR(IF(GUAYAQUIL[[#This Row],[CODIGO]]="","",VLOOKUP(GUAYAQUIL[[#This Row],[CODIGO]],MAESTRO!$A:$F,6,FALSE)),"")</f>
        <v>BEBIDA DE YOGURT KIOSKO BOTELLA PERSONAL</v>
      </c>
      <c r="F38" s="42" t="str">
        <f>IF(GUAYAQUIL[[#This Row],[CODIGO]]="","",$K$6)</f>
        <v>GUAYAQUIL</v>
      </c>
      <c r="G38" s="42">
        <f>IF(GUAYAQUIL[[#This Row],[CODIGO]]="","",7711)</f>
        <v>7711</v>
      </c>
      <c r="H38" s="42">
        <f>IF(GUAYAQUIL[[#This Row],[CODIGO]]="","",1001)</f>
        <v>1001</v>
      </c>
      <c r="I38" s="258" t="s">
        <v>1630</v>
      </c>
      <c r="J38" s="25" t="str">
        <f>IFERROR((VLOOKUP(GUAYAQUIL[[#This Row],[CODIGO]],MAESTRO!A:B,2,FALSE)),"")</f>
        <v>YOG BBLE KID KK FTLLA BOT 180G</v>
      </c>
      <c r="K38" s="35">
        <v>540</v>
      </c>
      <c r="L38" s="38">
        <f>+IFERROR(IF(GUAYAQUIL[[#This Row],[CODIGO]]="","",VLOOKUP(GUAYAQUIL[[#This Row],[CODIGO]],MAESTRO!$A:$BF,58,FALSE)),"")</f>
        <v>1</v>
      </c>
      <c r="M38" s="27">
        <f>+IFERROR(IF(GUAYAQUIL[[#This Row],[CODIGO]]="","",VLOOKUP(GUAYAQUIL[[#This Row],[CODIGO]],MAESTRO!A:N,14,FALSE)),"")</f>
        <v>0.18</v>
      </c>
      <c r="N38" s="28">
        <f>+IFERROR(IF(GUAYAQUIL[[#This Row],[CODIGO]]="","",VLOOKUP(GUAYAQUIL[[#This Row],[CODIGO]],MAESTRO!A:P,16,FALSE)),"")</f>
        <v>45</v>
      </c>
      <c r="O38" s="45">
        <v>45611</v>
      </c>
      <c r="P38" s="72" t="str">
        <f t="shared" si="0"/>
        <v>viernes</v>
      </c>
      <c r="Q38" s="29">
        <f>IFERROR(IF(GUAYAQUIL[[#This Row],[CODIGO]]="","",IF(GUAYAQUIL[[#This Row],[Fecha Cad]]="","",(GUAYAQUIL[[#This Row],[Fecha Cad]]-GUAYAQUIL[[#This Row],[VIDA UTIL (Días)]]))+1),"")</f>
        <v>45609</v>
      </c>
      <c r="R38" s="45">
        <v>45653</v>
      </c>
      <c r="S38" s="30">
        <f t="shared" ca="1" si="1"/>
        <v>29</v>
      </c>
      <c r="T38" s="31">
        <f t="shared" ca="1" si="2"/>
        <v>0.64444444444444449</v>
      </c>
      <c r="U38" s="286">
        <v>280</v>
      </c>
      <c r="V38" s="262">
        <f>+IFERROR(IF(GUAYAQUIL[[#This Row],[CODIGO]]="","",GUAYAQUIL[[#This Row],[Stock Actual Unds]]*GUAYAQUIL[[#This Row],[Gramaje]]*GUAYAQUIL[[#This Row],[Conversión]]),"")</f>
        <v>50.4</v>
      </c>
      <c r="W38" s="270">
        <f t="shared" si="3"/>
        <v>2</v>
      </c>
      <c r="X38" s="32">
        <f t="shared" si="4"/>
        <v>0.9555555555555556</v>
      </c>
      <c r="Y38" s="236">
        <f>IFERROR(VLOOKUP(GUAYAQUIL[[#This Row],[CODIGO]],MAESTRO!A:BI,21,FALSE),0)</f>
        <v>0.323905</v>
      </c>
      <c r="Z38" s="237">
        <f>+IFERROR(IF(GUAYAQUIL[[#This Row],[CODIGO]]="","",GUAYAQUIL[[#This Row],[COSTO UNIT base]]*GUAYAQUIL[[#This Row],[Conversión]]),"")</f>
        <v>0.323905</v>
      </c>
      <c r="AA38" s="236">
        <f>+IFERROR(IF(GUAYAQUIL[[#This Row],[CODIGO]]="","",GUAYAQUIL[[#This Row],[COSTO UNIT Conv]]*GUAYAQUIL[[#This Row],[Stock Actual Kgs]]),"")</f>
        <v>16.324811999999998</v>
      </c>
      <c r="AB38" s="33">
        <f ca="1">+IFERROR(IF(GUAYAQUIL[[#This Row],[CODIGO]]="","",$J$3-O38),"")</f>
        <v>13</v>
      </c>
      <c r="AC38" s="34" t="str">
        <f ca="1">IF(GUAYAQUIL[[#This Row],[CODIGO]]="","",IF(S38&lt;=0,"CADUCADO",IF(AND(S38&gt;0,S38&lt;=21),"FECHA CORTA",IF(AND(S38&gt;=22,S38&lt;=26),"PROXIMOS FECHA CORTA", "VIGENTE"))))</f>
        <v>VIGENTE</v>
      </c>
      <c r="AD38" s="37">
        <f>+IF(GUAYAQUIL[[#This Row],[CODIGO]]="","",GUAYAQUIL[[#This Row],[Stock Actual Unds]]*GUAYAQUIL[[#This Row],[Gramaje]]*GUAYAQUIL[[#This Row],[Conversión]])/1000</f>
        <v>5.04E-2</v>
      </c>
    </row>
    <row r="39" spans="1:30">
      <c r="A39" s="24" t="str">
        <f>+IFERROR(IF(GUAYAQUIL[[#This Row],[CODIGO]]="","",VLOOKUP(GUAYAQUIL[[#This Row],[CODIGO]],MAESTRO!$A:$J,10,FALSE)),"")</f>
        <v>MACHACHI</v>
      </c>
      <c r="B39" s="24" t="str">
        <f>+IFERROR(IF(GUAYAQUIL[[#This Row],[CODIGO]]="","",VLOOKUP(GUAYAQUIL[[#This Row],[CODIGO]],MAESTRO!$A:$Q,17,FALSE)),"")</f>
        <v>BEBIDAS LACTEAS</v>
      </c>
      <c r="C39" s="24" t="str">
        <f>+IFERROR(IF(GUAYAQUIL[[#This Row],[CODIGO]]="","",VLOOKUP(GUAYAQUIL[[#This Row],[CODIGO]],MAESTRO!$A:$BA,53,FALSE)),"")</f>
        <v xml:space="preserve">Luis Armendariz                         </v>
      </c>
      <c r="D39" s="24" t="str">
        <f>+IFERROR(IF(GUAYAQUIL[[#This Row],[CODIGO]]="","",VLOOKUP(GUAYAQUIL[[#This Row],[CODIGO]],MAESTRO!$A:$D,4,FALSE)),"")</f>
        <v>YOGURT KIOSKO</v>
      </c>
      <c r="E39" s="24" t="str">
        <f>+IFERROR(IF(GUAYAQUIL[[#This Row],[CODIGO]]="","",VLOOKUP(GUAYAQUIL[[#This Row],[CODIGO]],MAESTRO!$A:$F,6,FALSE)),"")</f>
        <v>BEBIDA DE YOGURT KIOSKO BOTELLA PERSONAL</v>
      </c>
      <c r="F39" s="42" t="str">
        <f>IF(GUAYAQUIL[[#This Row],[CODIGO]]="","",$K$6)</f>
        <v>GUAYAQUIL</v>
      </c>
      <c r="G39" s="209">
        <f>IF(GUAYAQUIL[[#This Row],[CODIGO]]="","",7711)</f>
        <v>7711</v>
      </c>
      <c r="H39" s="209">
        <f>IF(GUAYAQUIL[[#This Row],[CODIGO]]="","",1001)</f>
        <v>1001</v>
      </c>
      <c r="I39" s="258" t="s">
        <v>1630</v>
      </c>
      <c r="J39" s="25" t="str">
        <f>IFERROR((VLOOKUP(GUAYAQUIL[[#This Row],[CODIGO]],MAESTRO!A:B,2,FALSE)),"")</f>
        <v>YOG BBLE KID KK FTLLA BOT 180G</v>
      </c>
      <c r="K39" s="35">
        <v>0</v>
      </c>
      <c r="L39" s="38">
        <f>+IFERROR(IF(GUAYAQUIL[[#This Row],[CODIGO]]="","",VLOOKUP(GUAYAQUIL[[#This Row],[CODIGO]],MAESTRO!$A:$BF,58,FALSE)),"")</f>
        <v>1</v>
      </c>
      <c r="M39" s="27">
        <f>+IFERROR(IF(GUAYAQUIL[[#This Row],[CODIGO]]="","",VLOOKUP(GUAYAQUIL[[#This Row],[CODIGO]],MAESTRO!A:N,14,FALSE)),"")</f>
        <v>0.18</v>
      </c>
      <c r="N39" s="28">
        <f>+IFERROR(IF(GUAYAQUIL[[#This Row],[CODIGO]]="","",VLOOKUP(GUAYAQUIL[[#This Row],[CODIGO]],MAESTRO!A:P,16,FALSE)),"")</f>
        <v>45</v>
      </c>
      <c r="O39" s="45">
        <v>45627</v>
      </c>
      <c r="P39" s="72" t="str">
        <f t="shared" si="0"/>
        <v>domingo</v>
      </c>
      <c r="Q39" s="29">
        <f>IFERROR(IF(GUAYAQUIL[[#This Row],[CODIGO]]="","",IF(GUAYAQUIL[[#This Row],[Fecha Cad]]="","",(GUAYAQUIL[[#This Row],[Fecha Cad]]-GUAYAQUIL[[#This Row],[VIDA UTIL (Días)]]))+1),"")</f>
        <v>45627</v>
      </c>
      <c r="R39" s="45">
        <v>45671</v>
      </c>
      <c r="S39" s="30">
        <f t="shared" ca="1" si="1"/>
        <v>47</v>
      </c>
      <c r="T39" s="31">
        <f t="shared" ca="1" si="2"/>
        <v>1.0444444444444445</v>
      </c>
      <c r="U39" s="286">
        <v>5</v>
      </c>
      <c r="V39" s="262">
        <f>+IFERROR(IF(GUAYAQUIL[[#This Row],[CODIGO]]="","",GUAYAQUIL[[#This Row],[Stock Actual Unds]]*GUAYAQUIL[[#This Row],[Gramaje]]*GUAYAQUIL[[#This Row],[Conversión]]),"")</f>
        <v>0.89999999999999991</v>
      </c>
      <c r="W39" s="270">
        <f t="shared" si="3"/>
        <v>0</v>
      </c>
      <c r="X39" s="32">
        <f t="shared" si="4"/>
        <v>1</v>
      </c>
      <c r="Y39" s="236">
        <f>IFERROR(VLOOKUP(GUAYAQUIL[[#This Row],[CODIGO]],MAESTRO!A:BI,21,FALSE),0)</f>
        <v>0.323905</v>
      </c>
      <c r="Z39" s="237">
        <f>+IFERROR(IF(GUAYAQUIL[[#This Row],[CODIGO]]="","",GUAYAQUIL[[#This Row],[COSTO UNIT base]]*GUAYAQUIL[[#This Row],[Conversión]]),"")</f>
        <v>0.323905</v>
      </c>
      <c r="AA39" s="236">
        <f>+IFERROR(IF(GUAYAQUIL[[#This Row],[CODIGO]]="","",GUAYAQUIL[[#This Row],[COSTO UNIT Conv]]*GUAYAQUIL[[#This Row],[Stock Actual Kgs]]),"")</f>
        <v>0.29151449999999995</v>
      </c>
      <c r="AB39" s="33">
        <f ca="1">+IFERROR(IF(GUAYAQUIL[[#This Row],[CODIGO]]="","",$J$3-O39),"")</f>
        <v>-3</v>
      </c>
      <c r="AC39" s="34" t="str">
        <f ca="1">IF(GUAYAQUIL[[#This Row],[CODIGO]]="","",IF(S39&lt;=0,"CADUCADO",IF(AND(S39&gt;0,S39&lt;=21),"FECHA CORTA",IF(AND(S39&gt;=22,S39&lt;=26),"PROXIMOS FECHA CORTA", "VIGENTE"))))</f>
        <v>VIGENTE</v>
      </c>
      <c r="AD39" s="37">
        <f>+IF(GUAYAQUIL[[#This Row],[CODIGO]]="","",GUAYAQUIL[[#This Row],[Stock Actual Unds]]*GUAYAQUIL[[#This Row],[Gramaje]]*GUAYAQUIL[[#This Row],[Conversión]])/1000</f>
        <v>8.9999999999999987E-4</v>
      </c>
    </row>
    <row r="40" spans="1:30">
      <c r="A40" s="24" t="str">
        <f>+IFERROR(IF(GUAYAQUIL[[#This Row],[CODIGO]]="","",VLOOKUP(GUAYAQUIL[[#This Row],[CODIGO]],MAESTRO!$A:$J,10,FALSE)),"")</f>
        <v>MACHACHI</v>
      </c>
      <c r="B40" s="24" t="str">
        <f>+IFERROR(IF(GUAYAQUIL[[#This Row],[CODIGO]]="","",VLOOKUP(GUAYAQUIL[[#This Row],[CODIGO]],MAESTRO!$A:$Q,17,FALSE)),"")</f>
        <v>BEBIDAS LACTEAS</v>
      </c>
      <c r="C40" s="24" t="str">
        <f>+IFERROR(IF(GUAYAQUIL[[#This Row],[CODIGO]]="","",VLOOKUP(GUAYAQUIL[[#This Row],[CODIGO]],MAESTRO!$A:$BA,53,FALSE)),"")</f>
        <v xml:space="preserve">Luis Armendariz                         </v>
      </c>
      <c r="D40" s="24" t="str">
        <f>+IFERROR(IF(GUAYAQUIL[[#This Row],[CODIGO]]="","",VLOOKUP(GUAYAQUIL[[#This Row],[CODIGO]],MAESTRO!$A:$D,4,FALSE)),"")</f>
        <v>YOGURT KIOSKO</v>
      </c>
      <c r="E40" s="24" t="str">
        <f>+IFERROR(IF(GUAYAQUIL[[#This Row],[CODIGO]]="","",VLOOKUP(GUAYAQUIL[[#This Row],[CODIGO]],MAESTRO!$A:$F,6,FALSE)),"")</f>
        <v>BEBIDA DE YOGURT KIOSKO BOTELLA PERSONAL</v>
      </c>
      <c r="F40" s="42" t="str">
        <f>IF(GUAYAQUIL[[#This Row],[CODIGO]]="","",$K$6)</f>
        <v>GUAYAQUIL</v>
      </c>
      <c r="G40" s="42">
        <f>IF(GUAYAQUIL[[#This Row],[CODIGO]]="","",7711)</f>
        <v>7711</v>
      </c>
      <c r="H40" s="42">
        <f>IF(GUAYAQUIL[[#This Row],[CODIGO]]="","",1001)</f>
        <v>1001</v>
      </c>
      <c r="I40" s="258" t="s">
        <v>1630</v>
      </c>
      <c r="J40" s="25" t="str">
        <f>IFERROR((VLOOKUP(GUAYAQUIL[[#This Row],[CODIGO]],MAESTRO!A:B,2,FALSE)),"")</f>
        <v>YOG BBLE KID KK FTLLA BOT 180G</v>
      </c>
      <c r="K40" s="35">
        <v>756</v>
      </c>
      <c r="L40" s="38">
        <f>+IFERROR(IF(GUAYAQUIL[[#This Row],[CODIGO]]="","",VLOOKUP(GUAYAQUIL[[#This Row],[CODIGO]],MAESTRO!$A:$BF,58,FALSE)),"")</f>
        <v>1</v>
      </c>
      <c r="M40" s="27">
        <f>+IFERROR(IF(GUAYAQUIL[[#This Row],[CODIGO]]="","",VLOOKUP(GUAYAQUIL[[#This Row],[CODIGO]],MAESTRO!A:N,14,FALSE)),"")</f>
        <v>0.18</v>
      </c>
      <c r="N40" s="28">
        <f>+IFERROR(IF(GUAYAQUIL[[#This Row],[CODIGO]]="","",VLOOKUP(GUAYAQUIL[[#This Row],[CODIGO]],MAESTRO!A:P,16,FALSE)),"")</f>
        <v>45</v>
      </c>
      <c r="O40" s="29">
        <v>45615</v>
      </c>
      <c r="P40" s="72" t="str">
        <f t="shared" si="0"/>
        <v>martes</v>
      </c>
      <c r="Q40" s="29">
        <f>IFERROR(IF(GUAYAQUIL[[#This Row],[CODIGO]]="","",IF(GUAYAQUIL[[#This Row],[Fecha Cad]]="","",(GUAYAQUIL[[#This Row],[Fecha Cad]]-GUAYAQUIL[[#This Row],[VIDA UTIL (Días)]]))+1),"")</f>
        <v>45609</v>
      </c>
      <c r="R40" s="45">
        <v>45653</v>
      </c>
      <c r="S40" s="30">
        <f t="shared" ca="1" si="1"/>
        <v>29</v>
      </c>
      <c r="T40" s="31">
        <f t="shared" ca="1" si="2"/>
        <v>0.64444444444444449</v>
      </c>
      <c r="U40" s="286">
        <v>756</v>
      </c>
      <c r="V40" s="262">
        <f>+IFERROR(IF(GUAYAQUIL[[#This Row],[CODIGO]]="","",GUAYAQUIL[[#This Row],[Stock Actual Unds]]*GUAYAQUIL[[#This Row],[Gramaje]]*GUAYAQUIL[[#This Row],[Conversión]]),"")</f>
        <v>136.07999999999998</v>
      </c>
      <c r="W40" s="270">
        <f t="shared" si="3"/>
        <v>6</v>
      </c>
      <c r="X40" s="32">
        <f t="shared" si="4"/>
        <v>0.8666666666666667</v>
      </c>
      <c r="Y40" s="236">
        <f>IFERROR(VLOOKUP(GUAYAQUIL[[#This Row],[CODIGO]],MAESTRO!A:BI,21,FALSE),0)</f>
        <v>0.323905</v>
      </c>
      <c r="Z40" s="237">
        <f>+IFERROR(IF(GUAYAQUIL[[#This Row],[CODIGO]]="","",GUAYAQUIL[[#This Row],[COSTO UNIT base]]*GUAYAQUIL[[#This Row],[Conversión]]),"")</f>
        <v>0.323905</v>
      </c>
      <c r="AA40" s="236">
        <f>+IFERROR(IF(GUAYAQUIL[[#This Row],[CODIGO]]="","",GUAYAQUIL[[#This Row],[COSTO UNIT Conv]]*GUAYAQUIL[[#This Row],[Stock Actual Kgs]]),"")</f>
        <v>44.076992399999995</v>
      </c>
      <c r="AB40" s="33">
        <f ca="1">+IFERROR(IF(GUAYAQUIL[[#This Row],[CODIGO]]="","",$J$3-O40),"")</f>
        <v>9</v>
      </c>
      <c r="AC40" s="34" t="str">
        <f ca="1">IF(GUAYAQUIL[[#This Row],[CODIGO]]="","",IF(S40&lt;=0,"CADUCADO",IF(AND(S40&gt;0,S40&lt;=21),"FECHA CORTA",IF(AND(S40&gt;=22,S40&lt;=26),"PROXIMOS FECHA CORTA", "VIGENTE"))))</f>
        <v>VIGENTE</v>
      </c>
      <c r="AD40" s="37">
        <f>+IF(GUAYAQUIL[[#This Row],[CODIGO]]="","",GUAYAQUIL[[#This Row],[Stock Actual Unds]]*GUAYAQUIL[[#This Row],[Gramaje]]*GUAYAQUIL[[#This Row],[Conversión]])/1000</f>
        <v>0.13607999999999998</v>
      </c>
    </row>
    <row r="41" spans="1:30">
      <c r="A41" s="24" t="str">
        <f>+IFERROR(IF(GUAYAQUIL[[#This Row],[CODIGO]]="","",VLOOKUP(GUAYAQUIL[[#This Row],[CODIGO]],MAESTRO!$A:$J,10,FALSE)),"")</f>
        <v>MACHACHI</v>
      </c>
      <c r="B41" s="24" t="str">
        <f>+IFERROR(IF(GUAYAQUIL[[#This Row],[CODIGO]]="","",VLOOKUP(GUAYAQUIL[[#This Row],[CODIGO]],MAESTRO!$A:$Q,17,FALSE)),"")</f>
        <v>BEBIDAS LACTEAS</v>
      </c>
      <c r="C41" s="24" t="str">
        <f>+IFERROR(IF(GUAYAQUIL[[#This Row],[CODIGO]]="","",VLOOKUP(GUAYAQUIL[[#This Row],[CODIGO]],MAESTRO!$A:$BA,53,FALSE)),"")</f>
        <v xml:space="preserve">Luis Armendariz                         </v>
      </c>
      <c r="D41" s="24" t="str">
        <f>+IFERROR(IF(GUAYAQUIL[[#This Row],[CODIGO]]="","",VLOOKUP(GUAYAQUIL[[#This Row],[CODIGO]],MAESTRO!$A:$D,4,FALSE)),"")</f>
        <v>YOGURT KIOSKO</v>
      </c>
      <c r="E41" s="24" t="str">
        <f>+IFERROR(IF(GUAYAQUIL[[#This Row],[CODIGO]]="","",VLOOKUP(GUAYAQUIL[[#This Row],[CODIGO]],MAESTRO!$A:$F,6,FALSE)),"")</f>
        <v>BEBIDA DE YOGURT KIOSKO BOTELLA PERSONAL</v>
      </c>
      <c r="F41" s="42" t="str">
        <f>IF(GUAYAQUIL[[#This Row],[CODIGO]]="","",$K$6)</f>
        <v>GUAYAQUIL</v>
      </c>
      <c r="G41" s="209">
        <f>IF(GUAYAQUIL[[#This Row],[CODIGO]]="","",7711)</f>
        <v>7711</v>
      </c>
      <c r="H41" s="209">
        <f>IF(GUAYAQUIL[[#This Row],[CODIGO]]="","",1001)</f>
        <v>1001</v>
      </c>
      <c r="I41" s="258" t="s">
        <v>1630</v>
      </c>
      <c r="J41" s="25" t="str">
        <f>IFERROR((VLOOKUP(GUAYAQUIL[[#This Row],[CODIGO]],MAESTRO!A:B,2,FALSE)),"")</f>
        <v>YOG BBLE KID KK FTLLA BOT 180G</v>
      </c>
      <c r="K41" s="35">
        <v>864</v>
      </c>
      <c r="L41" s="38">
        <f>+IFERROR(IF(GUAYAQUIL[[#This Row],[CODIGO]]="","",VLOOKUP(GUAYAQUIL[[#This Row],[CODIGO]],MAESTRO!$A:$BF,58,FALSE)),"")</f>
        <v>1</v>
      </c>
      <c r="M41" s="27">
        <f>+IFERROR(IF(GUAYAQUIL[[#This Row],[CODIGO]]="","",VLOOKUP(GUAYAQUIL[[#This Row],[CODIGO]],MAESTRO!A:N,14,FALSE)),"")</f>
        <v>0.18</v>
      </c>
      <c r="N41" s="28">
        <f>+IFERROR(IF(GUAYAQUIL[[#This Row],[CODIGO]]="","",VLOOKUP(GUAYAQUIL[[#This Row],[CODIGO]],MAESTRO!A:P,16,FALSE)),"")</f>
        <v>45</v>
      </c>
      <c r="O41" s="29">
        <v>45617</v>
      </c>
      <c r="P41" s="72" t="str">
        <f t="shared" si="0"/>
        <v>jueves</v>
      </c>
      <c r="Q41" s="29">
        <f>IFERROR(IF(GUAYAQUIL[[#This Row],[CODIGO]]="","",IF(GUAYAQUIL[[#This Row],[Fecha Cad]]="","",(GUAYAQUIL[[#This Row],[Fecha Cad]]-GUAYAQUIL[[#This Row],[VIDA UTIL (Días)]]))+1),"")</f>
        <v>45611</v>
      </c>
      <c r="R41" s="29">
        <v>45655</v>
      </c>
      <c r="S41" s="30">
        <f t="shared" ca="1" si="1"/>
        <v>31</v>
      </c>
      <c r="T41" s="31">
        <f t="shared" ca="1" si="2"/>
        <v>0.68888888888888888</v>
      </c>
      <c r="U41" s="286">
        <v>432</v>
      </c>
      <c r="V41" s="261">
        <f>+IFERROR(IF(GUAYAQUIL[[#This Row],[CODIGO]]="","",GUAYAQUIL[[#This Row],[Stock Actual Unds]]*GUAYAQUIL[[#This Row],[Gramaje]]*GUAYAQUIL[[#This Row],[Conversión]]),"")</f>
        <v>77.759999999999991</v>
      </c>
      <c r="W41" s="270">
        <f t="shared" si="3"/>
        <v>6</v>
      </c>
      <c r="X41" s="32">
        <f t="shared" si="4"/>
        <v>0.8666666666666667</v>
      </c>
      <c r="Y41" s="236">
        <f>IFERROR(VLOOKUP(GUAYAQUIL[[#This Row],[CODIGO]],MAESTRO!A:BI,21,FALSE),0)</f>
        <v>0.323905</v>
      </c>
      <c r="Z41" s="237">
        <f>+IFERROR(IF(GUAYAQUIL[[#This Row],[CODIGO]]="","",GUAYAQUIL[[#This Row],[COSTO UNIT base]]*GUAYAQUIL[[#This Row],[Conversión]]),"")</f>
        <v>0.323905</v>
      </c>
      <c r="AA41" s="236">
        <f>+IFERROR(IF(GUAYAQUIL[[#This Row],[CODIGO]]="","",GUAYAQUIL[[#This Row],[COSTO UNIT Conv]]*GUAYAQUIL[[#This Row],[Stock Actual Kgs]]),"")</f>
        <v>25.186852799999997</v>
      </c>
      <c r="AB41" s="33">
        <f ca="1">+IFERROR(IF(GUAYAQUIL[[#This Row],[CODIGO]]="","",$J$3-O41),"")</f>
        <v>7</v>
      </c>
      <c r="AC41" s="34" t="str">
        <f ca="1">IF(GUAYAQUIL[[#This Row],[CODIGO]]="","",IF(S41&lt;=0,"CADUCADO",IF(AND(S41&gt;0,S41&lt;=21),"FECHA CORTA",IF(AND(S41&gt;=22,S41&lt;=26),"PROXIMOS FECHA CORTA", "VIGENTE"))))</f>
        <v>VIGENTE</v>
      </c>
      <c r="AD41" s="37">
        <f>+IF(GUAYAQUIL[[#This Row],[CODIGO]]="","",GUAYAQUIL[[#This Row],[Stock Actual Unds]]*GUAYAQUIL[[#This Row],[Gramaje]]*GUAYAQUIL[[#This Row],[Conversión]])/1000</f>
        <v>7.7759999999999996E-2</v>
      </c>
    </row>
    <row r="42" spans="1:30">
      <c r="A42" s="24" t="str">
        <f>+IFERROR(IF(GUAYAQUIL[[#This Row],[CODIGO]]="","",VLOOKUP(GUAYAQUIL[[#This Row],[CODIGO]],MAESTRO!$A:$J,10,FALSE)),"")</f>
        <v>MACHACHI</v>
      </c>
      <c r="B42" s="24" t="str">
        <f>+IFERROR(IF(GUAYAQUIL[[#This Row],[CODIGO]]="","",VLOOKUP(GUAYAQUIL[[#This Row],[CODIGO]],MAESTRO!$A:$Q,17,FALSE)),"")</f>
        <v>BEBIDAS LACTEAS</v>
      </c>
      <c r="C42" s="24" t="str">
        <f>+IFERROR(IF(GUAYAQUIL[[#This Row],[CODIGO]]="","",VLOOKUP(GUAYAQUIL[[#This Row],[CODIGO]],MAESTRO!$A:$BA,53,FALSE)),"")</f>
        <v xml:space="preserve">Luis Armendariz                         </v>
      </c>
      <c r="D42" s="24" t="str">
        <f>+IFERROR(IF(GUAYAQUIL[[#This Row],[CODIGO]]="","",VLOOKUP(GUAYAQUIL[[#This Row],[CODIGO]],MAESTRO!$A:$D,4,FALSE)),"")</f>
        <v>YOGURT FINESSE</v>
      </c>
      <c r="E42" s="24" t="str">
        <f>+IFERROR(IF(GUAYAQUIL[[#This Row],[CODIGO]]="","",VLOOKUP(GUAYAQUIL[[#This Row],[CODIGO]],MAESTRO!$A:$F,6,FALSE)),"")</f>
        <v>YOGURT FINESSE DESLACT BOTELLA FAMILIAR</v>
      </c>
      <c r="F42" s="42" t="str">
        <f>IF(GUAYAQUIL[[#This Row],[CODIGO]]="","",$K$6)</f>
        <v>GUAYAQUIL</v>
      </c>
      <c r="G42" s="42">
        <f>IF(GUAYAQUIL[[#This Row],[CODIGO]]="","",7711)</f>
        <v>7711</v>
      </c>
      <c r="H42" s="42">
        <f>IF(GUAYAQUIL[[#This Row],[CODIGO]]="","",1001)</f>
        <v>1001</v>
      </c>
      <c r="I42" s="258" t="s">
        <v>3550</v>
      </c>
      <c r="J42" s="25" t="str">
        <f>IFERROR((VLOOKUP(GUAYAQUIL[[#This Row],[CODIGO]],MAESTRO!A:B,2,FALSE)),"")</f>
        <v>YOG FNSSE FRTROJ BOT 950G</v>
      </c>
      <c r="K42" s="35">
        <v>576</v>
      </c>
      <c r="L42" s="38">
        <f>+IFERROR(IF(GUAYAQUIL[[#This Row],[CODIGO]]="","",VLOOKUP(GUAYAQUIL[[#This Row],[CODIGO]],MAESTRO!$A:$BF,58,FALSE)),"")</f>
        <v>1</v>
      </c>
      <c r="M42" s="27">
        <f>+IFERROR(IF(GUAYAQUIL[[#This Row],[CODIGO]]="","",VLOOKUP(GUAYAQUIL[[#This Row],[CODIGO]],MAESTRO!A:N,14,FALSE)),"")</f>
        <v>0.95</v>
      </c>
      <c r="N42" s="28">
        <f>+IFERROR(IF(GUAYAQUIL[[#This Row],[CODIGO]]="","",VLOOKUP(GUAYAQUIL[[#This Row],[CODIGO]],MAESTRO!A:P,16,FALSE)),"")</f>
        <v>45</v>
      </c>
      <c r="O42" s="29">
        <v>45617</v>
      </c>
      <c r="P42" s="72" t="str">
        <f t="shared" si="0"/>
        <v>jueves</v>
      </c>
      <c r="Q42" s="29">
        <f>IFERROR(IF(GUAYAQUIL[[#This Row],[CODIGO]]="","",IF(GUAYAQUIL[[#This Row],[Fecha Cad]]="","",(GUAYAQUIL[[#This Row],[Fecha Cad]]-GUAYAQUIL[[#This Row],[VIDA UTIL (Días)]]))+1),"")</f>
        <v>45617</v>
      </c>
      <c r="R42" s="29">
        <v>45661</v>
      </c>
      <c r="S42" s="30">
        <f t="shared" ca="1" si="1"/>
        <v>37</v>
      </c>
      <c r="T42" s="31">
        <f t="shared" ca="1" si="2"/>
        <v>0.82222222222222219</v>
      </c>
      <c r="U42" s="286">
        <v>80</v>
      </c>
      <c r="V42" s="261">
        <f>+IFERROR(IF(GUAYAQUIL[[#This Row],[CODIGO]]="","",GUAYAQUIL[[#This Row],[Stock Actual Unds]]*GUAYAQUIL[[#This Row],[Gramaje]]*GUAYAQUIL[[#This Row],[Conversión]]),"")</f>
        <v>76</v>
      </c>
      <c r="W42" s="270">
        <f t="shared" si="3"/>
        <v>0</v>
      </c>
      <c r="X42" s="32">
        <f t="shared" si="4"/>
        <v>1</v>
      </c>
      <c r="Y42" s="236">
        <f>IFERROR(VLOOKUP(GUAYAQUIL[[#This Row],[CODIGO]],MAESTRO!A:BI,21,FALSE),0)</f>
        <v>1.38215</v>
      </c>
      <c r="Z42" s="237">
        <f>+IFERROR(IF(GUAYAQUIL[[#This Row],[CODIGO]]="","",GUAYAQUIL[[#This Row],[COSTO UNIT base]]*GUAYAQUIL[[#This Row],[Conversión]]),"")</f>
        <v>1.38215</v>
      </c>
      <c r="AA42" s="236">
        <f>+IFERROR(IF(GUAYAQUIL[[#This Row],[CODIGO]]="","",GUAYAQUIL[[#This Row],[COSTO UNIT Conv]]*GUAYAQUIL[[#This Row],[Stock Actual Kgs]]),"")</f>
        <v>105.04340000000001</v>
      </c>
      <c r="AB42" s="33">
        <f ca="1">+IFERROR(IF(GUAYAQUIL[[#This Row],[CODIGO]]="","",$J$3-O42),"")</f>
        <v>7</v>
      </c>
      <c r="AC42" s="34" t="str">
        <f ca="1">IF(GUAYAQUIL[[#This Row],[CODIGO]]="","",IF(S42&lt;=0,"CADUCADO",IF(AND(S42&gt;0,S42&lt;=21),"FECHA CORTA",IF(AND(S42&gt;=22,S42&lt;=26),"PROXIMOS FECHA CORTA", "VIGENTE"))))</f>
        <v>VIGENTE</v>
      </c>
      <c r="AD42" s="37">
        <f>+IF(GUAYAQUIL[[#This Row],[CODIGO]]="","",GUAYAQUIL[[#This Row],[Stock Actual Unds]]*GUAYAQUIL[[#This Row],[Gramaje]]*GUAYAQUIL[[#This Row],[Conversión]])/1000</f>
        <v>7.5999999999999998E-2</v>
      </c>
    </row>
    <row r="43" spans="1:30">
      <c r="A43" s="24" t="str">
        <f>+IFERROR(IF(GUAYAQUIL[[#This Row],[CODIGO]]="","",VLOOKUP(GUAYAQUIL[[#This Row],[CODIGO]],MAESTRO!$A:$J,10,FALSE)),"")</f>
        <v>SAN GABRIEL</v>
      </c>
      <c r="B43" s="24" t="str">
        <f>+IFERROR(IF(GUAYAQUIL[[#This Row],[CODIGO]]="","",VLOOKUP(GUAYAQUIL[[#This Row],[CODIGO]],MAESTRO!$A:$Q,17,FALSE)),"")</f>
        <v>QUESOS Y GRASAS</v>
      </c>
      <c r="C43" s="24" t="str">
        <f>+IFERROR(IF(GUAYAQUIL[[#This Row],[CODIGO]]="","",VLOOKUP(GUAYAQUIL[[#This Row],[CODIGO]],MAESTRO!$A:$BA,53,FALSE)),"")</f>
        <v xml:space="preserve">Esteban Montenegro                      </v>
      </c>
      <c r="D43" s="24" t="str">
        <f>+IFERROR(IF(GUAYAQUIL[[#This Row],[CODIGO]]="","",VLOOKUP(GUAYAQUIL[[#This Row],[CODIGO]],MAESTRO!$A:$D,4,FALSE)),"")</f>
        <v>QUESO SEMIMADURO KIOSKO</v>
      </c>
      <c r="E43" s="24" t="str">
        <f>+IFERROR(IF(GUAYAQUIL[[#This Row],[CODIGO]]="","",VLOOKUP(GUAYAQUIL[[#This Row],[CODIGO]],MAESTRO!$A:$F,6,FALSE)),"")</f>
        <v>QUESO SEMIMADURO CHEDDAR KIOSKO TAJADO</v>
      </c>
      <c r="F43" s="42" t="str">
        <f>IF(GUAYAQUIL[[#This Row],[CODIGO]]="","",$K$6)</f>
        <v>GUAYAQUIL</v>
      </c>
      <c r="G43" s="42">
        <f>IF(GUAYAQUIL[[#This Row],[CODIGO]]="","",7711)</f>
        <v>7711</v>
      </c>
      <c r="H43" s="42">
        <f>IF(GUAYAQUIL[[#This Row],[CODIGO]]="","",1001)</f>
        <v>1001</v>
      </c>
      <c r="I43" s="258" t="s">
        <v>2584</v>
      </c>
      <c r="J43" s="25" t="str">
        <f>IFERROR((VLOOKUP(GUAYAQUIL[[#This Row],[CODIGO]],MAESTRO!A:B,2,FALSE)),"")</f>
        <v>Q CHED KIOSKO 10 LONJ 200G</v>
      </c>
      <c r="K43" s="35">
        <v>112</v>
      </c>
      <c r="L43" s="38">
        <f>+IFERROR(IF(GUAYAQUIL[[#This Row],[CODIGO]]="","",VLOOKUP(GUAYAQUIL[[#This Row],[CODIGO]],MAESTRO!$A:$BF,58,FALSE)),"")</f>
        <v>1</v>
      </c>
      <c r="M43" s="27">
        <f>+IFERROR(IF(GUAYAQUIL[[#This Row],[CODIGO]]="","",VLOOKUP(GUAYAQUIL[[#This Row],[CODIGO]],MAESTRO!A:N,14,FALSE)),"")</f>
        <v>0.2</v>
      </c>
      <c r="N43" s="28">
        <f>+IFERROR(IF(GUAYAQUIL[[#This Row],[CODIGO]]="","",VLOOKUP(GUAYAQUIL[[#This Row],[CODIGO]],MAESTRO!A:P,16,FALSE)),"")</f>
        <v>90</v>
      </c>
      <c r="O43" s="29">
        <v>45604</v>
      </c>
      <c r="P43" s="72" t="str">
        <f t="shared" si="0"/>
        <v>viernes</v>
      </c>
      <c r="Q43" s="29">
        <f>IFERROR(IF(GUAYAQUIL[[#This Row],[CODIGO]]="","",IF(GUAYAQUIL[[#This Row],[Fecha Cad]]="","",(GUAYAQUIL[[#This Row],[Fecha Cad]]-GUAYAQUIL[[#This Row],[VIDA UTIL (Días)]]))+1),"")</f>
        <v>45594</v>
      </c>
      <c r="R43" s="29">
        <v>45683</v>
      </c>
      <c r="S43" s="30">
        <f t="shared" ca="1" si="1"/>
        <v>59</v>
      </c>
      <c r="T43" s="31">
        <f t="shared" ca="1" si="2"/>
        <v>0.65555555555555556</v>
      </c>
      <c r="U43" s="286">
        <v>4</v>
      </c>
      <c r="V43" s="261">
        <f>+IFERROR(IF(GUAYAQUIL[[#This Row],[CODIGO]]="","",GUAYAQUIL[[#This Row],[Stock Actual Unds]]*GUAYAQUIL[[#This Row],[Gramaje]]*GUAYAQUIL[[#This Row],[Conversión]]),"")</f>
        <v>0.8</v>
      </c>
      <c r="W43" s="270">
        <f t="shared" si="3"/>
        <v>10</v>
      </c>
      <c r="X43" s="32">
        <f t="shared" si="4"/>
        <v>0.88888888888888884</v>
      </c>
      <c r="Y43" s="236">
        <f>IFERROR(VLOOKUP(GUAYAQUIL[[#This Row],[CODIGO]],MAESTRO!A:BI,21,FALSE),0)</f>
        <v>1.6998099999999998</v>
      </c>
      <c r="Z43" s="237">
        <f>+IFERROR(IF(GUAYAQUIL[[#This Row],[CODIGO]]="","",GUAYAQUIL[[#This Row],[COSTO UNIT base]]*GUAYAQUIL[[#This Row],[Conversión]]),"")</f>
        <v>1.6998099999999998</v>
      </c>
      <c r="AA43" s="236">
        <f>+IFERROR(IF(GUAYAQUIL[[#This Row],[CODIGO]]="","",GUAYAQUIL[[#This Row],[COSTO UNIT Conv]]*GUAYAQUIL[[#This Row],[Stock Actual Kgs]]),"")</f>
        <v>1.3598479999999999</v>
      </c>
      <c r="AB43" s="33">
        <f ca="1">+IFERROR(IF(GUAYAQUIL[[#This Row],[CODIGO]]="","",$J$3-O43),"")</f>
        <v>20</v>
      </c>
      <c r="AC43" s="34" t="str">
        <f ca="1">IF(GUAYAQUIL[[#This Row],[CODIGO]]="","",IF(S43&lt;=0,"CADUCADO",IF(AND(S43&gt;0,S43&lt;=21),"FECHA CORTA",IF(AND(S43&gt;=22,S43&lt;=26),"PROXIMOS FECHA CORTA", "VIGENTE"))))</f>
        <v>VIGENTE</v>
      </c>
      <c r="AD43" s="37">
        <f>+IF(GUAYAQUIL[[#This Row],[CODIGO]]="","",GUAYAQUIL[[#This Row],[Stock Actual Unds]]*GUAYAQUIL[[#This Row],[Gramaje]]*GUAYAQUIL[[#This Row],[Conversión]])/1000</f>
        <v>8.0000000000000004E-4</v>
      </c>
    </row>
    <row r="44" spans="1:30">
      <c r="A44" s="24" t="str">
        <f>+IFERROR(IF(GUAYAQUIL[[#This Row],[CODIGO]]="","",VLOOKUP(GUAYAQUIL[[#This Row],[CODIGO]],MAESTRO!$A:$J,10,FALSE)),"")</f>
        <v>SAN GABRIEL</v>
      </c>
      <c r="B44" s="24" t="str">
        <f>+IFERROR(IF(GUAYAQUIL[[#This Row],[CODIGO]]="","",VLOOKUP(GUAYAQUIL[[#This Row],[CODIGO]],MAESTRO!$A:$Q,17,FALSE)),"")</f>
        <v>QUESOS Y GRASAS</v>
      </c>
      <c r="C44" s="24" t="str">
        <f>+IFERROR(IF(GUAYAQUIL[[#This Row],[CODIGO]]="","",VLOOKUP(GUAYAQUIL[[#This Row],[CODIGO]],MAESTRO!$A:$BA,53,FALSE)),"")</f>
        <v xml:space="preserve">Esteban Montenegro                      </v>
      </c>
      <c r="D44" s="24" t="str">
        <f>+IFERROR(IF(GUAYAQUIL[[#This Row],[CODIGO]]="","",VLOOKUP(GUAYAQUIL[[#This Row],[CODIGO]],MAESTRO!$A:$D,4,FALSE)),"")</f>
        <v>QUESO SEMIMADURO KIOSKO</v>
      </c>
      <c r="E44" s="24" t="str">
        <f>+IFERROR(IF(GUAYAQUIL[[#This Row],[CODIGO]]="","",VLOOKUP(GUAYAQUIL[[#This Row],[CODIGO]],MAESTRO!$A:$F,6,FALSE)),"")</f>
        <v>QUESO SEMIMADURO CHEDDAR KIOSKO TAJADO</v>
      </c>
      <c r="F44" s="42" t="str">
        <f>IF(GUAYAQUIL[[#This Row],[CODIGO]]="","",$K$6)</f>
        <v>GUAYAQUIL</v>
      </c>
      <c r="G44" s="42">
        <f>IF(GUAYAQUIL[[#This Row],[CODIGO]]="","",7711)</f>
        <v>7711</v>
      </c>
      <c r="H44" s="42">
        <f>IF(GUAYAQUIL[[#This Row],[CODIGO]]="","",1001)</f>
        <v>1001</v>
      </c>
      <c r="I44" s="258" t="s">
        <v>2584</v>
      </c>
      <c r="J44" s="25" t="str">
        <f>IFERROR((VLOOKUP(GUAYAQUIL[[#This Row],[CODIGO]],MAESTRO!A:B,2,FALSE)),"")</f>
        <v>Q CHED KIOSKO 10 LONJ 200G</v>
      </c>
      <c r="K44" s="35">
        <v>128</v>
      </c>
      <c r="L44" s="38">
        <f>+IFERROR(IF(GUAYAQUIL[[#This Row],[CODIGO]]="","",VLOOKUP(GUAYAQUIL[[#This Row],[CODIGO]],MAESTRO!$A:$BF,58,FALSE)),"")</f>
        <v>1</v>
      </c>
      <c r="M44" s="27">
        <f>+IFERROR(IF(GUAYAQUIL[[#This Row],[CODIGO]]="","",VLOOKUP(GUAYAQUIL[[#This Row],[CODIGO]],MAESTRO!A:N,14,FALSE)),"")</f>
        <v>0.2</v>
      </c>
      <c r="N44" s="28">
        <f>+IFERROR(IF(GUAYAQUIL[[#This Row],[CODIGO]]="","",VLOOKUP(GUAYAQUIL[[#This Row],[CODIGO]],MAESTRO!A:P,16,FALSE)),"")</f>
        <v>90</v>
      </c>
      <c r="O44" s="45">
        <v>45604</v>
      </c>
      <c r="P44" s="72" t="str">
        <f t="shared" si="0"/>
        <v>viernes</v>
      </c>
      <c r="Q44" s="29">
        <f>IFERROR(IF(GUAYAQUIL[[#This Row],[CODIGO]]="","",IF(GUAYAQUIL[[#This Row],[Fecha Cad]]="","",(GUAYAQUIL[[#This Row],[Fecha Cad]]-GUAYAQUIL[[#This Row],[VIDA UTIL (Días)]]))+1),"")</f>
        <v>45601</v>
      </c>
      <c r="R44" s="45">
        <v>45690</v>
      </c>
      <c r="S44" s="30">
        <f t="shared" ca="1" si="1"/>
        <v>66</v>
      </c>
      <c r="T44" s="31">
        <f t="shared" ca="1" si="2"/>
        <v>0.73333333333333328</v>
      </c>
      <c r="U44" s="286">
        <v>128</v>
      </c>
      <c r="V44" s="262">
        <f>+IFERROR(IF(GUAYAQUIL[[#This Row],[CODIGO]]="","",GUAYAQUIL[[#This Row],[Stock Actual Unds]]*GUAYAQUIL[[#This Row],[Gramaje]]*GUAYAQUIL[[#This Row],[Conversión]]),"")</f>
        <v>25.6</v>
      </c>
      <c r="W44" s="270">
        <f t="shared" si="3"/>
        <v>3</v>
      </c>
      <c r="X44" s="32">
        <f t="shared" si="4"/>
        <v>0.96666666666666667</v>
      </c>
      <c r="Y44" s="236">
        <f>IFERROR(VLOOKUP(GUAYAQUIL[[#This Row],[CODIGO]],MAESTRO!A:BI,21,FALSE),0)</f>
        <v>1.6998099999999998</v>
      </c>
      <c r="Z44" s="237">
        <f>+IFERROR(IF(GUAYAQUIL[[#This Row],[CODIGO]]="","",GUAYAQUIL[[#This Row],[COSTO UNIT base]]*GUAYAQUIL[[#This Row],[Conversión]]),"")</f>
        <v>1.6998099999999998</v>
      </c>
      <c r="AA44" s="236">
        <f>+IFERROR(IF(GUAYAQUIL[[#This Row],[CODIGO]]="","",GUAYAQUIL[[#This Row],[COSTO UNIT Conv]]*GUAYAQUIL[[#This Row],[Stock Actual Kgs]]),"")</f>
        <v>43.515135999999998</v>
      </c>
      <c r="AB44" s="33">
        <f ca="1">+IFERROR(IF(GUAYAQUIL[[#This Row],[CODIGO]]="","",$J$3-O44),"")</f>
        <v>20</v>
      </c>
      <c r="AC44" s="34" t="str">
        <f ca="1">IF(GUAYAQUIL[[#This Row],[CODIGO]]="","",IF(S44&lt;=0,"CADUCADO",IF(AND(S44&gt;0,S44&lt;=21),"FECHA CORTA",IF(AND(S44&gt;=22,S44&lt;=26),"PROXIMOS FECHA CORTA", "VIGENTE"))))</f>
        <v>VIGENTE</v>
      </c>
      <c r="AD44" s="37">
        <f>+IF(GUAYAQUIL[[#This Row],[CODIGO]]="","",GUAYAQUIL[[#This Row],[Stock Actual Unds]]*GUAYAQUIL[[#This Row],[Gramaje]]*GUAYAQUIL[[#This Row],[Conversión]])/1000</f>
        <v>2.5600000000000001E-2</v>
      </c>
    </row>
    <row r="45" spans="1:30">
      <c r="A45" s="24" t="str">
        <f>+IFERROR(IF(GUAYAQUIL[[#This Row],[CODIGO]]="","",VLOOKUP(GUAYAQUIL[[#This Row],[CODIGO]],MAESTRO!$A:$J,10,FALSE)),"")</f>
        <v>SAN GABRIEL</v>
      </c>
      <c r="B45" s="24" t="str">
        <f>+IFERROR(IF(GUAYAQUIL[[#This Row],[CODIGO]]="","",VLOOKUP(GUAYAQUIL[[#This Row],[CODIGO]],MAESTRO!$A:$Q,17,FALSE)),"")</f>
        <v>QUESOS Y GRASAS</v>
      </c>
      <c r="C45" s="24" t="str">
        <f>+IFERROR(IF(GUAYAQUIL[[#This Row],[CODIGO]]="","",VLOOKUP(GUAYAQUIL[[#This Row],[CODIGO]],MAESTRO!$A:$BA,53,FALSE)),"")</f>
        <v xml:space="preserve">Esteban Montenegro                      </v>
      </c>
      <c r="D45" s="24" t="str">
        <f>+IFERROR(IF(GUAYAQUIL[[#This Row],[CODIGO]]="","",VLOOKUP(GUAYAQUIL[[#This Row],[CODIGO]],MAESTRO!$A:$D,4,FALSE)),"")</f>
        <v>QUESO SEMIMADURO KIOSKO</v>
      </c>
      <c r="E45" s="24" t="str">
        <f>+IFERROR(IF(GUAYAQUIL[[#This Row],[CODIGO]]="","",VLOOKUP(GUAYAQUIL[[#This Row],[CODIGO]],MAESTRO!$A:$F,6,FALSE)),"")</f>
        <v>QUESO SEMIMADURO CHEDDAR KIOSKO TAJADO</v>
      </c>
      <c r="F45" s="42" t="str">
        <f>IF(GUAYAQUIL[[#This Row],[CODIGO]]="","",$K$6)</f>
        <v>GUAYAQUIL</v>
      </c>
      <c r="G45" s="209">
        <f>IF(GUAYAQUIL[[#This Row],[CODIGO]]="","",7711)</f>
        <v>7711</v>
      </c>
      <c r="H45" s="209">
        <f>IF(GUAYAQUIL[[#This Row],[CODIGO]]="","",1001)</f>
        <v>1001</v>
      </c>
      <c r="I45" s="258" t="s">
        <v>2584</v>
      </c>
      <c r="J45" s="25" t="str">
        <f>IFERROR((VLOOKUP(GUAYAQUIL[[#This Row],[CODIGO]],MAESTRO!A:B,2,FALSE)),"")</f>
        <v>Q CHED KIOSKO 10 LONJ 200G</v>
      </c>
      <c r="K45" s="35">
        <v>120</v>
      </c>
      <c r="L45" s="38">
        <f>+IFERROR(IF(GUAYAQUIL[[#This Row],[CODIGO]]="","",VLOOKUP(GUAYAQUIL[[#This Row],[CODIGO]],MAESTRO!$A:$BF,58,FALSE)),"")</f>
        <v>1</v>
      </c>
      <c r="M45" s="27">
        <f>+IFERROR(IF(GUAYAQUIL[[#This Row],[CODIGO]]="","",VLOOKUP(GUAYAQUIL[[#This Row],[CODIGO]],MAESTRO!A:N,14,FALSE)),"")</f>
        <v>0.2</v>
      </c>
      <c r="N45" s="28">
        <f>+IFERROR(IF(GUAYAQUIL[[#This Row],[CODIGO]]="","",VLOOKUP(GUAYAQUIL[[#This Row],[CODIGO]],MAESTRO!A:P,16,FALSE)),"")</f>
        <v>90</v>
      </c>
      <c r="O45" s="29">
        <v>45608</v>
      </c>
      <c r="P45" s="72" t="str">
        <f t="shared" si="0"/>
        <v>martes</v>
      </c>
      <c r="Q45" s="29">
        <f>IFERROR(IF(GUAYAQUIL[[#This Row],[CODIGO]]="","",IF(GUAYAQUIL[[#This Row],[Fecha Cad]]="","",(GUAYAQUIL[[#This Row],[Fecha Cad]]-GUAYAQUIL[[#This Row],[VIDA UTIL (Días)]]))+1),"")</f>
        <v>45595</v>
      </c>
      <c r="R45" s="29">
        <v>45684</v>
      </c>
      <c r="S45" s="30">
        <f t="shared" ca="1" si="1"/>
        <v>60</v>
      </c>
      <c r="T45" s="31">
        <f t="shared" ca="1" si="2"/>
        <v>0.66666666666666663</v>
      </c>
      <c r="U45" s="286">
        <v>73</v>
      </c>
      <c r="V45" s="262">
        <f>+IFERROR(IF(GUAYAQUIL[[#This Row],[CODIGO]]="","",GUAYAQUIL[[#This Row],[Stock Actual Unds]]*GUAYAQUIL[[#This Row],[Gramaje]]*GUAYAQUIL[[#This Row],[Conversión]]),"")</f>
        <v>14.600000000000001</v>
      </c>
      <c r="W45" s="270">
        <f t="shared" si="3"/>
        <v>13</v>
      </c>
      <c r="X45" s="32">
        <f t="shared" si="4"/>
        <v>0.85555555555555562</v>
      </c>
      <c r="Y45" s="236">
        <f>IFERROR(VLOOKUP(GUAYAQUIL[[#This Row],[CODIGO]],MAESTRO!A:BI,21,FALSE),0)</f>
        <v>1.6998099999999998</v>
      </c>
      <c r="Z45" s="237">
        <f>+IFERROR(IF(GUAYAQUIL[[#This Row],[CODIGO]]="","",GUAYAQUIL[[#This Row],[COSTO UNIT base]]*GUAYAQUIL[[#This Row],[Conversión]]),"")</f>
        <v>1.6998099999999998</v>
      </c>
      <c r="AA45" s="236">
        <f>+IFERROR(IF(GUAYAQUIL[[#This Row],[CODIGO]]="","",GUAYAQUIL[[#This Row],[COSTO UNIT Conv]]*GUAYAQUIL[[#This Row],[Stock Actual Kgs]]),"")</f>
        <v>24.817226000000002</v>
      </c>
      <c r="AB45" s="33">
        <f ca="1">+IFERROR(IF(GUAYAQUIL[[#This Row],[CODIGO]]="","",$J$3-O45),"")</f>
        <v>16</v>
      </c>
      <c r="AC45" s="34" t="str">
        <f ca="1">IF(GUAYAQUIL[[#This Row],[CODIGO]]="","",IF(S45&lt;=0,"CADUCADO",IF(AND(S45&gt;0,S45&lt;=21),"FECHA CORTA",IF(AND(S45&gt;=22,S45&lt;=26),"PROXIMOS FECHA CORTA", "VIGENTE"))))</f>
        <v>VIGENTE</v>
      </c>
      <c r="AD45" s="37">
        <f>+IF(GUAYAQUIL[[#This Row],[CODIGO]]="","",GUAYAQUIL[[#This Row],[Stock Actual Unds]]*GUAYAQUIL[[#This Row],[Gramaje]]*GUAYAQUIL[[#This Row],[Conversión]])/1000</f>
        <v>1.4600000000000002E-2</v>
      </c>
    </row>
    <row r="46" spans="1:30">
      <c r="A46" s="24" t="str">
        <f>+IFERROR(IF(GUAYAQUIL[[#This Row],[CODIGO]]="","",VLOOKUP(GUAYAQUIL[[#This Row],[CODIGO]],MAESTRO!$A:$J,10,FALSE)),"")</f>
        <v>SAN GABRIEL</v>
      </c>
      <c r="B46" s="24" t="str">
        <f>+IFERROR(IF(GUAYAQUIL[[#This Row],[CODIGO]]="","",VLOOKUP(GUAYAQUIL[[#This Row],[CODIGO]],MAESTRO!$A:$Q,17,FALSE)),"")</f>
        <v>QUESOS Y GRASAS</v>
      </c>
      <c r="C46" s="24" t="str">
        <f>+IFERROR(IF(GUAYAQUIL[[#This Row],[CODIGO]]="","",VLOOKUP(GUAYAQUIL[[#This Row],[CODIGO]],MAESTRO!$A:$BA,53,FALSE)),"")</f>
        <v xml:space="preserve">Esteban Montenegro                      </v>
      </c>
      <c r="D46" s="24" t="str">
        <f>+IFERROR(IF(GUAYAQUIL[[#This Row],[CODIGO]]="","",VLOOKUP(GUAYAQUIL[[#This Row],[CODIGO]],MAESTRO!$A:$D,4,FALSE)),"")</f>
        <v>QUESO SEMIMADURO KIOSKO</v>
      </c>
      <c r="E46" s="24" t="str">
        <f>+IFERROR(IF(GUAYAQUIL[[#This Row],[CODIGO]]="","",VLOOKUP(GUAYAQUIL[[#This Row],[CODIGO]],MAESTRO!$A:$F,6,FALSE)),"")</f>
        <v>QUESO SEMIMADURO CHEDDAR KIOSKO TAJADO</v>
      </c>
      <c r="F46" s="42" t="str">
        <f>IF(GUAYAQUIL[[#This Row],[CODIGO]]="","",$K$6)</f>
        <v>GUAYAQUIL</v>
      </c>
      <c r="G46" s="42">
        <f>IF(GUAYAQUIL[[#This Row],[CODIGO]]="","",7711)</f>
        <v>7711</v>
      </c>
      <c r="H46" s="42">
        <f>IF(GUAYAQUIL[[#This Row],[CODIGO]]="","",1001)</f>
        <v>1001</v>
      </c>
      <c r="I46" s="258" t="s">
        <v>2584</v>
      </c>
      <c r="J46" s="25" t="str">
        <f>IFERROR((VLOOKUP(GUAYAQUIL[[#This Row],[CODIGO]],MAESTRO!A:B,2,FALSE)),"")</f>
        <v>Q CHED KIOSKO 10 LONJ 200G</v>
      </c>
      <c r="K46" s="35">
        <v>120</v>
      </c>
      <c r="L46" s="38">
        <f>+IFERROR(IF(GUAYAQUIL[[#This Row],[CODIGO]]="","",VLOOKUP(GUAYAQUIL[[#This Row],[CODIGO]],MAESTRO!$A:$BF,58,FALSE)),"")</f>
        <v>1</v>
      </c>
      <c r="M46" s="27">
        <f>+IFERROR(IF(GUAYAQUIL[[#This Row],[CODIGO]]="","",VLOOKUP(GUAYAQUIL[[#This Row],[CODIGO]],MAESTRO!A:N,14,FALSE)),"")</f>
        <v>0.2</v>
      </c>
      <c r="N46" s="28">
        <f>+IFERROR(IF(GUAYAQUIL[[#This Row],[CODIGO]]="","",VLOOKUP(GUAYAQUIL[[#This Row],[CODIGO]],MAESTRO!A:P,16,FALSE)),"")</f>
        <v>90</v>
      </c>
      <c r="O46" s="45">
        <v>45609</v>
      </c>
      <c r="P46" s="72" t="str">
        <f t="shared" si="0"/>
        <v>miércoles</v>
      </c>
      <c r="Q46" s="29">
        <f>IFERROR(IF(GUAYAQUIL[[#This Row],[CODIGO]]="","",IF(GUAYAQUIL[[#This Row],[Fecha Cad]]="","",(GUAYAQUIL[[#This Row],[Fecha Cad]]-GUAYAQUIL[[#This Row],[VIDA UTIL (Días)]]))+1),"")</f>
        <v>45601</v>
      </c>
      <c r="R46" s="45">
        <v>45690</v>
      </c>
      <c r="S46" s="30">
        <f t="shared" ca="1" si="1"/>
        <v>66</v>
      </c>
      <c r="T46" s="31">
        <f t="shared" ca="1" si="2"/>
        <v>0.73333333333333328</v>
      </c>
      <c r="U46" s="286">
        <v>120</v>
      </c>
      <c r="V46" s="262">
        <f>+IFERROR(IF(GUAYAQUIL[[#This Row],[CODIGO]]="","",GUAYAQUIL[[#This Row],[Stock Actual Unds]]*GUAYAQUIL[[#This Row],[Gramaje]]*GUAYAQUIL[[#This Row],[Conversión]]),"")</f>
        <v>24</v>
      </c>
      <c r="W46" s="270">
        <f t="shared" si="3"/>
        <v>8</v>
      </c>
      <c r="X46" s="32">
        <f t="shared" si="4"/>
        <v>0.91111111111111109</v>
      </c>
      <c r="Y46" s="236">
        <f>IFERROR(VLOOKUP(GUAYAQUIL[[#This Row],[CODIGO]],MAESTRO!A:BI,21,FALSE),0)</f>
        <v>1.6998099999999998</v>
      </c>
      <c r="Z46" s="237">
        <f>+IFERROR(IF(GUAYAQUIL[[#This Row],[CODIGO]]="","",GUAYAQUIL[[#This Row],[COSTO UNIT base]]*GUAYAQUIL[[#This Row],[Conversión]]),"")</f>
        <v>1.6998099999999998</v>
      </c>
      <c r="AA46" s="236">
        <f>+IFERROR(IF(GUAYAQUIL[[#This Row],[CODIGO]]="","",GUAYAQUIL[[#This Row],[COSTO UNIT Conv]]*GUAYAQUIL[[#This Row],[Stock Actual Kgs]]),"")</f>
        <v>40.795439999999999</v>
      </c>
      <c r="AB46" s="33">
        <f ca="1">+IFERROR(IF(GUAYAQUIL[[#This Row],[CODIGO]]="","",$J$3-O46),"")</f>
        <v>15</v>
      </c>
      <c r="AC46" s="34" t="str">
        <f ca="1">IF(GUAYAQUIL[[#This Row],[CODIGO]]="","",IF(S46&lt;=0,"CADUCADO",IF(AND(S46&gt;0,S46&lt;=21),"FECHA CORTA",IF(AND(S46&gt;=22,S46&lt;=26),"PROXIMOS FECHA CORTA", "VIGENTE"))))</f>
        <v>VIGENTE</v>
      </c>
      <c r="AD46" s="37">
        <f>+IF(GUAYAQUIL[[#This Row],[CODIGO]]="","",GUAYAQUIL[[#This Row],[Stock Actual Unds]]*GUAYAQUIL[[#This Row],[Gramaje]]*GUAYAQUIL[[#This Row],[Conversión]])/1000</f>
        <v>2.4E-2</v>
      </c>
    </row>
    <row r="47" spans="1:30">
      <c r="A47" s="24" t="str">
        <f>+IFERROR(IF(GUAYAQUIL[[#This Row],[CODIGO]]="","",VLOOKUP(GUAYAQUIL[[#This Row],[CODIGO]],MAESTRO!$A:$J,10,FALSE)),"")</f>
        <v>SAN GABRIEL</v>
      </c>
      <c r="B47" s="24" t="str">
        <f>+IFERROR(IF(GUAYAQUIL[[#This Row],[CODIGO]]="","",VLOOKUP(GUAYAQUIL[[#This Row],[CODIGO]],MAESTRO!$A:$Q,17,FALSE)),"")</f>
        <v>QUESOS Y GRASAS</v>
      </c>
      <c r="C47" s="24" t="str">
        <f>+IFERROR(IF(GUAYAQUIL[[#This Row],[CODIGO]]="","",VLOOKUP(GUAYAQUIL[[#This Row],[CODIGO]],MAESTRO!$A:$BA,53,FALSE)),"")</f>
        <v xml:space="preserve">Esteban Montenegro                      </v>
      </c>
      <c r="D47" s="24" t="str">
        <f>+IFERROR(IF(GUAYAQUIL[[#This Row],[CODIGO]]="","",VLOOKUP(GUAYAQUIL[[#This Row],[CODIGO]],MAESTRO!$A:$D,4,FALSE)),"")</f>
        <v>QUESO SEMIMADURO KIOSKO</v>
      </c>
      <c r="E47" s="24" t="str">
        <f>+IFERROR(IF(GUAYAQUIL[[#This Row],[CODIGO]]="","",VLOOKUP(GUAYAQUIL[[#This Row],[CODIGO]],MAESTRO!$A:$F,6,FALSE)),"")</f>
        <v>QUESO SEMIMADURO CHEDDAR KIOSKO TAJADO</v>
      </c>
      <c r="F47" s="42" t="str">
        <f>IF(GUAYAQUIL[[#This Row],[CODIGO]]="","",$K$6)</f>
        <v>GUAYAQUIL</v>
      </c>
      <c r="G47" s="42">
        <f>IF(GUAYAQUIL[[#This Row],[CODIGO]]="","",7711)</f>
        <v>7711</v>
      </c>
      <c r="H47" s="42">
        <f>IF(GUAYAQUIL[[#This Row],[CODIGO]]="","",1001)</f>
        <v>1001</v>
      </c>
      <c r="I47" s="258" t="s">
        <v>2584</v>
      </c>
      <c r="J47" s="25" t="str">
        <f>IFERROR((VLOOKUP(GUAYAQUIL[[#This Row],[CODIGO]],MAESTRO!A:B,2,FALSE)),"")</f>
        <v>Q CHED KIOSKO 10 LONJ 200G</v>
      </c>
      <c r="K47" s="35">
        <v>120</v>
      </c>
      <c r="L47" s="38">
        <f>+IFERROR(IF(GUAYAQUIL[[#This Row],[CODIGO]]="","",VLOOKUP(GUAYAQUIL[[#This Row],[CODIGO]],MAESTRO!$A:$BF,58,FALSE)),"")</f>
        <v>1</v>
      </c>
      <c r="M47" s="27">
        <f>+IFERROR(IF(GUAYAQUIL[[#This Row],[CODIGO]]="","",VLOOKUP(GUAYAQUIL[[#This Row],[CODIGO]],MAESTRO!A:N,14,FALSE)),"")</f>
        <v>0.2</v>
      </c>
      <c r="N47" s="28">
        <f>+IFERROR(IF(GUAYAQUIL[[#This Row],[CODIGO]]="","",VLOOKUP(GUAYAQUIL[[#This Row],[CODIGO]],MAESTRO!A:P,16,FALSE)),"")</f>
        <v>90</v>
      </c>
      <c r="O47" s="45">
        <v>45611</v>
      </c>
      <c r="P47" s="72" t="str">
        <f t="shared" si="0"/>
        <v>viernes</v>
      </c>
      <c r="Q47" s="29">
        <f>IFERROR(IF(GUAYAQUIL[[#This Row],[CODIGO]]="","",IF(GUAYAQUIL[[#This Row],[Fecha Cad]]="","",(GUAYAQUIL[[#This Row],[Fecha Cad]]-GUAYAQUIL[[#This Row],[VIDA UTIL (Días)]]))+1),"")</f>
        <v>45604</v>
      </c>
      <c r="R47" s="45">
        <v>45693</v>
      </c>
      <c r="S47" s="30">
        <f t="shared" ca="1" si="1"/>
        <v>69</v>
      </c>
      <c r="T47" s="31">
        <f t="shared" ca="1" si="2"/>
        <v>0.76666666666666672</v>
      </c>
      <c r="U47" s="286">
        <v>120</v>
      </c>
      <c r="V47" s="262">
        <f>+IFERROR(IF(GUAYAQUIL[[#This Row],[CODIGO]]="","",GUAYAQUIL[[#This Row],[Stock Actual Unds]]*GUAYAQUIL[[#This Row],[Gramaje]]*GUAYAQUIL[[#This Row],[Conversión]]),"")</f>
        <v>24</v>
      </c>
      <c r="W47" s="270">
        <f t="shared" si="3"/>
        <v>7</v>
      </c>
      <c r="X47" s="32">
        <f t="shared" si="4"/>
        <v>0.92222222222222228</v>
      </c>
      <c r="Y47" s="236">
        <f>IFERROR(VLOOKUP(GUAYAQUIL[[#This Row],[CODIGO]],MAESTRO!A:BI,21,FALSE),0)</f>
        <v>1.6998099999999998</v>
      </c>
      <c r="Z47" s="237">
        <f>+IFERROR(IF(GUAYAQUIL[[#This Row],[CODIGO]]="","",GUAYAQUIL[[#This Row],[COSTO UNIT base]]*GUAYAQUIL[[#This Row],[Conversión]]),"")</f>
        <v>1.6998099999999998</v>
      </c>
      <c r="AA47" s="236">
        <f>+IFERROR(IF(GUAYAQUIL[[#This Row],[CODIGO]]="","",GUAYAQUIL[[#This Row],[COSTO UNIT Conv]]*GUAYAQUIL[[#This Row],[Stock Actual Kgs]]),"")</f>
        <v>40.795439999999999</v>
      </c>
      <c r="AB47" s="33">
        <f ca="1">+IFERROR(IF(GUAYAQUIL[[#This Row],[CODIGO]]="","",$J$3-O47),"")</f>
        <v>13</v>
      </c>
      <c r="AC47" s="34" t="str">
        <f ca="1">IF(GUAYAQUIL[[#This Row],[CODIGO]]="","",IF(S47&lt;=0,"CADUCADO",IF(AND(S47&gt;0,S47&lt;=21),"FECHA CORTA",IF(AND(S47&gt;=22,S47&lt;=26),"PROXIMOS FECHA CORTA", "VIGENTE"))))</f>
        <v>VIGENTE</v>
      </c>
      <c r="AD47" s="37">
        <f>+IF(GUAYAQUIL[[#This Row],[CODIGO]]="","",GUAYAQUIL[[#This Row],[Stock Actual Unds]]*GUAYAQUIL[[#This Row],[Gramaje]]*GUAYAQUIL[[#This Row],[Conversión]])/1000</f>
        <v>2.4E-2</v>
      </c>
    </row>
    <row r="48" spans="1:30">
      <c r="A48" s="24" t="str">
        <f>+IFERROR(IF(GUAYAQUIL[[#This Row],[CODIGO]]="","",VLOOKUP(GUAYAQUIL[[#This Row],[CODIGO]],MAESTRO!$A:$J,10,FALSE)),"")</f>
        <v>SAN GABRIEL</v>
      </c>
      <c r="B48" s="24" t="str">
        <f>+IFERROR(IF(GUAYAQUIL[[#This Row],[CODIGO]]="","",VLOOKUP(GUAYAQUIL[[#This Row],[CODIGO]],MAESTRO!$A:$Q,17,FALSE)),"")</f>
        <v>QUESOS Y GRASAS</v>
      </c>
      <c r="C48" s="24" t="str">
        <f>+IFERROR(IF(GUAYAQUIL[[#This Row],[CODIGO]]="","",VLOOKUP(GUAYAQUIL[[#This Row],[CODIGO]],MAESTRO!$A:$BA,53,FALSE)),"")</f>
        <v xml:space="preserve">Esteban Montenegro                      </v>
      </c>
      <c r="D48" s="24" t="str">
        <f>+IFERROR(IF(GUAYAQUIL[[#This Row],[CODIGO]]="","",VLOOKUP(GUAYAQUIL[[#This Row],[CODIGO]],MAESTRO!$A:$D,4,FALSE)),"")</f>
        <v>QUESO SEMIMADURO KIOSKO</v>
      </c>
      <c r="E48" s="24" t="str">
        <f>+IFERROR(IF(GUAYAQUIL[[#This Row],[CODIGO]]="","",VLOOKUP(GUAYAQUIL[[#This Row],[CODIGO]],MAESTRO!$A:$F,6,FALSE)),"")</f>
        <v>QUESO SEMIMADURO CHEDDAR KIOSKO TAJADO</v>
      </c>
      <c r="F48" s="42" t="str">
        <f>IF(GUAYAQUIL[[#This Row],[CODIGO]]="","",$K$6)</f>
        <v>GUAYAQUIL</v>
      </c>
      <c r="G48" s="42">
        <f>IF(GUAYAQUIL[[#This Row],[CODIGO]]="","",7711)</f>
        <v>7711</v>
      </c>
      <c r="H48" s="42">
        <f>IF(GUAYAQUIL[[#This Row],[CODIGO]]="","",1001)</f>
        <v>1001</v>
      </c>
      <c r="I48" s="258" t="s">
        <v>2584</v>
      </c>
      <c r="J48" s="25" t="str">
        <f>IFERROR((VLOOKUP(GUAYAQUIL[[#This Row],[CODIGO]],MAESTRO!A:B,2,FALSE)),"")</f>
        <v>Q CHED KIOSKO 10 LONJ 200G</v>
      </c>
      <c r="K48" s="35">
        <v>120</v>
      </c>
      <c r="L48" s="38">
        <f>+IFERROR(IF(GUAYAQUIL[[#This Row],[CODIGO]]="","",VLOOKUP(GUAYAQUIL[[#This Row],[CODIGO]],MAESTRO!$A:$BF,58,FALSE)),"")</f>
        <v>1</v>
      </c>
      <c r="M48" s="27">
        <f>+IFERROR(IF(GUAYAQUIL[[#This Row],[CODIGO]]="","",VLOOKUP(GUAYAQUIL[[#This Row],[CODIGO]],MAESTRO!A:N,14,FALSE)),"")</f>
        <v>0.2</v>
      </c>
      <c r="N48" s="28">
        <f>+IFERROR(IF(GUAYAQUIL[[#This Row],[CODIGO]]="","",VLOOKUP(GUAYAQUIL[[#This Row],[CODIGO]],MAESTRO!A:P,16,FALSE)),"")</f>
        <v>90</v>
      </c>
      <c r="O48" s="45">
        <v>45610</v>
      </c>
      <c r="P48" s="72" t="str">
        <f t="shared" si="0"/>
        <v>jueves</v>
      </c>
      <c r="Q48" s="29">
        <f>IFERROR(IF(GUAYAQUIL[[#This Row],[CODIGO]]="","",IF(GUAYAQUIL[[#This Row],[Fecha Cad]]="","",(GUAYAQUIL[[#This Row],[Fecha Cad]]-GUAYAQUIL[[#This Row],[VIDA UTIL (Días)]]))+1),"")</f>
        <v>45601</v>
      </c>
      <c r="R48" s="45">
        <v>45690</v>
      </c>
      <c r="S48" s="30">
        <f t="shared" ca="1" si="1"/>
        <v>66</v>
      </c>
      <c r="T48" s="31">
        <f t="shared" ca="1" si="2"/>
        <v>0.73333333333333328</v>
      </c>
      <c r="U48" s="286">
        <v>120</v>
      </c>
      <c r="V48" s="262">
        <f>+IFERROR(IF(GUAYAQUIL[[#This Row],[CODIGO]]="","",GUAYAQUIL[[#This Row],[Stock Actual Unds]]*GUAYAQUIL[[#This Row],[Gramaje]]*GUAYAQUIL[[#This Row],[Conversión]]),"")</f>
        <v>24</v>
      </c>
      <c r="W48" s="270">
        <f t="shared" si="3"/>
        <v>9</v>
      </c>
      <c r="X48" s="32">
        <f t="shared" si="4"/>
        <v>0.9</v>
      </c>
      <c r="Y48" s="236">
        <f>IFERROR(VLOOKUP(GUAYAQUIL[[#This Row],[CODIGO]],MAESTRO!A:BI,21,FALSE),0)</f>
        <v>1.6998099999999998</v>
      </c>
      <c r="Z48" s="237">
        <f>+IFERROR(IF(GUAYAQUIL[[#This Row],[CODIGO]]="","",GUAYAQUIL[[#This Row],[COSTO UNIT base]]*GUAYAQUIL[[#This Row],[Conversión]]),"")</f>
        <v>1.6998099999999998</v>
      </c>
      <c r="AA48" s="236">
        <f>+IFERROR(IF(GUAYAQUIL[[#This Row],[CODIGO]]="","",GUAYAQUIL[[#This Row],[COSTO UNIT Conv]]*GUAYAQUIL[[#This Row],[Stock Actual Kgs]]),"")</f>
        <v>40.795439999999999</v>
      </c>
      <c r="AB48" s="33">
        <f ca="1">+IFERROR(IF(GUAYAQUIL[[#This Row],[CODIGO]]="","",$J$3-O48),"")</f>
        <v>14</v>
      </c>
      <c r="AC48" s="34" t="str">
        <f ca="1">IF(GUAYAQUIL[[#This Row],[CODIGO]]="","",IF(S48&lt;=0,"CADUCADO",IF(AND(S48&gt;0,S48&lt;=21),"FECHA CORTA",IF(AND(S48&gt;=22,S48&lt;=26),"PROXIMOS FECHA CORTA", "VIGENTE"))))</f>
        <v>VIGENTE</v>
      </c>
      <c r="AD48" s="37">
        <f>+IF(GUAYAQUIL[[#This Row],[CODIGO]]="","",GUAYAQUIL[[#This Row],[Stock Actual Unds]]*GUAYAQUIL[[#This Row],[Gramaje]]*GUAYAQUIL[[#This Row],[Conversión]])/1000</f>
        <v>2.4E-2</v>
      </c>
    </row>
    <row r="49" spans="1:30">
      <c r="A49" s="24" t="str">
        <f>+IFERROR(IF(GUAYAQUIL[[#This Row],[CODIGO]]="","",VLOOKUP(GUAYAQUIL[[#This Row],[CODIGO]],MAESTRO!$A:$J,10,FALSE)),"")</f>
        <v>SAN GABRIEL</v>
      </c>
      <c r="B49" s="24" t="str">
        <f>+IFERROR(IF(GUAYAQUIL[[#This Row],[CODIGO]]="","",VLOOKUP(GUAYAQUIL[[#This Row],[CODIGO]],MAESTRO!$A:$Q,17,FALSE)),"")</f>
        <v>QUESOS Y GRASAS</v>
      </c>
      <c r="C49" s="24" t="str">
        <f>+IFERROR(IF(GUAYAQUIL[[#This Row],[CODIGO]]="","",VLOOKUP(GUAYAQUIL[[#This Row],[CODIGO]],MAESTRO!$A:$BA,53,FALSE)),"")</f>
        <v xml:space="preserve">Esteban Montenegro                      </v>
      </c>
      <c r="D49" s="24" t="str">
        <f>+IFERROR(IF(GUAYAQUIL[[#This Row],[CODIGO]]="","",VLOOKUP(GUAYAQUIL[[#This Row],[CODIGO]],MAESTRO!$A:$D,4,FALSE)),"")</f>
        <v>QUESO SEMIMADURO KIOSKO</v>
      </c>
      <c r="E49" s="24" t="str">
        <f>+IFERROR(IF(GUAYAQUIL[[#This Row],[CODIGO]]="","",VLOOKUP(GUAYAQUIL[[#This Row],[CODIGO]],MAESTRO!$A:$F,6,FALSE)),"")</f>
        <v>QUESO SEMIMADURO CHEDDAR KIOSKO TAJADO</v>
      </c>
      <c r="F49" s="42" t="str">
        <f>IF(GUAYAQUIL[[#This Row],[CODIGO]]="","",$K$6)</f>
        <v>GUAYAQUIL</v>
      </c>
      <c r="G49" s="209">
        <f>IF(GUAYAQUIL[[#This Row],[CODIGO]]="","",7711)</f>
        <v>7711</v>
      </c>
      <c r="H49" s="209">
        <f>IF(GUAYAQUIL[[#This Row],[CODIGO]]="","",1001)</f>
        <v>1001</v>
      </c>
      <c r="I49" s="258" t="s">
        <v>2584</v>
      </c>
      <c r="J49" s="25" t="str">
        <f>IFERROR((VLOOKUP(GUAYAQUIL[[#This Row],[CODIGO]],MAESTRO!A:B,2,FALSE)),"")</f>
        <v>Q CHED KIOSKO 10 LONJ 200G</v>
      </c>
      <c r="K49" s="35">
        <v>96</v>
      </c>
      <c r="L49" s="38">
        <f>+IFERROR(IF(GUAYAQUIL[[#This Row],[CODIGO]]="","",VLOOKUP(GUAYAQUIL[[#This Row],[CODIGO]],MAESTRO!$A:$BF,58,FALSE)),"")</f>
        <v>1</v>
      </c>
      <c r="M49" s="27">
        <f>+IFERROR(IF(GUAYAQUIL[[#This Row],[CODIGO]]="","",VLOOKUP(GUAYAQUIL[[#This Row],[CODIGO]],MAESTRO!A:N,14,FALSE)),"")</f>
        <v>0.2</v>
      </c>
      <c r="N49" s="28">
        <f>+IFERROR(IF(GUAYAQUIL[[#This Row],[CODIGO]]="","",VLOOKUP(GUAYAQUIL[[#This Row],[CODIGO]],MAESTRO!A:P,16,FALSE)),"")</f>
        <v>90</v>
      </c>
      <c r="O49" s="45">
        <v>45615</v>
      </c>
      <c r="P49" s="72" t="str">
        <f t="shared" si="0"/>
        <v>martes</v>
      </c>
      <c r="Q49" s="29">
        <f>IFERROR(IF(GUAYAQUIL[[#This Row],[CODIGO]]="","",IF(GUAYAQUIL[[#This Row],[Fecha Cad]]="","",(GUAYAQUIL[[#This Row],[Fecha Cad]]-GUAYAQUIL[[#This Row],[VIDA UTIL (Días)]]))+1),"")</f>
        <v>45604</v>
      </c>
      <c r="R49" s="45">
        <v>45693</v>
      </c>
      <c r="S49" s="30">
        <f t="shared" ca="1" si="1"/>
        <v>69</v>
      </c>
      <c r="T49" s="31">
        <f t="shared" ca="1" si="2"/>
        <v>0.76666666666666672</v>
      </c>
      <c r="U49" s="286">
        <v>96</v>
      </c>
      <c r="V49" s="262">
        <f>+IFERROR(IF(GUAYAQUIL[[#This Row],[CODIGO]]="","",GUAYAQUIL[[#This Row],[Stock Actual Unds]]*GUAYAQUIL[[#This Row],[Gramaje]]*GUAYAQUIL[[#This Row],[Conversión]]),"")</f>
        <v>19.200000000000003</v>
      </c>
      <c r="W49" s="270">
        <f t="shared" si="3"/>
        <v>11</v>
      </c>
      <c r="X49" s="32">
        <f t="shared" si="4"/>
        <v>0.87777777777777777</v>
      </c>
      <c r="Y49" s="236">
        <f>IFERROR(VLOOKUP(GUAYAQUIL[[#This Row],[CODIGO]],MAESTRO!A:BI,21,FALSE),0)</f>
        <v>1.6998099999999998</v>
      </c>
      <c r="Z49" s="237">
        <f>+IFERROR(IF(GUAYAQUIL[[#This Row],[CODIGO]]="","",GUAYAQUIL[[#This Row],[COSTO UNIT base]]*GUAYAQUIL[[#This Row],[Conversión]]),"")</f>
        <v>1.6998099999999998</v>
      </c>
      <c r="AA49" s="236">
        <f>+IFERROR(IF(GUAYAQUIL[[#This Row],[CODIGO]]="","",GUAYAQUIL[[#This Row],[COSTO UNIT Conv]]*GUAYAQUIL[[#This Row],[Stock Actual Kgs]]),"")</f>
        <v>32.636352000000002</v>
      </c>
      <c r="AB49" s="33">
        <f ca="1">+IFERROR(IF(GUAYAQUIL[[#This Row],[CODIGO]]="","",$J$3-O49),"")</f>
        <v>9</v>
      </c>
      <c r="AC49" s="34" t="str">
        <f ca="1">IF(GUAYAQUIL[[#This Row],[CODIGO]]="","",IF(S49&lt;=0,"CADUCADO",IF(AND(S49&gt;0,S49&lt;=21),"FECHA CORTA",IF(AND(S49&gt;=22,S49&lt;=26),"PROXIMOS FECHA CORTA", "VIGENTE"))))</f>
        <v>VIGENTE</v>
      </c>
      <c r="AD49" s="37">
        <f>+IF(GUAYAQUIL[[#This Row],[CODIGO]]="","",GUAYAQUIL[[#This Row],[Stock Actual Unds]]*GUAYAQUIL[[#This Row],[Gramaje]]*GUAYAQUIL[[#This Row],[Conversión]])/1000</f>
        <v>1.9200000000000002E-2</v>
      </c>
    </row>
    <row r="50" spans="1:30">
      <c r="A50" s="24" t="str">
        <f>+IFERROR(IF(GUAYAQUIL[[#This Row],[CODIGO]]="","",VLOOKUP(GUAYAQUIL[[#This Row],[CODIGO]],MAESTRO!$A:$J,10,FALSE)),"")</f>
        <v>SAN GABRIEL</v>
      </c>
      <c r="B50" s="24" t="str">
        <f>+IFERROR(IF(GUAYAQUIL[[#This Row],[CODIGO]]="","",VLOOKUP(GUAYAQUIL[[#This Row],[CODIGO]],MAESTRO!$A:$Q,17,FALSE)),"")</f>
        <v>QUESOS Y GRASAS</v>
      </c>
      <c r="C50" s="24" t="str">
        <f>+IFERROR(IF(GUAYAQUIL[[#This Row],[CODIGO]]="","",VLOOKUP(GUAYAQUIL[[#This Row],[CODIGO]],MAESTRO!$A:$BA,53,FALSE)),"")</f>
        <v xml:space="preserve">Esteban Montenegro                      </v>
      </c>
      <c r="D50" s="24" t="str">
        <f>+IFERROR(IF(GUAYAQUIL[[#This Row],[CODIGO]]="","",VLOOKUP(GUAYAQUIL[[#This Row],[CODIGO]],MAESTRO!$A:$D,4,FALSE)),"")</f>
        <v>QUESO SEMIMADURO KIOSKO</v>
      </c>
      <c r="E50" s="24" t="str">
        <f>+IFERROR(IF(GUAYAQUIL[[#This Row],[CODIGO]]="","",VLOOKUP(GUAYAQUIL[[#This Row],[CODIGO]],MAESTRO!$A:$F,6,FALSE)),"")</f>
        <v>QUESO SEMIMADURO CHEDDAR KIOSKO TAJADO</v>
      </c>
      <c r="F50" s="42" t="str">
        <f>IF(GUAYAQUIL[[#This Row],[CODIGO]]="","",$K$6)</f>
        <v>GUAYAQUIL</v>
      </c>
      <c r="G50" s="42">
        <f>IF(GUAYAQUIL[[#This Row],[CODIGO]]="","",7711)</f>
        <v>7711</v>
      </c>
      <c r="H50" s="42">
        <f>IF(GUAYAQUIL[[#This Row],[CODIGO]]="","",1001)</f>
        <v>1001</v>
      </c>
      <c r="I50" s="258" t="s">
        <v>2584</v>
      </c>
      <c r="J50" s="25" t="str">
        <f>IFERROR((VLOOKUP(GUAYAQUIL[[#This Row],[CODIGO]],MAESTRO!A:B,2,FALSE)),"")</f>
        <v>Q CHED KIOSKO 10 LONJ 200G</v>
      </c>
      <c r="K50" s="35">
        <v>24</v>
      </c>
      <c r="L50" s="38">
        <f>+IFERROR(IF(GUAYAQUIL[[#This Row],[CODIGO]]="","",VLOOKUP(GUAYAQUIL[[#This Row],[CODIGO]],MAESTRO!$A:$BF,58,FALSE)),"")</f>
        <v>1</v>
      </c>
      <c r="M50" s="27">
        <f>+IFERROR(IF(GUAYAQUIL[[#This Row],[CODIGO]]="","",VLOOKUP(GUAYAQUIL[[#This Row],[CODIGO]],MAESTRO!A:N,14,FALSE)),"")</f>
        <v>0.2</v>
      </c>
      <c r="N50" s="28">
        <f>+IFERROR(IF(GUAYAQUIL[[#This Row],[CODIGO]]="","",VLOOKUP(GUAYAQUIL[[#This Row],[CODIGO]],MAESTRO!A:P,16,FALSE)),"")</f>
        <v>90</v>
      </c>
      <c r="O50" s="45">
        <v>45615</v>
      </c>
      <c r="P50" s="72" t="str">
        <f t="shared" si="0"/>
        <v>martes</v>
      </c>
      <c r="Q50" s="29">
        <f>IFERROR(IF(GUAYAQUIL[[#This Row],[CODIGO]]="","",IF(GUAYAQUIL[[#This Row],[Fecha Cad]]="","",(GUAYAQUIL[[#This Row],[Fecha Cad]]-GUAYAQUIL[[#This Row],[VIDA UTIL (Días)]]))+1),"")</f>
        <v>45608</v>
      </c>
      <c r="R50" s="45">
        <v>45697</v>
      </c>
      <c r="S50" s="30">
        <f t="shared" ca="1" si="1"/>
        <v>73</v>
      </c>
      <c r="T50" s="31">
        <f t="shared" ca="1" si="2"/>
        <v>0.81111111111111112</v>
      </c>
      <c r="U50" s="286">
        <v>24</v>
      </c>
      <c r="V50" s="262">
        <f>+IFERROR(IF(GUAYAQUIL[[#This Row],[CODIGO]]="","",GUAYAQUIL[[#This Row],[Stock Actual Unds]]*GUAYAQUIL[[#This Row],[Gramaje]]*GUAYAQUIL[[#This Row],[Conversión]]),"")</f>
        <v>4.8000000000000007</v>
      </c>
      <c r="W50" s="270">
        <f t="shared" si="3"/>
        <v>7</v>
      </c>
      <c r="X50" s="32">
        <f t="shared" si="4"/>
        <v>0.92222222222222228</v>
      </c>
      <c r="Y50" s="236">
        <f>IFERROR(VLOOKUP(GUAYAQUIL[[#This Row],[CODIGO]],MAESTRO!A:BI,21,FALSE),0)</f>
        <v>1.6998099999999998</v>
      </c>
      <c r="Z50" s="237">
        <f>+IFERROR(IF(GUAYAQUIL[[#This Row],[CODIGO]]="","",GUAYAQUIL[[#This Row],[COSTO UNIT base]]*GUAYAQUIL[[#This Row],[Conversión]]),"")</f>
        <v>1.6998099999999998</v>
      </c>
      <c r="AA50" s="236">
        <f>+IFERROR(IF(GUAYAQUIL[[#This Row],[CODIGO]]="","",GUAYAQUIL[[#This Row],[COSTO UNIT Conv]]*GUAYAQUIL[[#This Row],[Stock Actual Kgs]]),"")</f>
        <v>8.1590880000000006</v>
      </c>
      <c r="AB50" s="33">
        <f ca="1">+IFERROR(IF(GUAYAQUIL[[#This Row],[CODIGO]]="","",$J$3-O50),"")</f>
        <v>9</v>
      </c>
      <c r="AC50" s="34" t="str">
        <f ca="1">IF(GUAYAQUIL[[#This Row],[CODIGO]]="","",IF(S50&lt;=0,"CADUCADO",IF(AND(S50&gt;0,S50&lt;=21),"FECHA CORTA",IF(AND(S50&gt;=22,S50&lt;=26),"PROXIMOS FECHA CORTA", "VIGENTE"))))</f>
        <v>VIGENTE</v>
      </c>
      <c r="AD50" s="37">
        <f>+IF(GUAYAQUIL[[#This Row],[CODIGO]]="","",GUAYAQUIL[[#This Row],[Stock Actual Unds]]*GUAYAQUIL[[#This Row],[Gramaje]]*GUAYAQUIL[[#This Row],[Conversión]])/1000</f>
        <v>4.8000000000000004E-3</v>
      </c>
    </row>
    <row r="51" spans="1:30">
      <c r="A51" s="24" t="str">
        <f>+IFERROR(IF(GUAYAQUIL[[#This Row],[CODIGO]]="","",VLOOKUP(GUAYAQUIL[[#This Row],[CODIGO]],MAESTRO!$A:$J,10,FALSE)),"")</f>
        <v>SAN GABRIEL</v>
      </c>
      <c r="B51" s="24" t="str">
        <f>+IFERROR(IF(GUAYAQUIL[[#This Row],[CODIGO]]="","",VLOOKUP(GUAYAQUIL[[#This Row],[CODIGO]],MAESTRO!$A:$Q,17,FALSE)),"")</f>
        <v>QUESOS Y GRASAS</v>
      </c>
      <c r="C51" s="24" t="str">
        <f>+IFERROR(IF(GUAYAQUIL[[#This Row],[CODIGO]]="","",VLOOKUP(GUAYAQUIL[[#This Row],[CODIGO]],MAESTRO!$A:$BA,53,FALSE)),"")</f>
        <v xml:space="preserve">Esteban Montenegro                      </v>
      </c>
      <c r="D51" s="24" t="str">
        <f>+IFERROR(IF(GUAYAQUIL[[#This Row],[CODIGO]]="","",VLOOKUP(GUAYAQUIL[[#This Row],[CODIGO]],MAESTRO!$A:$D,4,FALSE)),"")</f>
        <v>QUESO SEMIMADURO KIOSKO</v>
      </c>
      <c r="E51" s="24" t="str">
        <f>+IFERROR(IF(GUAYAQUIL[[#This Row],[CODIGO]]="","",VLOOKUP(GUAYAQUIL[[#This Row],[CODIGO]],MAESTRO!$A:$F,6,FALSE)),"")</f>
        <v>QUESO SEMIMADURO CHEDDAR KIOSKO TAJADO</v>
      </c>
      <c r="F51" s="42" t="str">
        <f>IF(GUAYAQUIL[[#This Row],[CODIGO]]="","",$K$6)</f>
        <v>GUAYAQUIL</v>
      </c>
      <c r="G51" s="209">
        <f>IF(GUAYAQUIL[[#This Row],[CODIGO]]="","",7711)</f>
        <v>7711</v>
      </c>
      <c r="H51" s="209">
        <f>IF(GUAYAQUIL[[#This Row],[CODIGO]]="","",1001)</f>
        <v>1001</v>
      </c>
      <c r="I51" s="258" t="s">
        <v>2584</v>
      </c>
      <c r="J51" s="25" t="str">
        <f>IFERROR((VLOOKUP(GUAYAQUIL[[#This Row],[CODIGO]],MAESTRO!A:B,2,FALSE)),"")</f>
        <v>Q CHED KIOSKO 10 LONJ 200G</v>
      </c>
      <c r="K51" s="35">
        <v>120</v>
      </c>
      <c r="L51" s="38">
        <f>+IFERROR(IF(GUAYAQUIL[[#This Row],[CODIGO]]="","",VLOOKUP(GUAYAQUIL[[#This Row],[CODIGO]],MAESTRO!$A:$BF,58,FALSE)),"")</f>
        <v>1</v>
      </c>
      <c r="M51" s="27">
        <f>+IFERROR(IF(GUAYAQUIL[[#This Row],[CODIGO]]="","",VLOOKUP(GUAYAQUIL[[#This Row],[CODIGO]],MAESTRO!A:N,14,FALSE)),"")</f>
        <v>0.2</v>
      </c>
      <c r="N51" s="28">
        <f>+IFERROR(IF(GUAYAQUIL[[#This Row],[CODIGO]]="","",VLOOKUP(GUAYAQUIL[[#This Row],[CODIGO]],MAESTRO!A:P,16,FALSE)),"")</f>
        <v>90</v>
      </c>
      <c r="O51" s="29">
        <v>45617</v>
      </c>
      <c r="P51" s="72" t="str">
        <f t="shared" si="0"/>
        <v>jueves</v>
      </c>
      <c r="Q51" s="29">
        <f>IFERROR(IF(GUAYAQUIL[[#This Row],[CODIGO]]="","",IF(GUAYAQUIL[[#This Row],[Fecha Cad]]="","",(GUAYAQUIL[[#This Row],[Fecha Cad]]-GUAYAQUIL[[#This Row],[VIDA UTIL (Días)]]))+1),"")</f>
        <v>45608</v>
      </c>
      <c r="R51" s="29">
        <v>45697</v>
      </c>
      <c r="S51" s="30">
        <f t="shared" ca="1" si="1"/>
        <v>73</v>
      </c>
      <c r="T51" s="31">
        <f t="shared" ca="1" si="2"/>
        <v>0.81111111111111112</v>
      </c>
      <c r="U51" s="286">
        <v>120</v>
      </c>
      <c r="V51" s="262">
        <f>+IFERROR(IF(GUAYAQUIL[[#This Row],[CODIGO]]="","",GUAYAQUIL[[#This Row],[Stock Actual Unds]]*GUAYAQUIL[[#This Row],[Gramaje]]*GUAYAQUIL[[#This Row],[Conversión]]),"")</f>
        <v>24</v>
      </c>
      <c r="W51" s="270">
        <f t="shared" si="3"/>
        <v>9</v>
      </c>
      <c r="X51" s="32">
        <f t="shared" si="4"/>
        <v>0.9</v>
      </c>
      <c r="Y51" s="236">
        <f>IFERROR(VLOOKUP(GUAYAQUIL[[#This Row],[CODIGO]],MAESTRO!A:BI,21,FALSE),0)</f>
        <v>1.6998099999999998</v>
      </c>
      <c r="Z51" s="237">
        <f>+IFERROR(IF(GUAYAQUIL[[#This Row],[CODIGO]]="","",GUAYAQUIL[[#This Row],[COSTO UNIT base]]*GUAYAQUIL[[#This Row],[Conversión]]),"")</f>
        <v>1.6998099999999998</v>
      </c>
      <c r="AA51" s="236">
        <f>+IFERROR(IF(GUAYAQUIL[[#This Row],[CODIGO]]="","",GUAYAQUIL[[#This Row],[COSTO UNIT Conv]]*GUAYAQUIL[[#This Row],[Stock Actual Kgs]]),"")</f>
        <v>40.795439999999999</v>
      </c>
      <c r="AB51" s="33">
        <f ca="1">+IFERROR(IF(GUAYAQUIL[[#This Row],[CODIGO]]="","",$J$3-O51),"")</f>
        <v>7</v>
      </c>
      <c r="AC51" s="34" t="str">
        <f ca="1">IF(GUAYAQUIL[[#This Row],[CODIGO]]="","",IF(S51&lt;=0,"CADUCADO",IF(AND(S51&gt;0,S51&lt;=21),"FECHA CORTA",IF(AND(S51&gt;=22,S51&lt;=26),"PROXIMOS FECHA CORTA", "VIGENTE"))))</f>
        <v>VIGENTE</v>
      </c>
      <c r="AD51" s="37">
        <f>+IF(GUAYAQUIL[[#This Row],[CODIGO]]="","",GUAYAQUIL[[#This Row],[Stock Actual Unds]]*GUAYAQUIL[[#This Row],[Gramaje]]*GUAYAQUIL[[#This Row],[Conversión]])/1000</f>
        <v>2.4E-2</v>
      </c>
    </row>
    <row r="52" spans="1:30">
      <c r="A52" s="24" t="str">
        <f>+IFERROR(IF(GUAYAQUIL[[#This Row],[CODIGO]]="","",VLOOKUP(GUAYAQUIL[[#This Row],[CODIGO]],MAESTRO!$A:$J,10,FALSE)),"")</f>
        <v>MACHACHI</v>
      </c>
      <c r="B52" s="24" t="str">
        <f>+IFERROR(IF(GUAYAQUIL[[#This Row],[CODIGO]]="","",VLOOKUP(GUAYAQUIL[[#This Row],[CODIGO]],MAESTRO!$A:$Q,17,FALSE)),"")</f>
        <v>BEBIDAS LACTEAS</v>
      </c>
      <c r="C52" s="24" t="str">
        <f>+IFERROR(IF(GUAYAQUIL[[#This Row],[CODIGO]]="","",VLOOKUP(GUAYAQUIL[[#This Row],[CODIGO]],MAESTRO!$A:$BA,53,FALSE)),"")</f>
        <v xml:space="preserve">Luis Armendariz                         </v>
      </c>
      <c r="D52" s="24" t="str">
        <f>+IFERROR(IF(GUAYAQUIL[[#This Row],[CODIGO]]="","",VLOOKUP(GUAYAQUIL[[#This Row],[CODIGO]],MAESTRO!$A:$D,4,FALSE)),"")</f>
        <v>YOGURT KIOSKO</v>
      </c>
      <c r="E52" s="24" t="str">
        <f>+IFERROR(IF(GUAYAQUIL[[#This Row],[CODIGO]]="","",VLOOKUP(GUAYAQUIL[[#This Row],[CODIGO]],MAESTRO!$A:$F,6,FALSE)),"")</f>
        <v>YOGURT KIOSKO NATURAL BOTELLA FAMILIAR</v>
      </c>
      <c r="F52" s="42" t="str">
        <f>IF(GUAYAQUIL[[#This Row],[CODIGO]]="","",$K$6)</f>
        <v>GUAYAQUIL</v>
      </c>
      <c r="G52" s="42">
        <f>IF(GUAYAQUIL[[#This Row],[CODIGO]]="","",7711)</f>
        <v>7711</v>
      </c>
      <c r="H52" s="42">
        <f>IF(GUAYAQUIL[[#This Row],[CODIGO]]="","",1001)</f>
        <v>1001</v>
      </c>
      <c r="I52" s="258" t="s">
        <v>765</v>
      </c>
      <c r="J52" s="25" t="str">
        <f>IFERROR((VLOOKUP(GUAYAQUIL[[#This Row],[CODIGO]],MAESTRO!A:B,2,FALSE)),"")</f>
        <v>YOG NAT KIOSKO BOTELLA 950G</v>
      </c>
      <c r="K52" s="35">
        <v>90</v>
      </c>
      <c r="L52" s="38">
        <f>+IFERROR(IF(GUAYAQUIL[[#This Row],[CODIGO]]="","",VLOOKUP(GUAYAQUIL[[#This Row],[CODIGO]],MAESTRO!$A:$BF,58,FALSE)),"")</f>
        <v>1</v>
      </c>
      <c r="M52" s="27">
        <f>+IFERROR(IF(GUAYAQUIL[[#This Row],[CODIGO]]="","",VLOOKUP(GUAYAQUIL[[#This Row],[CODIGO]],MAESTRO!A:N,14,FALSE)),"")</f>
        <v>0.95</v>
      </c>
      <c r="N52" s="28">
        <f>+IFERROR(IF(GUAYAQUIL[[#This Row],[CODIGO]]="","",VLOOKUP(GUAYAQUIL[[#This Row],[CODIGO]],MAESTRO!A:P,16,FALSE)),"")</f>
        <v>45</v>
      </c>
      <c r="O52" s="29">
        <v>45611</v>
      </c>
      <c r="P52" s="72" t="str">
        <f t="shared" si="0"/>
        <v>viernes</v>
      </c>
      <c r="Q52" s="29">
        <f>IFERROR(IF(GUAYAQUIL[[#This Row],[CODIGO]]="","",IF(GUAYAQUIL[[#This Row],[Fecha Cad]]="","",(GUAYAQUIL[[#This Row],[Fecha Cad]]-GUAYAQUIL[[#This Row],[VIDA UTIL (Días)]]))+1),"")</f>
        <v>45601</v>
      </c>
      <c r="R52" s="29">
        <v>45645</v>
      </c>
      <c r="S52" s="30">
        <f t="shared" ca="1" si="1"/>
        <v>21</v>
      </c>
      <c r="T52" s="31">
        <f t="shared" ca="1" si="2"/>
        <v>0.46666666666666667</v>
      </c>
      <c r="U52" s="286">
        <v>90</v>
      </c>
      <c r="V52" s="262">
        <f>+IFERROR(IF(GUAYAQUIL[[#This Row],[CODIGO]]="","",GUAYAQUIL[[#This Row],[Stock Actual Unds]]*GUAYAQUIL[[#This Row],[Gramaje]]*GUAYAQUIL[[#This Row],[Conversión]]),"")</f>
        <v>85.5</v>
      </c>
      <c r="W52" s="270">
        <f t="shared" si="3"/>
        <v>10</v>
      </c>
      <c r="X52" s="32">
        <f t="shared" si="4"/>
        <v>0.77777777777777779</v>
      </c>
      <c r="Y52" s="236">
        <f>IFERROR(VLOOKUP(GUAYAQUIL[[#This Row],[CODIGO]],MAESTRO!A:BI,21,FALSE),0)</f>
        <v>1.062665</v>
      </c>
      <c r="Z52" s="237">
        <f>+IFERROR(IF(GUAYAQUIL[[#This Row],[CODIGO]]="","",GUAYAQUIL[[#This Row],[COSTO UNIT base]]*GUAYAQUIL[[#This Row],[Conversión]]),"")</f>
        <v>1.062665</v>
      </c>
      <c r="AA52" s="236">
        <f>+IFERROR(IF(GUAYAQUIL[[#This Row],[CODIGO]]="","",GUAYAQUIL[[#This Row],[COSTO UNIT Conv]]*GUAYAQUIL[[#This Row],[Stock Actual Kgs]]),"")</f>
        <v>90.857857499999994</v>
      </c>
      <c r="AB52" s="33">
        <f ca="1">+IFERROR(IF(GUAYAQUIL[[#This Row],[CODIGO]]="","",$J$3-O52),"")</f>
        <v>13</v>
      </c>
      <c r="AC52" s="34" t="str">
        <f ca="1">IF(GUAYAQUIL[[#This Row],[CODIGO]]="","",IF(S52&lt;=0,"CADUCADO",IF(AND(S52&gt;0,S52&lt;=21),"FECHA CORTA",IF(AND(S52&gt;=22,S52&lt;=26),"PROXIMOS FECHA CORTA", "VIGENTE"))))</f>
        <v>FECHA CORTA</v>
      </c>
      <c r="AD52" s="37">
        <f>+IF(GUAYAQUIL[[#This Row],[CODIGO]]="","",GUAYAQUIL[[#This Row],[Stock Actual Unds]]*GUAYAQUIL[[#This Row],[Gramaje]]*GUAYAQUIL[[#This Row],[Conversión]])/1000</f>
        <v>8.5500000000000007E-2</v>
      </c>
    </row>
    <row r="53" spans="1:30">
      <c r="A53" s="24" t="str">
        <f>+IFERROR(IF(GUAYAQUIL[[#This Row],[CODIGO]]="","",VLOOKUP(GUAYAQUIL[[#This Row],[CODIGO]],MAESTRO!$A:$J,10,FALSE)),"")</f>
        <v>MACHACHI</v>
      </c>
      <c r="B53" s="24" t="str">
        <f>+IFERROR(IF(GUAYAQUIL[[#This Row],[CODIGO]]="","",VLOOKUP(GUAYAQUIL[[#This Row],[CODIGO]],MAESTRO!$A:$Q,17,FALSE)),"")</f>
        <v>BEBIDAS LACTEAS</v>
      </c>
      <c r="C53" s="24" t="str">
        <f>+IFERROR(IF(GUAYAQUIL[[#This Row],[CODIGO]]="","",VLOOKUP(GUAYAQUIL[[#This Row],[CODIGO]],MAESTRO!$A:$BA,53,FALSE)),"")</f>
        <v xml:space="preserve">Luis Armendariz                         </v>
      </c>
      <c r="D53" s="24" t="str">
        <f>+IFERROR(IF(GUAYAQUIL[[#This Row],[CODIGO]]="","",VLOOKUP(GUAYAQUIL[[#This Row],[CODIGO]],MAESTRO!$A:$D,4,FALSE)),"")</f>
        <v>YOGURT KIOSKO</v>
      </c>
      <c r="E53" s="24" t="str">
        <f>+IFERROR(IF(GUAYAQUIL[[#This Row],[CODIGO]]="","",VLOOKUP(GUAYAQUIL[[#This Row],[CODIGO]],MAESTRO!$A:$F,6,FALSE)),"")</f>
        <v>YOGURT KIOSKO NATURAL BOTELLA FAMILIAR</v>
      </c>
      <c r="F53" s="42" t="str">
        <f>IF(GUAYAQUIL[[#This Row],[CODIGO]]="","",$K$6)</f>
        <v>GUAYAQUIL</v>
      </c>
      <c r="G53" s="209">
        <f>IF(GUAYAQUIL[[#This Row],[CODIGO]]="","",7711)</f>
        <v>7711</v>
      </c>
      <c r="H53" s="209">
        <f>IF(GUAYAQUIL[[#This Row],[CODIGO]]="","",1001)</f>
        <v>1001</v>
      </c>
      <c r="I53" s="258" t="s">
        <v>765</v>
      </c>
      <c r="J53" s="25" t="str">
        <f>IFERROR((VLOOKUP(GUAYAQUIL[[#This Row],[CODIGO]],MAESTRO!A:B,2,FALSE)),"")</f>
        <v>YOG NAT KIOSKO BOTELLA 950G</v>
      </c>
      <c r="K53" s="35">
        <v>54</v>
      </c>
      <c r="L53" s="38">
        <f>+IFERROR(IF(GUAYAQUIL[[#This Row],[CODIGO]]="","",VLOOKUP(GUAYAQUIL[[#This Row],[CODIGO]],MAESTRO!$A:$BF,58,FALSE)),"")</f>
        <v>1</v>
      </c>
      <c r="M53" s="27">
        <f>+IFERROR(IF(GUAYAQUIL[[#This Row],[CODIGO]]="","",VLOOKUP(GUAYAQUIL[[#This Row],[CODIGO]],MAESTRO!A:N,14,FALSE)),"")</f>
        <v>0.95</v>
      </c>
      <c r="N53" s="28">
        <f>+IFERROR(IF(GUAYAQUIL[[#This Row],[CODIGO]]="","",VLOOKUP(GUAYAQUIL[[#This Row],[CODIGO]],MAESTRO!A:P,16,FALSE)),"")</f>
        <v>45</v>
      </c>
      <c r="O53" s="29">
        <v>45610</v>
      </c>
      <c r="P53" s="72" t="str">
        <f t="shared" si="0"/>
        <v>jueves</v>
      </c>
      <c r="Q53" s="29">
        <f>IFERROR(IF(GUAYAQUIL[[#This Row],[CODIGO]]="","",IF(GUAYAQUIL[[#This Row],[Fecha Cad]]="","",(GUAYAQUIL[[#This Row],[Fecha Cad]]-GUAYAQUIL[[#This Row],[VIDA UTIL (Días)]]))+1),"")</f>
        <v>45601</v>
      </c>
      <c r="R53" s="29">
        <v>45645</v>
      </c>
      <c r="S53" s="30">
        <f t="shared" ca="1" si="1"/>
        <v>21</v>
      </c>
      <c r="T53" s="31">
        <f t="shared" ca="1" si="2"/>
        <v>0.46666666666666667</v>
      </c>
      <c r="U53" s="286">
        <v>12</v>
      </c>
      <c r="V53" s="261">
        <f>+IFERROR(IF(GUAYAQUIL[[#This Row],[CODIGO]]="","",GUAYAQUIL[[#This Row],[Stock Actual Unds]]*GUAYAQUIL[[#This Row],[Gramaje]]*GUAYAQUIL[[#This Row],[Conversión]]),"")</f>
        <v>11.399999999999999</v>
      </c>
      <c r="W53" s="270">
        <f t="shared" si="3"/>
        <v>9</v>
      </c>
      <c r="X53" s="32">
        <f t="shared" si="4"/>
        <v>0.8</v>
      </c>
      <c r="Y53" s="236">
        <f>IFERROR(VLOOKUP(GUAYAQUIL[[#This Row],[CODIGO]],MAESTRO!A:BI,21,FALSE),0)</f>
        <v>1.062665</v>
      </c>
      <c r="Z53" s="237">
        <f>+IFERROR(IF(GUAYAQUIL[[#This Row],[CODIGO]]="","",GUAYAQUIL[[#This Row],[COSTO UNIT base]]*GUAYAQUIL[[#This Row],[Conversión]]),"")</f>
        <v>1.062665</v>
      </c>
      <c r="AA53" s="236">
        <f>+IFERROR(IF(GUAYAQUIL[[#This Row],[CODIGO]]="","",GUAYAQUIL[[#This Row],[COSTO UNIT Conv]]*GUAYAQUIL[[#This Row],[Stock Actual Kgs]]),"")</f>
        <v>12.114380999999998</v>
      </c>
      <c r="AB53" s="33">
        <f ca="1">+IFERROR(IF(GUAYAQUIL[[#This Row],[CODIGO]]="","",$J$3-O53),"")</f>
        <v>14</v>
      </c>
      <c r="AC53" s="34" t="str">
        <f ca="1">IF(GUAYAQUIL[[#This Row],[CODIGO]]="","",IF(S53&lt;=0,"CADUCADO",IF(AND(S53&gt;0,S53&lt;=21),"FECHA CORTA",IF(AND(S53&gt;=22,S53&lt;=26),"PROXIMOS FECHA CORTA", "VIGENTE"))))</f>
        <v>FECHA CORTA</v>
      </c>
      <c r="AD53" s="37">
        <f>+IF(GUAYAQUIL[[#This Row],[CODIGO]]="","",GUAYAQUIL[[#This Row],[Stock Actual Unds]]*GUAYAQUIL[[#This Row],[Gramaje]]*GUAYAQUIL[[#This Row],[Conversión]])/1000</f>
        <v>1.1399999999999999E-2</v>
      </c>
    </row>
    <row r="54" spans="1:30">
      <c r="A54" s="24" t="str">
        <f>+IFERROR(IF(GUAYAQUIL[[#This Row],[CODIGO]]="","",VLOOKUP(GUAYAQUIL[[#This Row],[CODIGO]],MAESTRO!$A:$J,10,FALSE)),"")</f>
        <v>MACHACHI</v>
      </c>
      <c r="B54" s="24" t="str">
        <f>+IFERROR(IF(GUAYAQUIL[[#This Row],[CODIGO]]="","",VLOOKUP(GUAYAQUIL[[#This Row],[CODIGO]],MAESTRO!$A:$Q,17,FALSE)),"")</f>
        <v>BEBIDAS LACTEAS</v>
      </c>
      <c r="C54" s="24" t="str">
        <f>+IFERROR(IF(GUAYAQUIL[[#This Row],[CODIGO]]="","",VLOOKUP(GUAYAQUIL[[#This Row],[CODIGO]],MAESTRO!$A:$BA,53,FALSE)),"")</f>
        <v xml:space="preserve">Luis Armendariz                         </v>
      </c>
      <c r="D54" s="24" t="str">
        <f>+IFERROR(IF(GUAYAQUIL[[#This Row],[CODIGO]]="","",VLOOKUP(GUAYAQUIL[[#This Row],[CODIGO]],MAESTRO!$A:$D,4,FALSE)),"")</f>
        <v>YOGURT KIOSKO</v>
      </c>
      <c r="E54" s="24" t="str">
        <f>+IFERROR(IF(GUAYAQUIL[[#This Row],[CODIGO]]="","",VLOOKUP(GUAYAQUIL[[#This Row],[CODIGO]],MAESTRO!$A:$F,6,FALSE)),"")</f>
        <v>YOGURT KIOSKO NATURAL BOTELLA FAMILIAR</v>
      </c>
      <c r="F54" s="42" t="str">
        <f>IF(GUAYAQUIL[[#This Row],[CODIGO]]="","",$K$6)</f>
        <v>GUAYAQUIL</v>
      </c>
      <c r="G54" s="42">
        <f>IF(GUAYAQUIL[[#This Row],[CODIGO]]="","",7711)</f>
        <v>7711</v>
      </c>
      <c r="H54" s="42">
        <f>IF(GUAYAQUIL[[#This Row],[CODIGO]]="","",1001)</f>
        <v>1001</v>
      </c>
      <c r="I54" s="258" t="s">
        <v>765</v>
      </c>
      <c r="J54" s="25" t="str">
        <f>IFERROR((VLOOKUP(GUAYAQUIL[[#This Row],[CODIGO]],MAESTRO!A:B,2,FALSE)),"")</f>
        <v>YOG NAT KIOSKO BOTELLA 950G</v>
      </c>
      <c r="K54" s="35">
        <v>18</v>
      </c>
      <c r="L54" s="38">
        <f>+IFERROR(IF(GUAYAQUIL[[#This Row],[CODIGO]]="","",VLOOKUP(GUAYAQUIL[[#This Row],[CODIGO]],MAESTRO!$A:$BF,58,FALSE)),"")</f>
        <v>1</v>
      </c>
      <c r="M54" s="27">
        <f>+IFERROR(IF(GUAYAQUIL[[#This Row],[CODIGO]]="","",VLOOKUP(GUAYAQUIL[[#This Row],[CODIGO]],MAESTRO!A:N,14,FALSE)),"")</f>
        <v>0.95</v>
      </c>
      <c r="N54" s="28">
        <f>+IFERROR(IF(GUAYAQUIL[[#This Row],[CODIGO]]="","",VLOOKUP(GUAYAQUIL[[#This Row],[CODIGO]],MAESTRO!A:P,16,FALSE)),"")</f>
        <v>45</v>
      </c>
      <c r="O54" s="29">
        <v>45615</v>
      </c>
      <c r="P54" s="72" t="str">
        <f t="shared" si="0"/>
        <v>martes</v>
      </c>
      <c r="Q54" s="29">
        <f>IFERROR(IF(GUAYAQUIL[[#This Row],[CODIGO]]="","",IF(GUAYAQUIL[[#This Row],[Fecha Cad]]="","",(GUAYAQUIL[[#This Row],[Fecha Cad]]-GUAYAQUIL[[#This Row],[VIDA UTIL (Días)]]))+1),"")</f>
        <v>45609</v>
      </c>
      <c r="R54" s="29">
        <v>45653</v>
      </c>
      <c r="S54" s="30">
        <f t="shared" ca="1" si="1"/>
        <v>29</v>
      </c>
      <c r="T54" s="31">
        <f t="shared" ca="1" si="2"/>
        <v>0.64444444444444449</v>
      </c>
      <c r="U54" s="286">
        <v>17</v>
      </c>
      <c r="V54" s="261">
        <f>+IFERROR(IF(GUAYAQUIL[[#This Row],[CODIGO]]="","",GUAYAQUIL[[#This Row],[Stock Actual Unds]]*GUAYAQUIL[[#This Row],[Gramaje]]*GUAYAQUIL[[#This Row],[Conversión]]),"")</f>
        <v>16.149999999999999</v>
      </c>
      <c r="W54" s="270">
        <f t="shared" si="3"/>
        <v>6</v>
      </c>
      <c r="X54" s="32">
        <f t="shared" si="4"/>
        <v>0.8666666666666667</v>
      </c>
      <c r="Y54" s="236">
        <f>IFERROR(VLOOKUP(GUAYAQUIL[[#This Row],[CODIGO]],MAESTRO!A:BI,21,FALSE),0)</f>
        <v>1.062665</v>
      </c>
      <c r="Z54" s="237">
        <f>+IFERROR(IF(GUAYAQUIL[[#This Row],[CODIGO]]="","",GUAYAQUIL[[#This Row],[COSTO UNIT base]]*GUAYAQUIL[[#This Row],[Conversión]]),"")</f>
        <v>1.062665</v>
      </c>
      <c r="AA54" s="236">
        <f>+IFERROR(IF(GUAYAQUIL[[#This Row],[CODIGO]]="","",GUAYAQUIL[[#This Row],[COSTO UNIT Conv]]*GUAYAQUIL[[#This Row],[Stock Actual Kgs]]),"")</f>
        <v>17.162039749999998</v>
      </c>
      <c r="AB54" s="33">
        <f ca="1">+IFERROR(IF(GUAYAQUIL[[#This Row],[CODIGO]]="","",$J$3-O54),"")</f>
        <v>9</v>
      </c>
      <c r="AC54" s="34" t="str">
        <f ca="1">IF(GUAYAQUIL[[#This Row],[CODIGO]]="","",IF(S54&lt;=0,"CADUCADO",IF(AND(S54&gt;0,S54&lt;=21),"FECHA CORTA",IF(AND(S54&gt;=22,S54&lt;=26),"PROXIMOS FECHA CORTA", "VIGENTE"))))</f>
        <v>VIGENTE</v>
      </c>
      <c r="AD54" s="37">
        <f>+IF(GUAYAQUIL[[#This Row],[CODIGO]]="","",GUAYAQUIL[[#This Row],[Stock Actual Unds]]*GUAYAQUIL[[#This Row],[Gramaje]]*GUAYAQUIL[[#This Row],[Conversión]])/1000</f>
        <v>1.6149999999999998E-2</v>
      </c>
    </row>
    <row r="55" spans="1:30">
      <c r="A55" s="24" t="str">
        <f>+IFERROR(IF(GUAYAQUIL[[#This Row],[CODIGO]]="","",VLOOKUP(GUAYAQUIL[[#This Row],[CODIGO]],MAESTRO!$A:$J,10,FALSE)),"")</f>
        <v>MACHACHI</v>
      </c>
      <c r="B55" s="24" t="str">
        <f>+IFERROR(IF(GUAYAQUIL[[#This Row],[CODIGO]]="","",VLOOKUP(GUAYAQUIL[[#This Row],[CODIGO]],MAESTRO!$A:$Q,17,FALSE)),"")</f>
        <v>BEBIDAS LACTEAS</v>
      </c>
      <c r="C55" s="24" t="str">
        <f>+IFERROR(IF(GUAYAQUIL[[#This Row],[CODIGO]]="","",VLOOKUP(GUAYAQUIL[[#This Row],[CODIGO]],MAESTRO!$A:$BA,53,FALSE)),"")</f>
        <v xml:space="preserve">Luis Armendariz                         </v>
      </c>
      <c r="D55" s="24" t="str">
        <f>+IFERROR(IF(GUAYAQUIL[[#This Row],[CODIGO]]="","",VLOOKUP(GUAYAQUIL[[#This Row],[CODIGO]],MAESTRO!$A:$D,4,FALSE)),"")</f>
        <v>YOGURT KIOSKO</v>
      </c>
      <c r="E55" s="24" t="str">
        <f>+IFERROR(IF(GUAYAQUIL[[#This Row],[CODIGO]]="","",VLOOKUP(GUAYAQUIL[[#This Row],[CODIGO]],MAESTRO!$A:$F,6,FALSE)),"")</f>
        <v>YOGURT KIOSKO NATURAL BOTELLA FAMILIAR</v>
      </c>
      <c r="F55" s="42" t="str">
        <f>IF(GUAYAQUIL[[#This Row],[CODIGO]]="","",$K$6)</f>
        <v>GUAYAQUIL</v>
      </c>
      <c r="G55" s="42">
        <f>IF(GUAYAQUIL[[#This Row],[CODIGO]]="","",7711)</f>
        <v>7711</v>
      </c>
      <c r="H55" s="42">
        <f>IF(GUAYAQUIL[[#This Row],[CODIGO]]="","",1001)</f>
        <v>1001</v>
      </c>
      <c r="I55" s="258" t="s">
        <v>765</v>
      </c>
      <c r="J55" s="25" t="str">
        <f>IFERROR((VLOOKUP(GUAYAQUIL[[#This Row],[CODIGO]],MAESTRO!A:B,2,FALSE)),"")</f>
        <v>YOG NAT KIOSKO BOTELLA 950G</v>
      </c>
      <c r="K55" s="35">
        <v>108</v>
      </c>
      <c r="L55" s="38">
        <f>+IFERROR(IF(GUAYAQUIL[[#This Row],[CODIGO]]="","",VLOOKUP(GUAYAQUIL[[#This Row],[CODIGO]],MAESTRO!$A:$BF,58,FALSE)),"")</f>
        <v>1</v>
      </c>
      <c r="M55" s="27">
        <f>+IFERROR(IF(GUAYAQUIL[[#This Row],[CODIGO]]="","",VLOOKUP(GUAYAQUIL[[#This Row],[CODIGO]],MAESTRO!A:N,14,FALSE)),"")</f>
        <v>0.95</v>
      </c>
      <c r="N55" s="28">
        <f>+IFERROR(IF(GUAYAQUIL[[#This Row],[CODIGO]]="","",VLOOKUP(GUAYAQUIL[[#This Row],[CODIGO]],MAESTRO!A:P,16,FALSE)),"")</f>
        <v>45</v>
      </c>
      <c r="O55" s="29">
        <v>45616</v>
      </c>
      <c r="P55" s="72" t="str">
        <f t="shared" si="0"/>
        <v>miércoles</v>
      </c>
      <c r="Q55" s="29">
        <f>IFERROR(IF(GUAYAQUIL[[#This Row],[CODIGO]]="","",IF(GUAYAQUIL[[#This Row],[Fecha Cad]]="","",(GUAYAQUIL[[#This Row],[Fecha Cad]]-GUAYAQUIL[[#This Row],[VIDA UTIL (Días)]]))+1),"")</f>
        <v>45609</v>
      </c>
      <c r="R55" s="29">
        <v>45653</v>
      </c>
      <c r="S55" s="30">
        <f t="shared" ca="1" si="1"/>
        <v>29</v>
      </c>
      <c r="T55" s="31">
        <f t="shared" ca="1" si="2"/>
        <v>0.64444444444444449</v>
      </c>
      <c r="U55" s="286">
        <v>108</v>
      </c>
      <c r="V55" s="261">
        <f>+IFERROR(IF(GUAYAQUIL[[#This Row],[CODIGO]]="","",GUAYAQUIL[[#This Row],[Stock Actual Unds]]*GUAYAQUIL[[#This Row],[Gramaje]]*GUAYAQUIL[[#This Row],[Conversión]]),"")</f>
        <v>102.6</v>
      </c>
      <c r="W55" s="270">
        <f t="shared" si="3"/>
        <v>7</v>
      </c>
      <c r="X55" s="32">
        <f t="shared" si="4"/>
        <v>0.84444444444444444</v>
      </c>
      <c r="Y55" s="236">
        <f>IFERROR(VLOOKUP(GUAYAQUIL[[#This Row],[CODIGO]],MAESTRO!A:BI,21,FALSE),0)</f>
        <v>1.062665</v>
      </c>
      <c r="Z55" s="237">
        <f>+IFERROR(IF(GUAYAQUIL[[#This Row],[CODIGO]]="","",GUAYAQUIL[[#This Row],[COSTO UNIT base]]*GUAYAQUIL[[#This Row],[Conversión]]),"")</f>
        <v>1.062665</v>
      </c>
      <c r="AA55" s="236">
        <f>+IFERROR(IF(GUAYAQUIL[[#This Row],[CODIGO]]="","",GUAYAQUIL[[#This Row],[COSTO UNIT Conv]]*GUAYAQUIL[[#This Row],[Stock Actual Kgs]]),"")</f>
        <v>109.02942899999999</v>
      </c>
      <c r="AB55" s="33">
        <f ca="1">+IFERROR(IF(GUAYAQUIL[[#This Row],[CODIGO]]="","",$J$3-O55),"")</f>
        <v>8</v>
      </c>
      <c r="AC55" s="34" t="str">
        <f ca="1">IF(GUAYAQUIL[[#This Row],[CODIGO]]="","",IF(S55&lt;=0,"CADUCADO",IF(AND(S55&gt;0,S55&lt;=21),"FECHA CORTA",IF(AND(S55&gt;=22,S55&lt;=26),"PROXIMOS FECHA CORTA", "VIGENTE"))))</f>
        <v>VIGENTE</v>
      </c>
      <c r="AD55" s="37">
        <f>+IF(GUAYAQUIL[[#This Row],[CODIGO]]="","",GUAYAQUIL[[#This Row],[Stock Actual Unds]]*GUAYAQUIL[[#This Row],[Gramaje]]*GUAYAQUIL[[#This Row],[Conversión]])/1000</f>
        <v>0.1026</v>
      </c>
    </row>
    <row r="56" spans="1:30">
      <c r="A56" s="24" t="str">
        <f>+IFERROR(IF(GUAYAQUIL[[#This Row],[CODIGO]]="","",VLOOKUP(GUAYAQUIL[[#This Row],[CODIGO]],MAESTRO!$A:$J,10,FALSE)),"")</f>
        <v>MULTIEMPAQUE_SG</v>
      </c>
      <c r="B56" s="24" t="str">
        <f>+IFERROR(IF(GUAYAQUIL[[#This Row],[CODIGO]]="","",VLOOKUP(GUAYAQUIL[[#This Row],[CODIGO]],MAESTRO!$A:$Q,17,FALSE)),"")</f>
        <v>QUESOS Y GRASAS</v>
      </c>
      <c r="C56" s="24" t="str">
        <f>+IFERROR(IF(GUAYAQUIL[[#This Row],[CODIGO]]="","",VLOOKUP(GUAYAQUIL[[#This Row],[CODIGO]],MAESTRO!$A:$BA,53,FALSE)),"")</f>
        <v xml:space="preserve">Esteban Montenegro                      </v>
      </c>
      <c r="D56" s="24" t="str">
        <f>+IFERROR(IF(GUAYAQUIL[[#This Row],[CODIGO]]="","",VLOOKUP(GUAYAQUIL[[#This Row],[CODIGO]],MAESTRO!$A:$D,4,FALSE)),"")</f>
        <v>QUESO SEMIMADURO KIOSKO</v>
      </c>
      <c r="E56" s="24" t="str">
        <f>+IFERROR(IF(GUAYAQUIL[[#This Row],[CODIGO]]="","",VLOOKUP(GUAYAQUIL[[#This Row],[CODIGO]],MAESTRO!$A:$F,6,FALSE)),"")</f>
        <v>QUESO SANDUCHE KIOSKO TAJADO</v>
      </c>
      <c r="F56" s="42" t="str">
        <f>IF(GUAYAQUIL[[#This Row],[CODIGO]]="","",$K$6)</f>
        <v>GUAYAQUIL</v>
      </c>
      <c r="G56" s="42">
        <f>IF(GUAYAQUIL[[#This Row],[CODIGO]]="","",7711)</f>
        <v>7711</v>
      </c>
      <c r="H56" s="42">
        <f>IF(GUAYAQUIL[[#This Row],[CODIGO]]="","",1001)</f>
        <v>1001</v>
      </c>
      <c r="I56" s="258" t="s">
        <v>2206</v>
      </c>
      <c r="J56" s="25" t="str">
        <f>IFERROR((VLOOKUP(GUAYAQUIL[[#This Row],[CODIGO]],MAESTRO!A:B,2,FALSE)),"")</f>
        <v>PACK Q SAND KIOSKO BLOQ 146G JAM</v>
      </c>
      <c r="K56" s="35">
        <v>260</v>
      </c>
      <c r="L56" s="38">
        <f>+IFERROR(IF(GUAYAQUIL[[#This Row],[CODIGO]]="","",VLOOKUP(GUAYAQUIL[[#This Row],[CODIGO]],MAESTRO!$A:$BF,58,FALSE)),"")</f>
        <v>1</v>
      </c>
      <c r="M56" s="27">
        <f>+IFERROR(IF(GUAYAQUIL[[#This Row],[CODIGO]]="","",VLOOKUP(GUAYAQUIL[[#This Row],[CODIGO]],MAESTRO!A:N,14,FALSE)),"")</f>
        <v>0.14599999999999999</v>
      </c>
      <c r="N56" s="28">
        <f>+IFERROR(IF(GUAYAQUIL[[#This Row],[CODIGO]]="","",VLOOKUP(GUAYAQUIL[[#This Row],[CODIGO]],MAESTRO!A:P,16,FALSE)),"")</f>
        <v>45</v>
      </c>
      <c r="O56" s="29">
        <v>45603</v>
      </c>
      <c r="P56" s="72" t="str">
        <f t="shared" si="0"/>
        <v>jueves</v>
      </c>
      <c r="Q56" s="29">
        <f>IFERROR(IF(GUAYAQUIL[[#This Row],[CODIGO]]="","",IF(GUAYAQUIL[[#This Row],[Fecha Cad]]="","",(GUAYAQUIL[[#This Row],[Fecha Cad]]-GUAYAQUIL[[#This Row],[VIDA UTIL (Días)]]))+1),"")</f>
        <v>45591</v>
      </c>
      <c r="R56" s="29">
        <v>45635</v>
      </c>
      <c r="S56" s="30">
        <f t="shared" ca="1" si="1"/>
        <v>11</v>
      </c>
      <c r="T56" s="31">
        <f t="shared" ca="1" si="2"/>
        <v>0.24444444444444444</v>
      </c>
      <c r="U56" s="286">
        <v>1</v>
      </c>
      <c r="V56" s="261">
        <f>+IFERROR(IF(GUAYAQUIL[[#This Row],[CODIGO]]="","",GUAYAQUIL[[#This Row],[Stock Actual Unds]]*GUAYAQUIL[[#This Row],[Gramaje]]*GUAYAQUIL[[#This Row],[Conversión]]),"")</f>
        <v>0.14599999999999999</v>
      </c>
      <c r="W56" s="270">
        <f t="shared" si="3"/>
        <v>12</v>
      </c>
      <c r="X56" s="32">
        <f t="shared" si="4"/>
        <v>0.73333333333333339</v>
      </c>
      <c r="Y56" s="236">
        <f>IFERROR(VLOOKUP(GUAYAQUIL[[#This Row],[CODIGO]],MAESTRO!A:BI,21,FALSE),0)</f>
        <v>1.1321750000000002</v>
      </c>
      <c r="Z56" s="237">
        <f>+IFERROR(IF(GUAYAQUIL[[#This Row],[CODIGO]]="","",GUAYAQUIL[[#This Row],[COSTO UNIT base]]*GUAYAQUIL[[#This Row],[Conversión]]),"")</f>
        <v>1.1321750000000002</v>
      </c>
      <c r="AA56" s="236">
        <f>+IFERROR(IF(GUAYAQUIL[[#This Row],[CODIGO]]="","",GUAYAQUIL[[#This Row],[COSTO UNIT Conv]]*GUAYAQUIL[[#This Row],[Stock Actual Kgs]]),"")</f>
        <v>0.16529755000000002</v>
      </c>
      <c r="AB56" s="33">
        <f ca="1">+IFERROR(IF(GUAYAQUIL[[#This Row],[CODIGO]]="","",$J$3-O56),"")</f>
        <v>21</v>
      </c>
      <c r="AC56" s="34" t="str">
        <f ca="1">IF(GUAYAQUIL[[#This Row],[CODIGO]]="","",IF(S56&lt;=0,"CADUCADO",IF(AND(S56&gt;0,S56&lt;=21),"FECHA CORTA",IF(AND(S56&gt;=22,S56&lt;=26),"PROXIMOS FECHA CORTA", "VIGENTE"))))</f>
        <v>FECHA CORTA</v>
      </c>
      <c r="AD56" s="37">
        <f>+IF(GUAYAQUIL[[#This Row],[CODIGO]]="","",GUAYAQUIL[[#This Row],[Stock Actual Unds]]*GUAYAQUIL[[#This Row],[Gramaje]]*GUAYAQUIL[[#This Row],[Conversión]])/1000</f>
        <v>1.46E-4</v>
      </c>
    </row>
    <row r="57" spans="1:30">
      <c r="A57" s="24" t="str">
        <f>+IFERROR(IF(GUAYAQUIL[[#This Row],[CODIGO]]="","",VLOOKUP(GUAYAQUIL[[#This Row],[CODIGO]],MAESTRO!$A:$J,10,FALSE)),"")</f>
        <v>MULTIEMPAQUE_SG</v>
      </c>
      <c r="B57" s="24" t="str">
        <f>+IFERROR(IF(GUAYAQUIL[[#This Row],[CODIGO]]="","",VLOOKUP(GUAYAQUIL[[#This Row],[CODIGO]],MAESTRO!$A:$Q,17,FALSE)),"")</f>
        <v>QUESOS Y GRASAS</v>
      </c>
      <c r="C57" s="24" t="str">
        <f>+IFERROR(IF(GUAYAQUIL[[#This Row],[CODIGO]]="","",VLOOKUP(GUAYAQUIL[[#This Row],[CODIGO]],MAESTRO!$A:$BA,53,FALSE)),"")</f>
        <v xml:space="preserve">Esteban Montenegro                      </v>
      </c>
      <c r="D57" s="24" t="str">
        <f>+IFERROR(IF(GUAYAQUIL[[#This Row],[CODIGO]]="","",VLOOKUP(GUAYAQUIL[[#This Row],[CODIGO]],MAESTRO!$A:$D,4,FALSE)),"")</f>
        <v>QUESO SEMIMADURO KIOSKO</v>
      </c>
      <c r="E57" s="24" t="str">
        <f>+IFERROR(IF(GUAYAQUIL[[#This Row],[CODIGO]]="","",VLOOKUP(GUAYAQUIL[[#This Row],[CODIGO]],MAESTRO!$A:$F,6,FALSE)),"")</f>
        <v>QUESO SANDUCHE KIOSKO TAJADO</v>
      </c>
      <c r="F57" s="42" t="str">
        <f>IF(GUAYAQUIL[[#This Row],[CODIGO]]="","",$K$6)</f>
        <v>GUAYAQUIL</v>
      </c>
      <c r="G57" s="209">
        <f>IF(GUAYAQUIL[[#This Row],[CODIGO]]="","",7711)</f>
        <v>7711</v>
      </c>
      <c r="H57" s="209">
        <f>IF(GUAYAQUIL[[#This Row],[CODIGO]]="","",1001)</f>
        <v>1001</v>
      </c>
      <c r="I57" s="258" t="s">
        <v>2206</v>
      </c>
      <c r="J57" s="25" t="str">
        <f>IFERROR((VLOOKUP(GUAYAQUIL[[#This Row],[CODIGO]],MAESTRO!A:B,2,FALSE)),"")</f>
        <v>PACK Q SAND KIOSKO BLOQ 146G JAM</v>
      </c>
      <c r="K57" s="35">
        <v>260</v>
      </c>
      <c r="L57" s="38">
        <f>+IFERROR(IF(GUAYAQUIL[[#This Row],[CODIGO]]="","",VLOOKUP(GUAYAQUIL[[#This Row],[CODIGO]],MAESTRO!$A:$BF,58,FALSE)),"")</f>
        <v>1</v>
      </c>
      <c r="M57" s="27">
        <f>+IFERROR(IF(GUAYAQUIL[[#This Row],[CODIGO]]="","",VLOOKUP(GUAYAQUIL[[#This Row],[CODIGO]],MAESTRO!A:N,14,FALSE)),"")</f>
        <v>0.14599999999999999</v>
      </c>
      <c r="N57" s="28">
        <f>+IFERROR(IF(GUAYAQUIL[[#This Row],[CODIGO]]="","",VLOOKUP(GUAYAQUIL[[#This Row],[CODIGO]],MAESTRO!A:P,16,FALSE)),"")</f>
        <v>45</v>
      </c>
      <c r="O57" s="29">
        <v>45605</v>
      </c>
      <c r="P57" s="72" t="str">
        <f t="shared" si="0"/>
        <v>sábado</v>
      </c>
      <c r="Q57" s="29">
        <f>IFERROR(IF(GUAYAQUIL[[#This Row],[CODIGO]]="","",IF(GUAYAQUIL[[#This Row],[Fecha Cad]]="","",(GUAYAQUIL[[#This Row],[Fecha Cad]]-GUAYAQUIL[[#This Row],[VIDA UTIL (Días)]]))+1),"")</f>
        <v>45598</v>
      </c>
      <c r="R57" s="29">
        <v>45642</v>
      </c>
      <c r="S57" s="30">
        <f t="shared" ca="1" si="1"/>
        <v>18</v>
      </c>
      <c r="T57" s="31">
        <f t="shared" ca="1" si="2"/>
        <v>0.4</v>
      </c>
      <c r="U57" s="286">
        <v>148</v>
      </c>
      <c r="V57" s="262">
        <f>+IFERROR(IF(GUAYAQUIL[[#This Row],[CODIGO]]="","",GUAYAQUIL[[#This Row],[Stock Actual Unds]]*GUAYAQUIL[[#This Row],[Gramaje]]*GUAYAQUIL[[#This Row],[Conversión]]),"")</f>
        <v>21.607999999999997</v>
      </c>
      <c r="W57" s="270">
        <f t="shared" si="3"/>
        <v>7</v>
      </c>
      <c r="X57" s="32">
        <f t="shared" si="4"/>
        <v>0.84444444444444444</v>
      </c>
      <c r="Y57" s="236">
        <f>IFERROR(VLOOKUP(GUAYAQUIL[[#This Row],[CODIGO]],MAESTRO!A:BI,21,FALSE),0)</f>
        <v>1.1321750000000002</v>
      </c>
      <c r="Z57" s="237">
        <f>+IFERROR(IF(GUAYAQUIL[[#This Row],[CODIGO]]="","",GUAYAQUIL[[#This Row],[COSTO UNIT base]]*GUAYAQUIL[[#This Row],[Conversión]]),"")</f>
        <v>1.1321750000000002</v>
      </c>
      <c r="AA57" s="236">
        <f>+IFERROR(IF(GUAYAQUIL[[#This Row],[CODIGO]]="","",GUAYAQUIL[[#This Row],[COSTO UNIT Conv]]*GUAYAQUIL[[#This Row],[Stock Actual Kgs]]),"")</f>
        <v>24.464037399999999</v>
      </c>
      <c r="AB57" s="33">
        <f ca="1">+IFERROR(IF(GUAYAQUIL[[#This Row],[CODIGO]]="","",$J$3-O57),"")</f>
        <v>19</v>
      </c>
      <c r="AC57" s="34" t="str">
        <f ca="1">IF(GUAYAQUIL[[#This Row],[CODIGO]]="","",IF(S57&lt;=0,"CADUCADO",IF(AND(S57&gt;0,S57&lt;=21),"FECHA CORTA",IF(AND(S57&gt;=22,S57&lt;=26),"PROXIMOS FECHA CORTA", "VIGENTE"))))</f>
        <v>FECHA CORTA</v>
      </c>
      <c r="AD57" s="37">
        <f>+IF(GUAYAQUIL[[#This Row],[CODIGO]]="","",GUAYAQUIL[[#This Row],[Stock Actual Unds]]*GUAYAQUIL[[#This Row],[Gramaje]]*GUAYAQUIL[[#This Row],[Conversión]])/1000</f>
        <v>2.1607999999999995E-2</v>
      </c>
    </row>
    <row r="58" spans="1:30">
      <c r="A58" s="24" t="str">
        <f>+IFERROR(IF(GUAYAQUIL[[#This Row],[CODIGO]]="","",VLOOKUP(GUAYAQUIL[[#This Row],[CODIGO]],MAESTRO!$A:$J,10,FALSE)),"")</f>
        <v>MULTIEMPAQUE_SG</v>
      </c>
      <c r="B58" s="24" t="str">
        <f>+IFERROR(IF(GUAYAQUIL[[#This Row],[CODIGO]]="","",VLOOKUP(GUAYAQUIL[[#This Row],[CODIGO]],MAESTRO!$A:$Q,17,FALSE)),"")</f>
        <v>QUESOS Y GRASAS</v>
      </c>
      <c r="C58" s="24" t="str">
        <f>+IFERROR(IF(GUAYAQUIL[[#This Row],[CODIGO]]="","",VLOOKUP(GUAYAQUIL[[#This Row],[CODIGO]],MAESTRO!$A:$BA,53,FALSE)),"")</f>
        <v xml:space="preserve">Esteban Montenegro                      </v>
      </c>
      <c r="D58" s="24" t="str">
        <f>+IFERROR(IF(GUAYAQUIL[[#This Row],[CODIGO]]="","",VLOOKUP(GUAYAQUIL[[#This Row],[CODIGO]],MAESTRO!$A:$D,4,FALSE)),"")</f>
        <v>QUESO SEMIMADURO KIOSKO</v>
      </c>
      <c r="E58" s="24" t="str">
        <f>+IFERROR(IF(GUAYAQUIL[[#This Row],[CODIGO]]="","",VLOOKUP(GUAYAQUIL[[#This Row],[CODIGO]],MAESTRO!$A:$F,6,FALSE)),"")</f>
        <v>QUESO SANDUCHE KIOSKO TAJADO</v>
      </c>
      <c r="F58" s="42" t="str">
        <f>IF(GUAYAQUIL[[#This Row],[CODIGO]]="","",$K$6)</f>
        <v>GUAYAQUIL</v>
      </c>
      <c r="G58" s="42">
        <f>IF(GUAYAQUIL[[#This Row],[CODIGO]]="","",7711)</f>
        <v>7711</v>
      </c>
      <c r="H58" s="42">
        <f>IF(GUAYAQUIL[[#This Row],[CODIGO]]="","",1001)</f>
        <v>1001</v>
      </c>
      <c r="I58" s="258" t="s">
        <v>2206</v>
      </c>
      <c r="J58" s="25" t="str">
        <f>IFERROR((VLOOKUP(GUAYAQUIL[[#This Row],[CODIGO]],MAESTRO!A:B,2,FALSE)),"")</f>
        <v>PACK Q SAND KIOSKO BLOQ 146G JAM</v>
      </c>
      <c r="K58" s="35">
        <v>130</v>
      </c>
      <c r="L58" s="38">
        <f>+IFERROR(IF(GUAYAQUIL[[#This Row],[CODIGO]]="","",VLOOKUP(GUAYAQUIL[[#This Row],[CODIGO]],MAESTRO!$A:$BF,58,FALSE)),"")</f>
        <v>1</v>
      </c>
      <c r="M58" s="27">
        <f>+IFERROR(IF(GUAYAQUIL[[#This Row],[CODIGO]]="","",VLOOKUP(GUAYAQUIL[[#This Row],[CODIGO]],MAESTRO!A:N,14,FALSE)),"")</f>
        <v>0.14599999999999999</v>
      </c>
      <c r="N58" s="28">
        <f>+IFERROR(IF(GUAYAQUIL[[#This Row],[CODIGO]]="","",VLOOKUP(GUAYAQUIL[[#This Row],[CODIGO]],MAESTRO!A:P,16,FALSE)),"")</f>
        <v>45</v>
      </c>
      <c r="O58" s="29">
        <v>45615</v>
      </c>
      <c r="P58" s="72" t="str">
        <f t="shared" si="0"/>
        <v>martes</v>
      </c>
      <c r="Q58" s="29">
        <f>IFERROR(IF(GUAYAQUIL[[#This Row],[CODIGO]]="","",IF(GUAYAQUIL[[#This Row],[Fecha Cad]]="","",(GUAYAQUIL[[#This Row],[Fecha Cad]]-GUAYAQUIL[[#This Row],[VIDA UTIL (Días)]]))+1),"")</f>
        <v>45605</v>
      </c>
      <c r="R58" s="29">
        <v>45649</v>
      </c>
      <c r="S58" s="30">
        <f t="shared" ca="1" si="1"/>
        <v>25</v>
      </c>
      <c r="T58" s="31">
        <f t="shared" ca="1" si="2"/>
        <v>0.55555555555555558</v>
      </c>
      <c r="U58" s="286">
        <v>120</v>
      </c>
      <c r="V58" s="262">
        <f>+IFERROR(IF(GUAYAQUIL[[#This Row],[CODIGO]]="","",GUAYAQUIL[[#This Row],[Stock Actual Unds]]*GUAYAQUIL[[#This Row],[Gramaje]]*GUAYAQUIL[[#This Row],[Conversión]]),"")</f>
        <v>17.52</v>
      </c>
      <c r="W58" s="270">
        <f t="shared" si="3"/>
        <v>10</v>
      </c>
      <c r="X58" s="32">
        <f t="shared" si="4"/>
        <v>0.77777777777777779</v>
      </c>
      <c r="Y58" s="236">
        <f>IFERROR(VLOOKUP(GUAYAQUIL[[#This Row],[CODIGO]],MAESTRO!A:BI,21,FALSE),0)</f>
        <v>1.1321750000000002</v>
      </c>
      <c r="Z58" s="237">
        <f>+IFERROR(IF(GUAYAQUIL[[#This Row],[CODIGO]]="","",GUAYAQUIL[[#This Row],[COSTO UNIT base]]*GUAYAQUIL[[#This Row],[Conversión]]),"")</f>
        <v>1.1321750000000002</v>
      </c>
      <c r="AA58" s="236">
        <f>+IFERROR(IF(GUAYAQUIL[[#This Row],[CODIGO]]="","",GUAYAQUIL[[#This Row],[COSTO UNIT Conv]]*GUAYAQUIL[[#This Row],[Stock Actual Kgs]]),"")</f>
        <v>19.835706000000002</v>
      </c>
      <c r="AB58" s="33">
        <f ca="1">+IFERROR(IF(GUAYAQUIL[[#This Row],[CODIGO]]="","",$J$3-O58),"")</f>
        <v>9</v>
      </c>
      <c r="AC58" s="34" t="str">
        <f ca="1">IF(GUAYAQUIL[[#This Row],[CODIGO]]="","",IF(S58&lt;=0,"CADUCADO",IF(AND(S58&gt;0,S58&lt;=21),"FECHA CORTA",IF(AND(S58&gt;=22,S58&lt;=26),"PROXIMOS FECHA CORTA", "VIGENTE"))))</f>
        <v>PROXIMOS FECHA CORTA</v>
      </c>
      <c r="AD58" s="37">
        <f>+IF(GUAYAQUIL[[#This Row],[CODIGO]]="","",GUAYAQUIL[[#This Row],[Stock Actual Unds]]*GUAYAQUIL[[#This Row],[Gramaje]]*GUAYAQUIL[[#This Row],[Conversión]])/1000</f>
        <v>1.7520000000000001E-2</v>
      </c>
    </row>
    <row r="59" spans="1:30">
      <c r="A59" s="24" t="str">
        <f>+IFERROR(IF(GUAYAQUIL[[#This Row],[CODIGO]]="","",VLOOKUP(GUAYAQUIL[[#This Row],[CODIGO]],MAESTRO!$A:$J,10,FALSE)),"")</f>
        <v>MULTIEMPAQUE_SG</v>
      </c>
      <c r="B59" s="24" t="str">
        <f>+IFERROR(IF(GUAYAQUIL[[#This Row],[CODIGO]]="","",VLOOKUP(GUAYAQUIL[[#This Row],[CODIGO]],MAESTRO!$A:$Q,17,FALSE)),"")</f>
        <v>QUESOS Y GRASAS</v>
      </c>
      <c r="C59" s="24" t="str">
        <f>+IFERROR(IF(GUAYAQUIL[[#This Row],[CODIGO]]="","",VLOOKUP(GUAYAQUIL[[#This Row],[CODIGO]],MAESTRO!$A:$BA,53,FALSE)),"")</f>
        <v xml:space="preserve">Esteban Montenegro                      </v>
      </c>
      <c r="D59" s="24" t="str">
        <f>+IFERROR(IF(GUAYAQUIL[[#This Row],[CODIGO]]="","",VLOOKUP(GUAYAQUIL[[#This Row],[CODIGO]],MAESTRO!$A:$D,4,FALSE)),"")</f>
        <v>QUESO SEMIMADURO KIOSKO</v>
      </c>
      <c r="E59" s="24" t="str">
        <f>+IFERROR(IF(GUAYAQUIL[[#This Row],[CODIGO]]="","",VLOOKUP(GUAYAQUIL[[#This Row],[CODIGO]],MAESTRO!$A:$F,6,FALSE)),"")</f>
        <v>QUESO SANDUCHE KIOSKO TAJADO</v>
      </c>
      <c r="F59" s="42" t="str">
        <f>IF(GUAYAQUIL[[#This Row],[CODIGO]]="","",$K$6)</f>
        <v>GUAYAQUIL</v>
      </c>
      <c r="G59" s="42">
        <f>IF(GUAYAQUIL[[#This Row],[CODIGO]]="","",7711)</f>
        <v>7711</v>
      </c>
      <c r="H59" s="42">
        <f>IF(GUAYAQUIL[[#This Row],[CODIGO]]="","",1001)</f>
        <v>1001</v>
      </c>
      <c r="I59" s="258" t="s">
        <v>2206</v>
      </c>
      <c r="J59" s="25" t="str">
        <f>IFERROR((VLOOKUP(GUAYAQUIL[[#This Row],[CODIGO]],MAESTRO!A:B,2,FALSE)),"")</f>
        <v>PACK Q SAND KIOSKO BLOQ 146G JAM</v>
      </c>
      <c r="K59" s="35">
        <v>130</v>
      </c>
      <c r="L59" s="38">
        <f>+IFERROR(IF(GUAYAQUIL[[#This Row],[CODIGO]]="","",VLOOKUP(GUAYAQUIL[[#This Row],[CODIGO]],MAESTRO!$A:$BF,58,FALSE)),"")</f>
        <v>1</v>
      </c>
      <c r="M59" s="27">
        <f>+IFERROR(IF(GUAYAQUIL[[#This Row],[CODIGO]]="","",VLOOKUP(GUAYAQUIL[[#This Row],[CODIGO]],MAESTRO!A:N,14,FALSE)),"")</f>
        <v>0.14599999999999999</v>
      </c>
      <c r="N59" s="28">
        <f>+IFERROR(IF(GUAYAQUIL[[#This Row],[CODIGO]]="","",VLOOKUP(GUAYAQUIL[[#This Row],[CODIGO]],MAESTRO!A:P,16,FALSE)),"")</f>
        <v>45</v>
      </c>
      <c r="O59" s="29">
        <v>45616</v>
      </c>
      <c r="P59" s="72" t="str">
        <f t="shared" si="0"/>
        <v>miércoles</v>
      </c>
      <c r="Q59" s="29">
        <f>IFERROR(IF(GUAYAQUIL[[#This Row],[CODIGO]]="","",IF(GUAYAQUIL[[#This Row],[Fecha Cad]]="","",(GUAYAQUIL[[#This Row],[Fecha Cad]]-GUAYAQUIL[[#This Row],[VIDA UTIL (Días)]]))+1),"")</f>
        <v>45605</v>
      </c>
      <c r="R59" s="29">
        <v>45649</v>
      </c>
      <c r="S59" s="30">
        <f t="shared" ca="1" si="1"/>
        <v>25</v>
      </c>
      <c r="T59" s="31">
        <f t="shared" ca="1" si="2"/>
        <v>0.55555555555555558</v>
      </c>
      <c r="U59" s="286">
        <v>130</v>
      </c>
      <c r="V59" s="262">
        <f>+IFERROR(IF(GUAYAQUIL[[#This Row],[CODIGO]]="","",GUAYAQUIL[[#This Row],[Stock Actual Unds]]*GUAYAQUIL[[#This Row],[Gramaje]]*GUAYAQUIL[[#This Row],[Conversión]]),"")</f>
        <v>18.98</v>
      </c>
      <c r="W59" s="270">
        <f t="shared" si="3"/>
        <v>11</v>
      </c>
      <c r="X59" s="32">
        <f t="shared" si="4"/>
        <v>0.75555555555555554</v>
      </c>
      <c r="Y59" s="236">
        <f>IFERROR(VLOOKUP(GUAYAQUIL[[#This Row],[CODIGO]],MAESTRO!A:BI,21,FALSE),0)</f>
        <v>1.1321750000000002</v>
      </c>
      <c r="Z59" s="237">
        <f>+IFERROR(IF(GUAYAQUIL[[#This Row],[CODIGO]]="","",GUAYAQUIL[[#This Row],[COSTO UNIT base]]*GUAYAQUIL[[#This Row],[Conversión]]),"")</f>
        <v>1.1321750000000002</v>
      </c>
      <c r="AA59" s="236">
        <f>+IFERROR(IF(GUAYAQUIL[[#This Row],[CODIGO]]="","",GUAYAQUIL[[#This Row],[COSTO UNIT Conv]]*GUAYAQUIL[[#This Row],[Stock Actual Kgs]]),"")</f>
        <v>21.488681500000002</v>
      </c>
      <c r="AB59" s="33">
        <f ca="1">+IFERROR(IF(GUAYAQUIL[[#This Row],[CODIGO]]="","",$J$3-O59),"")</f>
        <v>8</v>
      </c>
      <c r="AC59" s="34" t="str">
        <f ca="1">IF(GUAYAQUIL[[#This Row],[CODIGO]]="","",IF(S59&lt;=0,"CADUCADO",IF(AND(S59&gt;0,S59&lt;=21),"FECHA CORTA",IF(AND(S59&gt;=22,S59&lt;=26),"PROXIMOS FECHA CORTA", "VIGENTE"))))</f>
        <v>PROXIMOS FECHA CORTA</v>
      </c>
      <c r="AD59" s="37">
        <f>+IF(GUAYAQUIL[[#This Row],[CODIGO]]="","",GUAYAQUIL[[#This Row],[Stock Actual Unds]]*GUAYAQUIL[[#This Row],[Gramaje]]*GUAYAQUIL[[#This Row],[Conversión]])/1000</f>
        <v>1.898E-2</v>
      </c>
    </row>
    <row r="60" spans="1:30">
      <c r="A60" s="24" t="str">
        <f>+IFERROR(IF(GUAYAQUIL[[#This Row],[CODIGO]]="","",VLOOKUP(GUAYAQUIL[[#This Row],[CODIGO]],MAESTRO!$A:$J,10,FALSE)),"")</f>
        <v>MULTIEMPAQUE_SG</v>
      </c>
      <c r="B60" s="24" t="str">
        <f>+IFERROR(IF(GUAYAQUIL[[#This Row],[CODIGO]]="","",VLOOKUP(GUAYAQUIL[[#This Row],[CODIGO]],MAESTRO!$A:$Q,17,FALSE)),"")</f>
        <v>QUESOS Y GRASAS</v>
      </c>
      <c r="C60" s="24" t="str">
        <f>+IFERROR(IF(GUAYAQUIL[[#This Row],[CODIGO]]="","",VLOOKUP(GUAYAQUIL[[#This Row],[CODIGO]],MAESTRO!$A:$BA,53,FALSE)),"")</f>
        <v xml:space="preserve">Esteban Montenegro                      </v>
      </c>
      <c r="D60" s="24" t="str">
        <f>+IFERROR(IF(GUAYAQUIL[[#This Row],[CODIGO]]="","",VLOOKUP(GUAYAQUIL[[#This Row],[CODIGO]],MAESTRO!$A:$D,4,FALSE)),"")</f>
        <v>QUESO SEMIMADURO KIOSKO</v>
      </c>
      <c r="E60" s="24" t="str">
        <f>+IFERROR(IF(GUAYAQUIL[[#This Row],[CODIGO]]="","",VLOOKUP(GUAYAQUIL[[#This Row],[CODIGO]],MAESTRO!$A:$F,6,FALSE)),"")</f>
        <v>QUESO SANDUCHE KIOSKO TAJADO</v>
      </c>
      <c r="F60" s="42" t="str">
        <f>IF(GUAYAQUIL[[#This Row],[CODIGO]]="","",$K$6)</f>
        <v>GUAYAQUIL</v>
      </c>
      <c r="G60" s="42">
        <f>IF(GUAYAQUIL[[#This Row],[CODIGO]]="","",7711)</f>
        <v>7711</v>
      </c>
      <c r="H60" s="42">
        <f>IF(GUAYAQUIL[[#This Row],[CODIGO]]="","",1001)</f>
        <v>1001</v>
      </c>
      <c r="I60" s="258" t="s">
        <v>2206</v>
      </c>
      <c r="J60" s="25" t="str">
        <f>IFERROR((VLOOKUP(GUAYAQUIL[[#This Row],[CODIGO]],MAESTRO!A:B,2,FALSE)),"")</f>
        <v>PACK Q SAND KIOSKO BLOQ 146G JAM</v>
      </c>
      <c r="K60" s="35">
        <v>130</v>
      </c>
      <c r="L60" s="38">
        <f>+IFERROR(IF(GUAYAQUIL[[#This Row],[CODIGO]]="","",VLOOKUP(GUAYAQUIL[[#This Row],[CODIGO]],MAESTRO!$A:$BF,58,FALSE)),"")</f>
        <v>1</v>
      </c>
      <c r="M60" s="27">
        <f>+IFERROR(IF(GUAYAQUIL[[#This Row],[CODIGO]]="","",VLOOKUP(GUAYAQUIL[[#This Row],[CODIGO]],MAESTRO!A:N,14,FALSE)),"")</f>
        <v>0.14599999999999999</v>
      </c>
      <c r="N60" s="28">
        <f>+IFERROR(IF(GUAYAQUIL[[#This Row],[CODIGO]]="","",VLOOKUP(GUAYAQUIL[[#This Row],[CODIGO]],MAESTRO!A:P,16,FALSE)),"")</f>
        <v>45</v>
      </c>
      <c r="O60" s="45">
        <v>45617</v>
      </c>
      <c r="P60" s="72" t="str">
        <f t="shared" si="0"/>
        <v>jueves</v>
      </c>
      <c r="Q60" s="29">
        <f>IFERROR(IF(GUAYAQUIL[[#This Row],[CODIGO]]="","",IF(GUAYAQUIL[[#This Row],[Fecha Cad]]="","",(GUAYAQUIL[[#This Row],[Fecha Cad]]-GUAYAQUIL[[#This Row],[VIDA UTIL (Días)]]))+1),"")</f>
        <v>45605</v>
      </c>
      <c r="R60" s="45">
        <v>45649</v>
      </c>
      <c r="S60" s="30">
        <f t="shared" ca="1" si="1"/>
        <v>25</v>
      </c>
      <c r="T60" s="31">
        <f t="shared" ca="1" si="2"/>
        <v>0.55555555555555558</v>
      </c>
      <c r="U60" s="286">
        <v>130</v>
      </c>
      <c r="V60" s="262">
        <f>+IFERROR(IF(GUAYAQUIL[[#This Row],[CODIGO]]="","",GUAYAQUIL[[#This Row],[Stock Actual Unds]]*GUAYAQUIL[[#This Row],[Gramaje]]*GUAYAQUIL[[#This Row],[Conversión]]),"")</f>
        <v>18.98</v>
      </c>
      <c r="W60" s="270">
        <f t="shared" si="3"/>
        <v>12</v>
      </c>
      <c r="X60" s="32">
        <f t="shared" si="4"/>
        <v>0.73333333333333339</v>
      </c>
      <c r="Y60" s="236">
        <f>IFERROR(VLOOKUP(GUAYAQUIL[[#This Row],[CODIGO]],MAESTRO!A:BI,21,FALSE),0)</f>
        <v>1.1321750000000002</v>
      </c>
      <c r="Z60" s="237">
        <f>+IFERROR(IF(GUAYAQUIL[[#This Row],[CODIGO]]="","",GUAYAQUIL[[#This Row],[COSTO UNIT base]]*GUAYAQUIL[[#This Row],[Conversión]]),"")</f>
        <v>1.1321750000000002</v>
      </c>
      <c r="AA60" s="236">
        <f>+IFERROR(IF(GUAYAQUIL[[#This Row],[CODIGO]]="","",GUAYAQUIL[[#This Row],[COSTO UNIT Conv]]*GUAYAQUIL[[#This Row],[Stock Actual Kgs]]),"")</f>
        <v>21.488681500000002</v>
      </c>
      <c r="AB60" s="33">
        <f ca="1">+IFERROR(IF(GUAYAQUIL[[#This Row],[CODIGO]]="","",$J$3-O60),"")</f>
        <v>7</v>
      </c>
      <c r="AC60" s="34" t="str">
        <f ca="1">IF(GUAYAQUIL[[#This Row],[CODIGO]]="","",IF(S60&lt;=0,"CADUCADO",IF(AND(S60&gt;0,S60&lt;=21),"FECHA CORTA",IF(AND(S60&gt;=22,S60&lt;=26),"PROXIMOS FECHA CORTA", "VIGENTE"))))</f>
        <v>PROXIMOS FECHA CORTA</v>
      </c>
      <c r="AD60" s="37">
        <f>+IF(GUAYAQUIL[[#This Row],[CODIGO]]="","",GUAYAQUIL[[#This Row],[Stock Actual Unds]]*GUAYAQUIL[[#This Row],[Gramaje]]*GUAYAQUIL[[#This Row],[Conversión]])/1000</f>
        <v>1.898E-2</v>
      </c>
    </row>
    <row r="61" spans="1:30">
      <c r="A61" s="24" t="str">
        <f>+IFERROR(IF(GUAYAQUIL[[#This Row],[CODIGO]]="","",VLOOKUP(GUAYAQUIL[[#This Row],[CODIGO]],MAESTRO!$A:$J,10,FALSE)),"")</f>
        <v>SAN GABRIEL</v>
      </c>
      <c r="B61" s="24" t="str">
        <f>+IFERROR(IF(GUAYAQUIL[[#This Row],[CODIGO]]="","",VLOOKUP(GUAYAQUIL[[#This Row],[CODIGO]],MAESTRO!$A:$Q,17,FALSE)),"")</f>
        <v>QUESOS Y GRASAS</v>
      </c>
      <c r="C61" s="24" t="str">
        <f>+IFERROR(IF(GUAYAQUIL[[#This Row],[CODIGO]]="","",VLOOKUP(GUAYAQUIL[[#This Row],[CODIGO]],MAESTRO!$A:$BA,53,FALSE)),"")</f>
        <v xml:space="preserve">Esteban Montenegro                      </v>
      </c>
      <c r="D61" s="24" t="str">
        <f>+IFERROR(IF(GUAYAQUIL[[#This Row],[CODIGO]]="","",VLOOKUP(GUAYAQUIL[[#This Row],[CODIGO]],MAESTRO!$A:$D,4,FALSE)),"")</f>
        <v>QUESO SEMIMADURO KIOSKO</v>
      </c>
      <c r="E61" s="24" t="str">
        <f>+IFERROR(IF(GUAYAQUIL[[#This Row],[CODIGO]]="","",VLOOKUP(GUAYAQUIL[[#This Row],[CODIGO]],MAESTRO!$A:$F,6,FALSE)),"")</f>
        <v>QUESO SEMIMADURO CHEDDAR KIOSKO TAJADO</v>
      </c>
      <c r="F61" s="42" t="str">
        <f>IF(GUAYAQUIL[[#This Row],[CODIGO]]="","",$K$6)</f>
        <v>GUAYAQUIL</v>
      </c>
      <c r="G61" s="209">
        <f>IF(GUAYAQUIL[[#This Row],[CODIGO]]="","",7711)</f>
        <v>7711</v>
      </c>
      <c r="H61" s="209">
        <f>IF(GUAYAQUIL[[#This Row],[CODIGO]]="","",1001)</f>
        <v>1001</v>
      </c>
      <c r="I61" s="258" t="s">
        <v>1780</v>
      </c>
      <c r="J61" s="25" t="str">
        <f>IFERROR((VLOOKUP(GUAYAQUIL[[#This Row],[CODIGO]],MAESTRO!A:B,2,FALSE)),"")</f>
        <v>Q CHED KIOSKO 5 LONJ 75G</v>
      </c>
      <c r="K61" s="35">
        <v>240</v>
      </c>
      <c r="L61" s="38">
        <f>+IFERROR(IF(GUAYAQUIL[[#This Row],[CODIGO]]="","",VLOOKUP(GUAYAQUIL[[#This Row],[CODIGO]],MAESTRO!$A:$BF,58,FALSE)),"")</f>
        <v>1</v>
      </c>
      <c r="M61" s="27">
        <f>+IFERROR(IF(GUAYAQUIL[[#This Row],[CODIGO]]="","",VLOOKUP(GUAYAQUIL[[#This Row],[CODIGO]],MAESTRO!A:N,14,FALSE)),"")</f>
        <v>7.4999999999999997E-2</v>
      </c>
      <c r="N61" s="28">
        <f>+IFERROR(IF(GUAYAQUIL[[#This Row],[CODIGO]]="","",VLOOKUP(GUAYAQUIL[[#This Row],[CODIGO]],MAESTRO!A:P,16,FALSE)),"")</f>
        <v>90</v>
      </c>
      <c r="O61" s="45">
        <v>45609</v>
      </c>
      <c r="P61" s="72" t="str">
        <f t="shared" si="0"/>
        <v>miércoles</v>
      </c>
      <c r="Q61" s="29">
        <f>IFERROR(IF(GUAYAQUIL[[#This Row],[CODIGO]]="","",IF(GUAYAQUIL[[#This Row],[Fecha Cad]]="","",(GUAYAQUIL[[#This Row],[Fecha Cad]]-GUAYAQUIL[[#This Row],[VIDA UTIL (Días)]]))+1),"")</f>
        <v>45601</v>
      </c>
      <c r="R61" s="45">
        <v>45690</v>
      </c>
      <c r="S61" s="30">
        <f t="shared" ca="1" si="1"/>
        <v>66</v>
      </c>
      <c r="T61" s="31">
        <f t="shared" ca="1" si="2"/>
        <v>0.73333333333333328</v>
      </c>
      <c r="U61" s="286">
        <v>1</v>
      </c>
      <c r="V61" s="262">
        <f>+IFERROR(IF(GUAYAQUIL[[#This Row],[CODIGO]]="","",GUAYAQUIL[[#This Row],[Stock Actual Unds]]*GUAYAQUIL[[#This Row],[Gramaje]]*GUAYAQUIL[[#This Row],[Conversión]]),"")</f>
        <v>7.4999999999999997E-2</v>
      </c>
      <c r="W61" s="270">
        <f t="shared" si="3"/>
        <v>8</v>
      </c>
      <c r="X61" s="32">
        <f t="shared" si="4"/>
        <v>0.91111111111111109</v>
      </c>
      <c r="Y61" s="236">
        <f>IFERROR(VLOOKUP(GUAYAQUIL[[#This Row],[CODIGO]],MAESTRO!A:BI,21,FALSE),0)</f>
        <v>0.65352499999999991</v>
      </c>
      <c r="Z61" s="237">
        <f>+IFERROR(IF(GUAYAQUIL[[#This Row],[CODIGO]]="","",GUAYAQUIL[[#This Row],[COSTO UNIT base]]*GUAYAQUIL[[#This Row],[Conversión]]),"")</f>
        <v>0.65352499999999991</v>
      </c>
      <c r="AA61" s="236">
        <f>+IFERROR(IF(GUAYAQUIL[[#This Row],[CODIGO]]="","",GUAYAQUIL[[#This Row],[COSTO UNIT Conv]]*GUAYAQUIL[[#This Row],[Stock Actual Kgs]]),"")</f>
        <v>4.9014374999999992E-2</v>
      </c>
      <c r="AB61" s="33">
        <f ca="1">+IFERROR(IF(GUAYAQUIL[[#This Row],[CODIGO]]="","",$J$3-O61),"")</f>
        <v>15</v>
      </c>
      <c r="AC61" s="34" t="str">
        <f ca="1">IF(GUAYAQUIL[[#This Row],[CODIGO]]="","",IF(S61&lt;=0,"CADUCADO",IF(AND(S61&gt;0,S61&lt;=21),"FECHA CORTA",IF(AND(S61&gt;=22,S61&lt;=26),"PROXIMOS FECHA CORTA", "VIGENTE"))))</f>
        <v>VIGENTE</v>
      </c>
      <c r="AD61" s="37">
        <f>+IF(GUAYAQUIL[[#This Row],[CODIGO]]="","",GUAYAQUIL[[#This Row],[Stock Actual Unds]]*GUAYAQUIL[[#This Row],[Gramaje]]*GUAYAQUIL[[#This Row],[Conversión]])/1000</f>
        <v>7.4999999999999993E-5</v>
      </c>
    </row>
    <row r="62" spans="1:30">
      <c r="A62" s="24" t="str">
        <f>+IFERROR(IF(GUAYAQUIL[[#This Row],[CODIGO]]="","",VLOOKUP(GUAYAQUIL[[#This Row],[CODIGO]],MAESTRO!$A:$J,10,FALSE)),"")</f>
        <v>SAN GABRIEL</v>
      </c>
      <c r="B62" s="24" t="str">
        <f>+IFERROR(IF(GUAYAQUIL[[#This Row],[CODIGO]]="","",VLOOKUP(GUAYAQUIL[[#This Row],[CODIGO]],MAESTRO!$A:$Q,17,FALSE)),"")</f>
        <v>QUESOS Y GRASAS</v>
      </c>
      <c r="C62" s="24" t="str">
        <f>+IFERROR(IF(GUAYAQUIL[[#This Row],[CODIGO]]="","",VLOOKUP(GUAYAQUIL[[#This Row],[CODIGO]],MAESTRO!$A:$BA,53,FALSE)),"")</f>
        <v xml:space="preserve">Esteban Montenegro                      </v>
      </c>
      <c r="D62" s="24" t="str">
        <f>+IFERROR(IF(GUAYAQUIL[[#This Row],[CODIGO]]="","",VLOOKUP(GUAYAQUIL[[#This Row],[CODIGO]],MAESTRO!$A:$D,4,FALSE)),"")</f>
        <v>QUESO SEMIMADURO KIOSKO</v>
      </c>
      <c r="E62" s="24" t="str">
        <f>+IFERROR(IF(GUAYAQUIL[[#This Row],[CODIGO]]="","",VLOOKUP(GUAYAQUIL[[#This Row],[CODIGO]],MAESTRO!$A:$F,6,FALSE)),"")</f>
        <v>QUESO SEMIMADURO CHEDDAR KIOSKO TAJADO</v>
      </c>
      <c r="F62" s="42" t="str">
        <f>IF(GUAYAQUIL[[#This Row],[CODIGO]]="","",$K$6)</f>
        <v>GUAYAQUIL</v>
      </c>
      <c r="G62" s="42">
        <f>IF(GUAYAQUIL[[#This Row],[CODIGO]]="","",7711)</f>
        <v>7711</v>
      </c>
      <c r="H62" s="42">
        <f>IF(GUAYAQUIL[[#This Row],[CODIGO]]="","",1001)</f>
        <v>1001</v>
      </c>
      <c r="I62" s="258" t="s">
        <v>1780</v>
      </c>
      <c r="J62" s="25" t="str">
        <f>IFERROR((VLOOKUP(GUAYAQUIL[[#This Row],[CODIGO]],MAESTRO!A:B,2,FALSE)),"")</f>
        <v>Q CHED KIOSKO 5 LONJ 75G</v>
      </c>
      <c r="K62" s="35">
        <v>720</v>
      </c>
      <c r="L62" s="38">
        <f>+IFERROR(IF(GUAYAQUIL[[#This Row],[CODIGO]]="","",VLOOKUP(GUAYAQUIL[[#This Row],[CODIGO]],MAESTRO!$A:$BF,58,FALSE)),"")</f>
        <v>1</v>
      </c>
      <c r="M62" s="27">
        <f>+IFERROR(IF(GUAYAQUIL[[#This Row],[CODIGO]]="","",VLOOKUP(GUAYAQUIL[[#This Row],[CODIGO]],MAESTRO!A:N,14,FALSE)),"")</f>
        <v>7.4999999999999997E-2</v>
      </c>
      <c r="N62" s="28">
        <f>+IFERROR(IF(GUAYAQUIL[[#This Row],[CODIGO]]="","",VLOOKUP(GUAYAQUIL[[#This Row],[CODIGO]],MAESTRO!A:P,16,FALSE)),"")</f>
        <v>90</v>
      </c>
      <c r="O62" s="45">
        <v>45611</v>
      </c>
      <c r="P62" s="72" t="str">
        <f t="shared" si="0"/>
        <v>viernes</v>
      </c>
      <c r="Q62" s="29">
        <f>IFERROR(IF(GUAYAQUIL[[#This Row],[CODIGO]]="","",IF(GUAYAQUIL[[#This Row],[Fecha Cad]]="","",(GUAYAQUIL[[#This Row],[Fecha Cad]]-GUAYAQUIL[[#This Row],[VIDA UTIL (Días)]]))+1),"")</f>
        <v>45602</v>
      </c>
      <c r="R62" s="45">
        <v>45691</v>
      </c>
      <c r="S62" s="30">
        <f t="shared" ca="1" si="1"/>
        <v>67</v>
      </c>
      <c r="T62" s="31">
        <f t="shared" ca="1" si="2"/>
        <v>0.74444444444444446</v>
      </c>
      <c r="U62" s="286">
        <v>158</v>
      </c>
      <c r="V62" s="262">
        <f>+IFERROR(IF(GUAYAQUIL[[#This Row],[CODIGO]]="","",GUAYAQUIL[[#This Row],[Stock Actual Unds]]*GUAYAQUIL[[#This Row],[Gramaje]]*GUAYAQUIL[[#This Row],[Conversión]]),"")</f>
        <v>11.85</v>
      </c>
      <c r="W62" s="270">
        <f t="shared" si="3"/>
        <v>9</v>
      </c>
      <c r="X62" s="32">
        <f t="shared" si="4"/>
        <v>0.9</v>
      </c>
      <c r="Y62" s="236">
        <f>IFERROR(VLOOKUP(GUAYAQUIL[[#This Row],[CODIGO]],MAESTRO!A:BI,21,FALSE),0)</f>
        <v>0.65352499999999991</v>
      </c>
      <c r="Z62" s="237">
        <f>+IFERROR(IF(GUAYAQUIL[[#This Row],[CODIGO]]="","",GUAYAQUIL[[#This Row],[COSTO UNIT base]]*GUAYAQUIL[[#This Row],[Conversión]]),"")</f>
        <v>0.65352499999999991</v>
      </c>
      <c r="AA62" s="236">
        <f>+IFERROR(IF(GUAYAQUIL[[#This Row],[CODIGO]]="","",GUAYAQUIL[[#This Row],[COSTO UNIT Conv]]*GUAYAQUIL[[#This Row],[Stock Actual Kgs]]),"")</f>
        <v>7.7442712499999988</v>
      </c>
      <c r="AB62" s="33">
        <f ca="1">+IFERROR(IF(GUAYAQUIL[[#This Row],[CODIGO]]="","",$J$3-O62),"")</f>
        <v>13</v>
      </c>
      <c r="AC62" s="34" t="str">
        <f ca="1">IF(GUAYAQUIL[[#This Row],[CODIGO]]="","",IF(S62&lt;=0,"CADUCADO",IF(AND(S62&gt;0,S62&lt;=21),"FECHA CORTA",IF(AND(S62&gt;=22,S62&lt;=26),"PROXIMOS FECHA CORTA", "VIGENTE"))))</f>
        <v>VIGENTE</v>
      </c>
      <c r="AD62" s="37">
        <f>+IF(GUAYAQUIL[[#This Row],[CODIGO]]="","",GUAYAQUIL[[#This Row],[Stock Actual Unds]]*GUAYAQUIL[[#This Row],[Gramaje]]*GUAYAQUIL[[#This Row],[Conversión]])/1000</f>
        <v>1.1849999999999999E-2</v>
      </c>
    </row>
    <row r="63" spans="1:30">
      <c r="A63" s="24" t="str">
        <f>+IFERROR(IF(GUAYAQUIL[[#This Row],[CODIGO]]="","",VLOOKUP(GUAYAQUIL[[#This Row],[CODIGO]],MAESTRO!$A:$J,10,FALSE)),"")</f>
        <v>SAN GABRIEL</v>
      </c>
      <c r="B63" s="24" t="str">
        <f>+IFERROR(IF(GUAYAQUIL[[#This Row],[CODIGO]]="","",VLOOKUP(GUAYAQUIL[[#This Row],[CODIGO]],MAESTRO!$A:$Q,17,FALSE)),"")</f>
        <v>QUESOS Y GRASAS</v>
      </c>
      <c r="C63" s="24" t="str">
        <f>+IFERROR(IF(GUAYAQUIL[[#This Row],[CODIGO]]="","",VLOOKUP(GUAYAQUIL[[#This Row],[CODIGO]],MAESTRO!$A:$BA,53,FALSE)),"")</f>
        <v xml:space="preserve">Esteban Montenegro                      </v>
      </c>
      <c r="D63" s="24" t="str">
        <f>+IFERROR(IF(GUAYAQUIL[[#This Row],[CODIGO]]="","",VLOOKUP(GUAYAQUIL[[#This Row],[CODIGO]],MAESTRO!$A:$D,4,FALSE)),"")</f>
        <v>QUESO SEMIMADURO KIOSKO</v>
      </c>
      <c r="E63" s="24" t="str">
        <f>+IFERROR(IF(GUAYAQUIL[[#This Row],[CODIGO]]="","",VLOOKUP(GUAYAQUIL[[#This Row],[CODIGO]],MAESTRO!$A:$F,6,FALSE)),"")</f>
        <v>QUESO SEMIMADURO CHEDDAR KIOSKO TAJADO</v>
      </c>
      <c r="F63" s="42" t="str">
        <f>IF(GUAYAQUIL[[#This Row],[CODIGO]]="","",$K$6)</f>
        <v>GUAYAQUIL</v>
      </c>
      <c r="G63" s="209">
        <f>IF(GUAYAQUIL[[#This Row],[CODIGO]]="","",7711)</f>
        <v>7711</v>
      </c>
      <c r="H63" s="209">
        <f>IF(GUAYAQUIL[[#This Row],[CODIGO]]="","",1001)</f>
        <v>1001</v>
      </c>
      <c r="I63" s="258" t="s">
        <v>1780</v>
      </c>
      <c r="J63" s="25" t="str">
        <f>IFERROR((VLOOKUP(GUAYAQUIL[[#This Row],[CODIGO]],MAESTRO!A:B,2,FALSE)),"")</f>
        <v>Q CHED KIOSKO 5 LONJ 75G</v>
      </c>
      <c r="K63" s="35">
        <v>960</v>
      </c>
      <c r="L63" s="38">
        <f>+IFERROR(IF(GUAYAQUIL[[#This Row],[CODIGO]]="","",VLOOKUP(GUAYAQUIL[[#This Row],[CODIGO]],MAESTRO!$A:$BF,58,FALSE)),"")</f>
        <v>1</v>
      </c>
      <c r="M63" s="27">
        <f>+IFERROR(IF(GUAYAQUIL[[#This Row],[CODIGO]]="","",VLOOKUP(GUAYAQUIL[[#This Row],[CODIGO]],MAESTRO!A:N,14,FALSE)),"")</f>
        <v>7.4999999999999997E-2</v>
      </c>
      <c r="N63" s="28">
        <f>+IFERROR(IF(GUAYAQUIL[[#This Row],[CODIGO]]="","",VLOOKUP(GUAYAQUIL[[#This Row],[CODIGO]],MAESTRO!A:P,16,FALSE)),"")</f>
        <v>90</v>
      </c>
      <c r="O63" s="45">
        <v>45616</v>
      </c>
      <c r="P63" s="72" t="str">
        <f t="shared" si="0"/>
        <v>miércoles</v>
      </c>
      <c r="Q63" s="29">
        <f>IFERROR(IF(GUAYAQUIL[[#This Row],[CODIGO]]="","",IF(GUAYAQUIL[[#This Row],[Fecha Cad]]="","",(GUAYAQUIL[[#This Row],[Fecha Cad]]-GUAYAQUIL[[#This Row],[VIDA UTIL (Días)]]))+1),"")</f>
        <v>45610</v>
      </c>
      <c r="R63" s="45">
        <v>45699</v>
      </c>
      <c r="S63" s="30">
        <f t="shared" ca="1" si="1"/>
        <v>75</v>
      </c>
      <c r="T63" s="31">
        <f t="shared" ca="1" si="2"/>
        <v>0.83333333333333337</v>
      </c>
      <c r="U63" s="286">
        <v>960</v>
      </c>
      <c r="V63" s="262">
        <f>+IFERROR(IF(GUAYAQUIL[[#This Row],[CODIGO]]="","",GUAYAQUIL[[#This Row],[Stock Actual Unds]]*GUAYAQUIL[[#This Row],[Gramaje]]*GUAYAQUIL[[#This Row],[Conversión]]),"")</f>
        <v>72</v>
      </c>
      <c r="W63" s="270">
        <f t="shared" si="3"/>
        <v>6</v>
      </c>
      <c r="X63" s="32">
        <f t="shared" si="4"/>
        <v>0.93333333333333335</v>
      </c>
      <c r="Y63" s="236">
        <f>IFERROR(VLOOKUP(GUAYAQUIL[[#This Row],[CODIGO]],MAESTRO!A:BI,21,FALSE),0)</f>
        <v>0.65352499999999991</v>
      </c>
      <c r="Z63" s="237">
        <f>+IFERROR(IF(GUAYAQUIL[[#This Row],[CODIGO]]="","",GUAYAQUIL[[#This Row],[COSTO UNIT base]]*GUAYAQUIL[[#This Row],[Conversión]]),"")</f>
        <v>0.65352499999999991</v>
      </c>
      <c r="AA63" s="236">
        <f>+IFERROR(IF(GUAYAQUIL[[#This Row],[CODIGO]]="","",GUAYAQUIL[[#This Row],[COSTO UNIT Conv]]*GUAYAQUIL[[#This Row],[Stock Actual Kgs]]),"")</f>
        <v>47.053799999999995</v>
      </c>
      <c r="AB63" s="33">
        <f ca="1">+IFERROR(IF(GUAYAQUIL[[#This Row],[CODIGO]]="","",$J$3-O63),"")</f>
        <v>8</v>
      </c>
      <c r="AC63" s="34" t="str">
        <f ca="1">IF(GUAYAQUIL[[#This Row],[CODIGO]]="","",IF(S63&lt;=0,"CADUCADO",IF(AND(S63&gt;0,S63&lt;=21),"FECHA CORTA",IF(AND(S63&gt;=22,S63&lt;=26),"PROXIMOS FECHA CORTA", "VIGENTE"))))</f>
        <v>VIGENTE</v>
      </c>
      <c r="AD63" s="37">
        <f>+IF(GUAYAQUIL[[#This Row],[CODIGO]]="","",GUAYAQUIL[[#This Row],[Stock Actual Unds]]*GUAYAQUIL[[#This Row],[Gramaje]]*GUAYAQUIL[[#This Row],[Conversión]])/1000</f>
        <v>7.1999999999999995E-2</v>
      </c>
    </row>
    <row r="64" spans="1:30">
      <c r="A64" s="24" t="str">
        <f>+IFERROR(IF(GUAYAQUIL[[#This Row],[CODIGO]]="","",VLOOKUP(GUAYAQUIL[[#This Row],[CODIGO]],MAESTRO!$A:$J,10,FALSE)),"")</f>
        <v>SAN GABRIEL</v>
      </c>
      <c r="B64" s="24" t="str">
        <f>+IFERROR(IF(GUAYAQUIL[[#This Row],[CODIGO]]="","",VLOOKUP(GUAYAQUIL[[#This Row],[CODIGO]],MAESTRO!$A:$Q,17,FALSE)),"")</f>
        <v>QUESOS Y GRASAS</v>
      </c>
      <c r="C64" s="24" t="str">
        <f>+IFERROR(IF(GUAYAQUIL[[#This Row],[CODIGO]]="","",VLOOKUP(GUAYAQUIL[[#This Row],[CODIGO]],MAESTRO!$A:$BA,53,FALSE)),"")</f>
        <v xml:space="preserve">Esteban Montenegro                      </v>
      </c>
      <c r="D64" s="24" t="str">
        <f>+IFERROR(IF(GUAYAQUIL[[#This Row],[CODIGO]]="","",VLOOKUP(GUAYAQUIL[[#This Row],[CODIGO]],MAESTRO!$A:$D,4,FALSE)),"")</f>
        <v>QUESO SEMIMADURO KIOSKO</v>
      </c>
      <c r="E64" s="24" t="str">
        <f>+IFERROR(IF(GUAYAQUIL[[#This Row],[CODIGO]]="","",VLOOKUP(GUAYAQUIL[[#This Row],[CODIGO]],MAESTRO!$A:$F,6,FALSE)),"")</f>
        <v>QUESO SEMIMADURO CHEDDAR KIOSKO TAJADO</v>
      </c>
      <c r="F64" s="42" t="str">
        <f>IF(GUAYAQUIL[[#This Row],[CODIGO]]="","",$K$6)</f>
        <v>GUAYAQUIL</v>
      </c>
      <c r="G64" s="42">
        <f>IF(GUAYAQUIL[[#This Row],[CODIGO]]="","",7711)</f>
        <v>7711</v>
      </c>
      <c r="H64" s="42">
        <f>IF(GUAYAQUIL[[#This Row],[CODIGO]]="","",1001)</f>
        <v>1001</v>
      </c>
      <c r="I64" s="258" t="s">
        <v>1780</v>
      </c>
      <c r="J64" s="25" t="str">
        <f>IFERROR((VLOOKUP(GUAYAQUIL[[#This Row],[CODIGO]],MAESTRO!A:B,2,FALSE)),"")</f>
        <v>Q CHED KIOSKO 5 LONJ 75G</v>
      </c>
      <c r="K64" s="35">
        <v>240</v>
      </c>
      <c r="L64" s="38">
        <f>+IFERROR(IF(GUAYAQUIL[[#This Row],[CODIGO]]="","",VLOOKUP(GUAYAQUIL[[#This Row],[CODIGO]],MAESTRO!$A:$BF,58,FALSE)),"")</f>
        <v>1</v>
      </c>
      <c r="M64" s="27">
        <f>+IFERROR(IF(GUAYAQUIL[[#This Row],[CODIGO]]="","",VLOOKUP(GUAYAQUIL[[#This Row],[CODIGO]],MAESTRO!A:N,14,FALSE)),"")</f>
        <v>7.4999999999999997E-2</v>
      </c>
      <c r="N64" s="28">
        <f>+IFERROR(IF(GUAYAQUIL[[#This Row],[CODIGO]]="","",VLOOKUP(GUAYAQUIL[[#This Row],[CODIGO]],MAESTRO!A:P,16,FALSE)),"")</f>
        <v>90</v>
      </c>
      <c r="O64" s="45">
        <v>45617</v>
      </c>
      <c r="P64" s="72" t="str">
        <f t="shared" si="0"/>
        <v>jueves</v>
      </c>
      <c r="Q64" s="29">
        <f>IFERROR(IF(GUAYAQUIL[[#This Row],[CODIGO]]="","",IF(GUAYAQUIL[[#This Row],[Fecha Cad]]="","",(GUAYAQUIL[[#This Row],[Fecha Cad]]-GUAYAQUIL[[#This Row],[VIDA UTIL (Días)]]))+1),"")</f>
        <v>45611</v>
      </c>
      <c r="R64" s="45">
        <v>45700</v>
      </c>
      <c r="S64" s="30">
        <f t="shared" ca="1" si="1"/>
        <v>76</v>
      </c>
      <c r="T64" s="31">
        <f t="shared" ca="1" si="2"/>
        <v>0.84444444444444444</v>
      </c>
      <c r="U64" s="286">
        <v>240</v>
      </c>
      <c r="V64" s="262">
        <f>+IFERROR(IF(GUAYAQUIL[[#This Row],[CODIGO]]="","",GUAYAQUIL[[#This Row],[Stock Actual Unds]]*GUAYAQUIL[[#This Row],[Gramaje]]*GUAYAQUIL[[#This Row],[Conversión]]),"")</f>
        <v>18</v>
      </c>
      <c r="W64" s="270">
        <f t="shared" si="3"/>
        <v>6</v>
      </c>
      <c r="X64" s="32">
        <f t="shared" si="4"/>
        <v>0.93333333333333335</v>
      </c>
      <c r="Y64" s="236">
        <f>IFERROR(VLOOKUP(GUAYAQUIL[[#This Row],[CODIGO]],MAESTRO!A:BI,21,FALSE),0)</f>
        <v>0.65352499999999991</v>
      </c>
      <c r="Z64" s="237">
        <f>+IFERROR(IF(GUAYAQUIL[[#This Row],[CODIGO]]="","",GUAYAQUIL[[#This Row],[COSTO UNIT base]]*GUAYAQUIL[[#This Row],[Conversión]]),"")</f>
        <v>0.65352499999999991</v>
      </c>
      <c r="AA64" s="236">
        <f>+IFERROR(IF(GUAYAQUIL[[#This Row],[CODIGO]]="","",GUAYAQUIL[[#This Row],[COSTO UNIT Conv]]*GUAYAQUIL[[#This Row],[Stock Actual Kgs]]),"")</f>
        <v>11.763449999999999</v>
      </c>
      <c r="AB64" s="33">
        <f ca="1">+IFERROR(IF(GUAYAQUIL[[#This Row],[CODIGO]]="","",$J$3-O64),"")</f>
        <v>7</v>
      </c>
      <c r="AC64" s="34" t="str">
        <f ca="1">IF(GUAYAQUIL[[#This Row],[CODIGO]]="","",IF(S64&lt;=0,"CADUCADO",IF(AND(S64&gt;0,S64&lt;=21),"FECHA CORTA",IF(AND(S64&gt;=22,S64&lt;=26),"PROXIMOS FECHA CORTA", "VIGENTE"))))</f>
        <v>VIGENTE</v>
      </c>
      <c r="AD64" s="37">
        <f>+IF(GUAYAQUIL[[#This Row],[CODIGO]]="","",GUAYAQUIL[[#This Row],[Stock Actual Unds]]*GUAYAQUIL[[#This Row],[Gramaje]]*GUAYAQUIL[[#This Row],[Conversión]])/1000</f>
        <v>1.7999999999999999E-2</v>
      </c>
    </row>
    <row r="65" spans="1:30">
      <c r="A65" s="24" t="str">
        <f>+IFERROR(IF(GUAYAQUIL[[#This Row],[CODIGO]]="","",VLOOKUP(GUAYAQUIL[[#This Row],[CODIGO]],MAESTRO!$A:$J,10,FALSE)),"")</f>
        <v>SAN GABRIEL</v>
      </c>
      <c r="B65" s="24" t="str">
        <f>+IFERROR(IF(GUAYAQUIL[[#This Row],[CODIGO]]="","",VLOOKUP(GUAYAQUIL[[#This Row],[CODIGO]],MAESTRO!$A:$Q,17,FALSE)),"")</f>
        <v>QUESOS Y GRASAS</v>
      </c>
      <c r="C65" s="24" t="str">
        <f>+IFERROR(IF(GUAYAQUIL[[#This Row],[CODIGO]]="","",VLOOKUP(GUAYAQUIL[[#This Row],[CODIGO]],MAESTRO!$A:$BA,53,FALSE)),"")</f>
        <v xml:space="preserve">Esteban Montenegro                      </v>
      </c>
      <c r="D65" s="24" t="str">
        <f>+IFERROR(IF(GUAYAQUIL[[#This Row],[CODIGO]]="","",VLOOKUP(GUAYAQUIL[[#This Row],[CODIGO]],MAESTRO!$A:$D,4,FALSE)),"")</f>
        <v>QUESO MOZARELLA KIOSKO</v>
      </c>
      <c r="E65" s="24" t="str">
        <f>+IFERROR(IF(GUAYAQUIL[[#This Row],[CODIGO]]="","",VLOOKUP(GUAYAQUIL[[#This Row],[CODIGO]],MAESTRO!$A:$F,6,FALSE)),"")</f>
        <v>QUESO MOZARELLA PIZZA KIOSKO TAJADO</v>
      </c>
      <c r="F65" s="42" t="str">
        <f>IF(GUAYAQUIL[[#This Row],[CODIGO]]="","",$K$6)</f>
        <v>GUAYAQUIL</v>
      </c>
      <c r="G65" s="209">
        <f>IF(GUAYAQUIL[[#This Row],[CODIGO]]="","",7711)</f>
        <v>7711</v>
      </c>
      <c r="H65" s="209">
        <f>IF(GUAYAQUIL[[#This Row],[CODIGO]]="","",1001)</f>
        <v>1001</v>
      </c>
      <c r="I65" s="258" t="s">
        <v>3885</v>
      </c>
      <c r="J65" s="25" t="str">
        <f>IFERROR((VLOOKUP(GUAYAQUIL[[#This Row],[CODIGO]],MAESTRO!A:B,2,FALSE)),"")</f>
        <v>Q MOZZAR KIOSKO 5 LONJ 75G</v>
      </c>
      <c r="K65" s="35">
        <v>240</v>
      </c>
      <c r="L65" s="38">
        <f>+IFERROR(IF(GUAYAQUIL[[#This Row],[CODIGO]]="","",VLOOKUP(GUAYAQUIL[[#This Row],[CODIGO]],MAESTRO!$A:$BF,58,FALSE)),"")</f>
        <v>1</v>
      </c>
      <c r="M65" s="27">
        <f>+IFERROR(IF(GUAYAQUIL[[#This Row],[CODIGO]]="","",VLOOKUP(GUAYAQUIL[[#This Row],[CODIGO]],MAESTRO!A:N,14,FALSE)),"")</f>
        <v>7.4999999999999997E-2</v>
      </c>
      <c r="N65" s="28">
        <f>+IFERROR(IF(GUAYAQUIL[[#This Row],[CODIGO]]="","",VLOOKUP(GUAYAQUIL[[#This Row],[CODIGO]],MAESTRO!A:P,16,FALSE)),"")</f>
        <v>30</v>
      </c>
      <c r="O65" s="45">
        <v>45611</v>
      </c>
      <c r="P65" s="72" t="str">
        <f t="shared" si="0"/>
        <v>viernes</v>
      </c>
      <c r="Q65" s="29">
        <f>IFERROR(IF(GUAYAQUIL[[#This Row],[CODIGO]]="","",IF(GUAYAQUIL[[#This Row],[Fecha Cad]]="","",(GUAYAQUIL[[#This Row],[Fecha Cad]]-GUAYAQUIL[[#This Row],[VIDA UTIL (Días)]]))+1),"")</f>
        <v>45609</v>
      </c>
      <c r="R65" s="45">
        <v>45638</v>
      </c>
      <c r="S65" s="30">
        <f t="shared" ca="1" si="1"/>
        <v>14</v>
      </c>
      <c r="T65" s="31">
        <f t="shared" ca="1" si="2"/>
        <v>0.46666666666666667</v>
      </c>
      <c r="U65" s="286">
        <v>31</v>
      </c>
      <c r="V65" s="262">
        <f>+IFERROR(IF(GUAYAQUIL[[#This Row],[CODIGO]]="","",GUAYAQUIL[[#This Row],[Stock Actual Unds]]*GUAYAQUIL[[#This Row],[Gramaje]]*GUAYAQUIL[[#This Row],[Conversión]]),"")</f>
        <v>2.3249999999999997</v>
      </c>
      <c r="W65" s="270">
        <f t="shared" si="3"/>
        <v>2</v>
      </c>
      <c r="X65" s="32">
        <f t="shared" si="4"/>
        <v>0.93333333333333335</v>
      </c>
      <c r="Y65" s="236">
        <f>IFERROR(VLOOKUP(GUAYAQUIL[[#This Row],[CODIGO]],MAESTRO!A:BI,21,FALSE),0)</f>
        <v>0.60747499999999999</v>
      </c>
      <c r="Z65" s="237">
        <f>+IFERROR(IF(GUAYAQUIL[[#This Row],[CODIGO]]="","",GUAYAQUIL[[#This Row],[COSTO UNIT base]]*GUAYAQUIL[[#This Row],[Conversión]]),"")</f>
        <v>0.60747499999999999</v>
      </c>
      <c r="AA65" s="236">
        <f>+IFERROR(IF(GUAYAQUIL[[#This Row],[CODIGO]]="","",GUAYAQUIL[[#This Row],[COSTO UNIT Conv]]*GUAYAQUIL[[#This Row],[Stock Actual Kgs]]),"")</f>
        <v>1.4123793749999998</v>
      </c>
      <c r="AB65" s="33">
        <f ca="1">+IFERROR(IF(GUAYAQUIL[[#This Row],[CODIGO]]="","",$J$3-O65),"")</f>
        <v>13</v>
      </c>
      <c r="AC65" s="34" t="str">
        <f ca="1">IF(GUAYAQUIL[[#This Row],[CODIGO]]="","",IF(S65&lt;=0,"CADUCADO",IF(AND(S65&gt;0,S65&lt;=21),"FECHA CORTA",IF(AND(S65&gt;=22,S65&lt;=26),"PROXIMOS FECHA CORTA", "VIGENTE"))))</f>
        <v>FECHA CORTA</v>
      </c>
      <c r="AD65" s="37">
        <f>+IF(GUAYAQUIL[[#This Row],[CODIGO]]="","",GUAYAQUIL[[#This Row],[Stock Actual Unds]]*GUAYAQUIL[[#This Row],[Gramaje]]*GUAYAQUIL[[#This Row],[Conversión]])/1000</f>
        <v>2.3249999999999998E-3</v>
      </c>
    </row>
    <row r="66" spans="1:30">
      <c r="A66" s="24" t="str">
        <f>+IFERROR(IF(GUAYAQUIL[[#This Row],[CODIGO]]="","",VLOOKUP(GUAYAQUIL[[#This Row],[CODIGO]],MAESTRO!$A:$J,10,FALSE)),"")</f>
        <v>SAN GABRIEL</v>
      </c>
      <c r="B66" s="24" t="str">
        <f>+IFERROR(IF(GUAYAQUIL[[#This Row],[CODIGO]]="","",VLOOKUP(GUAYAQUIL[[#This Row],[CODIGO]],MAESTRO!$A:$Q,17,FALSE)),"")</f>
        <v>QUESOS Y GRASAS</v>
      </c>
      <c r="C66" s="24" t="str">
        <f>+IFERROR(IF(GUAYAQUIL[[#This Row],[CODIGO]]="","",VLOOKUP(GUAYAQUIL[[#This Row],[CODIGO]],MAESTRO!$A:$BA,53,FALSE)),"")</f>
        <v xml:space="preserve">Esteban Montenegro                      </v>
      </c>
      <c r="D66" s="24" t="str">
        <f>+IFERROR(IF(GUAYAQUIL[[#This Row],[CODIGO]]="","",VLOOKUP(GUAYAQUIL[[#This Row],[CODIGO]],MAESTRO!$A:$D,4,FALSE)),"")</f>
        <v>QUESO MOZARELLA KIOSKO</v>
      </c>
      <c r="E66" s="24" t="str">
        <f>+IFERROR(IF(GUAYAQUIL[[#This Row],[CODIGO]]="","",VLOOKUP(GUAYAQUIL[[#This Row],[CODIGO]],MAESTRO!$A:$F,6,FALSE)),"")</f>
        <v>QUESO MOZARELLA PIZZA KIOSKO TAJADO</v>
      </c>
      <c r="F66" s="42" t="str">
        <f>IF(GUAYAQUIL[[#This Row],[CODIGO]]="","",$K$6)</f>
        <v>GUAYAQUIL</v>
      </c>
      <c r="G66" s="42">
        <f>IF(GUAYAQUIL[[#This Row],[CODIGO]]="","",7711)</f>
        <v>7711</v>
      </c>
      <c r="H66" s="42">
        <f>IF(GUAYAQUIL[[#This Row],[CODIGO]]="","",1001)</f>
        <v>1001</v>
      </c>
      <c r="I66" s="257" t="s">
        <v>3885</v>
      </c>
      <c r="J66" s="25" t="str">
        <f>IFERROR((VLOOKUP(GUAYAQUIL[[#This Row],[CODIGO]],MAESTRO!A:B,2,FALSE)),"")</f>
        <v>Q MOZZAR KIOSKO 5 LONJ 75G</v>
      </c>
      <c r="K66" s="26">
        <v>720</v>
      </c>
      <c r="L66" s="38">
        <f>+IFERROR(IF(GUAYAQUIL[[#This Row],[CODIGO]]="","",VLOOKUP(GUAYAQUIL[[#This Row],[CODIGO]],MAESTRO!$A:$BF,58,FALSE)),"")</f>
        <v>1</v>
      </c>
      <c r="M66" s="27">
        <f>+IFERROR(IF(GUAYAQUIL[[#This Row],[CODIGO]]="","",VLOOKUP(GUAYAQUIL[[#This Row],[CODIGO]],MAESTRO!A:N,14,FALSE)),"")</f>
        <v>7.4999999999999997E-2</v>
      </c>
      <c r="N66" s="28">
        <f>+IFERROR(IF(GUAYAQUIL[[#This Row],[CODIGO]]="","",VLOOKUP(GUAYAQUIL[[#This Row],[CODIGO]],MAESTRO!A:P,16,FALSE)),"")</f>
        <v>30</v>
      </c>
      <c r="O66" s="29">
        <v>45615</v>
      </c>
      <c r="P66" s="72" t="str">
        <f t="shared" si="0"/>
        <v>martes</v>
      </c>
      <c r="Q66" s="29">
        <f>IFERROR(IF(GUAYAQUIL[[#This Row],[CODIGO]]="","",IF(GUAYAQUIL[[#This Row],[Fecha Cad]]="","",(GUAYAQUIL[[#This Row],[Fecha Cad]]-GUAYAQUIL[[#This Row],[VIDA UTIL (Días)]]))+1),"")</f>
        <v>45611</v>
      </c>
      <c r="R66" s="29">
        <v>45640</v>
      </c>
      <c r="S66" s="30">
        <f t="shared" ca="1" si="1"/>
        <v>16</v>
      </c>
      <c r="T66" s="31">
        <f t="shared" ca="1" si="2"/>
        <v>0.53333333333333333</v>
      </c>
      <c r="U66" s="286">
        <v>15</v>
      </c>
      <c r="V66" s="260">
        <f>+IFERROR(IF(GUAYAQUIL[[#This Row],[CODIGO]]="","",GUAYAQUIL[[#This Row],[Stock Actual Unds]]*GUAYAQUIL[[#This Row],[Gramaje]]*GUAYAQUIL[[#This Row],[Conversión]]),"")</f>
        <v>1.125</v>
      </c>
      <c r="W66" s="270">
        <f t="shared" si="3"/>
        <v>4</v>
      </c>
      <c r="X66" s="32">
        <f t="shared" si="4"/>
        <v>0.8666666666666667</v>
      </c>
      <c r="Y66" s="236">
        <f>IFERROR(VLOOKUP(GUAYAQUIL[[#This Row],[CODIGO]],MAESTRO!A:BI,21,FALSE),0)</f>
        <v>0.60747499999999999</v>
      </c>
      <c r="Z66" s="237">
        <f>+IFERROR(IF(GUAYAQUIL[[#This Row],[CODIGO]]="","",GUAYAQUIL[[#This Row],[COSTO UNIT base]]*GUAYAQUIL[[#This Row],[Conversión]]),"")</f>
        <v>0.60747499999999999</v>
      </c>
      <c r="AA66" s="236">
        <f>+IFERROR(IF(GUAYAQUIL[[#This Row],[CODIGO]]="","",GUAYAQUIL[[#This Row],[COSTO UNIT Conv]]*GUAYAQUIL[[#This Row],[Stock Actual Kgs]]),"")</f>
        <v>0.68340937499999999</v>
      </c>
      <c r="AB66" s="33">
        <f ca="1">+IFERROR(IF(GUAYAQUIL[[#This Row],[CODIGO]]="","",$J$3-O66),"")</f>
        <v>9</v>
      </c>
      <c r="AC66" s="34" t="str">
        <f ca="1">IF(GUAYAQUIL[[#This Row],[CODIGO]]="","",IF(S66&lt;=0,"CADUCADO",IF(AND(S66&gt;0,S66&lt;=21),"FECHA CORTA",IF(AND(S66&gt;=22,S66&lt;=26),"PROXIMOS FECHA CORTA", "VIGENTE"))))</f>
        <v>FECHA CORTA</v>
      </c>
      <c r="AD66" s="37">
        <f>+IF(GUAYAQUIL[[#This Row],[CODIGO]]="","",GUAYAQUIL[[#This Row],[Stock Actual Unds]]*GUAYAQUIL[[#This Row],[Gramaje]]*GUAYAQUIL[[#This Row],[Conversión]])/1000</f>
        <v>1.1249999999999999E-3</v>
      </c>
    </row>
    <row r="67" spans="1:30">
      <c r="A67" s="24" t="str">
        <f>+IFERROR(IF(GUAYAQUIL[[#This Row],[CODIGO]]="","",VLOOKUP(GUAYAQUIL[[#This Row],[CODIGO]],MAESTRO!$A:$J,10,FALSE)),"")</f>
        <v>SAN GABRIEL</v>
      </c>
      <c r="B67" s="24" t="str">
        <f>+IFERROR(IF(GUAYAQUIL[[#This Row],[CODIGO]]="","",VLOOKUP(GUAYAQUIL[[#This Row],[CODIGO]],MAESTRO!$A:$Q,17,FALSE)),"")</f>
        <v>QUESOS Y GRASAS</v>
      </c>
      <c r="C67" s="24" t="str">
        <f>+IFERROR(IF(GUAYAQUIL[[#This Row],[CODIGO]]="","",VLOOKUP(GUAYAQUIL[[#This Row],[CODIGO]],MAESTRO!$A:$BA,53,FALSE)),"")</f>
        <v xml:space="preserve">Esteban Montenegro                      </v>
      </c>
      <c r="D67" s="24" t="str">
        <f>+IFERROR(IF(GUAYAQUIL[[#This Row],[CODIGO]]="","",VLOOKUP(GUAYAQUIL[[#This Row],[CODIGO]],MAESTRO!$A:$D,4,FALSE)),"")</f>
        <v>QUESO MOZARELLA KIOSKO</v>
      </c>
      <c r="E67" s="24" t="str">
        <f>+IFERROR(IF(GUAYAQUIL[[#This Row],[CODIGO]]="","",VLOOKUP(GUAYAQUIL[[#This Row],[CODIGO]],MAESTRO!$A:$F,6,FALSE)),"")</f>
        <v>QUESO MOZARELLA PIZZA KIOSKO TAJADO</v>
      </c>
      <c r="F67" s="42" t="str">
        <f>IF(GUAYAQUIL[[#This Row],[CODIGO]]="","",$K$6)</f>
        <v>GUAYAQUIL</v>
      </c>
      <c r="G67" s="209">
        <f>IF(GUAYAQUIL[[#This Row],[CODIGO]]="","",7711)</f>
        <v>7711</v>
      </c>
      <c r="H67" s="209">
        <f>IF(GUAYAQUIL[[#This Row],[CODIGO]]="","",1001)</f>
        <v>1001</v>
      </c>
      <c r="I67" s="258" t="s">
        <v>3885</v>
      </c>
      <c r="J67" s="25" t="str">
        <f>IFERROR((VLOOKUP(GUAYAQUIL[[#This Row],[CODIGO]],MAESTRO!A:B,2,FALSE)),"")</f>
        <v>Q MOZZAR KIOSKO 5 LONJ 75G</v>
      </c>
      <c r="K67" s="35">
        <v>480</v>
      </c>
      <c r="L67" s="38">
        <f>+IFERROR(IF(GUAYAQUIL[[#This Row],[CODIGO]]="","",VLOOKUP(GUAYAQUIL[[#This Row],[CODIGO]],MAESTRO!$A:$BF,58,FALSE)),"")</f>
        <v>1</v>
      </c>
      <c r="M67" s="27">
        <f>+IFERROR(IF(GUAYAQUIL[[#This Row],[CODIGO]]="","",VLOOKUP(GUAYAQUIL[[#This Row],[CODIGO]],MAESTRO!A:N,14,FALSE)),"")</f>
        <v>7.4999999999999997E-2</v>
      </c>
      <c r="N67" s="28">
        <f>+IFERROR(IF(GUAYAQUIL[[#This Row],[CODIGO]]="","",VLOOKUP(GUAYAQUIL[[#This Row],[CODIGO]],MAESTRO!A:P,16,FALSE)),"")</f>
        <v>30</v>
      </c>
      <c r="O67" s="29">
        <v>45617</v>
      </c>
      <c r="P67" s="72" t="str">
        <f t="shared" si="0"/>
        <v>jueves</v>
      </c>
      <c r="Q67" s="29">
        <f>IFERROR(IF(GUAYAQUIL[[#This Row],[CODIGO]]="","",IF(GUAYAQUIL[[#This Row],[Fecha Cad]]="","",(GUAYAQUIL[[#This Row],[Fecha Cad]]-GUAYAQUIL[[#This Row],[VIDA UTIL (Días)]]))+1),"")</f>
        <v>45616</v>
      </c>
      <c r="R67" s="29">
        <v>45645</v>
      </c>
      <c r="S67" s="30">
        <f t="shared" ca="1" si="1"/>
        <v>21</v>
      </c>
      <c r="T67" s="31">
        <f t="shared" ca="1" si="2"/>
        <v>0.7</v>
      </c>
      <c r="U67" s="286">
        <v>480</v>
      </c>
      <c r="V67" s="261">
        <f>+IFERROR(IF(GUAYAQUIL[[#This Row],[CODIGO]]="","",GUAYAQUIL[[#This Row],[Stock Actual Unds]]*GUAYAQUIL[[#This Row],[Gramaje]]*GUAYAQUIL[[#This Row],[Conversión]]),"")</f>
        <v>36</v>
      </c>
      <c r="W67" s="270">
        <f t="shared" si="3"/>
        <v>1</v>
      </c>
      <c r="X67" s="32">
        <f t="shared" si="4"/>
        <v>0.96666666666666667</v>
      </c>
      <c r="Y67" s="236">
        <f>IFERROR(VLOOKUP(GUAYAQUIL[[#This Row],[CODIGO]],MAESTRO!A:BI,21,FALSE),0)</f>
        <v>0.60747499999999999</v>
      </c>
      <c r="Z67" s="237">
        <f>+IFERROR(IF(GUAYAQUIL[[#This Row],[CODIGO]]="","",GUAYAQUIL[[#This Row],[COSTO UNIT base]]*GUAYAQUIL[[#This Row],[Conversión]]),"")</f>
        <v>0.60747499999999999</v>
      </c>
      <c r="AA67" s="236">
        <f>+IFERROR(IF(GUAYAQUIL[[#This Row],[CODIGO]]="","",GUAYAQUIL[[#This Row],[COSTO UNIT Conv]]*GUAYAQUIL[[#This Row],[Stock Actual Kgs]]),"")</f>
        <v>21.8691</v>
      </c>
      <c r="AB67" s="33">
        <f ca="1">+IFERROR(IF(GUAYAQUIL[[#This Row],[CODIGO]]="","",$J$3-O67),"")</f>
        <v>7</v>
      </c>
      <c r="AC67" s="34" t="str">
        <f ca="1">IF(GUAYAQUIL[[#This Row],[CODIGO]]="","",IF(S67&lt;=0,"CADUCADO",IF(AND(S67&gt;0,S67&lt;=21),"FECHA CORTA",IF(AND(S67&gt;=22,S67&lt;=26),"PROXIMOS FECHA CORTA", "VIGENTE"))))</f>
        <v>FECHA CORTA</v>
      </c>
      <c r="AD67" s="37">
        <f>+IF(GUAYAQUIL[[#This Row],[CODIGO]]="","",GUAYAQUIL[[#This Row],[Stock Actual Unds]]*GUAYAQUIL[[#This Row],[Gramaje]]*GUAYAQUIL[[#This Row],[Conversión]])/1000</f>
        <v>3.5999999999999997E-2</v>
      </c>
    </row>
    <row r="68" spans="1:30">
      <c r="A68" s="24" t="str">
        <f>+IFERROR(IF(GUAYAQUIL[[#This Row],[CODIGO]]="","",VLOOKUP(GUAYAQUIL[[#This Row],[CODIGO]],MAESTRO!$A:$J,10,FALSE)),"")</f>
        <v>MACHACHI</v>
      </c>
      <c r="B68" s="24" t="str">
        <f>+IFERROR(IF(GUAYAQUIL[[#This Row],[CODIGO]]="","",VLOOKUP(GUAYAQUIL[[#This Row],[CODIGO]],MAESTRO!$A:$Q,17,FALSE)),"")</f>
        <v>BEBIDAS LACTEAS</v>
      </c>
      <c r="C68" s="24" t="str">
        <f>+IFERROR(IF(GUAYAQUIL[[#This Row],[CODIGO]]="","",VLOOKUP(GUAYAQUIL[[#This Row],[CODIGO]],MAESTRO!$A:$BA,53,FALSE)),"")</f>
        <v xml:space="preserve">Luis Armendariz                         </v>
      </c>
      <c r="D68" s="24" t="str">
        <f>+IFERROR(IF(GUAYAQUIL[[#This Row],[CODIGO]]="","",VLOOKUP(GUAYAQUIL[[#This Row],[CODIGO]],MAESTRO!$A:$D,4,FALSE)),"")</f>
        <v>YOGURT KIOSKO</v>
      </c>
      <c r="E68" s="24" t="str">
        <f>+IFERROR(IF(GUAYAQUIL[[#This Row],[CODIGO]]="","",VLOOKUP(GUAYAQUIL[[#This Row],[CODIGO]],MAESTRO!$A:$F,6,FALSE)),"")</f>
        <v>BEBIDA DE YOGURT KIOSKO BOTELLA PERSONAL</v>
      </c>
      <c r="F68" s="42" t="str">
        <f>IF(GUAYAQUIL[[#This Row],[CODIGO]]="","",$K$6)</f>
        <v>GUAYAQUIL</v>
      </c>
      <c r="G68" s="42">
        <f>IF(GUAYAQUIL[[#This Row],[CODIGO]]="","",7711)</f>
        <v>7711</v>
      </c>
      <c r="H68" s="42">
        <f>IF(GUAYAQUIL[[#This Row],[CODIGO]]="","",1001)</f>
        <v>1001</v>
      </c>
      <c r="I68" s="257" t="s">
        <v>920</v>
      </c>
      <c r="J68" s="25" t="str">
        <f>IFERROR((VLOOKUP(GUAYAQUIL[[#This Row],[CODIGO]],MAESTRO!A:B,2,FALSE)),"")</f>
        <v>YOG BBLE KIOSKO DZNO 180</v>
      </c>
      <c r="K68" s="26">
        <v>108</v>
      </c>
      <c r="L68" s="38">
        <f>+IFERROR(IF(GUAYAQUIL[[#This Row],[CODIGO]]="","",VLOOKUP(GUAYAQUIL[[#This Row],[CODIGO]],MAESTRO!$A:$BF,58,FALSE)),"")</f>
        <v>1</v>
      </c>
      <c r="M68" s="27">
        <f>+IFERROR(IF(GUAYAQUIL[[#This Row],[CODIGO]]="","",VLOOKUP(GUAYAQUIL[[#This Row],[CODIGO]],MAESTRO!A:N,14,FALSE)),"")</f>
        <v>0.18</v>
      </c>
      <c r="N68" s="28">
        <f>+IFERROR(IF(GUAYAQUIL[[#This Row],[CODIGO]]="","",VLOOKUP(GUAYAQUIL[[#This Row],[CODIGO]],MAESTRO!A:P,16,FALSE)),"")</f>
        <v>45</v>
      </c>
      <c r="O68" s="29">
        <v>45612</v>
      </c>
      <c r="P68" s="72" t="str">
        <f t="shared" si="0"/>
        <v>sábado</v>
      </c>
      <c r="Q68" s="29">
        <f>IFERROR(IF(GUAYAQUIL[[#This Row],[CODIGO]]="","",IF(GUAYAQUIL[[#This Row],[Fecha Cad]]="","",(GUAYAQUIL[[#This Row],[Fecha Cad]]-GUAYAQUIL[[#This Row],[VIDA UTIL (Días)]]))+1),"")</f>
        <v>45611</v>
      </c>
      <c r="R68" s="29">
        <v>45655</v>
      </c>
      <c r="S68" s="30">
        <f t="shared" ca="1" si="1"/>
        <v>31</v>
      </c>
      <c r="T68" s="31">
        <f t="shared" ca="1" si="2"/>
        <v>0.68888888888888888</v>
      </c>
      <c r="U68" s="286">
        <v>16</v>
      </c>
      <c r="V68" s="260">
        <f>+IFERROR(IF(GUAYAQUIL[[#This Row],[CODIGO]]="","",GUAYAQUIL[[#This Row],[Stock Actual Unds]]*GUAYAQUIL[[#This Row],[Gramaje]]*GUAYAQUIL[[#This Row],[Conversión]]),"")</f>
        <v>2.88</v>
      </c>
      <c r="W68" s="270">
        <f t="shared" si="3"/>
        <v>1</v>
      </c>
      <c r="X68" s="32">
        <f t="shared" si="4"/>
        <v>0.97777777777777775</v>
      </c>
      <c r="Y68" s="236">
        <f>IFERROR(VLOOKUP(GUAYAQUIL[[#This Row],[CODIGO]],MAESTRO!A:BI,21,FALSE),0)</f>
        <v>0.24857499999999999</v>
      </c>
      <c r="Z68" s="237">
        <f>+IFERROR(IF(GUAYAQUIL[[#This Row],[CODIGO]]="","",GUAYAQUIL[[#This Row],[COSTO UNIT base]]*GUAYAQUIL[[#This Row],[Conversión]]),"")</f>
        <v>0.24857499999999999</v>
      </c>
      <c r="AA68" s="236">
        <f>+IFERROR(IF(GUAYAQUIL[[#This Row],[CODIGO]]="","",GUAYAQUIL[[#This Row],[COSTO UNIT Conv]]*GUAYAQUIL[[#This Row],[Stock Actual Kgs]]),"")</f>
        <v>0.71589599999999998</v>
      </c>
      <c r="AB68" s="33">
        <f ca="1">+IFERROR(IF(GUAYAQUIL[[#This Row],[CODIGO]]="","",$J$3-O68),"")</f>
        <v>12</v>
      </c>
      <c r="AC68" s="34" t="str">
        <f ca="1">IF(GUAYAQUIL[[#This Row],[CODIGO]]="","",IF(S68&lt;=0,"CADUCADO",IF(AND(S68&gt;0,S68&lt;=21),"FECHA CORTA",IF(AND(S68&gt;=22,S68&lt;=26),"PROXIMOS FECHA CORTA", "VIGENTE"))))</f>
        <v>VIGENTE</v>
      </c>
      <c r="AD68" s="37">
        <f>+IF(GUAYAQUIL[[#This Row],[CODIGO]]="","",GUAYAQUIL[[#This Row],[Stock Actual Unds]]*GUAYAQUIL[[#This Row],[Gramaje]]*GUAYAQUIL[[#This Row],[Conversión]])/1000</f>
        <v>2.8799999999999997E-3</v>
      </c>
    </row>
    <row r="69" spans="1:30">
      <c r="A69" s="24" t="str">
        <f>+IFERROR(IF(GUAYAQUIL[[#This Row],[CODIGO]]="","",VLOOKUP(GUAYAQUIL[[#This Row],[CODIGO]],MAESTRO!$A:$J,10,FALSE)),"")</f>
        <v>MACHACHI</v>
      </c>
      <c r="B69" s="24" t="str">
        <f>+IFERROR(IF(GUAYAQUIL[[#This Row],[CODIGO]]="","",VLOOKUP(GUAYAQUIL[[#This Row],[CODIGO]],MAESTRO!$A:$Q,17,FALSE)),"")</f>
        <v>BEBIDAS LACTEAS</v>
      </c>
      <c r="C69" s="24" t="str">
        <f>+IFERROR(IF(GUAYAQUIL[[#This Row],[CODIGO]]="","",VLOOKUP(GUAYAQUIL[[#This Row],[CODIGO]],MAESTRO!$A:$BA,53,FALSE)),"")</f>
        <v xml:space="preserve">Luis Armendariz                         </v>
      </c>
      <c r="D69" s="24" t="str">
        <f>+IFERROR(IF(GUAYAQUIL[[#This Row],[CODIGO]]="","",VLOOKUP(GUAYAQUIL[[#This Row],[CODIGO]],MAESTRO!$A:$D,4,FALSE)),"")</f>
        <v>YOGURT KIOSKO</v>
      </c>
      <c r="E69" s="24" t="str">
        <f>+IFERROR(IF(GUAYAQUIL[[#This Row],[CODIGO]]="","",VLOOKUP(GUAYAQUIL[[#This Row],[CODIGO]],MAESTRO!$A:$F,6,FALSE)),"")</f>
        <v>BEBIDA DE YOGURT KIOSKO BOTELLA PERSONAL</v>
      </c>
      <c r="F69" s="42" t="str">
        <f>IF(GUAYAQUIL[[#This Row],[CODIGO]]="","",$K$6)</f>
        <v>GUAYAQUIL</v>
      </c>
      <c r="G69" s="209">
        <f>IF(GUAYAQUIL[[#This Row],[CODIGO]]="","",7711)</f>
        <v>7711</v>
      </c>
      <c r="H69" s="209">
        <f>IF(GUAYAQUIL[[#This Row],[CODIGO]]="","",1001)</f>
        <v>1001</v>
      </c>
      <c r="I69" s="258" t="s">
        <v>920</v>
      </c>
      <c r="J69" s="25" t="str">
        <f>IFERROR((VLOOKUP(GUAYAQUIL[[#This Row],[CODIGO]],MAESTRO!A:B,2,FALSE)),"")</f>
        <v>YOG BBLE KIOSKO DZNO 180</v>
      </c>
      <c r="K69" s="35">
        <v>108</v>
      </c>
      <c r="L69" s="38">
        <f>+IFERROR(IF(GUAYAQUIL[[#This Row],[CODIGO]]="","",VLOOKUP(GUAYAQUIL[[#This Row],[CODIGO]],MAESTRO!$A:$BF,58,FALSE)),"")</f>
        <v>1</v>
      </c>
      <c r="M69" s="27">
        <f>+IFERROR(IF(GUAYAQUIL[[#This Row],[CODIGO]]="","",VLOOKUP(GUAYAQUIL[[#This Row],[CODIGO]],MAESTRO!A:N,14,FALSE)),"")</f>
        <v>0.18</v>
      </c>
      <c r="N69" s="28">
        <f>+IFERROR(IF(GUAYAQUIL[[#This Row],[CODIGO]]="","",VLOOKUP(GUAYAQUIL[[#This Row],[CODIGO]],MAESTRO!A:P,16,FALSE)),"")</f>
        <v>45</v>
      </c>
      <c r="O69" s="29">
        <v>45616</v>
      </c>
      <c r="P69" s="72" t="str">
        <f t="shared" si="0"/>
        <v>miércoles</v>
      </c>
      <c r="Q69" s="29">
        <f>IFERROR(IF(GUAYAQUIL[[#This Row],[CODIGO]]="","",IF(GUAYAQUIL[[#This Row],[Fecha Cad]]="","",(GUAYAQUIL[[#This Row],[Fecha Cad]]-GUAYAQUIL[[#This Row],[VIDA UTIL (Días)]]))+1),"")</f>
        <v>45611</v>
      </c>
      <c r="R69" s="29">
        <v>45655</v>
      </c>
      <c r="S69" s="30">
        <f t="shared" ca="1" si="1"/>
        <v>31</v>
      </c>
      <c r="T69" s="31">
        <f t="shared" ca="1" si="2"/>
        <v>0.68888888888888888</v>
      </c>
      <c r="U69" s="286">
        <v>108</v>
      </c>
      <c r="V69" s="261">
        <f>+IFERROR(IF(GUAYAQUIL[[#This Row],[CODIGO]]="","",GUAYAQUIL[[#This Row],[Stock Actual Unds]]*GUAYAQUIL[[#This Row],[Gramaje]]*GUAYAQUIL[[#This Row],[Conversión]]),"")</f>
        <v>19.439999999999998</v>
      </c>
      <c r="W69" s="270">
        <f t="shared" si="3"/>
        <v>5</v>
      </c>
      <c r="X69" s="32">
        <f t="shared" si="4"/>
        <v>0.88888888888888884</v>
      </c>
      <c r="Y69" s="236">
        <f>IFERROR(VLOOKUP(GUAYAQUIL[[#This Row],[CODIGO]],MAESTRO!A:BI,21,FALSE),0)</f>
        <v>0.24857499999999999</v>
      </c>
      <c r="Z69" s="237">
        <f>+IFERROR(IF(GUAYAQUIL[[#This Row],[CODIGO]]="","",GUAYAQUIL[[#This Row],[COSTO UNIT base]]*GUAYAQUIL[[#This Row],[Conversión]]),"")</f>
        <v>0.24857499999999999</v>
      </c>
      <c r="AA69" s="236">
        <f>+IFERROR(IF(GUAYAQUIL[[#This Row],[CODIGO]]="","",GUAYAQUIL[[#This Row],[COSTO UNIT Conv]]*GUAYAQUIL[[#This Row],[Stock Actual Kgs]]),"")</f>
        <v>4.8322979999999989</v>
      </c>
      <c r="AB69" s="33">
        <f ca="1">+IFERROR(IF(GUAYAQUIL[[#This Row],[CODIGO]]="","",$J$3-O69),"")</f>
        <v>8</v>
      </c>
      <c r="AC69" s="34" t="str">
        <f ca="1">IF(GUAYAQUIL[[#This Row],[CODIGO]]="","",IF(S69&lt;=0,"CADUCADO",IF(AND(S69&gt;0,S69&lt;=21),"FECHA CORTA",IF(AND(S69&gt;=22,S69&lt;=26),"PROXIMOS FECHA CORTA", "VIGENTE"))))</f>
        <v>VIGENTE</v>
      </c>
      <c r="AD69" s="37">
        <f>+IF(GUAYAQUIL[[#This Row],[CODIGO]]="","",GUAYAQUIL[[#This Row],[Stock Actual Unds]]*GUAYAQUIL[[#This Row],[Gramaje]]*GUAYAQUIL[[#This Row],[Conversión]])/1000</f>
        <v>1.9439999999999999E-2</v>
      </c>
    </row>
    <row r="70" spans="1:30">
      <c r="A70" s="24" t="str">
        <f>+IFERROR(IF(GUAYAQUIL[[#This Row],[CODIGO]]="","",VLOOKUP(GUAYAQUIL[[#This Row],[CODIGO]],MAESTRO!$A:$J,10,FALSE)),"")</f>
        <v>MACHACHI</v>
      </c>
      <c r="B70" s="24" t="str">
        <f>+IFERROR(IF(GUAYAQUIL[[#This Row],[CODIGO]]="","",VLOOKUP(GUAYAQUIL[[#This Row],[CODIGO]],MAESTRO!$A:$Q,17,FALSE)),"")</f>
        <v>BEBIDAS LACTEAS</v>
      </c>
      <c r="C70" s="24" t="str">
        <f>+IFERROR(IF(GUAYAQUIL[[#This Row],[CODIGO]]="","",VLOOKUP(GUAYAQUIL[[#This Row],[CODIGO]],MAESTRO!$A:$BA,53,FALSE)),"")</f>
        <v xml:space="preserve">Luis Armendariz                         </v>
      </c>
      <c r="D70" s="24" t="str">
        <f>+IFERROR(IF(GUAYAQUIL[[#This Row],[CODIGO]]="","",VLOOKUP(GUAYAQUIL[[#This Row],[CODIGO]],MAESTRO!$A:$D,4,FALSE)),"")</f>
        <v>REGENERIS</v>
      </c>
      <c r="E70" s="24" t="str">
        <f>+IFERROR(IF(GUAYAQUIL[[#This Row],[CODIGO]]="","",VLOOKUP(GUAYAQUIL[[#This Row],[CODIGO]],MAESTRO!$A:$F,6,FALSE)),"")</f>
        <v>REGENERIS BAJO EN GRASA BOTELLA PERSONAL</v>
      </c>
      <c r="F70" s="42" t="str">
        <f>IF(GUAYAQUIL[[#This Row],[CODIGO]]="","",$K$6)</f>
        <v>GUAYAQUIL</v>
      </c>
      <c r="G70" s="42">
        <f>IF(GUAYAQUIL[[#This Row],[CODIGO]]="","",7711)</f>
        <v>7711</v>
      </c>
      <c r="H70" s="42">
        <f>IF(GUAYAQUIL[[#This Row],[CODIGO]]="","",1001)</f>
        <v>1001</v>
      </c>
      <c r="I70" s="258" t="s">
        <v>145</v>
      </c>
      <c r="J70" s="25" t="str">
        <f>IFERROR((VLOOKUP(GUAYAQUIL[[#This Row],[CODIGO]],MAESTRO!A:B,2,FALSE)),"")</f>
        <v>RGN LGHT FTLLA BOT 180G</v>
      </c>
      <c r="K70" s="35">
        <v>108</v>
      </c>
      <c r="L70" s="38">
        <f>+IFERROR(IF(GUAYAQUIL[[#This Row],[CODIGO]]="","",VLOOKUP(GUAYAQUIL[[#This Row],[CODIGO]],MAESTRO!$A:$BF,58,FALSE)),"")</f>
        <v>1</v>
      </c>
      <c r="M70" s="27">
        <f>+IFERROR(IF(GUAYAQUIL[[#This Row],[CODIGO]]="","",VLOOKUP(GUAYAQUIL[[#This Row],[CODIGO]],MAESTRO!A:N,14,FALSE)),"")</f>
        <v>0.18</v>
      </c>
      <c r="N70" s="28">
        <f>+IFERROR(IF(GUAYAQUIL[[#This Row],[CODIGO]]="","",VLOOKUP(GUAYAQUIL[[#This Row],[CODIGO]],MAESTRO!A:P,16,FALSE)),"")</f>
        <v>45</v>
      </c>
      <c r="O70" s="29">
        <v>45610</v>
      </c>
      <c r="P70" s="72" t="str">
        <f t="shared" si="0"/>
        <v>jueves</v>
      </c>
      <c r="Q70" s="29">
        <f>IFERROR(IF(GUAYAQUIL[[#This Row],[CODIGO]]="","",IF(GUAYAQUIL[[#This Row],[Fecha Cad]]="","",(GUAYAQUIL[[#This Row],[Fecha Cad]]-GUAYAQUIL[[#This Row],[VIDA UTIL (Días)]]))+1),"")</f>
        <v>45602</v>
      </c>
      <c r="R70" s="29">
        <v>45646</v>
      </c>
      <c r="S70" s="30">
        <f t="shared" ca="1" si="1"/>
        <v>22</v>
      </c>
      <c r="T70" s="31">
        <f t="shared" ca="1" si="2"/>
        <v>0.48888888888888887</v>
      </c>
      <c r="U70" s="286">
        <v>16</v>
      </c>
      <c r="V70" s="261">
        <f>+IFERROR(IF(GUAYAQUIL[[#This Row],[CODIGO]]="","",GUAYAQUIL[[#This Row],[Stock Actual Unds]]*GUAYAQUIL[[#This Row],[Gramaje]]*GUAYAQUIL[[#This Row],[Conversión]]),"")</f>
        <v>2.88</v>
      </c>
      <c r="W70" s="270">
        <f t="shared" si="3"/>
        <v>8</v>
      </c>
      <c r="X70" s="32">
        <f t="shared" si="4"/>
        <v>0.82222222222222219</v>
      </c>
      <c r="Y70" s="236">
        <f>IFERROR(VLOOKUP(GUAYAQUIL[[#This Row],[CODIGO]],MAESTRO!A:BI,21,FALSE),0)</f>
        <v>0.28561000000000003</v>
      </c>
      <c r="Z70" s="237">
        <f>+IFERROR(IF(GUAYAQUIL[[#This Row],[CODIGO]]="","",GUAYAQUIL[[#This Row],[COSTO UNIT base]]*GUAYAQUIL[[#This Row],[Conversión]]),"")</f>
        <v>0.28561000000000003</v>
      </c>
      <c r="AA70" s="236">
        <f>+IFERROR(IF(GUAYAQUIL[[#This Row],[CODIGO]]="","",GUAYAQUIL[[#This Row],[COSTO UNIT Conv]]*GUAYAQUIL[[#This Row],[Stock Actual Kgs]]),"")</f>
        <v>0.82255680000000009</v>
      </c>
      <c r="AB70" s="33">
        <f ca="1">+IFERROR(IF(GUAYAQUIL[[#This Row],[CODIGO]]="","",$J$3-O70),"")</f>
        <v>14</v>
      </c>
      <c r="AC70" s="34" t="str">
        <f ca="1">IF(GUAYAQUIL[[#This Row],[CODIGO]]="","",IF(S70&lt;=0,"CADUCADO",IF(AND(S70&gt;0,S70&lt;=21),"FECHA CORTA",IF(AND(S70&gt;=22,S70&lt;=26),"PROXIMOS FECHA CORTA", "VIGENTE"))))</f>
        <v>PROXIMOS FECHA CORTA</v>
      </c>
      <c r="AD70" s="37">
        <f>+IF(GUAYAQUIL[[#This Row],[CODIGO]]="","",GUAYAQUIL[[#This Row],[Stock Actual Unds]]*GUAYAQUIL[[#This Row],[Gramaje]]*GUAYAQUIL[[#This Row],[Conversión]])/1000</f>
        <v>2.8799999999999997E-3</v>
      </c>
    </row>
    <row r="71" spans="1:30">
      <c r="A71" s="24" t="str">
        <f>+IFERROR(IF(GUAYAQUIL[[#This Row],[CODIGO]]="","",VLOOKUP(GUAYAQUIL[[#This Row],[CODIGO]],MAESTRO!$A:$J,10,FALSE)),"")</f>
        <v>MACHACHI</v>
      </c>
      <c r="B71" s="24" t="str">
        <f>+IFERROR(IF(GUAYAQUIL[[#This Row],[CODIGO]]="","",VLOOKUP(GUAYAQUIL[[#This Row],[CODIGO]],MAESTRO!$A:$Q,17,FALSE)),"")</f>
        <v>BEBIDAS LACTEAS</v>
      </c>
      <c r="C71" s="24" t="str">
        <f>+IFERROR(IF(GUAYAQUIL[[#This Row],[CODIGO]]="","",VLOOKUP(GUAYAQUIL[[#This Row],[CODIGO]],MAESTRO!$A:$BA,53,FALSE)),"")</f>
        <v xml:space="preserve">Luis Armendariz                         </v>
      </c>
      <c r="D71" s="24" t="str">
        <f>+IFERROR(IF(GUAYAQUIL[[#This Row],[CODIGO]]="","",VLOOKUP(GUAYAQUIL[[#This Row],[CODIGO]],MAESTRO!$A:$D,4,FALSE)),"")</f>
        <v>REGENERIS</v>
      </c>
      <c r="E71" s="24" t="str">
        <f>+IFERROR(IF(GUAYAQUIL[[#This Row],[CODIGO]]="","",VLOOKUP(GUAYAQUIL[[#This Row],[CODIGO]],MAESTRO!$A:$F,6,FALSE)),"")</f>
        <v>REGENERIS BAJO EN GRASA BOTELLA PERSONAL</v>
      </c>
      <c r="F71" s="42" t="str">
        <f>IF(GUAYAQUIL[[#This Row],[CODIGO]]="","",$K$6)</f>
        <v>GUAYAQUIL</v>
      </c>
      <c r="G71" s="209">
        <f>IF(GUAYAQUIL[[#This Row],[CODIGO]]="","",7711)</f>
        <v>7711</v>
      </c>
      <c r="H71" s="209">
        <f>IF(GUAYAQUIL[[#This Row],[CODIGO]]="","",1001)</f>
        <v>1001</v>
      </c>
      <c r="I71" s="257" t="s">
        <v>145</v>
      </c>
      <c r="J71" s="25" t="str">
        <f>IFERROR((VLOOKUP(GUAYAQUIL[[#This Row],[CODIGO]],MAESTRO!A:B,2,FALSE)),"")</f>
        <v>RGN LGHT FTLLA BOT 180G</v>
      </c>
      <c r="K71" s="26">
        <v>108</v>
      </c>
      <c r="L71" s="38">
        <f>+IFERROR(IF(GUAYAQUIL[[#This Row],[CODIGO]]="","",VLOOKUP(GUAYAQUIL[[#This Row],[CODIGO]],MAESTRO!$A:$BF,58,FALSE)),"")</f>
        <v>1</v>
      </c>
      <c r="M71" s="27">
        <f>+IFERROR(IF(GUAYAQUIL[[#This Row],[CODIGO]]="","",VLOOKUP(GUAYAQUIL[[#This Row],[CODIGO]],MAESTRO!A:N,14,FALSE)),"")</f>
        <v>0.18</v>
      </c>
      <c r="N71" s="28">
        <f>+IFERROR(IF(GUAYAQUIL[[#This Row],[CODIGO]]="","",VLOOKUP(GUAYAQUIL[[#This Row],[CODIGO]],MAESTRO!A:P,16,FALSE)),"")</f>
        <v>45</v>
      </c>
      <c r="O71" s="29">
        <v>45615</v>
      </c>
      <c r="P71" s="72" t="str">
        <f t="shared" si="0"/>
        <v>martes</v>
      </c>
      <c r="Q71" s="29">
        <f>IFERROR(IF(GUAYAQUIL[[#This Row],[CODIGO]]="","",IF(GUAYAQUIL[[#This Row],[Fecha Cad]]="","",(GUAYAQUIL[[#This Row],[Fecha Cad]]-GUAYAQUIL[[#This Row],[VIDA UTIL (Días)]]))+1),"")</f>
        <v>45610</v>
      </c>
      <c r="R71" s="29">
        <v>45654</v>
      </c>
      <c r="S71" s="30">
        <f t="shared" ca="1" si="1"/>
        <v>30</v>
      </c>
      <c r="T71" s="31">
        <f t="shared" ca="1" si="2"/>
        <v>0.66666666666666663</v>
      </c>
      <c r="U71" s="286">
        <v>0</v>
      </c>
      <c r="V71" s="260">
        <f>+IFERROR(IF(GUAYAQUIL[[#This Row],[CODIGO]]="","",GUAYAQUIL[[#This Row],[Stock Actual Unds]]*GUAYAQUIL[[#This Row],[Gramaje]]*GUAYAQUIL[[#This Row],[Conversión]]),"")</f>
        <v>0</v>
      </c>
      <c r="W71" s="270">
        <f t="shared" si="3"/>
        <v>5</v>
      </c>
      <c r="X71" s="32">
        <f t="shared" si="4"/>
        <v>0.88888888888888884</v>
      </c>
      <c r="Y71" s="236">
        <f>IFERROR(VLOOKUP(GUAYAQUIL[[#This Row],[CODIGO]],MAESTRO!A:BI,21,FALSE),0)</f>
        <v>0.28561000000000003</v>
      </c>
      <c r="Z71" s="237">
        <f>+IFERROR(IF(GUAYAQUIL[[#This Row],[CODIGO]]="","",GUAYAQUIL[[#This Row],[COSTO UNIT base]]*GUAYAQUIL[[#This Row],[Conversión]]),"")</f>
        <v>0.28561000000000003</v>
      </c>
      <c r="AA71" s="236">
        <f>+IFERROR(IF(GUAYAQUIL[[#This Row],[CODIGO]]="","",GUAYAQUIL[[#This Row],[COSTO UNIT Conv]]*GUAYAQUIL[[#This Row],[Stock Actual Kgs]]),"")</f>
        <v>0</v>
      </c>
      <c r="AB71" s="33">
        <f ca="1">+IFERROR(IF(GUAYAQUIL[[#This Row],[CODIGO]]="","",$J$3-O71),"")</f>
        <v>9</v>
      </c>
      <c r="AC71" s="34" t="str">
        <f ca="1">IF(GUAYAQUIL[[#This Row],[CODIGO]]="","",IF(S71&lt;=0,"CADUCADO",IF(AND(S71&gt;0,S71&lt;=21),"FECHA CORTA",IF(AND(S71&gt;=22,S71&lt;=26),"PROXIMOS FECHA CORTA", "VIGENTE"))))</f>
        <v>VIGENTE</v>
      </c>
      <c r="AD71" s="37">
        <f>+IF(GUAYAQUIL[[#This Row],[CODIGO]]="","",GUAYAQUIL[[#This Row],[Stock Actual Unds]]*GUAYAQUIL[[#This Row],[Gramaje]]*GUAYAQUIL[[#This Row],[Conversión]])/1000</f>
        <v>0</v>
      </c>
    </row>
    <row r="72" spans="1:30">
      <c r="A72" s="24" t="str">
        <f>+IFERROR(IF(GUAYAQUIL[[#This Row],[CODIGO]]="","",VLOOKUP(GUAYAQUIL[[#This Row],[CODIGO]],MAESTRO!$A:$J,10,FALSE)),"")</f>
        <v>MACHACHI</v>
      </c>
      <c r="B72" s="24" t="str">
        <f>+IFERROR(IF(GUAYAQUIL[[#This Row],[CODIGO]]="","",VLOOKUP(GUAYAQUIL[[#This Row],[CODIGO]],MAESTRO!$A:$Q,17,FALSE)),"")</f>
        <v>BEBIDAS LACTEAS</v>
      </c>
      <c r="C72" s="24" t="str">
        <f>+IFERROR(IF(GUAYAQUIL[[#This Row],[CODIGO]]="","",VLOOKUP(GUAYAQUIL[[#This Row],[CODIGO]],MAESTRO!$A:$BA,53,FALSE)),"")</f>
        <v xml:space="preserve">Luis Armendariz                         </v>
      </c>
      <c r="D72" s="24" t="str">
        <f>+IFERROR(IF(GUAYAQUIL[[#This Row],[CODIGO]]="","",VLOOKUP(GUAYAQUIL[[#This Row],[CODIGO]],MAESTRO!$A:$D,4,FALSE)),"")</f>
        <v>REGENERIS</v>
      </c>
      <c r="E72" s="24" t="str">
        <f>+IFERROR(IF(GUAYAQUIL[[#This Row],[CODIGO]]="","",VLOOKUP(GUAYAQUIL[[#This Row],[CODIGO]],MAESTRO!$A:$F,6,FALSE)),"")</f>
        <v>REGENERIS BAJO EN GRASA BOTELLA PERSONAL</v>
      </c>
      <c r="F72" s="42" t="str">
        <f>IF(GUAYAQUIL[[#This Row],[CODIGO]]="","",$K$6)</f>
        <v>GUAYAQUIL</v>
      </c>
      <c r="G72" s="42">
        <f>IF(GUAYAQUIL[[#This Row],[CODIGO]]="","",7711)</f>
        <v>7711</v>
      </c>
      <c r="H72" s="42">
        <f>IF(GUAYAQUIL[[#This Row],[CODIGO]]="","",1001)</f>
        <v>1001</v>
      </c>
      <c r="I72" s="258" t="s">
        <v>145</v>
      </c>
      <c r="J72" s="25" t="str">
        <f>IFERROR((VLOOKUP(GUAYAQUIL[[#This Row],[CODIGO]],MAESTRO!A:B,2,FALSE)),"")</f>
        <v>RGN LGHT FTLLA BOT 180G</v>
      </c>
      <c r="K72" s="35">
        <v>108</v>
      </c>
      <c r="L72" s="38">
        <f>+IFERROR(IF(GUAYAQUIL[[#This Row],[CODIGO]]="","",VLOOKUP(GUAYAQUIL[[#This Row],[CODIGO]],MAESTRO!$A:$BF,58,FALSE)),"")</f>
        <v>1</v>
      </c>
      <c r="M72" s="27">
        <f>+IFERROR(IF(GUAYAQUIL[[#This Row],[CODIGO]]="","",VLOOKUP(GUAYAQUIL[[#This Row],[CODIGO]],MAESTRO!A:N,14,FALSE)),"")</f>
        <v>0.18</v>
      </c>
      <c r="N72" s="28">
        <f>+IFERROR(IF(GUAYAQUIL[[#This Row],[CODIGO]]="","",VLOOKUP(GUAYAQUIL[[#This Row],[CODIGO]],MAESTRO!A:P,16,FALSE)),"")</f>
        <v>45</v>
      </c>
      <c r="O72" s="29">
        <v>45617</v>
      </c>
      <c r="P72" s="72" t="str">
        <f t="shared" ref="P72:P135" si="5">+IF(R72="","",TEXT(O72,"dddd"))</f>
        <v>jueves</v>
      </c>
      <c r="Q72" s="29">
        <f>IFERROR(IF(GUAYAQUIL[[#This Row],[CODIGO]]="","",IF(GUAYAQUIL[[#This Row],[Fecha Cad]]="","",(GUAYAQUIL[[#This Row],[Fecha Cad]]-GUAYAQUIL[[#This Row],[VIDA UTIL (Días)]]))+1),"")</f>
        <v>45610</v>
      </c>
      <c r="R72" s="29">
        <v>45654</v>
      </c>
      <c r="S72" s="30">
        <f t="shared" ref="S72:S135" ca="1" si="6">+IFERROR(IF(R72="","",R72-$J$3),0)</f>
        <v>30</v>
      </c>
      <c r="T72" s="31">
        <f t="shared" ref="T72:T135" ca="1" si="7">IFERROR(IF(8="","",S72/N72),0)</f>
        <v>0.66666666666666663</v>
      </c>
      <c r="U72" s="286">
        <v>108</v>
      </c>
      <c r="V72" s="261">
        <f>+IFERROR(IF(GUAYAQUIL[[#This Row],[CODIGO]]="","",GUAYAQUIL[[#This Row],[Stock Actual Unds]]*GUAYAQUIL[[#This Row],[Gramaje]]*GUAYAQUIL[[#This Row],[Conversión]]),"")</f>
        <v>19.439999999999998</v>
      </c>
      <c r="W72" s="270">
        <f t="shared" ref="W72:W135" si="8">IFERROR(O72-Q72,0)</f>
        <v>7</v>
      </c>
      <c r="X72" s="32">
        <f t="shared" ref="X72:X135" si="9">IF(I72="","",1-(W72/N72))</f>
        <v>0.84444444444444444</v>
      </c>
      <c r="Y72" s="236">
        <f>IFERROR(VLOOKUP(GUAYAQUIL[[#This Row],[CODIGO]],MAESTRO!A:BI,21,FALSE),0)</f>
        <v>0.28561000000000003</v>
      </c>
      <c r="Z72" s="237">
        <f>+IFERROR(IF(GUAYAQUIL[[#This Row],[CODIGO]]="","",GUAYAQUIL[[#This Row],[COSTO UNIT base]]*GUAYAQUIL[[#This Row],[Conversión]]),"")</f>
        <v>0.28561000000000003</v>
      </c>
      <c r="AA72" s="236">
        <f>+IFERROR(IF(GUAYAQUIL[[#This Row],[CODIGO]]="","",GUAYAQUIL[[#This Row],[COSTO UNIT Conv]]*GUAYAQUIL[[#This Row],[Stock Actual Kgs]]),"")</f>
        <v>5.5522584000000004</v>
      </c>
      <c r="AB72" s="33">
        <f ca="1">+IFERROR(IF(GUAYAQUIL[[#This Row],[CODIGO]]="","",$J$3-O72),"")</f>
        <v>7</v>
      </c>
      <c r="AC72" s="34" t="str">
        <f ca="1">IF(GUAYAQUIL[[#This Row],[CODIGO]]="","",IF(S72&lt;=0,"CADUCADO",IF(AND(S72&gt;0,S72&lt;=21),"FECHA CORTA",IF(AND(S72&gt;=22,S72&lt;=26),"PROXIMOS FECHA CORTA", "VIGENTE"))))</f>
        <v>VIGENTE</v>
      </c>
      <c r="AD72" s="37">
        <f>+IF(GUAYAQUIL[[#This Row],[CODIGO]]="","",GUAYAQUIL[[#This Row],[Stock Actual Unds]]*GUAYAQUIL[[#This Row],[Gramaje]]*GUAYAQUIL[[#This Row],[Conversión]])/1000</f>
        <v>1.9439999999999999E-2</v>
      </c>
    </row>
    <row r="73" spans="1:30">
      <c r="A73" s="24" t="str">
        <f>+IFERROR(IF(GUAYAQUIL[[#This Row],[CODIGO]]="","",VLOOKUP(GUAYAQUIL[[#This Row],[CODIGO]],MAESTRO!$A:$J,10,FALSE)),"")</f>
        <v>COLOMBIA</v>
      </c>
      <c r="B73" s="24" t="str">
        <f>+IFERROR(IF(GUAYAQUIL[[#This Row],[CODIGO]]="","",VLOOKUP(GUAYAQUIL[[#This Row],[CODIGO]],MAESTRO!$A:$Q,17,FALSE)),"")</f>
        <v>BEBIDAS LACTEAS</v>
      </c>
      <c r="C73" s="24" t="str">
        <f>+IFERROR(IF(GUAYAQUIL[[#This Row],[CODIGO]]="","",VLOOKUP(GUAYAQUIL[[#This Row],[CODIGO]],MAESTRO!$A:$BA,53,FALSE)),"")</f>
        <v xml:space="preserve">Luis Armendariz                         </v>
      </c>
      <c r="D73" s="24" t="str">
        <f>+IFERROR(IF(GUAYAQUIL[[#This Row],[CODIGO]]="","",VLOOKUP(GUAYAQUIL[[#This Row],[CODIGO]],MAESTRO!$A:$D,4,FALSE)),"")</f>
        <v>AVENA ALPINA</v>
      </c>
      <c r="E73" s="24" t="str">
        <f>+IFERROR(IF(GUAYAQUIL[[#This Row],[CODIGO]]="","",VLOOKUP(GUAYAQUIL[[#This Row],[CODIGO]],MAESTRO!$A:$F,6,FALSE)),"")</f>
        <v>AVENA VASO</v>
      </c>
      <c r="F73" s="42" t="str">
        <f>IF(GUAYAQUIL[[#This Row],[CODIGO]]="","",$K$6)</f>
        <v>GUAYAQUIL</v>
      </c>
      <c r="G73" s="42">
        <f>IF(GUAYAQUIL[[#This Row],[CODIGO]]="","",7711)</f>
        <v>7711</v>
      </c>
      <c r="H73" s="42">
        <f>IF(GUAYAQUIL[[#This Row],[CODIGO]]="","",1001)</f>
        <v>1001</v>
      </c>
      <c r="I73" s="258" t="s">
        <v>4690</v>
      </c>
      <c r="J73" s="25" t="str">
        <f>IFERROR((VLOOKUP(GUAYAQUIL[[#This Row],[CODIGO]],MAESTRO!A:B,2,FALSE)),"")</f>
        <v>AVENA ORIGINAL VASO 250G ECU</v>
      </c>
      <c r="K73" s="35">
        <v>1344</v>
      </c>
      <c r="L73" s="38">
        <f>+IFERROR(IF(GUAYAQUIL[[#This Row],[CODIGO]]="","",VLOOKUP(GUAYAQUIL[[#This Row],[CODIGO]],MAESTRO!$A:$BF,58,FALSE)),"")</f>
        <v>1</v>
      </c>
      <c r="M73" s="27">
        <f>+IFERROR(IF(GUAYAQUIL[[#This Row],[CODIGO]]="","",VLOOKUP(GUAYAQUIL[[#This Row],[CODIGO]],MAESTRO!A:N,14,FALSE)),"")</f>
        <v>0.25</v>
      </c>
      <c r="N73" s="28">
        <f>+IFERROR(IF(GUAYAQUIL[[#This Row],[CODIGO]]="","",VLOOKUP(GUAYAQUIL[[#This Row],[CODIGO]],MAESTRO!A:P,16,FALSE)),"")</f>
        <v>180</v>
      </c>
      <c r="O73" s="45">
        <v>45603</v>
      </c>
      <c r="P73" s="72" t="str">
        <f t="shared" si="5"/>
        <v>jueves</v>
      </c>
      <c r="Q73" s="29">
        <f>IFERROR(IF(GUAYAQUIL[[#This Row],[CODIGO]]="","",IF(GUAYAQUIL[[#This Row],[Fecha Cad]]="","",(GUAYAQUIL[[#This Row],[Fecha Cad]]-GUAYAQUIL[[#This Row],[VIDA UTIL (Días)]]))+1),"")</f>
        <v>45545</v>
      </c>
      <c r="R73" s="45">
        <v>45724</v>
      </c>
      <c r="S73" s="30">
        <f t="shared" ca="1" si="6"/>
        <v>100</v>
      </c>
      <c r="T73" s="31">
        <f t="shared" ca="1" si="7"/>
        <v>0.55555555555555558</v>
      </c>
      <c r="U73" s="286">
        <v>1110</v>
      </c>
      <c r="V73" s="262">
        <f>+IFERROR(IF(GUAYAQUIL[[#This Row],[CODIGO]]="","",GUAYAQUIL[[#This Row],[Stock Actual Unds]]*GUAYAQUIL[[#This Row],[Gramaje]]*GUAYAQUIL[[#This Row],[Conversión]]),"")</f>
        <v>277.5</v>
      </c>
      <c r="W73" s="270">
        <f t="shared" si="8"/>
        <v>58</v>
      </c>
      <c r="X73" s="32">
        <f t="shared" si="9"/>
        <v>0.67777777777777781</v>
      </c>
      <c r="Y73" s="236">
        <f>IFERROR(VLOOKUP(GUAYAQUIL[[#This Row],[CODIGO]],MAESTRO!A:BI,21,FALSE),0)</f>
        <v>0.391795</v>
      </c>
      <c r="Z73" s="237">
        <f>+IFERROR(IF(GUAYAQUIL[[#This Row],[CODIGO]]="","",GUAYAQUIL[[#This Row],[COSTO UNIT base]]*GUAYAQUIL[[#This Row],[Conversión]]),"")</f>
        <v>0.391795</v>
      </c>
      <c r="AA73" s="236">
        <f>+IFERROR(IF(GUAYAQUIL[[#This Row],[CODIGO]]="","",GUAYAQUIL[[#This Row],[COSTO UNIT Conv]]*GUAYAQUIL[[#This Row],[Stock Actual Kgs]]),"")</f>
        <v>108.7231125</v>
      </c>
      <c r="AB73" s="33">
        <f ca="1">+IFERROR(IF(GUAYAQUIL[[#This Row],[CODIGO]]="","",$J$3-O73),"")</f>
        <v>21</v>
      </c>
      <c r="AC73" s="34" t="str">
        <f ca="1">IF(GUAYAQUIL[[#This Row],[CODIGO]]="","",IF(S73&lt;=0,"CADUCADO",IF(AND(S73&gt;0,S73&lt;=21),"FECHA CORTA",IF(AND(S73&gt;=22,S73&lt;=26),"PROXIMOS FECHA CORTA", "VIGENTE"))))</f>
        <v>VIGENTE</v>
      </c>
      <c r="AD73" s="37">
        <f>+IF(GUAYAQUIL[[#This Row],[CODIGO]]="","",GUAYAQUIL[[#This Row],[Stock Actual Unds]]*GUAYAQUIL[[#This Row],[Gramaje]]*GUAYAQUIL[[#This Row],[Conversión]])/1000</f>
        <v>0.27750000000000002</v>
      </c>
    </row>
    <row r="74" spans="1:30">
      <c r="A74" s="24" t="str">
        <f>+IFERROR(IF(GUAYAQUIL[[#This Row],[CODIGO]]="","",VLOOKUP(GUAYAQUIL[[#This Row],[CODIGO]],MAESTRO!$A:$J,10,FALSE)),"")</f>
        <v>COLOMBIA</v>
      </c>
      <c r="B74" s="24" t="str">
        <f>+IFERROR(IF(GUAYAQUIL[[#This Row],[CODIGO]]="","",VLOOKUP(GUAYAQUIL[[#This Row],[CODIGO]],MAESTRO!$A:$Q,17,FALSE)),"")</f>
        <v>BEBIDAS LACTEAS</v>
      </c>
      <c r="C74" s="24" t="str">
        <f>+IFERROR(IF(GUAYAQUIL[[#This Row],[CODIGO]]="","",VLOOKUP(GUAYAQUIL[[#This Row],[CODIGO]],MAESTRO!$A:$BA,53,FALSE)),"")</f>
        <v xml:space="preserve">Luis Armendariz                         </v>
      </c>
      <c r="D74" s="24" t="str">
        <f>+IFERROR(IF(GUAYAQUIL[[#This Row],[CODIGO]]="","",VLOOKUP(GUAYAQUIL[[#This Row],[CODIGO]],MAESTRO!$A:$D,4,FALSE)),"")</f>
        <v>AVENA ALPINA</v>
      </c>
      <c r="E74" s="24" t="str">
        <f>+IFERROR(IF(GUAYAQUIL[[#This Row],[CODIGO]]="","",VLOOKUP(GUAYAQUIL[[#This Row],[CODIGO]],MAESTRO!$A:$F,6,FALSE)),"")</f>
        <v>AVENA VASO</v>
      </c>
      <c r="F74" s="42" t="str">
        <f>IF(GUAYAQUIL[[#This Row],[CODIGO]]="","",$K$6)</f>
        <v>GUAYAQUIL</v>
      </c>
      <c r="G74" s="42">
        <f>IF(GUAYAQUIL[[#This Row],[CODIGO]]="","",7711)</f>
        <v>7711</v>
      </c>
      <c r="H74" s="42">
        <f>IF(GUAYAQUIL[[#This Row],[CODIGO]]="","",1001)</f>
        <v>1001</v>
      </c>
      <c r="I74" s="258" t="s">
        <v>4690</v>
      </c>
      <c r="J74" s="25" t="str">
        <f>IFERROR((VLOOKUP(GUAYAQUIL[[#This Row],[CODIGO]],MAESTRO!A:B,2,FALSE)),"")</f>
        <v>AVENA ORIGINAL VASO 250G ECU</v>
      </c>
      <c r="K74" s="35">
        <v>2688</v>
      </c>
      <c r="L74" s="38">
        <f>+IFERROR(IF(GUAYAQUIL[[#This Row],[CODIGO]]="","",VLOOKUP(GUAYAQUIL[[#This Row],[CODIGO]],MAESTRO!$A:$BF,58,FALSE)),"")</f>
        <v>1</v>
      </c>
      <c r="M74" s="27">
        <f>+IFERROR(IF(GUAYAQUIL[[#This Row],[CODIGO]]="","",VLOOKUP(GUAYAQUIL[[#This Row],[CODIGO]],MAESTRO!A:N,14,FALSE)),"")</f>
        <v>0.25</v>
      </c>
      <c r="N74" s="28">
        <f>+IFERROR(IF(GUAYAQUIL[[#This Row],[CODIGO]]="","",VLOOKUP(GUAYAQUIL[[#This Row],[CODIGO]],MAESTRO!A:P,16,FALSE)),"")</f>
        <v>180</v>
      </c>
      <c r="O74" s="45">
        <v>45608</v>
      </c>
      <c r="P74" s="72" t="str">
        <f t="shared" si="5"/>
        <v>martes</v>
      </c>
      <c r="Q74" s="29">
        <f>IFERROR(IF(GUAYAQUIL[[#This Row],[CODIGO]]="","",IF(GUAYAQUIL[[#This Row],[Fecha Cad]]="","",(GUAYAQUIL[[#This Row],[Fecha Cad]]-GUAYAQUIL[[#This Row],[VIDA UTIL (Días)]]))+1),"")</f>
        <v>45583</v>
      </c>
      <c r="R74" s="45">
        <v>45762</v>
      </c>
      <c r="S74" s="30">
        <f t="shared" ca="1" si="6"/>
        <v>138</v>
      </c>
      <c r="T74" s="31">
        <f t="shared" ca="1" si="7"/>
        <v>0.76666666666666672</v>
      </c>
      <c r="U74" s="286">
        <v>2688</v>
      </c>
      <c r="V74" s="262">
        <f>+IFERROR(IF(GUAYAQUIL[[#This Row],[CODIGO]]="","",GUAYAQUIL[[#This Row],[Stock Actual Unds]]*GUAYAQUIL[[#This Row],[Gramaje]]*GUAYAQUIL[[#This Row],[Conversión]]),"")</f>
        <v>672</v>
      </c>
      <c r="W74" s="270">
        <f t="shared" si="8"/>
        <v>25</v>
      </c>
      <c r="X74" s="32">
        <f t="shared" si="9"/>
        <v>0.86111111111111116</v>
      </c>
      <c r="Y74" s="236">
        <f>IFERROR(VLOOKUP(GUAYAQUIL[[#This Row],[CODIGO]],MAESTRO!A:BI,21,FALSE),0)</f>
        <v>0.391795</v>
      </c>
      <c r="Z74" s="237">
        <f>+IFERROR(IF(GUAYAQUIL[[#This Row],[CODIGO]]="","",GUAYAQUIL[[#This Row],[COSTO UNIT base]]*GUAYAQUIL[[#This Row],[Conversión]]),"")</f>
        <v>0.391795</v>
      </c>
      <c r="AA74" s="236">
        <f>+IFERROR(IF(GUAYAQUIL[[#This Row],[CODIGO]]="","",GUAYAQUIL[[#This Row],[COSTO UNIT Conv]]*GUAYAQUIL[[#This Row],[Stock Actual Kgs]]),"")</f>
        <v>263.28624000000002</v>
      </c>
      <c r="AB74" s="33">
        <f ca="1">+IFERROR(IF(GUAYAQUIL[[#This Row],[CODIGO]]="","",$J$3-O74),"")</f>
        <v>16</v>
      </c>
      <c r="AC74" s="34" t="str">
        <f ca="1">IF(GUAYAQUIL[[#This Row],[CODIGO]]="","",IF(S74&lt;=0,"CADUCADO",IF(AND(S74&gt;0,S74&lt;=21),"FECHA CORTA",IF(AND(S74&gt;=22,S74&lt;=26),"PROXIMOS FECHA CORTA", "VIGENTE"))))</f>
        <v>VIGENTE</v>
      </c>
      <c r="AD74" s="37">
        <f>+IF(GUAYAQUIL[[#This Row],[CODIGO]]="","",GUAYAQUIL[[#This Row],[Stock Actual Unds]]*GUAYAQUIL[[#This Row],[Gramaje]]*GUAYAQUIL[[#This Row],[Conversión]])/1000</f>
        <v>0.67200000000000004</v>
      </c>
    </row>
    <row r="75" spans="1:30">
      <c r="A75" s="24" t="str">
        <f>+IFERROR(IF(GUAYAQUIL[[#This Row],[CODIGO]]="","",VLOOKUP(GUAYAQUIL[[#This Row],[CODIGO]],MAESTRO!$A:$J,10,FALSE)),"")</f>
        <v>COLOMBIA</v>
      </c>
      <c r="B75" s="24" t="str">
        <f>+IFERROR(IF(GUAYAQUIL[[#This Row],[CODIGO]]="","",VLOOKUP(GUAYAQUIL[[#This Row],[CODIGO]],MAESTRO!$A:$Q,17,FALSE)),"")</f>
        <v>BEBIDAS LACTEAS</v>
      </c>
      <c r="C75" s="24" t="str">
        <f>+IFERROR(IF(GUAYAQUIL[[#This Row],[CODIGO]]="","",VLOOKUP(GUAYAQUIL[[#This Row],[CODIGO]],MAESTRO!$A:$BA,53,FALSE)),"")</f>
        <v xml:space="preserve">Luis Armendariz                         </v>
      </c>
      <c r="D75" s="24" t="str">
        <f>+IFERROR(IF(GUAYAQUIL[[#This Row],[CODIGO]]="","",VLOOKUP(GUAYAQUIL[[#This Row],[CODIGO]],MAESTRO!$A:$D,4,FALSE)),"")</f>
        <v>AVENA ALPINA</v>
      </c>
      <c r="E75" s="24" t="str">
        <f>+IFERROR(IF(GUAYAQUIL[[#This Row],[CODIGO]]="","",VLOOKUP(GUAYAQUIL[[#This Row],[CODIGO]],MAESTRO!$A:$F,6,FALSE)),"")</f>
        <v>AVENA VASO</v>
      </c>
      <c r="F75" s="42" t="str">
        <f>IF(GUAYAQUIL[[#This Row],[CODIGO]]="","",$K$6)</f>
        <v>GUAYAQUIL</v>
      </c>
      <c r="G75" s="209">
        <f>IF(GUAYAQUIL[[#This Row],[CODIGO]]="","",7711)</f>
        <v>7711</v>
      </c>
      <c r="H75" s="209">
        <f>IF(GUAYAQUIL[[#This Row],[CODIGO]]="","",1001)</f>
        <v>1001</v>
      </c>
      <c r="I75" s="258" t="s">
        <v>4690</v>
      </c>
      <c r="J75" s="25" t="str">
        <f>IFERROR((VLOOKUP(GUAYAQUIL[[#This Row],[CODIGO]],MAESTRO!A:B,2,FALSE)),"")</f>
        <v>AVENA ORIGINAL VASO 250G ECU</v>
      </c>
      <c r="K75" s="35">
        <v>1344</v>
      </c>
      <c r="L75" s="38">
        <f>+IFERROR(IF(GUAYAQUIL[[#This Row],[CODIGO]]="","",VLOOKUP(GUAYAQUIL[[#This Row],[CODIGO]],MAESTRO!$A:$BF,58,FALSE)),"")</f>
        <v>1</v>
      </c>
      <c r="M75" s="27">
        <f>+IFERROR(IF(GUAYAQUIL[[#This Row],[CODIGO]]="","",VLOOKUP(GUAYAQUIL[[#This Row],[CODIGO]],MAESTRO!A:N,14,FALSE)),"")</f>
        <v>0.25</v>
      </c>
      <c r="N75" s="28">
        <f>+IFERROR(IF(GUAYAQUIL[[#This Row],[CODIGO]]="","",VLOOKUP(GUAYAQUIL[[#This Row],[CODIGO]],MAESTRO!A:P,16,FALSE)),"")</f>
        <v>180</v>
      </c>
      <c r="O75" s="45">
        <v>45609</v>
      </c>
      <c r="P75" s="72" t="str">
        <f t="shared" si="5"/>
        <v>miércoles</v>
      </c>
      <c r="Q75" s="29">
        <f>IFERROR(IF(GUAYAQUIL[[#This Row],[CODIGO]]="","",IF(GUAYAQUIL[[#This Row],[Fecha Cad]]="","",(GUAYAQUIL[[#This Row],[Fecha Cad]]-GUAYAQUIL[[#This Row],[VIDA UTIL (Días)]]))+1),"")</f>
        <v>45545</v>
      </c>
      <c r="R75" s="45">
        <v>45724</v>
      </c>
      <c r="S75" s="30">
        <f t="shared" ca="1" si="6"/>
        <v>100</v>
      </c>
      <c r="T75" s="31">
        <f t="shared" ca="1" si="7"/>
        <v>0.55555555555555558</v>
      </c>
      <c r="U75" s="286">
        <v>1344</v>
      </c>
      <c r="V75" s="262">
        <f>+IFERROR(IF(GUAYAQUIL[[#This Row],[CODIGO]]="","",GUAYAQUIL[[#This Row],[Stock Actual Unds]]*GUAYAQUIL[[#This Row],[Gramaje]]*GUAYAQUIL[[#This Row],[Conversión]]),"")</f>
        <v>336</v>
      </c>
      <c r="W75" s="270">
        <f t="shared" si="8"/>
        <v>64</v>
      </c>
      <c r="X75" s="32">
        <f t="shared" si="9"/>
        <v>0.64444444444444438</v>
      </c>
      <c r="Y75" s="236">
        <f>IFERROR(VLOOKUP(GUAYAQUIL[[#This Row],[CODIGO]],MAESTRO!A:BI,21,FALSE),0)</f>
        <v>0.391795</v>
      </c>
      <c r="Z75" s="237">
        <f>+IFERROR(IF(GUAYAQUIL[[#This Row],[CODIGO]]="","",GUAYAQUIL[[#This Row],[COSTO UNIT base]]*GUAYAQUIL[[#This Row],[Conversión]]),"")</f>
        <v>0.391795</v>
      </c>
      <c r="AA75" s="236">
        <f>+IFERROR(IF(GUAYAQUIL[[#This Row],[CODIGO]]="","",GUAYAQUIL[[#This Row],[COSTO UNIT Conv]]*GUAYAQUIL[[#This Row],[Stock Actual Kgs]]),"")</f>
        <v>131.64312000000001</v>
      </c>
      <c r="AB75" s="33">
        <f ca="1">+IFERROR(IF(GUAYAQUIL[[#This Row],[CODIGO]]="","",$J$3-O75),"")</f>
        <v>15</v>
      </c>
      <c r="AC75" s="34" t="str">
        <f ca="1">IF(GUAYAQUIL[[#This Row],[CODIGO]]="","",IF(S75&lt;=0,"CADUCADO",IF(AND(S75&gt;0,S75&lt;=21),"FECHA CORTA",IF(AND(S75&gt;=22,S75&lt;=26),"PROXIMOS FECHA CORTA", "VIGENTE"))))</f>
        <v>VIGENTE</v>
      </c>
      <c r="AD75" s="37">
        <f>+IF(GUAYAQUIL[[#This Row],[CODIGO]]="","",GUAYAQUIL[[#This Row],[Stock Actual Unds]]*GUAYAQUIL[[#This Row],[Gramaje]]*GUAYAQUIL[[#This Row],[Conversión]])/1000</f>
        <v>0.33600000000000002</v>
      </c>
    </row>
    <row r="76" spans="1:30">
      <c r="A76" s="24" t="str">
        <f>+IFERROR(IF(GUAYAQUIL[[#This Row],[CODIGO]]="","",VLOOKUP(GUAYAQUIL[[#This Row],[CODIGO]],MAESTRO!$A:$J,10,FALSE)),"")</f>
        <v>COLOMBIA</v>
      </c>
      <c r="B76" s="24" t="str">
        <f>+IFERROR(IF(GUAYAQUIL[[#This Row],[CODIGO]]="","",VLOOKUP(GUAYAQUIL[[#This Row],[CODIGO]],MAESTRO!$A:$Q,17,FALSE)),"")</f>
        <v>BEBIDAS LACTEAS</v>
      </c>
      <c r="C76" s="24" t="str">
        <f>+IFERROR(IF(GUAYAQUIL[[#This Row],[CODIGO]]="","",VLOOKUP(GUAYAQUIL[[#This Row],[CODIGO]],MAESTRO!$A:$BA,53,FALSE)),"")</f>
        <v xml:space="preserve">Luis Armendariz                         </v>
      </c>
      <c r="D76" s="24" t="str">
        <f>+IFERROR(IF(GUAYAQUIL[[#This Row],[CODIGO]]="","",VLOOKUP(GUAYAQUIL[[#This Row],[CODIGO]],MAESTRO!$A:$D,4,FALSE)),"")</f>
        <v>AVENA ALPINA</v>
      </c>
      <c r="E76" s="24" t="str">
        <f>+IFERROR(IF(GUAYAQUIL[[#This Row],[CODIGO]]="","",VLOOKUP(GUAYAQUIL[[#This Row],[CODIGO]],MAESTRO!$A:$F,6,FALSE)),"")</f>
        <v>AVENA VASO</v>
      </c>
      <c r="F76" s="42" t="str">
        <f>IF(GUAYAQUIL[[#This Row],[CODIGO]]="","",$K$6)</f>
        <v>GUAYAQUIL</v>
      </c>
      <c r="G76" s="42">
        <f>IF(GUAYAQUIL[[#This Row],[CODIGO]]="","",7711)</f>
        <v>7711</v>
      </c>
      <c r="H76" s="42">
        <f>IF(GUAYAQUIL[[#This Row],[CODIGO]]="","",1001)</f>
        <v>1001</v>
      </c>
      <c r="I76" s="258" t="s">
        <v>4690</v>
      </c>
      <c r="J76" s="25" t="str">
        <f>IFERROR((VLOOKUP(GUAYAQUIL[[#This Row],[CODIGO]],MAESTRO!A:B,2,FALSE)),"")</f>
        <v>AVENA ORIGINAL VASO 250G ECU</v>
      </c>
      <c r="K76" s="35">
        <v>1344</v>
      </c>
      <c r="L76" s="38">
        <f>+IFERROR(IF(GUAYAQUIL[[#This Row],[CODIGO]]="","",VLOOKUP(GUAYAQUIL[[#This Row],[CODIGO]],MAESTRO!$A:$BF,58,FALSE)),"")</f>
        <v>1</v>
      </c>
      <c r="M76" s="27">
        <f>+IFERROR(IF(GUAYAQUIL[[#This Row],[CODIGO]]="","",VLOOKUP(GUAYAQUIL[[#This Row],[CODIGO]],MAESTRO!A:N,14,FALSE)),"")</f>
        <v>0.25</v>
      </c>
      <c r="N76" s="28">
        <f>+IFERROR(IF(GUAYAQUIL[[#This Row],[CODIGO]]="","",VLOOKUP(GUAYAQUIL[[#This Row],[CODIGO]],MAESTRO!A:P,16,FALSE)),"")</f>
        <v>180</v>
      </c>
      <c r="O76" s="45">
        <v>45610</v>
      </c>
      <c r="P76" s="72" t="str">
        <f t="shared" si="5"/>
        <v>jueves</v>
      </c>
      <c r="Q76" s="29">
        <f>IFERROR(IF(GUAYAQUIL[[#This Row],[CODIGO]]="","",IF(GUAYAQUIL[[#This Row],[Fecha Cad]]="","",(GUAYAQUIL[[#This Row],[Fecha Cad]]-GUAYAQUIL[[#This Row],[VIDA UTIL (Días)]]))+1),"")</f>
        <v>45583</v>
      </c>
      <c r="R76" s="45">
        <v>45762</v>
      </c>
      <c r="S76" s="30">
        <f t="shared" ca="1" si="6"/>
        <v>138</v>
      </c>
      <c r="T76" s="31">
        <f t="shared" ca="1" si="7"/>
        <v>0.76666666666666672</v>
      </c>
      <c r="U76" s="286">
        <v>1344</v>
      </c>
      <c r="V76" s="262">
        <f>+IFERROR(IF(GUAYAQUIL[[#This Row],[CODIGO]]="","",GUAYAQUIL[[#This Row],[Stock Actual Unds]]*GUAYAQUIL[[#This Row],[Gramaje]]*GUAYAQUIL[[#This Row],[Conversión]]),"")</f>
        <v>336</v>
      </c>
      <c r="W76" s="270">
        <f t="shared" si="8"/>
        <v>27</v>
      </c>
      <c r="X76" s="32">
        <f t="shared" si="9"/>
        <v>0.85</v>
      </c>
      <c r="Y76" s="236">
        <f>IFERROR(VLOOKUP(GUAYAQUIL[[#This Row],[CODIGO]],MAESTRO!A:BI,21,FALSE),0)</f>
        <v>0.391795</v>
      </c>
      <c r="Z76" s="237">
        <f>+IFERROR(IF(GUAYAQUIL[[#This Row],[CODIGO]]="","",GUAYAQUIL[[#This Row],[COSTO UNIT base]]*GUAYAQUIL[[#This Row],[Conversión]]),"")</f>
        <v>0.391795</v>
      </c>
      <c r="AA76" s="236">
        <f>+IFERROR(IF(GUAYAQUIL[[#This Row],[CODIGO]]="","",GUAYAQUIL[[#This Row],[COSTO UNIT Conv]]*GUAYAQUIL[[#This Row],[Stock Actual Kgs]]),"")</f>
        <v>131.64312000000001</v>
      </c>
      <c r="AB76" s="33">
        <f ca="1">+IFERROR(IF(GUAYAQUIL[[#This Row],[CODIGO]]="","",$J$3-O76),"")</f>
        <v>14</v>
      </c>
      <c r="AC76" s="34" t="str">
        <f ca="1">IF(GUAYAQUIL[[#This Row],[CODIGO]]="","",IF(S76&lt;=0,"CADUCADO",IF(AND(S76&gt;0,S76&lt;=21),"FECHA CORTA",IF(AND(S76&gt;=22,S76&lt;=26),"PROXIMOS FECHA CORTA", "VIGENTE"))))</f>
        <v>VIGENTE</v>
      </c>
      <c r="AD76" s="37">
        <f>+IF(GUAYAQUIL[[#This Row],[CODIGO]]="","",GUAYAQUIL[[#This Row],[Stock Actual Unds]]*GUAYAQUIL[[#This Row],[Gramaje]]*GUAYAQUIL[[#This Row],[Conversión]])/1000</f>
        <v>0.33600000000000002</v>
      </c>
    </row>
    <row r="77" spans="1:30">
      <c r="A77" s="24" t="str">
        <f>+IFERROR(IF(GUAYAQUIL[[#This Row],[CODIGO]]="","",VLOOKUP(GUAYAQUIL[[#This Row],[CODIGO]],MAESTRO!$A:$J,10,FALSE)),"")</f>
        <v>COLOMBIA</v>
      </c>
      <c r="B77" s="24" t="str">
        <f>+IFERROR(IF(GUAYAQUIL[[#This Row],[CODIGO]]="","",VLOOKUP(GUAYAQUIL[[#This Row],[CODIGO]],MAESTRO!$A:$Q,17,FALSE)),"")</f>
        <v>BEBIDAS LACTEAS</v>
      </c>
      <c r="C77" s="24" t="str">
        <f>+IFERROR(IF(GUAYAQUIL[[#This Row],[CODIGO]]="","",VLOOKUP(GUAYAQUIL[[#This Row],[CODIGO]],MAESTRO!$A:$BA,53,FALSE)),"")</f>
        <v xml:space="preserve">Luis Armendariz                         </v>
      </c>
      <c r="D77" s="24" t="str">
        <f>+IFERROR(IF(GUAYAQUIL[[#This Row],[CODIGO]]="","",VLOOKUP(GUAYAQUIL[[#This Row],[CODIGO]],MAESTRO!$A:$D,4,FALSE)),"")</f>
        <v>AVENA ALPINA</v>
      </c>
      <c r="E77" s="24" t="str">
        <f>+IFERROR(IF(GUAYAQUIL[[#This Row],[CODIGO]]="","",VLOOKUP(GUAYAQUIL[[#This Row],[CODIGO]],MAESTRO!$A:$F,6,FALSE)),"")</f>
        <v>AVENA VASO</v>
      </c>
      <c r="F77" s="42" t="str">
        <f>IF(GUAYAQUIL[[#This Row],[CODIGO]]="","",$K$6)</f>
        <v>GUAYAQUIL</v>
      </c>
      <c r="G77" s="209">
        <f>IF(GUAYAQUIL[[#This Row],[CODIGO]]="","",7711)</f>
        <v>7711</v>
      </c>
      <c r="H77" s="209">
        <f>IF(GUAYAQUIL[[#This Row],[CODIGO]]="","",1001)</f>
        <v>1001</v>
      </c>
      <c r="I77" s="258" t="s">
        <v>4690</v>
      </c>
      <c r="J77" s="25" t="str">
        <f>IFERROR((VLOOKUP(GUAYAQUIL[[#This Row],[CODIGO]],MAESTRO!A:B,2,FALSE)),"")</f>
        <v>AVENA ORIGINAL VASO 250G ECU</v>
      </c>
      <c r="K77" s="35">
        <v>2688</v>
      </c>
      <c r="L77" s="38">
        <f>+IFERROR(IF(GUAYAQUIL[[#This Row],[CODIGO]]="","",VLOOKUP(GUAYAQUIL[[#This Row],[CODIGO]],MAESTRO!$A:$BF,58,FALSE)),"")</f>
        <v>1</v>
      </c>
      <c r="M77" s="27">
        <f>+IFERROR(IF(GUAYAQUIL[[#This Row],[CODIGO]]="","",VLOOKUP(GUAYAQUIL[[#This Row],[CODIGO]],MAESTRO!A:N,14,FALSE)),"")</f>
        <v>0.25</v>
      </c>
      <c r="N77" s="28">
        <f>+IFERROR(IF(GUAYAQUIL[[#This Row],[CODIGO]]="","",VLOOKUP(GUAYAQUIL[[#This Row],[CODIGO]],MAESTRO!A:P,16,FALSE)),"")</f>
        <v>180</v>
      </c>
      <c r="O77" s="45">
        <v>45570</v>
      </c>
      <c r="P77" s="72" t="str">
        <f t="shared" si="5"/>
        <v>sábado</v>
      </c>
      <c r="Q77" s="29">
        <f>IFERROR(IF(GUAYAQUIL[[#This Row],[CODIGO]]="","",IF(GUAYAQUIL[[#This Row],[Fecha Cad]]="","",(GUAYAQUIL[[#This Row],[Fecha Cad]]-GUAYAQUIL[[#This Row],[VIDA UTIL (Días)]]))+1),"")</f>
        <v>45562</v>
      </c>
      <c r="R77" s="45">
        <v>45741</v>
      </c>
      <c r="S77" s="30">
        <f t="shared" ca="1" si="6"/>
        <v>117</v>
      </c>
      <c r="T77" s="31">
        <f t="shared" ca="1" si="7"/>
        <v>0.65</v>
      </c>
      <c r="U77" s="286">
        <v>3</v>
      </c>
      <c r="V77" s="262">
        <f>+IFERROR(IF(GUAYAQUIL[[#This Row],[CODIGO]]="","",GUAYAQUIL[[#This Row],[Stock Actual Unds]]*GUAYAQUIL[[#This Row],[Gramaje]]*GUAYAQUIL[[#This Row],[Conversión]]),"")</f>
        <v>0.75</v>
      </c>
      <c r="W77" s="270">
        <f t="shared" si="8"/>
        <v>8</v>
      </c>
      <c r="X77" s="32">
        <f t="shared" si="9"/>
        <v>0.9555555555555556</v>
      </c>
      <c r="Y77" s="236">
        <f>IFERROR(VLOOKUP(GUAYAQUIL[[#This Row],[CODIGO]],MAESTRO!A:BI,21,FALSE),0)</f>
        <v>0.391795</v>
      </c>
      <c r="Z77" s="237">
        <f>+IFERROR(IF(GUAYAQUIL[[#This Row],[CODIGO]]="","",GUAYAQUIL[[#This Row],[COSTO UNIT base]]*GUAYAQUIL[[#This Row],[Conversión]]),"")</f>
        <v>0.391795</v>
      </c>
      <c r="AA77" s="236">
        <f>+IFERROR(IF(GUAYAQUIL[[#This Row],[CODIGO]]="","",GUAYAQUIL[[#This Row],[COSTO UNIT Conv]]*GUAYAQUIL[[#This Row],[Stock Actual Kgs]]),"")</f>
        <v>0.29384624999999998</v>
      </c>
      <c r="AB77" s="33">
        <f ca="1">+IFERROR(IF(GUAYAQUIL[[#This Row],[CODIGO]]="","",$J$3-O77),"")</f>
        <v>54</v>
      </c>
      <c r="AC77" s="34" t="str">
        <f ca="1">IF(GUAYAQUIL[[#This Row],[CODIGO]]="","",IF(S77&lt;=0,"CADUCADO",IF(AND(S77&gt;0,S77&lt;=21),"FECHA CORTA",IF(AND(S77&gt;=22,S77&lt;=26),"PROXIMOS FECHA CORTA", "VIGENTE"))))</f>
        <v>VIGENTE</v>
      </c>
      <c r="AD77" s="37">
        <f>+IF(GUAYAQUIL[[#This Row],[CODIGO]]="","",GUAYAQUIL[[#This Row],[Stock Actual Unds]]*GUAYAQUIL[[#This Row],[Gramaje]]*GUAYAQUIL[[#This Row],[Conversión]])/1000</f>
        <v>7.5000000000000002E-4</v>
      </c>
    </row>
    <row r="78" spans="1:30">
      <c r="A78" s="24" t="str">
        <f>+IFERROR(IF(GUAYAQUIL[[#This Row],[CODIGO]]="","",VLOOKUP(GUAYAQUIL[[#This Row],[CODIGO]],MAESTRO!$A:$J,10,FALSE)),"")</f>
        <v>COLOMBIA</v>
      </c>
      <c r="B78" s="24" t="str">
        <f>+IFERROR(IF(GUAYAQUIL[[#This Row],[CODIGO]]="","",VLOOKUP(GUAYAQUIL[[#This Row],[CODIGO]],MAESTRO!$A:$Q,17,FALSE)),"")</f>
        <v>BEBIDAS LACTEAS</v>
      </c>
      <c r="C78" s="24" t="str">
        <f>+IFERROR(IF(GUAYAQUIL[[#This Row],[CODIGO]]="","",VLOOKUP(GUAYAQUIL[[#This Row],[CODIGO]],MAESTRO!$A:$BA,53,FALSE)),"")</f>
        <v xml:space="preserve">Luis Armendariz                         </v>
      </c>
      <c r="D78" s="24" t="str">
        <f>+IFERROR(IF(GUAYAQUIL[[#This Row],[CODIGO]]="","",VLOOKUP(GUAYAQUIL[[#This Row],[CODIGO]],MAESTRO!$A:$D,4,FALSE)),"")</f>
        <v>AVENA ALPINA</v>
      </c>
      <c r="E78" s="24" t="str">
        <f>+IFERROR(IF(GUAYAQUIL[[#This Row],[CODIGO]]="","",VLOOKUP(GUAYAQUIL[[#This Row],[CODIGO]],MAESTRO!$A:$F,6,FALSE)),"")</f>
        <v>AVENA VASO</v>
      </c>
      <c r="F78" s="42" t="str">
        <f>IF(GUAYAQUIL[[#This Row],[CODIGO]]="","",$K$6)</f>
        <v>GUAYAQUIL</v>
      </c>
      <c r="G78" s="42">
        <f>IF(GUAYAQUIL[[#This Row],[CODIGO]]="","",7711)</f>
        <v>7711</v>
      </c>
      <c r="H78" s="42">
        <f>IF(GUAYAQUIL[[#This Row],[CODIGO]]="","",1001)</f>
        <v>1001</v>
      </c>
      <c r="I78" s="258" t="s">
        <v>4690</v>
      </c>
      <c r="J78" s="25" t="str">
        <f>IFERROR((VLOOKUP(GUAYAQUIL[[#This Row],[CODIGO]],MAESTRO!A:B,2,FALSE)),"")</f>
        <v>AVENA ORIGINAL VASO 250G ECU</v>
      </c>
      <c r="K78" s="35">
        <v>0</v>
      </c>
      <c r="L78" s="38">
        <f>+IFERROR(IF(GUAYAQUIL[[#This Row],[CODIGO]]="","",VLOOKUP(GUAYAQUIL[[#This Row],[CODIGO]],MAESTRO!$A:$BF,58,FALSE)),"")</f>
        <v>1</v>
      </c>
      <c r="M78" s="27">
        <f>+IFERROR(IF(GUAYAQUIL[[#This Row],[CODIGO]]="","",VLOOKUP(GUAYAQUIL[[#This Row],[CODIGO]],MAESTRO!A:N,14,FALSE)),"")</f>
        <v>0.25</v>
      </c>
      <c r="N78" s="28">
        <f>+IFERROR(IF(GUAYAQUIL[[#This Row],[CODIGO]]="","",VLOOKUP(GUAYAQUIL[[#This Row],[CODIGO]],MAESTRO!A:P,16,FALSE)),"")</f>
        <v>180</v>
      </c>
      <c r="O78" s="45">
        <v>45910</v>
      </c>
      <c r="P78" s="72" t="str">
        <f t="shared" si="5"/>
        <v>miércoles</v>
      </c>
      <c r="Q78" s="29">
        <f>IFERROR(IF(GUAYAQUIL[[#This Row],[CODIGO]]="","",IF(GUAYAQUIL[[#This Row],[Fecha Cad]]="","",(GUAYAQUIL[[#This Row],[Fecha Cad]]-GUAYAQUIL[[#This Row],[VIDA UTIL (Días)]]))+1),"")</f>
        <v>45910</v>
      </c>
      <c r="R78" s="45">
        <v>46089</v>
      </c>
      <c r="S78" s="30">
        <f t="shared" ca="1" si="6"/>
        <v>465</v>
      </c>
      <c r="T78" s="31">
        <f t="shared" ca="1" si="7"/>
        <v>2.5833333333333335</v>
      </c>
      <c r="U78" s="286">
        <v>3</v>
      </c>
      <c r="V78" s="262">
        <f>+IFERROR(IF(GUAYAQUIL[[#This Row],[CODIGO]]="","",GUAYAQUIL[[#This Row],[Stock Actual Unds]]*GUAYAQUIL[[#This Row],[Gramaje]]*GUAYAQUIL[[#This Row],[Conversión]]),"")</f>
        <v>0.75</v>
      </c>
      <c r="W78" s="270">
        <f t="shared" si="8"/>
        <v>0</v>
      </c>
      <c r="X78" s="32">
        <f t="shared" si="9"/>
        <v>1</v>
      </c>
      <c r="Y78" s="236">
        <f>IFERROR(VLOOKUP(GUAYAQUIL[[#This Row],[CODIGO]],MAESTRO!A:BI,21,FALSE),0)</f>
        <v>0.391795</v>
      </c>
      <c r="Z78" s="237">
        <f>+IFERROR(IF(GUAYAQUIL[[#This Row],[CODIGO]]="","",GUAYAQUIL[[#This Row],[COSTO UNIT base]]*GUAYAQUIL[[#This Row],[Conversión]]),"")</f>
        <v>0.391795</v>
      </c>
      <c r="AA78" s="236">
        <f>+IFERROR(IF(GUAYAQUIL[[#This Row],[CODIGO]]="","",GUAYAQUIL[[#This Row],[COSTO UNIT Conv]]*GUAYAQUIL[[#This Row],[Stock Actual Kgs]]),"")</f>
        <v>0.29384624999999998</v>
      </c>
      <c r="AB78" s="33">
        <f ca="1">+IFERROR(IF(GUAYAQUIL[[#This Row],[CODIGO]]="","",$J$3-O78),"")</f>
        <v>-286</v>
      </c>
      <c r="AC78" s="34" t="str">
        <f ca="1">IF(GUAYAQUIL[[#This Row],[CODIGO]]="","",IF(S78&lt;=0,"CADUCADO",IF(AND(S78&gt;0,S78&lt;=21),"FECHA CORTA",IF(AND(S78&gt;=22,S78&lt;=26),"PROXIMOS FECHA CORTA", "VIGENTE"))))</f>
        <v>VIGENTE</v>
      </c>
      <c r="AD78" s="37">
        <f>+IF(GUAYAQUIL[[#This Row],[CODIGO]]="","",GUAYAQUIL[[#This Row],[Stock Actual Unds]]*GUAYAQUIL[[#This Row],[Gramaje]]*GUAYAQUIL[[#This Row],[Conversión]])/1000</f>
        <v>7.5000000000000002E-4</v>
      </c>
    </row>
    <row r="79" spans="1:30">
      <c r="A79" s="24" t="str">
        <f>+IFERROR(IF(GUAYAQUIL[[#This Row],[CODIGO]]="","",VLOOKUP(GUAYAQUIL[[#This Row],[CODIGO]],MAESTRO!$A:$J,10,FALSE)),"")</f>
        <v>MACHACHI</v>
      </c>
      <c r="B79" s="24" t="str">
        <f>+IFERROR(IF(GUAYAQUIL[[#This Row],[CODIGO]]="","",VLOOKUP(GUAYAQUIL[[#This Row],[CODIGO]],MAESTRO!$A:$Q,17,FALSE)),"")</f>
        <v>BEBIDAS LACTEAS</v>
      </c>
      <c r="C79" s="24" t="str">
        <f>+IFERROR(IF(GUAYAQUIL[[#This Row],[CODIGO]]="","",VLOOKUP(GUAYAQUIL[[#This Row],[CODIGO]],MAESTRO!$A:$BA,53,FALSE)),"")</f>
        <v xml:space="preserve">Luis Armendariz                         </v>
      </c>
      <c r="D79" s="24" t="str">
        <f>+IFERROR(IF(GUAYAQUIL[[#This Row],[CODIGO]]="","",VLOOKUP(GUAYAQUIL[[#This Row],[CODIGO]],MAESTRO!$A:$D,4,FALSE)),"")</f>
        <v>KUMIS ALPINA</v>
      </c>
      <c r="E79" s="24" t="str">
        <f>+IFERROR(IF(GUAYAQUIL[[#This Row],[CODIGO]]="","",VLOOKUP(GUAYAQUIL[[#This Row],[CODIGO]],MAESTRO!$A:$F,6,FALSE)),"")</f>
        <v>KUMIS BOTELLA FAMILIAR</v>
      </c>
      <c r="F79" s="42" t="str">
        <f>IF(GUAYAQUIL[[#This Row],[CODIGO]]="","",$K$6)</f>
        <v>GUAYAQUIL</v>
      </c>
      <c r="G79" s="209">
        <f>IF(GUAYAQUIL[[#This Row],[CODIGO]]="","",7711)</f>
        <v>7711</v>
      </c>
      <c r="H79" s="209">
        <f>IF(GUAYAQUIL[[#This Row],[CODIGO]]="","",1001)</f>
        <v>1001</v>
      </c>
      <c r="I79" s="257" t="s">
        <v>2439</v>
      </c>
      <c r="J79" s="25" t="str">
        <f>IFERROR((VLOOKUP(GUAYAQUIL[[#This Row],[CODIGO]],MAESTRO!A:B,2,FALSE)),"")</f>
        <v>KUMIS ORIG BOT 1750G</v>
      </c>
      <c r="K79" s="26">
        <v>48</v>
      </c>
      <c r="L79" s="38">
        <f>+IFERROR(IF(GUAYAQUIL[[#This Row],[CODIGO]]="","",VLOOKUP(GUAYAQUIL[[#This Row],[CODIGO]],MAESTRO!$A:$BF,58,FALSE)),"")</f>
        <v>1</v>
      </c>
      <c r="M79" s="27">
        <f>+IFERROR(IF(GUAYAQUIL[[#This Row],[CODIGO]]="","",VLOOKUP(GUAYAQUIL[[#This Row],[CODIGO]],MAESTRO!A:N,14,FALSE)),"")</f>
        <v>1.75</v>
      </c>
      <c r="N79" s="28">
        <f>+IFERROR(IF(GUAYAQUIL[[#This Row],[CODIGO]]="","",VLOOKUP(GUAYAQUIL[[#This Row],[CODIGO]],MAESTRO!A:P,16,FALSE)),"")</f>
        <v>45</v>
      </c>
      <c r="O79" s="29">
        <v>45609</v>
      </c>
      <c r="P79" s="72" t="str">
        <f t="shared" si="5"/>
        <v>miércoles</v>
      </c>
      <c r="Q79" s="29">
        <f>IFERROR(IF(GUAYAQUIL[[#This Row],[CODIGO]]="","",IF(GUAYAQUIL[[#This Row],[Fecha Cad]]="","",(GUAYAQUIL[[#This Row],[Fecha Cad]]-GUAYAQUIL[[#This Row],[VIDA UTIL (Días)]]))+1),"")</f>
        <v>45604</v>
      </c>
      <c r="R79" s="29">
        <v>45648</v>
      </c>
      <c r="S79" s="30">
        <f t="shared" ca="1" si="6"/>
        <v>24</v>
      </c>
      <c r="T79" s="31">
        <f t="shared" ca="1" si="7"/>
        <v>0.53333333333333333</v>
      </c>
      <c r="U79" s="286">
        <v>44</v>
      </c>
      <c r="V79" s="260">
        <f>+IFERROR(IF(GUAYAQUIL[[#This Row],[CODIGO]]="","",GUAYAQUIL[[#This Row],[Stock Actual Unds]]*GUAYAQUIL[[#This Row],[Gramaje]]*GUAYAQUIL[[#This Row],[Conversión]]),"")</f>
        <v>77</v>
      </c>
      <c r="W79" s="270">
        <f t="shared" si="8"/>
        <v>5</v>
      </c>
      <c r="X79" s="32">
        <f t="shared" si="9"/>
        <v>0.88888888888888884</v>
      </c>
      <c r="Y79" s="236">
        <f>IFERROR(VLOOKUP(GUAYAQUIL[[#This Row],[CODIGO]],MAESTRO!A:BI,21,FALSE),0)</f>
        <v>1.88428</v>
      </c>
      <c r="Z79" s="237">
        <f>+IFERROR(IF(GUAYAQUIL[[#This Row],[CODIGO]]="","",GUAYAQUIL[[#This Row],[COSTO UNIT base]]*GUAYAQUIL[[#This Row],[Conversión]]),"")</f>
        <v>1.88428</v>
      </c>
      <c r="AA79" s="236">
        <f>+IFERROR(IF(GUAYAQUIL[[#This Row],[CODIGO]]="","",GUAYAQUIL[[#This Row],[COSTO UNIT Conv]]*GUAYAQUIL[[#This Row],[Stock Actual Kgs]]),"")</f>
        <v>145.08956000000001</v>
      </c>
      <c r="AB79" s="33">
        <f ca="1">+IFERROR(IF(GUAYAQUIL[[#This Row],[CODIGO]]="","",$J$3-O79),"")</f>
        <v>15</v>
      </c>
      <c r="AC79" s="34" t="str">
        <f ca="1">IF(GUAYAQUIL[[#This Row],[CODIGO]]="","",IF(S79&lt;=0,"CADUCADO",IF(AND(S79&gt;0,S79&lt;=21),"FECHA CORTA",IF(AND(S79&gt;=22,S79&lt;=26),"PROXIMOS FECHA CORTA", "VIGENTE"))))</f>
        <v>PROXIMOS FECHA CORTA</v>
      </c>
      <c r="AD79" s="37">
        <f>+IF(GUAYAQUIL[[#This Row],[CODIGO]]="","",GUAYAQUIL[[#This Row],[Stock Actual Unds]]*GUAYAQUIL[[#This Row],[Gramaje]]*GUAYAQUIL[[#This Row],[Conversión]])/1000</f>
        <v>7.6999999999999999E-2</v>
      </c>
    </row>
    <row r="80" spans="1:30">
      <c r="A80" s="24" t="str">
        <f>+IFERROR(IF(GUAYAQUIL[[#This Row],[CODIGO]]="","",VLOOKUP(GUAYAQUIL[[#This Row],[CODIGO]],MAESTRO!$A:$J,10,FALSE)),"")</f>
        <v>MACHACHI</v>
      </c>
      <c r="B80" s="24" t="str">
        <f>+IFERROR(IF(GUAYAQUIL[[#This Row],[CODIGO]]="","",VLOOKUP(GUAYAQUIL[[#This Row],[CODIGO]],MAESTRO!$A:$Q,17,FALSE)),"")</f>
        <v>BEBIDAS LACTEAS</v>
      </c>
      <c r="C80" s="24" t="str">
        <f>+IFERROR(IF(GUAYAQUIL[[#This Row],[CODIGO]]="","",VLOOKUP(GUAYAQUIL[[#This Row],[CODIGO]],MAESTRO!$A:$BA,53,FALSE)),"")</f>
        <v xml:space="preserve">Luis Armendariz                         </v>
      </c>
      <c r="D80" s="24" t="str">
        <f>+IFERROR(IF(GUAYAQUIL[[#This Row],[CODIGO]]="","",VLOOKUP(GUAYAQUIL[[#This Row],[CODIGO]],MAESTRO!$A:$D,4,FALSE)),"")</f>
        <v>KUMIS ALPINA</v>
      </c>
      <c r="E80" s="24" t="str">
        <f>+IFERROR(IF(GUAYAQUIL[[#This Row],[CODIGO]]="","",VLOOKUP(GUAYAQUIL[[#This Row],[CODIGO]],MAESTRO!$A:$F,6,FALSE)),"")</f>
        <v>KUMIS BOTELLA FAMILIAR</v>
      </c>
      <c r="F80" s="42" t="str">
        <f>IF(GUAYAQUIL[[#This Row],[CODIGO]]="","",$K$6)</f>
        <v>GUAYAQUIL</v>
      </c>
      <c r="G80" s="42">
        <f>IF(GUAYAQUIL[[#This Row],[CODIGO]]="","",7711)</f>
        <v>7711</v>
      </c>
      <c r="H80" s="42">
        <f>IF(GUAYAQUIL[[#This Row],[CODIGO]]="","",1001)</f>
        <v>1001</v>
      </c>
      <c r="I80" s="257" t="s">
        <v>2439</v>
      </c>
      <c r="J80" s="25" t="str">
        <f>IFERROR((VLOOKUP(GUAYAQUIL[[#This Row],[CODIGO]],MAESTRO!A:B,2,FALSE)),"")</f>
        <v>KUMIS ORIG BOT 1750G</v>
      </c>
      <c r="K80" s="26">
        <v>60</v>
      </c>
      <c r="L80" s="38">
        <f>+IFERROR(IF(GUAYAQUIL[[#This Row],[CODIGO]]="","",VLOOKUP(GUAYAQUIL[[#This Row],[CODIGO]],MAESTRO!$A:$BF,58,FALSE)),"")</f>
        <v>1</v>
      </c>
      <c r="M80" s="27">
        <f>+IFERROR(IF(GUAYAQUIL[[#This Row],[CODIGO]]="","",VLOOKUP(GUAYAQUIL[[#This Row],[CODIGO]],MAESTRO!A:N,14,FALSE)),"")</f>
        <v>1.75</v>
      </c>
      <c r="N80" s="28">
        <f>+IFERROR(IF(GUAYAQUIL[[#This Row],[CODIGO]]="","",VLOOKUP(GUAYAQUIL[[#This Row],[CODIGO]],MAESTRO!A:P,16,FALSE)),"")</f>
        <v>45</v>
      </c>
      <c r="O80" s="29">
        <v>45611</v>
      </c>
      <c r="P80" s="72" t="str">
        <f t="shared" si="5"/>
        <v>viernes</v>
      </c>
      <c r="Q80" s="29">
        <f>IFERROR(IF(GUAYAQUIL[[#This Row],[CODIGO]]="","",IF(GUAYAQUIL[[#This Row],[Fecha Cad]]="","",(GUAYAQUIL[[#This Row],[Fecha Cad]]-GUAYAQUIL[[#This Row],[VIDA UTIL (Días)]]))+1),"")</f>
        <v>45604</v>
      </c>
      <c r="R80" s="29">
        <v>45648</v>
      </c>
      <c r="S80" s="30">
        <f t="shared" ca="1" si="6"/>
        <v>24</v>
      </c>
      <c r="T80" s="31">
        <f t="shared" ca="1" si="7"/>
        <v>0.53333333333333333</v>
      </c>
      <c r="U80" s="286">
        <v>60</v>
      </c>
      <c r="V80" s="260">
        <f>+IFERROR(IF(GUAYAQUIL[[#This Row],[CODIGO]]="","",GUAYAQUIL[[#This Row],[Stock Actual Unds]]*GUAYAQUIL[[#This Row],[Gramaje]]*GUAYAQUIL[[#This Row],[Conversión]]),"")</f>
        <v>105</v>
      </c>
      <c r="W80" s="270">
        <f t="shared" si="8"/>
        <v>7</v>
      </c>
      <c r="X80" s="32">
        <f t="shared" si="9"/>
        <v>0.84444444444444444</v>
      </c>
      <c r="Y80" s="236">
        <f>IFERROR(VLOOKUP(GUAYAQUIL[[#This Row],[CODIGO]],MAESTRO!A:BI,21,FALSE),0)</f>
        <v>1.88428</v>
      </c>
      <c r="Z80" s="237">
        <f>+IFERROR(IF(GUAYAQUIL[[#This Row],[CODIGO]]="","",GUAYAQUIL[[#This Row],[COSTO UNIT base]]*GUAYAQUIL[[#This Row],[Conversión]]),"")</f>
        <v>1.88428</v>
      </c>
      <c r="AA80" s="236">
        <f>+IFERROR(IF(GUAYAQUIL[[#This Row],[CODIGO]]="","",GUAYAQUIL[[#This Row],[COSTO UNIT Conv]]*GUAYAQUIL[[#This Row],[Stock Actual Kgs]]),"")</f>
        <v>197.8494</v>
      </c>
      <c r="AB80" s="33">
        <f ca="1">+IFERROR(IF(GUAYAQUIL[[#This Row],[CODIGO]]="","",$J$3-O80),"")</f>
        <v>13</v>
      </c>
      <c r="AC80" s="34" t="str">
        <f ca="1">IF(GUAYAQUIL[[#This Row],[CODIGO]]="","",IF(S80&lt;=0,"CADUCADO",IF(AND(S80&gt;0,S80&lt;=21),"FECHA CORTA",IF(AND(S80&gt;=22,S80&lt;=26),"PROXIMOS FECHA CORTA", "VIGENTE"))))</f>
        <v>PROXIMOS FECHA CORTA</v>
      </c>
      <c r="AD80" s="37">
        <f>+IF(GUAYAQUIL[[#This Row],[CODIGO]]="","",GUAYAQUIL[[#This Row],[Stock Actual Unds]]*GUAYAQUIL[[#This Row],[Gramaje]]*GUAYAQUIL[[#This Row],[Conversión]])/1000</f>
        <v>0.105</v>
      </c>
    </row>
    <row r="81" spans="1:30">
      <c r="A81" s="24" t="str">
        <f>+IFERROR(IF(GUAYAQUIL[[#This Row],[CODIGO]]="","",VLOOKUP(GUAYAQUIL[[#This Row],[CODIGO]],MAESTRO!$A:$J,10,FALSE)),"")</f>
        <v>MACHACHI</v>
      </c>
      <c r="B81" s="24" t="str">
        <f>+IFERROR(IF(GUAYAQUIL[[#This Row],[CODIGO]]="","",VLOOKUP(GUAYAQUIL[[#This Row],[CODIGO]],MAESTRO!$A:$Q,17,FALSE)),"")</f>
        <v>BEBIDAS LACTEAS</v>
      </c>
      <c r="C81" s="24" t="str">
        <f>+IFERROR(IF(GUAYAQUIL[[#This Row],[CODIGO]]="","",VLOOKUP(GUAYAQUIL[[#This Row],[CODIGO]],MAESTRO!$A:$BA,53,FALSE)),"")</f>
        <v xml:space="preserve">Luis Armendariz                         </v>
      </c>
      <c r="D81" s="24" t="str">
        <f>+IFERROR(IF(GUAYAQUIL[[#This Row],[CODIGO]]="","",VLOOKUP(GUAYAQUIL[[#This Row],[CODIGO]],MAESTRO!$A:$D,4,FALSE)),"")</f>
        <v>KUMIS ALPINA</v>
      </c>
      <c r="E81" s="24" t="str">
        <f>+IFERROR(IF(GUAYAQUIL[[#This Row],[CODIGO]]="","",VLOOKUP(GUAYAQUIL[[#This Row],[CODIGO]],MAESTRO!$A:$F,6,FALSE)),"")</f>
        <v>KUMIS BOTELLA FAMILIAR</v>
      </c>
      <c r="F81" s="42" t="str">
        <f>IF(GUAYAQUIL[[#This Row],[CODIGO]]="","",$K$6)</f>
        <v>GUAYAQUIL</v>
      </c>
      <c r="G81" s="42">
        <f>IF(GUAYAQUIL[[#This Row],[CODIGO]]="","",7711)</f>
        <v>7711</v>
      </c>
      <c r="H81" s="42">
        <f>IF(GUAYAQUIL[[#This Row],[CODIGO]]="","",1001)</f>
        <v>1001</v>
      </c>
      <c r="I81" s="257" t="s">
        <v>2439</v>
      </c>
      <c r="J81" s="25" t="str">
        <f>IFERROR((VLOOKUP(GUAYAQUIL[[#This Row],[CODIGO]],MAESTRO!A:B,2,FALSE)),"")</f>
        <v>KUMIS ORIG BOT 1750G</v>
      </c>
      <c r="K81" s="26">
        <v>12</v>
      </c>
      <c r="L81" s="38">
        <f>+IFERROR(IF(GUAYAQUIL[[#This Row],[CODIGO]]="","",VLOOKUP(GUAYAQUIL[[#This Row],[CODIGO]],MAESTRO!$A:$BF,58,FALSE)),"")</f>
        <v>1</v>
      </c>
      <c r="M81" s="27">
        <f>+IFERROR(IF(GUAYAQUIL[[#This Row],[CODIGO]]="","",VLOOKUP(GUAYAQUIL[[#This Row],[CODIGO]],MAESTRO!A:N,14,FALSE)),"")</f>
        <v>1.75</v>
      </c>
      <c r="N81" s="28">
        <f>+IFERROR(IF(GUAYAQUIL[[#This Row],[CODIGO]]="","",VLOOKUP(GUAYAQUIL[[#This Row],[CODIGO]],MAESTRO!A:P,16,FALSE)),"")</f>
        <v>45</v>
      </c>
      <c r="O81" s="29">
        <v>45617</v>
      </c>
      <c r="P81" s="72" t="str">
        <f t="shared" si="5"/>
        <v>jueves</v>
      </c>
      <c r="Q81" s="29">
        <f>IFERROR(IF(GUAYAQUIL[[#This Row],[CODIGO]]="","",IF(GUAYAQUIL[[#This Row],[Fecha Cad]]="","",(GUAYAQUIL[[#This Row],[Fecha Cad]]-GUAYAQUIL[[#This Row],[VIDA UTIL (Días)]]))+1),"")</f>
        <v>45615</v>
      </c>
      <c r="R81" s="29">
        <v>45659</v>
      </c>
      <c r="S81" s="30">
        <f t="shared" ca="1" si="6"/>
        <v>35</v>
      </c>
      <c r="T81" s="31">
        <f t="shared" ca="1" si="7"/>
        <v>0.77777777777777779</v>
      </c>
      <c r="U81" s="286">
        <v>12</v>
      </c>
      <c r="V81" s="260">
        <f>+IFERROR(IF(GUAYAQUIL[[#This Row],[CODIGO]]="","",GUAYAQUIL[[#This Row],[Stock Actual Unds]]*GUAYAQUIL[[#This Row],[Gramaje]]*GUAYAQUIL[[#This Row],[Conversión]]),"")</f>
        <v>21</v>
      </c>
      <c r="W81" s="270">
        <f t="shared" si="8"/>
        <v>2</v>
      </c>
      <c r="X81" s="32">
        <f t="shared" si="9"/>
        <v>0.9555555555555556</v>
      </c>
      <c r="Y81" s="236">
        <f>IFERROR(VLOOKUP(GUAYAQUIL[[#This Row],[CODIGO]],MAESTRO!A:BI,21,FALSE),0)</f>
        <v>1.88428</v>
      </c>
      <c r="Z81" s="237">
        <f>+IFERROR(IF(GUAYAQUIL[[#This Row],[CODIGO]]="","",GUAYAQUIL[[#This Row],[COSTO UNIT base]]*GUAYAQUIL[[#This Row],[Conversión]]),"")</f>
        <v>1.88428</v>
      </c>
      <c r="AA81" s="236">
        <f>+IFERROR(IF(GUAYAQUIL[[#This Row],[CODIGO]]="","",GUAYAQUIL[[#This Row],[COSTO UNIT Conv]]*GUAYAQUIL[[#This Row],[Stock Actual Kgs]]),"")</f>
        <v>39.569879999999998</v>
      </c>
      <c r="AB81" s="33">
        <f ca="1">+IFERROR(IF(GUAYAQUIL[[#This Row],[CODIGO]]="","",$J$3-O81),"")</f>
        <v>7</v>
      </c>
      <c r="AC81" s="34" t="str">
        <f ca="1">IF(GUAYAQUIL[[#This Row],[CODIGO]]="","",IF(S81&lt;=0,"CADUCADO",IF(AND(S81&gt;0,S81&lt;=21),"FECHA CORTA",IF(AND(S81&gt;=22,S81&lt;=26),"PROXIMOS FECHA CORTA", "VIGENTE"))))</f>
        <v>VIGENTE</v>
      </c>
      <c r="AD81" s="37">
        <f>+IF(GUAYAQUIL[[#This Row],[CODIGO]]="","",GUAYAQUIL[[#This Row],[Stock Actual Unds]]*GUAYAQUIL[[#This Row],[Gramaje]]*GUAYAQUIL[[#This Row],[Conversión]])/1000</f>
        <v>2.1000000000000001E-2</v>
      </c>
    </row>
    <row r="82" spans="1:30">
      <c r="A82" s="24" t="str">
        <f>+IFERROR(IF(GUAYAQUIL[[#This Row],[CODIGO]]="","",VLOOKUP(GUAYAQUIL[[#This Row],[CODIGO]],MAESTRO!$A:$J,10,FALSE)),"")</f>
        <v>SAN GABRIEL</v>
      </c>
      <c r="B82" s="24" t="str">
        <f>+IFERROR(IF(GUAYAQUIL[[#This Row],[CODIGO]]="","",VLOOKUP(GUAYAQUIL[[#This Row],[CODIGO]],MAESTRO!$A:$Q,17,FALSE)),"")</f>
        <v>QUESOS Y GRASAS</v>
      </c>
      <c r="C82" s="24" t="str">
        <f>+IFERROR(IF(GUAYAQUIL[[#This Row],[CODIGO]]="","",VLOOKUP(GUAYAQUIL[[#This Row],[CODIGO]],MAESTRO!$A:$BA,53,FALSE)),"")</f>
        <v xml:space="preserve">Esteban Montenegro                      </v>
      </c>
      <c r="D82" s="24" t="str">
        <f>+IFERROR(IF(GUAYAQUIL[[#This Row],[CODIGO]]="","",VLOOKUP(GUAYAQUIL[[#This Row],[CODIGO]],MAESTRO!$A:$D,4,FALSE)),"")</f>
        <v>QUESO SEMIMADURO KIOSKO</v>
      </c>
      <c r="E82" s="24" t="str">
        <f>+IFERROR(IF(GUAYAQUIL[[#This Row],[CODIGO]]="","",VLOOKUP(GUAYAQUIL[[#This Row],[CODIGO]],MAESTRO!$A:$F,6,FALSE)),"")</f>
        <v>QUESO PARMESANO KIOSKO RALLADO</v>
      </c>
      <c r="F82" s="42" t="str">
        <f>IF(GUAYAQUIL[[#This Row],[CODIGO]]="","",$K$6)</f>
        <v>GUAYAQUIL</v>
      </c>
      <c r="G82" s="42">
        <f>IF(GUAYAQUIL[[#This Row],[CODIGO]]="","",7711)</f>
        <v>7711</v>
      </c>
      <c r="H82" s="42">
        <f>IF(GUAYAQUIL[[#This Row],[CODIGO]]="","",1001)</f>
        <v>1001</v>
      </c>
      <c r="I82" s="257" t="s">
        <v>3507</v>
      </c>
      <c r="J82" s="25" t="str">
        <f>IFERROR((VLOOKUP(GUAYAQUIL[[#This Row],[CODIGO]],MAESTRO!A:B,2,FALSE)),"")</f>
        <v>Q PARME KIOSKO RALL BOL 40G</v>
      </c>
      <c r="K82" s="26">
        <v>750</v>
      </c>
      <c r="L82" s="38">
        <f>+IFERROR(IF(GUAYAQUIL[[#This Row],[CODIGO]]="","",VLOOKUP(GUAYAQUIL[[#This Row],[CODIGO]],MAESTRO!$A:$BF,58,FALSE)),"")</f>
        <v>1</v>
      </c>
      <c r="M82" s="27">
        <f>+IFERROR(IF(GUAYAQUIL[[#This Row],[CODIGO]]="","",VLOOKUP(GUAYAQUIL[[#This Row],[CODIGO]],MAESTRO!A:N,14,FALSE)),"")</f>
        <v>0.04</v>
      </c>
      <c r="N82" s="28">
        <f>+IFERROR(IF(GUAYAQUIL[[#This Row],[CODIGO]]="","",VLOOKUP(GUAYAQUIL[[#This Row],[CODIGO]],MAESTRO!A:P,16,FALSE)),"")</f>
        <v>180</v>
      </c>
      <c r="O82" s="29">
        <v>45604</v>
      </c>
      <c r="P82" s="72" t="str">
        <f t="shared" si="5"/>
        <v>viernes</v>
      </c>
      <c r="Q82" s="29">
        <f>IFERROR(IF(GUAYAQUIL[[#This Row],[CODIGO]]="","",IF(GUAYAQUIL[[#This Row],[Fecha Cad]]="","",(GUAYAQUIL[[#This Row],[Fecha Cad]]-GUAYAQUIL[[#This Row],[VIDA UTIL (Días)]]))+1),"")</f>
        <v>45595</v>
      </c>
      <c r="R82" s="29">
        <v>45774</v>
      </c>
      <c r="S82" s="30">
        <f t="shared" ca="1" si="6"/>
        <v>150</v>
      </c>
      <c r="T82" s="31">
        <f t="shared" ca="1" si="7"/>
        <v>0.83333333333333337</v>
      </c>
      <c r="U82" s="286">
        <v>17</v>
      </c>
      <c r="V82" s="260">
        <f>+IFERROR(IF(GUAYAQUIL[[#This Row],[CODIGO]]="","",GUAYAQUIL[[#This Row],[Stock Actual Unds]]*GUAYAQUIL[[#This Row],[Gramaje]]*GUAYAQUIL[[#This Row],[Conversión]]),"")</f>
        <v>0.68</v>
      </c>
      <c r="W82" s="270">
        <f t="shared" si="8"/>
        <v>9</v>
      </c>
      <c r="X82" s="32">
        <f t="shared" si="9"/>
        <v>0.95</v>
      </c>
      <c r="Y82" s="236">
        <f>IFERROR(VLOOKUP(GUAYAQUIL[[#This Row],[CODIGO]],MAESTRO!A:BI,21,FALSE),0)</f>
        <v>0.47916999999999998</v>
      </c>
      <c r="Z82" s="237">
        <f>+IFERROR(IF(GUAYAQUIL[[#This Row],[CODIGO]]="","",GUAYAQUIL[[#This Row],[COSTO UNIT base]]*GUAYAQUIL[[#This Row],[Conversión]]),"")</f>
        <v>0.47916999999999998</v>
      </c>
      <c r="AA82" s="236">
        <f>+IFERROR(IF(GUAYAQUIL[[#This Row],[CODIGO]]="","",GUAYAQUIL[[#This Row],[COSTO UNIT Conv]]*GUAYAQUIL[[#This Row],[Stock Actual Kgs]]),"")</f>
        <v>0.3258356</v>
      </c>
      <c r="AB82" s="33">
        <f ca="1">+IFERROR(IF(GUAYAQUIL[[#This Row],[CODIGO]]="","",$J$3-O82),"")</f>
        <v>20</v>
      </c>
      <c r="AC82" s="34" t="str">
        <f ca="1">IF(GUAYAQUIL[[#This Row],[CODIGO]]="","",IF(S82&lt;=0,"CADUCADO",IF(AND(S82&gt;0,S82&lt;=21),"FECHA CORTA",IF(AND(S82&gt;=22,S82&lt;=26),"PROXIMOS FECHA CORTA", "VIGENTE"))))</f>
        <v>VIGENTE</v>
      </c>
      <c r="AD82" s="37">
        <f>+IF(GUAYAQUIL[[#This Row],[CODIGO]]="","",GUAYAQUIL[[#This Row],[Stock Actual Unds]]*GUAYAQUIL[[#This Row],[Gramaje]]*GUAYAQUIL[[#This Row],[Conversión]])/1000</f>
        <v>6.8000000000000005E-4</v>
      </c>
    </row>
    <row r="83" spans="1:30">
      <c r="A83" s="42" t="str">
        <f>+IFERROR(IF(GUAYAQUIL[[#This Row],[CODIGO]]="","",VLOOKUP(GUAYAQUIL[[#This Row],[CODIGO]],MAESTRO!$A:$J,10,FALSE)),"")</f>
        <v>SAN GABRIEL</v>
      </c>
      <c r="B83" s="42" t="str">
        <f>+IFERROR(IF(GUAYAQUIL[[#This Row],[CODIGO]]="","",VLOOKUP(GUAYAQUIL[[#This Row],[CODIGO]],MAESTRO!$A:$Q,17,FALSE)),"")</f>
        <v>QUESOS Y GRASAS</v>
      </c>
      <c r="C83" s="42" t="str">
        <f>+IFERROR(IF(GUAYAQUIL[[#This Row],[CODIGO]]="","",VLOOKUP(GUAYAQUIL[[#This Row],[CODIGO]],MAESTRO!$A:$BA,53,FALSE)),"")</f>
        <v xml:space="preserve">Esteban Montenegro                      </v>
      </c>
      <c r="D83" s="42" t="str">
        <f>+IFERROR(IF(GUAYAQUIL[[#This Row],[CODIGO]]="","",VLOOKUP(GUAYAQUIL[[#This Row],[CODIGO]],MAESTRO!$A:$D,4,FALSE)),"")</f>
        <v>QUESO SEMIMADURO KIOSKO</v>
      </c>
      <c r="E83" s="42" t="str">
        <f>+IFERROR(IF(GUAYAQUIL[[#This Row],[CODIGO]]="","",VLOOKUP(GUAYAQUIL[[#This Row],[CODIGO]],MAESTRO!$A:$F,6,FALSE)),"")</f>
        <v>QUESO PARMESANO KIOSKO RALLADO</v>
      </c>
      <c r="F83" s="42" t="str">
        <f>IF(GUAYAQUIL[[#This Row],[CODIGO]]="","",$K$6)</f>
        <v>GUAYAQUIL</v>
      </c>
      <c r="G83" s="209">
        <f>IF(GUAYAQUIL[[#This Row],[CODIGO]]="","",7711)</f>
        <v>7711</v>
      </c>
      <c r="H83" s="209">
        <f>IF(GUAYAQUIL[[#This Row],[CODIGO]]="","",1001)</f>
        <v>1001</v>
      </c>
      <c r="I83" s="258" t="s">
        <v>3507</v>
      </c>
      <c r="J83" s="25" t="str">
        <f>IFERROR((VLOOKUP(GUAYAQUIL[[#This Row],[CODIGO]],MAESTRO!A:B,2,FALSE)),"")</f>
        <v>Q PARME KIOSKO RALL BOL 40G</v>
      </c>
      <c r="K83" s="35">
        <v>1350</v>
      </c>
      <c r="L83" s="205">
        <f>+IFERROR(IF(GUAYAQUIL[[#This Row],[CODIGO]]="","",VLOOKUP(GUAYAQUIL[[#This Row],[CODIGO]],MAESTRO!$A:$BF,58,FALSE)),"")</f>
        <v>1</v>
      </c>
      <c r="M83" s="27">
        <f>+IFERROR(IF(GUAYAQUIL[[#This Row],[CODIGO]]="","",VLOOKUP(GUAYAQUIL[[#This Row],[CODIGO]],MAESTRO!A:N,14,FALSE)),"")</f>
        <v>0.04</v>
      </c>
      <c r="N83" s="290">
        <f>+IFERROR(IF(GUAYAQUIL[[#This Row],[CODIGO]]="","",VLOOKUP(GUAYAQUIL[[#This Row],[CODIGO]],MAESTRO!A:P,16,FALSE)),"")</f>
        <v>180</v>
      </c>
      <c r="O83" s="45">
        <v>45608</v>
      </c>
      <c r="P83" s="292" t="str">
        <f t="shared" si="5"/>
        <v>martes</v>
      </c>
      <c r="Q83" s="278">
        <f>IFERROR(IF(GUAYAQUIL[[#This Row],[CODIGO]]="","",IF(GUAYAQUIL[[#This Row],[Fecha Cad]]="","",(GUAYAQUIL[[#This Row],[Fecha Cad]]-GUAYAQUIL[[#This Row],[VIDA UTIL (Días)]]))+1),"")</f>
        <v>45601</v>
      </c>
      <c r="R83" s="45">
        <v>45780</v>
      </c>
      <c r="S83" s="30">
        <f t="shared" ca="1" si="6"/>
        <v>156</v>
      </c>
      <c r="T83" s="294">
        <f t="shared" ca="1" si="7"/>
        <v>0.8666666666666667</v>
      </c>
      <c r="U83" s="286">
        <v>1012</v>
      </c>
      <c r="V83" s="262">
        <f>+IFERROR(IF(GUAYAQUIL[[#This Row],[CODIGO]]="","",GUAYAQUIL[[#This Row],[Stock Actual Unds]]*GUAYAQUIL[[#This Row],[Gramaje]]*GUAYAQUIL[[#This Row],[Conversión]]),"")</f>
        <v>40.480000000000004</v>
      </c>
      <c r="W83" s="299">
        <f t="shared" si="8"/>
        <v>7</v>
      </c>
      <c r="X83" s="44">
        <f t="shared" si="9"/>
        <v>0.96111111111111114</v>
      </c>
      <c r="Y83" s="236">
        <f>IFERROR(VLOOKUP(GUAYAQUIL[[#This Row],[CODIGO]],MAESTRO!A:BI,21,FALSE),0)</f>
        <v>0.47916999999999998</v>
      </c>
      <c r="Z83" s="237">
        <f>+IFERROR(IF(GUAYAQUIL[[#This Row],[CODIGO]]="","",GUAYAQUIL[[#This Row],[COSTO UNIT base]]*GUAYAQUIL[[#This Row],[Conversión]]),"")</f>
        <v>0.47916999999999998</v>
      </c>
      <c r="AA83" s="236">
        <f>+IFERROR(IF(GUAYAQUIL[[#This Row],[CODIGO]]="","",GUAYAQUIL[[#This Row],[COSTO UNIT Conv]]*GUAYAQUIL[[#This Row],[Stock Actual Kgs]]),"")</f>
        <v>19.3968016</v>
      </c>
      <c r="AB83" s="180">
        <f ca="1">+IFERROR(IF(GUAYAQUIL[[#This Row],[CODIGO]]="","",$J$3-O83),"")</f>
        <v>16</v>
      </c>
      <c r="AC83" s="35" t="str">
        <f ca="1">IF(GUAYAQUIL[[#This Row],[CODIGO]]="","",IF(S83&lt;=0,"CADUCADO",IF(AND(S83&gt;0,S83&lt;=21),"FECHA CORTA",IF(AND(S83&gt;=22,S83&lt;=26),"PROXIMOS FECHA CORTA", "VIGENTE"))))</f>
        <v>VIGENTE</v>
      </c>
      <c r="AD83" s="37">
        <f>+IF(GUAYAQUIL[[#This Row],[CODIGO]]="","",GUAYAQUIL[[#This Row],[Stock Actual Unds]]*GUAYAQUIL[[#This Row],[Gramaje]]*GUAYAQUIL[[#This Row],[Conversión]])/1000</f>
        <v>4.0480000000000002E-2</v>
      </c>
    </row>
    <row r="84" spans="1:30">
      <c r="A84" s="42" t="str">
        <f>+IFERROR(IF(GUAYAQUIL[[#This Row],[CODIGO]]="","",VLOOKUP(GUAYAQUIL[[#This Row],[CODIGO]],MAESTRO!$A:$J,10,FALSE)),"")</f>
        <v>SAN GABRIEL</v>
      </c>
      <c r="B84" s="42" t="str">
        <f>+IFERROR(IF(GUAYAQUIL[[#This Row],[CODIGO]]="","",VLOOKUP(GUAYAQUIL[[#This Row],[CODIGO]],MAESTRO!$A:$Q,17,FALSE)),"")</f>
        <v>QUESOS Y GRASAS</v>
      </c>
      <c r="C84" s="42" t="str">
        <f>+IFERROR(IF(GUAYAQUIL[[#This Row],[CODIGO]]="","",VLOOKUP(GUAYAQUIL[[#This Row],[CODIGO]],MAESTRO!$A:$BA,53,FALSE)),"")</f>
        <v xml:space="preserve">Esteban Montenegro                      </v>
      </c>
      <c r="D84" s="42" t="str">
        <f>+IFERROR(IF(GUAYAQUIL[[#This Row],[CODIGO]]="","",VLOOKUP(GUAYAQUIL[[#This Row],[CODIGO]],MAESTRO!$A:$D,4,FALSE)),"")</f>
        <v>QUESO SEMIMADURO KIOSKO</v>
      </c>
      <c r="E84" s="42" t="str">
        <f>+IFERROR(IF(GUAYAQUIL[[#This Row],[CODIGO]]="","",VLOOKUP(GUAYAQUIL[[#This Row],[CODIGO]],MAESTRO!$A:$F,6,FALSE)),"")</f>
        <v>QUESO PARMESANO KIOSKO RALLADO</v>
      </c>
      <c r="F84" s="42" t="str">
        <f>IF(GUAYAQUIL[[#This Row],[CODIGO]]="","",$K$6)</f>
        <v>GUAYAQUIL</v>
      </c>
      <c r="G84" s="42">
        <f>IF(GUAYAQUIL[[#This Row],[CODIGO]]="","",7711)</f>
        <v>7711</v>
      </c>
      <c r="H84" s="42">
        <f>IF(GUAYAQUIL[[#This Row],[CODIGO]]="","",1001)</f>
        <v>1001</v>
      </c>
      <c r="I84" s="258" t="s">
        <v>3507</v>
      </c>
      <c r="J84" s="25" t="str">
        <f>IFERROR((VLOOKUP(GUAYAQUIL[[#This Row],[CODIGO]],MAESTRO!A:B,2,FALSE)),"")</f>
        <v>Q PARME KIOSKO RALL BOL 40G</v>
      </c>
      <c r="K84" s="35">
        <v>900</v>
      </c>
      <c r="L84" s="205">
        <f>+IFERROR(IF(GUAYAQUIL[[#This Row],[CODIGO]]="","",VLOOKUP(GUAYAQUIL[[#This Row],[CODIGO]],MAESTRO!$A:$BF,58,FALSE)),"")</f>
        <v>1</v>
      </c>
      <c r="M84" s="27">
        <f>+IFERROR(IF(GUAYAQUIL[[#This Row],[CODIGO]]="","",VLOOKUP(GUAYAQUIL[[#This Row],[CODIGO]],MAESTRO!A:N,14,FALSE)),"")</f>
        <v>0.04</v>
      </c>
      <c r="N84" s="290">
        <f>+IFERROR(IF(GUAYAQUIL[[#This Row],[CODIGO]]="","",VLOOKUP(GUAYAQUIL[[#This Row],[CODIGO]],MAESTRO!A:P,16,FALSE)),"")</f>
        <v>180</v>
      </c>
      <c r="O84" s="45">
        <v>45609</v>
      </c>
      <c r="P84" s="292" t="str">
        <f t="shared" si="5"/>
        <v>miércoles</v>
      </c>
      <c r="Q84" s="278">
        <f>IFERROR(IF(GUAYAQUIL[[#This Row],[CODIGO]]="","",IF(GUAYAQUIL[[#This Row],[Fecha Cad]]="","",(GUAYAQUIL[[#This Row],[Fecha Cad]]-GUAYAQUIL[[#This Row],[VIDA UTIL (Días)]]))+1),"")</f>
        <v>45596</v>
      </c>
      <c r="R84" s="45">
        <v>45775</v>
      </c>
      <c r="S84" s="30">
        <f t="shared" ca="1" si="6"/>
        <v>151</v>
      </c>
      <c r="T84" s="294">
        <f t="shared" ca="1" si="7"/>
        <v>0.83888888888888891</v>
      </c>
      <c r="U84" s="286">
        <v>6</v>
      </c>
      <c r="V84" s="262">
        <f>+IFERROR(IF(GUAYAQUIL[[#This Row],[CODIGO]]="","",GUAYAQUIL[[#This Row],[Stock Actual Unds]]*GUAYAQUIL[[#This Row],[Gramaje]]*GUAYAQUIL[[#This Row],[Conversión]]),"")</f>
        <v>0.24</v>
      </c>
      <c r="W84" s="299">
        <f t="shared" si="8"/>
        <v>13</v>
      </c>
      <c r="X84" s="44">
        <f t="shared" si="9"/>
        <v>0.92777777777777781</v>
      </c>
      <c r="Y84" s="236">
        <f>IFERROR(VLOOKUP(GUAYAQUIL[[#This Row],[CODIGO]],MAESTRO!A:BI,21,FALSE),0)</f>
        <v>0.47916999999999998</v>
      </c>
      <c r="Z84" s="237">
        <f>+IFERROR(IF(GUAYAQUIL[[#This Row],[CODIGO]]="","",GUAYAQUIL[[#This Row],[COSTO UNIT base]]*GUAYAQUIL[[#This Row],[Conversión]]),"")</f>
        <v>0.47916999999999998</v>
      </c>
      <c r="AA84" s="236">
        <f>+IFERROR(IF(GUAYAQUIL[[#This Row],[CODIGO]]="","",GUAYAQUIL[[#This Row],[COSTO UNIT Conv]]*GUAYAQUIL[[#This Row],[Stock Actual Kgs]]),"")</f>
        <v>0.11500079999999999</v>
      </c>
      <c r="AB84" s="180">
        <f ca="1">+IFERROR(IF(GUAYAQUIL[[#This Row],[CODIGO]]="","",$J$3-O84),"")</f>
        <v>15</v>
      </c>
      <c r="AC84" s="35" t="str">
        <f ca="1">IF(GUAYAQUIL[[#This Row],[CODIGO]]="","",IF(S84&lt;=0,"CADUCADO",IF(AND(S84&gt;0,S84&lt;=21),"FECHA CORTA",IF(AND(S84&gt;=22,S84&lt;=26),"PROXIMOS FECHA CORTA", "VIGENTE"))))</f>
        <v>VIGENTE</v>
      </c>
      <c r="AD84" s="37">
        <f>+IF(GUAYAQUIL[[#This Row],[CODIGO]]="","",GUAYAQUIL[[#This Row],[Stock Actual Unds]]*GUAYAQUIL[[#This Row],[Gramaje]]*GUAYAQUIL[[#This Row],[Conversión]])/1000</f>
        <v>2.3999999999999998E-4</v>
      </c>
    </row>
    <row r="85" spans="1:30">
      <c r="A85" s="42" t="str">
        <f>+IFERROR(IF(GUAYAQUIL[[#This Row],[CODIGO]]="","",VLOOKUP(GUAYAQUIL[[#This Row],[CODIGO]],MAESTRO!$A:$J,10,FALSE)),"")</f>
        <v>SAN GABRIEL</v>
      </c>
      <c r="B85" s="42" t="str">
        <f>+IFERROR(IF(GUAYAQUIL[[#This Row],[CODIGO]]="","",VLOOKUP(GUAYAQUIL[[#This Row],[CODIGO]],MAESTRO!$A:$Q,17,FALSE)),"")</f>
        <v>QUESOS Y GRASAS</v>
      </c>
      <c r="C85" s="42" t="str">
        <f>+IFERROR(IF(GUAYAQUIL[[#This Row],[CODIGO]]="","",VLOOKUP(GUAYAQUIL[[#This Row],[CODIGO]],MAESTRO!$A:$BA,53,FALSE)),"")</f>
        <v xml:space="preserve">Esteban Montenegro                      </v>
      </c>
      <c r="D85" s="42" t="str">
        <f>+IFERROR(IF(GUAYAQUIL[[#This Row],[CODIGO]]="","",VLOOKUP(GUAYAQUIL[[#This Row],[CODIGO]],MAESTRO!$A:$D,4,FALSE)),"")</f>
        <v>QUESO SEMIMADURO KIOSKO</v>
      </c>
      <c r="E85" s="42" t="str">
        <f>+IFERROR(IF(GUAYAQUIL[[#This Row],[CODIGO]]="","",VLOOKUP(GUAYAQUIL[[#This Row],[CODIGO]],MAESTRO!$A:$F,6,FALSE)),"")</f>
        <v>QUESO PARMESANO KIOSKO RALLADO</v>
      </c>
      <c r="F85" s="42" t="str">
        <f>IF(GUAYAQUIL[[#This Row],[CODIGO]]="","",$K$6)</f>
        <v>GUAYAQUIL</v>
      </c>
      <c r="G85" s="42">
        <f>IF(GUAYAQUIL[[#This Row],[CODIGO]]="","",7711)</f>
        <v>7711</v>
      </c>
      <c r="H85" s="42">
        <f>IF(GUAYAQUIL[[#This Row],[CODIGO]]="","",1001)</f>
        <v>1001</v>
      </c>
      <c r="I85" s="258" t="s">
        <v>3507</v>
      </c>
      <c r="J85" s="25" t="str">
        <f>IFERROR((VLOOKUP(GUAYAQUIL[[#This Row],[CODIGO]],MAESTRO!A:B,2,FALSE)),"")</f>
        <v>Q PARME KIOSKO RALL BOL 40G</v>
      </c>
      <c r="K85" s="35">
        <v>1650</v>
      </c>
      <c r="L85" s="205">
        <f>+IFERROR(IF(GUAYAQUIL[[#This Row],[CODIGO]]="","",VLOOKUP(GUAYAQUIL[[#This Row],[CODIGO]],MAESTRO!$A:$BF,58,FALSE)),"")</f>
        <v>1</v>
      </c>
      <c r="M85" s="27">
        <f>+IFERROR(IF(GUAYAQUIL[[#This Row],[CODIGO]]="","",VLOOKUP(GUAYAQUIL[[#This Row],[CODIGO]],MAESTRO!A:N,14,FALSE)),"")</f>
        <v>0.04</v>
      </c>
      <c r="N85" s="290">
        <f>+IFERROR(IF(GUAYAQUIL[[#This Row],[CODIGO]]="","",VLOOKUP(GUAYAQUIL[[#This Row],[CODIGO]],MAESTRO!A:P,16,FALSE)),"")</f>
        <v>180</v>
      </c>
      <c r="O85" s="45">
        <v>45615</v>
      </c>
      <c r="P85" s="292" t="str">
        <f t="shared" si="5"/>
        <v>martes</v>
      </c>
      <c r="Q85" s="278">
        <f>IFERROR(IF(GUAYAQUIL[[#This Row],[CODIGO]]="","",IF(GUAYAQUIL[[#This Row],[Fecha Cad]]="","",(GUAYAQUIL[[#This Row],[Fecha Cad]]-GUAYAQUIL[[#This Row],[VIDA UTIL (Días)]]))+1),"")</f>
        <v>45608</v>
      </c>
      <c r="R85" s="45">
        <v>45787</v>
      </c>
      <c r="S85" s="30">
        <f t="shared" ca="1" si="6"/>
        <v>163</v>
      </c>
      <c r="T85" s="294">
        <f t="shared" ca="1" si="7"/>
        <v>0.90555555555555556</v>
      </c>
      <c r="U85" s="295">
        <v>1650</v>
      </c>
      <c r="V85" s="262">
        <f>+IFERROR(IF(GUAYAQUIL[[#This Row],[CODIGO]]="","",GUAYAQUIL[[#This Row],[Stock Actual Unds]]*GUAYAQUIL[[#This Row],[Gramaje]]*GUAYAQUIL[[#This Row],[Conversión]]),"")</f>
        <v>66</v>
      </c>
      <c r="W85" s="299">
        <f t="shared" si="8"/>
        <v>7</v>
      </c>
      <c r="X85" s="44">
        <f t="shared" si="9"/>
        <v>0.96111111111111114</v>
      </c>
      <c r="Y85" s="236">
        <f>IFERROR(VLOOKUP(GUAYAQUIL[[#This Row],[CODIGO]],MAESTRO!A:BI,21,FALSE),0)</f>
        <v>0.47916999999999998</v>
      </c>
      <c r="Z85" s="237">
        <f>+IFERROR(IF(GUAYAQUIL[[#This Row],[CODIGO]]="","",GUAYAQUIL[[#This Row],[COSTO UNIT base]]*GUAYAQUIL[[#This Row],[Conversión]]),"")</f>
        <v>0.47916999999999998</v>
      </c>
      <c r="AA85" s="236">
        <f>+IFERROR(IF(GUAYAQUIL[[#This Row],[CODIGO]]="","",GUAYAQUIL[[#This Row],[COSTO UNIT Conv]]*GUAYAQUIL[[#This Row],[Stock Actual Kgs]]),"")</f>
        <v>31.625219999999999</v>
      </c>
      <c r="AB85" s="180">
        <f ca="1">+IFERROR(IF(GUAYAQUIL[[#This Row],[CODIGO]]="","",$J$3-O85),"")</f>
        <v>9</v>
      </c>
      <c r="AC85" s="35" t="str">
        <f ca="1">IF(GUAYAQUIL[[#This Row],[CODIGO]]="","",IF(S85&lt;=0,"CADUCADO",IF(AND(S85&gt;0,S85&lt;=21),"FECHA CORTA",IF(AND(S85&gt;=22,S85&lt;=26),"PROXIMOS FECHA CORTA", "VIGENTE"))))</f>
        <v>VIGENTE</v>
      </c>
      <c r="AD85" s="37">
        <f>+IF(GUAYAQUIL[[#This Row],[CODIGO]]="","",GUAYAQUIL[[#This Row],[Stock Actual Unds]]*GUAYAQUIL[[#This Row],[Gramaje]]*GUAYAQUIL[[#This Row],[Conversión]])/1000</f>
        <v>6.6000000000000003E-2</v>
      </c>
    </row>
    <row r="86" spans="1:30">
      <c r="A86" s="42" t="str">
        <f>+IFERROR(IF(GUAYAQUIL[[#This Row],[CODIGO]]="","",VLOOKUP(GUAYAQUIL[[#This Row],[CODIGO]],MAESTRO!$A:$J,10,FALSE)),"")</f>
        <v>SAN GABRIEL</v>
      </c>
      <c r="B86" s="42" t="str">
        <f>+IFERROR(IF(GUAYAQUIL[[#This Row],[CODIGO]]="","",VLOOKUP(GUAYAQUIL[[#This Row],[CODIGO]],MAESTRO!$A:$Q,17,FALSE)),"")</f>
        <v>QUESOS Y GRASAS</v>
      </c>
      <c r="C86" s="42" t="str">
        <f>+IFERROR(IF(GUAYAQUIL[[#This Row],[CODIGO]]="","",VLOOKUP(GUAYAQUIL[[#This Row],[CODIGO]],MAESTRO!$A:$BA,53,FALSE)),"")</f>
        <v xml:space="preserve">Esteban Montenegro                      </v>
      </c>
      <c r="D86" s="42" t="str">
        <f>+IFERROR(IF(GUAYAQUIL[[#This Row],[CODIGO]]="","",VLOOKUP(GUAYAQUIL[[#This Row],[CODIGO]],MAESTRO!$A:$D,4,FALSE)),"")</f>
        <v>QUESO SEMIMADURO KIOSKO</v>
      </c>
      <c r="E86" s="42" t="str">
        <f>+IFERROR(IF(GUAYAQUIL[[#This Row],[CODIGO]]="","",VLOOKUP(GUAYAQUIL[[#This Row],[CODIGO]],MAESTRO!$A:$F,6,FALSE)),"")</f>
        <v>QUESO PARMESANO KIOSKO RALLADO</v>
      </c>
      <c r="F86" s="42" t="str">
        <f>IF(GUAYAQUIL[[#This Row],[CODIGO]]="","",$K$6)</f>
        <v>GUAYAQUIL</v>
      </c>
      <c r="G86" s="42">
        <f>IF(GUAYAQUIL[[#This Row],[CODIGO]]="","",7711)</f>
        <v>7711</v>
      </c>
      <c r="H86" s="42">
        <f>IF(GUAYAQUIL[[#This Row],[CODIGO]]="","",1001)</f>
        <v>1001</v>
      </c>
      <c r="I86" s="258" t="s">
        <v>3507</v>
      </c>
      <c r="J86" s="25" t="str">
        <f>IFERROR((VLOOKUP(GUAYAQUIL[[#This Row],[CODIGO]],MAESTRO!A:B,2,FALSE)),"")</f>
        <v>Q PARME KIOSKO RALL BOL 40G</v>
      </c>
      <c r="K86" s="35">
        <v>0</v>
      </c>
      <c r="L86" s="205">
        <f>+IFERROR(IF(GUAYAQUIL[[#This Row],[CODIGO]]="","",VLOOKUP(GUAYAQUIL[[#This Row],[CODIGO]],MAESTRO!$A:$BF,58,FALSE)),"")</f>
        <v>1</v>
      </c>
      <c r="M86" s="27">
        <f>+IFERROR(IF(GUAYAQUIL[[#This Row],[CODIGO]]="","",VLOOKUP(GUAYAQUIL[[#This Row],[CODIGO]],MAESTRO!A:N,14,FALSE)),"")</f>
        <v>0.04</v>
      </c>
      <c r="N86" s="290">
        <f>+IFERROR(IF(GUAYAQUIL[[#This Row],[CODIGO]]="","",VLOOKUP(GUAYAQUIL[[#This Row],[CODIGO]],MAESTRO!A:P,16,FALSE)),"")</f>
        <v>180</v>
      </c>
      <c r="O86" s="45">
        <v>45623</v>
      </c>
      <c r="P86" s="292" t="str">
        <f t="shared" si="5"/>
        <v>miércoles</v>
      </c>
      <c r="Q86" s="278">
        <f>IFERROR(IF(GUAYAQUIL[[#This Row],[CODIGO]]="","",IF(GUAYAQUIL[[#This Row],[Fecha Cad]]="","",(GUAYAQUIL[[#This Row],[Fecha Cad]]-GUAYAQUIL[[#This Row],[VIDA UTIL (Días)]]))+1),"")</f>
        <v>45623</v>
      </c>
      <c r="R86" s="45">
        <v>45802</v>
      </c>
      <c r="S86" s="30">
        <f t="shared" ca="1" si="6"/>
        <v>178</v>
      </c>
      <c r="T86" s="294">
        <f t="shared" ca="1" si="7"/>
        <v>0.98888888888888893</v>
      </c>
      <c r="U86" s="295">
        <v>2119</v>
      </c>
      <c r="V86" s="262">
        <f>+IFERROR(IF(GUAYAQUIL[[#This Row],[CODIGO]]="","",GUAYAQUIL[[#This Row],[Stock Actual Unds]]*GUAYAQUIL[[#This Row],[Gramaje]]*GUAYAQUIL[[#This Row],[Conversión]]),"")</f>
        <v>84.76</v>
      </c>
      <c r="W86" s="299">
        <f t="shared" si="8"/>
        <v>0</v>
      </c>
      <c r="X86" s="44">
        <f t="shared" si="9"/>
        <v>1</v>
      </c>
      <c r="Y86" s="236">
        <f>IFERROR(VLOOKUP(GUAYAQUIL[[#This Row],[CODIGO]],MAESTRO!A:BI,21,FALSE),0)</f>
        <v>0.47916999999999998</v>
      </c>
      <c r="Z86" s="237">
        <f>+IFERROR(IF(GUAYAQUIL[[#This Row],[CODIGO]]="","",GUAYAQUIL[[#This Row],[COSTO UNIT base]]*GUAYAQUIL[[#This Row],[Conversión]]),"")</f>
        <v>0.47916999999999998</v>
      </c>
      <c r="AA86" s="236">
        <f>+IFERROR(IF(GUAYAQUIL[[#This Row],[CODIGO]]="","",GUAYAQUIL[[#This Row],[COSTO UNIT Conv]]*GUAYAQUIL[[#This Row],[Stock Actual Kgs]]),"")</f>
        <v>40.614449200000003</v>
      </c>
      <c r="AB86" s="180">
        <f ca="1">+IFERROR(IF(GUAYAQUIL[[#This Row],[CODIGO]]="","",$J$3-O86),"")</f>
        <v>1</v>
      </c>
      <c r="AC86" s="35" t="str">
        <f ca="1">IF(GUAYAQUIL[[#This Row],[CODIGO]]="","",IF(S86&lt;=0,"CADUCADO",IF(AND(S86&gt;0,S86&lt;=21),"FECHA CORTA",IF(AND(S86&gt;=22,S86&lt;=26),"PROXIMOS FECHA CORTA", "VIGENTE"))))</f>
        <v>VIGENTE</v>
      </c>
      <c r="AD86" s="37">
        <f>+IF(GUAYAQUIL[[#This Row],[CODIGO]]="","",GUAYAQUIL[[#This Row],[Stock Actual Unds]]*GUAYAQUIL[[#This Row],[Gramaje]]*GUAYAQUIL[[#This Row],[Conversión]])/1000</f>
        <v>8.4760000000000002E-2</v>
      </c>
    </row>
    <row r="87" spans="1:30">
      <c r="A87" s="42" t="str">
        <f>+IFERROR(IF(GUAYAQUIL[[#This Row],[CODIGO]]="","",VLOOKUP(GUAYAQUIL[[#This Row],[CODIGO]],MAESTRO!$A:$J,10,FALSE)),"")</f>
        <v>SAN GABRIEL</v>
      </c>
      <c r="B87" s="42" t="str">
        <f>+IFERROR(IF(GUAYAQUIL[[#This Row],[CODIGO]]="","",VLOOKUP(GUAYAQUIL[[#This Row],[CODIGO]],MAESTRO!$A:$Q,17,FALSE)),"")</f>
        <v>QUESOS Y GRASAS</v>
      </c>
      <c r="C87" s="42" t="str">
        <f>+IFERROR(IF(GUAYAQUIL[[#This Row],[CODIGO]]="","",VLOOKUP(GUAYAQUIL[[#This Row],[CODIGO]],MAESTRO!$A:$BA,53,FALSE)),"")</f>
        <v xml:space="preserve">Esteban Montenegro                      </v>
      </c>
      <c r="D87" s="42" t="str">
        <f>+IFERROR(IF(GUAYAQUIL[[#This Row],[CODIGO]]="","",VLOOKUP(GUAYAQUIL[[#This Row],[CODIGO]],MAESTRO!$A:$D,4,FALSE)),"")</f>
        <v>QUESO SEMIMADURO KIOSKO</v>
      </c>
      <c r="E87" s="42" t="str">
        <f>+IFERROR(IF(GUAYAQUIL[[#This Row],[CODIGO]]="","",VLOOKUP(GUAYAQUIL[[#This Row],[CODIGO]],MAESTRO!$A:$F,6,FALSE)),"")</f>
        <v>QUESO PARMESANO KIOSKO RALLADO</v>
      </c>
      <c r="F87" s="42" t="str">
        <f>IF(GUAYAQUIL[[#This Row],[CODIGO]]="","",$K$6)</f>
        <v>GUAYAQUIL</v>
      </c>
      <c r="G87" s="209">
        <f>IF(GUAYAQUIL[[#This Row],[CODIGO]]="","",7711)</f>
        <v>7711</v>
      </c>
      <c r="H87" s="209">
        <f>IF(GUAYAQUIL[[#This Row],[CODIGO]]="","",1001)</f>
        <v>1001</v>
      </c>
      <c r="I87" s="258" t="s">
        <v>3507</v>
      </c>
      <c r="J87" s="25" t="str">
        <f>IFERROR((VLOOKUP(GUAYAQUIL[[#This Row],[CODIGO]],MAESTRO!A:B,2,FALSE)),"")</f>
        <v>Q PARME KIOSKO RALL BOL 40G</v>
      </c>
      <c r="K87" s="35">
        <v>450</v>
      </c>
      <c r="L87" s="205">
        <f>+IFERROR(IF(GUAYAQUIL[[#This Row],[CODIGO]]="","",VLOOKUP(GUAYAQUIL[[#This Row],[CODIGO]],MAESTRO!$A:$BF,58,FALSE)),"")</f>
        <v>1</v>
      </c>
      <c r="M87" s="27">
        <f>+IFERROR(IF(GUAYAQUIL[[#This Row],[CODIGO]]="","",VLOOKUP(GUAYAQUIL[[#This Row],[CODIGO]],MAESTRO!A:N,14,FALSE)),"")</f>
        <v>0.04</v>
      </c>
      <c r="N87" s="290">
        <f>+IFERROR(IF(GUAYAQUIL[[#This Row],[CODIGO]]="","",VLOOKUP(GUAYAQUIL[[#This Row],[CODIGO]],MAESTRO!A:P,16,FALSE)),"")</f>
        <v>180</v>
      </c>
      <c r="O87" s="45">
        <v>45616</v>
      </c>
      <c r="P87" s="292" t="str">
        <f t="shared" si="5"/>
        <v>miércoles</v>
      </c>
      <c r="Q87" s="278">
        <f>IFERROR(IF(GUAYAQUIL[[#This Row],[CODIGO]]="","",IF(GUAYAQUIL[[#This Row],[Fecha Cad]]="","",(GUAYAQUIL[[#This Row],[Fecha Cad]]-GUAYAQUIL[[#This Row],[VIDA UTIL (Días)]]))+1),"")</f>
        <v>45610</v>
      </c>
      <c r="R87" s="45">
        <v>45789</v>
      </c>
      <c r="S87" s="30">
        <f t="shared" ca="1" si="6"/>
        <v>165</v>
      </c>
      <c r="T87" s="294">
        <f t="shared" ca="1" si="7"/>
        <v>0.91666666666666663</v>
      </c>
      <c r="U87" s="295">
        <v>450</v>
      </c>
      <c r="V87" s="262">
        <f>+IFERROR(IF(GUAYAQUIL[[#This Row],[CODIGO]]="","",GUAYAQUIL[[#This Row],[Stock Actual Unds]]*GUAYAQUIL[[#This Row],[Gramaje]]*GUAYAQUIL[[#This Row],[Conversión]]),"")</f>
        <v>18</v>
      </c>
      <c r="W87" s="299">
        <f t="shared" si="8"/>
        <v>6</v>
      </c>
      <c r="X87" s="44">
        <f t="shared" si="9"/>
        <v>0.96666666666666667</v>
      </c>
      <c r="Y87" s="236">
        <f>IFERROR(VLOOKUP(GUAYAQUIL[[#This Row],[CODIGO]],MAESTRO!A:BI,21,FALSE),0)</f>
        <v>0.47916999999999998</v>
      </c>
      <c r="Z87" s="237">
        <f>+IFERROR(IF(GUAYAQUIL[[#This Row],[CODIGO]]="","",GUAYAQUIL[[#This Row],[COSTO UNIT base]]*GUAYAQUIL[[#This Row],[Conversión]]),"")</f>
        <v>0.47916999999999998</v>
      </c>
      <c r="AA87" s="236">
        <f>+IFERROR(IF(GUAYAQUIL[[#This Row],[CODIGO]]="","",GUAYAQUIL[[#This Row],[COSTO UNIT Conv]]*GUAYAQUIL[[#This Row],[Stock Actual Kgs]]),"")</f>
        <v>8.6250599999999995</v>
      </c>
      <c r="AB87" s="180">
        <f ca="1">+IFERROR(IF(GUAYAQUIL[[#This Row],[CODIGO]]="","",$J$3-O87),"")</f>
        <v>8</v>
      </c>
      <c r="AC87" s="35" t="str">
        <f ca="1">IF(GUAYAQUIL[[#This Row],[CODIGO]]="","",IF(S87&lt;=0,"CADUCADO",IF(AND(S87&gt;0,S87&lt;=21),"FECHA CORTA",IF(AND(S87&gt;=22,S87&lt;=26),"PROXIMOS FECHA CORTA", "VIGENTE"))))</f>
        <v>VIGENTE</v>
      </c>
      <c r="AD87" s="37">
        <f>+IF(GUAYAQUIL[[#This Row],[CODIGO]]="","",GUAYAQUIL[[#This Row],[Stock Actual Unds]]*GUAYAQUIL[[#This Row],[Gramaje]]*GUAYAQUIL[[#This Row],[Conversión]])/1000</f>
        <v>1.7999999999999999E-2</v>
      </c>
    </row>
    <row r="88" spans="1:30">
      <c r="A88" s="24" t="str">
        <f>+IFERROR(IF(GUAYAQUIL[[#This Row],[CODIGO]]="","",VLOOKUP(GUAYAQUIL[[#This Row],[CODIGO]],MAESTRO!$A:$J,10,FALSE)),"")</f>
        <v>SAN GABRIEL</v>
      </c>
      <c r="B88" s="24" t="str">
        <f>+IFERROR(IF(GUAYAQUIL[[#This Row],[CODIGO]]="","",VLOOKUP(GUAYAQUIL[[#This Row],[CODIGO]],MAESTRO!$A:$Q,17,FALSE)),"")</f>
        <v>QUESOS Y GRASAS</v>
      </c>
      <c r="C88" s="24" t="str">
        <f>+IFERROR(IF(GUAYAQUIL[[#This Row],[CODIGO]]="","",VLOOKUP(GUAYAQUIL[[#This Row],[CODIGO]],MAESTRO!$A:$BA,53,FALSE)),"")</f>
        <v xml:space="preserve">Esteban Montenegro                      </v>
      </c>
      <c r="D88" s="24" t="str">
        <f>+IFERROR(IF(GUAYAQUIL[[#This Row],[CODIGO]]="","",VLOOKUP(GUAYAQUIL[[#This Row],[CODIGO]],MAESTRO!$A:$D,4,FALSE)),"")</f>
        <v>QUESO SEMIMADURO KIOSKO</v>
      </c>
      <c r="E88" s="24" t="str">
        <f>+IFERROR(IF(GUAYAQUIL[[#This Row],[CODIGO]]="","",VLOOKUP(GUAYAQUIL[[#This Row],[CODIGO]],MAESTRO!$A:$F,6,FALSE)),"")</f>
        <v>QUESO PARMESANO KIOSKO RALLADO</v>
      </c>
      <c r="F88" s="42" t="str">
        <f>IF(GUAYAQUIL[[#This Row],[CODIGO]]="","",$K$6)</f>
        <v>GUAYAQUIL</v>
      </c>
      <c r="G88" s="42">
        <f>IF(GUAYAQUIL[[#This Row],[CODIGO]]="","",7711)</f>
        <v>7711</v>
      </c>
      <c r="H88" s="42">
        <f>IF(GUAYAQUIL[[#This Row],[CODIGO]]="","",1001)</f>
        <v>1001</v>
      </c>
      <c r="I88" s="258" t="s">
        <v>3507</v>
      </c>
      <c r="J88" s="25" t="str">
        <f>IFERROR((VLOOKUP(GUAYAQUIL[[#This Row],[CODIGO]],MAESTRO!A:B,2,FALSE)),"")</f>
        <v>Q PARME KIOSKO RALL BOL 40G</v>
      </c>
      <c r="K88" s="35">
        <v>750</v>
      </c>
      <c r="L88" s="38">
        <f>+IFERROR(IF(GUAYAQUIL[[#This Row],[CODIGO]]="","",VLOOKUP(GUAYAQUIL[[#This Row],[CODIGO]],MAESTRO!$A:$BF,58,FALSE)),"")</f>
        <v>1</v>
      </c>
      <c r="M88" s="27">
        <f>+IFERROR(IF(GUAYAQUIL[[#This Row],[CODIGO]]="","",VLOOKUP(GUAYAQUIL[[#This Row],[CODIGO]],MAESTRO!A:N,14,FALSE)),"")</f>
        <v>0.04</v>
      </c>
      <c r="N88" s="28">
        <f>+IFERROR(IF(GUAYAQUIL[[#This Row],[CODIGO]]="","",VLOOKUP(GUAYAQUIL[[#This Row],[CODIGO]],MAESTRO!A:P,16,FALSE)),"")</f>
        <v>180</v>
      </c>
      <c r="O88" s="45">
        <v>45617</v>
      </c>
      <c r="P88" s="72" t="str">
        <f t="shared" si="5"/>
        <v>jueves</v>
      </c>
      <c r="Q88" s="29">
        <f>IFERROR(IF(GUAYAQUIL[[#This Row],[CODIGO]]="","",IF(GUAYAQUIL[[#This Row],[Fecha Cad]]="","",(GUAYAQUIL[[#This Row],[Fecha Cad]]-GUAYAQUIL[[#This Row],[VIDA UTIL (Días)]]))+1),"")</f>
        <v>45610</v>
      </c>
      <c r="R88" s="45">
        <v>45789</v>
      </c>
      <c r="S88" s="30">
        <f t="shared" ca="1" si="6"/>
        <v>165</v>
      </c>
      <c r="T88" s="31">
        <f t="shared" ca="1" si="7"/>
        <v>0.91666666666666663</v>
      </c>
      <c r="U88" s="286">
        <v>750</v>
      </c>
      <c r="V88" s="262">
        <f>+IFERROR(IF(GUAYAQUIL[[#This Row],[CODIGO]]="","",GUAYAQUIL[[#This Row],[Stock Actual Unds]]*GUAYAQUIL[[#This Row],[Gramaje]]*GUAYAQUIL[[#This Row],[Conversión]]),"")</f>
        <v>30</v>
      </c>
      <c r="W88" s="270">
        <f t="shared" si="8"/>
        <v>7</v>
      </c>
      <c r="X88" s="32">
        <f t="shared" si="9"/>
        <v>0.96111111111111114</v>
      </c>
      <c r="Y88" s="236">
        <f>IFERROR(VLOOKUP(GUAYAQUIL[[#This Row],[CODIGO]],MAESTRO!A:BI,21,FALSE),0)</f>
        <v>0.47916999999999998</v>
      </c>
      <c r="Z88" s="237">
        <f>+IFERROR(IF(GUAYAQUIL[[#This Row],[CODIGO]]="","",GUAYAQUIL[[#This Row],[COSTO UNIT base]]*GUAYAQUIL[[#This Row],[Conversión]]),"")</f>
        <v>0.47916999999999998</v>
      </c>
      <c r="AA88" s="236">
        <f>+IFERROR(IF(GUAYAQUIL[[#This Row],[CODIGO]]="","",GUAYAQUIL[[#This Row],[COSTO UNIT Conv]]*GUAYAQUIL[[#This Row],[Stock Actual Kgs]]),"")</f>
        <v>14.3751</v>
      </c>
      <c r="AB88" s="33">
        <f ca="1">+IFERROR(IF(GUAYAQUIL[[#This Row],[CODIGO]]="","",$J$3-O88),"")</f>
        <v>7</v>
      </c>
      <c r="AC88" s="34" t="str">
        <f ca="1">IF(GUAYAQUIL[[#This Row],[CODIGO]]="","",IF(S88&lt;=0,"CADUCADO",IF(AND(S88&gt;0,S88&lt;=21),"FECHA CORTA",IF(AND(S88&gt;=22,S88&lt;=26),"PROXIMOS FECHA CORTA", "VIGENTE"))))</f>
        <v>VIGENTE</v>
      </c>
      <c r="AD88" s="37">
        <f>+IF(GUAYAQUIL[[#This Row],[CODIGO]]="","",GUAYAQUIL[[#This Row],[Stock Actual Unds]]*GUAYAQUIL[[#This Row],[Gramaje]]*GUAYAQUIL[[#This Row],[Conversión]])/1000</f>
        <v>0.03</v>
      </c>
    </row>
    <row r="89" spans="1:30">
      <c r="A89" s="24" t="str">
        <f>+IFERROR(IF(GUAYAQUIL[[#This Row],[CODIGO]]="","",VLOOKUP(GUAYAQUIL[[#This Row],[CODIGO]],MAESTRO!$A:$J,10,FALSE)),"")</f>
        <v>SAN GABRIEL</v>
      </c>
      <c r="B89" s="24" t="str">
        <f>+IFERROR(IF(GUAYAQUIL[[#This Row],[CODIGO]]="","",VLOOKUP(GUAYAQUIL[[#This Row],[CODIGO]],MAESTRO!$A:$Q,17,FALSE)),"")</f>
        <v>QUESOS Y GRASAS</v>
      </c>
      <c r="C89" s="24" t="str">
        <f>+IFERROR(IF(GUAYAQUIL[[#This Row],[CODIGO]]="","",VLOOKUP(GUAYAQUIL[[#This Row],[CODIGO]],MAESTRO!$A:$BA,53,FALSE)),"")</f>
        <v xml:space="preserve">Esteban Montenegro                      </v>
      </c>
      <c r="D89" s="24" t="str">
        <f>+IFERROR(IF(GUAYAQUIL[[#This Row],[CODIGO]]="","",VLOOKUP(GUAYAQUIL[[#This Row],[CODIGO]],MAESTRO!$A:$D,4,FALSE)),"")</f>
        <v>QUESO SEMIMADURO KIOSKO</v>
      </c>
      <c r="E89" s="24" t="str">
        <f>+IFERROR(IF(GUAYAQUIL[[#This Row],[CODIGO]]="","",VLOOKUP(GUAYAQUIL[[#This Row],[CODIGO]],MAESTRO!$A:$F,6,FALSE)),"")</f>
        <v>QUESO PARMESANO KIOSKO RALLADO</v>
      </c>
      <c r="F89" s="42" t="str">
        <f>IF(GUAYAQUIL[[#This Row],[CODIGO]]="","",$K$6)</f>
        <v>GUAYAQUIL</v>
      </c>
      <c r="G89" s="42">
        <f>IF(GUAYAQUIL[[#This Row],[CODIGO]]="","",7711)</f>
        <v>7711</v>
      </c>
      <c r="H89" s="42">
        <f>IF(GUAYAQUIL[[#This Row],[CODIGO]]="","",1001)</f>
        <v>1001</v>
      </c>
      <c r="I89" s="258" t="s">
        <v>3507</v>
      </c>
      <c r="J89" s="25" t="str">
        <f>IFERROR((VLOOKUP(GUAYAQUIL[[#This Row],[CODIGO]],MAESTRO!A:B,2,FALSE)),"")</f>
        <v>Q PARME KIOSKO RALL BOL 40G</v>
      </c>
      <c r="K89" s="35">
        <v>0</v>
      </c>
      <c r="L89" s="38">
        <f>+IFERROR(IF(GUAYAQUIL[[#This Row],[CODIGO]]="","",VLOOKUP(GUAYAQUIL[[#This Row],[CODIGO]],MAESTRO!$A:$BF,58,FALSE)),"")</f>
        <v>1</v>
      </c>
      <c r="M89" s="27">
        <f>+IFERROR(IF(GUAYAQUIL[[#This Row],[CODIGO]]="","",VLOOKUP(GUAYAQUIL[[#This Row],[CODIGO]],MAESTRO!A:N,14,FALSE)),"")</f>
        <v>0.04</v>
      </c>
      <c r="N89" s="28">
        <f>+IFERROR(IF(GUAYAQUIL[[#This Row],[CODIGO]]="","",VLOOKUP(GUAYAQUIL[[#This Row],[CODIGO]],MAESTRO!A:P,16,FALSE)),"")</f>
        <v>180</v>
      </c>
      <c r="O89" s="45">
        <v>45961</v>
      </c>
      <c r="P89" s="72" t="str">
        <f t="shared" si="5"/>
        <v>viernes</v>
      </c>
      <c r="Q89" s="29">
        <f>IFERROR(IF(GUAYAQUIL[[#This Row],[CODIGO]]="","",IF(GUAYAQUIL[[#This Row],[Fecha Cad]]="","",(GUAYAQUIL[[#This Row],[Fecha Cad]]-GUAYAQUIL[[#This Row],[VIDA UTIL (Días)]]))+1),"")</f>
        <v>45961</v>
      </c>
      <c r="R89" s="45">
        <v>46140</v>
      </c>
      <c r="S89" s="30">
        <f t="shared" ca="1" si="6"/>
        <v>516</v>
      </c>
      <c r="T89" s="31">
        <f t="shared" ca="1" si="7"/>
        <v>2.8666666666666667</v>
      </c>
      <c r="U89" s="286">
        <v>6</v>
      </c>
      <c r="V89" s="262">
        <f>+IFERROR(IF(GUAYAQUIL[[#This Row],[CODIGO]]="","",GUAYAQUIL[[#This Row],[Stock Actual Unds]]*GUAYAQUIL[[#This Row],[Gramaje]]*GUAYAQUIL[[#This Row],[Conversión]]),"")</f>
        <v>0.24</v>
      </c>
      <c r="W89" s="270">
        <f t="shared" si="8"/>
        <v>0</v>
      </c>
      <c r="X89" s="32">
        <f t="shared" si="9"/>
        <v>1</v>
      </c>
      <c r="Y89" s="236">
        <f>IFERROR(VLOOKUP(GUAYAQUIL[[#This Row],[CODIGO]],MAESTRO!A:BI,21,FALSE),0)</f>
        <v>0.47916999999999998</v>
      </c>
      <c r="Z89" s="237">
        <f>+IFERROR(IF(GUAYAQUIL[[#This Row],[CODIGO]]="","",GUAYAQUIL[[#This Row],[COSTO UNIT base]]*GUAYAQUIL[[#This Row],[Conversión]]),"")</f>
        <v>0.47916999999999998</v>
      </c>
      <c r="AA89" s="236">
        <f>+IFERROR(IF(GUAYAQUIL[[#This Row],[CODIGO]]="","",GUAYAQUIL[[#This Row],[COSTO UNIT Conv]]*GUAYAQUIL[[#This Row],[Stock Actual Kgs]]),"")</f>
        <v>0.11500079999999999</v>
      </c>
      <c r="AB89" s="33">
        <f ca="1">+IFERROR(IF(GUAYAQUIL[[#This Row],[CODIGO]]="","",$J$3-O89),"")</f>
        <v>-337</v>
      </c>
      <c r="AC89" s="34" t="str">
        <f ca="1">IF(GUAYAQUIL[[#This Row],[CODIGO]]="","",IF(S89&lt;=0,"CADUCADO",IF(AND(S89&gt;0,S89&lt;=21),"FECHA CORTA",IF(AND(S89&gt;=22,S89&lt;=26),"PROXIMOS FECHA CORTA", "VIGENTE"))))</f>
        <v>VIGENTE</v>
      </c>
      <c r="AD89" s="37">
        <f>+IF(GUAYAQUIL[[#This Row],[CODIGO]]="","",GUAYAQUIL[[#This Row],[Stock Actual Unds]]*GUAYAQUIL[[#This Row],[Gramaje]]*GUAYAQUIL[[#This Row],[Conversión]])/1000</f>
        <v>2.3999999999999998E-4</v>
      </c>
    </row>
    <row r="90" spans="1:30">
      <c r="A90" s="24" t="str">
        <f>+IFERROR(IF(GUAYAQUIL[[#This Row],[CODIGO]]="","",VLOOKUP(GUAYAQUIL[[#This Row],[CODIGO]],MAESTRO!$A:$J,10,FALSE)),"")</f>
        <v>SAN GABRIEL</v>
      </c>
      <c r="B90" s="24" t="str">
        <f>+IFERROR(IF(GUAYAQUIL[[#This Row],[CODIGO]]="","",VLOOKUP(GUAYAQUIL[[#This Row],[CODIGO]],MAESTRO!$A:$Q,17,FALSE)),"")</f>
        <v>QUESOS Y GRASAS</v>
      </c>
      <c r="C90" s="24" t="str">
        <f>+IFERROR(IF(GUAYAQUIL[[#This Row],[CODIGO]]="","",VLOOKUP(GUAYAQUIL[[#This Row],[CODIGO]],MAESTRO!$A:$BA,53,FALSE)),"")</f>
        <v xml:space="preserve">Esteban Montenegro                      </v>
      </c>
      <c r="D90" s="24" t="str">
        <f>+IFERROR(IF(GUAYAQUIL[[#This Row],[CODIGO]]="","",VLOOKUP(GUAYAQUIL[[#This Row],[CODIGO]],MAESTRO!$A:$D,4,FALSE)),"")</f>
        <v>QUESO SEMIMADURO KIOSKO</v>
      </c>
      <c r="E90" s="24" t="str">
        <f>+IFERROR(IF(GUAYAQUIL[[#This Row],[CODIGO]]="","",VLOOKUP(GUAYAQUIL[[#This Row],[CODIGO]],MAESTRO!$A:$F,6,FALSE)),"")</f>
        <v>QUESO PARMESANO KIOSKO RALLADO</v>
      </c>
      <c r="F90" s="42" t="str">
        <f>IF(GUAYAQUIL[[#This Row],[CODIGO]]="","",$K$6)</f>
        <v>GUAYAQUIL</v>
      </c>
      <c r="G90" s="42">
        <f>IF(GUAYAQUIL[[#This Row],[CODIGO]]="","",7711)</f>
        <v>7711</v>
      </c>
      <c r="H90" s="42">
        <f>IF(GUAYAQUIL[[#This Row],[CODIGO]]="","",1001)</f>
        <v>1001</v>
      </c>
      <c r="I90" s="258" t="s">
        <v>4091</v>
      </c>
      <c r="J90" s="25" t="str">
        <f>IFERROR((VLOOKUP(GUAYAQUIL[[#This Row],[CODIGO]],MAESTRO!A:B,2,FALSE)),"")</f>
        <v>Q PARME KIOSKO RALL BOL 500G</v>
      </c>
      <c r="K90" s="35">
        <v>140</v>
      </c>
      <c r="L90" s="38">
        <f>+IFERROR(IF(GUAYAQUIL[[#This Row],[CODIGO]]="","",VLOOKUP(GUAYAQUIL[[#This Row],[CODIGO]],MAESTRO!$A:$BF,58,FALSE)),"")</f>
        <v>1</v>
      </c>
      <c r="M90" s="27">
        <f>+IFERROR(IF(GUAYAQUIL[[#This Row],[CODIGO]]="","",VLOOKUP(GUAYAQUIL[[#This Row],[CODIGO]],MAESTRO!A:N,14,FALSE)),"")</f>
        <v>0.5</v>
      </c>
      <c r="N90" s="28">
        <f>+IFERROR(IF(GUAYAQUIL[[#This Row],[CODIGO]]="","",VLOOKUP(GUAYAQUIL[[#This Row],[CODIGO]],MAESTRO!A:P,16,FALSE)),"")</f>
        <v>180</v>
      </c>
      <c r="O90" s="45">
        <v>45608</v>
      </c>
      <c r="P90" s="72" t="str">
        <f t="shared" si="5"/>
        <v>martes</v>
      </c>
      <c r="Q90" s="29">
        <f>IFERROR(IF(GUAYAQUIL[[#This Row],[CODIGO]]="","",IF(GUAYAQUIL[[#This Row],[Fecha Cad]]="","",(GUAYAQUIL[[#This Row],[Fecha Cad]]-GUAYAQUIL[[#This Row],[VIDA UTIL (Días)]]))+1),"")</f>
        <v>45601</v>
      </c>
      <c r="R90" s="45">
        <v>45780</v>
      </c>
      <c r="S90" s="30">
        <f t="shared" ca="1" si="6"/>
        <v>156</v>
      </c>
      <c r="T90" s="31">
        <f t="shared" ca="1" si="7"/>
        <v>0.8666666666666667</v>
      </c>
      <c r="U90" s="286">
        <v>111</v>
      </c>
      <c r="V90" s="262">
        <f>+IFERROR(IF(GUAYAQUIL[[#This Row],[CODIGO]]="","",GUAYAQUIL[[#This Row],[Stock Actual Unds]]*GUAYAQUIL[[#This Row],[Gramaje]]*GUAYAQUIL[[#This Row],[Conversión]]),"")</f>
        <v>55.5</v>
      </c>
      <c r="W90" s="270">
        <f t="shared" si="8"/>
        <v>7</v>
      </c>
      <c r="X90" s="32">
        <f t="shared" si="9"/>
        <v>0.96111111111111114</v>
      </c>
      <c r="Y90" s="236">
        <f>IFERROR(VLOOKUP(GUAYAQUIL[[#This Row],[CODIGO]],MAESTRO!A:BI,21,FALSE),0)</f>
        <v>4.4371550000000006</v>
      </c>
      <c r="Z90" s="237">
        <f>+IFERROR(IF(GUAYAQUIL[[#This Row],[CODIGO]]="","",GUAYAQUIL[[#This Row],[COSTO UNIT base]]*GUAYAQUIL[[#This Row],[Conversión]]),"")</f>
        <v>4.4371550000000006</v>
      </c>
      <c r="AA90" s="236">
        <f>+IFERROR(IF(GUAYAQUIL[[#This Row],[CODIGO]]="","",GUAYAQUIL[[#This Row],[COSTO UNIT Conv]]*GUAYAQUIL[[#This Row],[Stock Actual Kgs]]),"")</f>
        <v>246.26210250000003</v>
      </c>
      <c r="AB90" s="33">
        <f ca="1">+IFERROR(IF(GUAYAQUIL[[#This Row],[CODIGO]]="","",$J$3-O90),"")</f>
        <v>16</v>
      </c>
      <c r="AC90" s="34" t="str">
        <f ca="1">IF(GUAYAQUIL[[#This Row],[CODIGO]]="","",IF(S90&lt;=0,"CADUCADO",IF(AND(S90&gt;0,S90&lt;=21),"FECHA CORTA",IF(AND(S90&gt;=22,S90&lt;=26),"PROXIMOS FECHA CORTA", "VIGENTE"))))</f>
        <v>VIGENTE</v>
      </c>
      <c r="AD90" s="37">
        <f>+IF(GUAYAQUIL[[#This Row],[CODIGO]]="","",GUAYAQUIL[[#This Row],[Stock Actual Unds]]*GUAYAQUIL[[#This Row],[Gramaje]]*GUAYAQUIL[[#This Row],[Conversión]])/1000</f>
        <v>5.5500000000000001E-2</v>
      </c>
    </row>
    <row r="91" spans="1:30">
      <c r="A91" s="42" t="str">
        <f>+IFERROR(IF(GUAYAQUIL[[#This Row],[CODIGO]]="","",VLOOKUP(GUAYAQUIL[[#This Row],[CODIGO]],MAESTRO!$A:$J,10,FALSE)),"")</f>
        <v>SAN GABRIEL</v>
      </c>
      <c r="B91" s="42" t="str">
        <f>+IFERROR(IF(GUAYAQUIL[[#This Row],[CODIGO]]="","",VLOOKUP(GUAYAQUIL[[#This Row],[CODIGO]],MAESTRO!$A:$Q,17,FALSE)),"")</f>
        <v>QUESOS Y GRASAS</v>
      </c>
      <c r="C91" s="42" t="str">
        <f>+IFERROR(IF(GUAYAQUIL[[#This Row],[CODIGO]]="","",VLOOKUP(GUAYAQUIL[[#This Row],[CODIGO]],MAESTRO!$A:$BA,53,FALSE)),"")</f>
        <v xml:space="preserve">Esteban Montenegro                      </v>
      </c>
      <c r="D91" s="42" t="str">
        <f>+IFERROR(IF(GUAYAQUIL[[#This Row],[CODIGO]]="","",VLOOKUP(GUAYAQUIL[[#This Row],[CODIGO]],MAESTRO!$A:$D,4,FALSE)),"")</f>
        <v>QUESO SEMIMADURO KIOSKO</v>
      </c>
      <c r="E91" s="42" t="str">
        <f>+IFERROR(IF(GUAYAQUIL[[#This Row],[CODIGO]]="","",VLOOKUP(GUAYAQUIL[[#This Row],[CODIGO]],MAESTRO!$A:$F,6,FALSE)),"")</f>
        <v>QUESO PARMESANO KIOSKO RALLADO</v>
      </c>
      <c r="F91" s="42" t="str">
        <f>IF(GUAYAQUIL[[#This Row],[CODIGO]]="","",$K$6)</f>
        <v>GUAYAQUIL</v>
      </c>
      <c r="G91" s="42">
        <f>IF(GUAYAQUIL[[#This Row],[CODIGO]]="","",7711)</f>
        <v>7711</v>
      </c>
      <c r="H91" s="42">
        <f>IF(GUAYAQUIL[[#This Row],[CODIGO]]="","",1001)</f>
        <v>1001</v>
      </c>
      <c r="I91" s="258" t="s">
        <v>4091</v>
      </c>
      <c r="J91" s="25" t="str">
        <f>IFERROR((VLOOKUP(GUAYAQUIL[[#This Row],[CODIGO]],MAESTRO!A:B,2,FALSE)),"")</f>
        <v>Q PARME KIOSKO RALL BOL 500G</v>
      </c>
      <c r="K91" s="35">
        <v>120</v>
      </c>
      <c r="L91" s="205">
        <f>+IFERROR(IF(GUAYAQUIL[[#This Row],[CODIGO]]="","",VLOOKUP(GUAYAQUIL[[#This Row],[CODIGO]],MAESTRO!$A:$BF,58,FALSE)),"")</f>
        <v>1</v>
      </c>
      <c r="M91" s="27">
        <f>+IFERROR(IF(GUAYAQUIL[[#This Row],[CODIGO]]="","",VLOOKUP(GUAYAQUIL[[#This Row],[CODIGO]],MAESTRO!A:N,14,FALSE)),"")</f>
        <v>0.5</v>
      </c>
      <c r="N91" s="290">
        <f>+IFERROR(IF(GUAYAQUIL[[#This Row],[CODIGO]]="","",VLOOKUP(GUAYAQUIL[[#This Row],[CODIGO]],MAESTRO!A:P,16,FALSE)),"")</f>
        <v>180</v>
      </c>
      <c r="O91" s="45">
        <v>45609</v>
      </c>
      <c r="P91" s="292" t="str">
        <f t="shared" si="5"/>
        <v>miércoles</v>
      </c>
      <c r="Q91" s="278">
        <f>IFERROR(IF(GUAYAQUIL[[#This Row],[CODIGO]]="","",IF(GUAYAQUIL[[#This Row],[Fecha Cad]]="","",(GUAYAQUIL[[#This Row],[Fecha Cad]]-GUAYAQUIL[[#This Row],[VIDA UTIL (Días)]]))+1),"")</f>
        <v>45601</v>
      </c>
      <c r="R91" s="45">
        <v>45780</v>
      </c>
      <c r="S91" s="30">
        <f t="shared" ca="1" si="6"/>
        <v>156</v>
      </c>
      <c r="T91" s="294">
        <f t="shared" ca="1" si="7"/>
        <v>0.8666666666666667</v>
      </c>
      <c r="U91" s="286">
        <v>120</v>
      </c>
      <c r="V91" s="262">
        <f>+IFERROR(IF(GUAYAQUIL[[#This Row],[CODIGO]]="","",GUAYAQUIL[[#This Row],[Stock Actual Unds]]*GUAYAQUIL[[#This Row],[Gramaje]]*GUAYAQUIL[[#This Row],[Conversión]]),"")</f>
        <v>60</v>
      </c>
      <c r="W91" s="299">
        <f t="shared" si="8"/>
        <v>8</v>
      </c>
      <c r="X91" s="44">
        <f t="shared" si="9"/>
        <v>0.9555555555555556</v>
      </c>
      <c r="Y91" s="236">
        <f>IFERROR(VLOOKUP(GUAYAQUIL[[#This Row],[CODIGO]],MAESTRO!A:BI,21,FALSE),0)</f>
        <v>4.4371550000000006</v>
      </c>
      <c r="Z91" s="237">
        <f>+IFERROR(IF(GUAYAQUIL[[#This Row],[CODIGO]]="","",GUAYAQUIL[[#This Row],[COSTO UNIT base]]*GUAYAQUIL[[#This Row],[Conversión]]),"")</f>
        <v>4.4371550000000006</v>
      </c>
      <c r="AA91" s="236">
        <f>+IFERROR(IF(GUAYAQUIL[[#This Row],[CODIGO]]="","",GUAYAQUIL[[#This Row],[COSTO UNIT Conv]]*GUAYAQUIL[[#This Row],[Stock Actual Kgs]]),"")</f>
        <v>266.22930000000002</v>
      </c>
      <c r="AB91" s="180">
        <f ca="1">+IFERROR(IF(GUAYAQUIL[[#This Row],[CODIGO]]="","",$J$3-O91),"")</f>
        <v>15</v>
      </c>
      <c r="AC91" s="35" t="str">
        <f ca="1">IF(GUAYAQUIL[[#This Row],[CODIGO]]="","",IF(S91&lt;=0,"CADUCADO",IF(AND(S91&gt;0,S91&lt;=21),"FECHA CORTA",IF(AND(S91&gt;=22,S91&lt;=26),"PROXIMOS FECHA CORTA", "VIGENTE"))))</f>
        <v>VIGENTE</v>
      </c>
      <c r="AD91" s="37">
        <f>+IF(GUAYAQUIL[[#This Row],[CODIGO]]="","",GUAYAQUIL[[#This Row],[Stock Actual Unds]]*GUAYAQUIL[[#This Row],[Gramaje]]*GUAYAQUIL[[#This Row],[Conversión]])/1000</f>
        <v>0.06</v>
      </c>
    </row>
    <row r="92" spans="1:30">
      <c r="A92" s="42" t="str">
        <f>+IFERROR(IF(GUAYAQUIL[[#This Row],[CODIGO]]="","",VLOOKUP(GUAYAQUIL[[#This Row],[CODIGO]],MAESTRO!$A:$J,10,FALSE)),"")</f>
        <v>SAN GABRIEL</v>
      </c>
      <c r="B92" s="42" t="str">
        <f>+IFERROR(IF(GUAYAQUIL[[#This Row],[CODIGO]]="","",VLOOKUP(GUAYAQUIL[[#This Row],[CODIGO]],MAESTRO!$A:$Q,17,FALSE)),"")</f>
        <v>QUESOS Y GRASAS</v>
      </c>
      <c r="C92" s="42" t="str">
        <f>+IFERROR(IF(GUAYAQUIL[[#This Row],[CODIGO]]="","",VLOOKUP(GUAYAQUIL[[#This Row],[CODIGO]],MAESTRO!$A:$BA,53,FALSE)),"")</f>
        <v xml:space="preserve">Esteban Montenegro                      </v>
      </c>
      <c r="D92" s="42" t="str">
        <f>+IFERROR(IF(GUAYAQUIL[[#This Row],[CODIGO]]="","",VLOOKUP(GUAYAQUIL[[#This Row],[CODIGO]],MAESTRO!$A:$D,4,FALSE)),"")</f>
        <v>QUESO SEMIMADURO KIOSKO</v>
      </c>
      <c r="E92" s="42" t="str">
        <f>+IFERROR(IF(GUAYAQUIL[[#This Row],[CODIGO]]="","",VLOOKUP(GUAYAQUIL[[#This Row],[CODIGO]],MAESTRO!$A:$F,6,FALSE)),"")</f>
        <v>QUESO PARMESANO KIOSKO RALLADO</v>
      </c>
      <c r="F92" s="42" t="str">
        <f>IF(GUAYAQUIL[[#This Row],[CODIGO]]="","",$K$6)</f>
        <v>GUAYAQUIL</v>
      </c>
      <c r="G92" s="42">
        <f>IF(GUAYAQUIL[[#This Row],[CODIGO]]="","",7711)</f>
        <v>7711</v>
      </c>
      <c r="H92" s="42">
        <f>IF(GUAYAQUIL[[#This Row],[CODIGO]]="","",1001)</f>
        <v>1001</v>
      </c>
      <c r="I92" s="258" t="s">
        <v>4091</v>
      </c>
      <c r="J92" s="25" t="str">
        <f>IFERROR((VLOOKUP(GUAYAQUIL[[#This Row],[CODIGO]],MAESTRO!A:B,2,FALSE)),"")</f>
        <v>Q PARME KIOSKO RALL BOL 500G</v>
      </c>
      <c r="K92" s="35">
        <v>100</v>
      </c>
      <c r="L92" s="205">
        <f>+IFERROR(IF(GUAYAQUIL[[#This Row],[CODIGO]]="","",VLOOKUP(GUAYAQUIL[[#This Row],[CODIGO]],MAESTRO!$A:$BF,58,FALSE)),"")</f>
        <v>1</v>
      </c>
      <c r="M92" s="27">
        <f>+IFERROR(IF(GUAYAQUIL[[#This Row],[CODIGO]]="","",VLOOKUP(GUAYAQUIL[[#This Row],[CODIGO]],MAESTRO!A:N,14,FALSE)),"")</f>
        <v>0.5</v>
      </c>
      <c r="N92" s="290">
        <f>+IFERROR(IF(GUAYAQUIL[[#This Row],[CODIGO]]="","",VLOOKUP(GUAYAQUIL[[#This Row],[CODIGO]],MAESTRO!A:P,16,FALSE)),"")</f>
        <v>180</v>
      </c>
      <c r="O92" s="45">
        <v>45611</v>
      </c>
      <c r="P92" s="292" t="str">
        <f t="shared" si="5"/>
        <v>viernes</v>
      </c>
      <c r="Q92" s="278">
        <f>IFERROR(IF(GUAYAQUIL[[#This Row],[CODIGO]]="","",IF(GUAYAQUIL[[#This Row],[Fecha Cad]]="","",(GUAYAQUIL[[#This Row],[Fecha Cad]]-GUAYAQUIL[[#This Row],[VIDA UTIL (Días)]]))+1),"")</f>
        <v>45608</v>
      </c>
      <c r="R92" s="45">
        <v>45787</v>
      </c>
      <c r="S92" s="30">
        <f t="shared" ca="1" si="6"/>
        <v>163</v>
      </c>
      <c r="T92" s="294">
        <f t="shared" ca="1" si="7"/>
        <v>0.90555555555555556</v>
      </c>
      <c r="U92" s="286">
        <v>100</v>
      </c>
      <c r="V92" s="262">
        <f>+IFERROR(IF(GUAYAQUIL[[#This Row],[CODIGO]]="","",GUAYAQUIL[[#This Row],[Stock Actual Unds]]*GUAYAQUIL[[#This Row],[Gramaje]]*GUAYAQUIL[[#This Row],[Conversión]]),"")</f>
        <v>50</v>
      </c>
      <c r="W92" s="299">
        <f t="shared" si="8"/>
        <v>3</v>
      </c>
      <c r="X92" s="44">
        <f t="shared" si="9"/>
        <v>0.98333333333333328</v>
      </c>
      <c r="Y92" s="236">
        <f>IFERROR(VLOOKUP(GUAYAQUIL[[#This Row],[CODIGO]],MAESTRO!A:BI,21,FALSE),0)</f>
        <v>4.4371550000000006</v>
      </c>
      <c r="Z92" s="237">
        <f>+IFERROR(IF(GUAYAQUIL[[#This Row],[CODIGO]]="","",GUAYAQUIL[[#This Row],[COSTO UNIT base]]*GUAYAQUIL[[#This Row],[Conversión]]),"")</f>
        <v>4.4371550000000006</v>
      </c>
      <c r="AA92" s="236">
        <f>+IFERROR(IF(GUAYAQUIL[[#This Row],[CODIGO]]="","",GUAYAQUIL[[#This Row],[COSTO UNIT Conv]]*GUAYAQUIL[[#This Row],[Stock Actual Kgs]]),"")</f>
        <v>221.85775000000004</v>
      </c>
      <c r="AB92" s="180">
        <f ca="1">+IFERROR(IF(GUAYAQUIL[[#This Row],[CODIGO]]="","",$J$3-O92),"")</f>
        <v>13</v>
      </c>
      <c r="AC92" s="35" t="str">
        <f ca="1">IF(GUAYAQUIL[[#This Row],[CODIGO]]="","",IF(S92&lt;=0,"CADUCADO",IF(AND(S92&gt;0,S92&lt;=21),"FECHA CORTA",IF(AND(S92&gt;=22,S92&lt;=26),"PROXIMOS FECHA CORTA", "VIGENTE"))))</f>
        <v>VIGENTE</v>
      </c>
      <c r="AD92" s="37">
        <f>+IF(GUAYAQUIL[[#This Row],[CODIGO]]="","",GUAYAQUIL[[#This Row],[Stock Actual Unds]]*GUAYAQUIL[[#This Row],[Gramaje]]*GUAYAQUIL[[#This Row],[Conversión]])/1000</f>
        <v>0.05</v>
      </c>
    </row>
    <row r="93" spans="1:30">
      <c r="A93" s="42" t="str">
        <f>+IFERROR(IF(GUAYAQUIL[[#This Row],[CODIGO]]="","",VLOOKUP(GUAYAQUIL[[#This Row],[CODIGO]],MAESTRO!$A:$J,10,FALSE)),"")</f>
        <v>SAN GABRIEL</v>
      </c>
      <c r="B93" s="42" t="str">
        <f>+IFERROR(IF(GUAYAQUIL[[#This Row],[CODIGO]]="","",VLOOKUP(GUAYAQUIL[[#This Row],[CODIGO]],MAESTRO!$A:$Q,17,FALSE)),"")</f>
        <v>QUESOS Y GRASAS</v>
      </c>
      <c r="C93" s="42" t="str">
        <f>+IFERROR(IF(GUAYAQUIL[[#This Row],[CODIGO]]="","",VLOOKUP(GUAYAQUIL[[#This Row],[CODIGO]],MAESTRO!$A:$BA,53,FALSE)),"")</f>
        <v xml:space="preserve">Esteban Montenegro                      </v>
      </c>
      <c r="D93" s="42" t="str">
        <f>+IFERROR(IF(GUAYAQUIL[[#This Row],[CODIGO]]="","",VLOOKUP(GUAYAQUIL[[#This Row],[CODIGO]],MAESTRO!$A:$D,4,FALSE)),"")</f>
        <v>QUESO SEMIMADURO KIOSKO</v>
      </c>
      <c r="E93" s="42" t="str">
        <f>+IFERROR(IF(GUAYAQUIL[[#This Row],[CODIGO]]="","",VLOOKUP(GUAYAQUIL[[#This Row],[CODIGO]],MAESTRO!$A:$F,6,FALSE)),"")</f>
        <v>QUESO PARMESANO KIOSKO RALLADO</v>
      </c>
      <c r="F93" s="42" t="str">
        <f>IF(GUAYAQUIL[[#This Row],[CODIGO]]="","",$K$6)</f>
        <v>GUAYAQUIL</v>
      </c>
      <c r="G93" s="209">
        <f>IF(GUAYAQUIL[[#This Row],[CODIGO]]="","",7711)</f>
        <v>7711</v>
      </c>
      <c r="H93" s="209">
        <f>IF(GUAYAQUIL[[#This Row],[CODIGO]]="","",1001)</f>
        <v>1001</v>
      </c>
      <c r="I93" s="258" t="s">
        <v>4091</v>
      </c>
      <c r="J93" s="25" t="str">
        <f>IFERROR((VLOOKUP(GUAYAQUIL[[#This Row],[CODIGO]],MAESTRO!A:B,2,FALSE)),"")</f>
        <v>Q PARME KIOSKO RALL BOL 500G</v>
      </c>
      <c r="K93" s="35">
        <v>180</v>
      </c>
      <c r="L93" s="205">
        <f>+IFERROR(IF(GUAYAQUIL[[#This Row],[CODIGO]]="","",VLOOKUP(GUAYAQUIL[[#This Row],[CODIGO]],MAESTRO!$A:$BF,58,FALSE)),"")</f>
        <v>1</v>
      </c>
      <c r="M93" s="27">
        <f>+IFERROR(IF(GUAYAQUIL[[#This Row],[CODIGO]]="","",VLOOKUP(GUAYAQUIL[[#This Row],[CODIGO]],MAESTRO!A:N,14,FALSE)),"")</f>
        <v>0.5</v>
      </c>
      <c r="N93" s="290">
        <f>+IFERROR(IF(GUAYAQUIL[[#This Row],[CODIGO]]="","",VLOOKUP(GUAYAQUIL[[#This Row],[CODIGO]],MAESTRO!A:P,16,FALSE)),"")</f>
        <v>180</v>
      </c>
      <c r="O93" s="45">
        <v>45610</v>
      </c>
      <c r="P93" s="292" t="str">
        <f t="shared" si="5"/>
        <v>jueves</v>
      </c>
      <c r="Q93" s="278">
        <f>IFERROR(IF(GUAYAQUIL[[#This Row],[CODIGO]]="","",IF(GUAYAQUIL[[#This Row],[Fecha Cad]]="","",(GUAYAQUIL[[#This Row],[Fecha Cad]]-GUAYAQUIL[[#This Row],[VIDA UTIL (Días)]]))+1),"")</f>
        <v>45602</v>
      </c>
      <c r="R93" s="45">
        <v>45781</v>
      </c>
      <c r="S93" s="30">
        <f t="shared" ca="1" si="6"/>
        <v>157</v>
      </c>
      <c r="T93" s="294">
        <f t="shared" ca="1" si="7"/>
        <v>0.87222222222222223</v>
      </c>
      <c r="U93" s="286">
        <v>180</v>
      </c>
      <c r="V93" s="262">
        <f>+IFERROR(IF(GUAYAQUIL[[#This Row],[CODIGO]]="","",GUAYAQUIL[[#This Row],[Stock Actual Unds]]*GUAYAQUIL[[#This Row],[Gramaje]]*GUAYAQUIL[[#This Row],[Conversión]]),"")</f>
        <v>90</v>
      </c>
      <c r="W93" s="299">
        <f t="shared" si="8"/>
        <v>8</v>
      </c>
      <c r="X93" s="44">
        <f t="shared" si="9"/>
        <v>0.9555555555555556</v>
      </c>
      <c r="Y93" s="236">
        <f>IFERROR(VLOOKUP(GUAYAQUIL[[#This Row],[CODIGO]],MAESTRO!A:BI,21,FALSE),0)</f>
        <v>4.4371550000000006</v>
      </c>
      <c r="Z93" s="237">
        <f>+IFERROR(IF(GUAYAQUIL[[#This Row],[CODIGO]]="","",GUAYAQUIL[[#This Row],[COSTO UNIT base]]*GUAYAQUIL[[#This Row],[Conversión]]),"")</f>
        <v>4.4371550000000006</v>
      </c>
      <c r="AA93" s="236">
        <f>+IFERROR(IF(GUAYAQUIL[[#This Row],[CODIGO]]="","",GUAYAQUIL[[#This Row],[COSTO UNIT Conv]]*GUAYAQUIL[[#This Row],[Stock Actual Kgs]]),"")</f>
        <v>399.34395000000006</v>
      </c>
      <c r="AB93" s="180">
        <f ca="1">+IFERROR(IF(GUAYAQUIL[[#This Row],[CODIGO]]="","",$J$3-O93),"")</f>
        <v>14</v>
      </c>
      <c r="AC93" s="35" t="str">
        <f ca="1">IF(GUAYAQUIL[[#This Row],[CODIGO]]="","",IF(S93&lt;=0,"CADUCADO",IF(AND(S93&gt;0,S93&lt;=21),"FECHA CORTA",IF(AND(S93&gt;=22,S93&lt;=26),"PROXIMOS FECHA CORTA", "VIGENTE"))))</f>
        <v>VIGENTE</v>
      </c>
      <c r="AD93" s="37">
        <f>+IF(GUAYAQUIL[[#This Row],[CODIGO]]="","",GUAYAQUIL[[#This Row],[Stock Actual Unds]]*GUAYAQUIL[[#This Row],[Gramaje]]*GUAYAQUIL[[#This Row],[Conversión]])/1000</f>
        <v>0.09</v>
      </c>
    </row>
    <row r="94" spans="1:30">
      <c r="A94" s="24" t="str">
        <f>+IFERROR(IF(GUAYAQUIL[[#This Row],[CODIGO]]="","",VLOOKUP(GUAYAQUIL[[#This Row],[CODIGO]],MAESTRO!$A:$J,10,FALSE)),"")</f>
        <v>SAN GABRIEL</v>
      </c>
      <c r="B94" s="24" t="str">
        <f>+IFERROR(IF(GUAYAQUIL[[#This Row],[CODIGO]]="","",VLOOKUP(GUAYAQUIL[[#This Row],[CODIGO]],MAESTRO!$A:$Q,17,FALSE)),"")</f>
        <v>QUESOS Y GRASAS</v>
      </c>
      <c r="C94" s="24" t="str">
        <f>+IFERROR(IF(GUAYAQUIL[[#This Row],[CODIGO]]="","",VLOOKUP(GUAYAQUIL[[#This Row],[CODIGO]],MAESTRO!$A:$BA,53,FALSE)),"")</f>
        <v xml:space="preserve">Esteban Montenegro                      </v>
      </c>
      <c r="D94" s="24" t="str">
        <f>+IFERROR(IF(GUAYAQUIL[[#This Row],[CODIGO]]="","",VLOOKUP(GUAYAQUIL[[#This Row],[CODIGO]],MAESTRO!$A:$D,4,FALSE)),"")</f>
        <v>QUESO SEMIMADURO KIOSKO</v>
      </c>
      <c r="E94" s="24" t="str">
        <f>+IFERROR(IF(GUAYAQUIL[[#This Row],[CODIGO]]="","",VLOOKUP(GUAYAQUIL[[#This Row],[CODIGO]],MAESTRO!$A:$F,6,FALSE)),"")</f>
        <v>QUESO PARMESANO KIOSKO RALLADO</v>
      </c>
      <c r="F94" s="42" t="str">
        <f>IF(GUAYAQUIL[[#This Row],[CODIGO]]="","",$K$6)</f>
        <v>GUAYAQUIL</v>
      </c>
      <c r="G94" s="42">
        <f>IF(GUAYAQUIL[[#This Row],[CODIGO]]="","",7711)</f>
        <v>7711</v>
      </c>
      <c r="H94" s="42">
        <f>IF(GUAYAQUIL[[#This Row],[CODIGO]]="","",1001)</f>
        <v>1001</v>
      </c>
      <c r="I94" s="258" t="s">
        <v>4091</v>
      </c>
      <c r="J94" s="25" t="str">
        <f>IFERROR((VLOOKUP(GUAYAQUIL[[#This Row],[CODIGO]],MAESTRO!A:B,2,FALSE)),"")</f>
        <v>Q PARME KIOSKO RALL BOL 500G</v>
      </c>
      <c r="K94" s="35">
        <v>120</v>
      </c>
      <c r="L94" s="38">
        <f>+IFERROR(IF(GUAYAQUIL[[#This Row],[CODIGO]]="","",VLOOKUP(GUAYAQUIL[[#This Row],[CODIGO]],MAESTRO!$A:$BF,58,FALSE)),"")</f>
        <v>1</v>
      </c>
      <c r="M94" s="27">
        <f>+IFERROR(IF(GUAYAQUIL[[#This Row],[CODIGO]]="","",VLOOKUP(GUAYAQUIL[[#This Row],[CODIGO]],MAESTRO!A:N,14,FALSE)),"")</f>
        <v>0.5</v>
      </c>
      <c r="N94" s="28">
        <f>+IFERROR(IF(GUAYAQUIL[[#This Row],[CODIGO]]="","",VLOOKUP(GUAYAQUIL[[#This Row],[CODIGO]],MAESTRO!A:P,16,FALSE)),"")</f>
        <v>180</v>
      </c>
      <c r="O94" s="29">
        <v>45615</v>
      </c>
      <c r="P94" s="72" t="str">
        <f t="shared" si="5"/>
        <v>martes</v>
      </c>
      <c r="Q94" s="29">
        <f>IFERROR(IF(GUAYAQUIL[[#This Row],[CODIGO]]="","",IF(GUAYAQUIL[[#This Row],[Fecha Cad]]="","",(GUAYAQUIL[[#This Row],[Fecha Cad]]-GUAYAQUIL[[#This Row],[VIDA UTIL (Días)]]))+1),"")</f>
        <v>45608</v>
      </c>
      <c r="R94" s="29">
        <v>45787</v>
      </c>
      <c r="S94" s="30">
        <f t="shared" ca="1" si="6"/>
        <v>163</v>
      </c>
      <c r="T94" s="31">
        <f t="shared" ca="1" si="7"/>
        <v>0.90555555555555556</v>
      </c>
      <c r="U94" s="286">
        <v>120</v>
      </c>
      <c r="V94" s="261">
        <f>+IFERROR(IF(GUAYAQUIL[[#This Row],[CODIGO]]="","",GUAYAQUIL[[#This Row],[Stock Actual Unds]]*GUAYAQUIL[[#This Row],[Gramaje]]*GUAYAQUIL[[#This Row],[Conversión]]),"")</f>
        <v>60</v>
      </c>
      <c r="W94" s="270">
        <f t="shared" si="8"/>
        <v>7</v>
      </c>
      <c r="X94" s="32">
        <f t="shared" si="9"/>
        <v>0.96111111111111114</v>
      </c>
      <c r="Y94" s="236">
        <f>IFERROR(VLOOKUP(GUAYAQUIL[[#This Row],[CODIGO]],MAESTRO!A:BI,21,FALSE),0)</f>
        <v>4.4371550000000006</v>
      </c>
      <c r="Z94" s="237">
        <f>+IFERROR(IF(GUAYAQUIL[[#This Row],[CODIGO]]="","",GUAYAQUIL[[#This Row],[COSTO UNIT base]]*GUAYAQUIL[[#This Row],[Conversión]]),"")</f>
        <v>4.4371550000000006</v>
      </c>
      <c r="AA94" s="236">
        <f>+IFERROR(IF(GUAYAQUIL[[#This Row],[CODIGO]]="","",GUAYAQUIL[[#This Row],[COSTO UNIT Conv]]*GUAYAQUIL[[#This Row],[Stock Actual Kgs]]),"")</f>
        <v>266.22930000000002</v>
      </c>
      <c r="AB94" s="33">
        <f ca="1">+IFERROR(IF(GUAYAQUIL[[#This Row],[CODIGO]]="","",$J$3-O94),"")</f>
        <v>9</v>
      </c>
      <c r="AC94" s="34" t="str">
        <f ca="1">IF(GUAYAQUIL[[#This Row],[CODIGO]]="","",IF(S94&lt;=0,"CADUCADO",IF(AND(S94&gt;0,S94&lt;=21),"FECHA CORTA",IF(AND(S94&gt;=22,S94&lt;=26),"PROXIMOS FECHA CORTA", "VIGENTE"))))</f>
        <v>VIGENTE</v>
      </c>
      <c r="AD94" s="37">
        <f>+IF(GUAYAQUIL[[#This Row],[CODIGO]]="","",GUAYAQUIL[[#This Row],[Stock Actual Unds]]*GUAYAQUIL[[#This Row],[Gramaje]]*GUAYAQUIL[[#This Row],[Conversión]])/1000</f>
        <v>0.06</v>
      </c>
    </row>
    <row r="95" spans="1:30">
      <c r="A95" s="24" t="str">
        <f>+IFERROR(IF(GUAYAQUIL[[#This Row],[CODIGO]]="","",VLOOKUP(GUAYAQUIL[[#This Row],[CODIGO]],MAESTRO!$A:$J,10,FALSE)),"")</f>
        <v>SAN GABRIEL</v>
      </c>
      <c r="B95" s="24" t="str">
        <f>+IFERROR(IF(GUAYAQUIL[[#This Row],[CODIGO]]="","",VLOOKUP(GUAYAQUIL[[#This Row],[CODIGO]],MAESTRO!$A:$Q,17,FALSE)),"")</f>
        <v>QUESOS Y GRASAS</v>
      </c>
      <c r="C95" s="24" t="str">
        <f>+IFERROR(IF(GUAYAQUIL[[#This Row],[CODIGO]]="","",VLOOKUP(GUAYAQUIL[[#This Row],[CODIGO]],MAESTRO!$A:$BA,53,FALSE)),"")</f>
        <v xml:space="preserve">Esteban Montenegro                      </v>
      </c>
      <c r="D95" s="24" t="str">
        <f>+IFERROR(IF(GUAYAQUIL[[#This Row],[CODIGO]]="","",VLOOKUP(GUAYAQUIL[[#This Row],[CODIGO]],MAESTRO!$A:$D,4,FALSE)),"")</f>
        <v>QUESO SEMIMADURO KIOSKO</v>
      </c>
      <c r="E95" s="24" t="str">
        <f>+IFERROR(IF(GUAYAQUIL[[#This Row],[CODIGO]]="","",VLOOKUP(GUAYAQUIL[[#This Row],[CODIGO]],MAESTRO!$A:$F,6,FALSE)),"")</f>
        <v>QUESO PARMESANO KIOSKO RALLADO</v>
      </c>
      <c r="F95" s="42" t="str">
        <f>IF(GUAYAQUIL[[#This Row],[CODIGO]]="","",$K$6)</f>
        <v>GUAYAQUIL</v>
      </c>
      <c r="G95" s="42">
        <f>IF(GUAYAQUIL[[#This Row],[CODIGO]]="","",7711)</f>
        <v>7711</v>
      </c>
      <c r="H95" s="42">
        <f>IF(GUAYAQUIL[[#This Row],[CODIGO]]="","",1001)</f>
        <v>1001</v>
      </c>
      <c r="I95" s="257" t="s">
        <v>4091</v>
      </c>
      <c r="J95" s="25" t="str">
        <f>IFERROR((VLOOKUP(GUAYAQUIL[[#This Row],[CODIGO]],MAESTRO!A:B,2,FALSE)),"")</f>
        <v>Q PARME KIOSKO RALL BOL 500G</v>
      </c>
      <c r="K95" s="26">
        <v>100</v>
      </c>
      <c r="L95" s="38">
        <f>+IFERROR(IF(GUAYAQUIL[[#This Row],[CODIGO]]="","",VLOOKUP(GUAYAQUIL[[#This Row],[CODIGO]],MAESTRO!$A:$BF,58,FALSE)),"")</f>
        <v>1</v>
      </c>
      <c r="M95" s="27">
        <f>+IFERROR(IF(GUAYAQUIL[[#This Row],[CODIGO]]="","",VLOOKUP(GUAYAQUIL[[#This Row],[CODIGO]],MAESTRO!A:N,14,FALSE)),"")</f>
        <v>0.5</v>
      </c>
      <c r="N95" s="28">
        <f>+IFERROR(IF(GUAYAQUIL[[#This Row],[CODIGO]]="","",VLOOKUP(GUAYAQUIL[[#This Row],[CODIGO]],MAESTRO!A:P,16,FALSE)),"")</f>
        <v>180</v>
      </c>
      <c r="O95" s="29">
        <v>45616</v>
      </c>
      <c r="P95" s="72" t="str">
        <f t="shared" si="5"/>
        <v>miércoles</v>
      </c>
      <c r="Q95" s="29">
        <f>IFERROR(IF(GUAYAQUIL[[#This Row],[CODIGO]]="","",IF(GUAYAQUIL[[#This Row],[Fecha Cad]]="","",(GUAYAQUIL[[#This Row],[Fecha Cad]]-GUAYAQUIL[[#This Row],[VIDA UTIL (Días)]]))+1),"")</f>
        <v>45609</v>
      </c>
      <c r="R95" s="29">
        <v>45788</v>
      </c>
      <c r="S95" s="30">
        <f t="shared" ca="1" si="6"/>
        <v>164</v>
      </c>
      <c r="T95" s="31">
        <f t="shared" ca="1" si="7"/>
        <v>0.91111111111111109</v>
      </c>
      <c r="U95" s="286">
        <v>100</v>
      </c>
      <c r="V95" s="260">
        <f>+IFERROR(IF(GUAYAQUIL[[#This Row],[CODIGO]]="","",GUAYAQUIL[[#This Row],[Stock Actual Unds]]*GUAYAQUIL[[#This Row],[Gramaje]]*GUAYAQUIL[[#This Row],[Conversión]]),"")</f>
        <v>50</v>
      </c>
      <c r="W95" s="270">
        <f t="shared" si="8"/>
        <v>7</v>
      </c>
      <c r="X95" s="32">
        <f t="shared" si="9"/>
        <v>0.96111111111111114</v>
      </c>
      <c r="Y95" s="236">
        <f>IFERROR(VLOOKUP(GUAYAQUIL[[#This Row],[CODIGO]],MAESTRO!A:BI,21,FALSE),0)</f>
        <v>4.4371550000000006</v>
      </c>
      <c r="Z95" s="237">
        <f>+IFERROR(IF(GUAYAQUIL[[#This Row],[CODIGO]]="","",GUAYAQUIL[[#This Row],[COSTO UNIT base]]*GUAYAQUIL[[#This Row],[Conversión]]),"")</f>
        <v>4.4371550000000006</v>
      </c>
      <c r="AA95" s="236">
        <f>+IFERROR(IF(GUAYAQUIL[[#This Row],[CODIGO]]="","",GUAYAQUIL[[#This Row],[COSTO UNIT Conv]]*GUAYAQUIL[[#This Row],[Stock Actual Kgs]]),"")</f>
        <v>221.85775000000004</v>
      </c>
      <c r="AB95" s="33">
        <f ca="1">+IFERROR(IF(GUAYAQUIL[[#This Row],[CODIGO]]="","",$J$3-O95),"")</f>
        <v>8</v>
      </c>
      <c r="AC95" s="34" t="str">
        <f ca="1">IF(GUAYAQUIL[[#This Row],[CODIGO]]="","",IF(S95&lt;=0,"CADUCADO",IF(AND(S95&gt;0,S95&lt;=21),"FECHA CORTA",IF(AND(S95&gt;=22,S95&lt;=26),"PROXIMOS FECHA CORTA", "VIGENTE"))))</f>
        <v>VIGENTE</v>
      </c>
      <c r="AD95" s="37">
        <f>+IF(GUAYAQUIL[[#This Row],[CODIGO]]="","",GUAYAQUIL[[#This Row],[Stock Actual Unds]]*GUAYAQUIL[[#This Row],[Gramaje]]*GUAYAQUIL[[#This Row],[Conversión]])/1000</f>
        <v>0.05</v>
      </c>
    </row>
    <row r="96" spans="1:30">
      <c r="A96" s="24" t="str">
        <f>+IFERROR(IF(GUAYAQUIL[[#This Row],[CODIGO]]="","",VLOOKUP(GUAYAQUIL[[#This Row],[CODIGO]],MAESTRO!$A:$J,10,FALSE)),"")</f>
        <v>SAN GABRIEL</v>
      </c>
      <c r="B96" s="24" t="str">
        <f>+IFERROR(IF(GUAYAQUIL[[#This Row],[CODIGO]]="","",VLOOKUP(GUAYAQUIL[[#This Row],[CODIGO]],MAESTRO!$A:$Q,17,FALSE)),"")</f>
        <v>QUESOS Y GRASAS</v>
      </c>
      <c r="C96" s="24" t="str">
        <f>+IFERROR(IF(GUAYAQUIL[[#This Row],[CODIGO]]="","",VLOOKUP(GUAYAQUIL[[#This Row],[CODIGO]],MAESTRO!$A:$BA,53,FALSE)),"")</f>
        <v xml:space="preserve">Esteban Montenegro                      </v>
      </c>
      <c r="D96" s="24" t="str">
        <f>+IFERROR(IF(GUAYAQUIL[[#This Row],[CODIGO]]="","",VLOOKUP(GUAYAQUIL[[#This Row],[CODIGO]],MAESTRO!$A:$D,4,FALSE)),"")</f>
        <v>QUESO SEMIMADURO KIOSKO</v>
      </c>
      <c r="E96" s="24" t="str">
        <f>+IFERROR(IF(GUAYAQUIL[[#This Row],[CODIGO]]="","",VLOOKUP(GUAYAQUIL[[#This Row],[CODIGO]],MAESTRO!$A:$F,6,FALSE)),"")</f>
        <v>QUESO PARMESANO KIOSKO RALLADO</v>
      </c>
      <c r="F96" s="42" t="str">
        <f>IF(GUAYAQUIL[[#This Row],[CODIGO]]="","",$K$6)</f>
        <v>GUAYAQUIL</v>
      </c>
      <c r="G96" s="42">
        <f>IF(GUAYAQUIL[[#This Row],[CODIGO]]="","",7711)</f>
        <v>7711</v>
      </c>
      <c r="H96" s="42">
        <f>IF(GUAYAQUIL[[#This Row],[CODIGO]]="","",1001)</f>
        <v>1001</v>
      </c>
      <c r="I96" s="258" t="s">
        <v>4091</v>
      </c>
      <c r="J96" s="25" t="str">
        <f>IFERROR((VLOOKUP(GUAYAQUIL[[#This Row],[CODIGO]],MAESTRO!A:B,2,FALSE)),"")</f>
        <v>Q PARME KIOSKO RALL BOL 500G</v>
      </c>
      <c r="K96" s="35">
        <v>100</v>
      </c>
      <c r="L96" s="38">
        <f>+IFERROR(IF(GUAYAQUIL[[#This Row],[CODIGO]]="","",VLOOKUP(GUAYAQUIL[[#This Row],[CODIGO]],MAESTRO!$A:$BF,58,FALSE)),"")</f>
        <v>1</v>
      </c>
      <c r="M96" s="27">
        <f>+IFERROR(IF(GUAYAQUIL[[#This Row],[CODIGO]]="","",VLOOKUP(GUAYAQUIL[[#This Row],[CODIGO]],MAESTRO!A:N,14,FALSE)),"")</f>
        <v>0.5</v>
      </c>
      <c r="N96" s="28">
        <f>+IFERROR(IF(GUAYAQUIL[[#This Row],[CODIGO]]="","",VLOOKUP(GUAYAQUIL[[#This Row],[CODIGO]],MAESTRO!A:P,16,FALSE)),"")</f>
        <v>180</v>
      </c>
      <c r="O96" s="29">
        <v>45617</v>
      </c>
      <c r="P96" s="72" t="str">
        <f t="shared" si="5"/>
        <v>jueves</v>
      </c>
      <c r="Q96" s="29">
        <f>IFERROR(IF(GUAYAQUIL[[#This Row],[CODIGO]]="","",IF(GUAYAQUIL[[#This Row],[Fecha Cad]]="","",(GUAYAQUIL[[#This Row],[Fecha Cad]]-GUAYAQUIL[[#This Row],[VIDA UTIL (Días)]]))+1),"")</f>
        <v>45610</v>
      </c>
      <c r="R96" s="29">
        <v>45789</v>
      </c>
      <c r="S96" s="30">
        <f t="shared" ca="1" si="6"/>
        <v>165</v>
      </c>
      <c r="T96" s="31">
        <f t="shared" ca="1" si="7"/>
        <v>0.91666666666666663</v>
      </c>
      <c r="U96" s="286">
        <v>100</v>
      </c>
      <c r="V96" s="261">
        <f>+IFERROR(IF(GUAYAQUIL[[#This Row],[CODIGO]]="","",GUAYAQUIL[[#This Row],[Stock Actual Unds]]*GUAYAQUIL[[#This Row],[Gramaje]]*GUAYAQUIL[[#This Row],[Conversión]]),"")</f>
        <v>50</v>
      </c>
      <c r="W96" s="270">
        <f t="shared" si="8"/>
        <v>7</v>
      </c>
      <c r="X96" s="32">
        <f t="shared" si="9"/>
        <v>0.96111111111111114</v>
      </c>
      <c r="Y96" s="236">
        <f>IFERROR(VLOOKUP(GUAYAQUIL[[#This Row],[CODIGO]],MAESTRO!A:BI,21,FALSE),0)</f>
        <v>4.4371550000000006</v>
      </c>
      <c r="Z96" s="237">
        <f>+IFERROR(IF(GUAYAQUIL[[#This Row],[CODIGO]]="","",GUAYAQUIL[[#This Row],[COSTO UNIT base]]*GUAYAQUIL[[#This Row],[Conversión]]),"")</f>
        <v>4.4371550000000006</v>
      </c>
      <c r="AA96" s="236">
        <f>+IFERROR(IF(GUAYAQUIL[[#This Row],[CODIGO]]="","",GUAYAQUIL[[#This Row],[COSTO UNIT Conv]]*GUAYAQUIL[[#This Row],[Stock Actual Kgs]]),"")</f>
        <v>221.85775000000004</v>
      </c>
      <c r="AB96" s="33">
        <f ca="1">+IFERROR(IF(GUAYAQUIL[[#This Row],[CODIGO]]="","",$J$3-O96),"")</f>
        <v>7</v>
      </c>
      <c r="AC96" s="34" t="str">
        <f ca="1">IF(GUAYAQUIL[[#This Row],[CODIGO]]="","",IF(S96&lt;=0,"CADUCADO",IF(AND(S96&gt;0,S96&lt;=21),"FECHA CORTA",IF(AND(S96&gt;=22,S96&lt;=26),"PROXIMOS FECHA CORTA", "VIGENTE"))))</f>
        <v>VIGENTE</v>
      </c>
      <c r="AD96" s="37">
        <f>+IF(GUAYAQUIL[[#This Row],[CODIGO]]="","",GUAYAQUIL[[#This Row],[Stock Actual Unds]]*GUAYAQUIL[[#This Row],[Gramaje]]*GUAYAQUIL[[#This Row],[Conversión]])/1000</f>
        <v>0.05</v>
      </c>
    </row>
    <row r="97" spans="1:30">
      <c r="A97" s="24" t="str">
        <f>+IFERROR(IF(GUAYAQUIL[[#This Row],[CODIGO]]="","",VLOOKUP(GUAYAQUIL[[#This Row],[CODIGO]],MAESTRO!$A:$J,10,FALSE)),"")</f>
        <v>MACHACHI</v>
      </c>
      <c r="B97" s="24" t="str">
        <f>+IFERROR(IF(GUAYAQUIL[[#This Row],[CODIGO]]="","",VLOOKUP(GUAYAQUIL[[#This Row],[CODIGO]],MAESTRO!$A:$Q,17,FALSE)),"")</f>
        <v>BEBIDAS LACTEAS</v>
      </c>
      <c r="C97" s="24" t="str">
        <f>+IFERROR(IF(GUAYAQUIL[[#This Row],[CODIGO]]="","",VLOOKUP(GUAYAQUIL[[#This Row],[CODIGO]],MAESTRO!$A:$BA,53,FALSE)),"")</f>
        <v xml:space="preserve">Luis Armendariz                         </v>
      </c>
      <c r="D97" s="24" t="str">
        <f>+IFERROR(IF(GUAYAQUIL[[#This Row],[CODIGO]]="","",VLOOKUP(GUAYAQUIL[[#This Row],[CODIGO]],MAESTRO!$A:$D,4,FALSE)),"")</f>
        <v>BON YURT</v>
      </c>
      <c r="E97" s="24" t="str">
        <f>+IFERROR(IF(GUAYAQUIL[[#This Row],[CODIGO]]="","",VLOOKUP(GUAYAQUIL[[#This Row],[CODIGO]],MAESTRO!$A:$F,6,FALSE)),"")</f>
        <v>BON YURT REGULAR</v>
      </c>
      <c r="F97" s="42" t="str">
        <f>IF(GUAYAQUIL[[#This Row],[CODIGO]]="","",$K$6)</f>
        <v>GUAYAQUIL</v>
      </c>
      <c r="G97" s="209">
        <f>IF(GUAYAQUIL[[#This Row],[CODIGO]]="","",7711)</f>
        <v>7711</v>
      </c>
      <c r="H97" s="209">
        <f>IF(GUAYAQUIL[[#This Row],[CODIGO]]="","",1001)</f>
        <v>1001</v>
      </c>
      <c r="I97" s="258" t="s">
        <v>876</v>
      </c>
      <c r="J97" s="25" t="str">
        <f>IFERROR((VLOOKUP(GUAYAQUIL[[#This Row],[CODIGO]],MAESTRO!A:B,2,FALSE)),"")</f>
        <v>BY BLCK VASO 165G</v>
      </c>
      <c r="K97" s="35">
        <v>780</v>
      </c>
      <c r="L97" s="38">
        <f>+IFERROR(IF(GUAYAQUIL[[#This Row],[CODIGO]]="","",VLOOKUP(GUAYAQUIL[[#This Row],[CODIGO]],MAESTRO!$A:$BF,58,FALSE)),"")</f>
        <v>1</v>
      </c>
      <c r="M97" s="27">
        <f>+IFERROR(IF(GUAYAQUIL[[#This Row],[CODIGO]]="","",VLOOKUP(GUAYAQUIL[[#This Row],[CODIGO]],MAESTRO!A:N,14,FALSE)),"")</f>
        <v>0.16500000000000001</v>
      </c>
      <c r="N97" s="28">
        <f>+IFERROR(IF(GUAYAQUIL[[#This Row],[CODIGO]]="","",VLOOKUP(GUAYAQUIL[[#This Row],[CODIGO]],MAESTRO!A:P,16,FALSE)),"")</f>
        <v>45</v>
      </c>
      <c r="O97" s="29">
        <v>45609</v>
      </c>
      <c r="P97" s="72" t="str">
        <f t="shared" si="5"/>
        <v>miércoles</v>
      </c>
      <c r="Q97" s="29">
        <f>IFERROR(IF(GUAYAQUIL[[#This Row],[CODIGO]]="","",IF(GUAYAQUIL[[#This Row],[Fecha Cad]]="","",(GUAYAQUIL[[#This Row],[Fecha Cad]]-GUAYAQUIL[[#This Row],[VIDA UTIL (Días)]]))+1),"")</f>
        <v>45601</v>
      </c>
      <c r="R97" s="29">
        <v>45645</v>
      </c>
      <c r="S97" s="30">
        <f t="shared" ca="1" si="6"/>
        <v>21</v>
      </c>
      <c r="T97" s="31">
        <f t="shared" ca="1" si="7"/>
        <v>0.46666666666666667</v>
      </c>
      <c r="U97" s="286">
        <v>500</v>
      </c>
      <c r="V97" s="261">
        <f>+IFERROR(IF(GUAYAQUIL[[#This Row],[CODIGO]]="","",GUAYAQUIL[[#This Row],[Stock Actual Unds]]*GUAYAQUIL[[#This Row],[Gramaje]]*GUAYAQUIL[[#This Row],[Conversión]]),"")</f>
        <v>82.5</v>
      </c>
      <c r="W97" s="270">
        <f t="shared" si="8"/>
        <v>8</v>
      </c>
      <c r="X97" s="32">
        <f t="shared" si="9"/>
        <v>0.82222222222222219</v>
      </c>
      <c r="Y97" s="236">
        <f>IFERROR(VLOOKUP(GUAYAQUIL[[#This Row],[CODIGO]],MAESTRO!A:BI,21,FALSE),0)</f>
        <v>0.32339499999999999</v>
      </c>
      <c r="Z97" s="237">
        <f>+IFERROR(IF(GUAYAQUIL[[#This Row],[CODIGO]]="","",GUAYAQUIL[[#This Row],[COSTO UNIT base]]*GUAYAQUIL[[#This Row],[Conversión]]),"")</f>
        <v>0.32339499999999999</v>
      </c>
      <c r="AA97" s="236">
        <f>+IFERROR(IF(GUAYAQUIL[[#This Row],[CODIGO]]="","",GUAYAQUIL[[#This Row],[COSTO UNIT Conv]]*GUAYAQUIL[[#This Row],[Stock Actual Kgs]]),"")</f>
        <v>26.680087499999999</v>
      </c>
      <c r="AB97" s="33">
        <f ca="1">+IFERROR(IF(GUAYAQUIL[[#This Row],[CODIGO]]="","",$J$3-O97),"")</f>
        <v>15</v>
      </c>
      <c r="AC97" s="34" t="str">
        <f ca="1">IF(GUAYAQUIL[[#This Row],[CODIGO]]="","",IF(S97&lt;=0,"CADUCADO",IF(AND(S97&gt;0,S97&lt;=21),"FECHA CORTA",IF(AND(S97&gt;=22,S97&lt;=26),"PROXIMOS FECHA CORTA", "VIGENTE"))))</f>
        <v>FECHA CORTA</v>
      </c>
      <c r="AD97" s="37">
        <f>+IF(GUAYAQUIL[[#This Row],[CODIGO]]="","",GUAYAQUIL[[#This Row],[Stock Actual Unds]]*GUAYAQUIL[[#This Row],[Gramaje]]*GUAYAQUIL[[#This Row],[Conversión]])/1000</f>
        <v>8.2500000000000004E-2</v>
      </c>
    </row>
    <row r="98" spans="1:30">
      <c r="A98" s="24" t="str">
        <f>+IFERROR(IF(GUAYAQUIL[[#This Row],[CODIGO]]="","",VLOOKUP(GUAYAQUIL[[#This Row],[CODIGO]],MAESTRO!$A:$J,10,FALSE)),"")</f>
        <v>MACHACHI</v>
      </c>
      <c r="B98" s="24" t="str">
        <f>+IFERROR(IF(GUAYAQUIL[[#This Row],[CODIGO]]="","",VLOOKUP(GUAYAQUIL[[#This Row],[CODIGO]],MAESTRO!$A:$Q,17,FALSE)),"")</f>
        <v>BEBIDAS LACTEAS</v>
      </c>
      <c r="C98" s="24" t="str">
        <f>+IFERROR(IF(GUAYAQUIL[[#This Row],[CODIGO]]="","",VLOOKUP(GUAYAQUIL[[#This Row],[CODIGO]],MAESTRO!$A:$BA,53,FALSE)),"")</f>
        <v xml:space="preserve">Luis Armendariz                         </v>
      </c>
      <c r="D98" s="24" t="str">
        <f>+IFERROR(IF(GUAYAQUIL[[#This Row],[CODIGO]]="","",VLOOKUP(GUAYAQUIL[[#This Row],[CODIGO]],MAESTRO!$A:$D,4,FALSE)),"")</f>
        <v>BON YURT</v>
      </c>
      <c r="E98" s="24" t="str">
        <f>+IFERROR(IF(GUAYAQUIL[[#This Row],[CODIGO]]="","",VLOOKUP(GUAYAQUIL[[#This Row],[CODIGO]],MAESTRO!$A:$F,6,FALSE)),"")</f>
        <v>BON YURT REGULAR</v>
      </c>
      <c r="F98" s="42" t="str">
        <f>IF(GUAYAQUIL[[#This Row],[CODIGO]]="","",$K$6)</f>
        <v>GUAYAQUIL</v>
      </c>
      <c r="G98" s="42">
        <f>IF(GUAYAQUIL[[#This Row],[CODIGO]]="","",7711)</f>
        <v>7711</v>
      </c>
      <c r="H98" s="42">
        <f>IF(GUAYAQUIL[[#This Row],[CODIGO]]="","",1001)</f>
        <v>1001</v>
      </c>
      <c r="I98" s="257" t="s">
        <v>876</v>
      </c>
      <c r="J98" s="25" t="str">
        <f>IFERROR((VLOOKUP(GUAYAQUIL[[#This Row],[CODIGO]],MAESTRO!A:B,2,FALSE)),"")</f>
        <v>BY BLCK VASO 165G</v>
      </c>
      <c r="K98" s="26">
        <v>1800</v>
      </c>
      <c r="L98" s="38">
        <f>+IFERROR(IF(GUAYAQUIL[[#This Row],[CODIGO]]="","",VLOOKUP(GUAYAQUIL[[#This Row],[CODIGO]],MAESTRO!$A:$BF,58,FALSE)),"")</f>
        <v>1</v>
      </c>
      <c r="M98" s="27">
        <f>+IFERROR(IF(GUAYAQUIL[[#This Row],[CODIGO]]="","",VLOOKUP(GUAYAQUIL[[#This Row],[CODIGO]],MAESTRO!A:N,14,FALSE)),"")</f>
        <v>0.16500000000000001</v>
      </c>
      <c r="N98" s="28">
        <f>+IFERROR(IF(GUAYAQUIL[[#This Row],[CODIGO]]="","",VLOOKUP(GUAYAQUIL[[#This Row],[CODIGO]],MAESTRO!A:P,16,FALSE)),"")</f>
        <v>45</v>
      </c>
      <c r="O98" s="29">
        <v>45611</v>
      </c>
      <c r="P98" s="72" t="str">
        <f t="shared" si="5"/>
        <v>viernes</v>
      </c>
      <c r="Q98" s="29">
        <f>IFERROR(IF(GUAYAQUIL[[#This Row],[CODIGO]]="","",IF(GUAYAQUIL[[#This Row],[Fecha Cad]]="","",(GUAYAQUIL[[#This Row],[Fecha Cad]]-GUAYAQUIL[[#This Row],[VIDA UTIL (Días)]]))+1),"")</f>
        <v>45604</v>
      </c>
      <c r="R98" s="29">
        <v>45648</v>
      </c>
      <c r="S98" s="30">
        <f t="shared" ca="1" si="6"/>
        <v>24</v>
      </c>
      <c r="T98" s="31">
        <f t="shared" ca="1" si="7"/>
        <v>0.53333333333333333</v>
      </c>
      <c r="U98" s="286">
        <v>684</v>
      </c>
      <c r="V98" s="260">
        <f>+IFERROR(IF(GUAYAQUIL[[#This Row],[CODIGO]]="","",GUAYAQUIL[[#This Row],[Stock Actual Unds]]*GUAYAQUIL[[#This Row],[Gramaje]]*GUAYAQUIL[[#This Row],[Conversión]]),"")</f>
        <v>112.86</v>
      </c>
      <c r="W98" s="270">
        <f t="shared" si="8"/>
        <v>7</v>
      </c>
      <c r="X98" s="32">
        <f t="shared" si="9"/>
        <v>0.84444444444444444</v>
      </c>
      <c r="Y98" s="236">
        <f>IFERROR(VLOOKUP(GUAYAQUIL[[#This Row],[CODIGO]],MAESTRO!A:BI,21,FALSE),0)</f>
        <v>0.32339499999999999</v>
      </c>
      <c r="Z98" s="237">
        <f>+IFERROR(IF(GUAYAQUIL[[#This Row],[CODIGO]]="","",GUAYAQUIL[[#This Row],[COSTO UNIT base]]*GUAYAQUIL[[#This Row],[Conversión]]),"")</f>
        <v>0.32339499999999999</v>
      </c>
      <c r="AA98" s="236">
        <f>+IFERROR(IF(GUAYAQUIL[[#This Row],[CODIGO]]="","",GUAYAQUIL[[#This Row],[COSTO UNIT Conv]]*GUAYAQUIL[[#This Row],[Stock Actual Kgs]]),"")</f>
        <v>36.498359700000002</v>
      </c>
      <c r="AB98" s="33">
        <f ca="1">+IFERROR(IF(GUAYAQUIL[[#This Row],[CODIGO]]="","",$J$3-O98),"")</f>
        <v>13</v>
      </c>
      <c r="AC98" s="34" t="str">
        <f ca="1">IF(GUAYAQUIL[[#This Row],[CODIGO]]="","",IF(S98&lt;=0,"CADUCADO",IF(AND(S98&gt;0,S98&lt;=21),"FECHA CORTA",IF(AND(S98&gt;=22,S98&lt;=26),"PROXIMOS FECHA CORTA", "VIGENTE"))))</f>
        <v>PROXIMOS FECHA CORTA</v>
      </c>
      <c r="AD98" s="37">
        <f>+IF(GUAYAQUIL[[#This Row],[CODIGO]]="","",GUAYAQUIL[[#This Row],[Stock Actual Unds]]*GUAYAQUIL[[#This Row],[Gramaje]]*GUAYAQUIL[[#This Row],[Conversión]])/1000</f>
        <v>0.11286</v>
      </c>
    </row>
    <row r="99" spans="1:30">
      <c r="A99" s="42" t="str">
        <f>+IFERROR(IF(GUAYAQUIL[[#This Row],[CODIGO]]="","",VLOOKUP(GUAYAQUIL[[#This Row],[CODIGO]],MAESTRO!$A:$J,10,FALSE)),"")</f>
        <v>MACHACHI</v>
      </c>
      <c r="B99" s="42" t="str">
        <f>+IFERROR(IF(GUAYAQUIL[[#This Row],[CODIGO]]="","",VLOOKUP(GUAYAQUIL[[#This Row],[CODIGO]],MAESTRO!$A:$Q,17,FALSE)),"")</f>
        <v>BEBIDAS LACTEAS</v>
      </c>
      <c r="C99" s="42" t="str">
        <f>+IFERROR(IF(GUAYAQUIL[[#This Row],[CODIGO]]="","",VLOOKUP(GUAYAQUIL[[#This Row],[CODIGO]],MAESTRO!$A:$BA,53,FALSE)),"")</f>
        <v xml:space="preserve">Luis Armendariz                         </v>
      </c>
      <c r="D99" s="42" t="str">
        <f>+IFERROR(IF(GUAYAQUIL[[#This Row],[CODIGO]]="","",VLOOKUP(GUAYAQUIL[[#This Row],[CODIGO]],MAESTRO!$A:$D,4,FALSE)),"")</f>
        <v>BON YURT</v>
      </c>
      <c r="E99" s="42" t="str">
        <f>+IFERROR(IF(GUAYAQUIL[[#This Row],[CODIGO]]="","",VLOOKUP(GUAYAQUIL[[#This Row],[CODIGO]],MAESTRO!$A:$F,6,FALSE)),"")</f>
        <v>BON YURT REGULAR</v>
      </c>
      <c r="F99" s="42" t="str">
        <f>IF(GUAYAQUIL[[#This Row],[CODIGO]]="","",$K$6)</f>
        <v>GUAYAQUIL</v>
      </c>
      <c r="G99" s="209">
        <f>IF(GUAYAQUIL[[#This Row],[CODIGO]]="","",7711)</f>
        <v>7711</v>
      </c>
      <c r="H99" s="209">
        <f>IF(GUAYAQUIL[[#This Row],[CODIGO]]="","",1001)</f>
        <v>1001</v>
      </c>
      <c r="I99" s="258" t="s">
        <v>876</v>
      </c>
      <c r="J99" s="25" t="str">
        <f>IFERROR((VLOOKUP(GUAYAQUIL[[#This Row],[CODIGO]],MAESTRO!A:B,2,FALSE)),"")</f>
        <v>BY BLCK VASO 165G</v>
      </c>
      <c r="K99" s="35">
        <v>1200</v>
      </c>
      <c r="L99" s="205">
        <f>+IFERROR(IF(GUAYAQUIL[[#This Row],[CODIGO]]="","",VLOOKUP(GUAYAQUIL[[#This Row],[CODIGO]],MAESTRO!$A:$BF,58,FALSE)),"")</f>
        <v>1</v>
      </c>
      <c r="M99" s="27">
        <f>+IFERROR(IF(GUAYAQUIL[[#This Row],[CODIGO]]="","",VLOOKUP(GUAYAQUIL[[#This Row],[CODIGO]],MAESTRO!A:N,14,FALSE)),"")</f>
        <v>0.16500000000000001</v>
      </c>
      <c r="N99" s="290">
        <f>+IFERROR(IF(GUAYAQUIL[[#This Row],[CODIGO]]="","",VLOOKUP(GUAYAQUIL[[#This Row],[CODIGO]],MAESTRO!A:P,16,FALSE)),"")</f>
        <v>45</v>
      </c>
      <c r="O99" s="45">
        <v>45610</v>
      </c>
      <c r="P99" s="292" t="str">
        <f t="shared" si="5"/>
        <v>jueves</v>
      </c>
      <c r="Q99" s="278">
        <f>IFERROR(IF(GUAYAQUIL[[#This Row],[CODIGO]]="","",IF(GUAYAQUIL[[#This Row],[Fecha Cad]]="","",(GUAYAQUIL[[#This Row],[Fecha Cad]]-GUAYAQUIL[[#This Row],[VIDA UTIL (Días)]]))+1),"")</f>
        <v>45601</v>
      </c>
      <c r="R99" s="45">
        <v>45645</v>
      </c>
      <c r="S99" s="30">
        <f t="shared" ca="1" si="6"/>
        <v>21</v>
      </c>
      <c r="T99" s="294">
        <f t="shared" ca="1" si="7"/>
        <v>0.46666666666666667</v>
      </c>
      <c r="U99" s="295">
        <v>1200</v>
      </c>
      <c r="V99" s="262">
        <f>+IFERROR(IF(GUAYAQUIL[[#This Row],[CODIGO]]="","",GUAYAQUIL[[#This Row],[Stock Actual Unds]]*GUAYAQUIL[[#This Row],[Gramaje]]*GUAYAQUIL[[#This Row],[Conversión]]),"")</f>
        <v>198</v>
      </c>
      <c r="W99" s="299">
        <f t="shared" si="8"/>
        <v>9</v>
      </c>
      <c r="X99" s="44">
        <f t="shared" si="9"/>
        <v>0.8</v>
      </c>
      <c r="Y99" s="236">
        <f>IFERROR(VLOOKUP(GUAYAQUIL[[#This Row],[CODIGO]],MAESTRO!A:BI,21,FALSE),0)</f>
        <v>0.32339499999999999</v>
      </c>
      <c r="Z99" s="237">
        <f>+IFERROR(IF(GUAYAQUIL[[#This Row],[CODIGO]]="","",GUAYAQUIL[[#This Row],[COSTO UNIT base]]*GUAYAQUIL[[#This Row],[Conversión]]),"")</f>
        <v>0.32339499999999999</v>
      </c>
      <c r="AA99" s="236">
        <f>+IFERROR(IF(GUAYAQUIL[[#This Row],[CODIGO]]="","",GUAYAQUIL[[#This Row],[COSTO UNIT Conv]]*GUAYAQUIL[[#This Row],[Stock Actual Kgs]]),"")</f>
        <v>64.032209999999992</v>
      </c>
      <c r="AB99" s="180">
        <f ca="1">+IFERROR(IF(GUAYAQUIL[[#This Row],[CODIGO]]="","",$J$3-O99),"")</f>
        <v>14</v>
      </c>
      <c r="AC99" s="35" t="str">
        <f ca="1">IF(GUAYAQUIL[[#This Row],[CODIGO]]="","",IF(S99&lt;=0,"CADUCADO",IF(AND(S99&gt;0,S99&lt;=21),"FECHA CORTA",IF(AND(S99&gt;=22,S99&lt;=26),"PROXIMOS FECHA CORTA", "VIGENTE"))))</f>
        <v>FECHA CORTA</v>
      </c>
      <c r="AD99" s="37">
        <f>+IF(GUAYAQUIL[[#This Row],[CODIGO]]="","",GUAYAQUIL[[#This Row],[Stock Actual Unds]]*GUAYAQUIL[[#This Row],[Gramaje]]*GUAYAQUIL[[#This Row],[Conversión]])/1000</f>
        <v>0.19800000000000001</v>
      </c>
    </row>
    <row r="100" spans="1:30">
      <c r="A100" s="42" t="str">
        <f>+IFERROR(IF(GUAYAQUIL[[#This Row],[CODIGO]]="","",VLOOKUP(GUAYAQUIL[[#This Row],[CODIGO]],MAESTRO!$A:$J,10,FALSE)),"")</f>
        <v>MACHACHI</v>
      </c>
      <c r="B100" s="42" t="str">
        <f>+IFERROR(IF(GUAYAQUIL[[#This Row],[CODIGO]]="","",VLOOKUP(GUAYAQUIL[[#This Row],[CODIGO]],MAESTRO!$A:$Q,17,FALSE)),"")</f>
        <v>BEBIDAS LACTEAS</v>
      </c>
      <c r="C100" s="42" t="str">
        <f>+IFERROR(IF(GUAYAQUIL[[#This Row],[CODIGO]]="","",VLOOKUP(GUAYAQUIL[[#This Row],[CODIGO]],MAESTRO!$A:$BA,53,FALSE)),"")</f>
        <v xml:space="preserve">Luis Armendariz                         </v>
      </c>
      <c r="D100" s="42" t="str">
        <f>+IFERROR(IF(GUAYAQUIL[[#This Row],[CODIGO]]="","",VLOOKUP(GUAYAQUIL[[#This Row],[CODIGO]],MAESTRO!$A:$D,4,FALSE)),"")</f>
        <v>BON YURT</v>
      </c>
      <c r="E100" s="42" t="str">
        <f>+IFERROR(IF(GUAYAQUIL[[#This Row],[CODIGO]]="","",VLOOKUP(GUAYAQUIL[[#This Row],[CODIGO]],MAESTRO!$A:$F,6,FALSE)),"")</f>
        <v>BON YURT REGULAR</v>
      </c>
      <c r="F100" s="42" t="str">
        <f>IF(GUAYAQUIL[[#This Row],[CODIGO]]="","",$K$6)</f>
        <v>GUAYAQUIL</v>
      </c>
      <c r="G100" s="42">
        <f>IF(GUAYAQUIL[[#This Row],[CODIGO]]="","",7711)</f>
        <v>7711</v>
      </c>
      <c r="H100" s="42">
        <f>IF(GUAYAQUIL[[#This Row],[CODIGO]]="","",1001)</f>
        <v>1001</v>
      </c>
      <c r="I100" s="258" t="s">
        <v>876</v>
      </c>
      <c r="J100" s="25" t="str">
        <f>IFERROR((VLOOKUP(GUAYAQUIL[[#This Row],[CODIGO]],MAESTRO!A:B,2,FALSE)),"")</f>
        <v>BY BLCK VASO 165G</v>
      </c>
      <c r="K100" s="35">
        <v>780</v>
      </c>
      <c r="L100" s="205">
        <f>+IFERROR(IF(GUAYAQUIL[[#This Row],[CODIGO]]="","",VLOOKUP(GUAYAQUIL[[#This Row],[CODIGO]],MAESTRO!$A:$BF,58,FALSE)),"")</f>
        <v>1</v>
      </c>
      <c r="M100" s="27">
        <f>+IFERROR(IF(GUAYAQUIL[[#This Row],[CODIGO]]="","",VLOOKUP(GUAYAQUIL[[#This Row],[CODIGO]],MAESTRO!A:N,14,FALSE)),"")</f>
        <v>0.16500000000000001</v>
      </c>
      <c r="N100" s="290">
        <f>+IFERROR(IF(GUAYAQUIL[[#This Row],[CODIGO]]="","",VLOOKUP(GUAYAQUIL[[#This Row],[CODIGO]],MAESTRO!A:P,16,FALSE)),"")</f>
        <v>45</v>
      </c>
      <c r="O100" s="45">
        <v>45615</v>
      </c>
      <c r="P100" s="292" t="str">
        <f t="shared" si="5"/>
        <v>martes</v>
      </c>
      <c r="Q100" s="278">
        <f>IFERROR(IF(GUAYAQUIL[[#This Row],[CODIGO]]="","",IF(GUAYAQUIL[[#This Row],[Fecha Cad]]="","",(GUAYAQUIL[[#This Row],[Fecha Cad]]-GUAYAQUIL[[#This Row],[VIDA UTIL (Días)]]))+1),"")</f>
        <v>45608</v>
      </c>
      <c r="R100" s="45">
        <v>45652</v>
      </c>
      <c r="S100" s="30">
        <f t="shared" ca="1" si="6"/>
        <v>28</v>
      </c>
      <c r="T100" s="294">
        <f t="shared" ca="1" si="7"/>
        <v>0.62222222222222223</v>
      </c>
      <c r="U100" s="295">
        <v>1380</v>
      </c>
      <c r="V100" s="262">
        <f>+IFERROR(IF(GUAYAQUIL[[#This Row],[CODIGO]]="","",GUAYAQUIL[[#This Row],[Stock Actual Unds]]*GUAYAQUIL[[#This Row],[Gramaje]]*GUAYAQUIL[[#This Row],[Conversión]]),"")</f>
        <v>227.70000000000002</v>
      </c>
      <c r="W100" s="299">
        <f t="shared" si="8"/>
        <v>7</v>
      </c>
      <c r="X100" s="44">
        <f t="shared" si="9"/>
        <v>0.84444444444444444</v>
      </c>
      <c r="Y100" s="236">
        <f>IFERROR(VLOOKUP(GUAYAQUIL[[#This Row],[CODIGO]],MAESTRO!A:BI,21,FALSE),0)</f>
        <v>0.32339499999999999</v>
      </c>
      <c r="Z100" s="237">
        <f>+IFERROR(IF(GUAYAQUIL[[#This Row],[CODIGO]]="","",GUAYAQUIL[[#This Row],[COSTO UNIT base]]*GUAYAQUIL[[#This Row],[Conversión]]),"")</f>
        <v>0.32339499999999999</v>
      </c>
      <c r="AA100" s="236">
        <f>+IFERROR(IF(GUAYAQUIL[[#This Row],[CODIGO]]="","",GUAYAQUIL[[#This Row],[COSTO UNIT Conv]]*GUAYAQUIL[[#This Row],[Stock Actual Kgs]]),"")</f>
        <v>73.637041500000009</v>
      </c>
      <c r="AB100" s="180">
        <f ca="1">+IFERROR(IF(GUAYAQUIL[[#This Row],[CODIGO]]="","",$J$3-O100),"")</f>
        <v>9</v>
      </c>
      <c r="AC100" s="35" t="str">
        <f ca="1">IF(GUAYAQUIL[[#This Row],[CODIGO]]="","",IF(S100&lt;=0,"CADUCADO",IF(AND(S100&gt;0,S100&lt;=21),"FECHA CORTA",IF(AND(S100&gt;=22,S100&lt;=26),"PROXIMOS FECHA CORTA", "VIGENTE"))))</f>
        <v>VIGENTE</v>
      </c>
      <c r="AD100" s="37">
        <f>+IF(GUAYAQUIL[[#This Row],[CODIGO]]="","",GUAYAQUIL[[#This Row],[Stock Actual Unds]]*GUAYAQUIL[[#This Row],[Gramaje]]*GUAYAQUIL[[#This Row],[Conversión]])/1000</f>
        <v>0.22770000000000001</v>
      </c>
    </row>
    <row r="101" spans="1:30">
      <c r="A101" s="24" t="str">
        <f>+IFERROR(IF(GUAYAQUIL[[#This Row],[CODIGO]]="","",VLOOKUP(GUAYAQUIL[[#This Row],[CODIGO]],MAESTRO!$A:$J,10,FALSE)),"")</f>
        <v>MACHACHI</v>
      </c>
      <c r="B101" s="24" t="str">
        <f>+IFERROR(IF(GUAYAQUIL[[#This Row],[CODIGO]]="","",VLOOKUP(GUAYAQUIL[[#This Row],[CODIGO]],MAESTRO!$A:$Q,17,FALSE)),"")</f>
        <v>BEBIDAS LACTEAS</v>
      </c>
      <c r="C101" s="24" t="str">
        <f>+IFERROR(IF(GUAYAQUIL[[#This Row],[CODIGO]]="","",VLOOKUP(GUAYAQUIL[[#This Row],[CODIGO]],MAESTRO!$A:$BA,53,FALSE)),"")</f>
        <v xml:space="preserve">Luis Armendariz                         </v>
      </c>
      <c r="D101" s="24" t="str">
        <f>+IFERROR(IF(GUAYAQUIL[[#This Row],[CODIGO]]="","",VLOOKUP(GUAYAQUIL[[#This Row],[CODIGO]],MAESTRO!$A:$D,4,FALSE)),"")</f>
        <v>BON YURT</v>
      </c>
      <c r="E101" s="24" t="str">
        <f>+IFERROR(IF(GUAYAQUIL[[#This Row],[CODIGO]]="","",VLOOKUP(GUAYAQUIL[[#This Row],[CODIGO]],MAESTRO!$A:$F,6,FALSE)),"")</f>
        <v>BON YURT REGULAR</v>
      </c>
      <c r="F101" s="42" t="str">
        <f>IF(GUAYAQUIL[[#This Row],[CODIGO]]="","",$K$6)</f>
        <v>GUAYAQUIL</v>
      </c>
      <c r="G101" s="209">
        <f>IF(GUAYAQUIL[[#This Row],[CODIGO]]="","",7711)</f>
        <v>7711</v>
      </c>
      <c r="H101" s="209">
        <f>IF(GUAYAQUIL[[#This Row],[CODIGO]]="","",1001)</f>
        <v>1001</v>
      </c>
      <c r="I101" s="258" t="s">
        <v>876</v>
      </c>
      <c r="J101" s="25" t="str">
        <f>IFERROR((VLOOKUP(GUAYAQUIL[[#This Row],[CODIGO]],MAESTRO!A:B,2,FALSE)),"")</f>
        <v>BY BLCK VASO 165G</v>
      </c>
      <c r="K101" s="35">
        <v>660</v>
      </c>
      <c r="L101" s="38">
        <f>+IFERROR(IF(GUAYAQUIL[[#This Row],[CODIGO]]="","",VLOOKUP(GUAYAQUIL[[#This Row],[CODIGO]],MAESTRO!$A:$BF,58,FALSE)),"")</f>
        <v>1</v>
      </c>
      <c r="M101" s="27">
        <f>+IFERROR(IF(GUAYAQUIL[[#This Row],[CODIGO]]="","",VLOOKUP(GUAYAQUIL[[#This Row],[CODIGO]],MAESTRO!A:N,14,FALSE)),"")</f>
        <v>0.16500000000000001</v>
      </c>
      <c r="N101" s="28">
        <f>+IFERROR(IF(GUAYAQUIL[[#This Row],[CODIGO]]="","",VLOOKUP(GUAYAQUIL[[#This Row],[CODIGO]],MAESTRO!A:P,16,FALSE)),"")</f>
        <v>45</v>
      </c>
      <c r="O101" s="29">
        <v>45616</v>
      </c>
      <c r="P101" s="72" t="str">
        <f t="shared" si="5"/>
        <v>miércoles</v>
      </c>
      <c r="Q101" s="29">
        <f>IFERROR(IF(GUAYAQUIL[[#This Row],[CODIGO]]="","",IF(GUAYAQUIL[[#This Row],[Fecha Cad]]="","",(GUAYAQUIL[[#This Row],[Fecha Cad]]-GUAYAQUIL[[#This Row],[VIDA UTIL (Días)]]))+1),"")</f>
        <v>45612</v>
      </c>
      <c r="R101" s="29">
        <v>45656</v>
      </c>
      <c r="S101" s="30">
        <f t="shared" ca="1" si="6"/>
        <v>32</v>
      </c>
      <c r="T101" s="31">
        <f t="shared" ca="1" si="7"/>
        <v>0.71111111111111114</v>
      </c>
      <c r="U101" s="286">
        <v>0</v>
      </c>
      <c r="V101" s="261">
        <f>+IFERROR(IF(GUAYAQUIL[[#This Row],[CODIGO]]="","",GUAYAQUIL[[#This Row],[Stock Actual Unds]]*GUAYAQUIL[[#This Row],[Gramaje]]*GUAYAQUIL[[#This Row],[Conversión]]),"")</f>
        <v>0</v>
      </c>
      <c r="W101" s="270">
        <f t="shared" si="8"/>
        <v>4</v>
      </c>
      <c r="X101" s="32">
        <f t="shared" si="9"/>
        <v>0.91111111111111109</v>
      </c>
      <c r="Y101" s="236">
        <f>IFERROR(VLOOKUP(GUAYAQUIL[[#This Row],[CODIGO]],MAESTRO!A:BI,21,FALSE),0)</f>
        <v>0.32339499999999999</v>
      </c>
      <c r="Z101" s="237">
        <f>+IFERROR(IF(GUAYAQUIL[[#This Row],[CODIGO]]="","",GUAYAQUIL[[#This Row],[COSTO UNIT base]]*GUAYAQUIL[[#This Row],[Conversión]]),"")</f>
        <v>0.32339499999999999</v>
      </c>
      <c r="AA101" s="236">
        <f>+IFERROR(IF(GUAYAQUIL[[#This Row],[CODIGO]]="","",GUAYAQUIL[[#This Row],[COSTO UNIT Conv]]*GUAYAQUIL[[#This Row],[Stock Actual Kgs]]),"")</f>
        <v>0</v>
      </c>
      <c r="AB101" s="33">
        <f ca="1">+IFERROR(IF(GUAYAQUIL[[#This Row],[CODIGO]]="","",$J$3-O101),"")</f>
        <v>8</v>
      </c>
      <c r="AC101" s="34" t="str">
        <f ca="1">IF(GUAYAQUIL[[#This Row],[CODIGO]]="","",IF(S101&lt;=0,"CADUCADO",IF(AND(S101&gt;0,S101&lt;=21),"FECHA CORTA",IF(AND(S101&gt;=22,S101&lt;=26),"PROXIMOS FECHA CORTA", "VIGENTE"))))</f>
        <v>VIGENTE</v>
      </c>
      <c r="AD101" s="37">
        <f>+IF(GUAYAQUIL[[#This Row],[CODIGO]]="","",GUAYAQUIL[[#This Row],[Stock Actual Unds]]*GUAYAQUIL[[#This Row],[Gramaje]]*GUAYAQUIL[[#This Row],[Conversión]])/1000</f>
        <v>0</v>
      </c>
    </row>
    <row r="102" spans="1:30">
      <c r="A102" s="24" t="str">
        <f>+IFERROR(IF(GUAYAQUIL[[#This Row],[CODIGO]]="","",VLOOKUP(GUAYAQUIL[[#This Row],[CODIGO]],MAESTRO!$A:$J,10,FALSE)),"")</f>
        <v>MACHACHI</v>
      </c>
      <c r="B102" s="24" t="str">
        <f>+IFERROR(IF(GUAYAQUIL[[#This Row],[CODIGO]]="","",VLOOKUP(GUAYAQUIL[[#This Row],[CODIGO]],MAESTRO!$A:$Q,17,FALSE)),"")</f>
        <v>BEBIDAS LACTEAS</v>
      </c>
      <c r="C102" s="24" t="str">
        <f>+IFERROR(IF(GUAYAQUIL[[#This Row],[CODIGO]]="","",VLOOKUP(GUAYAQUIL[[#This Row],[CODIGO]],MAESTRO!$A:$BA,53,FALSE)),"")</f>
        <v xml:space="preserve">Luis Armendariz                         </v>
      </c>
      <c r="D102" s="24" t="str">
        <f>+IFERROR(IF(GUAYAQUIL[[#This Row],[CODIGO]]="","",VLOOKUP(GUAYAQUIL[[#This Row],[CODIGO]],MAESTRO!$A:$D,4,FALSE)),"")</f>
        <v>BON YURT</v>
      </c>
      <c r="E102" s="24" t="str">
        <f>+IFERROR(IF(GUAYAQUIL[[#This Row],[CODIGO]]="","",VLOOKUP(GUAYAQUIL[[#This Row],[CODIGO]],MAESTRO!$A:$F,6,FALSE)),"")</f>
        <v>BON YURT REGULAR</v>
      </c>
      <c r="F102" s="42" t="str">
        <f>IF(GUAYAQUIL[[#This Row],[CODIGO]]="","",$K$6)</f>
        <v>GUAYAQUIL</v>
      </c>
      <c r="G102" s="42">
        <f>IF(GUAYAQUIL[[#This Row],[CODIGO]]="","",7711)</f>
        <v>7711</v>
      </c>
      <c r="H102" s="42">
        <f>IF(GUAYAQUIL[[#This Row],[CODIGO]]="","",1001)</f>
        <v>1001</v>
      </c>
      <c r="I102" s="257" t="s">
        <v>876</v>
      </c>
      <c r="J102" s="25" t="str">
        <f>IFERROR((VLOOKUP(GUAYAQUIL[[#This Row],[CODIGO]],MAESTRO!A:B,2,FALSE)),"")</f>
        <v>BY BLCK VASO 165G</v>
      </c>
      <c r="K102" s="26">
        <v>1200</v>
      </c>
      <c r="L102" s="38">
        <f>+IFERROR(IF(GUAYAQUIL[[#This Row],[CODIGO]]="","",VLOOKUP(GUAYAQUIL[[#This Row],[CODIGO]],MAESTRO!$A:$BF,58,FALSE)),"")</f>
        <v>1</v>
      </c>
      <c r="M102" s="27">
        <f>+IFERROR(IF(GUAYAQUIL[[#This Row],[CODIGO]]="","",VLOOKUP(GUAYAQUIL[[#This Row],[CODIGO]],MAESTRO!A:N,14,FALSE)),"")</f>
        <v>0.16500000000000001</v>
      </c>
      <c r="N102" s="28">
        <f>+IFERROR(IF(GUAYAQUIL[[#This Row],[CODIGO]]="","",VLOOKUP(GUAYAQUIL[[#This Row],[CODIGO]],MAESTRO!A:P,16,FALSE)),"")</f>
        <v>45</v>
      </c>
      <c r="O102" s="29">
        <v>45617</v>
      </c>
      <c r="P102" s="72" t="str">
        <f t="shared" si="5"/>
        <v>jueves</v>
      </c>
      <c r="Q102" s="29">
        <f>IFERROR(IF(GUAYAQUIL[[#This Row],[CODIGO]]="","",IF(GUAYAQUIL[[#This Row],[Fecha Cad]]="","",(GUAYAQUIL[[#This Row],[Fecha Cad]]-GUAYAQUIL[[#This Row],[VIDA UTIL (Días)]]))+1),"")</f>
        <v>45612</v>
      </c>
      <c r="R102" s="29">
        <v>45656</v>
      </c>
      <c r="S102" s="30">
        <f t="shared" ca="1" si="6"/>
        <v>32</v>
      </c>
      <c r="T102" s="31">
        <f t="shared" ca="1" si="7"/>
        <v>0.71111111111111114</v>
      </c>
      <c r="U102" s="286">
        <v>1200</v>
      </c>
      <c r="V102" s="260">
        <f>+IFERROR(IF(GUAYAQUIL[[#This Row],[CODIGO]]="","",GUAYAQUIL[[#This Row],[Stock Actual Unds]]*GUAYAQUIL[[#This Row],[Gramaje]]*GUAYAQUIL[[#This Row],[Conversión]]),"")</f>
        <v>198</v>
      </c>
      <c r="W102" s="270">
        <f t="shared" si="8"/>
        <v>5</v>
      </c>
      <c r="X102" s="32">
        <f t="shared" si="9"/>
        <v>0.88888888888888884</v>
      </c>
      <c r="Y102" s="236">
        <f>IFERROR(VLOOKUP(GUAYAQUIL[[#This Row],[CODIGO]],MAESTRO!A:BI,21,FALSE),0)</f>
        <v>0.32339499999999999</v>
      </c>
      <c r="Z102" s="237">
        <f>+IFERROR(IF(GUAYAQUIL[[#This Row],[CODIGO]]="","",GUAYAQUIL[[#This Row],[COSTO UNIT base]]*GUAYAQUIL[[#This Row],[Conversión]]),"")</f>
        <v>0.32339499999999999</v>
      </c>
      <c r="AA102" s="236">
        <f>+IFERROR(IF(GUAYAQUIL[[#This Row],[CODIGO]]="","",GUAYAQUIL[[#This Row],[COSTO UNIT Conv]]*GUAYAQUIL[[#This Row],[Stock Actual Kgs]]),"")</f>
        <v>64.032209999999992</v>
      </c>
      <c r="AB102" s="33">
        <f ca="1">+IFERROR(IF(GUAYAQUIL[[#This Row],[CODIGO]]="","",$J$3-O102),"")</f>
        <v>7</v>
      </c>
      <c r="AC102" s="34" t="str">
        <f ca="1">IF(GUAYAQUIL[[#This Row],[CODIGO]]="","",IF(S102&lt;=0,"CADUCADO",IF(AND(S102&gt;0,S102&lt;=21),"FECHA CORTA",IF(AND(S102&gt;=22,S102&lt;=26),"PROXIMOS FECHA CORTA", "VIGENTE"))))</f>
        <v>VIGENTE</v>
      </c>
      <c r="AD102" s="37">
        <f>+IF(GUAYAQUIL[[#This Row],[CODIGO]]="","",GUAYAQUIL[[#This Row],[Stock Actual Unds]]*GUAYAQUIL[[#This Row],[Gramaje]]*GUAYAQUIL[[#This Row],[Conversión]])/1000</f>
        <v>0.19800000000000001</v>
      </c>
    </row>
    <row r="103" spans="1:30">
      <c r="A103" s="24" t="str">
        <f>+IFERROR(IF(GUAYAQUIL[[#This Row],[CODIGO]]="","",VLOOKUP(GUAYAQUIL[[#This Row],[CODIGO]],MAESTRO!$A:$J,10,FALSE)),"")</f>
        <v>SAN GABRIEL</v>
      </c>
      <c r="B103" s="24" t="str">
        <f>+IFERROR(IF(GUAYAQUIL[[#This Row],[CODIGO]]="","",VLOOKUP(GUAYAQUIL[[#This Row],[CODIGO]],MAESTRO!$A:$Q,17,FALSE)),"")</f>
        <v>QUESOS Y GRASAS</v>
      </c>
      <c r="C103" s="24" t="str">
        <f>+IFERROR(IF(GUAYAQUIL[[#This Row],[CODIGO]]="","",VLOOKUP(GUAYAQUIL[[#This Row],[CODIGO]],MAESTRO!$A:$BA,53,FALSE)),"")</f>
        <v xml:space="preserve">Esteban Montenegro                      </v>
      </c>
      <c r="D103" s="24" t="str">
        <f>+IFERROR(IF(GUAYAQUIL[[#This Row],[CODIGO]]="","",VLOOKUP(GUAYAQUIL[[#This Row],[CODIGO]],MAESTRO!$A:$D,4,FALSE)),"")</f>
        <v>QUESO SEMIMADURO KIOSKO</v>
      </c>
      <c r="E103" s="24" t="str">
        <f>+IFERROR(IF(GUAYAQUIL[[#This Row],[CODIGO]]="","",VLOOKUP(GUAYAQUIL[[#This Row],[CODIGO]],MAESTRO!$A:$F,6,FALSE)),"")</f>
        <v>QUESO PARMESANO KIOSKO BLOQUE</v>
      </c>
      <c r="F103" s="42" t="str">
        <f>IF(GUAYAQUIL[[#This Row],[CODIGO]]="","",$K$6)</f>
        <v>GUAYAQUIL</v>
      </c>
      <c r="G103" s="42">
        <f>IF(GUAYAQUIL[[#This Row],[CODIGO]]="","",7711)</f>
        <v>7711</v>
      </c>
      <c r="H103" s="42">
        <f>IF(GUAYAQUIL[[#This Row],[CODIGO]]="","",1001)</f>
        <v>1001</v>
      </c>
      <c r="I103" s="257" t="s">
        <v>2835</v>
      </c>
      <c r="J103" s="25" t="str">
        <f>IFERROR((VLOOKUP(GUAYAQUIL[[#This Row],[CODIGO]],MAESTRO!A:B,2,FALSE)),"")</f>
        <v>Q PARME KIOSKO CUNA AL PESO</v>
      </c>
      <c r="K103" s="26">
        <v>20</v>
      </c>
      <c r="L103" s="38">
        <f>+IFERROR(IF(GUAYAQUIL[[#This Row],[CODIGO]]="","",VLOOKUP(GUAYAQUIL[[#This Row],[CODIGO]],MAESTRO!$A:$BF,58,FALSE)),"")</f>
        <v>2.4</v>
      </c>
      <c r="M103" s="27">
        <f>+IFERROR(IF(GUAYAQUIL[[#This Row],[CODIGO]]="","",VLOOKUP(GUAYAQUIL[[#This Row],[CODIGO]],MAESTRO!A:N,14,FALSE)),"")</f>
        <v>1</v>
      </c>
      <c r="N103" s="28">
        <f>+IFERROR(IF(GUAYAQUIL[[#This Row],[CODIGO]]="","",VLOOKUP(GUAYAQUIL[[#This Row],[CODIGO]],MAESTRO!A:P,16,FALSE)),"")</f>
        <v>90</v>
      </c>
      <c r="O103" s="29">
        <v>45609</v>
      </c>
      <c r="P103" s="72" t="str">
        <f t="shared" si="5"/>
        <v>miércoles</v>
      </c>
      <c r="Q103" s="29">
        <f>IFERROR(IF(GUAYAQUIL[[#This Row],[CODIGO]]="","",IF(GUAYAQUIL[[#This Row],[Fecha Cad]]="","",(GUAYAQUIL[[#This Row],[Fecha Cad]]-GUAYAQUIL[[#This Row],[VIDA UTIL (Días)]]))+1),"")</f>
        <v>45608</v>
      </c>
      <c r="R103" s="29">
        <v>45697</v>
      </c>
      <c r="S103" s="30">
        <f t="shared" ca="1" si="6"/>
        <v>73</v>
      </c>
      <c r="T103" s="31">
        <f t="shared" ca="1" si="7"/>
        <v>0.81111111111111112</v>
      </c>
      <c r="U103" s="286">
        <v>14</v>
      </c>
      <c r="V103" s="260">
        <f>+IFERROR(IF(GUAYAQUIL[[#This Row],[CODIGO]]="","",GUAYAQUIL[[#This Row],[Stock Actual Unds]]*GUAYAQUIL[[#This Row],[Gramaje]]*GUAYAQUIL[[#This Row],[Conversión]]),"")</f>
        <v>33.6</v>
      </c>
      <c r="W103" s="270">
        <f t="shared" si="8"/>
        <v>1</v>
      </c>
      <c r="X103" s="32">
        <f t="shared" si="9"/>
        <v>0.98888888888888893</v>
      </c>
      <c r="Y103" s="236">
        <f>IFERROR(VLOOKUP(GUAYAQUIL[[#This Row],[CODIGO]],MAESTRO!A:BI,21,FALSE),0)</f>
        <v>7.9599600000000006</v>
      </c>
      <c r="Z103" s="237">
        <f>+IFERROR(IF(GUAYAQUIL[[#This Row],[CODIGO]]="","",GUAYAQUIL[[#This Row],[COSTO UNIT base]]*GUAYAQUIL[[#This Row],[Conversión]]),"")</f>
        <v>19.103904</v>
      </c>
      <c r="AA103" s="236">
        <f>+IFERROR(IF(GUAYAQUIL[[#This Row],[CODIGO]]="","",GUAYAQUIL[[#This Row],[COSTO UNIT Conv]]*GUAYAQUIL[[#This Row],[Stock Actual Kgs]]),"")</f>
        <v>641.89117440000007</v>
      </c>
      <c r="AB103" s="33">
        <f ca="1">+IFERROR(IF(GUAYAQUIL[[#This Row],[CODIGO]]="","",$J$3-O103),"")</f>
        <v>15</v>
      </c>
      <c r="AC103" s="34" t="str">
        <f ca="1">IF(GUAYAQUIL[[#This Row],[CODIGO]]="","",IF(S103&lt;=0,"CADUCADO",IF(AND(S103&gt;0,S103&lt;=21),"FECHA CORTA",IF(AND(S103&gt;=22,S103&lt;=26),"PROXIMOS FECHA CORTA", "VIGENTE"))))</f>
        <v>VIGENTE</v>
      </c>
      <c r="AD103" s="37">
        <f>+IF(GUAYAQUIL[[#This Row],[CODIGO]]="","",GUAYAQUIL[[#This Row],[Stock Actual Unds]]*GUAYAQUIL[[#This Row],[Gramaje]]*GUAYAQUIL[[#This Row],[Conversión]])/1000</f>
        <v>3.3600000000000005E-2</v>
      </c>
    </row>
    <row r="104" spans="1:30">
      <c r="A104" s="24" t="str">
        <f>+IFERROR(IF(GUAYAQUIL[[#This Row],[CODIGO]]="","",VLOOKUP(GUAYAQUIL[[#This Row],[CODIGO]],MAESTRO!$A:$J,10,FALSE)),"")</f>
        <v>SAN GABRIEL</v>
      </c>
      <c r="B104" s="24" t="str">
        <f>+IFERROR(IF(GUAYAQUIL[[#This Row],[CODIGO]]="","",VLOOKUP(GUAYAQUIL[[#This Row],[CODIGO]],MAESTRO!$A:$Q,17,FALSE)),"")</f>
        <v>QUESOS Y GRASAS</v>
      </c>
      <c r="C104" s="24" t="str">
        <f>+IFERROR(IF(GUAYAQUIL[[#This Row],[CODIGO]]="","",VLOOKUP(GUAYAQUIL[[#This Row],[CODIGO]],MAESTRO!$A:$BA,53,FALSE)),"")</f>
        <v xml:space="preserve">Esteban Montenegro                      </v>
      </c>
      <c r="D104" s="24" t="str">
        <f>+IFERROR(IF(GUAYAQUIL[[#This Row],[CODIGO]]="","",VLOOKUP(GUAYAQUIL[[#This Row],[CODIGO]],MAESTRO!$A:$D,4,FALSE)),"")</f>
        <v>QUESO SEMIMADURO KIOSKO</v>
      </c>
      <c r="E104" s="24" t="str">
        <f>+IFERROR(IF(GUAYAQUIL[[#This Row],[CODIGO]]="","",VLOOKUP(GUAYAQUIL[[#This Row],[CODIGO]],MAESTRO!$A:$F,6,FALSE)),"")</f>
        <v>QUESO PARMESANO KIOSKO BLOQUE</v>
      </c>
      <c r="F104" s="42" t="str">
        <f>IF(GUAYAQUIL[[#This Row],[CODIGO]]="","",$K$6)</f>
        <v>GUAYAQUIL</v>
      </c>
      <c r="G104" s="42">
        <f>IF(GUAYAQUIL[[#This Row],[CODIGO]]="","",7711)</f>
        <v>7711</v>
      </c>
      <c r="H104" s="42">
        <f>IF(GUAYAQUIL[[#This Row],[CODIGO]]="","",1001)</f>
        <v>1001</v>
      </c>
      <c r="I104" s="258" t="s">
        <v>2835</v>
      </c>
      <c r="J104" s="25" t="str">
        <f>IFERROR((VLOOKUP(GUAYAQUIL[[#This Row],[CODIGO]],MAESTRO!A:B,2,FALSE)),"")</f>
        <v>Q PARME KIOSKO CUNA AL PESO</v>
      </c>
      <c r="K104" s="35">
        <v>4</v>
      </c>
      <c r="L104" s="38">
        <f>+IFERROR(IF(GUAYAQUIL[[#This Row],[CODIGO]]="","",VLOOKUP(GUAYAQUIL[[#This Row],[CODIGO]],MAESTRO!$A:$BF,58,FALSE)),"")</f>
        <v>2.4</v>
      </c>
      <c r="M104" s="27">
        <f>+IFERROR(IF(GUAYAQUIL[[#This Row],[CODIGO]]="","",VLOOKUP(GUAYAQUIL[[#This Row],[CODIGO]],MAESTRO!A:N,14,FALSE)),"")</f>
        <v>1</v>
      </c>
      <c r="N104" s="28">
        <f>+IFERROR(IF(GUAYAQUIL[[#This Row],[CODIGO]]="","",VLOOKUP(GUAYAQUIL[[#This Row],[CODIGO]],MAESTRO!A:P,16,FALSE)),"")</f>
        <v>90</v>
      </c>
      <c r="O104" s="29">
        <v>45610</v>
      </c>
      <c r="P104" s="72" t="str">
        <f t="shared" si="5"/>
        <v>jueves</v>
      </c>
      <c r="Q104" s="29">
        <f>IFERROR(IF(GUAYAQUIL[[#This Row],[CODIGO]]="","",IF(GUAYAQUIL[[#This Row],[Fecha Cad]]="","",(GUAYAQUIL[[#This Row],[Fecha Cad]]-GUAYAQUIL[[#This Row],[VIDA UTIL (Días)]]))+1),"")</f>
        <v>45609</v>
      </c>
      <c r="R104" s="29">
        <v>45698</v>
      </c>
      <c r="S104" s="30">
        <f t="shared" ca="1" si="6"/>
        <v>74</v>
      </c>
      <c r="T104" s="31">
        <f t="shared" ca="1" si="7"/>
        <v>0.82222222222222219</v>
      </c>
      <c r="U104" s="286">
        <v>4</v>
      </c>
      <c r="V104" s="261">
        <f>+IFERROR(IF(GUAYAQUIL[[#This Row],[CODIGO]]="","",GUAYAQUIL[[#This Row],[Stock Actual Unds]]*GUAYAQUIL[[#This Row],[Gramaje]]*GUAYAQUIL[[#This Row],[Conversión]]),"")</f>
        <v>9.6</v>
      </c>
      <c r="W104" s="270">
        <f t="shared" si="8"/>
        <v>1</v>
      </c>
      <c r="X104" s="32">
        <f t="shared" si="9"/>
        <v>0.98888888888888893</v>
      </c>
      <c r="Y104" s="236">
        <f>IFERROR(VLOOKUP(GUAYAQUIL[[#This Row],[CODIGO]],MAESTRO!A:BI,21,FALSE),0)</f>
        <v>7.9599600000000006</v>
      </c>
      <c r="Z104" s="237">
        <f>+IFERROR(IF(GUAYAQUIL[[#This Row],[CODIGO]]="","",GUAYAQUIL[[#This Row],[COSTO UNIT base]]*GUAYAQUIL[[#This Row],[Conversión]]),"")</f>
        <v>19.103904</v>
      </c>
      <c r="AA104" s="236">
        <f>+IFERROR(IF(GUAYAQUIL[[#This Row],[CODIGO]]="","",GUAYAQUIL[[#This Row],[COSTO UNIT Conv]]*GUAYAQUIL[[#This Row],[Stock Actual Kgs]]),"")</f>
        <v>183.39747839999998</v>
      </c>
      <c r="AB104" s="33">
        <f ca="1">+IFERROR(IF(GUAYAQUIL[[#This Row],[CODIGO]]="","",$J$3-O104),"")</f>
        <v>14</v>
      </c>
      <c r="AC104" s="34" t="str">
        <f ca="1">IF(GUAYAQUIL[[#This Row],[CODIGO]]="","",IF(S104&lt;=0,"CADUCADO",IF(AND(S104&gt;0,S104&lt;=21),"FECHA CORTA",IF(AND(S104&gt;=22,S104&lt;=26),"PROXIMOS FECHA CORTA", "VIGENTE"))))</f>
        <v>VIGENTE</v>
      </c>
      <c r="AD104" s="37">
        <f>+IF(GUAYAQUIL[[#This Row],[CODIGO]]="","",GUAYAQUIL[[#This Row],[Stock Actual Unds]]*GUAYAQUIL[[#This Row],[Gramaje]]*GUAYAQUIL[[#This Row],[Conversión]])/1000</f>
        <v>9.5999999999999992E-3</v>
      </c>
    </row>
    <row r="105" spans="1:30">
      <c r="A105" s="24" t="str">
        <f>+IFERROR(IF(GUAYAQUIL[[#This Row],[CODIGO]]="","",VLOOKUP(GUAYAQUIL[[#This Row],[CODIGO]],MAESTRO!$A:$J,10,FALSE)),"")</f>
        <v>SAN GABRIEL</v>
      </c>
      <c r="B105" s="24" t="str">
        <f>+IFERROR(IF(GUAYAQUIL[[#This Row],[CODIGO]]="","",VLOOKUP(GUAYAQUIL[[#This Row],[CODIGO]],MAESTRO!$A:$Q,17,FALSE)),"")</f>
        <v>QUESOS Y GRASAS</v>
      </c>
      <c r="C105" s="24" t="str">
        <f>+IFERROR(IF(GUAYAQUIL[[#This Row],[CODIGO]]="","",VLOOKUP(GUAYAQUIL[[#This Row],[CODIGO]],MAESTRO!$A:$BA,53,FALSE)),"")</f>
        <v xml:space="preserve">Esteban Montenegro                      </v>
      </c>
      <c r="D105" s="24" t="str">
        <f>+IFERROR(IF(GUAYAQUIL[[#This Row],[CODIGO]]="","",VLOOKUP(GUAYAQUIL[[#This Row],[CODIGO]],MAESTRO!$A:$D,4,FALSE)),"")</f>
        <v>QUESO SEMIMADURO KIOSKO</v>
      </c>
      <c r="E105" s="24" t="str">
        <f>+IFERROR(IF(GUAYAQUIL[[#This Row],[CODIGO]]="","",VLOOKUP(GUAYAQUIL[[#This Row],[CODIGO]],MAESTRO!$A:$F,6,FALSE)),"")</f>
        <v>QUESO PARMESANO KIOSKO BLOQUE</v>
      </c>
      <c r="F105" s="42" t="str">
        <f>IF(GUAYAQUIL[[#This Row],[CODIGO]]="","",$K$6)</f>
        <v>GUAYAQUIL</v>
      </c>
      <c r="G105" s="42">
        <f>IF(GUAYAQUIL[[#This Row],[CODIGO]]="","",7711)</f>
        <v>7711</v>
      </c>
      <c r="H105" s="42">
        <f>IF(GUAYAQUIL[[#This Row],[CODIGO]]="","",1001)</f>
        <v>1001</v>
      </c>
      <c r="I105" s="258" t="s">
        <v>2835</v>
      </c>
      <c r="J105" s="25" t="str">
        <f>IFERROR((VLOOKUP(GUAYAQUIL[[#This Row],[CODIGO]],MAESTRO!A:B,2,FALSE)),"")</f>
        <v>Q PARME KIOSKO CUNA AL PESO</v>
      </c>
      <c r="K105" s="35">
        <v>4</v>
      </c>
      <c r="L105" s="38">
        <f>+IFERROR(IF(GUAYAQUIL[[#This Row],[CODIGO]]="","",VLOOKUP(GUAYAQUIL[[#This Row],[CODIGO]],MAESTRO!$A:$BF,58,FALSE)),"")</f>
        <v>2.4</v>
      </c>
      <c r="M105" s="27">
        <f>+IFERROR(IF(GUAYAQUIL[[#This Row],[CODIGO]]="","",VLOOKUP(GUAYAQUIL[[#This Row],[CODIGO]],MAESTRO!A:N,14,FALSE)),"")</f>
        <v>1</v>
      </c>
      <c r="N105" s="28">
        <f>+IFERROR(IF(GUAYAQUIL[[#This Row],[CODIGO]]="","",VLOOKUP(GUAYAQUIL[[#This Row],[CODIGO]],MAESTRO!A:P,16,FALSE)),"")</f>
        <v>90</v>
      </c>
      <c r="O105" s="29">
        <v>45616</v>
      </c>
      <c r="P105" s="72" t="str">
        <f t="shared" si="5"/>
        <v>miércoles</v>
      </c>
      <c r="Q105" s="29">
        <f>IFERROR(IF(GUAYAQUIL[[#This Row],[CODIGO]]="","",IF(GUAYAQUIL[[#This Row],[Fecha Cad]]="","",(GUAYAQUIL[[#This Row],[Fecha Cad]]-GUAYAQUIL[[#This Row],[VIDA UTIL (Días)]]))+1),"")</f>
        <v>45615</v>
      </c>
      <c r="R105" s="29">
        <v>45704</v>
      </c>
      <c r="S105" s="30">
        <f t="shared" ca="1" si="6"/>
        <v>80</v>
      </c>
      <c r="T105" s="31">
        <f t="shared" ca="1" si="7"/>
        <v>0.88888888888888884</v>
      </c>
      <c r="U105" s="286">
        <v>4</v>
      </c>
      <c r="V105" s="261">
        <f>+IFERROR(IF(GUAYAQUIL[[#This Row],[CODIGO]]="","",GUAYAQUIL[[#This Row],[Stock Actual Unds]]*GUAYAQUIL[[#This Row],[Gramaje]]*GUAYAQUIL[[#This Row],[Conversión]]),"")</f>
        <v>9.6</v>
      </c>
      <c r="W105" s="270">
        <f t="shared" si="8"/>
        <v>1</v>
      </c>
      <c r="X105" s="32">
        <f t="shared" si="9"/>
        <v>0.98888888888888893</v>
      </c>
      <c r="Y105" s="236">
        <f>IFERROR(VLOOKUP(GUAYAQUIL[[#This Row],[CODIGO]],MAESTRO!A:BI,21,FALSE),0)</f>
        <v>7.9599600000000006</v>
      </c>
      <c r="Z105" s="237">
        <f>+IFERROR(IF(GUAYAQUIL[[#This Row],[CODIGO]]="","",GUAYAQUIL[[#This Row],[COSTO UNIT base]]*GUAYAQUIL[[#This Row],[Conversión]]),"")</f>
        <v>19.103904</v>
      </c>
      <c r="AA105" s="236">
        <f>+IFERROR(IF(GUAYAQUIL[[#This Row],[CODIGO]]="","",GUAYAQUIL[[#This Row],[COSTO UNIT Conv]]*GUAYAQUIL[[#This Row],[Stock Actual Kgs]]),"")</f>
        <v>183.39747839999998</v>
      </c>
      <c r="AB105" s="33">
        <f ca="1">+IFERROR(IF(GUAYAQUIL[[#This Row],[CODIGO]]="","",$J$3-O105),"")</f>
        <v>8</v>
      </c>
      <c r="AC105" s="34" t="str">
        <f ca="1">IF(GUAYAQUIL[[#This Row],[CODIGO]]="","",IF(S105&lt;=0,"CADUCADO",IF(AND(S105&gt;0,S105&lt;=21),"FECHA CORTA",IF(AND(S105&gt;=22,S105&lt;=26),"PROXIMOS FECHA CORTA", "VIGENTE"))))</f>
        <v>VIGENTE</v>
      </c>
      <c r="AD105" s="37">
        <f>+IF(GUAYAQUIL[[#This Row],[CODIGO]]="","",GUAYAQUIL[[#This Row],[Stock Actual Unds]]*GUAYAQUIL[[#This Row],[Gramaje]]*GUAYAQUIL[[#This Row],[Conversión]])/1000</f>
        <v>9.5999999999999992E-3</v>
      </c>
    </row>
    <row r="106" spans="1:30">
      <c r="A106" s="24" t="str">
        <f>+IFERROR(IF(GUAYAQUIL[[#This Row],[CODIGO]]="","",VLOOKUP(GUAYAQUIL[[#This Row],[CODIGO]],MAESTRO!$A:$J,10,FALSE)),"")</f>
        <v>SAN GABRIEL</v>
      </c>
      <c r="B106" s="24" t="str">
        <f>+IFERROR(IF(GUAYAQUIL[[#This Row],[CODIGO]]="","",VLOOKUP(GUAYAQUIL[[#This Row],[CODIGO]],MAESTRO!$A:$Q,17,FALSE)),"")</f>
        <v>POSTRES</v>
      </c>
      <c r="C106" s="24" t="str">
        <f>+IFERROR(IF(GUAYAQUIL[[#This Row],[CODIGO]]="","",VLOOKUP(GUAYAQUIL[[#This Row],[CODIGO]],MAESTRO!$A:$BA,53,FALSE)),"")</f>
        <v xml:space="preserve">Luis Armendariz                         </v>
      </c>
      <c r="D106" s="24" t="str">
        <f>+IFERROR(IF(GUAYAQUIL[[#This Row],[CODIGO]]="","",VLOOKUP(GUAYAQUIL[[#This Row],[CODIGO]],MAESTRO!$A:$D,4,FALSE)),"")</f>
        <v>DULCE LECHE KIOSCO</v>
      </c>
      <c r="E106" s="24" t="str">
        <f>+IFERROR(IF(GUAYAQUIL[[#This Row],[CODIGO]]="","",VLOOKUP(GUAYAQUIL[[#This Row],[CODIGO]],MAESTRO!$A:$F,6,FALSE)),"")</f>
        <v>DULCE DE LECHE KIOSCO FAMILIAR</v>
      </c>
      <c r="F106" s="42" t="str">
        <f>IF(GUAYAQUIL[[#This Row],[CODIGO]]="","",$K$6)</f>
        <v>GUAYAQUIL</v>
      </c>
      <c r="G106" s="42">
        <f>IF(GUAYAQUIL[[#This Row],[CODIGO]]="","",7711)</f>
        <v>7711</v>
      </c>
      <c r="H106" s="42">
        <f>IF(GUAYAQUIL[[#This Row],[CODIGO]]="","",1001)</f>
        <v>1001</v>
      </c>
      <c r="I106" s="258" t="s">
        <v>4089</v>
      </c>
      <c r="J106" s="25" t="str">
        <f>IFERROR((VLOOKUP(GUAYAQUIL[[#This Row],[CODIGO]],MAESTRO!A:B,2,FALSE)),"")</f>
        <v>DULCE LCH KIOSKO VASO 500G</v>
      </c>
      <c r="K106" s="35">
        <v>0</v>
      </c>
      <c r="L106" s="38">
        <f>+IFERROR(IF(GUAYAQUIL[[#This Row],[CODIGO]]="","",VLOOKUP(GUAYAQUIL[[#This Row],[CODIGO]],MAESTRO!$A:$BF,58,FALSE)),"")</f>
        <v>1</v>
      </c>
      <c r="M106" s="27">
        <f>+IFERROR(IF(GUAYAQUIL[[#This Row],[CODIGO]]="","",VLOOKUP(GUAYAQUIL[[#This Row],[CODIGO]],MAESTRO!A:N,14,FALSE)),"")</f>
        <v>0.5</v>
      </c>
      <c r="N106" s="28">
        <f>+IFERROR(IF(GUAYAQUIL[[#This Row],[CODIGO]]="","",VLOOKUP(GUAYAQUIL[[#This Row],[CODIGO]],MAESTRO!A:P,16,FALSE)),"")</f>
        <v>180</v>
      </c>
      <c r="O106" s="29">
        <v>45595</v>
      </c>
      <c r="P106" s="72" t="str">
        <f t="shared" si="5"/>
        <v>miércoles</v>
      </c>
      <c r="Q106" s="29">
        <f>IFERROR(IF(GUAYAQUIL[[#This Row],[CODIGO]]="","",IF(GUAYAQUIL[[#This Row],[Fecha Cad]]="","",(GUAYAQUIL[[#This Row],[Fecha Cad]]-GUAYAQUIL[[#This Row],[VIDA UTIL (Días)]]))+1),"")</f>
        <v>45460</v>
      </c>
      <c r="R106" s="29">
        <v>45639</v>
      </c>
      <c r="S106" s="30">
        <f t="shared" ca="1" si="6"/>
        <v>15</v>
      </c>
      <c r="T106" s="31">
        <f t="shared" ca="1" si="7"/>
        <v>8.3333333333333329E-2</v>
      </c>
      <c r="U106" s="286">
        <v>16</v>
      </c>
      <c r="V106" s="261">
        <f>+IFERROR(IF(GUAYAQUIL[[#This Row],[CODIGO]]="","",GUAYAQUIL[[#This Row],[Stock Actual Unds]]*GUAYAQUIL[[#This Row],[Gramaje]]*GUAYAQUIL[[#This Row],[Conversión]]),"")</f>
        <v>8</v>
      </c>
      <c r="W106" s="270">
        <f t="shared" si="8"/>
        <v>135</v>
      </c>
      <c r="X106" s="32">
        <f t="shared" si="9"/>
        <v>0.25</v>
      </c>
      <c r="Y106" s="236">
        <f>IFERROR(VLOOKUP(GUAYAQUIL[[#This Row],[CODIGO]],MAESTRO!A:BI,21,FALSE),0)</f>
        <v>1.3121100000000001</v>
      </c>
      <c r="Z106" s="237">
        <f>+IFERROR(IF(GUAYAQUIL[[#This Row],[CODIGO]]="","",GUAYAQUIL[[#This Row],[COSTO UNIT base]]*GUAYAQUIL[[#This Row],[Conversión]]),"")</f>
        <v>1.3121100000000001</v>
      </c>
      <c r="AA106" s="236">
        <f>+IFERROR(IF(GUAYAQUIL[[#This Row],[CODIGO]]="","",GUAYAQUIL[[#This Row],[COSTO UNIT Conv]]*GUAYAQUIL[[#This Row],[Stock Actual Kgs]]),"")</f>
        <v>10.496880000000001</v>
      </c>
      <c r="AB106" s="33">
        <f ca="1">+IFERROR(IF(GUAYAQUIL[[#This Row],[CODIGO]]="","",$J$3-O106),"")</f>
        <v>29</v>
      </c>
      <c r="AC106" s="34" t="str">
        <f ca="1">IF(GUAYAQUIL[[#This Row],[CODIGO]]="","",IF(S106&lt;=0,"CADUCADO",IF(AND(S106&gt;0,S106&lt;=21),"FECHA CORTA",IF(AND(S106&gt;=22,S106&lt;=26),"PROXIMOS FECHA CORTA", "VIGENTE"))))</f>
        <v>FECHA CORTA</v>
      </c>
      <c r="AD106" s="37">
        <f>+IF(GUAYAQUIL[[#This Row],[CODIGO]]="","",GUAYAQUIL[[#This Row],[Stock Actual Unds]]*GUAYAQUIL[[#This Row],[Gramaje]]*GUAYAQUIL[[#This Row],[Conversión]])/1000</f>
        <v>8.0000000000000002E-3</v>
      </c>
    </row>
    <row r="107" spans="1:30">
      <c r="A107" s="24" t="str">
        <f>+IFERROR(IF(GUAYAQUIL[[#This Row],[CODIGO]]="","",VLOOKUP(GUAYAQUIL[[#This Row],[CODIGO]],MAESTRO!$A:$J,10,FALSE)),"")</f>
        <v>SAN GABRIEL</v>
      </c>
      <c r="B107" s="24" t="str">
        <f>+IFERROR(IF(GUAYAQUIL[[#This Row],[CODIGO]]="","",VLOOKUP(GUAYAQUIL[[#This Row],[CODIGO]],MAESTRO!$A:$Q,17,FALSE)),"")</f>
        <v>POSTRES</v>
      </c>
      <c r="C107" s="24" t="str">
        <f>+IFERROR(IF(GUAYAQUIL[[#This Row],[CODIGO]]="","",VLOOKUP(GUAYAQUIL[[#This Row],[CODIGO]],MAESTRO!$A:$BA,53,FALSE)),"")</f>
        <v xml:space="preserve">Luis Armendariz                         </v>
      </c>
      <c r="D107" s="24" t="str">
        <f>+IFERROR(IF(GUAYAQUIL[[#This Row],[CODIGO]]="","",VLOOKUP(GUAYAQUIL[[#This Row],[CODIGO]],MAESTRO!$A:$D,4,FALSE)),"")</f>
        <v>DULCE LECHE KIOSCO</v>
      </c>
      <c r="E107" s="24" t="str">
        <f>+IFERROR(IF(GUAYAQUIL[[#This Row],[CODIGO]]="","",VLOOKUP(GUAYAQUIL[[#This Row],[CODIGO]],MAESTRO!$A:$F,6,FALSE)),"")</f>
        <v>DULCE DE LECHE KIOSCO FAMILIAR</v>
      </c>
      <c r="F107" s="42" t="str">
        <f>IF(GUAYAQUIL[[#This Row],[CODIGO]]="","",$K$6)</f>
        <v>GUAYAQUIL</v>
      </c>
      <c r="G107" s="209">
        <f>IF(GUAYAQUIL[[#This Row],[CODIGO]]="","",7711)</f>
        <v>7711</v>
      </c>
      <c r="H107" s="209">
        <f>IF(GUAYAQUIL[[#This Row],[CODIGO]]="","",1001)</f>
        <v>1001</v>
      </c>
      <c r="I107" s="257" t="s">
        <v>4089</v>
      </c>
      <c r="J107" s="25" t="str">
        <f>IFERROR((VLOOKUP(GUAYAQUIL[[#This Row],[CODIGO]],MAESTRO!A:B,2,FALSE)),"")</f>
        <v>DULCE LCH KIOSKO VASO 500G</v>
      </c>
      <c r="K107" s="26">
        <v>72</v>
      </c>
      <c r="L107" s="38">
        <f>+IFERROR(IF(GUAYAQUIL[[#This Row],[CODIGO]]="","",VLOOKUP(GUAYAQUIL[[#This Row],[CODIGO]],MAESTRO!$A:$BF,58,FALSE)),"")</f>
        <v>1</v>
      </c>
      <c r="M107" s="27">
        <f>+IFERROR(IF(GUAYAQUIL[[#This Row],[CODIGO]]="","",VLOOKUP(GUAYAQUIL[[#This Row],[CODIGO]],MAESTRO!A:N,14,FALSE)),"")</f>
        <v>0.5</v>
      </c>
      <c r="N107" s="28">
        <f>+IFERROR(IF(GUAYAQUIL[[#This Row],[CODIGO]]="","",VLOOKUP(GUAYAQUIL[[#This Row],[CODIGO]],MAESTRO!A:P,16,FALSE)),"")</f>
        <v>180</v>
      </c>
      <c r="O107" s="29">
        <v>45611</v>
      </c>
      <c r="P107" s="72" t="str">
        <f t="shared" si="5"/>
        <v>viernes</v>
      </c>
      <c r="Q107" s="29">
        <f>IFERROR(IF(GUAYAQUIL[[#This Row],[CODIGO]]="","",IF(GUAYAQUIL[[#This Row],[Fecha Cad]]="","",(GUAYAQUIL[[#This Row],[Fecha Cad]]-GUAYAQUIL[[#This Row],[VIDA UTIL (Días)]]))+1),"")</f>
        <v>45596</v>
      </c>
      <c r="R107" s="29">
        <v>45775</v>
      </c>
      <c r="S107" s="30">
        <f t="shared" ca="1" si="6"/>
        <v>151</v>
      </c>
      <c r="T107" s="31">
        <f t="shared" ca="1" si="7"/>
        <v>0.83888888888888891</v>
      </c>
      <c r="U107" s="286">
        <v>72</v>
      </c>
      <c r="V107" s="260">
        <f>+IFERROR(IF(GUAYAQUIL[[#This Row],[CODIGO]]="","",GUAYAQUIL[[#This Row],[Stock Actual Unds]]*GUAYAQUIL[[#This Row],[Gramaje]]*GUAYAQUIL[[#This Row],[Conversión]]),"")</f>
        <v>36</v>
      </c>
      <c r="W107" s="270">
        <f t="shared" si="8"/>
        <v>15</v>
      </c>
      <c r="X107" s="32">
        <f t="shared" si="9"/>
        <v>0.91666666666666663</v>
      </c>
      <c r="Y107" s="236">
        <f>IFERROR(VLOOKUP(GUAYAQUIL[[#This Row],[CODIGO]],MAESTRO!A:BI,21,FALSE),0)</f>
        <v>1.3121100000000001</v>
      </c>
      <c r="Z107" s="237">
        <f>+IFERROR(IF(GUAYAQUIL[[#This Row],[CODIGO]]="","",GUAYAQUIL[[#This Row],[COSTO UNIT base]]*GUAYAQUIL[[#This Row],[Conversión]]),"")</f>
        <v>1.3121100000000001</v>
      </c>
      <c r="AA107" s="236">
        <f>+IFERROR(IF(GUAYAQUIL[[#This Row],[CODIGO]]="","",GUAYAQUIL[[#This Row],[COSTO UNIT Conv]]*GUAYAQUIL[[#This Row],[Stock Actual Kgs]]),"")</f>
        <v>47.235960000000006</v>
      </c>
      <c r="AB107" s="33">
        <f ca="1">+IFERROR(IF(GUAYAQUIL[[#This Row],[CODIGO]]="","",$J$3-O107),"")</f>
        <v>13</v>
      </c>
      <c r="AC107" s="34" t="str">
        <f ca="1">IF(GUAYAQUIL[[#This Row],[CODIGO]]="","",IF(S107&lt;=0,"CADUCADO",IF(AND(S107&gt;0,S107&lt;=21),"FECHA CORTA",IF(AND(S107&gt;=22,S107&lt;=26),"PROXIMOS FECHA CORTA", "VIGENTE"))))</f>
        <v>VIGENTE</v>
      </c>
      <c r="AD107" s="37">
        <f>+IF(GUAYAQUIL[[#This Row],[CODIGO]]="","",GUAYAQUIL[[#This Row],[Stock Actual Unds]]*GUAYAQUIL[[#This Row],[Gramaje]]*GUAYAQUIL[[#This Row],[Conversión]])/1000</f>
        <v>3.5999999999999997E-2</v>
      </c>
    </row>
    <row r="108" spans="1:30">
      <c r="A108" s="24" t="str">
        <f>+IFERROR(IF(GUAYAQUIL[[#This Row],[CODIGO]]="","",VLOOKUP(GUAYAQUIL[[#This Row],[CODIGO]],MAESTRO!$A:$J,10,FALSE)),"")</f>
        <v>SAN GABRIEL</v>
      </c>
      <c r="B108" s="24" t="str">
        <f>+IFERROR(IF(GUAYAQUIL[[#This Row],[CODIGO]]="","",VLOOKUP(GUAYAQUIL[[#This Row],[CODIGO]],MAESTRO!$A:$Q,17,FALSE)),"")</f>
        <v>POSTRES</v>
      </c>
      <c r="C108" s="24" t="str">
        <f>+IFERROR(IF(GUAYAQUIL[[#This Row],[CODIGO]]="","",VLOOKUP(GUAYAQUIL[[#This Row],[CODIGO]],MAESTRO!$A:$BA,53,FALSE)),"")</f>
        <v xml:space="preserve">Luis Armendariz                         </v>
      </c>
      <c r="D108" s="24" t="str">
        <f>+IFERROR(IF(GUAYAQUIL[[#This Row],[CODIGO]]="","",VLOOKUP(GUAYAQUIL[[#This Row],[CODIGO]],MAESTRO!$A:$D,4,FALSE)),"")</f>
        <v>DULCE LECHE KIOSCO</v>
      </c>
      <c r="E108" s="24" t="str">
        <f>+IFERROR(IF(GUAYAQUIL[[#This Row],[CODIGO]]="","",VLOOKUP(GUAYAQUIL[[#This Row],[CODIGO]],MAESTRO!$A:$F,6,FALSE)),"")</f>
        <v>DULCE DE LECHE KIOSCO FAMILIAR</v>
      </c>
      <c r="F108" s="42" t="str">
        <f>IF(GUAYAQUIL[[#This Row],[CODIGO]]="","",$K$6)</f>
        <v>GUAYAQUIL</v>
      </c>
      <c r="G108" s="42">
        <f>IF(GUAYAQUIL[[#This Row],[CODIGO]]="","",7711)</f>
        <v>7711</v>
      </c>
      <c r="H108" s="42">
        <f>IF(GUAYAQUIL[[#This Row],[CODIGO]]="","",1001)</f>
        <v>1001</v>
      </c>
      <c r="I108" s="258" t="s">
        <v>4089</v>
      </c>
      <c r="J108" s="25" t="str">
        <f>IFERROR((VLOOKUP(GUAYAQUIL[[#This Row],[CODIGO]],MAESTRO!A:B,2,FALSE)),"")</f>
        <v>DULCE LCH KIOSKO VASO 500G</v>
      </c>
      <c r="K108" s="35">
        <v>180</v>
      </c>
      <c r="L108" s="38">
        <f>+IFERROR(IF(GUAYAQUIL[[#This Row],[CODIGO]]="","",VLOOKUP(GUAYAQUIL[[#This Row],[CODIGO]],MAESTRO!$A:$BF,58,FALSE)),"")</f>
        <v>1</v>
      </c>
      <c r="M108" s="27">
        <f>+IFERROR(IF(GUAYAQUIL[[#This Row],[CODIGO]]="","",VLOOKUP(GUAYAQUIL[[#This Row],[CODIGO]],MAESTRO!A:N,14,FALSE)),"")</f>
        <v>0.5</v>
      </c>
      <c r="N108" s="28">
        <f>+IFERROR(IF(GUAYAQUIL[[#This Row],[CODIGO]]="","",VLOOKUP(GUAYAQUIL[[#This Row],[CODIGO]],MAESTRO!A:P,16,FALSE)),"")</f>
        <v>180</v>
      </c>
      <c r="O108" s="29">
        <v>45610</v>
      </c>
      <c r="P108" s="72" t="str">
        <f t="shared" si="5"/>
        <v>jueves</v>
      </c>
      <c r="Q108" s="29">
        <f>IFERROR(IF(GUAYAQUIL[[#This Row],[CODIGO]]="","",IF(GUAYAQUIL[[#This Row],[Fecha Cad]]="","",(GUAYAQUIL[[#This Row],[Fecha Cad]]-GUAYAQUIL[[#This Row],[VIDA UTIL (Días)]]))+1),"")</f>
        <v>45596</v>
      </c>
      <c r="R108" s="29">
        <v>45775</v>
      </c>
      <c r="S108" s="30">
        <f t="shared" ca="1" si="6"/>
        <v>151</v>
      </c>
      <c r="T108" s="31">
        <f t="shared" ca="1" si="7"/>
        <v>0.83888888888888891</v>
      </c>
      <c r="U108" s="286">
        <v>164</v>
      </c>
      <c r="V108" s="261">
        <f>+IFERROR(IF(GUAYAQUIL[[#This Row],[CODIGO]]="","",GUAYAQUIL[[#This Row],[Stock Actual Unds]]*GUAYAQUIL[[#This Row],[Gramaje]]*GUAYAQUIL[[#This Row],[Conversión]]),"")</f>
        <v>82</v>
      </c>
      <c r="W108" s="270">
        <f t="shared" si="8"/>
        <v>14</v>
      </c>
      <c r="X108" s="32">
        <f t="shared" si="9"/>
        <v>0.92222222222222228</v>
      </c>
      <c r="Y108" s="236">
        <f>IFERROR(VLOOKUP(GUAYAQUIL[[#This Row],[CODIGO]],MAESTRO!A:BI,21,FALSE),0)</f>
        <v>1.3121100000000001</v>
      </c>
      <c r="Z108" s="237">
        <f>+IFERROR(IF(GUAYAQUIL[[#This Row],[CODIGO]]="","",GUAYAQUIL[[#This Row],[COSTO UNIT base]]*GUAYAQUIL[[#This Row],[Conversión]]),"")</f>
        <v>1.3121100000000001</v>
      </c>
      <c r="AA108" s="236">
        <f>+IFERROR(IF(GUAYAQUIL[[#This Row],[CODIGO]]="","",GUAYAQUIL[[#This Row],[COSTO UNIT Conv]]*GUAYAQUIL[[#This Row],[Stock Actual Kgs]]),"")</f>
        <v>107.59302000000001</v>
      </c>
      <c r="AB108" s="33">
        <f ca="1">+IFERROR(IF(GUAYAQUIL[[#This Row],[CODIGO]]="","",$J$3-O108),"")</f>
        <v>14</v>
      </c>
      <c r="AC108" s="34" t="str">
        <f ca="1">IF(GUAYAQUIL[[#This Row],[CODIGO]]="","",IF(S108&lt;=0,"CADUCADO",IF(AND(S108&gt;0,S108&lt;=21),"FECHA CORTA",IF(AND(S108&gt;=22,S108&lt;=26),"PROXIMOS FECHA CORTA", "VIGENTE"))))</f>
        <v>VIGENTE</v>
      </c>
      <c r="AD108" s="37">
        <f>+IF(GUAYAQUIL[[#This Row],[CODIGO]]="","",GUAYAQUIL[[#This Row],[Stock Actual Unds]]*GUAYAQUIL[[#This Row],[Gramaje]]*GUAYAQUIL[[#This Row],[Conversión]])/1000</f>
        <v>8.2000000000000003E-2</v>
      </c>
    </row>
    <row r="109" spans="1:30">
      <c r="A109" s="24" t="str">
        <f>+IFERROR(IF(GUAYAQUIL[[#This Row],[CODIGO]]="","",VLOOKUP(GUAYAQUIL[[#This Row],[CODIGO]],MAESTRO!$A:$J,10,FALSE)),"")</f>
        <v>SAN GABRIEL</v>
      </c>
      <c r="B109" s="24" t="str">
        <f>+IFERROR(IF(GUAYAQUIL[[#This Row],[CODIGO]]="","",VLOOKUP(GUAYAQUIL[[#This Row],[CODIGO]],MAESTRO!$A:$Q,17,FALSE)),"")</f>
        <v>POSTRES</v>
      </c>
      <c r="C109" s="24" t="str">
        <f>+IFERROR(IF(GUAYAQUIL[[#This Row],[CODIGO]]="","",VLOOKUP(GUAYAQUIL[[#This Row],[CODIGO]],MAESTRO!$A:$BA,53,FALSE)),"")</f>
        <v xml:space="preserve">Luis Armendariz                         </v>
      </c>
      <c r="D109" s="24" t="str">
        <f>+IFERROR(IF(GUAYAQUIL[[#This Row],[CODIGO]]="","",VLOOKUP(GUAYAQUIL[[#This Row],[CODIGO]],MAESTRO!$A:$D,4,FALSE)),"")</f>
        <v>DULCE LECHE KIOSCO</v>
      </c>
      <c r="E109" s="24" t="str">
        <f>+IFERROR(IF(GUAYAQUIL[[#This Row],[CODIGO]]="","",VLOOKUP(GUAYAQUIL[[#This Row],[CODIGO]],MAESTRO!$A:$F,6,FALSE)),"")</f>
        <v>DULCE DE LECHE KIOSCO FAMILIAR</v>
      </c>
      <c r="F109" s="42" t="str">
        <f>IF(GUAYAQUIL[[#This Row],[CODIGO]]="","",$K$6)</f>
        <v>GUAYAQUIL</v>
      </c>
      <c r="G109" s="209">
        <f>IF(GUAYAQUIL[[#This Row],[CODIGO]]="","",7711)</f>
        <v>7711</v>
      </c>
      <c r="H109" s="209">
        <f>IF(GUAYAQUIL[[#This Row],[CODIGO]]="","",1001)</f>
        <v>1001</v>
      </c>
      <c r="I109" s="258" t="s">
        <v>4089</v>
      </c>
      <c r="J109" s="25" t="str">
        <f>IFERROR((VLOOKUP(GUAYAQUIL[[#This Row],[CODIGO]],MAESTRO!A:B,2,FALSE)),"")</f>
        <v>DULCE LCH KIOSKO VASO 500G</v>
      </c>
      <c r="K109" s="35">
        <v>252</v>
      </c>
      <c r="L109" s="38">
        <f>+IFERROR(IF(GUAYAQUIL[[#This Row],[CODIGO]]="","",VLOOKUP(GUAYAQUIL[[#This Row],[CODIGO]],MAESTRO!$A:$BF,58,FALSE)),"")</f>
        <v>1</v>
      </c>
      <c r="M109" s="27">
        <f>+IFERROR(IF(GUAYAQUIL[[#This Row],[CODIGO]]="","",VLOOKUP(GUAYAQUIL[[#This Row],[CODIGO]],MAESTRO!A:N,14,FALSE)),"")</f>
        <v>0.5</v>
      </c>
      <c r="N109" s="28">
        <f>+IFERROR(IF(GUAYAQUIL[[#This Row],[CODIGO]]="","",VLOOKUP(GUAYAQUIL[[#This Row],[CODIGO]],MAESTRO!A:P,16,FALSE)),"")</f>
        <v>180</v>
      </c>
      <c r="O109" s="29">
        <v>45615</v>
      </c>
      <c r="P109" s="72" t="str">
        <f t="shared" si="5"/>
        <v>martes</v>
      </c>
      <c r="Q109" s="29">
        <f>IFERROR(IF(GUAYAQUIL[[#This Row],[CODIGO]]="","",IF(GUAYAQUIL[[#This Row],[Fecha Cad]]="","",(GUAYAQUIL[[#This Row],[Fecha Cad]]-GUAYAQUIL[[#This Row],[VIDA UTIL (Días)]]))+1),"")</f>
        <v>45596</v>
      </c>
      <c r="R109" s="29">
        <v>45775</v>
      </c>
      <c r="S109" s="30">
        <f t="shared" ca="1" si="6"/>
        <v>151</v>
      </c>
      <c r="T109" s="31">
        <f t="shared" ca="1" si="7"/>
        <v>0.83888888888888891</v>
      </c>
      <c r="U109" s="286">
        <v>252</v>
      </c>
      <c r="V109" s="261">
        <f>+IFERROR(IF(GUAYAQUIL[[#This Row],[CODIGO]]="","",GUAYAQUIL[[#This Row],[Stock Actual Unds]]*GUAYAQUIL[[#This Row],[Gramaje]]*GUAYAQUIL[[#This Row],[Conversión]]),"")</f>
        <v>126</v>
      </c>
      <c r="W109" s="270">
        <f t="shared" si="8"/>
        <v>19</v>
      </c>
      <c r="X109" s="32">
        <f t="shared" si="9"/>
        <v>0.89444444444444449</v>
      </c>
      <c r="Y109" s="236">
        <f>IFERROR(VLOOKUP(GUAYAQUIL[[#This Row],[CODIGO]],MAESTRO!A:BI,21,FALSE),0)</f>
        <v>1.3121100000000001</v>
      </c>
      <c r="Z109" s="237">
        <f>+IFERROR(IF(GUAYAQUIL[[#This Row],[CODIGO]]="","",GUAYAQUIL[[#This Row],[COSTO UNIT base]]*GUAYAQUIL[[#This Row],[Conversión]]),"")</f>
        <v>1.3121100000000001</v>
      </c>
      <c r="AA109" s="236">
        <f>+IFERROR(IF(GUAYAQUIL[[#This Row],[CODIGO]]="","",GUAYAQUIL[[#This Row],[COSTO UNIT Conv]]*GUAYAQUIL[[#This Row],[Stock Actual Kgs]]),"")</f>
        <v>165.32586000000001</v>
      </c>
      <c r="AB109" s="33">
        <f ca="1">+IFERROR(IF(GUAYAQUIL[[#This Row],[CODIGO]]="","",$J$3-O109),"")</f>
        <v>9</v>
      </c>
      <c r="AC109" s="34" t="str">
        <f ca="1">IF(GUAYAQUIL[[#This Row],[CODIGO]]="","",IF(S109&lt;=0,"CADUCADO",IF(AND(S109&gt;0,S109&lt;=21),"FECHA CORTA",IF(AND(S109&gt;=22,S109&lt;=26),"PROXIMOS FECHA CORTA", "VIGENTE"))))</f>
        <v>VIGENTE</v>
      </c>
      <c r="AD109" s="37">
        <f>+IF(GUAYAQUIL[[#This Row],[CODIGO]]="","",GUAYAQUIL[[#This Row],[Stock Actual Unds]]*GUAYAQUIL[[#This Row],[Gramaje]]*GUAYAQUIL[[#This Row],[Conversión]])/1000</f>
        <v>0.126</v>
      </c>
    </row>
    <row r="110" spans="1:30">
      <c r="A110" s="24" t="str">
        <f>+IFERROR(IF(GUAYAQUIL[[#This Row],[CODIGO]]="","",VLOOKUP(GUAYAQUIL[[#This Row],[CODIGO]],MAESTRO!$A:$J,10,FALSE)),"")</f>
        <v>SAN GABRIEL</v>
      </c>
      <c r="B110" s="24" t="str">
        <f>+IFERROR(IF(GUAYAQUIL[[#This Row],[CODIGO]]="","",VLOOKUP(GUAYAQUIL[[#This Row],[CODIGO]],MAESTRO!$A:$Q,17,FALSE)),"")</f>
        <v>POSTRES</v>
      </c>
      <c r="C110" s="24" t="str">
        <f>+IFERROR(IF(GUAYAQUIL[[#This Row],[CODIGO]]="","",VLOOKUP(GUAYAQUIL[[#This Row],[CODIGO]],MAESTRO!$A:$BA,53,FALSE)),"")</f>
        <v xml:space="preserve">Luis Armendariz                         </v>
      </c>
      <c r="D110" s="24" t="str">
        <f>+IFERROR(IF(GUAYAQUIL[[#This Row],[CODIGO]]="","",VLOOKUP(GUAYAQUIL[[#This Row],[CODIGO]],MAESTRO!$A:$D,4,FALSE)),"")</f>
        <v>DULCE LECHE KIOSCO</v>
      </c>
      <c r="E110" s="24" t="str">
        <f>+IFERROR(IF(GUAYAQUIL[[#This Row],[CODIGO]]="","",VLOOKUP(GUAYAQUIL[[#This Row],[CODIGO]],MAESTRO!$A:$F,6,FALSE)),"")</f>
        <v>DULCE DE LECHE KIOSCO FAMILIAR</v>
      </c>
      <c r="F110" s="42" t="str">
        <f>IF(GUAYAQUIL[[#This Row],[CODIGO]]="","",$K$6)</f>
        <v>GUAYAQUIL</v>
      </c>
      <c r="G110" s="42">
        <f>IF(GUAYAQUIL[[#This Row],[CODIGO]]="","",7711)</f>
        <v>7711</v>
      </c>
      <c r="H110" s="42">
        <f>IF(GUAYAQUIL[[#This Row],[CODIGO]]="","",1001)</f>
        <v>1001</v>
      </c>
      <c r="I110" s="258" t="s">
        <v>4089</v>
      </c>
      <c r="J110" s="25" t="str">
        <f>IFERROR((VLOOKUP(GUAYAQUIL[[#This Row],[CODIGO]],MAESTRO!A:B,2,FALSE)),"")</f>
        <v>DULCE LCH KIOSKO VASO 500G</v>
      </c>
      <c r="K110" s="35">
        <v>108</v>
      </c>
      <c r="L110" s="38">
        <f>+IFERROR(IF(GUAYAQUIL[[#This Row],[CODIGO]]="","",VLOOKUP(GUAYAQUIL[[#This Row],[CODIGO]],MAESTRO!$A:$BF,58,FALSE)),"")</f>
        <v>1</v>
      </c>
      <c r="M110" s="27">
        <f>+IFERROR(IF(GUAYAQUIL[[#This Row],[CODIGO]]="","",VLOOKUP(GUAYAQUIL[[#This Row],[CODIGO]],MAESTRO!A:N,14,FALSE)),"")</f>
        <v>0.5</v>
      </c>
      <c r="N110" s="28">
        <f>+IFERROR(IF(GUAYAQUIL[[#This Row],[CODIGO]]="","",VLOOKUP(GUAYAQUIL[[#This Row],[CODIGO]],MAESTRO!A:P,16,FALSE)),"")</f>
        <v>180</v>
      </c>
      <c r="O110" s="29">
        <v>45615</v>
      </c>
      <c r="P110" s="72" t="str">
        <f t="shared" si="5"/>
        <v>martes</v>
      </c>
      <c r="Q110" s="29">
        <f>IFERROR(IF(GUAYAQUIL[[#This Row],[CODIGO]]="","",IF(GUAYAQUIL[[#This Row],[Fecha Cad]]="","",(GUAYAQUIL[[#This Row],[Fecha Cad]]-GUAYAQUIL[[#This Row],[VIDA UTIL (Días)]]))+1),"")</f>
        <v>45611</v>
      </c>
      <c r="R110" s="29">
        <v>45790</v>
      </c>
      <c r="S110" s="30">
        <f t="shared" ca="1" si="6"/>
        <v>166</v>
      </c>
      <c r="T110" s="31">
        <f t="shared" ca="1" si="7"/>
        <v>0.92222222222222228</v>
      </c>
      <c r="U110" s="286">
        <v>108</v>
      </c>
      <c r="V110" s="261">
        <f>+IFERROR(IF(GUAYAQUIL[[#This Row],[CODIGO]]="","",GUAYAQUIL[[#This Row],[Stock Actual Unds]]*GUAYAQUIL[[#This Row],[Gramaje]]*GUAYAQUIL[[#This Row],[Conversión]]),"")</f>
        <v>54</v>
      </c>
      <c r="W110" s="270">
        <f t="shared" si="8"/>
        <v>4</v>
      </c>
      <c r="X110" s="32">
        <f t="shared" si="9"/>
        <v>0.97777777777777775</v>
      </c>
      <c r="Y110" s="236">
        <f>IFERROR(VLOOKUP(GUAYAQUIL[[#This Row],[CODIGO]],MAESTRO!A:BI,21,FALSE),0)</f>
        <v>1.3121100000000001</v>
      </c>
      <c r="Z110" s="237">
        <f>+IFERROR(IF(GUAYAQUIL[[#This Row],[CODIGO]]="","",GUAYAQUIL[[#This Row],[COSTO UNIT base]]*GUAYAQUIL[[#This Row],[Conversión]]),"")</f>
        <v>1.3121100000000001</v>
      </c>
      <c r="AA110" s="236">
        <f>+IFERROR(IF(GUAYAQUIL[[#This Row],[CODIGO]]="","",GUAYAQUIL[[#This Row],[COSTO UNIT Conv]]*GUAYAQUIL[[#This Row],[Stock Actual Kgs]]),"")</f>
        <v>70.853940000000009</v>
      </c>
      <c r="AB110" s="33">
        <f ca="1">+IFERROR(IF(GUAYAQUIL[[#This Row],[CODIGO]]="","",$J$3-O110),"")</f>
        <v>9</v>
      </c>
      <c r="AC110" s="34" t="str">
        <f ca="1">IF(GUAYAQUIL[[#This Row],[CODIGO]]="","",IF(S110&lt;=0,"CADUCADO",IF(AND(S110&gt;0,S110&lt;=21),"FECHA CORTA",IF(AND(S110&gt;=22,S110&lt;=26),"PROXIMOS FECHA CORTA", "VIGENTE"))))</f>
        <v>VIGENTE</v>
      </c>
      <c r="AD110" s="37">
        <f>+IF(GUAYAQUIL[[#This Row],[CODIGO]]="","",GUAYAQUIL[[#This Row],[Stock Actual Unds]]*GUAYAQUIL[[#This Row],[Gramaje]]*GUAYAQUIL[[#This Row],[Conversión]])/1000</f>
        <v>5.3999999999999999E-2</v>
      </c>
    </row>
    <row r="111" spans="1:30">
      <c r="A111" s="24" t="str">
        <f>+IFERROR(IF(GUAYAQUIL[[#This Row],[CODIGO]]="","",VLOOKUP(GUAYAQUIL[[#This Row],[CODIGO]],MAESTRO!$A:$J,10,FALSE)),"")</f>
        <v>SAN GABRIEL</v>
      </c>
      <c r="B111" s="24" t="str">
        <f>+IFERROR(IF(GUAYAQUIL[[#This Row],[CODIGO]]="","",VLOOKUP(GUAYAQUIL[[#This Row],[CODIGO]],MAESTRO!$A:$Q,17,FALSE)),"")</f>
        <v>POSTRES</v>
      </c>
      <c r="C111" s="24" t="str">
        <f>+IFERROR(IF(GUAYAQUIL[[#This Row],[CODIGO]]="","",VLOOKUP(GUAYAQUIL[[#This Row],[CODIGO]],MAESTRO!$A:$BA,53,FALSE)),"")</f>
        <v xml:space="preserve">Luis Armendariz                         </v>
      </c>
      <c r="D111" s="24" t="str">
        <f>+IFERROR(IF(GUAYAQUIL[[#This Row],[CODIGO]]="","",VLOOKUP(GUAYAQUIL[[#This Row],[CODIGO]],MAESTRO!$A:$D,4,FALSE)),"")</f>
        <v>DULCE LECHE KIOSCO</v>
      </c>
      <c r="E111" s="24" t="str">
        <f>+IFERROR(IF(GUAYAQUIL[[#This Row],[CODIGO]]="","",VLOOKUP(GUAYAQUIL[[#This Row],[CODIGO]],MAESTRO!$A:$F,6,FALSE)),"")</f>
        <v>DULCE DE LECHE KIOSCO FAMILIAR</v>
      </c>
      <c r="F111" s="42" t="str">
        <f>IF(GUAYAQUIL[[#This Row],[CODIGO]]="","",$K$6)</f>
        <v>GUAYAQUIL</v>
      </c>
      <c r="G111" s="209">
        <f>IF(GUAYAQUIL[[#This Row],[CODIGO]]="","",7711)</f>
        <v>7711</v>
      </c>
      <c r="H111" s="209">
        <f>IF(GUAYAQUIL[[#This Row],[CODIGO]]="","",1001)</f>
        <v>1001</v>
      </c>
      <c r="I111" s="257" t="s">
        <v>4089</v>
      </c>
      <c r="J111" s="25" t="str">
        <f>IFERROR((VLOOKUP(GUAYAQUIL[[#This Row],[CODIGO]],MAESTRO!A:B,2,FALSE)),"")</f>
        <v>DULCE LCH KIOSKO VASO 500G</v>
      </c>
      <c r="K111" s="26">
        <v>1008</v>
      </c>
      <c r="L111" s="38">
        <f>+IFERROR(IF(GUAYAQUIL[[#This Row],[CODIGO]]="","",VLOOKUP(GUAYAQUIL[[#This Row],[CODIGO]],MAESTRO!$A:$BF,58,FALSE)),"")</f>
        <v>1</v>
      </c>
      <c r="M111" s="27">
        <f>+IFERROR(IF(GUAYAQUIL[[#This Row],[CODIGO]]="","",VLOOKUP(GUAYAQUIL[[#This Row],[CODIGO]],MAESTRO!A:N,14,FALSE)),"")</f>
        <v>0.5</v>
      </c>
      <c r="N111" s="28">
        <f>+IFERROR(IF(GUAYAQUIL[[#This Row],[CODIGO]]="","",VLOOKUP(GUAYAQUIL[[#This Row],[CODIGO]],MAESTRO!A:P,16,FALSE)),"")</f>
        <v>180</v>
      </c>
      <c r="O111" s="29">
        <v>45616</v>
      </c>
      <c r="P111" s="72" t="str">
        <f t="shared" si="5"/>
        <v>miércoles</v>
      </c>
      <c r="Q111" s="29">
        <f>IFERROR(IF(GUAYAQUIL[[#This Row],[CODIGO]]="","",IF(GUAYAQUIL[[#This Row],[Fecha Cad]]="","",(GUAYAQUIL[[#This Row],[Fecha Cad]]-GUAYAQUIL[[#This Row],[VIDA UTIL (Días)]]))+1),"")</f>
        <v>45611</v>
      </c>
      <c r="R111" s="29">
        <v>45790</v>
      </c>
      <c r="S111" s="30">
        <f t="shared" ca="1" si="6"/>
        <v>166</v>
      </c>
      <c r="T111" s="31">
        <f t="shared" ca="1" si="7"/>
        <v>0.92222222222222228</v>
      </c>
      <c r="U111" s="286">
        <v>1008</v>
      </c>
      <c r="V111" s="260">
        <f>+IFERROR(IF(GUAYAQUIL[[#This Row],[CODIGO]]="","",GUAYAQUIL[[#This Row],[Stock Actual Unds]]*GUAYAQUIL[[#This Row],[Gramaje]]*GUAYAQUIL[[#This Row],[Conversión]]),"")</f>
        <v>504</v>
      </c>
      <c r="W111" s="270">
        <f t="shared" si="8"/>
        <v>5</v>
      </c>
      <c r="X111" s="32">
        <f t="shared" si="9"/>
        <v>0.97222222222222221</v>
      </c>
      <c r="Y111" s="236">
        <f>IFERROR(VLOOKUP(GUAYAQUIL[[#This Row],[CODIGO]],MAESTRO!A:BI,21,FALSE),0)</f>
        <v>1.3121100000000001</v>
      </c>
      <c r="Z111" s="237">
        <f>+IFERROR(IF(GUAYAQUIL[[#This Row],[CODIGO]]="","",GUAYAQUIL[[#This Row],[COSTO UNIT base]]*GUAYAQUIL[[#This Row],[Conversión]]),"")</f>
        <v>1.3121100000000001</v>
      </c>
      <c r="AA111" s="236">
        <f>+IFERROR(IF(GUAYAQUIL[[#This Row],[CODIGO]]="","",GUAYAQUIL[[#This Row],[COSTO UNIT Conv]]*GUAYAQUIL[[#This Row],[Stock Actual Kgs]]),"")</f>
        <v>661.30344000000002</v>
      </c>
      <c r="AB111" s="33">
        <f ca="1">+IFERROR(IF(GUAYAQUIL[[#This Row],[CODIGO]]="","",$J$3-O111),"")</f>
        <v>8</v>
      </c>
      <c r="AC111" s="34" t="str">
        <f ca="1">IF(GUAYAQUIL[[#This Row],[CODIGO]]="","",IF(S111&lt;=0,"CADUCADO",IF(AND(S111&gt;0,S111&lt;=21),"FECHA CORTA",IF(AND(S111&gt;=22,S111&lt;=26),"PROXIMOS FECHA CORTA", "VIGENTE"))))</f>
        <v>VIGENTE</v>
      </c>
      <c r="AD111" s="37">
        <f>+IF(GUAYAQUIL[[#This Row],[CODIGO]]="","",GUAYAQUIL[[#This Row],[Stock Actual Unds]]*GUAYAQUIL[[#This Row],[Gramaje]]*GUAYAQUIL[[#This Row],[Conversión]])/1000</f>
        <v>0.504</v>
      </c>
    </row>
    <row r="112" spans="1:30">
      <c r="A112" s="24" t="str">
        <f>+IFERROR(IF(GUAYAQUIL[[#This Row],[CODIGO]]="","",VLOOKUP(GUAYAQUIL[[#This Row],[CODIGO]],MAESTRO!$A:$J,10,FALSE)),"")</f>
        <v>SAN GABRIEL</v>
      </c>
      <c r="B112" s="24" t="str">
        <f>+IFERROR(IF(GUAYAQUIL[[#This Row],[CODIGO]]="","",VLOOKUP(GUAYAQUIL[[#This Row],[CODIGO]],MAESTRO!$A:$Q,17,FALSE)),"")</f>
        <v>QUESOS Y GRASAS</v>
      </c>
      <c r="C112" s="24" t="str">
        <f>+IFERROR(IF(GUAYAQUIL[[#This Row],[CODIGO]]="","",VLOOKUP(GUAYAQUIL[[#This Row],[CODIGO]],MAESTRO!$A:$BA,53,FALSE)),"")</f>
        <v xml:space="preserve">Esteban Montenegro                      </v>
      </c>
      <c r="D112" s="24" t="str">
        <f>+IFERROR(IF(GUAYAQUIL[[#This Row],[CODIGO]]="","",VLOOKUP(GUAYAQUIL[[#This Row],[CODIGO]],MAESTRO!$A:$D,4,FALSE)),"")</f>
        <v>QUESO MOZARELLA KIOSKO</v>
      </c>
      <c r="E112" s="24" t="str">
        <f>+IFERROR(IF(GUAYAQUIL[[#This Row],[CODIGO]]="","",VLOOKUP(GUAYAQUIL[[#This Row],[CODIGO]],MAESTRO!$A:$F,6,FALSE)),"")</f>
        <v>QUESO MOZARELLA KIOSKO BLOQUE</v>
      </c>
      <c r="F112" s="42" t="str">
        <f>IF(GUAYAQUIL[[#This Row],[CODIGO]]="","",$K$6)</f>
        <v>GUAYAQUIL</v>
      </c>
      <c r="G112" s="42">
        <f>IF(GUAYAQUIL[[#This Row],[CODIGO]]="","",7711)</f>
        <v>7711</v>
      </c>
      <c r="H112" s="42">
        <f>IF(GUAYAQUIL[[#This Row],[CODIGO]]="","",1001)</f>
        <v>1001</v>
      </c>
      <c r="I112" s="257" t="s">
        <v>506</v>
      </c>
      <c r="J112" s="25" t="str">
        <f>IFERROR((VLOOKUP(GUAYAQUIL[[#This Row],[CODIGO]],MAESTRO!A:B,2,FALSE)),"")</f>
        <v>Q MOZAR KIOSKO BLOQ 200G</v>
      </c>
      <c r="K112" s="26">
        <v>720</v>
      </c>
      <c r="L112" s="38">
        <f>+IFERROR(IF(GUAYAQUIL[[#This Row],[CODIGO]]="","",VLOOKUP(GUAYAQUIL[[#This Row],[CODIGO]],MAESTRO!$A:$BF,58,FALSE)),"")</f>
        <v>1</v>
      </c>
      <c r="M112" s="27">
        <f>+IFERROR(IF(GUAYAQUIL[[#This Row],[CODIGO]]="","",VLOOKUP(GUAYAQUIL[[#This Row],[CODIGO]],MAESTRO!A:N,14,FALSE)),"")</f>
        <v>0.2</v>
      </c>
      <c r="N112" s="28">
        <f>+IFERROR(IF(GUAYAQUIL[[#This Row],[CODIGO]]="","",VLOOKUP(GUAYAQUIL[[#This Row],[CODIGO]],MAESTRO!A:P,16,FALSE)),"")</f>
        <v>40</v>
      </c>
      <c r="O112" s="29">
        <v>45611</v>
      </c>
      <c r="P112" s="72" t="str">
        <f t="shared" si="5"/>
        <v>viernes</v>
      </c>
      <c r="Q112" s="29">
        <f>IFERROR(IF(GUAYAQUIL[[#This Row],[CODIGO]]="","",IF(GUAYAQUIL[[#This Row],[Fecha Cad]]="","",(GUAYAQUIL[[#This Row],[Fecha Cad]]-GUAYAQUIL[[#This Row],[VIDA UTIL (Días)]]))+1),"")</f>
        <v>45609</v>
      </c>
      <c r="R112" s="29">
        <v>45648</v>
      </c>
      <c r="S112" s="30">
        <f t="shared" ca="1" si="6"/>
        <v>24</v>
      </c>
      <c r="T112" s="31">
        <f t="shared" ca="1" si="7"/>
        <v>0.6</v>
      </c>
      <c r="U112" s="286">
        <v>13</v>
      </c>
      <c r="V112" s="260">
        <f>+IFERROR(IF(GUAYAQUIL[[#This Row],[CODIGO]]="","",GUAYAQUIL[[#This Row],[Stock Actual Unds]]*GUAYAQUIL[[#This Row],[Gramaje]]*GUAYAQUIL[[#This Row],[Conversión]]),"")</f>
        <v>2.6</v>
      </c>
      <c r="W112" s="270">
        <f t="shared" si="8"/>
        <v>2</v>
      </c>
      <c r="X112" s="32">
        <f t="shared" si="9"/>
        <v>0.95</v>
      </c>
      <c r="Y112" s="236">
        <f>IFERROR(VLOOKUP(GUAYAQUIL[[#This Row],[CODIGO]],MAESTRO!A:BI,21,FALSE),0)</f>
        <v>0.94696000000000002</v>
      </c>
      <c r="Z112" s="237">
        <f>+IFERROR(IF(GUAYAQUIL[[#This Row],[CODIGO]]="","",GUAYAQUIL[[#This Row],[COSTO UNIT base]]*GUAYAQUIL[[#This Row],[Conversión]]),"")</f>
        <v>0.94696000000000002</v>
      </c>
      <c r="AA112" s="236">
        <f>+IFERROR(IF(GUAYAQUIL[[#This Row],[CODIGO]]="","",GUAYAQUIL[[#This Row],[COSTO UNIT Conv]]*GUAYAQUIL[[#This Row],[Stock Actual Kgs]]),"")</f>
        <v>2.4620960000000003</v>
      </c>
      <c r="AB112" s="33">
        <f ca="1">+IFERROR(IF(GUAYAQUIL[[#This Row],[CODIGO]]="","",$J$3-O112),"")</f>
        <v>13</v>
      </c>
      <c r="AC112" s="34" t="str">
        <f ca="1">IF(GUAYAQUIL[[#This Row],[CODIGO]]="","",IF(S112&lt;=0,"CADUCADO",IF(AND(S112&gt;0,S112&lt;=21),"FECHA CORTA",IF(AND(S112&gt;=22,S112&lt;=26),"PROXIMOS FECHA CORTA", "VIGENTE"))))</f>
        <v>PROXIMOS FECHA CORTA</v>
      </c>
      <c r="AD112" s="37">
        <f>+IF(GUAYAQUIL[[#This Row],[CODIGO]]="","",GUAYAQUIL[[#This Row],[Stock Actual Unds]]*GUAYAQUIL[[#This Row],[Gramaje]]*GUAYAQUIL[[#This Row],[Conversión]])/1000</f>
        <v>2.5999999999999999E-3</v>
      </c>
    </row>
    <row r="113" spans="1:30">
      <c r="A113" s="24" t="str">
        <f>+IFERROR(IF(GUAYAQUIL[[#This Row],[CODIGO]]="","",VLOOKUP(GUAYAQUIL[[#This Row],[CODIGO]],MAESTRO!$A:$J,10,FALSE)),"")</f>
        <v>SAN GABRIEL</v>
      </c>
      <c r="B113" s="24" t="str">
        <f>+IFERROR(IF(GUAYAQUIL[[#This Row],[CODIGO]]="","",VLOOKUP(GUAYAQUIL[[#This Row],[CODIGO]],MAESTRO!$A:$Q,17,FALSE)),"")</f>
        <v>QUESOS Y GRASAS</v>
      </c>
      <c r="C113" s="24" t="str">
        <f>+IFERROR(IF(GUAYAQUIL[[#This Row],[CODIGO]]="","",VLOOKUP(GUAYAQUIL[[#This Row],[CODIGO]],MAESTRO!$A:$BA,53,FALSE)),"")</f>
        <v xml:space="preserve">Esteban Montenegro                      </v>
      </c>
      <c r="D113" s="24" t="str">
        <f>+IFERROR(IF(GUAYAQUIL[[#This Row],[CODIGO]]="","",VLOOKUP(GUAYAQUIL[[#This Row],[CODIGO]],MAESTRO!$A:$D,4,FALSE)),"")</f>
        <v>QUESO MOZARELLA KIOSKO</v>
      </c>
      <c r="E113" s="24" t="str">
        <f>+IFERROR(IF(GUAYAQUIL[[#This Row],[CODIGO]]="","",VLOOKUP(GUAYAQUIL[[#This Row],[CODIGO]],MAESTRO!$A:$F,6,FALSE)),"")</f>
        <v>QUESO MOZARELLA KIOSKO BLOQUE</v>
      </c>
      <c r="F113" s="42" t="str">
        <f>IF(GUAYAQUIL[[#This Row],[CODIGO]]="","",$K$6)</f>
        <v>GUAYAQUIL</v>
      </c>
      <c r="G113" s="209">
        <f>IF(GUAYAQUIL[[#This Row],[CODIGO]]="","",7711)</f>
        <v>7711</v>
      </c>
      <c r="H113" s="209">
        <f>IF(GUAYAQUIL[[#This Row],[CODIGO]]="","",1001)</f>
        <v>1001</v>
      </c>
      <c r="I113" s="257" t="s">
        <v>506</v>
      </c>
      <c r="J113" s="25" t="str">
        <f>IFERROR((VLOOKUP(GUAYAQUIL[[#This Row],[CODIGO]],MAESTRO!A:B,2,FALSE)),"")</f>
        <v>Q MOZAR KIOSKO BLOQ 200G</v>
      </c>
      <c r="K113" s="26">
        <v>3120</v>
      </c>
      <c r="L113" s="38">
        <f>+IFERROR(IF(GUAYAQUIL[[#This Row],[CODIGO]]="","",VLOOKUP(GUAYAQUIL[[#This Row],[CODIGO]],MAESTRO!$A:$BF,58,FALSE)),"")</f>
        <v>1</v>
      </c>
      <c r="M113" s="27">
        <f>+IFERROR(IF(GUAYAQUIL[[#This Row],[CODIGO]]="","",VLOOKUP(GUAYAQUIL[[#This Row],[CODIGO]],MAESTRO!A:N,14,FALSE)),"")</f>
        <v>0.2</v>
      </c>
      <c r="N113" s="28">
        <f>+IFERROR(IF(GUAYAQUIL[[#This Row],[CODIGO]]="","",VLOOKUP(GUAYAQUIL[[#This Row],[CODIGO]],MAESTRO!A:P,16,FALSE)),"")</f>
        <v>40</v>
      </c>
      <c r="O113" s="29">
        <v>45615</v>
      </c>
      <c r="P113" s="72" t="str">
        <f t="shared" si="5"/>
        <v>martes</v>
      </c>
      <c r="Q113" s="29">
        <f>IFERROR(IF(GUAYAQUIL[[#This Row],[CODIGO]]="","",IF(GUAYAQUIL[[#This Row],[Fecha Cad]]="","",(GUAYAQUIL[[#This Row],[Fecha Cad]]-GUAYAQUIL[[#This Row],[VIDA UTIL (Días)]]))+1),"")</f>
        <v>45610</v>
      </c>
      <c r="R113" s="29">
        <v>45649</v>
      </c>
      <c r="S113" s="30">
        <f t="shared" ca="1" si="6"/>
        <v>25</v>
      </c>
      <c r="T113" s="31">
        <f t="shared" ca="1" si="7"/>
        <v>0.625</v>
      </c>
      <c r="U113" s="286">
        <v>2586</v>
      </c>
      <c r="V113" s="260">
        <f>+IFERROR(IF(GUAYAQUIL[[#This Row],[CODIGO]]="","",GUAYAQUIL[[#This Row],[Stock Actual Unds]]*GUAYAQUIL[[#This Row],[Gramaje]]*GUAYAQUIL[[#This Row],[Conversión]]),"")</f>
        <v>517.20000000000005</v>
      </c>
      <c r="W113" s="270">
        <f t="shared" si="8"/>
        <v>5</v>
      </c>
      <c r="X113" s="32">
        <f t="shared" si="9"/>
        <v>0.875</v>
      </c>
      <c r="Y113" s="236">
        <f>IFERROR(VLOOKUP(GUAYAQUIL[[#This Row],[CODIGO]],MAESTRO!A:BI,21,FALSE),0)</f>
        <v>0.94696000000000002</v>
      </c>
      <c r="Z113" s="237">
        <f>+IFERROR(IF(GUAYAQUIL[[#This Row],[CODIGO]]="","",GUAYAQUIL[[#This Row],[COSTO UNIT base]]*GUAYAQUIL[[#This Row],[Conversión]]),"")</f>
        <v>0.94696000000000002</v>
      </c>
      <c r="AA113" s="236">
        <f>+IFERROR(IF(GUAYAQUIL[[#This Row],[CODIGO]]="","",GUAYAQUIL[[#This Row],[COSTO UNIT Conv]]*GUAYAQUIL[[#This Row],[Stock Actual Kgs]]),"")</f>
        <v>489.76771200000007</v>
      </c>
      <c r="AB113" s="33">
        <f ca="1">+IFERROR(IF(GUAYAQUIL[[#This Row],[CODIGO]]="","",$J$3-O113),"")</f>
        <v>9</v>
      </c>
      <c r="AC113" s="34" t="str">
        <f ca="1">IF(GUAYAQUIL[[#This Row],[CODIGO]]="","",IF(S113&lt;=0,"CADUCADO",IF(AND(S113&gt;0,S113&lt;=21),"FECHA CORTA",IF(AND(S113&gt;=22,S113&lt;=26),"PROXIMOS FECHA CORTA", "VIGENTE"))))</f>
        <v>PROXIMOS FECHA CORTA</v>
      </c>
      <c r="AD113" s="37">
        <f>+IF(GUAYAQUIL[[#This Row],[CODIGO]]="","",GUAYAQUIL[[#This Row],[Stock Actual Unds]]*GUAYAQUIL[[#This Row],[Gramaje]]*GUAYAQUIL[[#This Row],[Conversión]])/1000</f>
        <v>0.51719999999999999</v>
      </c>
    </row>
    <row r="114" spans="1:30">
      <c r="A114" s="24" t="str">
        <f>+IFERROR(IF(GUAYAQUIL[[#This Row],[CODIGO]]="","",VLOOKUP(GUAYAQUIL[[#This Row],[CODIGO]],MAESTRO!$A:$J,10,FALSE)),"")</f>
        <v>SAN GABRIEL</v>
      </c>
      <c r="B114" s="24" t="str">
        <f>+IFERROR(IF(GUAYAQUIL[[#This Row],[CODIGO]]="","",VLOOKUP(GUAYAQUIL[[#This Row],[CODIGO]],MAESTRO!$A:$Q,17,FALSE)),"")</f>
        <v>QUESOS Y GRASAS</v>
      </c>
      <c r="C114" s="24" t="str">
        <f>+IFERROR(IF(GUAYAQUIL[[#This Row],[CODIGO]]="","",VLOOKUP(GUAYAQUIL[[#This Row],[CODIGO]],MAESTRO!$A:$BA,53,FALSE)),"")</f>
        <v xml:space="preserve">Esteban Montenegro                      </v>
      </c>
      <c r="D114" s="24" t="str">
        <f>+IFERROR(IF(GUAYAQUIL[[#This Row],[CODIGO]]="","",VLOOKUP(GUAYAQUIL[[#This Row],[CODIGO]],MAESTRO!$A:$D,4,FALSE)),"")</f>
        <v>QUESO MOZARELLA KIOSKO</v>
      </c>
      <c r="E114" s="24" t="str">
        <f>+IFERROR(IF(GUAYAQUIL[[#This Row],[CODIGO]]="","",VLOOKUP(GUAYAQUIL[[#This Row],[CODIGO]],MAESTRO!$A:$F,6,FALSE)),"")</f>
        <v>QUESO MOZARELLA KIOSKO BLOQUE</v>
      </c>
      <c r="F114" s="42" t="str">
        <f>IF(GUAYAQUIL[[#This Row],[CODIGO]]="","",$K$6)</f>
        <v>GUAYAQUIL</v>
      </c>
      <c r="G114" s="42">
        <f>IF(GUAYAQUIL[[#This Row],[CODIGO]]="","",7711)</f>
        <v>7711</v>
      </c>
      <c r="H114" s="42">
        <f>IF(GUAYAQUIL[[#This Row],[CODIGO]]="","",1001)</f>
        <v>1001</v>
      </c>
      <c r="I114" s="258" t="s">
        <v>506</v>
      </c>
      <c r="J114" s="25" t="str">
        <f>IFERROR((VLOOKUP(GUAYAQUIL[[#This Row],[CODIGO]],MAESTRO!A:B,2,FALSE)),"")</f>
        <v>Q MOZAR KIOSKO BLOQ 200G</v>
      </c>
      <c r="K114" s="35">
        <v>360</v>
      </c>
      <c r="L114" s="38">
        <f>+IFERROR(IF(GUAYAQUIL[[#This Row],[CODIGO]]="","",VLOOKUP(GUAYAQUIL[[#This Row],[CODIGO]],MAESTRO!$A:$BF,58,FALSE)),"")</f>
        <v>1</v>
      </c>
      <c r="M114" s="27">
        <f>+IFERROR(IF(GUAYAQUIL[[#This Row],[CODIGO]]="","",VLOOKUP(GUAYAQUIL[[#This Row],[CODIGO]],MAESTRO!A:N,14,FALSE)),"")</f>
        <v>0.2</v>
      </c>
      <c r="N114" s="28">
        <f>+IFERROR(IF(GUAYAQUIL[[#This Row],[CODIGO]]="","",VLOOKUP(GUAYAQUIL[[#This Row],[CODIGO]],MAESTRO!A:P,16,FALSE)),"")</f>
        <v>40</v>
      </c>
      <c r="O114" s="29">
        <v>45616</v>
      </c>
      <c r="P114" s="72" t="str">
        <f t="shared" si="5"/>
        <v>miércoles</v>
      </c>
      <c r="Q114" s="29">
        <f>IFERROR(IF(GUAYAQUIL[[#This Row],[CODIGO]]="","",IF(GUAYAQUIL[[#This Row],[Fecha Cad]]="","",(GUAYAQUIL[[#This Row],[Fecha Cad]]-GUAYAQUIL[[#This Row],[VIDA UTIL (Días)]]))+1),"")</f>
        <v>45612</v>
      </c>
      <c r="R114" s="29">
        <v>45651</v>
      </c>
      <c r="S114" s="30">
        <f t="shared" ca="1" si="6"/>
        <v>27</v>
      </c>
      <c r="T114" s="31">
        <f t="shared" ca="1" si="7"/>
        <v>0.67500000000000004</v>
      </c>
      <c r="U114" s="286">
        <v>360</v>
      </c>
      <c r="V114" s="261">
        <f>+IFERROR(IF(GUAYAQUIL[[#This Row],[CODIGO]]="","",GUAYAQUIL[[#This Row],[Stock Actual Unds]]*GUAYAQUIL[[#This Row],[Gramaje]]*GUAYAQUIL[[#This Row],[Conversión]]),"")</f>
        <v>72</v>
      </c>
      <c r="W114" s="270">
        <f t="shared" si="8"/>
        <v>4</v>
      </c>
      <c r="X114" s="32">
        <f t="shared" si="9"/>
        <v>0.9</v>
      </c>
      <c r="Y114" s="236">
        <f>IFERROR(VLOOKUP(GUAYAQUIL[[#This Row],[CODIGO]],MAESTRO!A:BI,21,FALSE),0)</f>
        <v>0.94696000000000002</v>
      </c>
      <c r="Z114" s="237">
        <f>+IFERROR(IF(GUAYAQUIL[[#This Row],[CODIGO]]="","",GUAYAQUIL[[#This Row],[COSTO UNIT base]]*GUAYAQUIL[[#This Row],[Conversión]]),"")</f>
        <v>0.94696000000000002</v>
      </c>
      <c r="AA114" s="236">
        <f>+IFERROR(IF(GUAYAQUIL[[#This Row],[CODIGO]]="","",GUAYAQUIL[[#This Row],[COSTO UNIT Conv]]*GUAYAQUIL[[#This Row],[Stock Actual Kgs]]),"")</f>
        <v>68.181120000000007</v>
      </c>
      <c r="AB114" s="33">
        <f ca="1">+IFERROR(IF(GUAYAQUIL[[#This Row],[CODIGO]]="","",$J$3-O114),"")</f>
        <v>8</v>
      </c>
      <c r="AC114" s="34" t="str">
        <f ca="1">IF(GUAYAQUIL[[#This Row],[CODIGO]]="","",IF(S114&lt;=0,"CADUCADO",IF(AND(S114&gt;0,S114&lt;=21),"FECHA CORTA",IF(AND(S114&gt;=22,S114&lt;=26),"PROXIMOS FECHA CORTA", "VIGENTE"))))</f>
        <v>VIGENTE</v>
      </c>
      <c r="AD114" s="37">
        <f>+IF(GUAYAQUIL[[#This Row],[CODIGO]]="","",GUAYAQUIL[[#This Row],[Stock Actual Unds]]*GUAYAQUIL[[#This Row],[Gramaje]]*GUAYAQUIL[[#This Row],[Conversión]])/1000</f>
        <v>7.1999999999999995E-2</v>
      </c>
    </row>
    <row r="115" spans="1:30">
      <c r="A115" s="24" t="str">
        <f>+IFERROR(IF(GUAYAQUIL[[#This Row],[CODIGO]]="","",VLOOKUP(GUAYAQUIL[[#This Row],[CODIGO]],MAESTRO!$A:$J,10,FALSE)),"")</f>
        <v>SAN GABRIEL</v>
      </c>
      <c r="B115" s="24" t="str">
        <f>+IFERROR(IF(GUAYAQUIL[[#This Row],[CODIGO]]="","",VLOOKUP(GUAYAQUIL[[#This Row],[CODIGO]],MAESTRO!$A:$Q,17,FALSE)),"")</f>
        <v>QUESOS Y GRASAS</v>
      </c>
      <c r="C115" s="24" t="str">
        <f>+IFERROR(IF(GUAYAQUIL[[#This Row],[CODIGO]]="","",VLOOKUP(GUAYAQUIL[[#This Row],[CODIGO]],MAESTRO!$A:$BA,53,FALSE)),"")</f>
        <v xml:space="preserve">Esteban Montenegro                      </v>
      </c>
      <c r="D115" s="24" t="str">
        <f>+IFERROR(IF(GUAYAQUIL[[#This Row],[CODIGO]]="","",VLOOKUP(GUAYAQUIL[[#This Row],[CODIGO]],MAESTRO!$A:$D,4,FALSE)),"")</f>
        <v>QUESO MOZARELLA KIOSKO</v>
      </c>
      <c r="E115" s="24" t="str">
        <f>+IFERROR(IF(GUAYAQUIL[[#This Row],[CODIGO]]="","",VLOOKUP(GUAYAQUIL[[#This Row],[CODIGO]],MAESTRO!$A:$F,6,FALSE)),"")</f>
        <v>QUESO MOZARELLA KIOSKO BLOQUE</v>
      </c>
      <c r="F115" s="42" t="str">
        <f>IF(GUAYAQUIL[[#This Row],[CODIGO]]="","",$K$6)</f>
        <v>GUAYAQUIL</v>
      </c>
      <c r="G115" s="42">
        <f>IF(GUAYAQUIL[[#This Row],[CODIGO]]="","",7711)</f>
        <v>7711</v>
      </c>
      <c r="H115" s="42">
        <f>IF(GUAYAQUIL[[#This Row],[CODIGO]]="","",1001)</f>
        <v>1001</v>
      </c>
      <c r="I115" s="257" t="s">
        <v>506</v>
      </c>
      <c r="J115" s="25" t="str">
        <f>IFERROR((VLOOKUP(GUAYAQUIL[[#This Row],[CODIGO]],MAESTRO!A:B,2,FALSE)),"")</f>
        <v>Q MOZAR KIOSKO BLOQ 200G</v>
      </c>
      <c r="K115" s="26">
        <v>840</v>
      </c>
      <c r="L115" s="38">
        <f>+IFERROR(IF(GUAYAQUIL[[#This Row],[CODIGO]]="","",VLOOKUP(GUAYAQUIL[[#This Row],[CODIGO]],MAESTRO!$A:$BF,58,FALSE)),"")</f>
        <v>1</v>
      </c>
      <c r="M115" s="27">
        <f>+IFERROR(IF(GUAYAQUIL[[#This Row],[CODIGO]]="","",VLOOKUP(GUAYAQUIL[[#This Row],[CODIGO]],MAESTRO!A:N,14,FALSE)),"")</f>
        <v>0.2</v>
      </c>
      <c r="N115" s="28">
        <f>+IFERROR(IF(GUAYAQUIL[[#This Row],[CODIGO]]="","",VLOOKUP(GUAYAQUIL[[#This Row],[CODIGO]],MAESTRO!A:P,16,FALSE)),"")</f>
        <v>40</v>
      </c>
      <c r="O115" s="29">
        <v>45616</v>
      </c>
      <c r="P115" s="72" t="str">
        <f t="shared" si="5"/>
        <v>miércoles</v>
      </c>
      <c r="Q115" s="29">
        <f>IFERROR(IF(GUAYAQUIL[[#This Row],[CODIGO]]="","",IF(GUAYAQUIL[[#This Row],[Fecha Cad]]="","",(GUAYAQUIL[[#This Row],[Fecha Cad]]-GUAYAQUIL[[#This Row],[VIDA UTIL (Días)]]))+1),"")</f>
        <v>45611</v>
      </c>
      <c r="R115" s="29">
        <v>45650</v>
      </c>
      <c r="S115" s="30">
        <f t="shared" ca="1" si="6"/>
        <v>26</v>
      </c>
      <c r="T115" s="31">
        <f t="shared" ca="1" si="7"/>
        <v>0.65</v>
      </c>
      <c r="U115" s="286">
        <v>840</v>
      </c>
      <c r="V115" s="260">
        <f>+IFERROR(IF(GUAYAQUIL[[#This Row],[CODIGO]]="","",GUAYAQUIL[[#This Row],[Stock Actual Unds]]*GUAYAQUIL[[#This Row],[Gramaje]]*GUAYAQUIL[[#This Row],[Conversión]]),"")</f>
        <v>168</v>
      </c>
      <c r="W115" s="270">
        <f t="shared" si="8"/>
        <v>5</v>
      </c>
      <c r="X115" s="32">
        <f t="shared" si="9"/>
        <v>0.875</v>
      </c>
      <c r="Y115" s="236">
        <f>IFERROR(VLOOKUP(GUAYAQUIL[[#This Row],[CODIGO]],MAESTRO!A:BI,21,FALSE),0)</f>
        <v>0.94696000000000002</v>
      </c>
      <c r="Z115" s="237">
        <f>+IFERROR(IF(GUAYAQUIL[[#This Row],[CODIGO]]="","",GUAYAQUIL[[#This Row],[COSTO UNIT base]]*GUAYAQUIL[[#This Row],[Conversión]]),"")</f>
        <v>0.94696000000000002</v>
      </c>
      <c r="AA115" s="236">
        <f>+IFERROR(IF(GUAYAQUIL[[#This Row],[CODIGO]]="","",GUAYAQUIL[[#This Row],[COSTO UNIT Conv]]*GUAYAQUIL[[#This Row],[Stock Actual Kgs]]),"")</f>
        <v>159.08928</v>
      </c>
      <c r="AB115" s="33">
        <f ca="1">+IFERROR(IF(GUAYAQUIL[[#This Row],[CODIGO]]="","",$J$3-O115),"")</f>
        <v>8</v>
      </c>
      <c r="AC115" s="34" t="str">
        <f ca="1">IF(GUAYAQUIL[[#This Row],[CODIGO]]="","",IF(S115&lt;=0,"CADUCADO",IF(AND(S115&gt;0,S115&lt;=21),"FECHA CORTA",IF(AND(S115&gt;=22,S115&lt;=26),"PROXIMOS FECHA CORTA", "VIGENTE"))))</f>
        <v>PROXIMOS FECHA CORTA</v>
      </c>
      <c r="AD115" s="37">
        <f>+IF(GUAYAQUIL[[#This Row],[CODIGO]]="","",GUAYAQUIL[[#This Row],[Stock Actual Unds]]*GUAYAQUIL[[#This Row],[Gramaje]]*GUAYAQUIL[[#This Row],[Conversión]])/1000</f>
        <v>0.16800000000000001</v>
      </c>
    </row>
    <row r="116" spans="1:30">
      <c r="A116" s="24" t="str">
        <f>+IFERROR(IF(GUAYAQUIL[[#This Row],[CODIGO]]="","",VLOOKUP(GUAYAQUIL[[#This Row],[CODIGO]],MAESTRO!$A:$J,10,FALSE)),"")</f>
        <v>SAN GABRIEL</v>
      </c>
      <c r="B116" s="24" t="str">
        <f>+IFERROR(IF(GUAYAQUIL[[#This Row],[CODIGO]]="","",VLOOKUP(GUAYAQUIL[[#This Row],[CODIGO]],MAESTRO!$A:$Q,17,FALSE)),"")</f>
        <v>QUESOS Y GRASAS</v>
      </c>
      <c r="C116" s="24" t="str">
        <f>+IFERROR(IF(GUAYAQUIL[[#This Row],[CODIGO]]="","",VLOOKUP(GUAYAQUIL[[#This Row],[CODIGO]],MAESTRO!$A:$BA,53,FALSE)),"")</f>
        <v xml:space="preserve">Esteban Montenegro                      </v>
      </c>
      <c r="D116" s="24" t="str">
        <f>+IFERROR(IF(GUAYAQUIL[[#This Row],[CODIGO]]="","",VLOOKUP(GUAYAQUIL[[#This Row],[CODIGO]],MAESTRO!$A:$D,4,FALSE)),"")</f>
        <v>QUESO MOZARELLA KIOSKO</v>
      </c>
      <c r="E116" s="24" t="str">
        <f>+IFERROR(IF(GUAYAQUIL[[#This Row],[CODIGO]]="","",VLOOKUP(GUAYAQUIL[[#This Row],[CODIGO]],MAESTRO!$A:$F,6,FALSE)),"")</f>
        <v>QUESO MOZARELLA KIOSKO BLOQUE</v>
      </c>
      <c r="F116" s="42" t="str">
        <f>IF(GUAYAQUIL[[#This Row],[CODIGO]]="","",$K$6)</f>
        <v>GUAYAQUIL</v>
      </c>
      <c r="G116" s="42">
        <f>IF(GUAYAQUIL[[#This Row],[CODIGO]]="","",7711)</f>
        <v>7711</v>
      </c>
      <c r="H116" s="42">
        <f>IF(GUAYAQUIL[[#This Row],[CODIGO]]="","",1001)</f>
        <v>1001</v>
      </c>
      <c r="I116" s="257" t="s">
        <v>506</v>
      </c>
      <c r="J116" s="25" t="str">
        <f>IFERROR((VLOOKUP(GUAYAQUIL[[#This Row],[CODIGO]],MAESTRO!A:B,2,FALSE)),"")</f>
        <v>Q MOZAR KIOSKO BLOQ 200G</v>
      </c>
      <c r="K116" s="26">
        <v>1560</v>
      </c>
      <c r="L116" s="38">
        <f>+IFERROR(IF(GUAYAQUIL[[#This Row],[CODIGO]]="","",VLOOKUP(GUAYAQUIL[[#This Row],[CODIGO]],MAESTRO!$A:$BF,58,FALSE)),"")</f>
        <v>1</v>
      </c>
      <c r="M116" s="27">
        <f>+IFERROR(IF(GUAYAQUIL[[#This Row],[CODIGO]]="","",VLOOKUP(GUAYAQUIL[[#This Row],[CODIGO]],MAESTRO!A:N,14,FALSE)),"")</f>
        <v>0.2</v>
      </c>
      <c r="N116" s="28">
        <f>+IFERROR(IF(GUAYAQUIL[[#This Row],[CODIGO]]="","",VLOOKUP(GUAYAQUIL[[#This Row],[CODIGO]],MAESTRO!A:P,16,FALSE)),"")</f>
        <v>40</v>
      </c>
      <c r="O116" s="29">
        <v>45617</v>
      </c>
      <c r="P116" s="72" t="str">
        <f t="shared" si="5"/>
        <v>jueves</v>
      </c>
      <c r="Q116" s="29">
        <f>IFERROR(IF(GUAYAQUIL[[#This Row],[CODIGO]]="","",IF(GUAYAQUIL[[#This Row],[Fecha Cad]]="","",(GUAYAQUIL[[#This Row],[Fecha Cad]]-GUAYAQUIL[[#This Row],[VIDA UTIL (Días)]]))+1),"")</f>
        <v>45612</v>
      </c>
      <c r="R116" s="29">
        <v>45651</v>
      </c>
      <c r="S116" s="30">
        <f t="shared" ca="1" si="6"/>
        <v>27</v>
      </c>
      <c r="T116" s="31">
        <f t="shared" ca="1" si="7"/>
        <v>0.67500000000000004</v>
      </c>
      <c r="U116" s="286">
        <v>1560</v>
      </c>
      <c r="V116" s="260">
        <f>+IFERROR(IF(GUAYAQUIL[[#This Row],[CODIGO]]="","",GUAYAQUIL[[#This Row],[Stock Actual Unds]]*GUAYAQUIL[[#This Row],[Gramaje]]*GUAYAQUIL[[#This Row],[Conversión]]),"")</f>
        <v>312</v>
      </c>
      <c r="W116" s="270">
        <f t="shared" si="8"/>
        <v>5</v>
      </c>
      <c r="X116" s="32">
        <f t="shared" si="9"/>
        <v>0.875</v>
      </c>
      <c r="Y116" s="236">
        <f>IFERROR(VLOOKUP(GUAYAQUIL[[#This Row],[CODIGO]],MAESTRO!A:BI,21,FALSE),0)</f>
        <v>0.94696000000000002</v>
      </c>
      <c r="Z116" s="237">
        <f>+IFERROR(IF(GUAYAQUIL[[#This Row],[CODIGO]]="","",GUAYAQUIL[[#This Row],[COSTO UNIT base]]*GUAYAQUIL[[#This Row],[Conversión]]),"")</f>
        <v>0.94696000000000002</v>
      </c>
      <c r="AA116" s="236">
        <f>+IFERROR(IF(GUAYAQUIL[[#This Row],[CODIGO]]="","",GUAYAQUIL[[#This Row],[COSTO UNIT Conv]]*GUAYAQUIL[[#This Row],[Stock Actual Kgs]]),"")</f>
        <v>295.45152000000002</v>
      </c>
      <c r="AB116" s="33">
        <f ca="1">+IFERROR(IF(GUAYAQUIL[[#This Row],[CODIGO]]="","",$J$3-O116),"")</f>
        <v>7</v>
      </c>
      <c r="AC116" s="34" t="str">
        <f ca="1">IF(GUAYAQUIL[[#This Row],[CODIGO]]="","",IF(S116&lt;=0,"CADUCADO",IF(AND(S116&gt;0,S116&lt;=21),"FECHA CORTA",IF(AND(S116&gt;=22,S116&lt;=26),"PROXIMOS FECHA CORTA", "VIGENTE"))))</f>
        <v>VIGENTE</v>
      </c>
      <c r="AD116" s="37">
        <f>+IF(GUAYAQUIL[[#This Row],[CODIGO]]="","",GUAYAQUIL[[#This Row],[Stock Actual Unds]]*GUAYAQUIL[[#This Row],[Gramaje]]*GUAYAQUIL[[#This Row],[Conversión]])/1000</f>
        <v>0.312</v>
      </c>
    </row>
    <row r="117" spans="1:30">
      <c r="A117" s="24" t="str">
        <f>+IFERROR(IF(GUAYAQUIL[[#This Row],[CODIGO]]="","",VLOOKUP(GUAYAQUIL[[#This Row],[CODIGO]],MAESTRO!$A:$J,10,FALSE)),"")</f>
        <v>SAN GABRIEL</v>
      </c>
      <c r="B117" s="24" t="str">
        <f>+IFERROR(IF(GUAYAQUIL[[#This Row],[CODIGO]]="","",VLOOKUP(GUAYAQUIL[[#This Row],[CODIGO]],MAESTRO!$A:$Q,17,FALSE)),"")</f>
        <v>QUESOS Y GRASAS</v>
      </c>
      <c r="C117" s="24" t="str">
        <f>+IFERROR(IF(GUAYAQUIL[[#This Row],[CODIGO]]="","",VLOOKUP(GUAYAQUIL[[#This Row],[CODIGO]],MAESTRO!$A:$BA,53,FALSE)),"")</f>
        <v xml:space="preserve">Esteban Montenegro                      </v>
      </c>
      <c r="D117" s="24" t="str">
        <f>+IFERROR(IF(GUAYAQUIL[[#This Row],[CODIGO]]="","",VLOOKUP(GUAYAQUIL[[#This Row],[CODIGO]],MAESTRO!$A:$D,4,FALSE)),"")</f>
        <v>QUESO MOZARELLA KIOSKO</v>
      </c>
      <c r="E117" s="24" t="str">
        <f>+IFERROR(IF(GUAYAQUIL[[#This Row],[CODIGO]]="","",VLOOKUP(GUAYAQUIL[[#This Row],[CODIGO]],MAESTRO!$A:$F,6,FALSE)),"")</f>
        <v>QUESO MOZARELLA KIOSKO BLOQUE</v>
      </c>
      <c r="F117" s="42" t="str">
        <f>IF(GUAYAQUIL[[#This Row],[CODIGO]]="","",$K$6)</f>
        <v>GUAYAQUIL</v>
      </c>
      <c r="G117" s="42">
        <f>IF(GUAYAQUIL[[#This Row],[CODIGO]]="","",7711)</f>
        <v>7711</v>
      </c>
      <c r="H117" s="42">
        <f>IF(GUAYAQUIL[[#This Row],[CODIGO]]="","",1001)</f>
        <v>1001</v>
      </c>
      <c r="I117" s="257" t="s">
        <v>3619</v>
      </c>
      <c r="J117" s="25" t="str">
        <f>IFERROR((VLOOKUP(GUAYAQUIL[[#This Row],[CODIGO]],MAESTRO!A:B,2,FALSE)),"")</f>
        <v>Q MOZAR KIOSKO BLOQ 350G</v>
      </c>
      <c r="K117" s="26">
        <v>630</v>
      </c>
      <c r="L117" s="38">
        <f>+IFERROR(IF(GUAYAQUIL[[#This Row],[CODIGO]]="","",VLOOKUP(GUAYAQUIL[[#This Row],[CODIGO]],MAESTRO!$A:$BF,58,FALSE)),"")</f>
        <v>1</v>
      </c>
      <c r="M117" s="27">
        <f>+IFERROR(IF(GUAYAQUIL[[#This Row],[CODIGO]]="","",VLOOKUP(GUAYAQUIL[[#This Row],[CODIGO]],MAESTRO!A:N,14,FALSE)),"")</f>
        <v>0.35</v>
      </c>
      <c r="N117" s="28">
        <f>+IFERROR(IF(GUAYAQUIL[[#This Row],[CODIGO]]="","",VLOOKUP(GUAYAQUIL[[#This Row],[CODIGO]],MAESTRO!A:P,16,FALSE)),"")</f>
        <v>40</v>
      </c>
      <c r="O117" s="29">
        <v>45604</v>
      </c>
      <c r="P117" s="72" t="str">
        <f t="shared" si="5"/>
        <v>viernes</v>
      </c>
      <c r="Q117" s="29">
        <f>IFERROR(IF(GUAYAQUIL[[#This Row],[CODIGO]]="","",IF(GUAYAQUIL[[#This Row],[Fecha Cad]]="","",(GUAYAQUIL[[#This Row],[Fecha Cad]]-GUAYAQUIL[[#This Row],[VIDA UTIL (Días)]]))+1),"")</f>
        <v>45602</v>
      </c>
      <c r="R117" s="29">
        <v>45641</v>
      </c>
      <c r="S117" s="30">
        <f t="shared" ca="1" si="6"/>
        <v>17</v>
      </c>
      <c r="T117" s="31">
        <f t="shared" ca="1" si="7"/>
        <v>0.42499999999999999</v>
      </c>
      <c r="U117" s="286">
        <v>1</v>
      </c>
      <c r="V117" s="260">
        <f>+IFERROR(IF(GUAYAQUIL[[#This Row],[CODIGO]]="","",GUAYAQUIL[[#This Row],[Stock Actual Unds]]*GUAYAQUIL[[#This Row],[Gramaje]]*GUAYAQUIL[[#This Row],[Conversión]]),"")</f>
        <v>0.35</v>
      </c>
      <c r="W117" s="270">
        <f t="shared" si="8"/>
        <v>2</v>
      </c>
      <c r="X117" s="32">
        <f t="shared" si="9"/>
        <v>0.95</v>
      </c>
      <c r="Y117" s="236">
        <f>IFERROR(VLOOKUP(GUAYAQUIL[[#This Row],[CODIGO]],MAESTRO!A:BI,21,FALSE),0)</f>
        <v>1.6586400000000001</v>
      </c>
      <c r="Z117" s="237">
        <f>+IFERROR(IF(GUAYAQUIL[[#This Row],[CODIGO]]="","",GUAYAQUIL[[#This Row],[COSTO UNIT base]]*GUAYAQUIL[[#This Row],[Conversión]]),"")</f>
        <v>1.6586400000000001</v>
      </c>
      <c r="AA117" s="236">
        <f>+IFERROR(IF(GUAYAQUIL[[#This Row],[CODIGO]]="","",GUAYAQUIL[[#This Row],[COSTO UNIT Conv]]*GUAYAQUIL[[#This Row],[Stock Actual Kgs]]),"")</f>
        <v>0.58052400000000004</v>
      </c>
      <c r="AB117" s="33">
        <f ca="1">+IFERROR(IF(GUAYAQUIL[[#This Row],[CODIGO]]="","",$J$3-O117),"")</f>
        <v>20</v>
      </c>
      <c r="AC117" s="34" t="str">
        <f ca="1">IF(GUAYAQUIL[[#This Row],[CODIGO]]="","",IF(S117&lt;=0,"CADUCADO",IF(AND(S117&gt;0,S117&lt;=21),"FECHA CORTA",IF(AND(S117&gt;=22,S117&lt;=26),"PROXIMOS FECHA CORTA", "VIGENTE"))))</f>
        <v>FECHA CORTA</v>
      </c>
      <c r="AD117" s="37">
        <f>+IF(GUAYAQUIL[[#This Row],[CODIGO]]="","",GUAYAQUIL[[#This Row],[Stock Actual Unds]]*GUAYAQUIL[[#This Row],[Gramaje]]*GUAYAQUIL[[#This Row],[Conversión]])/1000</f>
        <v>3.5E-4</v>
      </c>
    </row>
    <row r="118" spans="1:30">
      <c r="A118" s="24" t="str">
        <f>+IFERROR(IF(GUAYAQUIL[[#This Row],[CODIGO]]="","",VLOOKUP(GUAYAQUIL[[#This Row],[CODIGO]],MAESTRO!$A:$J,10,FALSE)),"")</f>
        <v>SAN GABRIEL</v>
      </c>
      <c r="B118" s="24" t="str">
        <f>+IFERROR(IF(GUAYAQUIL[[#This Row],[CODIGO]]="","",VLOOKUP(GUAYAQUIL[[#This Row],[CODIGO]],MAESTRO!$A:$Q,17,FALSE)),"")</f>
        <v>QUESOS Y GRASAS</v>
      </c>
      <c r="C118" s="24" t="str">
        <f>+IFERROR(IF(GUAYAQUIL[[#This Row],[CODIGO]]="","",VLOOKUP(GUAYAQUIL[[#This Row],[CODIGO]],MAESTRO!$A:$BA,53,FALSE)),"")</f>
        <v xml:space="preserve">Esteban Montenegro                      </v>
      </c>
      <c r="D118" s="24" t="str">
        <f>+IFERROR(IF(GUAYAQUIL[[#This Row],[CODIGO]]="","",VLOOKUP(GUAYAQUIL[[#This Row],[CODIGO]],MAESTRO!$A:$D,4,FALSE)),"")</f>
        <v>QUESO MOZARELLA KIOSKO</v>
      </c>
      <c r="E118" s="24" t="str">
        <f>+IFERROR(IF(GUAYAQUIL[[#This Row],[CODIGO]]="","",VLOOKUP(GUAYAQUIL[[#This Row],[CODIGO]],MAESTRO!$A:$F,6,FALSE)),"")</f>
        <v>QUESO MOZARELLA KIOSKO BLOQUE</v>
      </c>
      <c r="F118" s="42" t="str">
        <f>IF(GUAYAQUIL[[#This Row],[CODIGO]]="","",$K$6)</f>
        <v>GUAYAQUIL</v>
      </c>
      <c r="G118" s="42">
        <f>IF(GUAYAQUIL[[#This Row],[CODIGO]]="","",7711)</f>
        <v>7711</v>
      </c>
      <c r="H118" s="42">
        <f>IF(GUAYAQUIL[[#This Row],[CODIGO]]="","",1001)</f>
        <v>1001</v>
      </c>
      <c r="I118" s="257" t="s">
        <v>3619</v>
      </c>
      <c r="J118" s="25" t="str">
        <f>IFERROR((VLOOKUP(GUAYAQUIL[[#This Row],[CODIGO]],MAESTRO!A:B,2,FALSE)),"")</f>
        <v>Q MOZAR KIOSKO BLOQ 350G</v>
      </c>
      <c r="K118" s="26">
        <v>315</v>
      </c>
      <c r="L118" s="38">
        <f>+IFERROR(IF(GUAYAQUIL[[#This Row],[CODIGO]]="","",VLOOKUP(GUAYAQUIL[[#This Row],[CODIGO]],MAESTRO!$A:$BF,58,FALSE)),"")</f>
        <v>1</v>
      </c>
      <c r="M118" s="27">
        <f>+IFERROR(IF(GUAYAQUIL[[#This Row],[CODIGO]]="","",VLOOKUP(GUAYAQUIL[[#This Row],[CODIGO]],MAESTRO!A:N,14,FALSE)),"")</f>
        <v>0.35</v>
      </c>
      <c r="N118" s="28">
        <f>+IFERROR(IF(GUAYAQUIL[[#This Row],[CODIGO]]="","",VLOOKUP(GUAYAQUIL[[#This Row],[CODIGO]],MAESTRO!A:P,16,FALSE)),"")</f>
        <v>40</v>
      </c>
      <c r="O118" s="29">
        <v>45611</v>
      </c>
      <c r="P118" s="72" t="str">
        <f t="shared" si="5"/>
        <v>viernes</v>
      </c>
      <c r="Q118" s="29">
        <f>IFERROR(IF(GUAYAQUIL[[#This Row],[CODIGO]]="","",IF(GUAYAQUIL[[#This Row],[Fecha Cad]]="","",(GUAYAQUIL[[#This Row],[Fecha Cad]]-GUAYAQUIL[[#This Row],[VIDA UTIL (Días)]]))+1),"")</f>
        <v>45608</v>
      </c>
      <c r="R118" s="29">
        <v>45647</v>
      </c>
      <c r="S118" s="30">
        <f t="shared" ca="1" si="6"/>
        <v>23</v>
      </c>
      <c r="T118" s="31">
        <f t="shared" ca="1" si="7"/>
        <v>0.57499999999999996</v>
      </c>
      <c r="U118" s="286">
        <v>315</v>
      </c>
      <c r="V118" s="260">
        <f>+IFERROR(IF(GUAYAQUIL[[#This Row],[CODIGO]]="","",GUAYAQUIL[[#This Row],[Stock Actual Unds]]*GUAYAQUIL[[#This Row],[Gramaje]]*GUAYAQUIL[[#This Row],[Conversión]]),"")</f>
        <v>110.25</v>
      </c>
      <c r="W118" s="270">
        <f t="shared" si="8"/>
        <v>3</v>
      </c>
      <c r="X118" s="32">
        <f t="shared" si="9"/>
        <v>0.92500000000000004</v>
      </c>
      <c r="Y118" s="236">
        <f>IFERROR(VLOOKUP(GUAYAQUIL[[#This Row],[CODIGO]],MAESTRO!A:BI,21,FALSE),0)</f>
        <v>1.6586400000000001</v>
      </c>
      <c r="Z118" s="237">
        <f>+IFERROR(IF(GUAYAQUIL[[#This Row],[CODIGO]]="","",GUAYAQUIL[[#This Row],[COSTO UNIT base]]*GUAYAQUIL[[#This Row],[Conversión]]),"")</f>
        <v>1.6586400000000001</v>
      </c>
      <c r="AA118" s="236">
        <f>+IFERROR(IF(GUAYAQUIL[[#This Row],[CODIGO]]="","",GUAYAQUIL[[#This Row],[COSTO UNIT Conv]]*GUAYAQUIL[[#This Row],[Stock Actual Kgs]]),"")</f>
        <v>182.86506</v>
      </c>
      <c r="AB118" s="33">
        <f ca="1">+IFERROR(IF(GUAYAQUIL[[#This Row],[CODIGO]]="","",$J$3-O118),"")</f>
        <v>13</v>
      </c>
      <c r="AC118" s="34" t="str">
        <f ca="1">IF(GUAYAQUIL[[#This Row],[CODIGO]]="","",IF(S118&lt;=0,"CADUCADO",IF(AND(S118&gt;0,S118&lt;=21),"FECHA CORTA",IF(AND(S118&gt;=22,S118&lt;=26),"PROXIMOS FECHA CORTA", "VIGENTE"))))</f>
        <v>PROXIMOS FECHA CORTA</v>
      </c>
      <c r="AD118" s="37">
        <f>+IF(GUAYAQUIL[[#This Row],[CODIGO]]="","",GUAYAQUIL[[#This Row],[Stock Actual Unds]]*GUAYAQUIL[[#This Row],[Gramaje]]*GUAYAQUIL[[#This Row],[Conversión]])/1000</f>
        <v>0.11025</v>
      </c>
    </row>
    <row r="119" spans="1:30">
      <c r="A119" s="24" t="str">
        <f>+IFERROR(IF(GUAYAQUIL[[#This Row],[CODIGO]]="","",VLOOKUP(GUAYAQUIL[[#This Row],[CODIGO]],MAESTRO!$A:$J,10,FALSE)),"")</f>
        <v>SAN GABRIEL</v>
      </c>
      <c r="B119" s="24" t="str">
        <f>+IFERROR(IF(GUAYAQUIL[[#This Row],[CODIGO]]="","",VLOOKUP(GUAYAQUIL[[#This Row],[CODIGO]],MAESTRO!$A:$Q,17,FALSE)),"")</f>
        <v>QUESOS Y GRASAS</v>
      </c>
      <c r="C119" s="24" t="str">
        <f>+IFERROR(IF(GUAYAQUIL[[#This Row],[CODIGO]]="","",VLOOKUP(GUAYAQUIL[[#This Row],[CODIGO]],MAESTRO!$A:$BA,53,FALSE)),"")</f>
        <v xml:space="preserve">Esteban Montenegro                      </v>
      </c>
      <c r="D119" s="24" t="str">
        <f>+IFERROR(IF(GUAYAQUIL[[#This Row],[CODIGO]]="","",VLOOKUP(GUAYAQUIL[[#This Row],[CODIGO]],MAESTRO!$A:$D,4,FALSE)),"")</f>
        <v>QUESO MOZARELLA KIOSKO</v>
      </c>
      <c r="E119" s="24" t="str">
        <f>+IFERROR(IF(GUAYAQUIL[[#This Row],[CODIGO]]="","",VLOOKUP(GUAYAQUIL[[#This Row],[CODIGO]],MAESTRO!$A:$F,6,FALSE)),"")</f>
        <v>QUESO MOZARELLA KIOSKO BLOQUE</v>
      </c>
      <c r="F119" s="42" t="str">
        <f>IF(GUAYAQUIL[[#This Row],[CODIGO]]="","",$K$6)</f>
        <v>GUAYAQUIL</v>
      </c>
      <c r="G119" s="209">
        <f>IF(GUAYAQUIL[[#This Row],[CODIGO]]="","",7711)</f>
        <v>7711</v>
      </c>
      <c r="H119" s="209">
        <f>IF(GUAYAQUIL[[#This Row],[CODIGO]]="","",1001)</f>
        <v>1001</v>
      </c>
      <c r="I119" s="257" t="s">
        <v>3619</v>
      </c>
      <c r="J119" s="25" t="str">
        <f>IFERROR((VLOOKUP(GUAYAQUIL[[#This Row],[CODIGO]],MAESTRO!A:B,2,FALSE)),"")</f>
        <v>Q MOZAR KIOSKO BLOQ 350G</v>
      </c>
      <c r="K119" s="26">
        <v>180</v>
      </c>
      <c r="L119" s="38">
        <f>+IFERROR(IF(GUAYAQUIL[[#This Row],[CODIGO]]="","",VLOOKUP(GUAYAQUIL[[#This Row],[CODIGO]],MAESTRO!$A:$BF,58,FALSE)),"")</f>
        <v>1</v>
      </c>
      <c r="M119" s="27">
        <f>+IFERROR(IF(GUAYAQUIL[[#This Row],[CODIGO]]="","",VLOOKUP(GUAYAQUIL[[#This Row],[CODIGO]],MAESTRO!A:N,14,FALSE)),"")</f>
        <v>0.35</v>
      </c>
      <c r="N119" s="28">
        <f>+IFERROR(IF(GUAYAQUIL[[#This Row],[CODIGO]]="","",VLOOKUP(GUAYAQUIL[[#This Row],[CODIGO]],MAESTRO!A:P,16,FALSE)),"")</f>
        <v>40</v>
      </c>
      <c r="O119" s="29">
        <v>45610</v>
      </c>
      <c r="P119" s="72" t="str">
        <f t="shared" si="5"/>
        <v>jueves</v>
      </c>
      <c r="Q119" s="29">
        <f>IFERROR(IF(GUAYAQUIL[[#This Row],[CODIGO]]="","",IF(GUAYAQUIL[[#This Row],[Fecha Cad]]="","",(GUAYAQUIL[[#This Row],[Fecha Cad]]-GUAYAQUIL[[#This Row],[VIDA UTIL (Días)]]))+1),"")</f>
        <v>45608</v>
      </c>
      <c r="R119" s="29">
        <v>45647</v>
      </c>
      <c r="S119" s="30">
        <f t="shared" ca="1" si="6"/>
        <v>23</v>
      </c>
      <c r="T119" s="31">
        <f t="shared" ca="1" si="7"/>
        <v>0.57499999999999996</v>
      </c>
      <c r="U119" s="286">
        <v>122</v>
      </c>
      <c r="V119" s="260">
        <f>+IFERROR(IF(GUAYAQUIL[[#This Row],[CODIGO]]="","",GUAYAQUIL[[#This Row],[Stock Actual Unds]]*GUAYAQUIL[[#This Row],[Gramaje]]*GUAYAQUIL[[#This Row],[Conversión]]),"")</f>
        <v>42.699999999999996</v>
      </c>
      <c r="W119" s="270">
        <f t="shared" si="8"/>
        <v>2</v>
      </c>
      <c r="X119" s="32">
        <f t="shared" si="9"/>
        <v>0.95</v>
      </c>
      <c r="Y119" s="236">
        <f>IFERROR(VLOOKUP(GUAYAQUIL[[#This Row],[CODIGO]],MAESTRO!A:BI,21,FALSE),0)</f>
        <v>1.6586400000000001</v>
      </c>
      <c r="Z119" s="237">
        <f>+IFERROR(IF(GUAYAQUIL[[#This Row],[CODIGO]]="","",GUAYAQUIL[[#This Row],[COSTO UNIT base]]*GUAYAQUIL[[#This Row],[Conversión]]),"")</f>
        <v>1.6586400000000001</v>
      </c>
      <c r="AA119" s="236">
        <f>+IFERROR(IF(GUAYAQUIL[[#This Row],[CODIGO]]="","",GUAYAQUIL[[#This Row],[COSTO UNIT Conv]]*GUAYAQUIL[[#This Row],[Stock Actual Kgs]]),"")</f>
        <v>70.823927999999995</v>
      </c>
      <c r="AB119" s="33">
        <f ca="1">+IFERROR(IF(GUAYAQUIL[[#This Row],[CODIGO]]="","",$J$3-O119),"")</f>
        <v>14</v>
      </c>
      <c r="AC119" s="34" t="str">
        <f ca="1">IF(GUAYAQUIL[[#This Row],[CODIGO]]="","",IF(S119&lt;=0,"CADUCADO",IF(AND(S119&gt;0,S119&lt;=21),"FECHA CORTA",IF(AND(S119&gt;=22,S119&lt;=26),"PROXIMOS FECHA CORTA", "VIGENTE"))))</f>
        <v>PROXIMOS FECHA CORTA</v>
      </c>
      <c r="AD119" s="37">
        <f>+IF(GUAYAQUIL[[#This Row],[CODIGO]]="","",GUAYAQUIL[[#This Row],[Stock Actual Unds]]*GUAYAQUIL[[#This Row],[Gramaje]]*GUAYAQUIL[[#This Row],[Conversión]])/1000</f>
        <v>4.2699999999999995E-2</v>
      </c>
    </row>
    <row r="120" spans="1:30">
      <c r="A120" s="24" t="str">
        <f>+IFERROR(IF(GUAYAQUIL[[#This Row],[CODIGO]]="","",VLOOKUP(GUAYAQUIL[[#This Row],[CODIGO]],MAESTRO!$A:$J,10,FALSE)),"")</f>
        <v>SAN GABRIEL</v>
      </c>
      <c r="B120" s="24" t="str">
        <f>+IFERROR(IF(GUAYAQUIL[[#This Row],[CODIGO]]="","",VLOOKUP(GUAYAQUIL[[#This Row],[CODIGO]],MAESTRO!$A:$Q,17,FALSE)),"")</f>
        <v>QUESOS Y GRASAS</v>
      </c>
      <c r="C120" s="24" t="str">
        <f>+IFERROR(IF(GUAYAQUIL[[#This Row],[CODIGO]]="","",VLOOKUP(GUAYAQUIL[[#This Row],[CODIGO]],MAESTRO!$A:$BA,53,FALSE)),"")</f>
        <v xml:space="preserve">Esteban Montenegro                      </v>
      </c>
      <c r="D120" s="24" t="str">
        <f>+IFERROR(IF(GUAYAQUIL[[#This Row],[CODIGO]]="","",VLOOKUP(GUAYAQUIL[[#This Row],[CODIGO]],MAESTRO!$A:$D,4,FALSE)),"")</f>
        <v>QUESO MOZARELLA KIOSKO</v>
      </c>
      <c r="E120" s="24" t="str">
        <f>+IFERROR(IF(GUAYAQUIL[[#This Row],[CODIGO]]="","",VLOOKUP(GUAYAQUIL[[#This Row],[CODIGO]],MAESTRO!$A:$F,6,FALSE)),"")</f>
        <v>QUESO MOZARELLA KIOSKO BLOQUE</v>
      </c>
      <c r="F120" s="42" t="str">
        <f>IF(GUAYAQUIL[[#This Row],[CODIGO]]="","",$K$6)</f>
        <v>GUAYAQUIL</v>
      </c>
      <c r="G120" s="42">
        <f>IF(GUAYAQUIL[[#This Row],[CODIGO]]="","",7711)</f>
        <v>7711</v>
      </c>
      <c r="H120" s="42">
        <f>IF(GUAYAQUIL[[#This Row],[CODIGO]]="","",1001)</f>
        <v>1001</v>
      </c>
      <c r="I120" s="257" t="s">
        <v>3619</v>
      </c>
      <c r="J120" s="25" t="str">
        <f>IFERROR((VLOOKUP(GUAYAQUIL[[#This Row],[CODIGO]],MAESTRO!A:B,2,FALSE)),"")</f>
        <v>Q MOZAR KIOSKO BLOQ 350G</v>
      </c>
      <c r="K120" s="26">
        <v>90</v>
      </c>
      <c r="L120" s="38">
        <f>+IFERROR(IF(GUAYAQUIL[[#This Row],[CODIGO]]="","",VLOOKUP(GUAYAQUIL[[#This Row],[CODIGO]],MAESTRO!$A:$BF,58,FALSE)),"")</f>
        <v>1</v>
      </c>
      <c r="M120" s="27">
        <f>+IFERROR(IF(GUAYAQUIL[[#This Row],[CODIGO]]="","",VLOOKUP(GUAYAQUIL[[#This Row],[CODIGO]],MAESTRO!A:N,14,FALSE)),"")</f>
        <v>0.35</v>
      </c>
      <c r="N120" s="28">
        <f>+IFERROR(IF(GUAYAQUIL[[#This Row],[CODIGO]]="","",VLOOKUP(GUAYAQUIL[[#This Row],[CODIGO]],MAESTRO!A:P,16,FALSE)),"")</f>
        <v>40</v>
      </c>
      <c r="O120" s="29">
        <v>45610</v>
      </c>
      <c r="P120" s="72" t="str">
        <f t="shared" si="5"/>
        <v>jueves</v>
      </c>
      <c r="Q120" s="29">
        <f>IFERROR(IF(GUAYAQUIL[[#This Row],[CODIGO]]="","",IF(GUAYAQUIL[[#This Row],[Fecha Cad]]="","",(GUAYAQUIL[[#This Row],[Fecha Cad]]-GUAYAQUIL[[#This Row],[VIDA UTIL (Días)]]))+1),"")</f>
        <v>45605</v>
      </c>
      <c r="R120" s="29">
        <v>45644</v>
      </c>
      <c r="S120" s="30">
        <f t="shared" ca="1" si="6"/>
        <v>20</v>
      </c>
      <c r="T120" s="31">
        <f t="shared" ca="1" si="7"/>
        <v>0.5</v>
      </c>
      <c r="U120" s="286">
        <v>10</v>
      </c>
      <c r="V120" s="260">
        <f>+IFERROR(IF(GUAYAQUIL[[#This Row],[CODIGO]]="","",GUAYAQUIL[[#This Row],[Stock Actual Unds]]*GUAYAQUIL[[#This Row],[Gramaje]]*GUAYAQUIL[[#This Row],[Conversión]]),"")</f>
        <v>3.5</v>
      </c>
      <c r="W120" s="270">
        <f t="shared" si="8"/>
        <v>5</v>
      </c>
      <c r="X120" s="32">
        <f t="shared" si="9"/>
        <v>0.875</v>
      </c>
      <c r="Y120" s="236">
        <f>IFERROR(VLOOKUP(GUAYAQUIL[[#This Row],[CODIGO]],MAESTRO!A:BI,21,FALSE),0)</f>
        <v>1.6586400000000001</v>
      </c>
      <c r="Z120" s="237">
        <f>+IFERROR(IF(GUAYAQUIL[[#This Row],[CODIGO]]="","",GUAYAQUIL[[#This Row],[COSTO UNIT base]]*GUAYAQUIL[[#This Row],[Conversión]]),"")</f>
        <v>1.6586400000000001</v>
      </c>
      <c r="AA120" s="236">
        <f>+IFERROR(IF(GUAYAQUIL[[#This Row],[CODIGO]]="","",GUAYAQUIL[[#This Row],[COSTO UNIT Conv]]*GUAYAQUIL[[#This Row],[Stock Actual Kgs]]),"")</f>
        <v>5.8052400000000004</v>
      </c>
      <c r="AB120" s="33">
        <f ca="1">+IFERROR(IF(GUAYAQUIL[[#This Row],[CODIGO]]="","",$J$3-O120),"")</f>
        <v>14</v>
      </c>
      <c r="AC120" s="34" t="str">
        <f ca="1">IF(GUAYAQUIL[[#This Row],[CODIGO]]="","",IF(S120&lt;=0,"CADUCADO",IF(AND(S120&gt;0,S120&lt;=21),"FECHA CORTA",IF(AND(S120&gt;=22,S120&lt;=26),"PROXIMOS FECHA CORTA", "VIGENTE"))))</f>
        <v>FECHA CORTA</v>
      </c>
      <c r="AD120" s="37">
        <f>+IF(GUAYAQUIL[[#This Row],[CODIGO]]="","",GUAYAQUIL[[#This Row],[Stock Actual Unds]]*GUAYAQUIL[[#This Row],[Gramaje]]*GUAYAQUIL[[#This Row],[Conversión]])/1000</f>
        <v>3.5000000000000001E-3</v>
      </c>
    </row>
    <row r="121" spans="1:30">
      <c r="A121" s="24" t="str">
        <f>+IFERROR(IF(GUAYAQUIL[[#This Row],[CODIGO]]="","",VLOOKUP(GUAYAQUIL[[#This Row],[CODIGO]],MAESTRO!$A:$J,10,FALSE)),"")</f>
        <v>SAN GABRIEL</v>
      </c>
      <c r="B121" s="24" t="str">
        <f>+IFERROR(IF(GUAYAQUIL[[#This Row],[CODIGO]]="","",VLOOKUP(GUAYAQUIL[[#This Row],[CODIGO]],MAESTRO!$A:$Q,17,FALSE)),"")</f>
        <v>QUESOS Y GRASAS</v>
      </c>
      <c r="C121" s="24" t="str">
        <f>+IFERROR(IF(GUAYAQUIL[[#This Row],[CODIGO]]="","",VLOOKUP(GUAYAQUIL[[#This Row],[CODIGO]],MAESTRO!$A:$BA,53,FALSE)),"")</f>
        <v xml:space="preserve">Esteban Montenegro                      </v>
      </c>
      <c r="D121" s="24" t="str">
        <f>+IFERROR(IF(GUAYAQUIL[[#This Row],[CODIGO]]="","",VLOOKUP(GUAYAQUIL[[#This Row],[CODIGO]],MAESTRO!$A:$D,4,FALSE)),"")</f>
        <v>QUESO MOZARELLA KIOSKO</v>
      </c>
      <c r="E121" s="24" t="str">
        <f>+IFERROR(IF(GUAYAQUIL[[#This Row],[CODIGO]]="","",VLOOKUP(GUAYAQUIL[[#This Row],[CODIGO]],MAESTRO!$A:$F,6,FALSE)),"")</f>
        <v>QUESO MOZARELLA KIOSKO BLOQUE</v>
      </c>
      <c r="F121" s="42" t="str">
        <f>IF(GUAYAQUIL[[#This Row],[CODIGO]]="","",$K$6)</f>
        <v>GUAYAQUIL</v>
      </c>
      <c r="G121" s="209">
        <f>IF(GUAYAQUIL[[#This Row],[CODIGO]]="","",7711)</f>
        <v>7711</v>
      </c>
      <c r="H121" s="209">
        <f>IF(GUAYAQUIL[[#This Row],[CODIGO]]="","",1001)</f>
        <v>1001</v>
      </c>
      <c r="I121" s="258" t="s">
        <v>3619</v>
      </c>
      <c r="J121" s="25" t="str">
        <f>IFERROR((VLOOKUP(GUAYAQUIL[[#This Row],[CODIGO]],MAESTRO!A:B,2,FALSE)),"")</f>
        <v>Q MOZAR KIOSKO BLOQ 350G</v>
      </c>
      <c r="K121" s="35">
        <v>495</v>
      </c>
      <c r="L121" s="38">
        <f>+IFERROR(IF(GUAYAQUIL[[#This Row],[CODIGO]]="","",VLOOKUP(GUAYAQUIL[[#This Row],[CODIGO]],MAESTRO!$A:$BF,58,FALSE)),"")</f>
        <v>1</v>
      </c>
      <c r="M121" s="27">
        <f>+IFERROR(IF(GUAYAQUIL[[#This Row],[CODIGO]]="","",VLOOKUP(GUAYAQUIL[[#This Row],[CODIGO]],MAESTRO!A:N,14,FALSE)),"")</f>
        <v>0.35</v>
      </c>
      <c r="N121" s="28">
        <f>+IFERROR(IF(GUAYAQUIL[[#This Row],[CODIGO]]="","",VLOOKUP(GUAYAQUIL[[#This Row],[CODIGO]],MAESTRO!A:P,16,FALSE)),"")</f>
        <v>40</v>
      </c>
      <c r="O121" s="29">
        <v>45615</v>
      </c>
      <c r="P121" s="72" t="str">
        <f t="shared" si="5"/>
        <v>martes</v>
      </c>
      <c r="Q121" s="29">
        <f>IFERROR(IF(GUAYAQUIL[[#This Row],[CODIGO]]="","",IF(GUAYAQUIL[[#This Row],[Fecha Cad]]="","",(GUAYAQUIL[[#This Row],[Fecha Cad]]-GUAYAQUIL[[#This Row],[VIDA UTIL (Días)]]))+1),"")</f>
        <v>45611</v>
      </c>
      <c r="R121" s="29">
        <v>45650</v>
      </c>
      <c r="S121" s="30">
        <f t="shared" ca="1" si="6"/>
        <v>26</v>
      </c>
      <c r="T121" s="31">
        <f t="shared" ca="1" si="7"/>
        <v>0.65</v>
      </c>
      <c r="U121" s="286">
        <v>495</v>
      </c>
      <c r="V121" s="264">
        <f>+IFERROR(IF(GUAYAQUIL[[#This Row],[CODIGO]]="","",GUAYAQUIL[[#This Row],[Stock Actual Unds]]*GUAYAQUIL[[#This Row],[Gramaje]]*GUAYAQUIL[[#This Row],[Conversión]]),"")</f>
        <v>173.25</v>
      </c>
      <c r="W121" s="270">
        <f t="shared" si="8"/>
        <v>4</v>
      </c>
      <c r="X121" s="32">
        <f t="shared" si="9"/>
        <v>0.9</v>
      </c>
      <c r="Y121" s="236">
        <f>IFERROR(VLOOKUP(GUAYAQUIL[[#This Row],[CODIGO]],MAESTRO!A:BI,21,FALSE),0)</f>
        <v>1.6586400000000001</v>
      </c>
      <c r="Z121" s="237">
        <f>+IFERROR(IF(GUAYAQUIL[[#This Row],[CODIGO]]="","",GUAYAQUIL[[#This Row],[COSTO UNIT base]]*GUAYAQUIL[[#This Row],[Conversión]]),"")</f>
        <v>1.6586400000000001</v>
      </c>
      <c r="AA121" s="236">
        <f>+IFERROR(IF(GUAYAQUIL[[#This Row],[CODIGO]]="","",GUAYAQUIL[[#This Row],[COSTO UNIT Conv]]*GUAYAQUIL[[#This Row],[Stock Actual Kgs]]),"")</f>
        <v>287.35938000000004</v>
      </c>
      <c r="AB121" s="33">
        <f ca="1">+IFERROR(IF(GUAYAQUIL[[#This Row],[CODIGO]]="","",$J$3-O121),"")</f>
        <v>9</v>
      </c>
      <c r="AC121" s="34" t="str">
        <f ca="1">IF(GUAYAQUIL[[#This Row],[CODIGO]]="","",IF(S121&lt;=0,"CADUCADO",IF(AND(S121&gt;0,S121&lt;=21),"FECHA CORTA",IF(AND(S121&gt;=22,S121&lt;=26),"PROXIMOS FECHA CORTA", "VIGENTE"))))</f>
        <v>PROXIMOS FECHA CORTA</v>
      </c>
      <c r="AD121" s="37">
        <f>+IF(GUAYAQUIL[[#This Row],[CODIGO]]="","",GUAYAQUIL[[#This Row],[Stock Actual Unds]]*GUAYAQUIL[[#This Row],[Gramaje]]*GUAYAQUIL[[#This Row],[Conversión]])/1000</f>
        <v>0.17324999999999999</v>
      </c>
    </row>
    <row r="122" spans="1:30">
      <c r="A122" s="24" t="str">
        <f>+IFERROR(IF(GUAYAQUIL[[#This Row],[CODIGO]]="","",VLOOKUP(GUAYAQUIL[[#This Row],[CODIGO]],MAESTRO!$A:$J,10,FALSE)),"")</f>
        <v>SAN GABRIEL</v>
      </c>
      <c r="B122" s="24" t="str">
        <f>+IFERROR(IF(GUAYAQUIL[[#This Row],[CODIGO]]="","",VLOOKUP(GUAYAQUIL[[#This Row],[CODIGO]],MAESTRO!$A:$Q,17,FALSE)),"")</f>
        <v>QUESOS Y GRASAS</v>
      </c>
      <c r="C122" s="24" t="str">
        <f>+IFERROR(IF(GUAYAQUIL[[#This Row],[CODIGO]]="","",VLOOKUP(GUAYAQUIL[[#This Row],[CODIGO]],MAESTRO!$A:$BA,53,FALSE)),"")</f>
        <v xml:space="preserve">Esteban Montenegro                      </v>
      </c>
      <c r="D122" s="24" t="str">
        <f>+IFERROR(IF(GUAYAQUIL[[#This Row],[CODIGO]]="","",VLOOKUP(GUAYAQUIL[[#This Row],[CODIGO]],MAESTRO!$A:$D,4,FALSE)),"")</f>
        <v>QUESO MOZARELLA KIOSKO</v>
      </c>
      <c r="E122" s="24" t="str">
        <f>+IFERROR(IF(GUAYAQUIL[[#This Row],[CODIGO]]="","",VLOOKUP(GUAYAQUIL[[#This Row],[CODIGO]],MAESTRO!$A:$F,6,FALSE)),"")</f>
        <v>QUESO MOZARELLA KIOSKO BLOQUE</v>
      </c>
      <c r="F122" s="42" t="str">
        <f>IF(GUAYAQUIL[[#This Row],[CODIGO]]="","",$K$6)</f>
        <v>GUAYAQUIL</v>
      </c>
      <c r="G122" s="42">
        <f>IF(GUAYAQUIL[[#This Row],[CODIGO]]="","",7711)</f>
        <v>7711</v>
      </c>
      <c r="H122" s="42">
        <f>IF(GUAYAQUIL[[#This Row],[CODIGO]]="","",1001)</f>
        <v>1001</v>
      </c>
      <c r="I122" s="258" t="s">
        <v>3619</v>
      </c>
      <c r="J122" s="25" t="str">
        <f>IFERROR((VLOOKUP(GUAYAQUIL[[#This Row],[CODIGO]],MAESTRO!A:B,2,FALSE)),"")</f>
        <v>Q MOZAR KIOSKO BLOQ 350G</v>
      </c>
      <c r="K122" s="35">
        <v>180</v>
      </c>
      <c r="L122" s="38">
        <f>+IFERROR(IF(GUAYAQUIL[[#This Row],[CODIGO]]="","",VLOOKUP(GUAYAQUIL[[#This Row],[CODIGO]],MAESTRO!$A:$BF,58,FALSE)),"")</f>
        <v>1</v>
      </c>
      <c r="M122" s="27">
        <f>+IFERROR(IF(GUAYAQUIL[[#This Row],[CODIGO]]="","",VLOOKUP(GUAYAQUIL[[#This Row],[CODIGO]],MAESTRO!A:N,14,FALSE)),"")</f>
        <v>0.35</v>
      </c>
      <c r="N122" s="28">
        <f>+IFERROR(IF(GUAYAQUIL[[#This Row],[CODIGO]]="","",VLOOKUP(GUAYAQUIL[[#This Row],[CODIGO]],MAESTRO!A:P,16,FALSE)),"")</f>
        <v>40</v>
      </c>
      <c r="O122" s="29">
        <v>45616</v>
      </c>
      <c r="P122" s="72" t="str">
        <f t="shared" si="5"/>
        <v>miércoles</v>
      </c>
      <c r="Q122" s="29">
        <f>IFERROR(IF(GUAYAQUIL[[#This Row],[CODIGO]]="","",IF(GUAYAQUIL[[#This Row],[Fecha Cad]]="","",(GUAYAQUIL[[#This Row],[Fecha Cad]]-GUAYAQUIL[[#This Row],[VIDA UTIL (Días)]]))+1),"")</f>
        <v>45611</v>
      </c>
      <c r="R122" s="29">
        <v>45650</v>
      </c>
      <c r="S122" s="30">
        <f t="shared" ca="1" si="6"/>
        <v>26</v>
      </c>
      <c r="T122" s="31">
        <f t="shared" ca="1" si="7"/>
        <v>0.65</v>
      </c>
      <c r="U122" s="286">
        <v>180</v>
      </c>
      <c r="V122" s="261">
        <f>+IFERROR(IF(GUAYAQUIL[[#This Row],[CODIGO]]="","",GUAYAQUIL[[#This Row],[Stock Actual Unds]]*GUAYAQUIL[[#This Row],[Gramaje]]*GUAYAQUIL[[#This Row],[Conversión]]),"")</f>
        <v>62.999999999999993</v>
      </c>
      <c r="W122" s="270">
        <f t="shared" si="8"/>
        <v>5</v>
      </c>
      <c r="X122" s="32">
        <f t="shared" si="9"/>
        <v>0.875</v>
      </c>
      <c r="Y122" s="236">
        <f>IFERROR(VLOOKUP(GUAYAQUIL[[#This Row],[CODIGO]],MAESTRO!A:BI,21,FALSE),0)</f>
        <v>1.6586400000000001</v>
      </c>
      <c r="Z122" s="237">
        <f>+IFERROR(IF(GUAYAQUIL[[#This Row],[CODIGO]]="","",GUAYAQUIL[[#This Row],[COSTO UNIT base]]*GUAYAQUIL[[#This Row],[Conversión]]),"")</f>
        <v>1.6586400000000001</v>
      </c>
      <c r="AA122" s="236">
        <f>+IFERROR(IF(GUAYAQUIL[[#This Row],[CODIGO]]="","",GUAYAQUIL[[#This Row],[COSTO UNIT Conv]]*GUAYAQUIL[[#This Row],[Stock Actual Kgs]]),"")</f>
        <v>104.49432</v>
      </c>
      <c r="AB122" s="33">
        <f ca="1">+IFERROR(IF(GUAYAQUIL[[#This Row],[CODIGO]]="","",$J$3-O122),"")</f>
        <v>8</v>
      </c>
      <c r="AC122" s="34" t="str">
        <f ca="1">IF(GUAYAQUIL[[#This Row],[CODIGO]]="","",IF(S122&lt;=0,"CADUCADO",IF(AND(S122&gt;0,S122&lt;=21),"FECHA CORTA",IF(AND(S122&gt;=22,S122&lt;=26),"PROXIMOS FECHA CORTA", "VIGENTE"))))</f>
        <v>PROXIMOS FECHA CORTA</v>
      </c>
      <c r="AD122" s="37">
        <f>+IF(GUAYAQUIL[[#This Row],[CODIGO]]="","",GUAYAQUIL[[#This Row],[Stock Actual Unds]]*GUAYAQUIL[[#This Row],[Gramaje]]*GUAYAQUIL[[#This Row],[Conversión]])/1000</f>
        <v>6.2999999999999987E-2</v>
      </c>
    </row>
    <row r="123" spans="1:30">
      <c r="A123" s="24" t="str">
        <f>+IFERROR(IF(GUAYAQUIL[[#This Row],[CODIGO]]="","",VLOOKUP(GUAYAQUIL[[#This Row],[CODIGO]],MAESTRO!$A:$J,10,FALSE)),"")</f>
        <v>SAN GABRIEL</v>
      </c>
      <c r="B123" s="24" t="str">
        <f>+IFERROR(IF(GUAYAQUIL[[#This Row],[CODIGO]]="","",VLOOKUP(GUAYAQUIL[[#This Row],[CODIGO]],MAESTRO!$A:$Q,17,FALSE)),"")</f>
        <v>QUESOS Y GRASAS</v>
      </c>
      <c r="C123" s="24" t="str">
        <f>+IFERROR(IF(GUAYAQUIL[[#This Row],[CODIGO]]="","",VLOOKUP(GUAYAQUIL[[#This Row],[CODIGO]],MAESTRO!$A:$BA,53,FALSE)),"")</f>
        <v xml:space="preserve">Esteban Montenegro                      </v>
      </c>
      <c r="D123" s="24" t="str">
        <f>+IFERROR(IF(GUAYAQUIL[[#This Row],[CODIGO]]="","",VLOOKUP(GUAYAQUIL[[#This Row],[CODIGO]],MAESTRO!$A:$D,4,FALSE)),"")</f>
        <v>QUESO MOZARELLA KIOSKO</v>
      </c>
      <c r="E123" s="24" t="str">
        <f>+IFERROR(IF(GUAYAQUIL[[#This Row],[CODIGO]]="","",VLOOKUP(GUAYAQUIL[[#This Row],[CODIGO]],MAESTRO!$A:$F,6,FALSE)),"")</f>
        <v>QUESO MOZARELLA KIOSKO BLOQUE</v>
      </c>
      <c r="F123" s="42" t="str">
        <f>IF(GUAYAQUIL[[#This Row],[CODIGO]]="","",$K$6)</f>
        <v>GUAYAQUIL</v>
      </c>
      <c r="G123" s="42">
        <f>IF(GUAYAQUIL[[#This Row],[CODIGO]]="","",7711)</f>
        <v>7711</v>
      </c>
      <c r="H123" s="42">
        <f>IF(GUAYAQUIL[[#This Row],[CODIGO]]="","",1001)</f>
        <v>1001</v>
      </c>
      <c r="I123" s="258" t="s">
        <v>3619</v>
      </c>
      <c r="J123" s="25" t="str">
        <f>IFERROR((VLOOKUP(GUAYAQUIL[[#This Row],[CODIGO]],MAESTRO!A:B,2,FALSE)),"")</f>
        <v>Q MOZAR KIOSKO BLOQ 350G</v>
      </c>
      <c r="K123" s="35">
        <v>225</v>
      </c>
      <c r="L123" s="38">
        <f>+IFERROR(IF(GUAYAQUIL[[#This Row],[CODIGO]]="","",VLOOKUP(GUAYAQUIL[[#This Row],[CODIGO]],MAESTRO!$A:$BF,58,FALSE)),"")</f>
        <v>1</v>
      </c>
      <c r="M123" s="27">
        <f>+IFERROR(IF(GUAYAQUIL[[#This Row],[CODIGO]]="","",VLOOKUP(GUAYAQUIL[[#This Row],[CODIGO]],MAESTRO!A:N,14,FALSE)),"")</f>
        <v>0.35</v>
      </c>
      <c r="N123" s="28">
        <f>+IFERROR(IF(GUAYAQUIL[[#This Row],[CODIGO]]="","",VLOOKUP(GUAYAQUIL[[#This Row],[CODIGO]],MAESTRO!A:P,16,FALSE)),"")</f>
        <v>40</v>
      </c>
      <c r="O123" s="29">
        <v>45617</v>
      </c>
      <c r="P123" s="72" t="str">
        <f t="shared" si="5"/>
        <v>jueves</v>
      </c>
      <c r="Q123" s="29">
        <f>IFERROR(IF(GUAYAQUIL[[#This Row],[CODIGO]]="","",IF(GUAYAQUIL[[#This Row],[Fecha Cad]]="","",(GUAYAQUIL[[#This Row],[Fecha Cad]]-GUAYAQUIL[[#This Row],[VIDA UTIL (Días)]]))+1),"")</f>
        <v>45615</v>
      </c>
      <c r="R123" s="29">
        <v>45654</v>
      </c>
      <c r="S123" s="30">
        <f t="shared" ca="1" si="6"/>
        <v>30</v>
      </c>
      <c r="T123" s="31">
        <f t="shared" ca="1" si="7"/>
        <v>0.75</v>
      </c>
      <c r="U123" s="286">
        <v>225</v>
      </c>
      <c r="V123" s="261">
        <f>+IFERROR(IF(GUAYAQUIL[[#This Row],[CODIGO]]="","",GUAYAQUIL[[#This Row],[Stock Actual Unds]]*GUAYAQUIL[[#This Row],[Gramaje]]*GUAYAQUIL[[#This Row],[Conversión]]),"")</f>
        <v>78.75</v>
      </c>
      <c r="W123" s="270">
        <f t="shared" si="8"/>
        <v>2</v>
      </c>
      <c r="X123" s="32">
        <f t="shared" si="9"/>
        <v>0.95</v>
      </c>
      <c r="Y123" s="236">
        <f>IFERROR(VLOOKUP(GUAYAQUIL[[#This Row],[CODIGO]],MAESTRO!A:BI,21,FALSE),0)</f>
        <v>1.6586400000000001</v>
      </c>
      <c r="Z123" s="237">
        <f>+IFERROR(IF(GUAYAQUIL[[#This Row],[CODIGO]]="","",GUAYAQUIL[[#This Row],[COSTO UNIT base]]*GUAYAQUIL[[#This Row],[Conversión]]),"")</f>
        <v>1.6586400000000001</v>
      </c>
      <c r="AA123" s="236">
        <f>+IFERROR(IF(GUAYAQUIL[[#This Row],[CODIGO]]="","",GUAYAQUIL[[#This Row],[COSTO UNIT Conv]]*GUAYAQUIL[[#This Row],[Stock Actual Kgs]]),"")</f>
        <v>130.61790000000002</v>
      </c>
      <c r="AB123" s="33">
        <f ca="1">+IFERROR(IF(GUAYAQUIL[[#This Row],[CODIGO]]="","",$J$3-O123),"")</f>
        <v>7</v>
      </c>
      <c r="AC123" s="34" t="str">
        <f ca="1">IF(GUAYAQUIL[[#This Row],[CODIGO]]="","",IF(S123&lt;=0,"CADUCADO",IF(AND(S123&gt;0,S123&lt;=21),"FECHA CORTA",IF(AND(S123&gt;=22,S123&lt;=26),"PROXIMOS FECHA CORTA", "VIGENTE"))))</f>
        <v>VIGENTE</v>
      </c>
      <c r="AD123" s="37">
        <f>+IF(GUAYAQUIL[[#This Row],[CODIGO]]="","",GUAYAQUIL[[#This Row],[Stock Actual Unds]]*GUAYAQUIL[[#This Row],[Gramaje]]*GUAYAQUIL[[#This Row],[Conversión]])/1000</f>
        <v>7.8750000000000001E-2</v>
      </c>
    </row>
    <row r="124" spans="1:30">
      <c r="A124" s="24" t="str">
        <f>+IFERROR(IF(GUAYAQUIL[[#This Row],[CODIGO]]="","",VLOOKUP(GUAYAQUIL[[#This Row],[CODIGO]],MAESTRO!$A:$J,10,FALSE)),"")</f>
        <v>SAN GABRIEL</v>
      </c>
      <c r="B124" s="24" t="str">
        <f>+IFERROR(IF(GUAYAQUIL[[#This Row],[CODIGO]]="","",VLOOKUP(GUAYAQUIL[[#This Row],[CODIGO]],MAESTRO!$A:$Q,17,FALSE)),"")</f>
        <v>QUESOS Y GRASAS</v>
      </c>
      <c r="C124" s="24" t="str">
        <f>+IFERROR(IF(GUAYAQUIL[[#This Row],[CODIGO]]="","",VLOOKUP(GUAYAQUIL[[#This Row],[CODIGO]],MAESTRO!$A:$BA,53,FALSE)),"")</f>
        <v xml:space="preserve">Esteban Montenegro                      </v>
      </c>
      <c r="D124" s="24" t="str">
        <f>+IFERROR(IF(GUAYAQUIL[[#This Row],[CODIGO]]="","",VLOOKUP(GUAYAQUIL[[#This Row],[CODIGO]],MAESTRO!$A:$D,4,FALSE)),"")</f>
        <v>QUESO MOZARELLA KIOSKO</v>
      </c>
      <c r="E124" s="24" t="str">
        <f>+IFERROR(IF(GUAYAQUIL[[#This Row],[CODIGO]]="","",VLOOKUP(GUAYAQUIL[[#This Row],[CODIGO]],MAESTRO!$A:$F,6,FALSE)),"")</f>
        <v>QUESO MOZARELLA KIOSKO BLOQUE</v>
      </c>
      <c r="F124" s="42" t="str">
        <f>IF(GUAYAQUIL[[#This Row],[CODIGO]]="","",$K$6)</f>
        <v>GUAYAQUIL</v>
      </c>
      <c r="G124" s="42">
        <f>IF(GUAYAQUIL[[#This Row],[CODIGO]]="","",7711)</f>
        <v>7711</v>
      </c>
      <c r="H124" s="42">
        <f>IF(GUAYAQUIL[[#This Row],[CODIGO]]="","",1001)</f>
        <v>1001</v>
      </c>
      <c r="I124" s="258" t="s">
        <v>4513</v>
      </c>
      <c r="J124" s="25" t="str">
        <f>IFERROR((VLOOKUP(GUAYAQUIL[[#This Row],[CODIGO]],MAESTRO!A:B,2,FALSE)),"")</f>
        <v>Q MOZAR KIOSKO BLOQ 500G</v>
      </c>
      <c r="K124" s="35">
        <v>405</v>
      </c>
      <c r="L124" s="38">
        <f>+IFERROR(IF(GUAYAQUIL[[#This Row],[CODIGO]]="","",VLOOKUP(GUAYAQUIL[[#This Row],[CODIGO]],MAESTRO!$A:$BF,58,FALSE)),"")</f>
        <v>1</v>
      </c>
      <c r="M124" s="27">
        <f>+IFERROR(IF(GUAYAQUIL[[#This Row],[CODIGO]]="","",VLOOKUP(GUAYAQUIL[[#This Row],[CODIGO]],MAESTRO!A:N,14,FALSE)),"")</f>
        <v>0.5</v>
      </c>
      <c r="N124" s="28">
        <f>+IFERROR(IF(GUAYAQUIL[[#This Row],[CODIGO]]="","",VLOOKUP(GUAYAQUIL[[#This Row],[CODIGO]],MAESTRO!A:P,16,FALSE)),"")</f>
        <v>40</v>
      </c>
      <c r="O124" s="29">
        <v>45611</v>
      </c>
      <c r="P124" s="72" t="str">
        <f t="shared" si="5"/>
        <v>viernes</v>
      </c>
      <c r="Q124" s="29">
        <f>IFERROR(IF(GUAYAQUIL[[#This Row],[CODIGO]]="","",IF(GUAYAQUIL[[#This Row],[Fecha Cad]]="","",(GUAYAQUIL[[#This Row],[Fecha Cad]]-GUAYAQUIL[[#This Row],[VIDA UTIL (Días)]]))+1),"")</f>
        <v>45609</v>
      </c>
      <c r="R124" s="29">
        <v>45648</v>
      </c>
      <c r="S124" s="30">
        <f t="shared" ca="1" si="6"/>
        <v>24</v>
      </c>
      <c r="T124" s="31">
        <f t="shared" ca="1" si="7"/>
        <v>0.6</v>
      </c>
      <c r="U124" s="286">
        <v>1</v>
      </c>
      <c r="V124" s="261">
        <f>+IFERROR(IF(GUAYAQUIL[[#This Row],[CODIGO]]="","",GUAYAQUIL[[#This Row],[Stock Actual Unds]]*GUAYAQUIL[[#This Row],[Gramaje]]*GUAYAQUIL[[#This Row],[Conversión]]),"")</f>
        <v>0.5</v>
      </c>
      <c r="W124" s="270">
        <f t="shared" si="8"/>
        <v>2</v>
      </c>
      <c r="X124" s="32">
        <f t="shared" si="9"/>
        <v>0.95</v>
      </c>
      <c r="Y124" s="236">
        <f>IFERROR(VLOOKUP(GUAYAQUIL[[#This Row],[CODIGO]],MAESTRO!A:BI,21,FALSE),0)</f>
        <v>2.3418549999999998</v>
      </c>
      <c r="Z124" s="237">
        <f>+IFERROR(IF(GUAYAQUIL[[#This Row],[CODIGO]]="","",GUAYAQUIL[[#This Row],[COSTO UNIT base]]*GUAYAQUIL[[#This Row],[Conversión]]),"")</f>
        <v>2.3418549999999998</v>
      </c>
      <c r="AA124" s="236">
        <f>+IFERROR(IF(GUAYAQUIL[[#This Row],[CODIGO]]="","",GUAYAQUIL[[#This Row],[COSTO UNIT Conv]]*GUAYAQUIL[[#This Row],[Stock Actual Kgs]]),"")</f>
        <v>1.1709274999999999</v>
      </c>
      <c r="AB124" s="33">
        <f ca="1">+IFERROR(IF(GUAYAQUIL[[#This Row],[CODIGO]]="","",$J$3-O124),"")</f>
        <v>13</v>
      </c>
      <c r="AC124" s="34" t="str">
        <f ca="1">IF(GUAYAQUIL[[#This Row],[CODIGO]]="","",IF(S124&lt;=0,"CADUCADO",IF(AND(S124&gt;0,S124&lt;=21),"FECHA CORTA",IF(AND(S124&gt;=22,S124&lt;=26),"PROXIMOS FECHA CORTA", "VIGENTE"))))</f>
        <v>PROXIMOS FECHA CORTA</v>
      </c>
      <c r="AD124" s="37">
        <f>+IF(GUAYAQUIL[[#This Row],[CODIGO]]="","",GUAYAQUIL[[#This Row],[Stock Actual Unds]]*GUAYAQUIL[[#This Row],[Gramaje]]*GUAYAQUIL[[#This Row],[Conversión]])/1000</f>
        <v>5.0000000000000001E-4</v>
      </c>
    </row>
    <row r="125" spans="1:30">
      <c r="A125" s="24" t="str">
        <f>+IFERROR(IF(GUAYAQUIL[[#This Row],[CODIGO]]="","",VLOOKUP(GUAYAQUIL[[#This Row],[CODIGO]],MAESTRO!$A:$J,10,FALSE)),"")</f>
        <v>SAN GABRIEL</v>
      </c>
      <c r="B125" s="24" t="str">
        <f>+IFERROR(IF(GUAYAQUIL[[#This Row],[CODIGO]]="","",VLOOKUP(GUAYAQUIL[[#This Row],[CODIGO]],MAESTRO!$A:$Q,17,FALSE)),"")</f>
        <v>QUESOS Y GRASAS</v>
      </c>
      <c r="C125" s="24" t="str">
        <f>+IFERROR(IF(GUAYAQUIL[[#This Row],[CODIGO]]="","",VLOOKUP(GUAYAQUIL[[#This Row],[CODIGO]],MAESTRO!$A:$BA,53,FALSE)),"")</f>
        <v xml:space="preserve">Esteban Montenegro                      </v>
      </c>
      <c r="D125" s="24" t="str">
        <f>+IFERROR(IF(GUAYAQUIL[[#This Row],[CODIGO]]="","",VLOOKUP(GUAYAQUIL[[#This Row],[CODIGO]],MAESTRO!$A:$D,4,FALSE)),"")</f>
        <v>QUESO MOZARELLA KIOSKO</v>
      </c>
      <c r="E125" s="24" t="str">
        <f>+IFERROR(IF(GUAYAQUIL[[#This Row],[CODIGO]]="","",VLOOKUP(GUAYAQUIL[[#This Row],[CODIGO]],MAESTRO!$A:$F,6,FALSE)),"")</f>
        <v>QUESO MOZARELLA KIOSKO BLOQUE</v>
      </c>
      <c r="F125" s="42" t="str">
        <f>IF(GUAYAQUIL[[#This Row],[CODIGO]]="","",$K$6)</f>
        <v>GUAYAQUIL</v>
      </c>
      <c r="G125" s="209">
        <f>IF(GUAYAQUIL[[#This Row],[CODIGO]]="","",7711)</f>
        <v>7711</v>
      </c>
      <c r="H125" s="209">
        <f>IF(GUAYAQUIL[[#This Row],[CODIGO]]="","",1001)</f>
        <v>1001</v>
      </c>
      <c r="I125" s="257" t="s">
        <v>4513</v>
      </c>
      <c r="J125" s="25" t="str">
        <f>IFERROR((VLOOKUP(GUAYAQUIL[[#This Row],[CODIGO]],MAESTRO!A:B,2,FALSE)),"")</f>
        <v>Q MOZAR KIOSKO BLOQ 500G</v>
      </c>
      <c r="K125" s="26">
        <v>630</v>
      </c>
      <c r="L125" s="38">
        <f>+IFERROR(IF(GUAYAQUIL[[#This Row],[CODIGO]]="","",VLOOKUP(GUAYAQUIL[[#This Row],[CODIGO]],MAESTRO!$A:$BF,58,FALSE)),"")</f>
        <v>1</v>
      </c>
      <c r="M125" s="27">
        <f>+IFERROR(IF(GUAYAQUIL[[#This Row],[CODIGO]]="","",VLOOKUP(GUAYAQUIL[[#This Row],[CODIGO]],MAESTRO!A:N,14,FALSE)),"")</f>
        <v>0.5</v>
      </c>
      <c r="N125" s="28">
        <f>+IFERROR(IF(GUAYAQUIL[[#This Row],[CODIGO]]="","",VLOOKUP(GUAYAQUIL[[#This Row],[CODIGO]],MAESTRO!A:P,16,FALSE)),"")</f>
        <v>40</v>
      </c>
      <c r="O125" s="29">
        <v>45611</v>
      </c>
      <c r="P125" s="72" t="str">
        <f t="shared" si="5"/>
        <v>viernes</v>
      </c>
      <c r="Q125" s="29">
        <f>IFERROR(IF(GUAYAQUIL[[#This Row],[CODIGO]]="","",IF(GUAYAQUIL[[#This Row],[Fecha Cad]]="","",(GUAYAQUIL[[#This Row],[Fecha Cad]]-GUAYAQUIL[[#This Row],[VIDA UTIL (Días)]]))+1),"")</f>
        <v>45610</v>
      </c>
      <c r="R125" s="29">
        <v>45649</v>
      </c>
      <c r="S125" s="30">
        <f t="shared" ca="1" si="6"/>
        <v>25</v>
      </c>
      <c r="T125" s="31">
        <f t="shared" ca="1" si="7"/>
        <v>0.625</v>
      </c>
      <c r="U125" s="286">
        <v>572</v>
      </c>
      <c r="V125" s="260">
        <f>+IFERROR(IF(GUAYAQUIL[[#This Row],[CODIGO]]="","",GUAYAQUIL[[#This Row],[Stock Actual Unds]]*GUAYAQUIL[[#This Row],[Gramaje]]*GUAYAQUIL[[#This Row],[Conversión]]),"")</f>
        <v>286</v>
      </c>
      <c r="W125" s="270">
        <f t="shared" si="8"/>
        <v>1</v>
      </c>
      <c r="X125" s="32">
        <f t="shared" si="9"/>
        <v>0.97499999999999998</v>
      </c>
      <c r="Y125" s="236">
        <f>IFERROR(VLOOKUP(GUAYAQUIL[[#This Row],[CODIGO]],MAESTRO!A:BI,21,FALSE),0)</f>
        <v>2.3418549999999998</v>
      </c>
      <c r="Z125" s="237">
        <f>+IFERROR(IF(GUAYAQUIL[[#This Row],[CODIGO]]="","",GUAYAQUIL[[#This Row],[COSTO UNIT base]]*GUAYAQUIL[[#This Row],[Conversión]]),"")</f>
        <v>2.3418549999999998</v>
      </c>
      <c r="AA125" s="236">
        <f>+IFERROR(IF(GUAYAQUIL[[#This Row],[CODIGO]]="","",GUAYAQUIL[[#This Row],[COSTO UNIT Conv]]*GUAYAQUIL[[#This Row],[Stock Actual Kgs]]),"")</f>
        <v>669.77052999999989</v>
      </c>
      <c r="AB125" s="33">
        <f ca="1">+IFERROR(IF(GUAYAQUIL[[#This Row],[CODIGO]]="","",$J$3-O125),"")</f>
        <v>13</v>
      </c>
      <c r="AC125" s="34" t="str">
        <f ca="1">IF(GUAYAQUIL[[#This Row],[CODIGO]]="","",IF(S125&lt;=0,"CADUCADO",IF(AND(S125&gt;0,S125&lt;=21),"FECHA CORTA",IF(AND(S125&gt;=22,S125&lt;=26),"PROXIMOS FECHA CORTA", "VIGENTE"))))</f>
        <v>PROXIMOS FECHA CORTA</v>
      </c>
      <c r="AD125" s="37">
        <f>+IF(GUAYAQUIL[[#This Row],[CODIGO]]="","",GUAYAQUIL[[#This Row],[Stock Actual Unds]]*GUAYAQUIL[[#This Row],[Gramaje]]*GUAYAQUIL[[#This Row],[Conversión]])/1000</f>
        <v>0.28599999999999998</v>
      </c>
    </row>
    <row r="126" spans="1:30">
      <c r="A126" s="42" t="str">
        <f>+IFERROR(IF(GUAYAQUIL[[#This Row],[CODIGO]]="","",VLOOKUP(GUAYAQUIL[[#This Row],[CODIGO]],MAESTRO!$A:$J,10,FALSE)),"")</f>
        <v>SAN GABRIEL</v>
      </c>
      <c r="B126" s="42" t="str">
        <f>+IFERROR(IF(GUAYAQUIL[[#This Row],[CODIGO]]="","",VLOOKUP(GUAYAQUIL[[#This Row],[CODIGO]],MAESTRO!$A:$Q,17,FALSE)),"")</f>
        <v>QUESOS Y GRASAS</v>
      </c>
      <c r="C126" s="42" t="str">
        <f>+IFERROR(IF(GUAYAQUIL[[#This Row],[CODIGO]]="","",VLOOKUP(GUAYAQUIL[[#This Row],[CODIGO]],MAESTRO!$A:$BA,53,FALSE)),"")</f>
        <v xml:space="preserve">Esteban Montenegro                      </v>
      </c>
      <c r="D126" s="42" t="str">
        <f>+IFERROR(IF(GUAYAQUIL[[#This Row],[CODIGO]]="","",VLOOKUP(GUAYAQUIL[[#This Row],[CODIGO]],MAESTRO!$A:$D,4,FALSE)),"")</f>
        <v>QUESO MOZARELLA KIOSKO</v>
      </c>
      <c r="E126" s="42" t="str">
        <f>+IFERROR(IF(GUAYAQUIL[[#This Row],[CODIGO]]="","",VLOOKUP(GUAYAQUIL[[#This Row],[CODIGO]],MAESTRO!$A:$F,6,FALSE)),"")</f>
        <v>QUESO MOZARELLA KIOSKO BLOQUE</v>
      </c>
      <c r="F126" s="42" t="str">
        <f>IF(GUAYAQUIL[[#This Row],[CODIGO]]="","",$K$6)</f>
        <v>GUAYAQUIL</v>
      </c>
      <c r="G126" s="42">
        <f>IF(GUAYAQUIL[[#This Row],[CODIGO]]="","",7711)</f>
        <v>7711</v>
      </c>
      <c r="H126" s="42">
        <f>IF(GUAYAQUIL[[#This Row],[CODIGO]]="","",1001)</f>
        <v>1001</v>
      </c>
      <c r="I126" s="258" t="s">
        <v>4513</v>
      </c>
      <c r="J126" s="25" t="str">
        <f>IFERROR((VLOOKUP(GUAYAQUIL[[#This Row],[CODIGO]],MAESTRO!A:B,2,FALSE)),"")</f>
        <v>Q MOZAR KIOSKO BLOQ 500G</v>
      </c>
      <c r="K126" s="35">
        <v>1260</v>
      </c>
      <c r="L126" s="205">
        <f>+IFERROR(IF(GUAYAQUIL[[#This Row],[CODIGO]]="","",VLOOKUP(GUAYAQUIL[[#This Row],[CODIGO]],MAESTRO!$A:$BF,58,FALSE)),"")</f>
        <v>1</v>
      </c>
      <c r="M126" s="27">
        <f>+IFERROR(IF(GUAYAQUIL[[#This Row],[CODIGO]]="","",VLOOKUP(GUAYAQUIL[[#This Row],[CODIGO]],MAESTRO!A:N,14,FALSE)),"")</f>
        <v>0.5</v>
      </c>
      <c r="N126" s="290">
        <f>+IFERROR(IF(GUAYAQUIL[[#This Row],[CODIGO]]="","",VLOOKUP(GUAYAQUIL[[#This Row],[CODIGO]],MAESTRO!A:P,16,FALSE)),"")</f>
        <v>40</v>
      </c>
      <c r="O126" s="45">
        <v>45615</v>
      </c>
      <c r="P126" s="292" t="str">
        <f t="shared" si="5"/>
        <v>martes</v>
      </c>
      <c r="Q126" s="278">
        <f>IFERROR(IF(GUAYAQUIL[[#This Row],[CODIGO]]="","",IF(GUAYAQUIL[[#This Row],[Fecha Cad]]="","",(GUAYAQUIL[[#This Row],[Fecha Cad]]-GUAYAQUIL[[#This Row],[VIDA UTIL (Días)]]))+1),"")</f>
        <v>45610</v>
      </c>
      <c r="R126" s="45">
        <v>45649</v>
      </c>
      <c r="S126" s="30">
        <f t="shared" ca="1" si="6"/>
        <v>25</v>
      </c>
      <c r="T126" s="294">
        <f t="shared" ca="1" si="7"/>
        <v>0.625</v>
      </c>
      <c r="U126" s="286">
        <v>1260</v>
      </c>
      <c r="V126" s="262">
        <f>+IFERROR(IF(GUAYAQUIL[[#This Row],[CODIGO]]="","",GUAYAQUIL[[#This Row],[Stock Actual Unds]]*GUAYAQUIL[[#This Row],[Gramaje]]*GUAYAQUIL[[#This Row],[Conversión]]),"")</f>
        <v>630</v>
      </c>
      <c r="W126" s="299">
        <f t="shared" si="8"/>
        <v>5</v>
      </c>
      <c r="X126" s="44">
        <f t="shared" si="9"/>
        <v>0.875</v>
      </c>
      <c r="Y126" s="236">
        <f>IFERROR(VLOOKUP(GUAYAQUIL[[#This Row],[CODIGO]],MAESTRO!A:BI,21,FALSE),0)</f>
        <v>2.3418549999999998</v>
      </c>
      <c r="Z126" s="237">
        <f>+IFERROR(IF(GUAYAQUIL[[#This Row],[CODIGO]]="","",GUAYAQUIL[[#This Row],[COSTO UNIT base]]*GUAYAQUIL[[#This Row],[Conversión]]),"")</f>
        <v>2.3418549999999998</v>
      </c>
      <c r="AA126" s="236">
        <f>+IFERROR(IF(GUAYAQUIL[[#This Row],[CODIGO]]="","",GUAYAQUIL[[#This Row],[COSTO UNIT Conv]]*GUAYAQUIL[[#This Row],[Stock Actual Kgs]]),"")</f>
        <v>1475.3686499999999</v>
      </c>
      <c r="AB126" s="180">
        <f ca="1">+IFERROR(IF(GUAYAQUIL[[#This Row],[CODIGO]]="","",$J$3-O126),"")</f>
        <v>9</v>
      </c>
      <c r="AC126" s="35" t="str">
        <f ca="1">IF(GUAYAQUIL[[#This Row],[CODIGO]]="","",IF(S126&lt;=0,"CADUCADO",IF(AND(S126&gt;0,S126&lt;=21),"FECHA CORTA",IF(AND(S126&gt;=22,S126&lt;=26),"PROXIMOS FECHA CORTA", "VIGENTE"))))</f>
        <v>PROXIMOS FECHA CORTA</v>
      </c>
      <c r="AD126" s="37">
        <f>+IF(GUAYAQUIL[[#This Row],[CODIGO]]="","",GUAYAQUIL[[#This Row],[Stock Actual Unds]]*GUAYAQUIL[[#This Row],[Gramaje]]*GUAYAQUIL[[#This Row],[Conversión]])/1000</f>
        <v>0.63</v>
      </c>
    </row>
    <row r="127" spans="1:30">
      <c r="A127" s="42" t="str">
        <f>+IFERROR(IF(GUAYAQUIL[[#This Row],[CODIGO]]="","",VLOOKUP(GUAYAQUIL[[#This Row],[CODIGO]],MAESTRO!$A:$J,10,FALSE)),"")</f>
        <v>SAN GABRIEL</v>
      </c>
      <c r="B127" s="42" t="str">
        <f>+IFERROR(IF(GUAYAQUIL[[#This Row],[CODIGO]]="","",VLOOKUP(GUAYAQUIL[[#This Row],[CODIGO]],MAESTRO!$A:$Q,17,FALSE)),"")</f>
        <v>QUESOS Y GRASAS</v>
      </c>
      <c r="C127" s="42" t="str">
        <f>+IFERROR(IF(GUAYAQUIL[[#This Row],[CODIGO]]="","",VLOOKUP(GUAYAQUIL[[#This Row],[CODIGO]],MAESTRO!$A:$BA,53,FALSE)),"")</f>
        <v xml:space="preserve">Esteban Montenegro                      </v>
      </c>
      <c r="D127" s="42" t="str">
        <f>+IFERROR(IF(GUAYAQUIL[[#This Row],[CODIGO]]="","",VLOOKUP(GUAYAQUIL[[#This Row],[CODIGO]],MAESTRO!$A:$D,4,FALSE)),"")</f>
        <v>QUESO MOZARELLA KIOSKO</v>
      </c>
      <c r="E127" s="42" t="str">
        <f>+IFERROR(IF(GUAYAQUIL[[#This Row],[CODIGO]]="","",VLOOKUP(GUAYAQUIL[[#This Row],[CODIGO]],MAESTRO!$A:$F,6,FALSE)),"")</f>
        <v>QUESO MOZARELLA KIOSKO BLOQUE</v>
      </c>
      <c r="F127" s="42" t="str">
        <f>IF(GUAYAQUIL[[#This Row],[CODIGO]]="","",$K$6)</f>
        <v>GUAYAQUIL</v>
      </c>
      <c r="G127" s="209">
        <f>IF(GUAYAQUIL[[#This Row],[CODIGO]]="","",7711)</f>
        <v>7711</v>
      </c>
      <c r="H127" s="209">
        <f>IF(GUAYAQUIL[[#This Row],[CODIGO]]="","",1001)</f>
        <v>1001</v>
      </c>
      <c r="I127" s="258" t="s">
        <v>4513</v>
      </c>
      <c r="J127" s="25" t="str">
        <f>IFERROR((VLOOKUP(GUAYAQUIL[[#This Row],[CODIGO]],MAESTRO!A:B,2,FALSE)),"")</f>
        <v>Q MOZAR KIOSKO BLOQ 500G</v>
      </c>
      <c r="K127" s="35">
        <v>630</v>
      </c>
      <c r="L127" s="205">
        <f>+IFERROR(IF(GUAYAQUIL[[#This Row],[CODIGO]]="","",VLOOKUP(GUAYAQUIL[[#This Row],[CODIGO]],MAESTRO!$A:$BF,58,FALSE)),"")</f>
        <v>1</v>
      </c>
      <c r="M127" s="27">
        <f>+IFERROR(IF(GUAYAQUIL[[#This Row],[CODIGO]]="","",VLOOKUP(GUAYAQUIL[[#This Row],[CODIGO]],MAESTRO!A:N,14,FALSE)),"")</f>
        <v>0.5</v>
      </c>
      <c r="N127" s="290">
        <f>+IFERROR(IF(GUAYAQUIL[[#This Row],[CODIGO]]="","",VLOOKUP(GUAYAQUIL[[#This Row],[CODIGO]],MAESTRO!A:P,16,FALSE)),"")</f>
        <v>40</v>
      </c>
      <c r="O127" s="45">
        <v>45616</v>
      </c>
      <c r="P127" s="292" t="str">
        <f t="shared" si="5"/>
        <v>miércoles</v>
      </c>
      <c r="Q127" s="278">
        <f>IFERROR(IF(GUAYAQUIL[[#This Row],[CODIGO]]="","",IF(GUAYAQUIL[[#This Row],[Fecha Cad]]="","",(GUAYAQUIL[[#This Row],[Fecha Cad]]-GUAYAQUIL[[#This Row],[VIDA UTIL (Días)]]))+1),"")</f>
        <v>45611</v>
      </c>
      <c r="R127" s="45">
        <v>45650</v>
      </c>
      <c r="S127" s="30">
        <f t="shared" ca="1" si="6"/>
        <v>26</v>
      </c>
      <c r="T127" s="294">
        <f t="shared" ca="1" si="7"/>
        <v>0.65</v>
      </c>
      <c r="U127" s="286">
        <v>630</v>
      </c>
      <c r="V127" s="262">
        <f>+IFERROR(IF(GUAYAQUIL[[#This Row],[CODIGO]]="","",GUAYAQUIL[[#This Row],[Stock Actual Unds]]*GUAYAQUIL[[#This Row],[Gramaje]]*GUAYAQUIL[[#This Row],[Conversión]]),"")</f>
        <v>315</v>
      </c>
      <c r="W127" s="299">
        <f t="shared" si="8"/>
        <v>5</v>
      </c>
      <c r="X127" s="44">
        <f t="shared" si="9"/>
        <v>0.875</v>
      </c>
      <c r="Y127" s="236">
        <f>IFERROR(VLOOKUP(GUAYAQUIL[[#This Row],[CODIGO]],MAESTRO!A:BI,21,FALSE),0)</f>
        <v>2.3418549999999998</v>
      </c>
      <c r="Z127" s="237">
        <f>+IFERROR(IF(GUAYAQUIL[[#This Row],[CODIGO]]="","",GUAYAQUIL[[#This Row],[COSTO UNIT base]]*GUAYAQUIL[[#This Row],[Conversión]]),"")</f>
        <v>2.3418549999999998</v>
      </c>
      <c r="AA127" s="236">
        <f>+IFERROR(IF(GUAYAQUIL[[#This Row],[CODIGO]]="","",GUAYAQUIL[[#This Row],[COSTO UNIT Conv]]*GUAYAQUIL[[#This Row],[Stock Actual Kgs]]),"")</f>
        <v>737.68432499999994</v>
      </c>
      <c r="AB127" s="180">
        <f ca="1">+IFERROR(IF(GUAYAQUIL[[#This Row],[CODIGO]]="","",$J$3-O127),"")</f>
        <v>8</v>
      </c>
      <c r="AC127" s="35" t="str">
        <f ca="1">IF(GUAYAQUIL[[#This Row],[CODIGO]]="","",IF(S127&lt;=0,"CADUCADO",IF(AND(S127&gt;0,S127&lt;=21),"FECHA CORTA",IF(AND(S127&gt;=22,S127&lt;=26),"PROXIMOS FECHA CORTA", "VIGENTE"))))</f>
        <v>PROXIMOS FECHA CORTA</v>
      </c>
      <c r="AD127" s="37">
        <f>+IF(GUAYAQUIL[[#This Row],[CODIGO]]="","",GUAYAQUIL[[#This Row],[Stock Actual Unds]]*GUAYAQUIL[[#This Row],[Gramaje]]*GUAYAQUIL[[#This Row],[Conversión]])/1000</f>
        <v>0.315</v>
      </c>
    </row>
    <row r="128" spans="1:30">
      <c r="A128" s="24" t="str">
        <f>+IFERROR(IF(GUAYAQUIL[[#This Row],[CODIGO]]="","",VLOOKUP(GUAYAQUIL[[#This Row],[CODIGO]],MAESTRO!$A:$J,10,FALSE)),"")</f>
        <v>SAN GABRIEL</v>
      </c>
      <c r="B128" s="24" t="str">
        <f>+IFERROR(IF(GUAYAQUIL[[#This Row],[CODIGO]]="","",VLOOKUP(GUAYAQUIL[[#This Row],[CODIGO]],MAESTRO!$A:$Q,17,FALSE)),"")</f>
        <v>QUESOS Y GRASAS</v>
      </c>
      <c r="C128" s="24" t="str">
        <f>+IFERROR(IF(GUAYAQUIL[[#This Row],[CODIGO]]="","",VLOOKUP(GUAYAQUIL[[#This Row],[CODIGO]],MAESTRO!$A:$BA,53,FALSE)),"")</f>
        <v xml:space="preserve">Esteban Montenegro                      </v>
      </c>
      <c r="D128" s="24" t="str">
        <f>+IFERROR(IF(GUAYAQUIL[[#This Row],[CODIGO]]="","",VLOOKUP(GUAYAQUIL[[#This Row],[CODIGO]],MAESTRO!$A:$D,4,FALSE)),"")</f>
        <v>QUESO MOZARELLA KIOSKO</v>
      </c>
      <c r="E128" s="24" t="str">
        <f>+IFERROR(IF(GUAYAQUIL[[#This Row],[CODIGO]]="","",VLOOKUP(GUAYAQUIL[[#This Row],[CODIGO]],MAESTRO!$A:$F,6,FALSE)),"")</f>
        <v>QUESO MOZARELLA KIOSKO BLOQUE</v>
      </c>
      <c r="F128" s="42" t="str">
        <f>IF(GUAYAQUIL[[#This Row],[CODIGO]]="","",$K$6)</f>
        <v>GUAYAQUIL</v>
      </c>
      <c r="G128" s="42">
        <f>IF(GUAYAQUIL[[#This Row],[CODIGO]]="","",7711)</f>
        <v>7711</v>
      </c>
      <c r="H128" s="42">
        <f>IF(GUAYAQUIL[[#This Row],[CODIGO]]="","",1001)</f>
        <v>1001</v>
      </c>
      <c r="I128" s="258" t="s">
        <v>4513</v>
      </c>
      <c r="J128" s="25" t="str">
        <f>IFERROR((VLOOKUP(GUAYAQUIL[[#This Row],[CODIGO]],MAESTRO!A:B,2,FALSE)),"")</f>
        <v>Q MOZAR KIOSKO BLOQ 500G</v>
      </c>
      <c r="K128" s="35">
        <v>855</v>
      </c>
      <c r="L128" s="38">
        <f>+IFERROR(IF(GUAYAQUIL[[#This Row],[CODIGO]]="","",VLOOKUP(GUAYAQUIL[[#This Row],[CODIGO]],MAESTRO!$A:$BF,58,FALSE)),"")</f>
        <v>1</v>
      </c>
      <c r="M128" s="27">
        <f>+IFERROR(IF(GUAYAQUIL[[#This Row],[CODIGO]]="","",VLOOKUP(GUAYAQUIL[[#This Row],[CODIGO]],MAESTRO!A:N,14,FALSE)),"")</f>
        <v>0.5</v>
      </c>
      <c r="N128" s="28">
        <f>+IFERROR(IF(GUAYAQUIL[[#This Row],[CODIGO]]="","",VLOOKUP(GUAYAQUIL[[#This Row],[CODIGO]],MAESTRO!A:P,16,FALSE)),"")</f>
        <v>40</v>
      </c>
      <c r="O128" s="29">
        <v>45617</v>
      </c>
      <c r="P128" s="72" t="str">
        <f t="shared" si="5"/>
        <v>jueves</v>
      </c>
      <c r="Q128" s="29">
        <f>IFERROR(IF(GUAYAQUIL[[#This Row],[CODIGO]]="","",IF(GUAYAQUIL[[#This Row],[Fecha Cad]]="","",(GUAYAQUIL[[#This Row],[Fecha Cad]]-GUAYAQUIL[[#This Row],[VIDA UTIL (Días)]]))+1),"")</f>
        <v>45612</v>
      </c>
      <c r="R128" s="29">
        <v>45651</v>
      </c>
      <c r="S128" s="30">
        <f t="shared" ca="1" si="6"/>
        <v>27</v>
      </c>
      <c r="T128" s="31">
        <f t="shared" ca="1" si="7"/>
        <v>0.67500000000000004</v>
      </c>
      <c r="U128" s="286">
        <v>855</v>
      </c>
      <c r="V128" s="262">
        <f>+IFERROR(IF(GUAYAQUIL[[#This Row],[CODIGO]]="","",GUAYAQUIL[[#This Row],[Stock Actual Unds]]*GUAYAQUIL[[#This Row],[Gramaje]]*GUAYAQUIL[[#This Row],[Conversión]]),"")</f>
        <v>427.5</v>
      </c>
      <c r="W128" s="270">
        <f t="shared" si="8"/>
        <v>5</v>
      </c>
      <c r="X128" s="32">
        <f t="shared" si="9"/>
        <v>0.875</v>
      </c>
      <c r="Y128" s="236">
        <f>IFERROR(VLOOKUP(GUAYAQUIL[[#This Row],[CODIGO]],MAESTRO!A:BI,21,FALSE),0)</f>
        <v>2.3418549999999998</v>
      </c>
      <c r="Z128" s="237">
        <f>+IFERROR(IF(GUAYAQUIL[[#This Row],[CODIGO]]="","",GUAYAQUIL[[#This Row],[COSTO UNIT base]]*GUAYAQUIL[[#This Row],[Conversión]]),"")</f>
        <v>2.3418549999999998</v>
      </c>
      <c r="AA128" s="236">
        <f>+IFERROR(IF(GUAYAQUIL[[#This Row],[CODIGO]]="","",GUAYAQUIL[[#This Row],[COSTO UNIT Conv]]*GUAYAQUIL[[#This Row],[Stock Actual Kgs]]),"")</f>
        <v>1001.1430124999999</v>
      </c>
      <c r="AB128" s="33">
        <f ca="1">+IFERROR(IF(GUAYAQUIL[[#This Row],[CODIGO]]="","",$J$3-O128),"")</f>
        <v>7</v>
      </c>
      <c r="AC128" s="34" t="str">
        <f ca="1">IF(GUAYAQUIL[[#This Row],[CODIGO]]="","",IF(S128&lt;=0,"CADUCADO",IF(AND(S128&gt;0,S128&lt;=21),"FECHA CORTA",IF(AND(S128&gt;=22,S128&lt;=26),"PROXIMOS FECHA CORTA", "VIGENTE"))))</f>
        <v>VIGENTE</v>
      </c>
      <c r="AD128" s="37">
        <f>+IF(GUAYAQUIL[[#This Row],[CODIGO]]="","",GUAYAQUIL[[#This Row],[Stock Actual Unds]]*GUAYAQUIL[[#This Row],[Gramaje]]*GUAYAQUIL[[#This Row],[Conversión]])/1000</f>
        <v>0.42749999999999999</v>
      </c>
    </row>
    <row r="129" spans="1:30">
      <c r="A129" s="24" t="str">
        <f>+IFERROR(IF(GUAYAQUIL[[#This Row],[CODIGO]]="","",VLOOKUP(GUAYAQUIL[[#This Row],[CODIGO]],MAESTRO!$A:$J,10,FALSE)),"")</f>
        <v>SAN GABRIEL</v>
      </c>
      <c r="B129" s="24" t="str">
        <f>+IFERROR(IF(GUAYAQUIL[[#This Row],[CODIGO]]="","",VLOOKUP(GUAYAQUIL[[#This Row],[CODIGO]],MAESTRO!$A:$Q,17,FALSE)),"")</f>
        <v>QUESOS Y GRASAS</v>
      </c>
      <c r="C129" s="24" t="str">
        <f>+IFERROR(IF(GUAYAQUIL[[#This Row],[CODIGO]]="","",VLOOKUP(GUAYAQUIL[[#This Row],[CODIGO]],MAESTRO!$A:$BA,53,FALSE)),"")</f>
        <v xml:space="preserve">Esteban Montenegro                      </v>
      </c>
      <c r="D129" s="24" t="str">
        <f>+IFERROR(IF(GUAYAQUIL[[#This Row],[CODIGO]]="","",VLOOKUP(GUAYAQUIL[[#This Row],[CODIGO]],MAESTRO!$A:$D,4,FALSE)),"")</f>
        <v>QUESO MOZARELLA KIOSKO</v>
      </c>
      <c r="E129" s="24" t="str">
        <f>+IFERROR(IF(GUAYAQUIL[[#This Row],[CODIGO]]="","",VLOOKUP(GUAYAQUIL[[#This Row],[CODIGO]],MAESTRO!$A:$F,6,FALSE)),"")</f>
        <v>QUESO MOZARELLA KIOSKO BLOQUE</v>
      </c>
      <c r="F129" s="42" t="str">
        <f>IF(GUAYAQUIL[[#This Row],[CODIGO]]="","",$K$6)</f>
        <v>GUAYAQUIL</v>
      </c>
      <c r="G129" s="42">
        <f>IF(GUAYAQUIL[[#This Row],[CODIGO]]="","",7711)</f>
        <v>7711</v>
      </c>
      <c r="H129" s="42">
        <f>IF(GUAYAQUIL[[#This Row],[CODIGO]]="","",1001)</f>
        <v>1001</v>
      </c>
      <c r="I129" s="258" t="s">
        <v>4508</v>
      </c>
      <c r="J129" s="25" t="str">
        <f>IFERROR((VLOOKUP(GUAYAQUIL[[#This Row],[CODIGO]],MAESTRO!A:B,2,FALSE)),"")</f>
        <v>Q MOZAR KIOSKO BLOQ 900G</v>
      </c>
      <c r="K129" s="35">
        <v>714</v>
      </c>
      <c r="L129" s="38">
        <f>+IFERROR(IF(GUAYAQUIL[[#This Row],[CODIGO]]="","",VLOOKUP(GUAYAQUIL[[#This Row],[CODIGO]],MAESTRO!$A:$BF,58,FALSE)),"")</f>
        <v>1</v>
      </c>
      <c r="M129" s="27">
        <f>+IFERROR(IF(GUAYAQUIL[[#This Row],[CODIGO]]="","",VLOOKUP(GUAYAQUIL[[#This Row],[CODIGO]],MAESTRO!A:N,14,FALSE)),"")</f>
        <v>0.9</v>
      </c>
      <c r="N129" s="28">
        <f>+IFERROR(IF(GUAYAQUIL[[#This Row],[CODIGO]]="","",VLOOKUP(GUAYAQUIL[[#This Row],[CODIGO]],MAESTRO!A:P,16,FALSE)),"")</f>
        <v>40</v>
      </c>
      <c r="O129" s="29">
        <v>45611</v>
      </c>
      <c r="P129" s="72" t="str">
        <f t="shared" si="5"/>
        <v>viernes</v>
      </c>
      <c r="Q129" s="29">
        <f>IFERROR(IF(GUAYAQUIL[[#This Row],[CODIGO]]="","",IF(GUAYAQUIL[[#This Row],[Fecha Cad]]="","",(GUAYAQUIL[[#This Row],[Fecha Cad]]-GUAYAQUIL[[#This Row],[VIDA UTIL (Días)]]))+1),"")</f>
        <v>45610</v>
      </c>
      <c r="R129" s="29">
        <v>45649</v>
      </c>
      <c r="S129" s="30">
        <f t="shared" ca="1" si="6"/>
        <v>25</v>
      </c>
      <c r="T129" s="31">
        <f t="shared" ca="1" si="7"/>
        <v>0.625</v>
      </c>
      <c r="U129" s="286">
        <v>110</v>
      </c>
      <c r="V129" s="262">
        <f>+IFERROR(IF(GUAYAQUIL[[#This Row],[CODIGO]]="","",GUAYAQUIL[[#This Row],[Stock Actual Unds]]*GUAYAQUIL[[#This Row],[Gramaje]]*GUAYAQUIL[[#This Row],[Conversión]]),"")</f>
        <v>99</v>
      </c>
      <c r="W129" s="270">
        <f t="shared" si="8"/>
        <v>1</v>
      </c>
      <c r="X129" s="32">
        <f t="shared" si="9"/>
        <v>0.97499999999999998</v>
      </c>
      <c r="Y129" s="236">
        <f>IFERROR(VLOOKUP(GUAYAQUIL[[#This Row],[CODIGO]],MAESTRO!A:BI,21,FALSE),0)</f>
        <v>4.1744400000000006</v>
      </c>
      <c r="Z129" s="237">
        <f>+IFERROR(IF(GUAYAQUIL[[#This Row],[CODIGO]]="","",GUAYAQUIL[[#This Row],[COSTO UNIT base]]*GUAYAQUIL[[#This Row],[Conversión]]),"")</f>
        <v>4.1744400000000006</v>
      </c>
      <c r="AA129" s="236">
        <f>+IFERROR(IF(GUAYAQUIL[[#This Row],[CODIGO]]="","",GUAYAQUIL[[#This Row],[COSTO UNIT Conv]]*GUAYAQUIL[[#This Row],[Stock Actual Kgs]]),"")</f>
        <v>413.26956000000007</v>
      </c>
      <c r="AB129" s="33">
        <f ca="1">+IFERROR(IF(GUAYAQUIL[[#This Row],[CODIGO]]="","",$J$3-O129),"")</f>
        <v>13</v>
      </c>
      <c r="AC129" s="34" t="str">
        <f ca="1">IF(GUAYAQUIL[[#This Row],[CODIGO]]="","",IF(S129&lt;=0,"CADUCADO",IF(AND(S129&gt;0,S129&lt;=21),"FECHA CORTA",IF(AND(S129&gt;=22,S129&lt;=26),"PROXIMOS FECHA CORTA", "VIGENTE"))))</f>
        <v>PROXIMOS FECHA CORTA</v>
      </c>
      <c r="AD129" s="37">
        <f>+IF(GUAYAQUIL[[#This Row],[CODIGO]]="","",GUAYAQUIL[[#This Row],[Stock Actual Unds]]*GUAYAQUIL[[#This Row],[Gramaje]]*GUAYAQUIL[[#This Row],[Conversión]])/1000</f>
        <v>9.9000000000000005E-2</v>
      </c>
    </row>
    <row r="130" spans="1:30">
      <c r="A130" s="24" t="str">
        <f>+IFERROR(IF(GUAYAQUIL[[#This Row],[CODIGO]]="","",VLOOKUP(GUAYAQUIL[[#This Row],[CODIGO]],MAESTRO!$A:$J,10,FALSE)),"")</f>
        <v>SAN GABRIEL</v>
      </c>
      <c r="B130" s="24" t="str">
        <f>+IFERROR(IF(GUAYAQUIL[[#This Row],[CODIGO]]="","",VLOOKUP(GUAYAQUIL[[#This Row],[CODIGO]],MAESTRO!$A:$Q,17,FALSE)),"")</f>
        <v>QUESOS Y GRASAS</v>
      </c>
      <c r="C130" s="24" t="str">
        <f>+IFERROR(IF(GUAYAQUIL[[#This Row],[CODIGO]]="","",VLOOKUP(GUAYAQUIL[[#This Row],[CODIGO]],MAESTRO!$A:$BA,53,FALSE)),"")</f>
        <v xml:space="preserve">Esteban Montenegro                      </v>
      </c>
      <c r="D130" s="24" t="str">
        <f>+IFERROR(IF(GUAYAQUIL[[#This Row],[CODIGO]]="","",VLOOKUP(GUAYAQUIL[[#This Row],[CODIGO]],MAESTRO!$A:$D,4,FALSE)),"")</f>
        <v>QUESO MOZARELLA KIOSKO</v>
      </c>
      <c r="E130" s="24" t="str">
        <f>+IFERROR(IF(GUAYAQUIL[[#This Row],[CODIGO]]="","",VLOOKUP(GUAYAQUIL[[#This Row],[CODIGO]],MAESTRO!$A:$F,6,FALSE)),"")</f>
        <v>QUESO MOZARELLA KIOSKO BLOQUE</v>
      </c>
      <c r="F130" s="42" t="str">
        <f>IF(GUAYAQUIL[[#This Row],[CODIGO]]="","",$K$6)</f>
        <v>GUAYAQUIL</v>
      </c>
      <c r="G130" s="42">
        <f>IF(GUAYAQUIL[[#This Row],[CODIGO]]="","",7711)</f>
        <v>7711</v>
      </c>
      <c r="H130" s="42">
        <f>IF(GUAYAQUIL[[#This Row],[CODIGO]]="","",1001)</f>
        <v>1001</v>
      </c>
      <c r="I130" s="257" t="s">
        <v>4508</v>
      </c>
      <c r="J130" s="25" t="str">
        <f>IFERROR((VLOOKUP(GUAYAQUIL[[#This Row],[CODIGO]],MAESTRO!A:B,2,FALSE)),"")</f>
        <v>Q MOZAR KIOSKO BLOQ 900G</v>
      </c>
      <c r="K130" s="26">
        <v>84</v>
      </c>
      <c r="L130" s="38">
        <f>+IFERROR(IF(GUAYAQUIL[[#This Row],[CODIGO]]="","",VLOOKUP(GUAYAQUIL[[#This Row],[CODIGO]],MAESTRO!$A:$BF,58,FALSE)),"")</f>
        <v>1</v>
      </c>
      <c r="M130" s="27">
        <f>+IFERROR(IF(GUAYAQUIL[[#This Row],[CODIGO]]="","",VLOOKUP(GUAYAQUIL[[#This Row],[CODIGO]],MAESTRO!A:N,14,FALSE)),"")</f>
        <v>0.9</v>
      </c>
      <c r="N130" s="28">
        <f>+IFERROR(IF(GUAYAQUIL[[#This Row],[CODIGO]]="","",VLOOKUP(GUAYAQUIL[[#This Row],[CODIGO]],MAESTRO!A:P,16,FALSE)),"")</f>
        <v>40</v>
      </c>
      <c r="O130" s="29">
        <v>45615</v>
      </c>
      <c r="P130" s="72" t="str">
        <f t="shared" si="5"/>
        <v>martes</v>
      </c>
      <c r="Q130" s="29">
        <f>IFERROR(IF(GUAYAQUIL[[#This Row],[CODIGO]]="","",IF(GUAYAQUIL[[#This Row],[Fecha Cad]]="","",(GUAYAQUIL[[#This Row],[Fecha Cad]]-GUAYAQUIL[[#This Row],[VIDA UTIL (Días)]]))+1),"")</f>
        <v>45612</v>
      </c>
      <c r="R130" s="29">
        <v>45651</v>
      </c>
      <c r="S130" s="30">
        <f t="shared" ca="1" si="6"/>
        <v>27</v>
      </c>
      <c r="T130" s="31">
        <f t="shared" ca="1" si="7"/>
        <v>0.67500000000000004</v>
      </c>
      <c r="U130" s="286">
        <v>84</v>
      </c>
      <c r="V130" s="260">
        <f>+IFERROR(IF(GUAYAQUIL[[#This Row],[CODIGO]]="","",GUAYAQUIL[[#This Row],[Stock Actual Unds]]*GUAYAQUIL[[#This Row],[Gramaje]]*GUAYAQUIL[[#This Row],[Conversión]]),"")</f>
        <v>75.600000000000009</v>
      </c>
      <c r="W130" s="270">
        <f t="shared" si="8"/>
        <v>3</v>
      </c>
      <c r="X130" s="32">
        <f t="shared" si="9"/>
        <v>0.92500000000000004</v>
      </c>
      <c r="Y130" s="236">
        <f>IFERROR(VLOOKUP(GUAYAQUIL[[#This Row],[CODIGO]],MAESTRO!A:BI,21,FALSE),0)</f>
        <v>4.1744400000000006</v>
      </c>
      <c r="Z130" s="237">
        <f>+IFERROR(IF(GUAYAQUIL[[#This Row],[CODIGO]]="","",GUAYAQUIL[[#This Row],[COSTO UNIT base]]*GUAYAQUIL[[#This Row],[Conversión]]),"")</f>
        <v>4.1744400000000006</v>
      </c>
      <c r="AA130" s="236">
        <f>+IFERROR(IF(GUAYAQUIL[[#This Row],[CODIGO]]="","",GUAYAQUIL[[#This Row],[COSTO UNIT Conv]]*GUAYAQUIL[[#This Row],[Stock Actual Kgs]]),"")</f>
        <v>315.58766400000007</v>
      </c>
      <c r="AB130" s="33">
        <f ca="1">+IFERROR(IF(GUAYAQUIL[[#This Row],[CODIGO]]="","",$J$3-O130),"")</f>
        <v>9</v>
      </c>
      <c r="AC130" s="34" t="str">
        <f ca="1">IF(GUAYAQUIL[[#This Row],[CODIGO]]="","",IF(S130&lt;=0,"CADUCADO",IF(AND(S130&gt;0,S130&lt;=21),"FECHA CORTA",IF(AND(S130&gt;=22,S130&lt;=26),"PROXIMOS FECHA CORTA", "VIGENTE"))))</f>
        <v>VIGENTE</v>
      </c>
      <c r="AD130" s="37">
        <f>+IF(GUAYAQUIL[[#This Row],[CODIGO]]="","",GUAYAQUIL[[#This Row],[Stock Actual Unds]]*GUAYAQUIL[[#This Row],[Gramaje]]*GUAYAQUIL[[#This Row],[Conversión]])/1000</f>
        <v>7.5600000000000014E-2</v>
      </c>
    </row>
    <row r="131" spans="1:30">
      <c r="A131" s="24" t="str">
        <f>+IFERROR(IF(GUAYAQUIL[[#This Row],[CODIGO]]="","",VLOOKUP(GUAYAQUIL[[#This Row],[CODIGO]],MAESTRO!$A:$J,10,FALSE)),"")</f>
        <v>SAN GABRIEL</v>
      </c>
      <c r="B131" s="24" t="str">
        <f>+IFERROR(IF(GUAYAQUIL[[#This Row],[CODIGO]]="","",VLOOKUP(GUAYAQUIL[[#This Row],[CODIGO]],MAESTRO!$A:$Q,17,FALSE)),"")</f>
        <v>QUESOS Y GRASAS</v>
      </c>
      <c r="C131" s="24" t="str">
        <f>+IFERROR(IF(GUAYAQUIL[[#This Row],[CODIGO]]="","",VLOOKUP(GUAYAQUIL[[#This Row],[CODIGO]],MAESTRO!$A:$BA,53,FALSE)),"")</f>
        <v xml:space="preserve">Esteban Montenegro                      </v>
      </c>
      <c r="D131" s="24" t="str">
        <f>+IFERROR(IF(GUAYAQUIL[[#This Row],[CODIGO]]="","",VLOOKUP(GUAYAQUIL[[#This Row],[CODIGO]],MAESTRO!$A:$D,4,FALSE)),"")</f>
        <v>QUESO MOZARELLA KIOSKO</v>
      </c>
      <c r="E131" s="24" t="str">
        <f>+IFERROR(IF(GUAYAQUIL[[#This Row],[CODIGO]]="","",VLOOKUP(GUAYAQUIL[[#This Row],[CODIGO]],MAESTRO!$A:$F,6,FALSE)),"")</f>
        <v>QUESO MOZARELLA KIOSKO BLOQUE</v>
      </c>
      <c r="F131" s="42" t="str">
        <f>IF(GUAYAQUIL[[#This Row],[CODIGO]]="","",$K$6)</f>
        <v>GUAYAQUIL</v>
      </c>
      <c r="G131" s="42">
        <f>IF(GUAYAQUIL[[#This Row],[CODIGO]]="","",7711)</f>
        <v>7711</v>
      </c>
      <c r="H131" s="42">
        <f>IF(GUAYAQUIL[[#This Row],[CODIGO]]="","",1001)</f>
        <v>1001</v>
      </c>
      <c r="I131" s="258" t="s">
        <v>4508</v>
      </c>
      <c r="J131" s="25" t="str">
        <f>IFERROR((VLOOKUP(GUAYAQUIL[[#This Row],[CODIGO]],MAESTRO!A:B,2,FALSE)),"")</f>
        <v>Q MOZAR KIOSKO BLOQ 900G</v>
      </c>
      <c r="K131" s="35">
        <v>882</v>
      </c>
      <c r="L131" s="38">
        <f>+IFERROR(IF(GUAYAQUIL[[#This Row],[CODIGO]]="","",VLOOKUP(GUAYAQUIL[[#This Row],[CODIGO]],MAESTRO!$A:$BF,58,FALSE)),"")</f>
        <v>1</v>
      </c>
      <c r="M131" s="27">
        <f>+IFERROR(IF(GUAYAQUIL[[#This Row],[CODIGO]]="","",VLOOKUP(GUAYAQUIL[[#This Row],[CODIGO]],MAESTRO!A:N,14,FALSE)),"")</f>
        <v>0.9</v>
      </c>
      <c r="N131" s="28">
        <f>+IFERROR(IF(GUAYAQUIL[[#This Row],[CODIGO]]="","",VLOOKUP(GUAYAQUIL[[#This Row],[CODIGO]],MAESTRO!A:P,16,FALSE)),"")</f>
        <v>40</v>
      </c>
      <c r="O131" s="29">
        <v>45615</v>
      </c>
      <c r="P131" s="72" t="str">
        <f t="shared" si="5"/>
        <v>martes</v>
      </c>
      <c r="Q131" s="29">
        <f>IFERROR(IF(GUAYAQUIL[[#This Row],[CODIGO]]="","",IF(GUAYAQUIL[[#This Row],[Fecha Cad]]="","",(GUAYAQUIL[[#This Row],[Fecha Cad]]-GUAYAQUIL[[#This Row],[VIDA UTIL (Días)]]))+1),"")</f>
        <v>45611</v>
      </c>
      <c r="R131" s="29">
        <v>45650</v>
      </c>
      <c r="S131" s="30">
        <f t="shared" ca="1" si="6"/>
        <v>26</v>
      </c>
      <c r="T131" s="31">
        <f t="shared" ca="1" si="7"/>
        <v>0.65</v>
      </c>
      <c r="U131" s="286">
        <v>882</v>
      </c>
      <c r="V131" s="262">
        <f>+IFERROR(IF(GUAYAQUIL[[#This Row],[CODIGO]]="","",GUAYAQUIL[[#This Row],[Stock Actual Unds]]*GUAYAQUIL[[#This Row],[Gramaje]]*GUAYAQUIL[[#This Row],[Conversión]]),"")</f>
        <v>793.80000000000007</v>
      </c>
      <c r="W131" s="270">
        <f t="shared" si="8"/>
        <v>4</v>
      </c>
      <c r="X131" s="32">
        <f t="shared" si="9"/>
        <v>0.9</v>
      </c>
      <c r="Y131" s="236">
        <f>IFERROR(VLOOKUP(GUAYAQUIL[[#This Row],[CODIGO]],MAESTRO!A:BI,21,FALSE),0)</f>
        <v>4.1744400000000006</v>
      </c>
      <c r="Z131" s="237">
        <f>+IFERROR(IF(GUAYAQUIL[[#This Row],[CODIGO]]="","",GUAYAQUIL[[#This Row],[COSTO UNIT base]]*GUAYAQUIL[[#This Row],[Conversión]]),"")</f>
        <v>4.1744400000000006</v>
      </c>
      <c r="AA131" s="236">
        <f>+IFERROR(IF(GUAYAQUIL[[#This Row],[CODIGO]]="","",GUAYAQUIL[[#This Row],[COSTO UNIT Conv]]*GUAYAQUIL[[#This Row],[Stock Actual Kgs]]),"")</f>
        <v>3313.6704720000007</v>
      </c>
      <c r="AB131" s="33">
        <f ca="1">+IFERROR(IF(GUAYAQUIL[[#This Row],[CODIGO]]="","",$J$3-O131),"")</f>
        <v>9</v>
      </c>
      <c r="AC131" s="34" t="str">
        <f ca="1">IF(GUAYAQUIL[[#This Row],[CODIGO]]="","",IF(S131&lt;=0,"CADUCADO",IF(AND(S131&gt;0,S131&lt;=21),"FECHA CORTA",IF(AND(S131&gt;=22,S131&lt;=26),"PROXIMOS FECHA CORTA", "VIGENTE"))))</f>
        <v>PROXIMOS FECHA CORTA</v>
      </c>
      <c r="AD131" s="37">
        <f>+IF(GUAYAQUIL[[#This Row],[CODIGO]]="","",GUAYAQUIL[[#This Row],[Stock Actual Unds]]*GUAYAQUIL[[#This Row],[Gramaje]]*GUAYAQUIL[[#This Row],[Conversión]])/1000</f>
        <v>0.79380000000000006</v>
      </c>
    </row>
    <row r="132" spans="1:30">
      <c r="A132" s="42" t="str">
        <f>+IFERROR(IF(GUAYAQUIL[[#This Row],[CODIGO]]="","",VLOOKUP(GUAYAQUIL[[#This Row],[CODIGO]],MAESTRO!$A:$J,10,FALSE)),"")</f>
        <v>SAN GABRIEL</v>
      </c>
      <c r="B132" s="42" t="str">
        <f>+IFERROR(IF(GUAYAQUIL[[#This Row],[CODIGO]]="","",VLOOKUP(GUAYAQUIL[[#This Row],[CODIGO]],MAESTRO!$A:$Q,17,FALSE)),"")</f>
        <v>QUESOS Y GRASAS</v>
      </c>
      <c r="C132" s="42" t="str">
        <f>+IFERROR(IF(GUAYAQUIL[[#This Row],[CODIGO]]="","",VLOOKUP(GUAYAQUIL[[#This Row],[CODIGO]],MAESTRO!$A:$BA,53,FALSE)),"")</f>
        <v xml:space="preserve">Esteban Montenegro                      </v>
      </c>
      <c r="D132" s="42" t="str">
        <f>+IFERROR(IF(GUAYAQUIL[[#This Row],[CODIGO]]="","",VLOOKUP(GUAYAQUIL[[#This Row],[CODIGO]],MAESTRO!$A:$D,4,FALSE)),"")</f>
        <v>QUESO MOZARELLA KIOSKO</v>
      </c>
      <c r="E132" s="42" t="str">
        <f>+IFERROR(IF(GUAYAQUIL[[#This Row],[CODIGO]]="","",VLOOKUP(GUAYAQUIL[[#This Row],[CODIGO]],MAESTRO!$A:$F,6,FALSE)),"")</f>
        <v>QUESO MOZARELLA KIOSKO BLOQUE</v>
      </c>
      <c r="F132" s="42" t="str">
        <f>IF(GUAYAQUIL[[#This Row],[CODIGO]]="","",$K$6)</f>
        <v>GUAYAQUIL</v>
      </c>
      <c r="G132" s="42">
        <f>IF(GUAYAQUIL[[#This Row],[CODIGO]]="","",7711)</f>
        <v>7711</v>
      </c>
      <c r="H132" s="42">
        <f>IF(GUAYAQUIL[[#This Row],[CODIGO]]="","",1001)</f>
        <v>1001</v>
      </c>
      <c r="I132" s="258" t="s">
        <v>4508</v>
      </c>
      <c r="J132" s="25" t="str">
        <f>IFERROR((VLOOKUP(GUAYAQUIL[[#This Row],[CODIGO]],MAESTRO!A:B,2,FALSE)),"")</f>
        <v>Q MOZAR KIOSKO BLOQ 900G</v>
      </c>
      <c r="K132" s="35">
        <v>546</v>
      </c>
      <c r="L132" s="205">
        <f>+IFERROR(IF(GUAYAQUIL[[#This Row],[CODIGO]]="","",VLOOKUP(GUAYAQUIL[[#This Row],[CODIGO]],MAESTRO!$A:$BF,58,FALSE)),"")</f>
        <v>1</v>
      </c>
      <c r="M132" s="27">
        <f>+IFERROR(IF(GUAYAQUIL[[#This Row],[CODIGO]]="","",VLOOKUP(GUAYAQUIL[[#This Row],[CODIGO]],MAESTRO!A:N,14,FALSE)),"")</f>
        <v>0.9</v>
      </c>
      <c r="N132" s="290">
        <f>+IFERROR(IF(GUAYAQUIL[[#This Row],[CODIGO]]="","",VLOOKUP(GUAYAQUIL[[#This Row],[CODIGO]],MAESTRO!A:P,16,FALSE)),"")</f>
        <v>40</v>
      </c>
      <c r="O132" s="45">
        <v>45616</v>
      </c>
      <c r="P132" s="292" t="str">
        <f t="shared" si="5"/>
        <v>miércoles</v>
      </c>
      <c r="Q132" s="278">
        <f>IFERROR(IF(GUAYAQUIL[[#This Row],[CODIGO]]="","",IF(GUAYAQUIL[[#This Row],[Fecha Cad]]="","",(GUAYAQUIL[[#This Row],[Fecha Cad]]-GUAYAQUIL[[#This Row],[VIDA UTIL (Días)]]))+1),"")</f>
        <v>45612</v>
      </c>
      <c r="R132" s="45">
        <v>45651</v>
      </c>
      <c r="S132" s="30">
        <f t="shared" ca="1" si="6"/>
        <v>27</v>
      </c>
      <c r="T132" s="294">
        <f t="shared" ca="1" si="7"/>
        <v>0.67500000000000004</v>
      </c>
      <c r="U132" s="286">
        <v>546</v>
      </c>
      <c r="V132" s="262">
        <f>+IFERROR(IF(GUAYAQUIL[[#This Row],[CODIGO]]="","",GUAYAQUIL[[#This Row],[Stock Actual Unds]]*GUAYAQUIL[[#This Row],[Gramaje]]*GUAYAQUIL[[#This Row],[Conversión]]),"")</f>
        <v>491.40000000000003</v>
      </c>
      <c r="W132" s="299">
        <f t="shared" si="8"/>
        <v>4</v>
      </c>
      <c r="X132" s="44">
        <f t="shared" si="9"/>
        <v>0.9</v>
      </c>
      <c r="Y132" s="236">
        <f>IFERROR(VLOOKUP(GUAYAQUIL[[#This Row],[CODIGO]],MAESTRO!A:BI,21,FALSE),0)</f>
        <v>4.1744400000000006</v>
      </c>
      <c r="Z132" s="237">
        <f>+IFERROR(IF(GUAYAQUIL[[#This Row],[CODIGO]]="","",GUAYAQUIL[[#This Row],[COSTO UNIT base]]*GUAYAQUIL[[#This Row],[Conversión]]),"")</f>
        <v>4.1744400000000006</v>
      </c>
      <c r="AA132" s="236">
        <f>+IFERROR(IF(GUAYAQUIL[[#This Row],[CODIGO]]="","",GUAYAQUIL[[#This Row],[COSTO UNIT Conv]]*GUAYAQUIL[[#This Row],[Stock Actual Kgs]]),"")</f>
        <v>2051.3198160000006</v>
      </c>
      <c r="AB132" s="180">
        <f ca="1">+IFERROR(IF(GUAYAQUIL[[#This Row],[CODIGO]]="","",$J$3-O132),"")</f>
        <v>8</v>
      </c>
      <c r="AC132" s="35" t="str">
        <f ca="1">IF(GUAYAQUIL[[#This Row],[CODIGO]]="","",IF(S132&lt;=0,"CADUCADO",IF(AND(S132&gt;0,S132&lt;=21),"FECHA CORTA",IF(AND(S132&gt;=22,S132&lt;=26),"PROXIMOS FECHA CORTA", "VIGENTE"))))</f>
        <v>VIGENTE</v>
      </c>
      <c r="AD132" s="37">
        <f>+IF(GUAYAQUIL[[#This Row],[CODIGO]]="","",GUAYAQUIL[[#This Row],[Stock Actual Unds]]*GUAYAQUIL[[#This Row],[Gramaje]]*GUAYAQUIL[[#This Row],[Conversión]])/1000</f>
        <v>0.49140000000000006</v>
      </c>
    </row>
    <row r="133" spans="1:30">
      <c r="A133" s="42" t="str">
        <f>+IFERROR(IF(GUAYAQUIL[[#This Row],[CODIGO]]="","",VLOOKUP(GUAYAQUIL[[#This Row],[CODIGO]],MAESTRO!$A:$J,10,FALSE)),"")</f>
        <v>SAN GABRIEL</v>
      </c>
      <c r="B133" s="42" t="str">
        <f>+IFERROR(IF(GUAYAQUIL[[#This Row],[CODIGO]]="","",VLOOKUP(GUAYAQUIL[[#This Row],[CODIGO]],MAESTRO!$A:$Q,17,FALSE)),"")</f>
        <v>QUESOS Y GRASAS</v>
      </c>
      <c r="C133" s="42" t="str">
        <f>+IFERROR(IF(GUAYAQUIL[[#This Row],[CODIGO]]="","",VLOOKUP(GUAYAQUIL[[#This Row],[CODIGO]],MAESTRO!$A:$BA,53,FALSE)),"")</f>
        <v xml:space="preserve">Esteban Montenegro                      </v>
      </c>
      <c r="D133" s="42" t="str">
        <f>+IFERROR(IF(GUAYAQUIL[[#This Row],[CODIGO]]="","",VLOOKUP(GUAYAQUIL[[#This Row],[CODIGO]],MAESTRO!$A:$D,4,FALSE)),"")</f>
        <v>QUESO MOZARELLA KIOSKO</v>
      </c>
      <c r="E133" s="42" t="str">
        <f>+IFERROR(IF(GUAYAQUIL[[#This Row],[CODIGO]]="","",VLOOKUP(GUAYAQUIL[[#This Row],[CODIGO]],MAESTRO!$A:$F,6,FALSE)),"")</f>
        <v>QUESO MOZARELLA KIOSKO BLOQUE</v>
      </c>
      <c r="F133" s="42" t="str">
        <f>IF(GUAYAQUIL[[#This Row],[CODIGO]]="","",$K$6)</f>
        <v>GUAYAQUIL</v>
      </c>
      <c r="G133" s="42">
        <f>IF(GUAYAQUIL[[#This Row],[CODIGO]]="","",7711)</f>
        <v>7711</v>
      </c>
      <c r="H133" s="42">
        <f>IF(GUAYAQUIL[[#This Row],[CODIGO]]="","",1001)</f>
        <v>1001</v>
      </c>
      <c r="I133" s="258" t="s">
        <v>4508</v>
      </c>
      <c r="J133" s="25" t="str">
        <f>IFERROR((VLOOKUP(GUAYAQUIL[[#This Row],[CODIGO]],MAESTRO!A:B,2,FALSE)),"")</f>
        <v>Q MOZAR KIOSKO BLOQ 900G</v>
      </c>
      <c r="K133" s="35">
        <v>630</v>
      </c>
      <c r="L133" s="205">
        <f>+IFERROR(IF(GUAYAQUIL[[#This Row],[CODIGO]]="","",VLOOKUP(GUAYAQUIL[[#This Row],[CODIGO]],MAESTRO!$A:$BF,58,FALSE)),"")</f>
        <v>1</v>
      </c>
      <c r="M133" s="27">
        <f>+IFERROR(IF(GUAYAQUIL[[#This Row],[CODIGO]]="","",VLOOKUP(GUAYAQUIL[[#This Row],[CODIGO]],MAESTRO!A:N,14,FALSE)),"")</f>
        <v>0.9</v>
      </c>
      <c r="N133" s="290">
        <f>+IFERROR(IF(GUAYAQUIL[[#This Row],[CODIGO]]="","",VLOOKUP(GUAYAQUIL[[#This Row],[CODIGO]],MAESTRO!A:P,16,FALSE)),"")</f>
        <v>40</v>
      </c>
      <c r="O133" s="45">
        <v>45617</v>
      </c>
      <c r="P133" s="292" t="str">
        <f t="shared" si="5"/>
        <v>jueves</v>
      </c>
      <c r="Q133" s="278">
        <f>IFERROR(IF(GUAYAQUIL[[#This Row],[CODIGO]]="","",IF(GUAYAQUIL[[#This Row],[Fecha Cad]]="","",(GUAYAQUIL[[#This Row],[Fecha Cad]]-GUAYAQUIL[[#This Row],[VIDA UTIL (Días)]]))+1),"")</f>
        <v>45615</v>
      </c>
      <c r="R133" s="45">
        <v>45654</v>
      </c>
      <c r="S133" s="30">
        <f t="shared" ca="1" si="6"/>
        <v>30</v>
      </c>
      <c r="T133" s="294">
        <f t="shared" ca="1" si="7"/>
        <v>0.75</v>
      </c>
      <c r="U133" s="286">
        <v>630</v>
      </c>
      <c r="V133" s="262">
        <f>+IFERROR(IF(GUAYAQUIL[[#This Row],[CODIGO]]="","",GUAYAQUIL[[#This Row],[Stock Actual Unds]]*GUAYAQUIL[[#This Row],[Gramaje]]*GUAYAQUIL[[#This Row],[Conversión]]),"")</f>
        <v>567</v>
      </c>
      <c r="W133" s="299">
        <f t="shared" si="8"/>
        <v>2</v>
      </c>
      <c r="X133" s="44">
        <f t="shared" si="9"/>
        <v>0.95</v>
      </c>
      <c r="Y133" s="236">
        <f>IFERROR(VLOOKUP(GUAYAQUIL[[#This Row],[CODIGO]],MAESTRO!A:BI,21,FALSE),0)</f>
        <v>4.1744400000000006</v>
      </c>
      <c r="Z133" s="237">
        <f>+IFERROR(IF(GUAYAQUIL[[#This Row],[CODIGO]]="","",GUAYAQUIL[[#This Row],[COSTO UNIT base]]*GUAYAQUIL[[#This Row],[Conversión]]),"")</f>
        <v>4.1744400000000006</v>
      </c>
      <c r="AA133" s="236">
        <f>+IFERROR(IF(GUAYAQUIL[[#This Row],[CODIGO]]="","",GUAYAQUIL[[#This Row],[COSTO UNIT Conv]]*GUAYAQUIL[[#This Row],[Stock Actual Kgs]]),"")</f>
        <v>2366.9074800000003</v>
      </c>
      <c r="AB133" s="180">
        <f ca="1">+IFERROR(IF(GUAYAQUIL[[#This Row],[CODIGO]]="","",$J$3-O133),"")</f>
        <v>7</v>
      </c>
      <c r="AC133" s="35" t="str">
        <f ca="1">IF(GUAYAQUIL[[#This Row],[CODIGO]]="","",IF(S133&lt;=0,"CADUCADO",IF(AND(S133&gt;0,S133&lt;=21),"FECHA CORTA",IF(AND(S133&gt;=22,S133&lt;=26),"PROXIMOS FECHA CORTA", "VIGENTE"))))</f>
        <v>VIGENTE</v>
      </c>
      <c r="AD133" s="37">
        <f>+IF(GUAYAQUIL[[#This Row],[CODIGO]]="","",GUAYAQUIL[[#This Row],[Stock Actual Unds]]*GUAYAQUIL[[#This Row],[Gramaje]]*GUAYAQUIL[[#This Row],[Conversión]])/1000</f>
        <v>0.56699999999999995</v>
      </c>
    </row>
    <row r="134" spans="1:30">
      <c r="A134" s="24" t="str">
        <f>+IFERROR(IF(GUAYAQUIL[[#This Row],[CODIGO]]="","",VLOOKUP(GUAYAQUIL[[#This Row],[CODIGO]],MAESTRO!$A:$J,10,FALSE)),"")</f>
        <v>SAN GABRIEL</v>
      </c>
      <c r="B134" s="24" t="str">
        <f>+IFERROR(IF(GUAYAQUIL[[#This Row],[CODIGO]]="","",VLOOKUP(GUAYAQUIL[[#This Row],[CODIGO]],MAESTRO!$A:$Q,17,FALSE)),"")</f>
        <v>QUESOS Y GRASAS</v>
      </c>
      <c r="C134" s="24" t="str">
        <f>+IFERROR(IF(GUAYAQUIL[[#This Row],[CODIGO]]="","",VLOOKUP(GUAYAQUIL[[#This Row],[CODIGO]],MAESTRO!$A:$BA,53,FALSE)),"")</f>
        <v xml:space="preserve">Esteban Montenegro                      </v>
      </c>
      <c r="D134" s="24" t="str">
        <f>+IFERROR(IF(GUAYAQUIL[[#This Row],[CODIGO]]="","",VLOOKUP(GUAYAQUIL[[#This Row],[CODIGO]],MAESTRO!$A:$D,4,FALSE)),"")</f>
        <v>QUESO MOZARELLA KIOSKO</v>
      </c>
      <c r="E134" s="24" t="str">
        <f>+IFERROR(IF(GUAYAQUIL[[#This Row],[CODIGO]]="","",VLOOKUP(GUAYAQUIL[[#This Row],[CODIGO]],MAESTRO!$A:$F,6,FALSE)),"")</f>
        <v>QUESO MOZARELLA LIGHT KIOSKO BLOQUE</v>
      </c>
      <c r="F134" s="42" t="str">
        <f>IF(GUAYAQUIL[[#This Row],[CODIGO]]="","",$K$6)</f>
        <v>GUAYAQUIL</v>
      </c>
      <c r="G134" s="42">
        <f>IF(GUAYAQUIL[[#This Row],[CODIGO]]="","",7711)</f>
        <v>7711</v>
      </c>
      <c r="H134" s="42">
        <f>IF(GUAYAQUIL[[#This Row],[CODIGO]]="","",1001)</f>
        <v>1001</v>
      </c>
      <c r="I134" s="258" t="s">
        <v>1797</v>
      </c>
      <c r="J134" s="25" t="str">
        <f>IFERROR((VLOOKUP(GUAYAQUIL[[#This Row],[CODIGO]],MAESTRO!A:B,2,FALSE)),"")</f>
        <v>Q MOZAR LGHT KIOSKO BLOQ 500G</v>
      </c>
      <c r="K134" s="35">
        <v>450</v>
      </c>
      <c r="L134" s="38">
        <f>+IFERROR(IF(GUAYAQUIL[[#This Row],[CODIGO]]="","",VLOOKUP(GUAYAQUIL[[#This Row],[CODIGO]],MAESTRO!$A:$BF,58,FALSE)),"")</f>
        <v>1</v>
      </c>
      <c r="M134" s="27">
        <f>+IFERROR(IF(GUAYAQUIL[[#This Row],[CODIGO]]="","",VLOOKUP(GUAYAQUIL[[#This Row],[CODIGO]],MAESTRO!A:N,14,FALSE)),"")</f>
        <v>0.5</v>
      </c>
      <c r="N134" s="28">
        <f>+IFERROR(IF(GUAYAQUIL[[#This Row],[CODIGO]]="","",VLOOKUP(GUAYAQUIL[[#This Row],[CODIGO]],MAESTRO!A:P,16,FALSE)),"")</f>
        <v>40</v>
      </c>
      <c r="O134" s="45">
        <v>45615</v>
      </c>
      <c r="P134" s="72" t="str">
        <f t="shared" si="5"/>
        <v>martes</v>
      </c>
      <c r="Q134" s="29">
        <f>IFERROR(IF(GUAYAQUIL[[#This Row],[CODIGO]]="","",IF(GUAYAQUIL[[#This Row],[Fecha Cad]]="","",(GUAYAQUIL[[#This Row],[Fecha Cad]]-GUAYAQUIL[[#This Row],[VIDA UTIL (Días)]]))+1),"")</f>
        <v>45611</v>
      </c>
      <c r="R134" s="45">
        <v>45650</v>
      </c>
      <c r="S134" s="30">
        <f t="shared" ca="1" si="6"/>
        <v>26</v>
      </c>
      <c r="T134" s="31">
        <f t="shared" ca="1" si="7"/>
        <v>0.65</v>
      </c>
      <c r="U134" s="286">
        <v>318</v>
      </c>
      <c r="V134" s="262">
        <f>+IFERROR(IF(GUAYAQUIL[[#This Row],[CODIGO]]="","",GUAYAQUIL[[#This Row],[Stock Actual Unds]]*GUAYAQUIL[[#This Row],[Gramaje]]*GUAYAQUIL[[#This Row],[Conversión]]),"")</f>
        <v>159</v>
      </c>
      <c r="W134" s="270">
        <f t="shared" si="8"/>
        <v>4</v>
      </c>
      <c r="X134" s="32">
        <f t="shared" si="9"/>
        <v>0.9</v>
      </c>
      <c r="Y134" s="236">
        <f>IFERROR(VLOOKUP(GUAYAQUIL[[#This Row],[CODIGO]],MAESTRO!A:BI,21,FALSE),0)</f>
        <v>2.755735</v>
      </c>
      <c r="Z134" s="237">
        <f>+IFERROR(IF(GUAYAQUIL[[#This Row],[CODIGO]]="","",GUAYAQUIL[[#This Row],[COSTO UNIT base]]*GUAYAQUIL[[#This Row],[Conversión]]),"")</f>
        <v>2.755735</v>
      </c>
      <c r="AA134" s="236">
        <f>+IFERROR(IF(GUAYAQUIL[[#This Row],[CODIGO]]="","",GUAYAQUIL[[#This Row],[COSTO UNIT Conv]]*GUAYAQUIL[[#This Row],[Stock Actual Kgs]]),"")</f>
        <v>438.16186500000003</v>
      </c>
      <c r="AB134" s="33">
        <f ca="1">+IFERROR(IF(GUAYAQUIL[[#This Row],[CODIGO]]="","",$J$3-O134),"")</f>
        <v>9</v>
      </c>
      <c r="AC134" s="34" t="str">
        <f ca="1">IF(GUAYAQUIL[[#This Row],[CODIGO]]="","",IF(S134&lt;=0,"CADUCADO",IF(AND(S134&gt;0,S134&lt;=21),"FECHA CORTA",IF(AND(S134&gt;=22,S134&lt;=26),"PROXIMOS FECHA CORTA", "VIGENTE"))))</f>
        <v>PROXIMOS FECHA CORTA</v>
      </c>
      <c r="AD134" s="37">
        <f>+IF(GUAYAQUIL[[#This Row],[CODIGO]]="","",GUAYAQUIL[[#This Row],[Stock Actual Unds]]*GUAYAQUIL[[#This Row],[Gramaje]]*GUAYAQUIL[[#This Row],[Conversión]])/1000</f>
        <v>0.159</v>
      </c>
    </row>
    <row r="135" spans="1:30">
      <c r="A135" s="24" t="str">
        <f>+IFERROR(IF(GUAYAQUIL[[#This Row],[CODIGO]]="","",VLOOKUP(GUAYAQUIL[[#This Row],[CODIGO]],MAESTRO!$A:$J,10,FALSE)),"")</f>
        <v>SAN GABRIEL</v>
      </c>
      <c r="B135" s="24" t="str">
        <f>+IFERROR(IF(GUAYAQUIL[[#This Row],[CODIGO]]="","",VLOOKUP(GUAYAQUIL[[#This Row],[CODIGO]],MAESTRO!$A:$Q,17,FALSE)),"")</f>
        <v>QUESOS Y GRASAS</v>
      </c>
      <c r="C135" s="24" t="str">
        <f>+IFERROR(IF(GUAYAQUIL[[#This Row],[CODIGO]]="","",VLOOKUP(GUAYAQUIL[[#This Row],[CODIGO]],MAESTRO!$A:$BA,53,FALSE)),"")</f>
        <v xml:space="preserve">Esteban Montenegro                      </v>
      </c>
      <c r="D135" s="24" t="str">
        <f>+IFERROR(IF(GUAYAQUIL[[#This Row],[CODIGO]]="","",VLOOKUP(GUAYAQUIL[[#This Row],[CODIGO]],MAESTRO!$A:$D,4,FALSE)),"")</f>
        <v>QUESO MOZARELLA KIOSKO</v>
      </c>
      <c r="E135" s="24" t="str">
        <f>+IFERROR(IF(GUAYAQUIL[[#This Row],[CODIGO]]="","",VLOOKUP(GUAYAQUIL[[#This Row],[CODIGO]],MAESTRO!$A:$F,6,FALSE)),"")</f>
        <v>QUESO MOZARELLA LIGHT KIOSKO BLOQUE</v>
      </c>
      <c r="F135" s="42" t="str">
        <f>IF(GUAYAQUIL[[#This Row],[CODIGO]]="","",$K$6)</f>
        <v>GUAYAQUIL</v>
      </c>
      <c r="G135" s="209">
        <f>IF(GUAYAQUIL[[#This Row],[CODIGO]]="","",7711)</f>
        <v>7711</v>
      </c>
      <c r="H135" s="209">
        <f>IF(GUAYAQUIL[[#This Row],[CODIGO]]="","",1001)</f>
        <v>1001</v>
      </c>
      <c r="I135" s="258" t="s">
        <v>1797</v>
      </c>
      <c r="J135" s="25" t="str">
        <f>IFERROR((VLOOKUP(GUAYAQUIL[[#This Row],[CODIGO]],MAESTRO!A:B,2,FALSE)),"")</f>
        <v>Q MOZAR LGHT KIOSKO BLOQ 500G</v>
      </c>
      <c r="K135" s="35">
        <v>135</v>
      </c>
      <c r="L135" s="38">
        <f>+IFERROR(IF(GUAYAQUIL[[#This Row],[CODIGO]]="","",VLOOKUP(GUAYAQUIL[[#This Row],[CODIGO]],MAESTRO!$A:$BF,58,FALSE)),"")</f>
        <v>1</v>
      </c>
      <c r="M135" s="27">
        <f>+IFERROR(IF(GUAYAQUIL[[#This Row],[CODIGO]]="","",VLOOKUP(GUAYAQUIL[[#This Row],[CODIGO]],MAESTRO!A:N,14,FALSE)),"")</f>
        <v>0.5</v>
      </c>
      <c r="N135" s="28">
        <f>+IFERROR(IF(GUAYAQUIL[[#This Row],[CODIGO]]="","",VLOOKUP(GUAYAQUIL[[#This Row],[CODIGO]],MAESTRO!A:P,16,FALSE)),"")</f>
        <v>40</v>
      </c>
      <c r="O135" s="45">
        <v>45616</v>
      </c>
      <c r="P135" s="72" t="str">
        <f t="shared" si="5"/>
        <v>miércoles</v>
      </c>
      <c r="Q135" s="29">
        <f>IFERROR(IF(GUAYAQUIL[[#This Row],[CODIGO]]="","",IF(GUAYAQUIL[[#This Row],[Fecha Cad]]="","",(GUAYAQUIL[[#This Row],[Fecha Cad]]-GUAYAQUIL[[#This Row],[VIDA UTIL (Días)]]))+1),"")</f>
        <v>45612</v>
      </c>
      <c r="R135" s="45">
        <v>45651</v>
      </c>
      <c r="S135" s="30">
        <f t="shared" ca="1" si="6"/>
        <v>27</v>
      </c>
      <c r="T135" s="31">
        <f t="shared" ca="1" si="7"/>
        <v>0.67500000000000004</v>
      </c>
      <c r="U135" s="286">
        <v>135</v>
      </c>
      <c r="V135" s="262">
        <f>+IFERROR(IF(GUAYAQUIL[[#This Row],[CODIGO]]="","",GUAYAQUIL[[#This Row],[Stock Actual Unds]]*GUAYAQUIL[[#This Row],[Gramaje]]*GUAYAQUIL[[#This Row],[Conversión]]),"")</f>
        <v>67.5</v>
      </c>
      <c r="W135" s="270">
        <f t="shared" si="8"/>
        <v>4</v>
      </c>
      <c r="X135" s="32">
        <f t="shared" si="9"/>
        <v>0.9</v>
      </c>
      <c r="Y135" s="236">
        <f>IFERROR(VLOOKUP(GUAYAQUIL[[#This Row],[CODIGO]],MAESTRO!A:BI,21,FALSE),0)</f>
        <v>2.755735</v>
      </c>
      <c r="Z135" s="237">
        <f>+IFERROR(IF(GUAYAQUIL[[#This Row],[CODIGO]]="","",GUAYAQUIL[[#This Row],[COSTO UNIT base]]*GUAYAQUIL[[#This Row],[Conversión]]),"")</f>
        <v>2.755735</v>
      </c>
      <c r="AA135" s="236">
        <f>+IFERROR(IF(GUAYAQUIL[[#This Row],[CODIGO]]="","",GUAYAQUIL[[#This Row],[COSTO UNIT Conv]]*GUAYAQUIL[[#This Row],[Stock Actual Kgs]]),"")</f>
        <v>186.0121125</v>
      </c>
      <c r="AB135" s="33">
        <f ca="1">+IFERROR(IF(GUAYAQUIL[[#This Row],[CODIGO]]="","",$J$3-O135),"")</f>
        <v>8</v>
      </c>
      <c r="AC135" s="34" t="str">
        <f ca="1">IF(GUAYAQUIL[[#This Row],[CODIGO]]="","",IF(S135&lt;=0,"CADUCADO",IF(AND(S135&gt;0,S135&lt;=21),"FECHA CORTA",IF(AND(S135&gt;=22,S135&lt;=26),"PROXIMOS FECHA CORTA", "VIGENTE"))))</f>
        <v>VIGENTE</v>
      </c>
      <c r="AD135" s="37">
        <f>+IF(GUAYAQUIL[[#This Row],[CODIGO]]="","",GUAYAQUIL[[#This Row],[Stock Actual Unds]]*GUAYAQUIL[[#This Row],[Gramaje]]*GUAYAQUIL[[#This Row],[Conversión]])/1000</f>
        <v>6.7500000000000004E-2</v>
      </c>
    </row>
    <row r="136" spans="1:30">
      <c r="A136" s="24" t="str">
        <f>+IFERROR(IF(GUAYAQUIL[[#This Row],[CODIGO]]="","",VLOOKUP(GUAYAQUIL[[#This Row],[CODIGO]],MAESTRO!$A:$J,10,FALSE)),"")</f>
        <v>SAN GABRIEL</v>
      </c>
      <c r="B136" s="24" t="str">
        <f>+IFERROR(IF(GUAYAQUIL[[#This Row],[CODIGO]]="","",VLOOKUP(GUAYAQUIL[[#This Row],[CODIGO]],MAESTRO!$A:$Q,17,FALSE)),"")</f>
        <v>QUESOS Y GRASAS</v>
      </c>
      <c r="C136" s="24" t="str">
        <f>+IFERROR(IF(GUAYAQUIL[[#This Row],[CODIGO]]="","",VLOOKUP(GUAYAQUIL[[#This Row],[CODIGO]],MAESTRO!$A:$BA,53,FALSE)),"")</f>
        <v xml:space="preserve">Esteban Montenegro                      </v>
      </c>
      <c r="D136" s="24" t="str">
        <f>+IFERROR(IF(GUAYAQUIL[[#This Row],[CODIGO]]="","",VLOOKUP(GUAYAQUIL[[#This Row],[CODIGO]],MAESTRO!$A:$D,4,FALSE)),"")</f>
        <v>QUESO MOZARELLA KIOSKO</v>
      </c>
      <c r="E136" s="24" t="str">
        <f>+IFERROR(IF(GUAYAQUIL[[#This Row],[CODIGO]]="","",VLOOKUP(GUAYAQUIL[[#This Row],[CODIGO]],MAESTRO!$A:$F,6,FALSE)),"")</f>
        <v>QUESO MOZARELLA LIGHT KIOSKO BLOQUE</v>
      </c>
      <c r="F136" s="42" t="str">
        <f>IF(GUAYAQUIL[[#This Row],[CODIGO]]="","",$K$6)</f>
        <v>GUAYAQUIL</v>
      </c>
      <c r="G136" s="42">
        <f>IF(GUAYAQUIL[[#This Row],[CODIGO]]="","",7711)</f>
        <v>7711</v>
      </c>
      <c r="H136" s="42">
        <f>IF(GUAYAQUIL[[#This Row],[CODIGO]]="","",1001)</f>
        <v>1001</v>
      </c>
      <c r="I136" s="258" t="s">
        <v>1797</v>
      </c>
      <c r="J136" s="25" t="str">
        <f>IFERROR((VLOOKUP(GUAYAQUIL[[#This Row],[CODIGO]],MAESTRO!A:B,2,FALSE)),"")</f>
        <v>Q MOZAR LGHT KIOSKO BLOQ 500G</v>
      </c>
      <c r="K136" s="35">
        <v>270</v>
      </c>
      <c r="L136" s="38">
        <f>+IFERROR(IF(GUAYAQUIL[[#This Row],[CODIGO]]="","",VLOOKUP(GUAYAQUIL[[#This Row],[CODIGO]],MAESTRO!$A:$BF,58,FALSE)),"")</f>
        <v>1</v>
      </c>
      <c r="M136" s="27">
        <f>+IFERROR(IF(GUAYAQUIL[[#This Row],[CODIGO]]="","",VLOOKUP(GUAYAQUIL[[#This Row],[CODIGO]],MAESTRO!A:N,14,FALSE)),"")</f>
        <v>0.5</v>
      </c>
      <c r="N136" s="28">
        <f>+IFERROR(IF(GUAYAQUIL[[#This Row],[CODIGO]]="","",VLOOKUP(GUAYAQUIL[[#This Row],[CODIGO]],MAESTRO!A:P,16,FALSE)),"")</f>
        <v>40</v>
      </c>
      <c r="O136" s="45">
        <v>45617</v>
      </c>
      <c r="P136" s="72" t="str">
        <f t="shared" ref="P136:P199" si="10">+IF(R136="","",TEXT(O136,"dddd"))</f>
        <v>jueves</v>
      </c>
      <c r="Q136" s="29">
        <f>IFERROR(IF(GUAYAQUIL[[#This Row],[CODIGO]]="","",IF(GUAYAQUIL[[#This Row],[Fecha Cad]]="","",(GUAYAQUIL[[#This Row],[Fecha Cad]]-GUAYAQUIL[[#This Row],[VIDA UTIL (Días)]]))+1),"")</f>
        <v>45612</v>
      </c>
      <c r="R136" s="45">
        <v>45651</v>
      </c>
      <c r="S136" s="30">
        <f t="shared" ref="S136:S199" ca="1" si="11">+IFERROR(IF(R136="","",R136-$J$3),0)</f>
        <v>27</v>
      </c>
      <c r="T136" s="31">
        <f t="shared" ref="T136:T199" ca="1" si="12">IFERROR(IF(8="","",S136/N136),0)</f>
        <v>0.67500000000000004</v>
      </c>
      <c r="U136" s="286">
        <v>270</v>
      </c>
      <c r="V136" s="262">
        <f>+IFERROR(IF(GUAYAQUIL[[#This Row],[CODIGO]]="","",GUAYAQUIL[[#This Row],[Stock Actual Unds]]*GUAYAQUIL[[#This Row],[Gramaje]]*GUAYAQUIL[[#This Row],[Conversión]]),"")</f>
        <v>135</v>
      </c>
      <c r="W136" s="270">
        <f t="shared" ref="W136:W199" si="13">IFERROR(O136-Q136,0)</f>
        <v>5</v>
      </c>
      <c r="X136" s="32">
        <f t="shared" ref="X136:X199" si="14">IF(I136="","",1-(W136/N136))</f>
        <v>0.875</v>
      </c>
      <c r="Y136" s="236">
        <f>IFERROR(VLOOKUP(GUAYAQUIL[[#This Row],[CODIGO]],MAESTRO!A:BI,21,FALSE),0)</f>
        <v>2.755735</v>
      </c>
      <c r="Z136" s="237">
        <f>+IFERROR(IF(GUAYAQUIL[[#This Row],[CODIGO]]="","",GUAYAQUIL[[#This Row],[COSTO UNIT base]]*GUAYAQUIL[[#This Row],[Conversión]]),"")</f>
        <v>2.755735</v>
      </c>
      <c r="AA136" s="236">
        <f>+IFERROR(IF(GUAYAQUIL[[#This Row],[CODIGO]]="","",GUAYAQUIL[[#This Row],[COSTO UNIT Conv]]*GUAYAQUIL[[#This Row],[Stock Actual Kgs]]),"")</f>
        <v>372.024225</v>
      </c>
      <c r="AB136" s="33">
        <f ca="1">+IFERROR(IF(GUAYAQUIL[[#This Row],[CODIGO]]="","",$J$3-O136),"")</f>
        <v>7</v>
      </c>
      <c r="AC136" s="34" t="str">
        <f ca="1">IF(GUAYAQUIL[[#This Row],[CODIGO]]="","",IF(S136&lt;=0,"CADUCADO",IF(AND(S136&gt;0,S136&lt;=21),"FECHA CORTA",IF(AND(S136&gt;=22,S136&lt;=26),"PROXIMOS FECHA CORTA", "VIGENTE"))))</f>
        <v>VIGENTE</v>
      </c>
      <c r="AD136" s="37">
        <f>+IF(GUAYAQUIL[[#This Row],[CODIGO]]="","",GUAYAQUIL[[#This Row],[Stock Actual Unds]]*GUAYAQUIL[[#This Row],[Gramaje]]*GUAYAQUIL[[#This Row],[Conversión]])/1000</f>
        <v>0.13500000000000001</v>
      </c>
    </row>
    <row r="137" spans="1:30">
      <c r="A137" s="24" t="str">
        <f>+IFERROR(IF(GUAYAQUIL[[#This Row],[CODIGO]]="","",VLOOKUP(GUAYAQUIL[[#This Row],[CODIGO]],MAESTRO!$A:$J,10,FALSE)),"")</f>
        <v>SAN GABRIEL</v>
      </c>
      <c r="B137" s="24" t="str">
        <f>+IFERROR(IF(GUAYAQUIL[[#This Row],[CODIGO]]="","",VLOOKUP(GUAYAQUIL[[#This Row],[CODIGO]],MAESTRO!$A:$Q,17,FALSE)),"")</f>
        <v>QUESOS Y GRASAS</v>
      </c>
      <c r="C137" s="24" t="str">
        <f>+IFERROR(IF(GUAYAQUIL[[#This Row],[CODIGO]]="","",VLOOKUP(GUAYAQUIL[[#This Row],[CODIGO]],MAESTRO!$A:$BA,53,FALSE)),"")</f>
        <v xml:space="preserve">Esteban Montenegro                      </v>
      </c>
      <c r="D137" s="24" t="str">
        <f>+IFERROR(IF(GUAYAQUIL[[#This Row],[CODIGO]]="","",VLOOKUP(GUAYAQUIL[[#This Row],[CODIGO]],MAESTRO!$A:$D,4,FALSE)),"")</f>
        <v>QUESO SEMIMADURO KIOSKO</v>
      </c>
      <c r="E137" s="24" t="str">
        <f>+IFERROR(IF(GUAYAQUIL[[#This Row],[CODIGO]]="","",VLOOKUP(GUAYAQUIL[[#This Row],[CODIGO]],MAESTRO!$A:$F,6,FALSE)),"")</f>
        <v>QUESO GOUDA KIOSKO BLOQUE</v>
      </c>
      <c r="F137" s="42" t="str">
        <f>IF(GUAYAQUIL[[#This Row],[CODIGO]]="","",$K$6)</f>
        <v>GUAYAQUIL</v>
      </c>
      <c r="G137" s="42">
        <f>IF(GUAYAQUIL[[#This Row],[CODIGO]]="","",7711)</f>
        <v>7711</v>
      </c>
      <c r="H137" s="42">
        <f>IF(GUAYAQUIL[[#This Row],[CODIGO]]="","",1001)</f>
        <v>1001</v>
      </c>
      <c r="I137" s="258" t="s">
        <v>3878</v>
      </c>
      <c r="J137" s="25" t="str">
        <f>IFERROR((VLOOKUP(GUAYAQUIL[[#This Row],[CODIGO]],MAESTRO!A:B,2,FALSE)),"")</f>
        <v>Q GOUDA KIOSKO BLOQ 350G</v>
      </c>
      <c r="K137" s="35">
        <v>108</v>
      </c>
      <c r="L137" s="38">
        <f>+IFERROR(IF(GUAYAQUIL[[#This Row],[CODIGO]]="","",VLOOKUP(GUAYAQUIL[[#This Row],[CODIGO]],MAESTRO!$A:$BF,58,FALSE)),"")</f>
        <v>1</v>
      </c>
      <c r="M137" s="27">
        <f>+IFERROR(IF(GUAYAQUIL[[#This Row],[CODIGO]]="","",VLOOKUP(GUAYAQUIL[[#This Row],[CODIGO]],MAESTRO!A:N,14,FALSE)),"")</f>
        <v>0.35</v>
      </c>
      <c r="N137" s="28">
        <f>+IFERROR(IF(GUAYAQUIL[[#This Row],[CODIGO]]="","",VLOOKUP(GUAYAQUIL[[#This Row],[CODIGO]],MAESTRO!A:P,16,FALSE)),"")</f>
        <v>60</v>
      </c>
      <c r="O137" s="45">
        <v>45611</v>
      </c>
      <c r="P137" s="72" t="str">
        <f t="shared" si="10"/>
        <v>viernes</v>
      </c>
      <c r="Q137" s="29">
        <f>IFERROR(IF(GUAYAQUIL[[#This Row],[CODIGO]]="","",IF(GUAYAQUIL[[#This Row],[Fecha Cad]]="","",(GUAYAQUIL[[#This Row],[Fecha Cad]]-GUAYAQUIL[[#This Row],[VIDA UTIL (Días)]]))+1),"")</f>
        <v>45609</v>
      </c>
      <c r="R137" s="45">
        <v>45668</v>
      </c>
      <c r="S137" s="30">
        <f t="shared" ca="1" si="11"/>
        <v>44</v>
      </c>
      <c r="T137" s="31">
        <f t="shared" ca="1" si="12"/>
        <v>0.73333333333333328</v>
      </c>
      <c r="U137" s="286">
        <v>17</v>
      </c>
      <c r="V137" s="262">
        <f>+IFERROR(IF(GUAYAQUIL[[#This Row],[CODIGO]]="","",GUAYAQUIL[[#This Row],[Stock Actual Unds]]*GUAYAQUIL[[#This Row],[Gramaje]]*GUAYAQUIL[[#This Row],[Conversión]]),"")</f>
        <v>5.9499999999999993</v>
      </c>
      <c r="W137" s="270">
        <f t="shared" si="13"/>
        <v>2</v>
      </c>
      <c r="X137" s="32">
        <f t="shared" si="14"/>
        <v>0.96666666666666667</v>
      </c>
      <c r="Y137" s="236">
        <f>IFERROR(VLOOKUP(GUAYAQUIL[[#This Row],[CODIGO]],MAESTRO!A:BI,21,FALSE),0)</f>
        <v>2.4922949999999999</v>
      </c>
      <c r="Z137" s="237">
        <f>+IFERROR(IF(GUAYAQUIL[[#This Row],[CODIGO]]="","",GUAYAQUIL[[#This Row],[COSTO UNIT base]]*GUAYAQUIL[[#This Row],[Conversión]]),"")</f>
        <v>2.4922949999999999</v>
      </c>
      <c r="AA137" s="236">
        <f>+IFERROR(IF(GUAYAQUIL[[#This Row],[CODIGO]]="","",GUAYAQUIL[[#This Row],[COSTO UNIT Conv]]*GUAYAQUIL[[#This Row],[Stock Actual Kgs]]),"")</f>
        <v>14.829155249999998</v>
      </c>
      <c r="AB137" s="33">
        <f ca="1">+IFERROR(IF(GUAYAQUIL[[#This Row],[CODIGO]]="","",$J$3-O137),"")</f>
        <v>13</v>
      </c>
      <c r="AC137" s="34" t="str">
        <f ca="1">IF(GUAYAQUIL[[#This Row],[CODIGO]]="","",IF(S137&lt;=0,"CADUCADO",IF(AND(S137&gt;0,S137&lt;=21),"FECHA CORTA",IF(AND(S137&gt;=22,S137&lt;=26),"PROXIMOS FECHA CORTA", "VIGENTE"))))</f>
        <v>VIGENTE</v>
      </c>
      <c r="AD137" s="37">
        <f>+IF(GUAYAQUIL[[#This Row],[CODIGO]]="","",GUAYAQUIL[[#This Row],[Stock Actual Unds]]*GUAYAQUIL[[#This Row],[Gramaje]]*GUAYAQUIL[[#This Row],[Conversión]])/1000</f>
        <v>5.9499999999999996E-3</v>
      </c>
    </row>
    <row r="138" spans="1:30">
      <c r="A138" s="24" t="str">
        <f>+IFERROR(IF(GUAYAQUIL[[#This Row],[CODIGO]]="","",VLOOKUP(GUAYAQUIL[[#This Row],[CODIGO]],MAESTRO!$A:$J,10,FALSE)),"")</f>
        <v>SAN GABRIEL</v>
      </c>
      <c r="B138" s="24" t="str">
        <f>+IFERROR(IF(GUAYAQUIL[[#This Row],[CODIGO]]="","",VLOOKUP(GUAYAQUIL[[#This Row],[CODIGO]],MAESTRO!$A:$Q,17,FALSE)),"")</f>
        <v>QUESOS Y GRASAS</v>
      </c>
      <c r="C138" s="24" t="str">
        <f>+IFERROR(IF(GUAYAQUIL[[#This Row],[CODIGO]]="","",VLOOKUP(GUAYAQUIL[[#This Row],[CODIGO]],MAESTRO!$A:$BA,53,FALSE)),"")</f>
        <v xml:space="preserve">Esteban Montenegro                      </v>
      </c>
      <c r="D138" s="24" t="str">
        <f>+IFERROR(IF(GUAYAQUIL[[#This Row],[CODIGO]]="","",VLOOKUP(GUAYAQUIL[[#This Row],[CODIGO]],MAESTRO!$A:$D,4,FALSE)),"")</f>
        <v>QUESO SEMIMADURO KIOSKO</v>
      </c>
      <c r="E138" s="24" t="str">
        <f>+IFERROR(IF(GUAYAQUIL[[#This Row],[CODIGO]]="","",VLOOKUP(GUAYAQUIL[[#This Row],[CODIGO]],MAESTRO!$A:$F,6,FALSE)),"")</f>
        <v>QUESO GOUDA KIOSKO BLOQUE</v>
      </c>
      <c r="F138" s="42" t="str">
        <f>IF(GUAYAQUIL[[#This Row],[CODIGO]]="","",$K$6)</f>
        <v>GUAYAQUIL</v>
      </c>
      <c r="G138" s="42">
        <f>IF(GUAYAQUIL[[#This Row],[CODIGO]]="","",7711)</f>
        <v>7711</v>
      </c>
      <c r="H138" s="42">
        <f>IF(GUAYAQUIL[[#This Row],[CODIGO]]="","",1001)</f>
        <v>1001</v>
      </c>
      <c r="I138" s="258" t="s">
        <v>3878</v>
      </c>
      <c r="J138" s="25" t="str">
        <f>IFERROR((VLOOKUP(GUAYAQUIL[[#This Row],[CODIGO]],MAESTRO!A:B,2,FALSE)),"")</f>
        <v>Q GOUDA KIOSKO BLOQ 350G</v>
      </c>
      <c r="K138" s="35">
        <v>288</v>
      </c>
      <c r="L138" s="38">
        <f>+IFERROR(IF(GUAYAQUIL[[#This Row],[CODIGO]]="","",VLOOKUP(GUAYAQUIL[[#This Row],[CODIGO]],MAESTRO!$A:$BF,58,FALSE)),"")</f>
        <v>1</v>
      </c>
      <c r="M138" s="27">
        <f>+IFERROR(IF(GUAYAQUIL[[#This Row],[CODIGO]]="","",VLOOKUP(GUAYAQUIL[[#This Row],[CODIGO]],MAESTRO!A:N,14,FALSE)),"")</f>
        <v>0.35</v>
      </c>
      <c r="N138" s="28">
        <f>+IFERROR(IF(GUAYAQUIL[[#This Row],[CODIGO]]="","",VLOOKUP(GUAYAQUIL[[#This Row],[CODIGO]],MAESTRO!A:P,16,FALSE)),"")</f>
        <v>60</v>
      </c>
      <c r="O138" s="45">
        <v>45615</v>
      </c>
      <c r="P138" s="72" t="str">
        <f t="shared" si="10"/>
        <v>martes</v>
      </c>
      <c r="Q138" s="29">
        <f>IFERROR(IF(GUAYAQUIL[[#This Row],[CODIGO]]="","",IF(GUAYAQUIL[[#This Row],[Fecha Cad]]="","",(GUAYAQUIL[[#This Row],[Fecha Cad]]-GUAYAQUIL[[#This Row],[VIDA UTIL (Días)]]))+1),"")</f>
        <v>45610</v>
      </c>
      <c r="R138" s="45">
        <v>45669</v>
      </c>
      <c r="S138" s="30">
        <f t="shared" ca="1" si="11"/>
        <v>45</v>
      </c>
      <c r="T138" s="31">
        <f t="shared" ca="1" si="12"/>
        <v>0.75</v>
      </c>
      <c r="U138" s="286">
        <v>288</v>
      </c>
      <c r="V138" s="262">
        <f>+IFERROR(IF(GUAYAQUIL[[#This Row],[CODIGO]]="","",GUAYAQUIL[[#This Row],[Stock Actual Unds]]*GUAYAQUIL[[#This Row],[Gramaje]]*GUAYAQUIL[[#This Row],[Conversión]]),"")</f>
        <v>100.8</v>
      </c>
      <c r="W138" s="270">
        <f t="shared" si="13"/>
        <v>5</v>
      </c>
      <c r="X138" s="32">
        <f t="shared" si="14"/>
        <v>0.91666666666666663</v>
      </c>
      <c r="Y138" s="236">
        <f>IFERROR(VLOOKUP(GUAYAQUIL[[#This Row],[CODIGO]],MAESTRO!A:BI,21,FALSE),0)</f>
        <v>2.4922949999999999</v>
      </c>
      <c r="Z138" s="237">
        <f>+IFERROR(IF(GUAYAQUIL[[#This Row],[CODIGO]]="","",GUAYAQUIL[[#This Row],[COSTO UNIT base]]*GUAYAQUIL[[#This Row],[Conversión]]),"")</f>
        <v>2.4922949999999999</v>
      </c>
      <c r="AA138" s="236">
        <f>+IFERROR(IF(GUAYAQUIL[[#This Row],[CODIGO]]="","",GUAYAQUIL[[#This Row],[COSTO UNIT Conv]]*GUAYAQUIL[[#This Row],[Stock Actual Kgs]]),"")</f>
        <v>251.22333599999999</v>
      </c>
      <c r="AB138" s="33">
        <f ca="1">+IFERROR(IF(GUAYAQUIL[[#This Row],[CODIGO]]="","",$J$3-O138),"")</f>
        <v>9</v>
      </c>
      <c r="AC138" s="34" t="str">
        <f ca="1">IF(GUAYAQUIL[[#This Row],[CODIGO]]="","",IF(S138&lt;=0,"CADUCADO",IF(AND(S138&gt;0,S138&lt;=21),"FECHA CORTA",IF(AND(S138&gt;=22,S138&lt;=26),"PROXIMOS FECHA CORTA", "VIGENTE"))))</f>
        <v>VIGENTE</v>
      </c>
      <c r="AD138" s="37">
        <f>+IF(GUAYAQUIL[[#This Row],[CODIGO]]="","",GUAYAQUIL[[#This Row],[Stock Actual Unds]]*GUAYAQUIL[[#This Row],[Gramaje]]*GUAYAQUIL[[#This Row],[Conversión]])/1000</f>
        <v>0.1008</v>
      </c>
    </row>
    <row r="139" spans="1:30">
      <c r="A139" s="24" t="str">
        <f>+IFERROR(IF(GUAYAQUIL[[#This Row],[CODIGO]]="","",VLOOKUP(GUAYAQUIL[[#This Row],[CODIGO]],MAESTRO!$A:$J,10,FALSE)),"")</f>
        <v>SAN GABRIEL</v>
      </c>
      <c r="B139" s="24" t="str">
        <f>+IFERROR(IF(GUAYAQUIL[[#This Row],[CODIGO]]="","",VLOOKUP(GUAYAQUIL[[#This Row],[CODIGO]],MAESTRO!$A:$Q,17,FALSE)),"")</f>
        <v>QUESOS Y GRASAS</v>
      </c>
      <c r="C139" s="24" t="str">
        <f>+IFERROR(IF(GUAYAQUIL[[#This Row],[CODIGO]]="","",VLOOKUP(GUAYAQUIL[[#This Row],[CODIGO]],MAESTRO!$A:$BA,53,FALSE)),"")</f>
        <v xml:space="preserve">Esteban Montenegro                      </v>
      </c>
      <c r="D139" s="24" t="str">
        <f>+IFERROR(IF(GUAYAQUIL[[#This Row],[CODIGO]]="","",VLOOKUP(GUAYAQUIL[[#This Row],[CODIGO]],MAESTRO!$A:$D,4,FALSE)),"")</f>
        <v>QUESO SEMIMADURO KIOSKO</v>
      </c>
      <c r="E139" s="24" t="str">
        <f>+IFERROR(IF(GUAYAQUIL[[#This Row],[CODIGO]]="","",VLOOKUP(GUAYAQUIL[[#This Row],[CODIGO]],MAESTRO!$A:$F,6,FALSE)),"")</f>
        <v>QUESO GOUDA KIOSKO BLOQUE</v>
      </c>
      <c r="F139" s="42" t="str">
        <f>IF(GUAYAQUIL[[#This Row],[CODIGO]]="","",$K$6)</f>
        <v>GUAYAQUIL</v>
      </c>
      <c r="G139" s="209">
        <f>IF(GUAYAQUIL[[#This Row],[CODIGO]]="","",7711)</f>
        <v>7711</v>
      </c>
      <c r="H139" s="209">
        <f>IF(GUAYAQUIL[[#This Row],[CODIGO]]="","",1001)</f>
        <v>1001</v>
      </c>
      <c r="I139" s="258" t="s">
        <v>3878</v>
      </c>
      <c r="J139" s="25" t="str">
        <f>IFERROR((VLOOKUP(GUAYAQUIL[[#This Row],[CODIGO]],MAESTRO!A:B,2,FALSE)),"")</f>
        <v>Q GOUDA KIOSKO BLOQ 350G</v>
      </c>
      <c r="K139" s="35">
        <v>36</v>
      </c>
      <c r="L139" s="38">
        <f>+IFERROR(IF(GUAYAQUIL[[#This Row],[CODIGO]]="","",VLOOKUP(GUAYAQUIL[[#This Row],[CODIGO]],MAESTRO!$A:$BF,58,FALSE)),"")</f>
        <v>1</v>
      </c>
      <c r="M139" s="27">
        <f>+IFERROR(IF(GUAYAQUIL[[#This Row],[CODIGO]]="","",VLOOKUP(GUAYAQUIL[[#This Row],[CODIGO]],MAESTRO!A:N,14,FALSE)),"")</f>
        <v>0.35</v>
      </c>
      <c r="N139" s="28">
        <f>+IFERROR(IF(GUAYAQUIL[[#This Row],[CODIGO]]="","",VLOOKUP(GUAYAQUIL[[#This Row],[CODIGO]],MAESTRO!A:P,16,FALSE)),"")</f>
        <v>60</v>
      </c>
      <c r="O139" s="45">
        <v>45616</v>
      </c>
      <c r="P139" s="72" t="str">
        <f t="shared" si="10"/>
        <v>miércoles</v>
      </c>
      <c r="Q139" s="29">
        <f>IFERROR(IF(GUAYAQUIL[[#This Row],[CODIGO]]="","",IF(GUAYAQUIL[[#This Row],[Fecha Cad]]="","",(GUAYAQUIL[[#This Row],[Fecha Cad]]-GUAYAQUIL[[#This Row],[VIDA UTIL (Días)]]))+1),"")</f>
        <v>45610</v>
      </c>
      <c r="R139" s="45">
        <v>45669</v>
      </c>
      <c r="S139" s="30">
        <f t="shared" ca="1" si="11"/>
        <v>45</v>
      </c>
      <c r="T139" s="31">
        <f t="shared" ca="1" si="12"/>
        <v>0.75</v>
      </c>
      <c r="U139" s="286">
        <v>36</v>
      </c>
      <c r="V139" s="262">
        <f>+IFERROR(IF(GUAYAQUIL[[#This Row],[CODIGO]]="","",GUAYAQUIL[[#This Row],[Stock Actual Unds]]*GUAYAQUIL[[#This Row],[Gramaje]]*GUAYAQUIL[[#This Row],[Conversión]]),"")</f>
        <v>12.6</v>
      </c>
      <c r="W139" s="270">
        <f t="shared" si="13"/>
        <v>6</v>
      </c>
      <c r="X139" s="32">
        <f t="shared" si="14"/>
        <v>0.9</v>
      </c>
      <c r="Y139" s="236">
        <f>IFERROR(VLOOKUP(GUAYAQUIL[[#This Row],[CODIGO]],MAESTRO!A:BI,21,FALSE),0)</f>
        <v>2.4922949999999999</v>
      </c>
      <c r="Z139" s="237">
        <f>+IFERROR(IF(GUAYAQUIL[[#This Row],[CODIGO]]="","",GUAYAQUIL[[#This Row],[COSTO UNIT base]]*GUAYAQUIL[[#This Row],[Conversión]]),"")</f>
        <v>2.4922949999999999</v>
      </c>
      <c r="AA139" s="236">
        <f>+IFERROR(IF(GUAYAQUIL[[#This Row],[CODIGO]]="","",GUAYAQUIL[[#This Row],[COSTO UNIT Conv]]*GUAYAQUIL[[#This Row],[Stock Actual Kgs]]),"")</f>
        <v>31.402916999999999</v>
      </c>
      <c r="AB139" s="33">
        <f ca="1">+IFERROR(IF(GUAYAQUIL[[#This Row],[CODIGO]]="","",$J$3-O139),"")</f>
        <v>8</v>
      </c>
      <c r="AC139" s="34" t="str">
        <f ca="1">IF(GUAYAQUIL[[#This Row],[CODIGO]]="","",IF(S139&lt;=0,"CADUCADO",IF(AND(S139&gt;0,S139&lt;=21),"FECHA CORTA",IF(AND(S139&gt;=22,S139&lt;=26),"PROXIMOS FECHA CORTA", "VIGENTE"))))</f>
        <v>VIGENTE</v>
      </c>
      <c r="AD139" s="37">
        <f>+IF(GUAYAQUIL[[#This Row],[CODIGO]]="","",GUAYAQUIL[[#This Row],[Stock Actual Unds]]*GUAYAQUIL[[#This Row],[Gramaje]]*GUAYAQUIL[[#This Row],[Conversión]])/1000</f>
        <v>1.26E-2</v>
      </c>
    </row>
    <row r="140" spans="1:30">
      <c r="A140" s="24" t="str">
        <f>+IFERROR(IF(GUAYAQUIL[[#This Row],[CODIGO]]="","",VLOOKUP(GUAYAQUIL[[#This Row],[CODIGO]],MAESTRO!$A:$J,10,FALSE)),"")</f>
        <v>SAN GABRIEL</v>
      </c>
      <c r="B140" s="24" t="str">
        <f>+IFERROR(IF(GUAYAQUIL[[#This Row],[CODIGO]]="","",VLOOKUP(GUAYAQUIL[[#This Row],[CODIGO]],MAESTRO!$A:$Q,17,FALSE)),"")</f>
        <v>QUESOS Y GRASAS</v>
      </c>
      <c r="C140" s="24" t="str">
        <f>+IFERROR(IF(GUAYAQUIL[[#This Row],[CODIGO]]="","",VLOOKUP(GUAYAQUIL[[#This Row],[CODIGO]],MAESTRO!$A:$BA,53,FALSE)),"")</f>
        <v xml:space="preserve">Esteban Montenegro                      </v>
      </c>
      <c r="D140" s="24" t="str">
        <f>+IFERROR(IF(GUAYAQUIL[[#This Row],[CODIGO]]="","",VLOOKUP(GUAYAQUIL[[#This Row],[CODIGO]],MAESTRO!$A:$D,4,FALSE)),"")</f>
        <v>QUESO SEMIMADURO KIOSKO</v>
      </c>
      <c r="E140" s="24" t="str">
        <f>+IFERROR(IF(GUAYAQUIL[[#This Row],[CODIGO]]="","",VLOOKUP(GUAYAQUIL[[#This Row],[CODIGO]],MAESTRO!$A:$F,6,FALSE)),"")</f>
        <v>QUESO GOUDA KIOSKO BLOQUE</v>
      </c>
      <c r="F140" s="42" t="str">
        <f>IF(GUAYAQUIL[[#This Row],[CODIGO]]="","",$K$6)</f>
        <v>GUAYAQUIL</v>
      </c>
      <c r="G140" s="42">
        <f>IF(GUAYAQUIL[[#This Row],[CODIGO]]="","",7711)</f>
        <v>7711</v>
      </c>
      <c r="H140" s="42">
        <f>IF(GUAYAQUIL[[#This Row],[CODIGO]]="","",1001)</f>
        <v>1001</v>
      </c>
      <c r="I140" s="258" t="s">
        <v>3878</v>
      </c>
      <c r="J140" s="25" t="str">
        <f>IFERROR((VLOOKUP(GUAYAQUIL[[#This Row],[CODIGO]],MAESTRO!A:B,2,FALSE)),"")</f>
        <v>Q GOUDA KIOSKO BLOQ 350G</v>
      </c>
      <c r="K140" s="35">
        <v>144</v>
      </c>
      <c r="L140" s="38">
        <f>+IFERROR(IF(GUAYAQUIL[[#This Row],[CODIGO]]="","",VLOOKUP(GUAYAQUIL[[#This Row],[CODIGO]],MAESTRO!$A:$BF,58,FALSE)),"")</f>
        <v>1</v>
      </c>
      <c r="M140" s="27">
        <f>+IFERROR(IF(GUAYAQUIL[[#This Row],[CODIGO]]="","",VLOOKUP(GUAYAQUIL[[#This Row],[CODIGO]],MAESTRO!A:N,14,FALSE)),"")</f>
        <v>0.35</v>
      </c>
      <c r="N140" s="28">
        <f>+IFERROR(IF(GUAYAQUIL[[#This Row],[CODIGO]]="","",VLOOKUP(GUAYAQUIL[[#This Row],[CODIGO]],MAESTRO!A:P,16,FALSE)),"")</f>
        <v>60</v>
      </c>
      <c r="O140" s="45">
        <v>45617</v>
      </c>
      <c r="P140" s="72" t="str">
        <f t="shared" si="10"/>
        <v>jueves</v>
      </c>
      <c r="Q140" s="29">
        <f>IFERROR(IF(GUAYAQUIL[[#This Row],[CODIGO]]="","",IF(GUAYAQUIL[[#This Row],[Fecha Cad]]="","",(GUAYAQUIL[[#This Row],[Fecha Cad]]-GUAYAQUIL[[#This Row],[VIDA UTIL (Días)]]))+1),"")</f>
        <v>45610</v>
      </c>
      <c r="R140" s="45">
        <v>45669</v>
      </c>
      <c r="S140" s="30">
        <f t="shared" ca="1" si="11"/>
        <v>45</v>
      </c>
      <c r="T140" s="31">
        <f t="shared" ca="1" si="12"/>
        <v>0.75</v>
      </c>
      <c r="U140" s="286">
        <v>144</v>
      </c>
      <c r="V140" s="262">
        <f>+IFERROR(IF(GUAYAQUIL[[#This Row],[CODIGO]]="","",GUAYAQUIL[[#This Row],[Stock Actual Unds]]*GUAYAQUIL[[#This Row],[Gramaje]]*GUAYAQUIL[[#This Row],[Conversión]]),"")</f>
        <v>50.4</v>
      </c>
      <c r="W140" s="270">
        <f t="shared" si="13"/>
        <v>7</v>
      </c>
      <c r="X140" s="32">
        <f t="shared" si="14"/>
        <v>0.8833333333333333</v>
      </c>
      <c r="Y140" s="236">
        <f>IFERROR(VLOOKUP(GUAYAQUIL[[#This Row],[CODIGO]],MAESTRO!A:BI,21,FALSE),0)</f>
        <v>2.4922949999999999</v>
      </c>
      <c r="Z140" s="237">
        <f>+IFERROR(IF(GUAYAQUIL[[#This Row],[CODIGO]]="","",GUAYAQUIL[[#This Row],[COSTO UNIT base]]*GUAYAQUIL[[#This Row],[Conversión]]),"")</f>
        <v>2.4922949999999999</v>
      </c>
      <c r="AA140" s="236">
        <f>+IFERROR(IF(GUAYAQUIL[[#This Row],[CODIGO]]="","",GUAYAQUIL[[#This Row],[COSTO UNIT Conv]]*GUAYAQUIL[[#This Row],[Stock Actual Kgs]]),"")</f>
        <v>125.61166799999999</v>
      </c>
      <c r="AB140" s="33">
        <f ca="1">+IFERROR(IF(GUAYAQUIL[[#This Row],[CODIGO]]="","",$J$3-O140),"")</f>
        <v>7</v>
      </c>
      <c r="AC140" s="34" t="str">
        <f ca="1">IF(GUAYAQUIL[[#This Row],[CODIGO]]="","",IF(S140&lt;=0,"CADUCADO",IF(AND(S140&gt;0,S140&lt;=21),"FECHA CORTA",IF(AND(S140&gt;=22,S140&lt;=26),"PROXIMOS FECHA CORTA", "VIGENTE"))))</f>
        <v>VIGENTE</v>
      </c>
      <c r="AD140" s="37">
        <f>+IF(GUAYAQUIL[[#This Row],[CODIGO]]="","",GUAYAQUIL[[#This Row],[Stock Actual Unds]]*GUAYAQUIL[[#This Row],[Gramaje]]*GUAYAQUIL[[#This Row],[Conversión]])/1000</f>
        <v>5.04E-2</v>
      </c>
    </row>
    <row r="141" spans="1:30">
      <c r="A141" s="24" t="str">
        <f>+IFERROR(IF(GUAYAQUIL[[#This Row],[CODIGO]]="","",VLOOKUP(GUAYAQUIL[[#This Row],[CODIGO]],MAESTRO!$A:$J,10,FALSE)),"")</f>
        <v>SAN GABRIEL</v>
      </c>
      <c r="B141" s="24" t="str">
        <f>+IFERROR(IF(GUAYAQUIL[[#This Row],[CODIGO]]="","",VLOOKUP(GUAYAQUIL[[#This Row],[CODIGO]],MAESTRO!$A:$Q,17,FALSE)),"")</f>
        <v>QUESOS Y GRASAS</v>
      </c>
      <c r="C141" s="24" t="str">
        <f>+IFERROR(IF(GUAYAQUIL[[#This Row],[CODIGO]]="","",VLOOKUP(GUAYAQUIL[[#This Row],[CODIGO]],MAESTRO!$A:$BA,53,FALSE)),"")</f>
        <v xml:space="preserve">Esteban Montenegro                      </v>
      </c>
      <c r="D141" s="24" t="str">
        <f>+IFERROR(IF(GUAYAQUIL[[#This Row],[CODIGO]]="","",VLOOKUP(GUAYAQUIL[[#This Row],[CODIGO]],MAESTRO!$A:$D,4,FALSE)),"")</f>
        <v>QUESO SEMIMADURO KIOSKO</v>
      </c>
      <c r="E141" s="24" t="str">
        <f>+IFERROR(IF(GUAYAQUIL[[#This Row],[CODIGO]]="","",VLOOKUP(GUAYAQUIL[[#This Row],[CODIGO]],MAESTRO!$A:$F,6,FALSE)),"")</f>
        <v>QUESO HOLANDES KIOSKO BLOQUE</v>
      </c>
      <c r="F141" s="42" t="str">
        <f>IF(GUAYAQUIL[[#This Row],[CODIGO]]="","",$K$6)</f>
        <v>GUAYAQUIL</v>
      </c>
      <c r="G141" s="209">
        <f>IF(GUAYAQUIL[[#This Row],[CODIGO]]="","",7711)</f>
        <v>7711</v>
      </c>
      <c r="H141" s="209">
        <f>IF(GUAYAQUIL[[#This Row],[CODIGO]]="","",1001)</f>
        <v>1001</v>
      </c>
      <c r="I141" s="258" t="s">
        <v>3563</v>
      </c>
      <c r="J141" s="25" t="str">
        <f>IFERROR((VLOOKUP(GUAYAQUIL[[#This Row],[CODIGO]],MAESTRO!A:B,2,FALSE)),"")</f>
        <v>Q HOLAN KIOSKO AL PESO</v>
      </c>
      <c r="K141" s="35">
        <v>40</v>
      </c>
      <c r="L141" s="38">
        <f>+IFERROR(IF(GUAYAQUIL[[#This Row],[CODIGO]]="","",VLOOKUP(GUAYAQUIL[[#This Row],[CODIGO]],MAESTRO!$A:$BF,58,FALSE)),"")</f>
        <v>2.7</v>
      </c>
      <c r="M141" s="27">
        <f>+IFERROR(IF(GUAYAQUIL[[#This Row],[CODIGO]]="","",VLOOKUP(GUAYAQUIL[[#This Row],[CODIGO]],MAESTRO!A:N,14,FALSE)),"")</f>
        <v>1</v>
      </c>
      <c r="N141" s="28">
        <f>+IFERROR(IF(GUAYAQUIL[[#This Row],[CODIGO]]="","",VLOOKUP(GUAYAQUIL[[#This Row],[CODIGO]],MAESTRO!A:P,16,FALSE)),"")</f>
        <v>90</v>
      </c>
      <c r="O141" s="45">
        <v>45611</v>
      </c>
      <c r="P141" s="72" t="str">
        <f t="shared" si="10"/>
        <v>viernes</v>
      </c>
      <c r="Q141" s="29">
        <f>IFERROR(IF(GUAYAQUIL[[#This Row],[CODIGO]]="","",IF(GUAYAQUIL[[#This Row],[Fecha Cad]]="","",(GUAYAQUIL[[#This Row],[Fecha Cad]]-GUAYAQUIL[[#This Row],[VIDA UTIL (Días)]]))+1),"")</f>
        <v>45604</v>
      </c>
      <c r="R141" s="45">
        <v>45693</v>
      </c>
      <c r="S141" s="30">
        <f t="shared" ca="1" si="11"/>
        <v>69</v>
      </c>
      <c r="T141" s="31">
        <f t="shared" ca="1" si="12"/>
        <v>0.76666666666666672</v>
      </c>
      <c r="U141" s="286">
        <v>32</v>
      </c>
      <c r="V141" s="262">
        <f>+IFERROR(IF(GUAYAQUIL[[#This Row],[CODIGO]]="","",GUAYAQUIL[[#This Row],[Stock Actual Unds]]*GUAYAQUIL[[#This Row],[Gramaje]]*GUAYAQUIL[[#This Row],[Conversión]]),"")</f>
        <v>86.4</v>
      </c>
      <c r="W141" s="270">
        <f t="shared" si="13"/>
        <v>7</v>
      </c>
      <c r="X141" s="32">
        <f t="shared" si="14"/>
        <v>0.92222222222222228</v>
      </c>
      <c r="Y141" s="236">
        <f>IFERROR(VLOOKUP(GUAYAQUIL[[#This Row],[CODIGO]],MAESTRO!A:BI,21,FALSE),0)</f>
        <v>6.1996750000000009</v>
      </c>
      <c r="Z141" s="237">
        <f>+IFERROR(IF(GUAYAQUIL[[#This Row],[CODIGO]]="","",GUAYAQUIL[[#This Row],[COSTO UNIT base]]*GUAYAQUIL[[#This Row],[Conversión]]),"")</f>
        <v>16.739122500000004</v>
      </c>
      <c r="AA141" s="236">
        <f>+IFERROR(IF(GUAYAQUIL[[#This Row],[CODIGO]]="","",GUAYAQUIL[[#This Row],[COSTO UNIT Conv]]*GUAYAQUIL[[#This Row],[Stock Actual Kgs]]),"")</f>
        <v>1446.2601840000004</v>
      </c>
      <c r="AB141" s="33">
        <f ca="1">+IFERROR(IF(GUAYAQUIL[[#This Row],[CODIGO]]="","",$J$3-O141),"")</f>
        <v>13</v>
      </c>
      <c r="AC141" s="34" t="str">
        <f ca="1">IF(GUAYAQUIL[[#This Row],[CODIGO]]="","",IF(S141&lt;=0,"CADUCADO",IF(AND(S141&gt;0,S141&lt;=21),"FECHA CORTA",IF(AND(S141&gt;=22,S141&lt;=26),"PROXIMOS FECHA CORTA", "VIGENTE"))))</f>
        <v>VIGENTE</v>
      </c>
      <c r="AD141" s="37">
        <f>+IF(GUAYAQUIL[[#This Row],[CODIGO]]="","",GUAYAQUIL[[#This Row],[Stock Actual Unds]]*GUAYAQUIL[[#This Row],[Gramaje]]*GUAYAQUIL[[#This Row],[Conversión]])/1000</f>
        <v>8.6400000000000005E-2</v>
      </c>
    </row>
    <row r="142" spans="1:30">
      <c r="A142" s="24" t="str">
        <f>+IFERROR(IF(GUAYAQUIL[[#This Row],[CODIGO]]="","",VLOOKUP(GUAYAQUIL[[#This Row],[CODIGO]],MAESTRO!$A:$J,10,FALSE)),"")</f>
        <v>SAN GABRIEL</v>
      </c>
      <c r="B142" s="24" t="str">
        <f>+IFERROR(IF(GUAYAQUIL[[#This Row],[CODIGO]]="","",VLOOKUP(GUAYAQUIL[[#This Row],[CODIGO]],MAESTRO!$A:$Q,17,FALSE)),"")</f>
        <v>QUESOS Y GRASAS</v>
      </c>
      <c r="C142" s="24" t="str">
        <f>+IFERROR(IF(GUAYAQUIL[[#This Row],[CODIGO]]="","",VLOOKUP(GUAYAQUIL[[#This Row],[CODIGO]],MAESTRO!$A:$BA,53,FALSE)),"")</f>
        <v xml:space="preserve">Esteban Montenegro                      </v>
      </c>
      <c r="D142" s="24" t="str">
        <f>+IFERROR(IF(GUAYAQUIL[[#This Row],[CODIGO]]="","",VLOOKUP(GUAYAQUIL[[#This Row],[CODIGO]],MAESTRO!$A:$D,4,FALSE)),"")</f>
        <v>QUESO SEMIMADURO KIOSKO</v>
      </c>
      <c r="E142" s="24" t="str">
        <f>+IFERROR(IF(GUAYAQUIL[[#This Row],[CODIGO]]="","",VLOOKUP(GUAYAQUIL[[#This Row],[CODIGO]],MAESTRO!$A:$F,6,FALSE)),"")</f>
        <v>QUESO HOLANDES KIOSKO BLOQUE</v>
      </c>
      <c r="F142" s="42" t="str">
        <f>IF(GUAYAQUIL[[#This Row],[CODIGO]]="","",$K$6)</f>
        <v>GUAYAQUIL</v>
      </c>
      <c r="G142" s="42">
        <f>IF(GUAYAQUIL[[#This Row],[CODIGO]]="","",7711)</f>
        <v>7711</v>
      </c>
      <c r="H142" s="42">
        <f>IF(GUAYAQUIL[[#This Row],[CODIGO]]="","",1001)</f>
        <v>1001</v>
      </c>
      <c r="I142" s="258" t="s">
        <v>3563</v>
      </c>
      <c r="J142" s="25" t="str">
        <f>IFERROR((VLOOKUP(GUAYAQUIL[[#This Row],[CODIGO]],MAESTRO!A:B,2,FALSE)),"")</f>
        <v>Q HOLAN KIOSKO AL PESO</v>
      </c>
      <c r="K142" s="35">
        <v>55</v>
      </c>
      <c r="L142" s="38">
        <f>+IFERROR(IF(GUAYAQUIL[[#This Row],[CODIGO]]="","",VLOOKUP(GUAYAQUIL[[#This Row],[CODIGO]],MAESTRO!$A:$BF,58,FALSE)),"")</f>
        <v>2.7</v>
      </c>
      <c r="M142" s="27">
        <f>+IFERROR(IF(GUAYAQUIL[[#This Row],[CODIGO]]="","",VLOOKUP(GUAYAQUIL[[#This Row],[CODIGO]],MAESTRO!A:N,14,FALSE)),"")</f>
        <v>1</v>
      </c>
      <c r="N142" s="28">
        <f>+IFERROR(IF(GUAYAQUIL[[#This Row],[CODIGO]]="","",VLOOKUP(GUAYAQUIL[[#This Row],[CODIGO]],MAESTRO!A:P,16,FALSE)),"")</f>
        <v>90</v>
      </c>
      <c r="O142" s="45">
        <v>45616</v>
      </c>
      <c r="P142" s="72" t="str">
        <f t="shared" si="10"/>
        <v>miércoles</v>
      </c>
      <c r="Q142" s="29">
        <f>IFERROR(IF(GUAYAQUIL[[#This Row],[CODIGO]]="","",IF(GUAYAQUIL[[#This Row],[Fecha Cad]]="","",(GUAYAQUIL[[#This Row],[Fecha Cad]]-GUAYAQUIL[[#This Row],[VIDA UTIL (Días)]]))+1),"")</f>
        <v>45604</v>
      </c>
      <c r="R142" s="45">
        <v>45693</v>
      </c>
      <c r="S142" s="30">
        <f t="shared" ca="1" si="11"/>
        <v>69</v>
      </c>
      <c r="T142" s="31">
        <f t="shared" ca="1" si="12"/>
        <v>0.76666666666666672</v>
      </c>
      <c r="U142" s="286">
        <v>55</v>
      </c>
      <c r="V142" s="262">
        <f>+IFERROR(IF(GUAYAQUIL[[#This Row],[CODIGO]]="","",GUAYAQUIL[[#This Row],[Stock Actual Unds]]*GUAYAQUIL[[#This Row],[Gramaje]]*GUAYAQUIL[[#This Row],[Conversión]]),"")</f>
        <v>148.5</v>
      </c>
      <c r="W142" s="270">
        <f t="shared" si="13"/>
        <v>12</v>
      </c>
      <c r="X142" s="32">
        <f t="shared" si="14"/>
        <v>0.8666666666666667</v>
      </c>
      <c r="Y142" s="236">
        <f>IFERROR(VLOOKUP(GUAYAQUIL[[#This Row],[CODIGO]],MAESTRO!A:BI,21,FALSE),0)</f>
        <v>6.1996750000000009</v>
      </c>
      <c r="Z142" s="237">
        <f>+IFERROR(IF(GUAYAQUIL[[#This Row],[CODIGO]]="","",GUAYAQUIL[[#This Row],[COSTO UNIT base]]*GUAYAQUIL[[#This Row],[Conversión]]),"")</f>
        <v>16.739122500000004</v>
      </c>
      <c r="AA142" s="236">
        <f>+IFERROR(IF(GUAYAQUIL[[#This Row],[CODIGO]]="","",GUAYAQUIL[[#This Row],[COSTO UNIT Conv]]*GUAYAQUIL[[#This Row],[Stock Actual Kgs]]),"")</f>
        <v>2485.7596912500007</v>
      </c>
      <c r="AB142" s="33">
        <f ca="1">+IFERROR(IF(GUAYAQUIL[[#This Row],[CODIGO]]="","",$J$3-O142),"")</f>
        <v>8</v>
      </c>
      <c r="AC142" s="34" t="str">
        <f ca="1">IF(GUAYAQUIL[[#This Row],[CODIGO]]="","",IF(S142&lt;=0,"CADUCADO",IF(AND(S142&gt;0,S142&lt;=21),"FECHA CORTA",IF(AND(S142&gt;=22,S142&lt;=26),"PROXIMOS FECHA CORTA", "VIGENTE"))))</f>
        <v>VIGENTE</v>
      </c>
      <c r="AD142" s="37">
        <f>+IF(GUAYAQUIL[[#This Row],[CODIGO]]="","",GUAYAQUIL[[#This Row],[Stock Actual Unds]]*GUAYAQUIL[[#This Row],[Gramaje]]*GUAYAQUIL[[#This Row],[Conversión]])/1000</f>
        <v>0.14849999999999999</v>
      </c>
    </row>
    <row r="143" spans="1:30">
      <c r="A143" s="24" t="str">
        <f>+IFERROR(IF(GUAYAQUIL[[#This Row],[CODIGO]]="","",VLOOKUP(GUAYAQUIL[[#This Row],[CODIGO]],MAESTRO!$A:$J,10,FALSE)),"")</f>
        <v>SAN GABRIEL</v>
      </c>
      <c r="B143" s="24" t="str">
        <f>+IFERROR(IF(GUAYAQUIL[[#This Row],[CODIGO]]="","",VLOOKUP(GUAYAQUIL[[#This Row],[CODIGO]],MAESTRO!$A:$Q,17,FALSE)),"")</f>
        <v>QUESOS Y GRASAS</v>
      </c>
      <c r="C143" s="24" t="str">
        <f>+IFERROR(IF(GUAYAQUIL[[#This Row],[CODIGO]]="","",VLOOKUP(GUAYAQUIL[[#This Row],[CODIGO]],MAESTRO!$A:$BA,53,FALSE)),"")</f>
        <v xml:space="preserve">Esteban Montenegro                      </v>
      </c>
      <c r="D143" s="24" t="str">
        <f>+IFERROR(IF(GUAYAQUIL[[#This Row],[CODIGO]]="","",VLOOKUP(GUAYAQUIL[[#This Row],[CODIGO]],MAESTRO!$A:$D,4,FALSE)),"")</f>
        <v>QUESO SEMIMADURO KIOSKO</v>
      </c>
      <c r="E143" s="24" t="str">
        <f>+IFERROR(IF(GUAYAQUIL[[#This Row],[CODIGO]]="","",VLOOKUP(GUAYAQUIL[[#This Row],[CODIGO]],MAESTRO!$A:$F,6,FALSE)),"")</f>
        <v>QUESO HOLANDES KIOSKO BLOQUE</v>
      </c>
      <c r="F143" s="42" t="str">
        <f>IF(GUAYAQUIL[[#This Row],[CODIGO]]="","",$K$6)</f>
        <v>GUAYAQUIL</v>
      </c>
      <c r="G143" s="209">
        <f>IF(GUAYAQUIL[[#This Row],[CODIGO]]="","",7711)</f>
        <v>7711</v>
      </c>
      <c r="H143" s="209">
        <f>IF(GUAYAQUIL[[#This Row],[CODIGO]]="","",1001)</f>
        <v>1001</v>
      </c>
      <c r="I143" s="258" t="s">
        <v>3563</v>
      </c>
      <c r="J143" s="25" t="str">
        <f>IFERROR((VLOOKUP(GUAYAQUIL[[#This Row],[CODIGO]],MAESTRO!A:B,2,FALSE)),"")</f>
        <v>Q HOLAN KIOSKO AL PESO</v>
      </c>
      <c r="K143" s="35">
        <v>31</v>
      </c>
      <c r="L143" s="38">
        <f>+IFERROR(IF(GUAYAQUIL[[#This Row],[CODIGO]]="","",VLOOKUP(GUAYAQUIL[[#This Row],[CODIGO]],MAESTRO!$A:$BF,58,FALSE)),"")</f>
        <v>2.7</v>
      </c>
      <c r="M143" s="27">
        <f>+IFERROR(IF(GUAYAQUIL[[#This Row],[CODIGO]]="","",VLOOKUP(GUAYAQUIL[[#This Row],[CODIGO]],MAESTRO!A:N,14,FALSE)),"")</f>
        <v>1</v>
      </c>
      <c r="N143" s="28">
        <f>+IFERROR(IF(GUAYAQUIL[[#This Row],[CODIGO]]="","",VLOOKUP(GUAYAQUIL[[#This Row],[CODIGO]],MAESTRO!A:P,16,FALSE)),"")</f>
        <v>90</v>
      </c>
      <c r="O143" s="45">
        <v>45617</v>
      </c>
      <c r="P143" s="72" t="str">
        <f t="shared" si="10"/>
        <v>jueves</v>
      </c>
      <c r="Q143" s="29">
        <f>IFERROR(IF(GUAYAQUIL[[#This Row],[CODIGO]]="","",IF(GUAYAQUIL[[#This Row],[Fecha Cad]]="","",(GUAYAQUIL[[#This Row],[Fecha Cad]]-GUAYAQUIL[[#This Row],[VIDA UTIL (Días)]]))+1),"")</f>
        <v>45610</v>
      </c>
      <c r="R143" s="45">
        <v>45699</v>
      </c>
      <c r="S143" s="30">
        <f t="shared" ca="1" si="11"/>
        <v>75</v>
      </c>
      <c r="T143" s="31">
        <f t="shared" ca="1" si="12"/>
        <v>0.83333333333333337</v>
      </c>
      <c r="U143" s="286">
        <v>31</v>
      </c>
      <c r="V143" s="262">
        <f>+IFERROR(IF(GUAYAQUIL[[#This Row],[CODIGO]]="","",GUAYAQUIL[[#This Row],[Stock Actual Unds]]*GUAYAQUIL[[#This Row],[Gramaje]]*GUAYAQUIL[[#This Row],[Conversión]]),"")</f>
        <v>83.7</v>
      </c>
      <c r="W143" s="270">
        <f t="shared" si="13"/>
        <v>7</v>
      </c>
      <c r="X143" s="32">
        <f t="shared" si="14"/>
        <v>0.92222222222222228</v>
      </c>
      <c r="Y143" s="236">
        <f>IFERROR(VLOOKUP(GUAYAQUIL[[#This Row],[CODIGO]],MAESTRO!A:BI,21,FALSE),0)</f>
        <v>6.1996750000000009</v>
      </c>
      <c r="Z143" s="237">
        <f>+IFERROR(IF(GUAYAQUIL[[#This Row],[CODIGO]]="","",GUAYAQUIL[[#This Row],[COSTO UNIT base]]*GUAYAQUIL[[#This Row],[Conversión]]),"")</f>
        <v>16.739122500000004</v>
      </c>
      <c r="AA143" s="236">
        <f>+IFERROR(IF(GUAYAQUIL[[#This Row],[CODIGO]]="","",GUAYAQUIL[[#This Row],[COSTO UNIT Conv]]*GUAYAQUIL[[#This Row],[Stock Actual Kgs]]),"")</f>
        <v>1401.0645532500005</v>
      </c>
      <c r="AB143" s="33">
        <f ca="1">+IFERROR(IF(GUAYAQUIL[[#This Row],[CODIGO]]="","",$J$3-O143),"")</f>
        <v>7</v>
      </c>
      <c r="AC143" s="34" t="str">
        <f ca="1">IF(GUAYAQUIL[[#This Row],[CODIGO]]="","",IF(S143&lt;=0,"CADUCADO",IF(AND(S143&gt;0,S143&lt;=21),"FECHA CORTA",IF(AND(S143&gt;=22,S143&lt;=26),"PROXIMOS FECHA CORTA", "VIGENTE"))))</f>
        <v>VIGENTE</v>
      </c>
      <c r="AD143" s="37">
        <f>+IF(GUAYAQUIL[[#This Row],[CODIGO]]="","",GUAYAQUIL[[#This Row],[Stock Actual Unds]]*GUAYAQUIL[[#This Row],[Gramaje]]*GUAYAQUIL[[#This Row],[Conversión]])/1000</f>
        <v>8.3699999999999997E-2</v>
      </c>
    </row>
    <row r="144" spans="1:30">
      <c r="A144" s="24" t="str">
        <f>+IFERROR(IF(GUAYAQUIL[[#This Row],[CODIGO]]="","",VLOOKUP(GUAYAQUIL[[#This Row],[CODIGO]],MAESTRO!$A:$J,10,FALSE)),"")</f>
        <v>SAN GABRIEL</v>
      </c>
      <c r="B144" s="24" t="str">
        <f>+IFERROR(IF(GUAYAQUIL[[#This Row],[CODIGO]]="","",VLOOKUP(GUAYAQUIL[[#This Row],[CODIGO]],MAESTRO!$A:$Q,17,FALSE)),"")</f>
        <v>QUESOS Y GRASAS</v>
      </c>
      <c r="C144" s="24" t="str">
        <f>+IFERROR(IF(GUAYAQUIL[[#This Row],[CODIGO]]="","",VLOOKUP(GUAYAQUIL[[#This Row],[CODIGO]],MAESTRO!$A:$BA,53,FALSE)),"")</f>
        <v xml:space="preserve">Esteban Montenegro                      </v>
      </c>
      <c r="D144" s="24" t="str">
        <f>+IFERROR(IF(GUAYAQUIL[[#This Row],[CODIGO]]="","",VLOOKUP(GUAYAQUIL[[#This Row],[CODIGO]],MAESTRO!$A:$D,4,FALSE)),"")</f>
        <v>QUESO SEMIMADURO KIOSKO</v>
      </c>
      <c r="E144" s="24" t="str">
        <f>+IFERROR(IF(GUAYAQUIL[[#This Row],[CODIGO]]="","",VLOOKUP(GUAYAQUIL[[#This Row],[CODIGO]],MAESTRO!$A:$F,6,FALSE)),"")</f>
        <v>QUESO HOLANDES KIOSKO TAJADO</v>
      </c>
      <c r="F144" s="42" t="str">
        <f>IF(GUAYAQUIL[[#This Row],[CODIGO]]="","",$K$6)</f>
        <v>GUAYAQUIL</v>
      </c>
      <c r="G144" s="42">
        <f>IF(GUAYAQUIL[[#This Row],[CODIGO]]="","",7711)</f>
        <v>7711</v>
      </c>
      <c r="H144" s="42">
        <f>IF(GUAYAQUIL[[#This Row],[CODIGO]]="","",1001)</f>
        <v>1001</v>
      </c>
      <c r="I144" s="258" t="s">
        <v>682</v>
      </c>
      <c r="J144" s="25" t="str">
        <f>IFERROR((VLOOKUP(GUAYAQUIL[[#This Row],[CODIGO]],MAESTRO!A:B,2,FALSE)),"")</f>
        <v>Q HOLAN KIOSKO 20 LONJ 300G</v>
      </c>
      <c r="K144" s="35">
        <v>75</v>
      </c>
      <c r="L144" s="38">
        <f>+IFERROR(IF(GUAYAQUIL[[#This Row],[CODIGO]]="","",VLOOKUP(GUAYAQUIL[[#This Row],[CODIGO]],MAESTRO!$A:$BF,58,FALSE)),"")</f>
        <v>1</v>
      </c>
      <c r="M144" s="27">
        <f>+IFERROR(IF(GUAYAQUIL[[#This Row],[CODIGO]]="","",VLOOKUP(GUAYAQUIL[[#This Row],[CODIGO]],MAESTRO!A:N,14,FALSE)),"")</f>
        <v>0.3</v>
      </c>
      <c r="N144" s="28">
        <f>+IFERROR(IF(GUAYAQUIL[[#This Row],[CODIGO]]="","",VLOOKUP(GUAYAQUIL[[#This Row],[CODIGO]],MAESTRO!A:P,16,FALSE)),"")</f>
        <v>90</v>
      </c>
      <c r="O144" s="45">
        <v>45608</v>
      </c>
      <c r="P144" s="72" t="str">
        <f t="shared" si="10"/>
        <v>martes</v>
      </c>
      <c r="Q144" s="29">
        <f>IFERROR(IF(GUAYAQUIL[[#This Row],[CODIGO]]="","",IF(GUAYAQUIL[[#This Row],[Fecha Cad]]="","",(GUAYAQUIL[[#This Row],[Fecha Cad]]-GUAYAQUIL[[#This Row],[VIDA UTIL (Días)]]))+1),"")</f>
        <v>45596</v>
      </c>
      <c r="R144" s="45">
        <v>45685</v>
      </c>
      <c r="S144" s="30">
        <f t="shared" ca="1" si="11"/>
        <v>61</v>
      </c>
      <c r="T144" s="31">
        <f t="shared" ca="1" si="12"/>
        <v>0.67777777777777781</v>
      </c>
      <c r="U144" s="286">
        <v>32</v>
      </c>
      <c r="V144" s="262">
        <f>+IFERROR(IF(GUAYAQUIL[[#This Row],[CODIGO]]="","",GUAYAQUIL[[#This Row],[Stock Actual Unds]]*GUAYAQUIL[[#This Row],[Gramaje]]*GUAYAQUIL[[#This Row],[Conversión]]),"")</f>
        <v>9.6</v>
      </c>
      <c r="W144" s="270">
        <f t="shared" si="13"/>
        <v>12</v>
      </c>
      <c r="X144" s="32">
        <f t="shared" si="14"/>
        <v>0.8666666666666667</v>
      </c>
      <c r="Y144" s="236">
        <f>IFERROR(VLOOKUP(GUAYAQUIL[[#This Row],[CODIGO]],MAESTRO!A:BI,21,FALSE),0)</f>
        <v>2.4232300000000002</v>
      </c>
      <c r="Z144" s="237">
        <f>+IFERROR(IF(GUAYAQUIL[[#This Row],[CODIGO]]="","",GUAYAQUIL[[#This Row],[COSTO UNIT base]]*GUAYAQUIL[[#This Row],[Conversión]]),"")</f>
        <v>2.4232300000000002</v>
      </c>
      <c r="AA144" s="236">
        <f>+IFERROR(IF(GUAYAQUIL[[#This Row],[CODIGO]]="","",GUAYAQUIL[[#This Row],[COSTO UNIT Conv]]*GUAYAQUIL[[#This Row],[Stock Actual Kgs]]),"")</f>
        <v>23.263008000000003</v>
      </c>
      <c r="AB144" s="33">
        <f ca="1">+IFERROR(IF(GUAYAQUIL[[#This Row],[CODIGO]]="","",$J$3-O144),"")</f>
        <v>16</v>
      </c>
      <c r="AC144" s="34" t="str">
        <f ca="1">IF(GUAYAQUIL[[#This Row],[CODIGO]]="","",IF(S144&lt;=0,"CADUCADO",IF(AND(S144&gt;0,S144&lt;=21),"FECHA CORTA",IF(AND(S144&gt;=22,S144&lt;=26),"PROXIMOS FECHA CORTA", "VIGENTE"))))</f>
        <v>VIGENTE</v>
      </c>
      <c r="AD144" s="37">
        <f>+IF(GUAYAQUIL[[#This Row],[CODIGO]]="","",GUAYAQUIL[[#This Row],[Stock Actual Unds]]*GUAYAQUIL[[#This Row],[Gramaje]]*GUAYAQUIL[[#This Row],[Conversión]])/1000</f>
        <v>9.5999999999999992E-3</v>
      </c>
    </row>
    <row r="145" spans="1:30">
      <c r="A145" s="24" t="str">
        <f>+IFERROR(IF(GUAYAQUIL[[#This Row],[CODIGO]]="","",VLOOKUP(GUAYAQUIL[[#This Row],[CODIGO]],MAESTRO!$A:$J,10,FALSE)),"")</f>
        <v>SAN GABRIEL</v>
      </c>
      <c r="B145" s="24" t="str">
        <f>+IFERROR(IF(GUAYAQUIL[[#This Row],[CODIGO]]="","",VLOOKUP(GUAYAQUIL[[#This Row],[CODIGO]],MAESTRO!$A:$Q,17,FALSE)),"")</f>
        <v>QUESOS Y GRASAS</v>
      </c>
      <c r="C145" s="24" t="str">
        <f>+IFERROR(IF(GUAYAQUIL[[#This Row],[CODIGO]]="","",VLOOKUP(GUAYAQUIL[[#This Row],[CODIGO]],MAESTRO!$A:$BA,53,FALSE)),"")</f>
        <v xml:space="preserve">Esteban Montenegro                      </v>
      </c>
      <c r="D145" s="24" t="str">
        <f>+IFERROR(IF(GUAYAQUIL[[#This Row],[CODIGO]]="","",VLOOKUP(GUAYAQUIL[[#This Row],[CODIGO]],MAESTRO!$A:$D,4,FALSE)),"")</f>
        <v>QUESO SEMIMADURO KIOSKO</v>
      </c>
      <c r="E145" s="24" t="str">
        <f>+IFERROR(IF(GUAYAQUIL[[#This Row],[CODIGO]]="","",VLOOKUP(GUAYAQUIL[[#This Row],[CODIGO]],MAESTRO!$A:$F,6,FALSE)),"")</f>
        <v>QUESO HOLANDES KIOSKO TAJADO</v>
      </c>
      <c r="F145" s="42" t="str">
        <f>IF(GUAYAQUIL[[#This Row],[CODIGO]]="","",$K$6)</f>
        <v>GUAYAQUIL</v>
      </c>
      <c r="G145" s="209">
        <f>IF(GUAYAQUIL[[#This Row],[CODIGO]]="","",7711)</f>
        <v>7711</v>
      </c>
      <c r="H145" s="209">
        <f>IF(GUAYAQUIL[[#This Row],[CODIGO]]="","",1001)</f>
        <v>1001</v>
      </c>
      <c r="I145" s="258" t="s">
        <v>682</v>
      </c>
      <c r="J145" s="25" t="str">
        <f>IFERROR((VLOOKUP(GUAYAQUIL[[#This Row],[CODIGO]],MAESTRO!A:B,2,FALSE)),"")</f>
        <v>Q HOLAN KIOSKO 20 LONJ 300G</v>
      </c>
      <c r="K145" s="35">
        <v>75</v>
      </c>
      <c r="L145" s="38">
        <f>+IFERROR(IF(GUAYAQUIL[[#This Row],[CODIGO]]="","",VLOOKUP(GUAYAQUIL[[#This Row],[CODIGO]],MAESTRO!$A:$BF,58,FALSE)),"")</f>
        <v>1</v>
      </c>
      <c r="M145" s="27">
        <f>+IFERROR(IF(GUAYAQUIL[[#This Row],[CODIGO]]="","",VLOOKUP(GUAYAQUIL[[#This Row],[CODIGO]],MAESTRO!A:N,14,FALSE)),"")</f>
        <v>0.3</v>
      </c>
      <c r="N145" s="28">
        <f>+IFERROR(IF(GUAYAQUIL[[#This Row],[CODIGO]]="","",VLOOKUP(GUAYAQUIL[[#This Row],[CODIGO]],MAESTRO!A:P,16,FALSE)),"")</f>
        <v>90</v>
      </c>
      <c r="O145" s="45">
        <v>45609</v>
      </c>
      <c r="P145" s="72" t="str">
        <f t="shared" si="10"/>
        <v>miércoles</v>
      </c>
      <c r="Q145" s="29">
        <f>IFERROR(IF(GUAYAQUIL[[#This Row],[CODIGO]]="","",IF(GUAYAQUIL[[#This Row],[Fecha Cad]]="","",(GUAYAQUIL[[#This Row],[Fecha Cad]]-GUAYAQUIL[[#This Row],[VIDA UTIL (Días)]]))+1),"")</f>
        <v>45602</v>
      </c>
      <c r="R145" s="45">
        <v>45691</v>
      </c>
      <c r="S145" s="30">
        <f t="shared" ca="1" si="11"/>
        <v>67</v>
      </c>
      <c r="T145" s="31">
        <f t="shared" ca="1" si="12"/>
        <v>0.74444444444444446</v>
      </c>
      <c r="U145" s="286">
        <v>75</v>
      </c>
      <c r="V145" s="262">
        <f>+IFERROR(IF(GUAYAQUIL[[#This Row],[CODIGO]]="","",GUAYAQUIL[[#This Row],[Stock Actual Unds]]*GUAYAQUIL[[#This Row],[Gramaje]]*GUAYAQUIL[[#This Row],[Conversión]]),"")</f>
        <v>22.5</v>
      </c>
      <c r="W145" s="270">
        <f t="shared" si="13"/>
        <v>7</v>
      </c>
      <c r="X145" s="32">
        <f t="shared" si="14"/>
        <v>0.92222222222222228</v>
      </c>
      <c r="Y145" s="236">
        <f>IFERROR(VLOOKUP(GUAYAQUIL[[#This Row],[CODIGO]],MAESTRO!A:BI,21,FALSE),0)</f>
        <v>2.4232300000000002</v>
      </c>
      <c r="Z145" s="237">
        <f>+IFERROR(IF(GUAYAQUIL[[#This Row],[CODIGO]]="","",GUAYAQUIL[[#This Row],[COSTO UNIT base]]*GUAYAQUIL[[#This Row],[Conversión]]),"")</f>
        <v>2.4232300000000002</v>
      </c>
      <c r="AA145" s="236">
        <f>+IFERROR(IF(GUAYAQUIL[[#This Row],[CODIGO]]="","",GUAYAQUIL[[#This Row],[COSTO UNIT Conv]]*GUAYAQUIL[[#This Row],[Stock Actual Kgs]]),"")</f>
        <v>54.522675000000007</v>
      </c>
      <c r="AB145" s="33">
        <f ca="1">+IFERROR(IF(GUAYAQUIL[[#This Row],[CODIGO]]="","",$J$3-O145),"")</f>
        <v>15</v>
      </c>
      <c r="AC145" s="34" t="str">
        <f ca="1">IF(GUAYAQUIL[[#This Row],[CODIGO]]="","",IF(S145&lt;=0,"CADUCADO",IF(AND(S145&gt;0,S145&lt;=21),"FECHA CORTA",IF(AND(S145&gt;=22,S145&lt;=26),"PROXIMOS FECHA CORTA", "VIGENTE"))))</f>
        <v>VIGENTE</v>
      </c>
      <c r="AD145" s="37">
        <f>+IF(GUAYAQUIL[[#This Row],[CODIGO]]="","",GUAYAQUIL[[#This Row],[Stock Actual Unds]]*GUAYAQUIL[[#This Row],[Gramaje]]*GUAYAQUIL[[#This Row],[Conversión]])/1000</f>
        <v>2.2499999999999999E-2</v>
      </c>
    </row>
    <row r="146" spans="1:30">
      <c r="A146" s="24" t="str">
        <f>+IFERROR(IF(GUAYAQUIL[[#This Row],[CODIGO]]="","",VLOOKUP(GUAYAQUIL[[#This Row],[CODIGO]],MAESTRO!$A:$J,10,FALSE)),"")</f>
        <v>SAN GABRIEL</v>
      </c>
      <c r="B146" s="24" t="str">
        <f>+IFERROR(IF(GUAYAQUIL[[#This Row],[CODIGO]]="","",VLOOKUP(GUAYAQUIL[[#This Row],[CODIGO]],MAESTRO!$A:$Q,17,FALSE)),"")</f>
        <v>QUESOS Y GRASAS</v>
      </c>
      <c r="C146" s="24" t="str">
        <f>+IFERROR(IF(GUAYAQUIL[[#This Row],[CODIGO]]="","",VLOOKUP(GUAYAQUIL[[#This Row],[CODIGO]],MAESTRO!$A:$BA,53,FALSE)),"")</f>
        <v xml:space="preserve">Esteban Montenegro                      </v>
      </c>
      <c r="D146" s="24" t="str">
        <f>+IFERROR(IF(GUAYAQUIL[[#This Row],[CODIGO]]="","",VLOOKUP(GUAYAQUIL[[#This Row],[CODIGO]],MAESTRO!$A:$D,4,FALSE)),"")</f>
        <v>QUESO SEMIMADURO KIOSKO</v>
      </c>
      <c r="E146" s="24" t="str">
        <f>+IFERROR(IF(GUAYAQUIL[[#This Row],[CODIGO]]="","",VLOOKUP(GUAYAQUIL[[#This Row],[CODIGO]],MAESTRO!$A:$F,6,FALSE)),"")</f>
        <v>QUESO HOLANDES KIOSKO TAJADO</v>
      </c>
      <c r="F146" s="42" t="str">
        <f>IF(GUAYAQUIL[[#This Row],[CODIGO]]="","",$K$6)</f>
        <v>GUAYAQUIL</v>
      </c>
      <c r="G146" s="42">
        <f>IF(GUAYAQUIL[[#This Row],[CODIGO]]="","",7711)</f>
        <v>7711</v>
      </c>
      <c r="H146" s="42">
        <f>IF(GUAYAQUIL[[#This Row],[CODIGO]]="","",1001)</f>
        <v>1001</v>
      </c>
      <c r="I146" s="258" t="s">
        <v>682</v>
      </c>
      <c r="J146" s="25" t="str">
        <f>IFERROR((VLOOKUP(GUAYAQUIL[[#This Row],[CODIGO]],MAESTRO!A:B,2,FALSE)),"")</f>
        <v>Q HOLAN KIOSKO 20 LONJ 300G</v>
      </c>
      <c r="K146" s="35">
        <v>75</v>
      </c>
      <c r="L146" s="38">
        <f>+IFERROR(IF(GUAYAQUIL[[#This Row],[CODIGO]]="","",VLOOKUP(GUAYAQUIL[[#This Row],[CODIGO]],MAESTRO!$A:$BF,58,FALSE)),"")</f>
        <v>1</v>
      </c>
      <c r="M146" s="27">
        <f>+IFERROR(IF(GUAYAQUIL[[#This Row],[CODIGO]]="","",VLOOKUP(GUAYAQUIL[[#This Row],[CODIGO]],MAESTRO!A:N,14,FALSE)),"")</f>
        <v>0.3</v>
      </c>
      <c r="N146" s="28">
        <f>+IFERROR(IF(GUAYAQUIL[[#This Row],[CODIGO]]="","",VLOOKUP(GUAYAQUIL[[#This Row],[CODIGO]],MAESTRO!A:P,16,FALSE)),"")</f>
        <v>90</v>
      </c>
      <c r="O146" s="45">
        <v>45616</v>
      </c>
      <c r="P146" s="72" t="str">
        <f t="shared" si="10"/>
        <v>miércoles</v>
      </c>
      <c r="Q146" s="29">
        <f>IFERROR(IF(GUAYAQUIL[[#This Row],[CODIGO]]="","",IF(GUAYAQUIL[[#This Row],[Fecha Cad]]="","",(GUAYAQUIL[[#This Row],[Fecha Cad]]-GUAYAQUIL[[#This Row],[VIDA UTIL (Días)]]))+1),"")</f>
        <v>45610</v>
      </c>
      <c r="R146" s="45">
        <v>45699</v>
      </c>
      <c r="S146" s="30">
        <f t="shared" ca="1" si="11"/>
        <v>75</v>
      </c>
      <c r="T146" s="31">
        <f t="shared" ca="1" si="12"/>
        <v>0.83333333333333337</v>
      </c>
      <c r="U146" s="286">
        <v>75</v>
      </c>
      <c r="V146" s="262">
        <f>+IFERROR(IF(GUAYAQUIL[[#This Row],[CODIGO]]="","",GUAYAQUIL[[#This Row],[Stock Actual Unds]]*GUAYAQUIL[[#This Row],[Gramaje]]*GUAYAQUIL[[#This Row],[Conversión]]),"")</f>
        <v>22.5</v>
      </c>
      <c r="W146" s="270">
        <f t="shared" si="13"/>
        <v>6</v>
      </c>
      <c r="X146" s="32">
        <f t="shared" si="14"/>
        <v>0.93333333333333335</v>
      </c>
      <c r="Y146" s="236">
        <f>IFERROR(VLOOKUP(GUAYAQUIL[[#This Row],[CODIGO]],MAESTRO!A:BI,21,FALSE),0)</f>
        <v>2.4232300000000002</v>
      </c>
      <c r="Z146" s="237">
        <f>+IFERROR(IF(GUAYAQUIL[[#This Row],[CODIGO]]="","",GUAYAQUIL[[#This Row],[COSTO UNIT base]]*GUAYAQUIL[[#This Row],[Conversión]]),"")</f>
        <v>2.4232300000000002</v>
      </c>
      <c r="AA146" s="236">
        <f>+IFERROR(IF(GUAYAQUIL[[#This Row],[CODIGO]]="","",GUAYAQUIL[[#This Row],[COSTO UNIT Conv]]*GUAYAQUIL[[#This Row],[Stock Actual Kgs]]),"")</f>
        <v>54.522675000000007</v>
      </c>
      <c r="AB146" s="33">
        <f ca="1">+IFERROR(IF(GUAYAQUIL[[#This Row],[CODIGO]]="","",$J$3-O146),"")</f>
        <v>8</v>
      </c>
      <c r="AC146" s="34" t="str">
        <f ca="1">IF(GUAYAQUIL[[#This Row],[CODIGO]]="","",IF(S146&lt;=0,"CADUCADO",IF(AND(S146&gt;0,S146&lt;=21),"FECHA CORTA",IF(AND(S146&gt;=22,S146&lt;=26),"PROXIMOS FECHA CORTA", "VIGENTE"))))</f>
        <v>VIGENTE</v>
      </c>
      <c r="AD146" s="37">
        <f>+IF(GUAYAQUIL[[#This Row],[CODIGO]]="","",GUAYAQUIL[[#This Row],[Stock Actual Unds]]*GUAYAQUIL[[#This Row],[Gramaje]]*GUAYAQUIL[[#This Row],[Conversión]])/1000</f>
        <v>2.2499999999999999E-2</v>
      </c>
    </row>
    <row r="147" spans="1:30">
      <c r="A147" s="24" t="str">
        <f>+IFERROR(IF(GUAYAQUIL[[#This Row],[CODIGO]]="","",VLOOKUP(GUAYAQUIL[[#This Row],[CODIGO]],MAESTRO!$A:$J,10,FALSE)),"")</f>
        <v>SAN GABRIEL</v>
      </c>
      <c r="B147" s="24" t="str">
        <f>+IFERROR(IF(GUAYAQUIL[[#This Row],[CODIGO]]="","",VLOOKUP(GUAYAQUIL[[#This Row],[CODIGO]],MAESTRO!$A:$Q,17,FALSE)),"")</f>
        <v>QUESOS Y GRASAS</v>
      </c>
      <c r="C147" s="24" t="str">
        <f>+IFERROR(IF(GUAYAQUIL[[#This Row],[CODIGO]]="","",VLOOKUP(GUAYAQUIL[[#This Row],[CODIGO]],MAESTRO!$A:$BA,53,FALSE)),"")</f>
        <v xml:space="preserve">Esteban Montenegro                      </v>
      </c>
      <c r="D147" s="24" t="str">
        <f>+IFERROR(IF(GUAYAQUIL[[#This Row],[CODIGO]]="","",VLOOKUP(GUAYAQUIL[[#This Row],[CODIGO]],MAESTRO!$A:$D,4,FALSE)),"")</f>
        <v>QUESO SEMIMADURO KIOSKO</v>
      </c>
      <c r="E147" s="24" t="str">
        <f>+IFERROR(IF(GUAYAQUIL[[#This Row],[CODIGO]]="","",VLOOKUP(GUAYAQUIL[[#This Row],[CODIGO]],MAESTRO!$A:$F,6,FALSE)),"")</f>
        <v>QUESO HOLANDES KIOSKO TAJADO</v>
      </c>
      <c r="F147" s="42" t="str">
        <f>IF(GUAYAQUIL[[#This Row],[CODIGO]]="","",$K$6)</f>
        <v>GUAYAQUIL</v>
      </c>
      <c r="G147" s="209">
        <f>IF(GUAYAQUIL[[#This Row],[CODIGO]]="","",7711)</f>
        <v>7711</v>
      </c>
      <c r="H147" s="209">
        <f>IF(GUAYAQUIL[[#This Row],[CODIGO]]="","",1001)</f>
        <v>1001</v>
      </c>
      <c r="I147" s="258" t="s">
        <v>682</v>
      </c>
      <c r="J147" s="25" t="str">
        <f>IFERROR((VLOOKUP(GUAYAQUIL[[#This Row],[CODIGO]],MAESTRO!A:B,2,FALSE)),"")</f>
        <v>Q HOLAN KIOSKO 20 LONJ 300G</v>
      </c>
      <c r="K147" s="35">
        <v>75</v>
      </c>
      <c r="L147" s="38">
        <f>+IFERROR(IF(GUAYAQUIL[[#This Row],[CODIGO]]="","",VLOOKUP(GUAYAQUIL[[#This Row],[CODIGO]],MAESTRO!$A:$BF,58,FALSE)),"")</f>
        <v>1</v>
      </c>
      <c r="M147" s="27">
        <f>+IFERROR(IF(GUAYAQUIL[[#This Row],[CODIGO]]="","",VLOOKUP(GUAYAQUIL[[#This Row],[CODIGO]],MAESTRO!A:N,14,FALSE)),"")</f>
        <v>0.3</v>
      </c>
      <c r="N147" s="28">
        <f>+IFERROR(IF(GUAYAQUIL[[#This Row],[CODIGO]]="","",VLOOKUP(GUAYAQUIL[[#This Row],[CODIGO]],MAESTRO!A:P,16,FALSE)),"")</f>
        <v>90</v>
      </c>
      <c r="O147" s="45">
        <v>45617</v>
      </c>
      <c r="P147" s="72" t="str">
        <f t="shared" si="10"/>
        <v>jueves</v>
      </c>
      <c r="Q147" s="29">
        <f>IFERROR(IF(GUAYAQUIL[[#This Row],[CODIGO]]="","",IF(GUAYAQUIL[[#This Row],[Fecha Cad]]="","",(GUAYAQUIL[[#This Row],[Fecha Cad]]-GUAYAQUIL[[#This Row],[VIDA UTIL (Días)]]))+1),"")</f>
        <v>45610</v>
      </c>
      <c r="R147" s="45">
        <v>45699</v>
      </c>
      <c r="S147" s="30">
        <f t="shared" ca="1" si="11"/>
        <v>75</v>
      </c>
      <c r="T147" s="31">
        <f t="shared" ca="1" si="12"/>
        <v>0.83333333333333337</v>
      </c>
      <c r="U147" s="286">
        <v>75</v>
      </c>
      <c r="V147" s="262">
        <f>+IFERROR(IF(GUAYAQUIL[[#This Row],[CODIGO]]="","",GUAYAQUIL[[#This Row],[Stock Actual Unds]]*GUAYAQUIL[[#This Row],[Gramaje]]*GUAYAQUIL[[#This Row],[Conversión]]),"")</f>
        <v>22.5</v>
      </c>
      <c r="W147" s="270">
        <f t="shared" si="13"/>
        <v>7</v>
      </c>
      <c r="X147" s="32">
        <f t="shared" si="14"/>
        <v>0.92222222222222228</v>
      </c>
      <c r="Y147" s="236">
        <f>IFERROR(VLOOKUP(GUAYAQUIL[[#This Row],[CODIGO]],MAESTRO!A:BI,21,FALSE),0)</f>
        <v>2.4232300000000002</v>
      </c>
      <c r="Z147" s="237">
        <f>+IFERROR(IF(GUAYAQUIL[[#This Row],[CODIGO]]="","",GUAYAQUIL[[#This Row],[COSTO UNIT base]]*GUAYAQUIL[[#This Row],[Conversión]]),"")</f>
        <v>2.4232300000000002</v>
      </c>
      <c r="AA147" s="236">
        <f>+IFERROR(IF(GUAYAQUIL[[#This Row],[CODIGO]]="","",GUAYAQUIL[[#This Row],[COSTO UNIT Conv]]*GUAYAQUIL[[#This Row],[Stock Actual Kgs]]),"")</f>
        <v>54.522675000000007</v>
      </c>
      <c r="AB147" s="33">
        <f ca="1">+IFERROR(IF(GUAYAQUIL[[#This Row],[CODIGO]]="","",$J$3-O147),"")</f>
        <v>7</v>
      </c>
      <c r="AC147" s="34" t="str">
        <f ca="1">IF(GUAYAQUIL[[#This Row],[CODIGO]]="","",IF(S147&lt;=0,"CADUCADO",IF(AND(S147&gt;0,S147&lt;=21),"FECHA CORTA",IF(AND(S147&gt;=22,S147&lt;=26),"PROXIMOS FECHA CORTA", "VIGENTE"))))</f>
        <v>VIGENTE</v>
      </c>
      <c r="AD147" s="37">
        <f>+IF(GUAYAQUIL[[#This Row],[CODIGO]]="","",GUAYAQUIL[[#This Row],[Stock Actual Unds]]*GUAYAQUIL[[#This Row],[Gramaje]]*GUAYAQUIL[[#This Row],[Conversión]])/1000</f>
        <v>2.2499999999999999E-2</v>
      </c>
    </row>
    <row r="148" spans="1:30">
      <c r="A148" s="24" t="str">
        <f>+IFERROR(IF(GUAYAQUIL[[#This Row],[CODIGO]]="","",VLOOKUP(GUAYAQUIL[[#This Row],[CODIGO]],MAESTRO!$A:$J,10,FALSE)),"")</f>
        <v>SAN GABRIEL</v>
      </c>
      <c r="B148" s="24" t="str">
        <f>+IFERROR(IF(GUAYAQUIL[[#This Row],[CODIGO]]="","",VLOOKUP(GUAYAQUIL[[#This Row],[CODIGO]],MAESTRO!$A:$Q,17,FALSE)),"")</f>
        <v>QUESOS Y GRASAS</v>
      </c>
      <c r="C148" s="24" t="str">
        <f>+IFERROR(IF(GUAYAQUIL[[#This Row],[CODIGO]]="","",VLOOKUP(GUAYAQUIL[[#This Row],[CODIGO]],MAESTRO!$A:$BA,53,FALSE)),"")</f>
        <v xml:space="preserve">Esteban Montenegro                      </v>
      </c>
      <c r="D148" s="24" t="str">
        <f>+IFERROR(IF(GUAYAQUIL[[#This Row],[CODIGO]]="","",VLOOKUP(GUAYAQUIL[[#This Row],[CODIGO]],MAESTRO!$A:$D,4,FALSE)),"")</f>
        <v>QUESO SEMIMADURO KIOSKO</v>
      </c>
      <c r="E148" s="24" t="str">
        <f>+IFERROR(IF(GUAYAQUIL[[#This Row],[CODIGO]]="","",VLOOKUP(GUAYAQUIL[[#This Row],[CODIGO]],MAESTRO!$A:$F,6,FALSE)),"")</f>
        <v>QUESO HOLANDES KIOSKO TAJADO</v>
      </c>
      <c r="F148" s="42" t="str">
        <f>IF(GUAYAQUIL[[#This Row],[CODIGO]]="","",$K$6)</f>
        <v>GUAYAQUIL</v>
      </c>
      <c r="G148" s="42">
        <f>IF(GUAYAQUIL[[#This Row],[CODIGO]]="","",7711)</f>
        <v>7711</v>
      </c>
      <c r="H148" s="42">
        <f>IF(GUAYAQUIL[[#This Row],[CODIGO]]="","",1001)</f>
        <v>1001</v>
      </c>
      <c r="I148" s="258" t="s">
        <v>2418</v>
      </c>
      <c r="J148" s="25" t="str">
        <f>IFERROR((VLOOKUP(GUAYAQUIL[[#This Row],[CODIGO]],MAESTRO!A:B,2,FALSE)),"")</f>
        <v>Q HOLAN KIOSKO 10 LONJ 150G</v>
      </c>
      <c r="K148" s="35">
        <v>150</v>
      </c>
      <c r="L148" s="38">
        <f>+IFERROR(IF(GUAYAQUIL[[#This Row],[CODIGO]]="","",VLOOKUP(GUAYAQUIL[[#This Row],[CODIGO]],MAESTRO!$A:$BF,58,FALSE)),"")</f>
        <v>1</v>
      </c>
      <c r="M148" s="27">
        <f>+IFERROR(IF(GUAYAQUIL[[#This Row],[CODIGO]]="","",VLOOKUP(GUAYAQUIL[[#This Row],[CODIGO]],MAESTRO!A:N,14,FALSE)),"")</f>
        <v>0.15</v>
      </c>
      <c r="N148" s="28">
        <f>+IFERROR(IF(GUAYAQUIL[[#This Row],[CODIGO]]="","",VLOOKUP(GUAYAQUIL[[#This Row],[CODIGO]],MAESTRO!A:P,16,FALSE)),"")</f>
        <v>90</v>
      </c>
      <c r="O148" s="45">
        <v>45609</v>
      </c>
      <c r="P148" s="72" t="str">
        <f t="shared" si="10"/>
        <v>miércoles</v>
      </c>
      <c r="Q148" s="29">
        <f>IFERROR(IF(GUAYAQUIL[[#This Row],[CODIGO]]="","",IF(GUAYAQUIL[[#This Row],[Fecha Cad]]="","",(GUAYAQUIL[[#This Row],[Fecha Cad]]-GUAYAQUIL[[#This Row],[VIDA UTIL (Días)]]))+1),"")</f>
        <v>45608</v>
      </c>
      <c r="R148" s="45">
        <v>45697</v>
      </c>
      <c r="S148" s="30">
        <f t="shared" ca="1" si="11"/>
        <v>73</v>
      </c>
      <c r="T148" s="31">
        <f t="shared" ca="1" si="12"/>
        <v>0.81111111111111112</v>
      </c>
      <c r="U148" s="286">
        <v>83</v>
      </c>
      <c r="V148" s="262">
        <f>+IFERROR(IF(GUAYAQUIL[[#This Row],[CODIGO]]="","",GUAYAQUIL[[#This Row],[Stock Actual Unds]]*GUAYAQUIL[[#This Row],[Gramaje]]*GUAYAQUIL[[#This Row],[Conversión]]),"")</f>
        <v>12.45</v>
      </c>
      <c r="W148" s="270">
        <f t="shared" si="13"/>
        <v>1</v>
      </c>
      <c r="X148" s="32">
        <f t="shared" si="14"/>
        <v>0.98888888888888893</v>
      </c>
      <c r="Y148" s="236">
        <f>IFERROR(VLOOKUP(GUAYAQUIL[[#This Row],[CODIGO]],MAESTRO!A:BI,21,FALSE),0)</f>
        <v>1.229355</v>
      </c>
      <c r="Z148" s="237">
        <f>+IFERROR(IF(GUAYAQUIL[[#This Row],[CODIGO]]="","",GUAYAQUIL[[#This Row],[COSTO UNIT base]]*GUAYAQUIL[[#This Row],[Conversión]]),"")</f>
        <v>1.229355</v>
      </c>
      <c r="AA148" s="236">
        <f>+IFERROR(IF(GUAYAQUIL[[#This Row],[CODIGO]]="","",GUAYAQUIL[[#This Row],[COSTO UNIT Conv]]*GUAYAQUIL[[#This Row],[Stock Actual Kgs]]),"")</f>
        <v>15.305469749999999</v>
      </c>
      <c r="AB148" s="33">
        <f ca="1">+IFERROR(IF(GUAYAQUIL[[#This Row],[CODIGO]]="","",$J$3-O148),"")</f>
        <v>15</v>
      </c>
      <c r="AC148" s="34" t="str">
        <f ca="1">IF(GUAYAQUIL[[#This Row],[CODIGO]]="","",IF(S148&lt;=0,"CADUCADO",IF(AND(S148&gt;0,S148&lt;=21),"FECHA CORTA",IF(AND(S148&gt;=22,S148&lt;=26),"PROXIMOS FECHA CORTA", "VIGENTE"))))</f>
        <v>VIGENTE</v>
      </c>
      <c r="AD148" s="37">
        <f>+IF(GUAYAQUIL[[#This Row],[CODIGO]]="","",GUAYAQUIL[[#This Row],[Stock Actual Unds]]*GUAYAQUIL[[#This Row],[Gramaje]]*GUAYAQUIL[[#This Row],[Conversión]])/1000</f>
        <v>1.2449999999999999E-2</v>
      </c>
    </row>
    <row r="149" spans="1:30">
      <c r="A149" s="24" t="str">
        <f>+IFERROR(IF(GUAYAQUIL[[#This Row],[CODIGO]]="","",VLOOKUP(GUAYAQUIL[[#This Row],[CODIGO]],MAESTRO!$A:$J,10,FALSE)),"")</f>
        <v>SAN GABRIEL</v>
      </c>
      <c r="B149" s="24" t="str">
        <f>+IFERROR(IF(GUAYAQUIL[[#This Row],[CODIGO]]="","",VLOOKUP(GUAYAQUIL[[#This Row],[CODIGO]],MAESTRO!$A:$Q,17,FALSE)),"")</f>
        <v>QUESOS Y GRASAS</v>
      </c>
      <c r="C149" s="24" t="str">
        <f>+IFERROR(IF(GUAYAQUIL[[#This Row],[CODIGO]]="","",VLOOKUP(GUAYAQUIL[[#This Row],[CODIGO]],MAESTRO!$A:$BA,53,FALSE)),"")</f>
        <v xml:space="preserve">Esteban Montenegro                      </v>
      </c>
      <c r="D149" s="24" t="str">
        <f>+IFERROR(IF(GUAYAQUIL[[#This Row],[CODIGO]]="","",VLOOKUP(GUAYAQUIL[[#This Row],[CODIGO]],MAESTRO!$A:$D,4,FALSE)),"")</f>
        <v>QUESO SEMIMADURO KIOSKO</v>
      </c>
      <c r="E149" s="24" t="str">
        <f>+IFERROR(IF(GUAYAQUIL[[#This Row],[CODIGO]]="","",VLOOKUP(GUAYAQUIL[[#This Row],[CODIGO]],MAESTRO!$A:$F,6,FALSE)),"")</f>
        <v>QUESO HOLANDES KIOSKO TAJADO</v>
      </c>
      <c r="F149" s="42" t="str">
        <f>IF(GUAYAQUIL[[#This Row],[CODIGO]]="","",$K$6)</f>
        <v>GUAYAQUIL</v>
      </c>
      <c r="G149" s="209">
        <f>IF(GUAYAQUIL[[#This Row],[CODIGO]]="","",7711)</f>
        <v>7711</v>
      </c>
      <c r="H149" s="209">
        <f>IF(GUAYAQUIL[[#This Row],[CODIGO]]="","",1001)</f>
        <v>1001</v>
      </c>
      <c r="I149" s="258" t="s">
        <v>2418</v>
      </c>
      <c r="J149" s="25" t="str">
        <f>IFERROR((VLOOKUP(GUAYAQUIL[[#This Row],[CODIGO]],MAESTRO!A:B,2,FALSE)),"")</f>
        <v>Q HOLAN KIOSKO 10 LONJ 150G</v>
      </c>
      <c r="K149" s="35">
        <v>150</v>
      </c>
      <c r="L149" s="38">
        <f>+IFERROR(IF(GUAYAQUIL[[#This Row],[CODIGO]]="","",VLOOKUP(GUAYAQUIL[[#This Row],[CODIGO]],MAESTRO!$A:$BF,58,FALSE)),"")</f>
        <v>1</v>
      </c>
      <c r="M149" s="27">
        <f>+IFERROR(IF(GUAYAQUIL[[#This Row],[CODIGO]]="","",VLOOKUP(GUAYAQUIL[[#This Row],[CODIGO]],MAESTRO!A:N,14,FALSE)),"")</f>
        <v>0.15</v>
      </c>
      <c r="N149" s="28">
        <f>+IFERROR(IF(GUAYAQUIL[[#This Row],[CODIGO]]="","",VLOOKUP(GUAYAQUIL[[#This Row],[CODIGO]],MAESTRO!A:P,16,FALSE)),"")</f>
        <v>90</v>
      </c>
      <c r="O149" s="45">
        <v>45611</v>
      </c>
      <c r="P149" s="72" t="str">
        <f t="shared" si="10"/>
        <v>viernes</v>
      </c>
      <c r="Q149" s="29">
        <f>IFERROR(IF(GUAYAQUIL[[#This Row],[CODIGO]]="","",IF(GUAYAQUIL[[#This Row],[Fecha Cad]]="","",(GUAYAQUIL[[#This Row],[Fecha Cad]]-GUAYAQUIL[[#This Row],[VIDA UTIL (Días)]]))+1),"")</f>
        <v>45608</v>
      </c>
      <c r="R149" s="45">
        <v>45697</v>
      </c>
      <c r="S149" s="30">
        <f t="shared" ca="1" si="11"/>
        <v>73</v>
      </c>
      <c r="T149" s="31">
        <f t="shared" ca="1" si="12"/>
        <v>0.81111111111111112</v>
      </c>
      <c r="U149" s="286">
        <v>150</v>
      </c>
      <c r="V149" s="262">
        <f>+IFERROR(IF(GUAYAQUIL[[#This Row],[CODIGO]]="","",GUAYAQUIL[[#This Row],[Stock Actual Unds]]*GUAYAQUIL[[#This Row],[Gramaje]]*GUAYAQUIL[[#This Row],[Conversión]]),"")</f>
        <v>22.5</v>
      </c>
      <c r="W149" s="270">
        <f t="shared" si="13"/>
        <v>3</v>
      </c>
      <c r="X149" s="32">
        <f t="shared" si="14"/>
        <v>0.96666666666666667</v>
      </c>
      <c r="Y149" s="236">
        <f>IFERROR(VLOOKUP(GUAYAQUIL[[#This Row],[CODIGO]],MAESTRO!A:BI,21,FALSE),0)</f>
        <v>1.229355</v>
      </c>
      <c r="Z149" s="237">
        <f>+IFERROR(IF(GUAYAQUIL[[#This Row],[CODIGO]]="","",GUAYAQUIL[[#This Row],[COSTO UNIT base]]*GUAYAQUIL[[#This Row],[Conversión]]),"")</f>
        <v>1.229355</v>
      </c>
      <c r="AA149" s="236">
        <f>+IFERROR(IF(GUAYAQUIL[[#This Row],[CODIGO]]="","",GUAYAQUIL[[#This Row],[COSTO UNIT Conv]]*GUAYAQUIL[[#This Row],[Stock Actual Kgs]]),"")</f>
        <v>27.660487499999999</v>
      </c>
      <c r="AB149" s="33">
        <f ca="1">+IFERROR(IF(GUAYAQUIL[[#This Row],[CODIGO]]="","",$J$3-O149),"")</f>
        <v>13</v>
      </c>
      <c r="AC149" s="34" t="str">
        <f ca="1">IF(GUAYAQUIL[[#This Row],[CODIGO]]="","",IF(S149&lt;=0,"CADUCADO",IF(AND(S149&gt;0,S149&lt;=21),"FECHA CORTA",IF(AND(S149&gt;=22,S149&lt;=26),"PROXIMOS FECHA CORTA", "VIGENTE"))))</f>
        <v>VIGENTE</v>
      </c>
      <c r="AD149" s="37">
        <f>+IF(GUAYAQUIL[[#This Row],[CODIGO]]="","",GUAYAQUIL[[#This Row],[Stock Actual Unds]]*GUAYAQUIL[[#This Row],[Gramaje]]*GUAYAQUIL[[#This Row],[Conversión]])/1000</f>
        <v>2.2499999999999999E-2</v>
      </c>
    </row>
    <row r="150" spans="1:30">
      <c r="A150" s="24" t="str">
        <f>+IFERROR(IF(GUAYAQUIL[[#This Row],[CODIGO]]="","",VLOOKUP(GUAYAQUIL[[#This Row],[CODIGO]],MAESTRO!$A:$J,10,FALSE)),"")</f>
        <v>SAN GABRIEL</v>
      </c>
      <c r="B150" s="24" t="str">
        <f>+IFERROR(IF(GUAYAQUIL[[#This Row],[CODIGO]]="","",VLOOKUP(GUAYAQUIL[[#This Row],[CODIGO]],MAESTRO!$A:$Q,17,FALSE)),"")</f>
        <v>QUESOS Y GRASAS</v>
      </c>
      <c r="C150" s="24" t="str">
        <f>+IFERROR(IF(GUAYAQUIL[[#This Row],[CODIGO]]="","",VLOOKUP(GUAYAQUIL[[#This Row],[CODIGO]],MAESTRO!$A:$BA,53,FALSE)),"")</f>
        <v xml:space="preserve">Esteban Montenegro                      </v>
      </c>
      <c r="D150" s="24" t="str">
        <f>+IFERROR(IF(GUAYAQUIL[[#This Row],[CODIGO]]="","",VLOOKUP(GUAYAQUIL[[#This Row],[CODIGO]],MAESTRO!$A:$D,4,FALSE)),"")</f>
        <v>QUESO SEMIMADURO KIOSKO</v>
      </c>
      <c r="E150" s="24" t="str">
        <f>+IFERROR(IF(GUAYAQUIL[[#This Row],[CODIGO]]="","",VLOOKUP(GUAYAQUIL[[#This Row],[CODIGO]],MAESTRO!$A:$F,6,FALSE)),"")</f>
        <v>QUESO HOLANDES KIOSKO TAJADO</v>
      </c>
      <c r="F150" s="42" t="str">
        <f>IF(GUAYAQUIL[[#This Row],[CODIGO]]="","",$K$6)</f>
        <v>GUAYAQUIL</v>
      </c>
      <c r="G150" s="42">
        <f>IF(GUAYAQUIL[[#This Row],[CODIGO]]="","",7711)</f>
        <v>7711</v>
      </c>
      <c r="H150" s="42">
        <f>IF(GUAYAQUIL[[#This Row],[CODIGO]]="","",1001)</f>
        <v>1001</v>
      </c>
      <c r="I150" s="258" t="s">
        <v>2418</v>
      </c>
      <c r="J150" s="25" t="str">
        <f>IFERROR((VLOOKUP(GUAYAQUIL[[#This Row],[CODIGO]],MAESTRO!A:B,2,FALSE)),"")</f>
        <v>Q HOLAN KIOSKO 10 LONJ 150G</v>
      </c>
      <c r="K150" s="35">
        <v>150</v>
      </c>
      <c r="L150" s="38">
        <f>+IFERROR(IF(GUAYAQUIL[[#This Row],[CODIGO]]="","",VLOOKUP(GUAYAQUIL[[#This Row],[CODIGO]],MAESTRO!$A:$BF,58,FALSE)),"")</f>
        <v>1</v>
      </c>
      <c r="M150" s="27">
        <f>+IFERROR(IF(GUAYAQUIL[[#This Row],[CODIGO]]="","",VLOOKUP(GUAYAQUIL[[#This Row],[CODIGO]],MAESTRO!A:N,14,FALSE)),"")</f>
        <v>0.15</v>
      </c>
      <c r="N150" s="28">
        <f>+IFERROR(IF(GUAYAQUIL[[#This Row],[CODIGO]]="","",VLOOKUP(GUAYAQUIL[[#This Row],[CODIGO]],MAESTRO!A:P,16,FALSE)),"")</f>
        <v>90</v>
      </c>
      <c r="O150" s="45">
        <v>45617</v>
      </c>
      <c r="P150" s="72" t="str">
        <f t="shared" si="10"/>
        <v>jueves</v>
      </c>
      <c r="Q150" s="29">
        <f>IFERROR(IF(GUAYAQUIL[[#This Row],[CODIGO]]="","",IF(GUAYAQUIL[[#This Row],[Fecha Cad]]="","",(GUAYAQUIL[[#This Row],[Fecha Cad]]-GUAYAQUIL[[#This Row],[VIDA UTIL (Días)]]))+1),"")</f>
        <v>45611</v>
      </c>
      <c r="R150" s="45">
        <v>45700</v>
      </c>
      <c r="S150" s="30">
        <f t="shared" ca="1" si="11"/>
        <v>76</v>
      </c>
      <c r="T150" s="31">
        <f t="shared" ca="1" si="12"/>
        <v>0.84444444444444444</v>
      </c>
      <c r="U150" s="286">
        <v>150</v>
      </c>
      <c r="V150" s="262">
        <f>+IFERROR(IF(GUAYAQUIL[[#This Row],[CODIGO]]="","",GUAYAQUIL[[#This Row],[Stock Actual Unds]]*GUAYAQUIL[[#This Row],[Gramaje]]*GUAYAQUIL[[#This Row],[Conversión]]),"")</f>
        <v>22.5</v>
      </c>
      <c r="W150" s="270">
        <f t="shared" si="13"/>
        <v>6</v>
      </c>
      <c r="X150" s="32">
        <f t="shared" si="14"/>
        <v>0.93333333333333335</v>
      </c>
      <c r="Y150" s="236">
        <f>IFERROR(VLOOKUP(GUAYAQUIL[[#This Row],[CODIGO]],MAESTRO!A:BI,21,FALSE),0)</f>
        <v>1.229355</v>
      </c>
      <c r="Z150" s="237">
        <f>+IFERROR(IF(GUAYAQUIL[[#This Row],[CODIGO]]="","",GUAYAQUIL[[#This Row],[COSTO UNIT base]]*GUAYAQUIL[[#This Row],[Conversión]]),"")</f>
        <v>1.229355</v>
      </c>
      <c r="AA150" s="236">
        <f>+IFERROR(IF(GUAYAQUIL[[#This Row],[CODIGO]]="","",GUAYAQUIL[[#This Row],[COSTO UNIT Conv]]*GUAYAQUIL[[#This Row],[Stock Actual Kgs]]),"")</f>
        <v>27.660487499999999</v>
      </c>
      <c r="AB150" s="33">
        <f ca="1">+IFERROR(IF(GUAYAQUIL[[#This Row],[CODIGO]]="","",$J$3-O150),"")</f>
        <v>7</v>
      </c>
      <c r="AC150" s="34" t="str">
        <f ca="1">IF(GUAYAQUIL[[#This Row],[CODIGO]]="","",IF(S150&lt;=0,"CADUCADO",IF(AND(S150&gt;0,S150&lt;=21),"FECHA CORTA",IF(AND(S150&gt;=22,S150&lt;=26),"PROXIMOS FECHA CORTA", "VIGENTE"))))</f>
        <v>VIGENTE</v>
      </c>
      <c r="AD150" s="37">
        <f>+IF(GUAYAQUIL[[#This Row],[CODIGO]]="","",GUAYAQUIL[[#This Row],[Stock Actual Unds]]*GUAYAQUIL[[#This Row],[Gramaje]]*GUAYAQUIL[[#This Row],[Conversión]])/1000</f>
        <v>2.2499999999999999E-2</v>
      </c>
    </row>
    <row r="151" spans="1:30">
      <c r="A151" s="24" t="str">
        <f>+IFERROR(IF(GUAYAQUIL[[#This Row],[CODIGO]]="","",VLOOKUP(GUAYAQUIL[[#This Row],[CODIGO]],MAESTRO!$A:$J,10,FALSE)),"")</f>
        <v>SAN GABRIEL</v>
      </c>
      <c r="B151" s="24" t="str">
        <f>+IFERROR(IF(GUAYAQUIL[[#This Row],[CODIGO]]="","",VLOOKUP(GUAYAQUIL[[#This Row],[CODIGO]],MAESTRO!$A:$Q,17,FALSE)),"")</f>
        <v>QUESOS Y GRASAS</v>
      </c>
      <c r="C151" s="24" t="str">
        <f>+IFERROR(IF(GUAYAQUIL[[#This Row],[CODIGO]]="","",VLOOKUP(GUAYAQUIL[[#This Row],[CODIGO]],MAESTRO!$A:$BA,53,FALSE)),"")</f>
        <v xml:space="preserve">Esteban Montenegro                      </v>
      </c>
      <c r="D151" s="24" t="str">
        <f>+IFERROR(IF(GUAYAQUIL[[#This Row],[CODIGO]]="","",VLOOKUP(GUAYAQUIL[[#This Row],[CODIGO]],MAESTRO!$A:$D,4,FALSE)),"")</f>
        <v>QUESO SEMIMADURO KIOSKO</v>
      </c>
      <c r="E151" s="24" t="str">
        <f>+IFERROR(IF(GUAYAQUIL[[#This Row],[CODIGO]]="","",VLOOKUP(GUAYAQUIL[[#This Row],[CODIGO]],MAESTRO!$A:$F,6,FALSE)),"")</f>
        <v>QUESO JAVIERINO KIOSKO BLOQUE</v>
      </c>
      <c r="F151" s="42" t="str">
        <f>IF(GUAYAQUIL[[#This Row],[CODIGO]]="","",$K$6)</f>
        <v>GUAYAQUIL</v>
      </c>
      <c r="G151" s="209">
        <f>IF(GUAYAQUIL[[#This Row],[CODIGO]]="","",7711)</f>
        <v>7711</v>
      </c>
      <c r="H151" s="209">
        <f>IF(GUAYAQUIL[[#This Row],[CODIGO]]="","",1001)</f>
        <v>1001</v>
      </c>
      <c r="I151" s="258" t="s">
        <v>4378</v>
      </c>
      <c r="J151" s="25" t="str">
        <f>IFERROR((VLOOKUP(GUAYAQUIL[[#This Row],[CODIGO]],MAESTRO!A:B,2,FALSE)),"")</f>
        <v>Q JAVIER KIOSKO AL PESO</v>
      </c>
      <c r="K151" s="35">
        <v>40</v>
      </c>
      <c r="L151" s="38">
        <f>+IFERROR(IF(GUAYAQUIL[[#This Row],[CODIGO]]="","",VLOOKUP(GUAYAQUIL[[#This Row],[CODIGO]],MAESTRO!$A:$BF,58,FALSE)),"")</f>
        <v>2.7</v>
      </c>
      <c r="M151" s="27">
        <f>+IFERROR(IF(GUAYAQUIL[[#This Row],[CODIGO]]="","",VLOOKUP(GUAYAQUIL[[#This Row],[CODIGO]],MAESTRO!A:N,14,FALSE)),"")</f>
        <v>1</v>
      </c>
      <c r="N151" s="28">
        <f>+IFERROR(IF(GUAYAQUIL[[#This Row],[CODIGO]]="","",VLOOKUP(GUAYAQUIL[[#This Row],[CODIGO]],MAESTRO!A:P,16,FALSE)),"")</f>
        <v>90</v>
      </c>
      <c r="O151" s="45">
        <v>45611</v>
      </c>
      <c r="P151" s="72" t="str">
        <f t="shared" si="10"/>
        <v>viernes</v>
      </c>
      <c r="Q151" s="29">
        <f>IFERROR(IF(GUAYAQUIL[[#This Row],[CODIGO]]="","",IF(GUAYAQUIL[[#This Row],[Fecha Cad]]="","",(GUAYAQUIL[[#This Row],[Fecha Cad]]-GUAYAQUIL[[#This Row],[VIDA UTIL (Días)]]))+1),"")</f>
        <v>45608</v>
      </c>
      <c r="R151" s="45">
        <v>45697</v>
      </c>
      <c r="S151" s="30">
        <f t="shared" ca="1" si="11"/>
        <v>73</v>
      </c>
      <c r="T151" s="31">
        <f t="shared" ca="1" si="12"/>
        <v>0.81111111111111112</v>
      </c>
      <c r="U151" s="286">
        <v>34</v>
      </c>
      <c r="V151" s="262">
        <f>+IFERROR(IF(GUAYAQUIL[[#This Row],[CODIGO]]="","",GUAYAQUIL[[#This Row],[Stock Actual Unds]]*GUAYAQUIL[[#This Row],[Gramaje]]*GUAYAQUIL[[#This Row],[Conversión]]),"")</f>
        <v>91.800000000000011</v>
      </c>
      <c r="W151" s="270">
        <f t="shared" si="13"/>
        <v>3</v>
      </c>
      <c r="X151" s="32">
        <f t="shared" si="14"/>
        <v>0.96666666666666667</v>
      </c>
      <c r="Y151" s="236">
        <f>IFERROR(VLOOKUP(GUAYAQUIL[[#This Row],[CODIGO]],MAESTRO!A:BI,21,FALSE),0)</f>
        <v>6.2949450000000002</v>
      </c>
      <c r="Z151" s="237">
        <f>+IFERROR(IF(GUAYAQUIL[[#This Row],[CODIGO]]="","",GUAYAQUIL[[#This Row],[COSTO UNIT base]]*GUAYAQUIL[[#This Row],[Conversión]]),"")</f>
        <v>16.996351500000003</v>
      </c>
      <c r="AA151" s="236">
        <f>+IFERROR(IF(GUAYAQUIL[[#This Row],[CODIGO]]="","",GUAYAQUIL[[#This Row],[COSTO UNIT Conv]]*GUAYAQUIL[[#This Row],[Stock Actual Kgs]]),"")</f>
        <v>1560.2650677000004</v>
      </c>
      <c r="AB151" s="33">
        <f ca="1">+IFERROR(IF(GUAYAQUIL[[#This Row],[CODIGO]]="","",$J$3-O151),"")</f>
        <v>13</v>
      </c>
      <c r="AC151" s="34" t="str">
        <f ca="1">IF(GUAYAQUIL[[#This Row],[CODIGO]]="","",IF(S151&lt;=0,"CADUCADO",IF(AND(S151&gt;0,S151&lt;=21),"FECHA CORTA",IF(AND(S151&gt;=22,S151&lt;=26),"PROXIMOS FECHA CORTA", "VIGENTE"))))</f>
        <v>VIGENTE</v>
      </c>
      <c r="AD151" s="37">
        <f>+IF(GUAYAQUIL[[#This Row],[CODIGO]]="","",GUAYAQUIL[[#This Row],[Stock Actual Unds]]*GUAYAQUIL[[#This Row],[Gramaje]]*GUAYAQUIL[[#This Row],[Conversión]])/1000</f>
        <v>9.1800000000000007E-2</v>
      </c>
    </row>
    <row r="152" spans="1:30">
      <c r="A152" s="24" t="str">
        <f>+IFERROR(IF(GUAYAQUIL[[#This Row],[CODIGO]]="","",VLOOKUP(GUAYAQUIL[[#This Row],[CODIGO]],MAESTRO!$A:$J,10,FALSE)),"")</f>
        <v>SAN GABRIEL</v>
      </c>
      <c r="B152" s="24" t="str">
        <f>+IFERROR(IF(GUAYAQUIL[[#This Row],[CODIGO]]="","",VLOOKUP(GUAYAQUIL[[#This Row],[CODIGO]],MAESTRO!$A:$Q,17,FALSE)),"")</f>
        <v>QUESOS Y GRASAS</v>
      </c>
      <c r="C152" s="24" t="str">
        <f>+IFERROR(IF(GUAYAQUIL[[#This Row],[CODIGO]]="","",VLOOKUP(GUAYAQUIL[[#This Row],[CODIGO]],MAESTRO!$A:$BA,53,FALSE)),"")</f>
        <v xml:space="preserve">Esteban Montenegro                      </v>
      </c>
      <c r="D152" s="24" t="str">
        <f>+IFERROR(IF(GUAYAQUIL[[#This Row],[CODIGO]]="","",VLOOKUP(GUAYAQUIL[[#This Row],[CODIGO]],MAESTRO!$A:$D,4,FALSE)),"")</f>
        <v>QUESO SEMIMADURO KIOSKO</v>
      </c>
      <c r="E152" s="24" t="str">
        <f>+IFERROR(IF(GUAYAQUIL[[#This Row],[CODIGO]]="","",VLOOKUP(GUAYAQUIL[[#This Row],[CODIGO]],MAESTRO!$A:$F,6,FALSE)),"")</f>
        <v>QUESO JAVIERINO KIOSKO BLOQUE</v>
      </c>
      <c r="F152" s="42" t="str">
        <f>IF(GUAYAQUIL[[#This Row],[CODIGO]]="","",$K$6)</f>
        <v>GUAYAQUIL</v>
      </c>
      <c r="G152" s="42">
        <f>IF(GUAYAQUIL[[#This Row],[CODIGO]]="","",7711)</f>
        <v>7711</v>
      </c>
      <c r="H152" s="42">
        <f>IF(GUAYAQUIL[[#This Row],[CODIGO]]="","",1001)</f>
        <v>1001</v>
      </c>
      <c r="I152" s="258" t="s">
        <v>4378</v>
      </c>
      <c r="J152" s="25" t="str">
        <f>IFERROR((VLOOKUP(GUAYAQUIL[[#This Row],[CODIGO]],MAESTRO!A:B,2,FALSE)),"")</f>
        <v>Q JAVIER KIOSKO AL PESO</v>
      </c>
      <c r="K152" s="35">
        <v>45</v>
      </c>
      <c r="L152" s="38">
        <f>+IFERROR(IF(GUAYAQUIL[[#This Row],[CODIGO]]="","",VLOOKUP(GUAYAQUIL[[#This Row],[CODIGO]],MAESTRO!$A:$BF,58,FALSE)),"")</f>
        <v>2.7</v>
      </c>
      <c r="M152" s="27">
        <f>+IFERROR(IF(GUAYAQUIL[[#This Row],[CODIGO]]="","",VLOOKUP(GUAYAQUIL[[#This Row],[CODIGO]],MAESTRO!A:N,14,FALSE)),"")</f>
        <v>1</v>
      </c>
      <c r="N152" s="28">
        <f>+IFERROR(IF(GUAYAQUIL[[#This Row],[CODIGO]]="","",VLOOKUP(GUAYAQUIL[[#This Row],[CODIGO]],MAESTRO!A:P,16,FALSE)),"")</f>
        <v>90</v>
      </c>
      <c r="O152" s="45">
        <v>45615</v>
      </c>
      <c r="P152" s="72" t="str">
        <f t="shared" si="10"/>
        <v>martes</v>
      </c>
      <c r="Q152" s="29">
        <f>IFERROR(IF(GUAYAQUIL[[#This Row],[CODIGO]]="","",IF(GUAYAQUIL[[#This Row],[Fecha Cad]]="","",(GUAYAQUIL[[#This Row],[Fecha Cad]]-GUAYAQUIL[[#This Row],[VIDA UTIL (Días)]]))+1),"")</f>
        <v>45608</v>
      </c>
      <c r="R152" s="45">
        <v>45697</v>
      </c>
      <c r="S152" s="30">
        <f t="shared" ca="1" si="11"/>
        <v>73</v>
      </c>
      <c r="T152" s="31">
        <f t="shared" ca="1" si="12"/>
        <v>0.81111111111111112</v>
      </c>
      <c r="U152" s="286">
        <v>45</v>
      </c>
      <c r="V152" s="262">
        <f>+IFERROR(IF(GUAYAQUIL[[#This Row],[CODIGO]]="","",GUAYAQUIL[[#This Row],[Stock Actual Unds]]*GUAYAQUIL[[#This Row],[Gramaje]]*GUAYAQUIL[[#This Row],[Conversión]]),"")</f>
        <v>121.50000000000001</v>
      </c>
      <c r="W152" s="270">
        <f t="shared" si="13"/>
        <v>7</v>
      </c>
      <c r="X152" s="32">
        <f t="shared" si="14"/>
        <v>0.92222222222222228</v>
      </c>
      <c r="Y152" s="236">
        <f>IFERROR(VLOOKUP(GUAYAQUIL[[#This Row],[CODIGO]],MAESTRO!A:BI,21,FALSE),0)</f>
        <v>6.2949450000000002</v>
      </c>
      <c r="Z152" s="237">
        <f>+IFERROR(IF(GUAYAQUIL[[#This Row],[CODIGO]]="","",GUAYAQUIL[[#This Row],[COSTO UNIT base]]*GUAYAQUIL[[#This Row],[Conversión]]),"")</f>
        <v>16.996351500000003</v>
      </c>
      <c r="AA152" s="236">
        <f>+IFERROR(IF(GUAYAQUIL[[#This Row],[CODIGO]]="","",GUAYAQUIL[[#This Row],[COSTO UNIT Conv]]*GUAYAQUIL[[#This Row],[Stock Actual Kgs]]),"")</f>
        <v>2065.0567072500007</v>
      </c>
      <c r="AB152" s="33">
        <f ca="1">+IFERROR(IF(GUAYAQUIL[[#This Row],[CODIGO]]="","",$J$3-O152),"")</f>
        <v>9</v>
      </c>
      <c r="AC152" s="34" t="str">
        <f ca="1">IF(GUAYAQUIL[[#This Row],[CODIGO]]="","",IF(S152&lt;=0,"CADUCADO",IF(AND(S152&gt;0,S152&lt;=21),"FECHA CORTA",IF(AND(S152&gt;=22,S152&lt;=26),"PROXIMOS FECHA CORTA", "VIGENTE"))))</f>
        <v>VIGENTE</v>
      </c>
      <c r="AD152" s="37">
        <f>+IF(GUAYAQUIL[[#This Row],[CODIGO]]="","",GUAYAQUIL[[#This Row],[Stock Actual Unds]]*GUAYAQUIL[[#This Row],[Gramaje]]*GUAYAQUIL[[#This Row],[Conversión]])/1000</f>
        <v>0.12150000000000001</v>
      </c>
    </row>
    <row r="153" spans="1:30">
      <c r="A153" s="24" t="str">
        <f>+IFERROR(IF(GUAYAQUIL[[#This Row],[CODIGO]]="","",VLOOKUP(GUAYAQUIL[[#This Row],[CODIGO]],MAESTRO!$A:$J,10,FALSE)),"")</f>
        <v>SAN GABRIEL</v>
      </c>
      <c r="B153" s="24" t="str">
        <f>+IFERROR(IF(GUAYAQUIL[[#This Row],[CODIGO]]="","",VLOOKUP(GUAYAQUIL[[#This Row],[CODIGO]],MAESTRO!$A:$Q,17,FALSE)),"")</f>
        <v>QUESOS Y GRASAS</v>
      </c>
      <c r="C153" s="24" t="str">
        <f>+IFERROR(IF(GUAYAQUIL[[#This Row],[CODIGO]]="","",VLOOKUP(GUAYAQUIL[[#This Row],[CODIGO]],MAESTRO!$A:$BA,53,FALSE)),"")</f>
        <v xml:space="preserve">Esteban Montenegro                      </v>
      </c>
      <c r="D153" s="24" t="str">
        <f>+IFERROR(IF(GUAYAQUIL[[#This Row],[CODIGO]]="","",VLOOKUP(GUAYAQUIL[[#This Row],[CODIGO]],MAESTRO!$A:$D,4,FALSE)),"")</f>
        <v>QUESO SEMIMADURO KIOSKO</v>
      </c>
      <c r="E153" s="24" t="str">
        <f>+IFERROR(IF(GUAYAQUIL[[#This Row],[CODIGO]]="","",VLOOKUP(GUAYAQUIL[[#This Row],[CODIGO]],MAESTRO!$A:$F,6,FALSE)),"")</f>
        <v>QUESO JAVIERINO KIOSKO BLOQUE</v>
      </c>
      <c r="F153" s="42" t="str">
        <f>IF(GUAYAQUIL[[#This Row],[CODIGO]]="","",$K$6)</f>
        <v>GUAYAQUIL</v>
      </c>
      <c r="G153" s="209">
        <f>IF(GUAYAQUIL[[#This Row],[CODIGO]]="","",7711)</f>
        <v>7711</v>
      </c>
      <c r="H153" s="209">
        <f>IF(GUAYAQUIL[[#This Row],[CODIGO]]="","",1001)</f>
        <v>1001</v>
      </c>
      <c r="I153" s="258" t="s">
        <v>4378</v>
      </c>
      <c r="J153" s="25" t="str">
        <f>IFERROR((VLOOKUP(GUAYAQUIL[[#This Row],[CODIGO]],MAESTRO!A:B,2,FALSE)),"")</f>
        <v>Q JAVIER KIOSKO AL PESO</v>
      </c>
      <c r="K153" s="35">
        <v>50</v>
      </c>
      <c r="L153" s="38">
        <f>+IFERROR(IF(GUAYAQUIL[[#This Row],[CODIGO]]="","",VLOOKUP(GUAYAQUIL[[#This Row],[CODIGO]],MAESTRO!$A:$BF,58,FALSE)),"")</f>
        <v>2.7</v>
      </c>
      <c r="M153" s="27">
        <f>+IFERROR(IF(GUAYAQUIL[[#This Row],[CODIGO]]="","",VLOOKUP(GUAYAQUIL[[#This Row],[CODIGO]],MAESTRO!A:N,14,FALSE)),"")</f>
        <v>1</v>
      </c>
      <c r="N153" s="28">
        <f>+IFERROR(IF(GUAYAQUIL[[#This Row],[CODIGO]]="","",VLOOKUP(GUAYAQUIL[[#This Row],[CODIGO]],MAESTRO!A:P,16,FALSE)),"")</f>
        <v>90</v>
      </c>
      <c r="O153" s="45">
        <v>45617</v>
      </c>
      <c r="P153" s="72" t="str">
        <f t="shared" si="10"/>
        <v>jueves</v>
      </c>
      <c r="Q153" s="29">
        <f>IFERROR(IF(GUAYAQUIL[[#This Row],[CODIGO]]="","",IF(GUAYAQUIL[[#This Row],[Fecha Cad]]="","",(GUAYAQUIL[[#This Row],[Fecha Cad]]-GUAYAQUIL[[#This Row],[VIDA UTIL (Días)]]))+1),"")</f>
        <v>45608</v>
      </c>
      <c r="R153" s="45">
        <v>45697</v>
      </c>
      <c r="S153" s="30">
        <f t="shared" ca="1" si="11"/>
        <v>73</v>
      </c>
      <c r="T153" s="31">
        <f t="shared" ca="1" si="12"/>
        <v>0.81111111111111112</v>
      </c>
      <c r="U153" s="286">
        <v>50</v>
      </c>
      <c r="V153" s="262">
        <f>+IFERROR(IF(GUAYAQUIL[[#This Row],[CODIGO]]="","",GUAYAQUIL[[#This Row],[Stock Actual Unds]]*GUAYAQUIL[[#This Row],[Gramaje]]*GUAYAQUIL[[#This Row],[Conversión]]),"")</f>
        <v>135</v>
      </c>
      <c r="W153" s="270">
        <f t="shared" si="13"/>
        <v>9</v>
      </c>
      <c r="X153" s="32">
        <f t="shared" si="14"/>
        <v>0.9</v>
      </c>
      <c r="Y153" s="236">
        <f>IFERROR(VLOOKUP(GUAYAQUIL[[#This Row],[CODIGO]],MAESTRO!A:BI,21,FALSE),0)</f>
        <v>6.2949450000000002</v>
      </c>
      <c r="Z153" s="237">
        <f>+IFERROR(IF(GUAYAQUIL[[#This Row],[CODIGO]]="","",GUAYAQUIL[[#This Row],[COSTO UNIT base]]*GUAYAQUIL[[#This Row],[Conversión]]),"")</f>
        <v>16.996351500000003</v>
      </c>
      <c r="AA153" s="236">
        <f>+IFERROR(IF(GUAYAQUIL[[#This Row],[CODIGO]]="","",GUAYAQUIL[[#This Row],[COSTO UNIT Conv]]*GUAYAQUIL[[#This Row],[Stock Actual Kgs]]),"")</f>
        <v>2294.5074525000005</v>
      </c>
      <c r="AB153" s="33">
        <f ca="1">+IFERROR(IF(GUAYAQUIL[[#This Row],[CODIGO]]="","",$J$3-O153),"")</f>
        <v>7</v>
      </c>
      <c r="AC153" s="34" t="str">
        <f ca="1">IF(GUAYAQUIL[[#This Row],[CODIGO]]="","",IF(S153&lt;=0,"CADUCADO",IF(AND(S153&gt;0,S153&lt;=21),"FECHA CORTA",IF(AND(S153&gt;=22,S153&lt;=26),"PROXIMOS FECHA CORTA", "VIGENTE"))))</f>
        <v>VIGENTE</v>
      </c>
      <c r="AD153" s="37">
        <f>+IF(GUAYAQUIL[[#This Row],[CODIGO]]="","",GUAYAQUIL[[#This Row],[Stock Actual Unds]]*GUAYAQUIL[[#This Row],[Gramaje]]*GUAYAQUIL[[#This Row],[Conversión]])/1000</f>
        <v>0.13500000000000001</v>
      </c>
    </row>
    <row r="154" spans="1:30">
      <c r="A154" s="24" t="str">
        <f>+IFERROR(IF(GUAYAQUIL[[#This Row],[CODIGO]]="","",VLOOKUP(GUAYAQUIL[[#This Row],[CODIGO]],MAESTRO!$A:$J,10,FALSE)),"")</f>
        <v>SAN GABRIEL</v>
      </c>
      <c r="B154" s="24" t="str">
        <f>+IFERROR(IF(GUAYAQUIL[[#This Row],[CODIGO]]="","",VLOOKUP(GUAYAQUIL[[#This Row],[CODIGO]],MAESTRO!$A:$Q,17,FALSE)),"")</f>
        <v>QUESOS Y GRASAS</v>
      </c>
      <c r="C154" s="24" t="str">
        <f>+IFERROR(IF(GUAYAQUIL[[#This Row],[CODIGO]]="","",VLOOKUP(GUAYAQUIL[[#This Row],[CODIGO]],MAESTRO!$A:$BA,53,FALSE)),"")</f>
        <v xml:space="preserve">Esteban Montenegro                      </v>
      </c>
      <c r="D154" s="24" t="str">
        <f>+IFERROR(IF(GUAYAQUIL[[#This Row],[CODIGO]]="","",VLOOKUP(GUAYAQUIL[[#This Row],[CODIGO]],MAESTRO!$A:$D,4,FALSE)),"")</f>
        <v>QUESO SEMIMADURO KIOSKO</v>
      </c>
      <c r="E154" s="24" t="str">
        <f>+IFERROR(IF(GUAYAQUIL[[#This Row],[CODIGO]]="","",VLOOKUP(GUAYAQUIL[[#This Row],[CODIGO]],MAESTRO!$A:$F,6,FALSE)),"")</f>
        <v>QUESO JAVIERINO KIOSKO TAJADO</v>
      </c>
      <c r="F154" s="42" t="str">
        <f>IF(GUAYAQUIL[[#This Row],[CODIGO]]="","",$K$6)</f>
        <v>GUAYAQUIL</v>
      </c>
      <c r="G154" s="42">
        <f>IF(GUAYAQUIL[[#This Row],[CODIGO]]="","",7711)</f>
        <v>7711</v>
      </c>
      <c r="H154" s="42">
        <f>IF(GUAYAQUIL[[#This Row],[CODIGO]]="","",1001)</f>
        <v>1001</v>
      </c>
      <c r="I154" s="258" t="s">
        <v>4075</v>
      </c>
      <c r="J154" s="25" t="str">
        <f>IFERROR((VLOOKUP(GUAYAQUIL[[#This Row],[CODIGO]],MAESTRO!A:B,2,FALSE)),"")</f>
        <v>Q JAVIER KIOSKO 10 LONJ 150G</v>
      </c>
      <c r="K154" s="35">
        <v>150</v>
      </c>
      <c r="L154" s="38">
        <f>+IFERROR(IF(GUAYAQUIL[[#This Row],[CODIGO]]="","",VLOOKUP(GUAYAQUIL[[#This Row],[CODIGO]],MAESTRO!$A:$BF,58,FALSE)),"")</f>
        <v>1</v>
      </c>
      <c r="M154" s="27">
        <f>+IFERROR(IF(GUAYAQUIL[[#This Row],[CODIGO]]="","",VLOOKUP(GUAYAQUIL[[#This Row],[CODIGO]],MAESTRO!A:N,14,FALSE)),"")</f>
        <v>0.15</v>
      </c>
      <c r="N154" s="28">
        <f>+IFERROR(IF(GUAYAQUIL[[#This Row],[CODIGO]]="","",VLOOKUP(GUAYAQUIL[[#This Row],[CODIGO]],MAESTRO!A:P,16,FALSE)),"")</f>
        <v>90</v>
      </c>
      <c r="O154" s="45">
        <v>45611</v>
      </c>
      <c r="P154" s="72" t="str">
        <f t="shared" si="10"/>
        <v>viernes</v>
      </c>
      <c r="Q154" s="29">
        <f>IFERROR(IF(GUAYAQUIL[[#This Row],[CODIGO]]="","",IF(GUAYAQUIL[[#This Row],[Fecha Cad]]="","",(GUAYAQUIL[[#This Row],[Fecha Cad]]-GUAYAQUIL[[#This Row],[VIDA UTIL (Días)]]))+1),"")</f>
        <v>45604</v>
      </c>
      <c r="R154" s="45">
        <v>45693</v>
      </c>
      <c r="S154" s="30">
        <f t="shared" ca="1" si="11"/>
        <v>69</v>
      </c>
      <c r="T154" s="31">
        <f t="shared" ca="1" si="12"/>
        <v>0.76666666666666672</v>
      </c>
      <c r="U154" s="286">
        <v>150</v>
      </c>
      <c r="V154" s="262">
        <f>+IFERROR(IF(GUAYAQUIL[[#This Row],[CODIGO]]="","",GUAYAQUIL[[#This Row],[Stock Actual Unds]]*GUAYAQUIL[[#This Row],[Gramaje]]*GUAYAQUIL[[#This Row],[Conversión]]),"")</f>
        <v>22.5</v>
      </c>
      <c r="W154" s="270">
        <f t="shared" si="13"/>
        <v>7</v>
      </c>
      <c r="X154" s="32">
        <f t="shared" si="14"/>
        <v>0.92222222222222228</v>
      </c>
      <c r="Y154" s="236">
        <f>IFERROR(VLOOKUP(GUAYAQUIL[[#This Row],[CODIGO]],MAESTRO!A:BI,21,FALSE),0)</f>
        <v>1.2392050000000001</v>
      </c>
      <c r="Z154" s="237">
        <f>+IFERROR(IF(GUAYAQUIL[[#This Row],[CODIGO]]="","",GUAYAQUIL[[#This Row],[COSTO UNIT base]]*GUAYAQUIL[[#This Row],[Conversión]]),"")</f>
        <v>1.2392050000000001</v>
      </c>
      <c r="AA154" s="236">
        <f>+IFERROR(IF(GUAYAQUIL[[#This Row],[CODIGO]]="","",GUAYAQUIL[[#This Row],[COSTO UNIT Conv]]*GUAYAQUIL[[#This Row],[Stock Actual Kgs]]),"")</f>
        <v>27.882112500000002</v>
      </c>
      <c r="AB154" s="33">
        <f ca="1">+IFERROR(IF(GUAYAQUIL[[#This Row],[CODIGO]]="","",$J$3-O154),"")</f>
        <v>13</v>
      </c>
      <c r="AC154" s="34" t="str">
        <f ca="1">IF(GUAYAQUIL[[#This Row],[CODIGO]]="","",IF(S154&lt;=0,"CADUCADO",IF(AND(S154&gt;0,S154&lt;=21),"FECHA CORTA",IF(AND(S154&gt;=22,S154&lt;=26),"PROXIMOS FECHA CORTA", "VIGENTE"))))</f>
        <v>VIGENTE</v>
      </c>
      <c r="AD154" s="37">
        <f>+IF(GUAYAQUIL[[#This Row],[CODIGO]]="","",GUAYAQUIL[[#This Row],[Stock Actual Unds]]*GUAYAQUIL[[#This Row],[Gramaje]]*GUAYAQUIL[[#This Row],[Conversión]])/1000</f>
        <v>2.2499999999999999E-2</v>
      </c>
    </row>
    <row r="155" spans="1:30">
      <c r="A155" s="24" t="str">
        <f>+IFERROR(IF(GUAYAQUIL[[#This Row],[CODIGO]]="","",VLOOKUP(GUAYAQUIL[[#This Row],[CODIGO]],MAESTRO!$A:$J,10,FALSE)),"")</f>
        <v>SAN GABRIEL</v>
      </c>
      <c r="B155" s="24" t="str">
        <f>+IFERROR(IF(GUAYAQUIL[[#This Row],[CODIGO]]="","",VLOOKUP(GUAYAQUIL[[#This Row],[CODIGO]],MAESTRO!$A:$Q,17,FALSE)),"")</f>
        <v>QUESOS Y GRASAS</v>
      </c>
      <c r="C155" s="24" t="str">
        <f>+IFERROR(IF(GUAYAQUIL[[#This Row],[CODIGO]]="","",VLOOKUP(GUAYAQUIL[[#This Row],[CODIGO]],MAESTRO!$A:$BA,53,FALSE)),"")</f>
        <v xml:space="preserve">Esteban Montenegro                      </v>
      </c>
      <c r="D155" s="24" t="str">
        <f>+IFERROR(IF(GUAYAQUIL[[#This Row],[CODIGO]]="","",VLOOKUP(GUAYAQUIL[[#This Row],[CODIGO]],MAESTRO!$A:$D,4,FALSE)),"")</f>
        <v>QUESO SEMIMADURO KIOSKO</v>
      </c>
      <c r="E155" s="24" t="str">
        <f>+IFERROR(IF(GUAYAQUIL[[#This Row],[CODIGO]]="","",VLOOKUP(GUAYAQUIL[[#This Row],[CODIGO]],MAESTRO!$A:$F,6,FALSE)),"")</f>
        <v>QUESO JAVIERINO KIOSKO TAJADO</v>
      </c>
      <c r="F155" s="42" t="str">
        <f>IF(GUAYAQUIL[[#This Row],[CODIGO]]="","",$K$6)</f>
        <v>GUAYAQUIL</v>
      </c>
      <c r="G155" s="42">
        <f>IF(GUAYAQUIL[[#This Row],[CODIGO]]="","",7711)</f>
        <v>7711</v>
      </c>
      <c r="H155" s="42">
        <f>IF(GUAYAQUIL[[#This Row],[CODIGO]]="","",1001)</f>
        <v>1001</v>
      </c>
      <c r="I155" s="258" t="s">
        <v>4075</v>
      </c>
      <c r="J155" s="25" t="str">
        <f>IFERROR((VLOOKUP(GUAYAQUIL[[#This Row],[CODIGO]],MAESTRO!A:B,2,FALSE)),"")</f>
        <v>Q JAVIER KIOSKO 10 LONJ 150G</v>
      </c>
      <c r="K155" s="35">
        <v>150</v>
      </c>
      <c r="L155" s="38">
        <f>+IFERROR(IF(GUAYAQUIL[[#This Row],[CODIGO]]="","",VLOOKUP(GUAYAQUIL[[#This Row],[CODIGO]],MAESTRO!$A:$BF,58,FALSE)),"")</f>
        <v>1</v>
      </c>
      <c r="M155" s="27">
        <f>+IFERROR(IF(GUAYAQUIL[[#This Row],[CODIGO]]="","",VLOOKUP(GUAYAQUIL[[#This Row],[CODIGO]],MAESTRO!A:N,14,FALSE)),"")</f>
        <v>0.15</v>
      </c>
      <c r="N155" s="28">
        <f>+IFERROR(IF(GUAYAQUIL[[#This Row],[CODIGO]]="","",VLOOKUP(GUAYAQUIL[[#This Row],[CODIGO]],MAESTRO!A:P,16,FALSE)),"")</f>
        <v>90</v>
      </c>
      <c r="O155" s="45">
        <v>45610</v>
      </c>
      <c r="P155" s="72" t="str">
        <f t="shared" si="10"/>
        <v>jueves</v>
      </c>
      <c r="Q155" s="29">
        <f>IFERROR(IF(GUAYAQUIL[[#This Row],[CODIGO]]="","",IF(GUAYAQUIL[[#This Row],[Fecha Cad]]="","",(GUAYAQUIL[[#This Row],[Fecha Cad]]-GUAYAQUIL[[#This Row],[VIDA UTIL (Días)]]))+1),"")</f>
        <v>45604</v>
      </c>
      <c r="R155" s="45">
        <v>45693</v>
      </c>
      <c r="S155" s="30">
        <f t="shared" ca="1" si="11"/>
        <v>69</v>
      </c>
      <c r="T155" s="31">
        <f t="shared" ca="1" si="12"/>
        <v>0.76666666666666672</v>
      </c>
      <c r="U155" s="286">
        <v>89</v>
      </c>
      <c r="V155" s="262">
        <f>+IFERROR(IF(GUAYAQUIL[[#This Row],[CODIGO]]="","",GUAYAQUIL[[#This Row],[Stock Actual Unds]]*GUAYAQUIL[[#This Row],[Gramaje]]*GUAYAQUIL[[#This Row],[Conversión]]),"")</f>
        <v>13.35</v>
      </c>
      <c r="W155" s="270">
        <f t="shared" si="13"/>
        <v>6</v>
      </c>
      <c r="X155" s="32">
        <f t="shared" si="14"/>
        <v>0.93333333333333335</v>
      </c>
      <c r="Y155" s="236">
        <f>IFERROR(VLOOKUP(GUAYAQUIL[[#This Row],[CODIGO]],MAESTRO!A:BI,21,FALSE),0)</f>
        <v>1.2392050000000001</v>
      </c>
      <c r="Z155" s="237">
        <f>+IFERROR(IF(GUAYAQUIL[[#This Row],[CODIGO]]="","",GUAYAQUIL[[#This Row],[COSTO UNIT base]]*GUAYAQUIL[[#This Row],[Conversión]]),"")</f>
        <v>1.2392050000000001</v>
      </c>
      <c r="AA155" s="236">
        <f>+IFERROR(IF(GUAYAQUIL[[#This Row],[CODIGO]]="","",GUAYAQUIL[[#This Row],[COSTO UNIT Conv]]*GUAYAQUIL[[#This Row],[Stock Actual Kgs]]),"")</f>
        <v>16.54338675</v>
      </c>
      <c r="AB155" s="33">
        <f ca="1">+IFERROR(IF(GUAYAQUIL[[#This Row],[CODIGO]]="","",$J$3-O155),"")</f>
        <v>14</v>
      </c>
      <c r="AC155" s="34" t="str">
        <f ca="1">IF(GUAYAQUIL[[#This Row],[CODIGO]]="","",IF(S155&lt;=0,"CADUCADO",IF(AND(S155&gt;0,S155&lt;=21),"FECHA CORTA",IF(AND(S155&gt;=22,S155&lt;=26),"PROXIMOS FECHA CORTA", "VIGENTE"))))</f>
        <v>VIGENTE</v>
      </c>
      <c r="AD155" s="37">
        <f>+IF(GUAYAQUIL[[#This Row],[CODIGO]]="","",GUAYAQUIL[[#This Row],[Stock Actual Unds]]*GUAYAQUIL[[#This Row],[Gramaje]]*GUAYAQUIL[[#This Row],[Conversión]])/1000</f>
        <v>1.3349999999999999E-2</v>
      </c>
    </row>
    <row r="156" spans="1:30">
      <c r="A156" s="24" t="str">
        <f>+IFERROR(IF(GUAYAQUIL[[#This Row],[CODIGO]]="","",VLOOKUP(GUAYAQUIL[[#This Row],[CODIGO]],MAESTRO!$A:$J,10,FALSE)),"")</f>
        <v>SAN GABRIEL</v>
      </c>
      <c r="B156" s="24" t="str">
        <f>+IFERROR(IF(GUAYAQUIL[[#This Row],[CODIGO]]="","",VLOOKUP(GUAYAQUIL[[#This Row],[CODIGO]],MAESTRO!$A:$Q,17,FALSE)),"")</f>
        <v>QUESOS Y GRASAS</v>
      </c>
      <c r="C156" s="24" t="str">
        <f>+IFERROR(IF(GUAYAQUIL[[#This Row],[CODIGO]]="","",VLOOKUP(GUAYAQUIL[[#This Row],[CODIGO]],MAESTRO!$A:$BA,53,FALSE)),"")</f>
        <v xml:space="preserve">Esteban Montenegro                      </v>
      </c>
      <c r="D156" s="24" t="str">
        <f>+IFERROR(IF(GUAYAQUIL[[#This Row],[CODIGO]]="","",VLOOKUP(GUAYAQUIL[[#This Row],[CODIGO]],MAESTRO!$A:$D,4,FALSE)),"")</f>
        <v>QUESO SEMIMADURO KIOSKO</v>
      </c>
      <c r="E156" s="24" t="str">
        <f>+IFERROR(IF(GUAYAQUIL[[#This Row],[CODIGO]]="","",VLOOKUP(GUAYAQUIL[[#This Row],[CODIGO]],MAESTRO!$A:$F,6,FALSE)),"")</f>
        <v>QUESO JAVIERINO KIOSKO TAJADO</v>
      </c>
      <c r="F156" s="42" t="str">
        <f>IF(GUAYAQUIL[[#This Row],[CODIGO]]="","",$K$6)</f>
        <v>GUAYAQUIL</v>
      </c>
      <c r="G156" s="42">
        <f>IF(GUAYAQUIL[[#This Row],[CODIGO]]="","",7711)</f>
        <v>7711</v>
      </c>
      <c r="H156" s="42">
        <f>IF(GUAYAQUIL[[#This Row],[CODIGO]]="","",1001)</f>
        <v>1001</v>
      </c>
      <c r="I156" s="258" t="s">
        <v>4075</v>
      </c>
      <c r="J156" s="25" t="str">
        <f>IFERROR((VLOOKUP(GUAYAQUIL[[#This Row],[CODIGO]],MAESTRO!A:B,2,FALSE)),"")</f>
        <v>Q JAVIER KIOSKO 10 LONJ 150G</v>
      </c>
      <c r="K156" s="35">
        <v>150</v>
      </c>
      <c r="L156" s="38">
        <f>+IFERROR(IF(GUAYAQUIL[[#This Row],[CODIGO]]="","",VLOOKUP(GUAYAQUIL[[#This Row],[CODIGO]],MAESTRO!$A:$BF,58,FALSE)),"")</f>
        <v>1</v>
      </c>
      <c r="M156" s="27">
        <f>+IFERROR(IF(GUAYAQUIL[[#This Row],[CODIGO]]="","",VLOOKUP(GUAYAQUIL[[#This Row],[CODIGO]],MAESTRO!A:N,14,FALSE)),"")</f>
        <v>0.15</v>
      </c>
      <c r="N156" s="28">
        <f>+IFERROR(IF(GUAYAQUIL[[#This Row],[CODIGO]]="","",VLOOKUP(GUAYAQUIL[[#This Row],[CODIGO]],MAESTRO!A:P,16,FALSE)),"")</f>
        <v>90</v>
      </c>
      <c r="O156" s="45">
        <v>45617</v>
      </c>
      <c r="P156" s="72" t="str">
        <f t="shared" si="10"/>
        <v>jueves</v>
      </c>
      <c r="Q156" s="29">
        <f>IFERROR(IF(GUAYAQUIL[[#This Row],[CODIGO]]="","",IF(GUAYAQUIL[[#This Row],[Fecha Cad]]="","",(GUAYAQUIL[[#This Row],[Fecha Cad]]-GUAYAQUIL[[#This Row],[VIDA UTIL (Días)]]))+1),"")</f>
        <v>45604</v>
      </c>
      <c r="R156" s="45">
        <v>45693</v>
      </c>
      <c r="S156" s="30">
        <f t="shared" ca="1" si="11"/>
        <v>69</v>
      </c>
      <c r="T156" s="31">
        <f t="shared" ca="1" si="12"/>
        <v>0.76666666666666672</v>
      </c>
      <c r="U156" s="286">
        <v>150</v>
      </c>
      <c r="V156" s="262">
        <f>+IFERROR(IF(GUAYAQUIL[[#This Row],[CODIGO]]="","",GUAYAQUIL[[#This Row],[Stock Actual Unds]]*GUAYAQUIL[[#This Row],[Gramaje]]*GUAYAQUIL[[#This Row],[Conversión]]),"")</f>
        <v>22.5</v>
      </c>
      <c r="W156" s="270">
        <f t="shared" si="13"/>
        <v>13</v>
      </c>
      <c r="X156" s="32">
        <f t="shared" si="14"/>
        <v>0.85555555555555562</v>
      </c>
      <c r="Y156" s="236">
        <f>IFERROR(VLOOKUP(GUAYAQUIL[[#This Row],[CODIGO]],MAESTRO!A:BI,21,FALSE),0)</f>
        <v>1.2392050000000001</v>
      </c>
      <c r="Z156" s="237">
        <f>+IFERROR(IF(GUAYAQUIL[[#This Row],[CODIGO]]="","",GUAYAQUIL[[#This Row],[COSTO UNIT base]]*GUAYAQUIL[[#This Row],[Conversión]]),"")</f>
        <v>1.2392050000000001</v>
      </c>
      <c r="AA156" s="236">
        <f>+IFERROR(IF(GUAYAQUIL[[#This Row],[CODIGO]]="","",GUAYAQUIL[[#This Row],[COSTO UNIT Conv]]*GUAYAQUIL[[#This Row],[Stock Actual Kgs]]),"")</f>
        <v>27.882112500000002</v>
      </c>
      <c r="AB156" s="33">
        <f ca="1">+IFERROR(IF(GUAYAQUIL[[#This Row],[CODIGO]]="","",$J$3-O156),"")</f>
        <v>7</v>
      </c>
      <c r="AC156" s="34" t="str">
        <f ca="1">IF(GUAYAQUIL[[#This Row],[CODIGO]]="","",IF(S156&lt;=0,"CADUCADO",IF(AND(S156&gt;0,S156&lt;=21),"FECHA CORTA",IF(AND(S156&gt;=22,S156&lt;=26),"PROXIMOS FECHA CORTA", "VIGENTE"))))</f>
        <v>VIGENTE</v>
      </c>
      <c r="AD156" s="37">
        <f>+IF(GUAYAQUIL[[#This Row],[CODIGO]]="","",GUAYAQUIL[[#This Row],[Stock Actual Unds]]*GUAYAQUIL[[#This Row],[Gramaje]]*GUAYAQUIL[[#This Row],[Conversión]])/1000</f>
        <v>2.2499999999999999E-2</v>
      </c>
    </row>
    <row r="157" spans="1:30">
      <c r="A157" s="24" t="str">
        <f>+IFERROR(IF(GUAYAQUIL[[#This Row],[CODIGO]]="","",VLOOKUP(GUAYAQUIL[[#This Row],[CODIGO]],MAESTRO!$A:$J,10,FALSE)),"")</f>
        <v>SAN GABRIEL</v>
      </c>
      <c r="B157" s="24" t="str">
        <f>+IFERROR(IF(GUAYAQUIL[[#This Row],[CODIGO]]="","",VLOOKUP(GUAYAQUIL[[#This Row],[CODIGO]],MAESTRO!$A:$Q,17,FALSE)),"")</f>
        <v>QUESOS Y GRASAS</v>
      </c>
      <c r="C157" s="24" t="str">
        <f>+IFERROR(IF(GUAYAQUIL[[#This Row],[CODIGO]]="","",VLOOKUP(GUAYAQUIL[[#This Row],[CODIGO]],MAESTRO!$A:$BA,53,FALSE)),"")</f>
        <v xml:space="preserve">Esteban Montenegro                      </v>
      </c>
      <c r="D157" s="24" t="str">
        <f>+IFERROR(IF(GUAYAQUIL[[#This Row],[CODIGO]]="","",VLOOKUP(GUAYAQUIL[[#This Row],[CODIGO]],MAESTRO!$A:$D,4,FALSE)),"")</f>
        <v>QUESO SEMIMADURO KIOSKO</v>
      </c>
      <c r="E157" s="24" t="str">
        <f>+IFERROR(IF(GUAYAQUIL[[#This Row],[CODIGO]]="","",VLOOKUP(GUAYAQUIL[[#This Row],[CODIGO]],MAESTRO!$A:$F,6,FALSE)),"")</f>
        <v>QUESO JAVIERINO KIOSKO TAJADO</v>
      </c>
      <c r="F157" s="42" t="str">
        <f>IF(GUAYAQUIL[[#This Row],[CODIGO]]="","",$K$6)</f>
        <v>GUAYAQUIL</v>
      </c>
      <c r="G157" s="42">
        <f>IF(GUAYAQUIL[[#This Row],[CODIGO]]="","",7711)</f>
        <v>7711</v>
      </c>
      <c r="H157" s="42">
        <f>IF(GUAYAQUIL[[#This Row],[CODIGO]]="","",1001)</f>
        <v>1001</v>
      </c>
      <c r="I157" s="258" t="s">
        <v>3890</v>
      </c>
      <c r="J157" s="25" t="str">
        <f>IFERROR((VLOOKUP(GUAYAQUIL[[#This Row],[CODIGO]],MAESTRO!A:B,2,FALSE)),"")</f>
        <v>Q JAVIER KIOSKO LONJ AL PESO</v>
      </c>
      <c r="K157" s="35">
        <v>50</v>
      </c>
      <c r="L157" s="38">
        <f>+IFERROR(IF(GUAYAQUIL[[#This Row],[CODIGO]]="","",VLOOKUP(GUAYAQUIL[[#This Row],[CODIGO]],MAESTRO!$A:$BF,58,FALSE)),"")</f>
        <v>2.5</v>
      </c>
      <c r="M157" s="27">
        <f>+IFERROR(IF(GUAYAQUIL[[#This Row],[CODIGO]]="","",VLOOKUP(GUAYAQUIL[[#This Row],[CODIGO]],MAESTRO!A:N,14,FALSE)),"")</f>
        <v>1</v>
      </c>
      <c r="N157" s="28">
        <f>+IFERROR(IF(GUAYAQUIL[[#This Row],[CODIGO]]="","",VLOOKUP(GUAYAQUIL[[#This Row],[CODIGO]],MAESTRO!A:P,16,FALSE)),"")</f>
        <v>90</v>
      </c>
      <c r="O157" s="45">
        <v>45611</v>
      </c>
      <c r="P157" s="72" t="str">
        <f t="shared" si="10"/>
        <v>viernes</v>
      </c>
      <c r="Q157" s="29">
        <f>IFERROR(IF(GUAYAQUIL[[#This Row],[CODIGO]]="","",IF(GUAYAQUIL[[#This Row],[Fecha Cad]]="","",(GUAYAQUIL[[#This Row],[Fecha Cad]]-GUAYAQUIL[[#This Row],[VIDA UTIL (Días)]]))+1),"")</f>
        <v>45609</v>
      </c>
      <c r="R157" s="45">
        <v>45698</v>
      </c>
      <c r="S157" s="30">
        <f t="shared" ca="1" si="11"/>
        <v>74</v>
      </c>
      <c r="T157" s="31">
        <f t="shared" ca="1" si="12"/>
        <v>0.82222222222222219</v>
      </c>
      <c r="U157" s="286">
        <v>50</v>
      </c>
      <c r="V157" s="262">
        <f>+IFERROR(IF(GUAYAQUIL[[#This Row],[CODIGO]]="","",GUAYAQUIL[[#This Row],[Stock Actual Unds]]*GUAYAQUIL[[#This Row],[Gramaje]]*GUAYAQUIL[[#This Row],[Conversión]]),"")</f>
        <v>125</v>
      </c>
      <c r="W157" s="270">
        <f t="shared" si="13"/>
        <v>2</v>
      </c>
      <c r="X157" s="32">
        <f t="shared" si="14"/>
        <v>0.97777777777777775</v>
      </c>
      <c r="Y157" s="236">
        <f>IFERROR(VLOOKUP(GUAYAQUIL[[#This Row],[CODIGO]],MAESTRO!A:BI,21,FALSE),0)</f>
        <v>7.5779500000000004</v>
      </c>
      <c r="Z157" s="237">
        <f>+IFERROR(IF(GUAYAQUIL[[#This Row],[CODIGO]]="","",GUAYAQUIL[[#This Row],[COSTO UNIT base]]*GUAYAQUIL[[#This Row],[Conversión]]),"")</f>
        <v>18.944875</v>
      </c>
      <c r="AA157" s="236">
        <f>+IFERROR(IF(GUAYAQUIL[[#This Row],[CODIGO]]="","",GUAYAQUIL[[#This Row],[COSTO UNIT Conv]]*GUAYAQUIL[[#This Row],[Stock Actual Kgs]]),"")</f>
        <v>2368.109375</v>
      </c>
      <c r="AB157" s="33">
        <f ca="1">+IFERROR(IF(GUAYAQUIL[[#This Row],[CODIGO]]="","",$J$3-O157),"")</f>
        <v>13</v>
      </c>
      <c r="AC157" s="34" t="str">
        <f ca="1">IF(GUAYAQUIL[[#This Row],[CODIGO]]="","",IF(S157&lt;=0,"CADUCADO",IF(AND(S157&gt;0,S157&lt;=21),"FECHA CORTA",IF(AND(S157&gt;=22,S157&lt;=26),"PROXIMOS FECHA CORTA", "VIGENTE"))))</f>
        <v>VIGENTE</v>
      </c>
      <c r="AD157" s="37">
        <f>+IF(GUAYAQUIL[[#This Row],[CODIGO]]="","",GUAYAQUIL[[#This Row],[Stock Actual Unds]]*GUAYAQUIL[[#This Row],[Gramaje]]*GUAYAQUIL[[#This Row],[Conversión]])/1000</f>
        <v>0.125</v>
      </c>
    </row>
    <row r="158" spans="1:30">
      <c r="A158" s="24" t="str">
        <f>+IFERROR(IF(GUAYAQUIL[[#This Row],[CODIGO]]="","",VLOOKUP(GUAYAQUIL[[#This Row],[CODIGO]],MAESTRO!$A:$J,10,FALSE)),"")</f>
        <v>SAN GABRIEL</v>
      </c>
      <c r="B158" s="24" t="str">
        <f>+IFERROR(IF(GUAYAQUIL[[#This Row],[CODIGO]]="","",VLOOKUP(GUAYAQUIL[[#This Row],[CODIGO]],MAESTRO!$A:$Q,17,FALSE)),"")</f>
        <v>QUESOS Y GRASAS</v>
      </c>
      <c r="C158" s="24" t="str">
        <f>+IFERROR(IF(GUAYAQUIL[[#This Row],[CODIGO]]="","",VLOOKUP(GUAYAQUIL[[#This Row],[CODIGO]],MAESTRO!$A:$BA,53,FALSE)),"")</f>
        <v xml:space="preserve">Esteban Montenegro                      </v>
      </c>
      <c r="D158" s="24" t="str">
        <f>+IFERROR(IF(GUAYAQUIL[[#This Row],[CODIGO]]="","",VLOOKUP(GUAYAQUIL[[#This Row],[CODIGO]],MAESTRO!$A:$D,4,FALSE)),"")</f>
        <v>QUESO SEMIMADURO KIOSKO</v>
      </c>
      <c r="E158" s="24" t="str">
        <f>+IFERROR(IF(GUAYAQUIL[[#This Row],[CODIGO]]="","",VLOOKUP(GUAYAQUIL[[#This Row],[CODIGO]],MAESTRO!$A:$F,6,FALSE)),"")</f>
        <v>QUESO JAVIERINO KIOSKO TAJADO</v>
      </c>
      <c r="F158" s="42" t="str">
        <f>IF(GUAYAQUIL[[#This Row],[CODIGO]]="","",$K$6)</f>
        <v>GUAYAQUIL</v>
      </c>
      <c r="G158" s="42">
        <f>IF(GUAYAQUIL[[#This Row],[CODIGO]]="","",7711)</f>
        <v>7711</v>
      </c>
      <c r="H158" s="42">
        <f>IF(GUAYAQUIL[[#This Row],[CODIGO]]="","",1001)</f>
        <v>1001</v>
      </c>
      <c r="I158" s="258" t="s">
        <v>3890</v>
      </c>
      <c r="J158" s="25" t="str">
        <f>IFERROR((VLOOKUP(GUAYAQUIL[[#This Row],[CODIGO]],MAESTRO!A:B,2,FALSE)),"")</f>
        <v>Q JAVIER KIOSKO LONJ AL PESO</v>
      </c>
      <c r="K158" s="35">
        <v>60</v>
      </c>
      <c r="L158" s="38">
        <f>+IFERROR(IF(GUAYAQUIL[[#This Row],[CODIGO]]="","",VLOOKUP(GUAYAQUIL[[#This Row],[CODIGO]],MAESTRO!$A:$BF,58,FALSE)),"")</f>
        <v>2.5</v>
      </c>
      <c r="M158" s="27">
        <f>+IFERROR(IF(GUAYAQUIL[[#This Row],[CODIGO]]="","",VLOOKUP(GUAYAQUIL[[#This Row],[CODIGO]],MAESTRO!A:N,14,FALSE)),"")</f>
        <v>1</v>
      </c>
      <c r="N158" s="28">
        <f>+IFERROR(IF(GUAYAQUIL[[#This Row],[CODIGO]]="","",VLOOKUP(GUAYAQUIL[[#This Row],[CODIGO]],MAESTRO!A:P,16,FALSE)),"")</f>
        <v>90</v>
      </c>
      <c r="O158" s="45">
        <v>45610</v>
      </c>
      <c r="P158" s="72" t="str">
        <f t="shared" si="10"/>
        <v>jueves</v>
      </c>
      <c r="Q158" s="29">
        <f>IFERROR(IF(GUAYAQUIL[[#This Row],[CODIGO]]="","",IF(GUAYAQUIL[[#This Row],[Fecha Cad]]="","",(GUAYAQUIL[[#This Row],[Fecha Cad]]-GUAYAQUIL[[#This Row],[VIDA UTIL (Días)]]))+1),"")</f>
        <v>45608</v>
      </c>
      <c r="R158" s="45">
        <v>45697</v>
      </c>
      <c r="S158" s="30">
        <f t="shared" ca="1" si="11"/>
        <v>73</v>
      </c>
      <c r="T158" s="31">
        <f t="shared" ca="1" si="12"/>
        <v>0.81111111111111112</v>
      </c>
      <c r="U158" s="286">
        <v>13</v>
      </c>
      <c r="V158" s="262">
        <f>+IFERROR(IF(GUAYAQUIL[[#This Row],[CODIGO]]="","",GUAYAQUIL[[#This Row],[Stock Actual Unds]]*GUAYAQUIL[[#This Row],[Gramaje]]*GUAYAQUIL[[#This Row],[Conversión]]),"")</f>
        <v>32.5</v>
      </c>
      <c r="W158" s="270">
        <f t="shared" si="13"/>
        <v>2</v>
      </c>
      <c r="X158" s="32">
        <f t="shared" si="14"/>
        <v>0.97777777777777775</v>
      </c>
      <c r="Y158" s="236">
        <f>IFERROR(VLOOKUP(GUAYAQUIL[[#This Row],[CODIGO]],MAESTRO!A:BI,21,FALSE),0)</f>
        <v>7.5779500000000004</v>
      </c>
      <c r="Z158" s="237">
        <f>+IFERROR(IF(GUAYAQUIL[[#This Row],[CODIGO]]="","",GUAYAQUIL[[#This Row],[COSTO UNIT base]]*GUAYAQUIL[[#This Row],[Conversión]]),"")</f>
        <v>18.944875</v>
      </c>
      <c r="AA158" s="236">
        <f>+IFERROR(IF(GUAYAQUIL[[#This Row],[CODIGO]]="","",GUAYAQUIL[[#This Row],[COSTO UNIT Conv]]*GUAYAQUIL[[#This Row],[Stock Actual Kgs]]),"")</f>
        <v>615.70843749999995</v>
      </c>
      <c r="AB158" s="33">
        <f ca="1">+IFERROR(IF(GUAYAQUIL[[#This Row],[CODIGO]]="","",$J$3-O158),"")</f>
        <v>14</v>
      </c>
      <c r="AC158" s="34" t="str">
        <f ca="1">IF(GUAYAQUIL[[#This Row],[CODIGO]]="","",IF(S158&lt;=0,"CADUCADO",IF(AND(S158&gt;0,S158&lt;=21),"FECHA CORTA",IF(AND(S158&gt;=22,S158&lt;=26),"PROXIMOS FECHA CORTA", "VIGENTE"))))</f>
        <v>VIGENTE</v>
      </c>
      <c r="AD158" s="37">
        <f>+IF(GUAYAQUIL[[#This Row],[CODIGO]]="","",GUAYAQUIL[[#This Row],[Stock Actual Unds]]*GUAYAQUIL[[#This Row],[Gramaje]]*GUAYAQUIL[[#This Row],[Conversión]])/1000</f>
        <v>3.2500000000000001E-2</v>
      </c>
    </row>
    <row r="159" spans="1:30">
      <c r="A159" s="24" t="str">
        <f>+IFERROR(IF(GUAYAQUIL[[#This Row],[CODIGO]]="","",VLOOKUP(GUAYAQUIL[[#This Row],[CODIGO]],MAESTRO!$A:$J,10,FALSE)),"")</f>
        <v>SAN GABRIEL</v>
      </c>
      <c r="B159" s="24" t="str">
        <f>+IFERROR(IF(GUAYAQUIL[[#This Row],[CODIGO]]="","",VLOOKUP(GUAYAQUIL[[#This Row],[CODIGO]],MAESTRO!$A:$Q,17,FALSE)),"")</f>
        <v>QUESOS Y GRASAS</v>
      </c>
      <c r="C159" s="24" t="str">
        <f>+IFERROR(IF(GUAYAQUIL[[#This Row],[CODIGO]]="","",VLOOKUP(GUAYAQUIL[[#This Row],[CODIGO]],MAESTRO!$A:$BA,53,FALSE)),"")</f>
        <v xml:space="preserve">Esteban Montenegro                      </v>
      </c>
      <c r="D159" s="24" t="str">
        <f>+IFERROR(IF(GUAYAQUIL[[#This Row],[CODIGO]]="","",VLOOKUP(GUAYAQUIL[[#This Row],[CODIGO]],MAESTRO!$A:$D,4,FALSE)),"")</f>
        <v>QUESO SEMIMADURO KIOSKO</v>
      </c>
      <c r="E159" s="24" t="str">
        <f>+IFERROR(IF(GUAYAQUIL[[#This Row],[CODIGO]]="","",VLOOKUP(GUAYAQUIL[[#This Row],[CODIGO]],MAESTRO!$A:$F,6,FALSE)),"")</f>
        <v>QUESO JAVIERINO KIOSKO TAJADO</v>
      </c>
      <c r="F159" s="42" t="str">
        <f>IF(GUAYAQUIL[[#This Row],[CODIGO]]="","",$K$6)</f>
        <v>GUAYAQUIL</v>
      </c>
      <c r="G159" s="209">
        <f>IF(GUAYAQUIL[[#This Row],[CODIGO]]="","",7711)</f>
        <v>7711</v>
      </c>
      <c r="H159" s="209">
        <f>IF(GUAYAQUIL[[#This Row],[CODIGO]]="","",1001)</f>
        <v>1001</v>
      </c>
      <c r="I159" s="258" t="s">
        <v>3890</v>
      </c>
      <c r="J159" s="25" t="str">
        <f>IFERROR((VLOOKUP(GUAYAQUIL[[#This Row],[CODIGO]],MAESTRO!A:B,2,FALSE)),"")</f>
        <v>Q JAVIER KIOSKO LONJ AL PESO</v>
      </c>
      <c r="K159" s="35">
        <v>40</v>
      </c>
      <c r="L159" s="38">
        <f>+IFERROR(IF(GUAYAQUIL[[#This Row],[CODIGO]]="","",VLOOKUP(GUAYAQUIL[[#This Row],[CODIGO]],MAESTRO!$A:$BF,58,FALSE)),"")</f>
        <v>2.5</v>
      </c>
      <c r="M159" s="27">
        <f>+IFERROR(IF(GUAYAQUIL[[#This Row],[CODIGO]]="","",VLOOKUP(GUAYAQUIL[[#This Row],[CODIGO]],MAESTRO!A:N,14,FALSE)),"")</f>
        <v>1</v>
      </c>
      <c r="N159" s="28">
        <f>+IFERROR(IF(GUAYAQUIL[[#This Row],[CODIGO]]="","",VLOOKUP(GUAYAQUIL[[#This Row],[CODIGO]],MAESTRO!A:P,16,FALSE)),"")</f>
        <v>90</v>
      </c>
      <c r="O159" s="45">
        <v>45615</v>
      </c>
      <c r="P159" s="72" t="str">
        <f t="shared" si="10"/>
        <v>martes</v>
      </c>
      <c r="Q159" s="29">
        <f>IFERROR(IF(GUAYAQUIL[[#This Row],[CODIGO]]="","",IF(GUAYAQUIL[[#This Row],[Fecha Cad]]="","",(GUAYAQUIL[[#This Row],[Fecha Cad]]-GUAYAQUIL[[#This Row],[VIDA UTIL (Días)]]))+1),"")</f>
        <v>45611</v>
      </c>
      <c r="R159" s="45">
        <v>45700</v>
      </c>
      <c r="S159" s="30">
        <f t="shared" ca="1" si="11"/>
        <v>76</v>
      </c>
      <c r="T159" s="31">
        <f t="shared" ca="1" si="12"/>
        <v>0.84444444444444444</v>
      </c>
      <c r="U159" s="286">
        <v>40</v>
      </c>
      <c r="V159" s="262">
        <f>+IFERROR(IF(GUAYAQUIL[[#This Row],[CODIGO]]="","",GUAYAQUIL[[#This Row],[Stock Actual Unds]]*GUAYAQUIL[[#This Row],[Gramaje]]*GUAYAQUIL[[#This Row],[Conversión]]),"")</f>
        <v>100</v>
      </c>
      <c r="W159" s="270">
        <f t="shared" si="13"/>
        <v>4</v>
      </c>
      <c r="X159" s="32">
        <f t="shared" si="14"/>
        <v>0.9555555555555556</v>
      </c>
      <c r="Y159" s="236">
        <f>IFERROR(VLOOKUP(GUAYAQUIL[[#This Row],[CODIGO]],MAESTRO!A:BI,21,FALSE),0)</f>
        <v>7.5779500000000004</v>
      </c>
      <c r="Z159" s="237">
        <f>+IFERROR(IF(GUAYAQUIL[[#This Row],[CODIGO]]="","",GUAYAQUIL[[#This Row],[COSTO UNIT base]]*GUAYAQUIL[[#This Row],[Conversión]]),"")</f>
        <v>18.944875</v>
      </c>
      <c r="AA159" s="236">
        <f>+IFERROR(IF(GUAYAQUIL[[#This Row],[CODIGO]]="","",GUAYAQUIL[[#This Row],[COSTO UNIT Conv]]*GUAYAQUIL[[#This Row],[Stock Actual Kgs]]),"")</f>
        <v>1894.4875</v>
      </c>
      <c r="AB159" s="33">
        <f ca="1">+IFERROR(IF(GUAYAQUIL[[#This Row],[CODIGO]]="","",$J$3-O159),"")</f>
        <v>9</v>
      </c>
      <c r="AC159" s="34" t="str">
        <f ca="1">IF(GUAYAQUIL[[#This Row],[CODIGO]]="","",IF(S159&lt;=0,"CADUCADO",IF(AND(S159&gt;0,S159&lt;=21),"FECHA CORTA",IF(AND(S159&gt;=22,S159&lt;=26),"PROXIMOS FECHA CORTA", "VIGENTE"))))</f>
        <v>VIGENTE</v>
      </c>
      <c r="AD159" s="37">
        <f>+IF(GUAYAQUIL[[#This Row],[CODIGO]]="","",GUAYAQUIL[[#This Row],[Stock Actual Unds]]*GUAYAQUIL[[#This Row],[Gramaje]]*GUAYAQUIL[[#This Row],[Conversión]])/1000</f>
        <v>0.1</v>
      </c>
    </row>
    <row r="160" spans="1:30">
      <c r="A160" s="24" t="str">
        <f>+IFERROR(IF(GUAYAQUIL[[#This Row],[CODIGO]]="","",VLOOKUP(GUAYAQUIL[[#This Row],[CODIGO]],MAESTRO!$A:$J,10,FALSE)),"")</f>
        <v>SAN GABRIEL</v>
      </c>
      <c r="B160" s="24" t="str">
        <f>+IFERROR(IF(GUAYAQUIL[[#This Row],[CODIGO]]="","",VLOOKUP(GUAYAQUIL[[#This Row],[CODIGO]],MAESTRO!$A:$Q,17,FALSE)),"")</f>
        <v>QUESOS Y GRASAS</v>
      </c>
      <c r="C160" s="24" t="str">
        <f>+IFERROR(IF(GUAYAQUIL[[#This Row],[CODIGO]]="","",VLOOKUP(GUAYAQUIL[[#This Row],[CODIGO]],MAESTRO!$A:$BA,53,FALSE)),"")</f>
        <v xml:space="preserve">Esteban Montenegro                      </v>
      </c>
      <c r="D160" s="24" t="str">
        <f>+IFERROR(IF(GUAYAQUIL[[#This Row],[CODIGO]]="","",VLOOKUP(GUAYAQUIL[[#This Row],[CODIGO]],MAESTRO!$A:$D,4,FALSE)),"")</f>
        <v>QUESO SEMIMADURO KIOSKO</v>
      </c>
      <c r="E160" s="24" t="str">
        <f>+IFERROR(IF(GUAYAQUIL[[#This Row],[CODIGO]]="","",VLOOKUP(GUAYAQUIL[[#This Row],[CODIGO]],MAESTRO!$A:$F,6,FALSE)),"")</f>
        <v>QUESO JAVIERINO KIOSKO TAJADO</v>
      </c>
      <c r="F160" s="42" t="str">
        <f>IF(GUAYAQUIL[[#This Row],[CODIGO]]="","",$K$6)</f>
        <v>GUAYAQUIL</v>
      </c>
      <c r="G160" s="42">
        <f>IF(GUAYAQUIL[[#This Row],[CODIGO]]="","",7711)</f>
        <v>7711</v>
      </c>
      <c r="H160" s="42">
        <f>IF(GUAYAQUIL[[#This Row],[CODIGO]]="","",1001)</f>
        <v>1001</v>
      </c>
      <c r="I160" s="258" t="s">
        <v>3890</v>
      </c>
      <c r="J160" s="25" t="str">
        <f>IFERROR((VLOOKUP(GUAYAQUIL[[#This Row],[CODIGO]],MAESTRO!A:B,2,FALSE)),"")</f>
        <v>Q JAVIER KIOSKO LONJ AL PESO</v>
      </c>
      <c r="K160" s="35">
        <v>20</v>
      </c>
      <c r="L160" s="38">
        <f>+IFERROR(IF(GUAYAQUIL[[#This Row],[CODIGO]]="","",VLOOKUP(GUAYAQUIL[[#This Row],[CODIGO]],MAESTRO!$A:$BF,58,FALSE)),"")</f>
        <v>2.5</v>
      </c>
      <c r="M160" s="27">
        <f>+IFERROR(IF(GUAYAQUIL[[#This Row],[CODIGO]]="","",VLOOKUP(GUAYAQUIL[[#This Row],[CODIGO]],MAESTRO!A:N,14,FALSE)),"")</f>
        <v>1</v>
      </c>
      <c r="N160" s="28">
        <f>+IFERROR(IF(GUAYAQUIL[[#This Row],[CODIGO]]="","",VLOOKUP(GUAYAQUIL[[#This Row],[CODIGO]],MAESTRO!A:P,16,FALSE)),"")</f>
        <v>90</v>
      </c>
      <c r="O160" s="45">
        <v>45616</v>
      </c>
      <c r="P160" s="72" t="str">
        <f t="shared" si="10"/>
        <v>miércoles</v>
      </c>
      <c r="Q160" s="29">
        <f>IFERROR(IF(GUAYAQUIL[[#This Row],[CODIGO]]="","",IF(GUAYAQUIL[[#This Row],[Fecha Cad]]="","",(GUAYAQUIL[[#This Row],[Fecha Cad]]-GUAYAQUIL[[#This Row],[VIDA UTIL (Días)]]))+1),"")</f>
        <v>45611</v>
      </c>
      <c r="R160" s="45">
        <v>45700</v>
      </c>
      <c r="S160" s="30">
        <f t="shared" ca="1" si="11"/>
        <v>76</v>
      </c>
      <c r="T160" s="31">
        <f t="shared" ca="1" si="12"/>
        <v>0.84444444444444444</v>
      </c>
      <c r="U160" s="286">
        <v>20</v>
      </c>
      <c r="V160" s="262">
        <f>+IFERROR(IF(GUAYAQUIL[[#This Row],[CODIGO]]="","",GUAYAQUIL[[#This Row],[Stock Actual Unds]]*GUAYAQUIL[[#This Row],[Gramaje]]*GUAYAQUIL[[#This Row],[Conversión]]),"")</f>
        <v>50</v>
      </c>
      <c r="W160" s="270">
        <f t="shared" si="13"/>
        <v>5</v>
      </c>
      <c r="X160" s="32">
        <f t="shared" si="14"/>
        <v>0.94444444444444442</v>
      </c>
      <c r="Y160" s="236">
        <f>IFERROR(VLOOKUP(GUAYAQUIL[[#This Row],[CODIGO]],MAESTRO!A:BI,21,FALSE),0)</f>
        <v>7.5779500000000004</v>
      </c>
      <c r="Z160" s="237">
        <f>+IFERROR(IF(GUAYAQUIL[[#This Row],[CODIGO]]="","",GUAYAQUIL[[#This Row],[COSTO UNIT base]]*GUAYAQUIL[[#This Row],[Conversión]]),"")</f>
        <v>18.944875</v>
      </c>
      <c r="AA160" s="236">
        <f>+IFERROR(IF(GUAYAQUIL[[#This Row],[CODIGO]]="","",GUAYAQUIL[[#This Row],[COSTO UNIT Conv]]*GUAYAQUIL[[#This Row],[Stock Actual Kgs]]),"")</f>
        <v>947.24374999999998</v>
      </c>
      <c r="AB160" s="33">
        <f ca="1">+IFERROR(IF(GUAYAQUIL[[#This Row],[CODIGO]]="","",$J$3-O160),"")</f>
        <v>8</v>
      </c>
      <c r="AC160" s="34" t="str">
        <f ca="1">IF(GUAYAQUIL[[#This Row],[CODIGO]]="","",IF(S160&lt;=0,"CADUCADO",IF(AND(S160&gt;0,S160&lt;=21),"FECHA CORTA",IF(AND(S160&gt;=22,S160&lt;=26),"PROXIMOS FECHA CORTA", "VIGENTE"))))</f>
        <v>VIGENTE</v>
      </c>
      <c r="AD160" s="37">
        <f>+IF(GUAYAQUIL[[#This Row],[CODIGO]]="","",GUAYAQUIL[[#This Row],[Stock Actual Unds]]*GUAYAQUIL[[#This Row],[Gramaje]]*GUAYAQUIL[[#This Row],[Conversión]])/1000</f>
        <v>0.05</v>
      </c>
    </row>
    <row r="161" spans="1:30">
      <c r="A161" s="24" t="str">
        <f>+IFERROR(IF(GUAYAQUIL[[#This Row],[CODIGO]]="","",VLOOKUP(GUAYAQUIL[[#This Row],[CODIGO]],MAESTRO!$A:$J,10,FALSE)),"")</f>
        <v>SAN GABRIEL</v>
      </c>
      <c r="B161" s="24" t="str">
        <f>+IFERROR(IF(GUAYAQUIL[[#This Row],[CODIGO]]="","",VLOOKUP(GUAYAQUIL[[#This Row],[CODIGO]],MAESTRO!$A:$Q,17,FALSE)),"")</f>
        <v>QUESOS Y GRASAS</v>
      </c>
      <c r="C161" s="24" t="str">
        <f>+IFERROR(IF(GUAYAQUIL[[#This Row],[CODIGO]]="","",VLOOKUP(GUAYAQUIL[[#This Row],[CODIGO]],MAESTRO!$A:$BA,53,FALSE)),"")</f>
        <v xml:space="preserve">Esteban Montenegro                      </v>
      </c>
      <c r="D161" s="24" t="str">
        <f>+IFERROR(IF(GUAYAQUIL[[#This Row],[CODIGO]]="","",VLOOKUP(GUAYAQUIL[[#This Row],[CODIGO]],MAESTRO!$A:$D,4,FALSE)),"")</f>
        <v>QUESO SEMIMADURO KIOSKO</v>
      </c>
      <c r="E161" s="24" t="str">
        <f>+IFERROR(IF(GUAYAQUIL[[#This Row],[CODIGO]]="","",VLOOKUP(GUAYAQUIL[[#This Row],[CODIGO]],MAESTRO!$A:$F,6,FALSE)),"")</f>
        <v>QUESO JAVIERINO KIOSKO TAJADO</v>
      </c>
      <c r="F161" s="42" t="str">
        <f>IF(GUAYAQUIL[[#This Row],[CODIGO]]="","",$K$6)</f>
        <v>GUAYAQUIL</v>
      </c>
      <c r="G161" s="209">
        <f>IF(GUAYAQUIL[[#This Row],[CODIGO]]="","",7711)</f>
        <v>7711</v>
      </c>
      <c r="H161" s="209">
        <f>IF(GUAYAQUIL[[#This Row],[CODIGO]]="","",1001)</f>
        <v>1001</v>
      </c>
      <c r="I161" s="258" t="s">
        <v>3890</v>
      </c>
      <c r="J161" s="25" t="str">
        <f>IFERROR((VLOOKUP(GUAYAQUIL[[#This Row],[CODIGO]],MAESTRO!A:B,2,FALSE)),"")</f>
        <v>Q JAVIER KIOSKO LONJ AL PESO</v>
      </c>
      <c r="K161" s="35">
        <v>40</v>
      </c>
      <c r="L161" s="38">
        <f>+IFERROR(IF(GUAYAQUIL[[#This Row],[CODIGO]]="","",VLOOKUP(GUAYAQUIL[[#This Row],[CODIGO]],MAESTRO!$A:$BF,58,FALSE)),"")</f>
        <v>2.5</v>
      </c>
      <c r="M161" s="27">
        <f>+IFERROR(IF(GUAYAQUIL[[#This Row],[CODIGO]]="","",VLOOKUP(GUAYAQUIL[[#This Row],[CODIGO]],MAESTRO!A:N,14,FALSE)),"")</f>
        <v>1</v>
      </c>
      <c r="N161" s="28">
        <f>+IFERROR(IF(GUAYAQUIL[[#This Row],[CODIGO]]="","",VLOOKUP(GUAYAQUIL[[#This Row],[CODIGO]],MAESTRO!A:P,16,FALSE)),"")</f>
        <v>90</v>
      </c>
      <c r="O161" s="45">
        <v>45617</v>
      </c>
      <c r="P161" s="72" t="str">
        <f t="shared" si="10"/>
        <v>jueves</v>
      </c>
      <c r="Q161" s="29">
        <f>IFERROR(IF(GUAYAQUIL[[#This Row],[CODIGO]]="","",IF(GUAYAQUIL[[#This Row],[Fecha Cad]]="","",(GUAYAQUIL[[#This Row],[Fecha Cad]]-GUAYAQUIL[[#This Row],[VIDA UTIL (Días)]]))+1),"")</f>
        <v>45616</v>
      </c>
      <c r="R161" s="45">
        <v>45705</v>
      </c>
      <c r="S161" s="30">
        <f t="shared" ca="1" si="11"/>
        <v>81</v>
      </c>
      <c r="T161" s="31">
        <f t="shared" ca="1" si="12"/>
        <v>0.9</v>
      </c>
      <c r="U161" s="286">
        <v>40</v>
      </c>
      <c r="V161" s="262">
        <f>+IFERROR(IF(GUAYAQUIL[[#This Row],[CODIGO]]="","",GUAYAQUIL[[#This Row],[Stock Actual Unds]]*GUAYAQUIL[[#This Row],[Gramaje]]*GUAYAQUIL[[#This Row],[Conversión]]),"")</f>
        <v>100</v>
      </c>
      <c r="W161" s="270">
        <f t="shared" si="13"/>
        <v>1</v>
      </c>
      <c r="X161" s="32">
        <f t="shared" si="14"/>
        <v>0.98888888888888893</v>
      </c>
      <c r="Y161" s="236">
        <f>IFERROR(VLOOKUP(GUAYAQUIL[[#This Row],[CODIGO]],MAESTRO!A:BI,21,FALSE),0)</f>
        <v>7.5779500000000004</v>
      </c>
      <c r="Z161" s="237">
        <f>+IFERROR(IF(GUAYAQUIL[[#This Row],[CODIGO]]="","",GUAYAQUIL[[#This Row],[COSTO UNIT base]]*GUAYAQUIL[[#This Row],[Conversión]]),"")</f>
        <v>18.944875</v>
      </c>
      <c r="AA161" s="236">
        <f>+IFERROR(IF(GUAYAQUIL[[#This Row],[CODIGO]]="","",GUAYAQUIL[[#This Row],[COSTO UNIT Conv]]*GUAYAQUIL[[#This Row],[Stock Actual Kgs]]),"")</f>
        <v>1894.4875</v>
      </c>
      <c r="AB161" s="33">
        <f ca="1">+IFERROR(IF(GUAYAQUIL[[#This Row],[CODIGO]]="","",$J$3-O161),"")</f>
        <v>7</v>
      </c>
      <c r="AC161" s="34" t="str">
        <f ca="1">IF(GUAYAQUIL[[#This Row],[CODIGO]]="","",IF(S161&lt;=0,"CADUCADO",IF(AND(S161&gt;0,S161&lt;=21),"FECHA CORTA",IF(AND(S161&gt;=22,S161&lt;=26),"PROXIMOS FECHA CORTA", "VIGENTE"))))</f>
        <v>VIGENTE</v>
      </c>
      <c r="AD161" s="37">
        <f>+IF(GUAYAQUIL[[#This Row],[CODIGO]]="","",GUAYAQUIL[[#This Row],[Stock Actual Unds]]*GUAYAQUIL[[#This Row],[Gramaje]]*GUAYAQUIL[[#This Row],[Conversión]])/1000</f>
        <v>0.1</v>
      </c>
    </row>
    <row r="162" spans="1:30">
      <c r="A162" s="24" t="str">
        <f>+IFERROR(IF(GUAYAQUIL[[#This Row],[CODIGO]]="","",VLOOKUP(GUAYAQUIL[[#This Row],[CODIGO]],MAESTRO!$A:$J,10,FALSE)),"")</f>
        <v>SAN GABRIEL</v>
      </c>
      <c r="B162" s="24" t="str">
        <f>+IFERROR(IF(GUAYAQUIL[[#This Row],[CODIGO]]="","",VLOOKUP(GUAYAQUIL[[#This Row],[CODIGO]],MAESTRO!$A:$Q,17,FALSE)),"")</f>
        <v>QUESOS Y GRASAS</v>
      </c>
      <c r="C162" s="24" t="str">
        <f>+IFERROR(IF(GUAYAQUIL[[#This Row],[CODIGO]]="","",VLOOKUP(GUAYAQUIL[[#This Row],[CODIGO]],MAESTRO!$A:$BA,53,FALSE)),"")</f>
        <v xml:space="preserve">Esteban Montenegro                      </v>
      </c>
      <c r="D162" s="24" t="str">
        <f>+IFERROR(IF(GUAYAQUIL[[#This Row],[CODIGO]]="","",VLOOKUP(GUAYAQUIL[[#This Row],[CODIGO]],MAESTRO!$A:$D,4,FALSE)),"")</f>
        <v>QUESO SEMIMADURO KIOSKO</v>
      </c>
      <c r="E162" s="24" t="str">
        <f>+IFERROR(IF(GUAYAQUIL[[#This Row],[CODIGO]]="","",VLOOKUP(GUAYAQUIL[[#This Row],[CODIGO]],MAESTRO!$A:$F,6,FALSE)),"")</f>
        <v>QUESO JAVIERINO KIOSKO TAJADO</v>
      </c>
      <c r="F162" s="42" t="str">
        <f>IF(GUAYAQUIL[[#This Row],[CODIGO]]="","",$K$6)</f>
        <v>GUAYAQUIL</v>
      </c>
      <c r="G162" s="42">
        <f>IF(GUAYAQUIL[[#This Row],[CODIGO]]="","",7711)</f>
        <v>7711</v>
      </c>
      <c r="H162" s="42">
        <f>IF(GUAYAQUIL[[#This Row],[CODIGO]]="","",1001)</f>
        <v>1001</v>
      </c>
      <c r="I162" s="258" t="s">
        <v>3890</v>
      </c>
      <c r="J162" s="25" t="str">
        <f>IFERROR((VLOOKUP(GUAYAQUIL[[#This Row],[CODIGO]],MAESTRO!A:B,2,FALSE)),"")</f>
        <v>Q JAVIER KIOSKO LONJ AL PESO</v>
      </c>
      <c r="K162" s="35">
        <v>60</v>
      </c>
      <c r="L162" s="38">
        <f>+IFERROR(IF(GUAYAQUIL[[#This Row],[CODIGO]]="","",VLOOKUP(GUAYAQUIL[[#This Row],[CODIGO]],MAESTRO!$A:$BF,58,FALSE)),"")</f>
        <v>2.5</v>
      </c>
      <c r="M162" s="27">
        <f>+IFERROR(IF(GUAYAQUIL[[#This Row],[CODIGO]]="","",VLOOKUP(GUAYAQUIL[[#This Row],[CODIGO]],MAESTRO!A:N,14,FALSE)),"")</f>
        <v>1</v>
      </c>
      <c r="N162" s="28">
        <f>+IFERROR(IF(GUAYAQUIL[[#This Row],[CODIGO]]="","",VLOOKUP(GUAYAQUIL[[#This Row],[CODIGO]],MAESTRO!A:P,16,FALSE)),"")</f>
        <v>90</v>
      </c>
      <c r="O162" s="45">
        <v>45617</v>
      </c>
      <c r="P162" s="72" t="str">
        <f t="shared" si="10"/>
        <v>jueves</v>
      </c>
      <c r="Q162" s="29">
        <f>IFERROR(IF(GUAYAQUIL[[#This Row],[CODIGO]]="","",IF(GUAYAQUIL[[#This Row],[Fecha Cad]]="","",(GUAYAQUIL[[#This Row],[Fecha Cad]]-GUAYAQUIL[[#This Row],[VIDA UTIL (Días)]]))+1),"")</f>
        <v>45611</v>
      </c>
      <c r="R162" s="45">
        <v>45700</v>
      </c>
      <c r="S162" s="30">
        <f t="shared" ca="1" si="11"/>
        <v>76</v>
      </c>
      <c r="T162" s="31">
        <f t="shared" ca="1" si="12"/>
        <v>0.84444444444444444</v>
      </c>
      <c r="U162" s="286">
        <v>60</v>
      </c>
      <c r="V162" s="262">
        <f>+IFERROR(IF(GUAYAQUIL[[#This Row],[CODIGO]]="","",GUAYAQUIL[[#This Row],[Stock Actual Unds]]*GUAYAQUIL[[#This Row],[Gramaje]]*GUAYAQUIL[[#This Row],[Conversión]]),"")</f>
        <v>150</v>
      </c>
      <c r="W162" s="270">
        <f t="shared" si="13"/>
        <v>6</v>
      </c>
      <c r="X162" s="32">
        <f t="shared" si="14"/>
        <v>0.93333333333333335</v>
      </c>
      <c r="Y162" s="236">
        <f>IFERROR(VLOOKUP(GUAYAQUIL[[#This Row],[CODIGO]],MAESTRO!A:BI,21,FALSE),0)</f>
        <v>7.5779500000000004</v>
      </c>
      <c r="Z162" s="237">
        <f>+IFERROR(IF(GUAYAQUIL[[#This Row],[CODIGO]]="","",GUAYAQUIL[[#This Row],[COSTO UNIT base]]*GUAYAQUIL[[#This Row],[Conversión]]),"")</f>
        <v>18.944875</v>
      </c>
      <c r="AA162" s="236">
        <f>+IFERROR(IF(GUAYAQUIL[[#This Row],[CODIGO]]="","",GUAYAQUIL[[#This Row],[COSTO UNIT Conv]]*GUAYAQUIL[[#This Row],[Stock Actual Kgs]]),"")</f>
        <v>2841.7312499999998</v>
      </c>
      <c r="AB162" s="33">
        <f ca="1">+IFERROR(IF(GUAYAQUIL[[#This Row],[CODIGO]]="","",$J$3-O162),"")</f>
        <v>7</v>
      </c>
      <c r="AC162" s="34" t="str">
        <f ca="1">IF(GUAYAQUIL[[#This Row],[CODIGO]]="","",IF(S162&lt;=0,"CADUCADO",IF(AND(S162&gt;0,S162&lt;=21),"FECHA CORTA",IF(AND(S162&gt;=22,S162&lt;=26),"PROXIMOS FECHA CORTA", "VIGENTE"))))</f>
        <v>VIGENTE</v>
      </c>
      <c r="AD162" s="37">
        <f>+IF(GUAYAQUIL[[#This Row],[CODIGO]]="","",GUAYAQUIL[[#This Row],[Stock Actual Unds]]*GUAYAQUIL[[#This Row],[Gramaje]]*GUAYAQUIL[[#This Row],[Conversión]])/1000</f>
        <v>0.15</v>
      </c>
    </row>
    <row r="163" spans="1:30">
      <c r="A163" s="24" t="str">
        <f>+IFERROR(IF(GUAYAQUIL[[#This Row],[CODIGO]]="","",VLOOKUP(GUAYAQUIL[[#This Row],[CODIGO]],MAESTRO!$A:$J,10,FALSE)),"")</f>
        <v>SAN GABRIEL</v>
      </c>
      <c r="B163" s="24" t="str">
        <f>+IFERROR(IF(GUAYAQUIL[[#This Row],[CODIGO]]="","",VLOOKUP(GUAYAQUIL[[#This Row],[CODIGO]],MAESTRO!$A:$Q,17,FALSE)),"")</f>
        <v>QUESOS Y GRASAS</v>
      </c>
      <c r="C163" s="24" t="str">
        <f>+IFERROR(IF(GUAYAQUIL[[#This Row],[CODIGO]]="","",VLOOKUP(GUAYAQUIL[[#This Row],[CODIGO]],MAESTRO!$A:$BA,53,FALSE)),"")</f>
        <v xml:space="preserve">Esteban Montenegro                      </v>
      </c>
      <c r="D163" s="24" t="str">
        <f>+IFERROR(IF(GUAYAQUIL[[#This Row],[CODIGO]]="","",VLOOKUP(GUAYAQUIL[[#This Row],[CODIGO]],MAESTRO!$A:$D,4,FALSE)),"")</f>
        <v>QUESO SEMIMADURO KIOSKO</v>
      </c>
      <c r="E163" s="24" t="str">
        <f>+IFERROR(IF(GUAYAQUIL[[#This Row],[CODIGO]]="","",VLOOKUP(GUAYAQUIL[[#This Row],[CODIGO]],MAESTRO!$A:$F,6,FALSE)),"")</f>
        <v>QUESO SEMIMADURO KIOSKO MIX CUBOS</v>
      </c>
      <c r="F163" s="42" t="str">
        <f>IF(GUAYAQUIL[[#This Row],[CODIGO]]="","",$K$6)</f>
        <v>GUAYAQUIL</v>
      </c>
      <c r="G163" s="209">
        <f>IF(GUAYAQUIL[[#This Row],[CODIGO]]="","",7711)</f>
        <v>7711</v>
      </c>
      <c r="H163" s="209">
        <f>IF(GUAYAQUIL[[#This Row],[CODIGO]]="","",1001)</f>
        <v>1001</v>
      </c>
      <c r="I163" s="258" t="s">
        <v>2259</v>
      </c>
      <c r="J163" s="25" t="str">
        <f>IFERROR((VLOOKUP(GUAYAQUIL[[#This Row],[CODIGO]],MAESTRO!A:B,2,FALSE)),"")</f>
        <v>Q MIX ESPECIAL KIOSKO CUBO BOL 350G</v>
      </c>
      <c r="K163" s="35">
        <v>30</v>
      </c>
      <c r="L163" s="38">
        <f>+IFERROR(IF(GUAYAQUIL[[#This Row],[CODIGO]]="","",VLOOKUP(GUAYAQUIL[[#This Row],[CODIGO]],MAESTRO!$A:$BF,58,FALSE)),"")</f>
        <v>1</v>
      </c>
      <c r="M163" s="27">
        <f>+IFERROR(IF(GUAYAQUIL[[#This Row],[CODIGO]]="","",VLOOKUP(GUAYAQUIL[[#This Row],[CODIGO]],MAESTRO!A:N,14,FALSE)),"")</f>
        <v>0.35</v>
      </c>
      <c r="N163" s="28">
        <f>+IFERROR(IF(GUAYAQUIL[[#This Row],[CODIGO]]="","",VLOOKUP(GUAYAQUIL[[#This Row],[CODIGO]],MAESTRO!A:P,16,FALSE)),"")</f>
        <v>60</v>
      </c>
      <c r="O163" s="29">
        <v>45609</v>
      </c>
      <c r="P163" s="72" t="str">
        <f t="shared" si="10"/>
        <v>miércoles</v>
      </c>
      <c r="Q163" s="29">
        <f>IFERROR(IF(GUAYAQUIL[[#This Row],[CODIGO]]="","",IF(GUAYAQUIL[[#This Row],[Fecha Cad]]="","",(GUAYAQUIL[[#This Row],[Fecha Cad]]-GUAYAQUIL[[#This Row],[VIDA UTIL (Días)]]))+1),"")</f>
        <v>45603</v>
      </c>
      <c r="R163" s="29">
        <v>45662</v>
      </c>
      <c r="S163" s="30">
        <f t="shared" ca="1" si="11"/>
        <v>38</v>
      </c>
      <c r="T163" s="31">
        <f t="shared" ca="1" si="12"/>
        <v>0.6333333333333333</v>
      </c>
      <c r="U163" s="286">
        <v>1</v>
      </c>
      <c r="V163" s="261">
        <f>+IFERROR(IF(GUAYAQUIL[[#This Row],[CODIGO]]="","",GUAYAQUIL[[#This Row],[Stock Actual Unds]]*GUAYAQUIL[[#This Row],[Gramaje]]*GUAYAQUIL[[#This Row],[Conversión]]),"")</f>
        <v>0.35</v>
      </c>
      <c r="W163" s="270">
        <f t="shared" si="13"/>
        <v>6</v>
      </c>
      <c r="X163" s="32">
        <f t="shared" si="14"/>
        <v>0.9</v>
      </c>
      <c r="Y163" s="236">
        <f>IFERROR(VLOOKUP(GUAYAQUIL[[#This Row],[CODIGO]],MAESTRO!A:BI,21,FALSE),0)</f>
        <v>2.20255</v>
      </c>
      <c r="Z163" s="237">
        <f>+IFERROR(IF(GUAYAQUIL[[#This Row],[CODIGO]]="","",GUAYAQUIL[[#This Row],[COSTO UNIT base]]*GUAYAQUIL[[#This Row],[Conversión]]),"")</f>
        <v>2.20255</v>
      </c>
      <c r="AA163" s="236">
        <f>+IFERROR(IF(GUAYAQUIL[[#This Row],[CODIGO]]="","",GUAYAQUIL[[#This Row],[COSTO UNIT Conv]]*GUAYAQUIL[[#This Row],[Stock Actual Kgs]]),"")</f>
        <v>0.77089249999999998</v>
      </c>
      <c r="AB163" s="33">
        <f ca="1">+IFERROR(IF(GUAYAQUIL[[#This Row],[CODIGO]]="","",$J$3-O163),"")</f>
        <v>15</v>
      </c>
      <c r="AC163" s="34" t="str">
        <f ca="1">IF(GUAYAQUIL[[#This Row],[CODIGO]]="","",IF(S163&lt;=0,"CADUCADO",IF(AND(S163&gt;0,S163&lt;=21),"FECHA CORTA",IF(AND(S163&gt;=22,S163&lt;=26),"PROXIMOS FECHA CORTA", "VIGENTE"))))</f>
        <v>VIGENTE</v>
      </c>
      <c r="AD163" s="37">
        <f>+IF(GUAYAQUIL[[#This Row],[CODIGO]]="","",GUAYAQUIL[[#This Row],[Stock Actual Unds]]*GUAYAQUIL[[#This Row],[Gramaje]]*GUAYAQUIL[[#This Row],[Conversión]])/1000</f>
        <v>3.5E-4</v>
      </c>
    </row>
    <row r="164" spans="1:30">
      <c r="A164" s="24" t="str">
        <f>+IFERROR(IF(GUAYAQUIL[[#This Row],[CODIGO]]="","",VLOOKUP(GUAYAQUIL[[#This Row],[CODIGO]],MAESTRO!$A:$J,10,FALSE)),"")</f>
        <v>SAN GABRIEL</v>
      </c>
      <c r="B164" s="24" t="str">
        <f>+IFERROR(IF(GUAYAQUIL[[#This Row],[CODIGO]]="","",VLOOKUP(GUAYAQUIL[[#This Row],[CODIGO]],MAESTRO!$A:$Q,17,FALSE)),"")</f>
        <v>QUESOS Y GRASAS</v>
      </c>
      <c r="C164" s="24" t="str">
        <f>+IFERROR(IF(GUAYAQUIL[[#This Row],[CODIGO]]="","",VLOOKUP(GUAYAQUIL[[#This Row],[CODIGO]],MAESTRO!$A:$BA,53,FALSE)),"")</f>
        <v xml:space="preserve">Esteban Montenegro                      </v>
      </c>
      <c r="D164" s="24" t="str">
        <f>+IFERROR(IF(GUAYAQUIL[[#This Row],[CODIGO]]="","",VLOOKUP(GUAYAQUIL[[#This Row],[CODIGO]],MAESTRO!$A:$D,4,FALSE)),"")</f>
        <v>QUESO SEMIMADURO KIOSKO</v>
      </c>
      <c r="E164" s="24" t="str">
        <f>+IFERROR(IF(GUAYAQUIL[[#This Row],[CODIGO]]="","",VLOOKUP(GUAYAQUIL[[#This Row],[CODIGO]],MAESTRO!$A:$F,6,FALSE)),"")</f>
        <v>QUESO SEMIMADURO KIOSKO MIX CUBOS</v>
      </c>
      <c r="F164" s="42" t="str">
        <f>IF(GUAYAQUIL[[#This Row],[CODIGO]]="","",$K$6)</f>
        <v>GUAYAQUIL</v>
      </c>
      <c r="G164" s="42">
        <f>IF(GUAYAQUIL[[#This Row],[CODIGO]]="","",7711)</f>
        <v>7711</v>
      </c>
      <c r="H164" s="42">
        <f>IF(GUAYAQUIL[[#This Row],[CODIGO]]="","",1001)</f>
        <v>1001</v>
      </c>
      <c r="I164" s="258" t="s">
        <v>2259</v>
      </c>
      <c r="J164" s="25" t="str">
        <f>IFERROR((VLOOKUP(GUAYAQUIL[[#This Row],[CODIGO]],MAESTRO!A:B,2,FALSE)),"")</f>
        <v>Q MIX ESPECIAL KIOSKO CUBO BOL 350G</v>
      </c>
      <c r="K164" s="35">
        <v>210</v>
      </c>
      <c r="L164" s="38">
        <f>+IFERROR(IF(GUAYAQUIL[[#This Row],[CODIGO]]="","",VLOOKUP(GUAYAQUIL[[#This Row],[CODIGO]],MAESTRO!$A:$BF,58,FALSE)),"")</f>
        <v>1</v>
      </c>
      <c r="M164" s="27">
        <f>+IFERROR(IF(GUAYAQUIL[[#This Row],[CODIGO]]="","",VLOOKUP(GUAYAQUIL[[#This Row],[CODIGO]],MAESTRO!A:N,14,FALSE)),"")</f>
        <v>0.35</v>
      </c>
      <c r="N164" s="28">
        <f>+IFERROR(IF(GUAYAQUIL[[#This Row],[CODIGO]]="","",VLOOKUP(GUAYAQUIL[[#This Row],[CODIGO]],MAESTRO!A:P,16,FALSE)),"")</f>
        <v>60</v>
      </c>
      <c r="O164" s="29">
        <v>45611</v>
      </c>
      <c r="P164" s="72" t="str">
        <f t="shared" si="10"/>
        <v>viernes</v>
      </c>
      <c r="Q164" s="29">
        <f>IFERROR(IF(GUAYAQUIL[[#This Row],[CODIGO]]="","",IF(GUAYAQUIL[[#This Row],[Fecha Cad]]="","",(GUAYAQUIL[[#This Row],[Fecha Cad]]-GUAYAQUIL[[#This Row],[VIDA UTIL (Días)]]))+1),"")</f>
        <v>45608</v>
      </c>
      <c r="R164" s="29">
        <v>45667</v>
      </c>
      <c r="S164" s="30">
        <f t="shared" ca="1" si="11"/>
        <v>43</v>
      </c>
      <c r="T164" s="31">
        <f t="shared" ca="1" si="12"/>
        <v>0.71666666666666667</v>
      </c>
      <c r="U164" s="286">
        <v>210</v>
      </c>
      <c r="V164" s="261">
        <f>+IFERROR(IF(GUAYAQUIL[[#This Row],[CODIGO]]="","",GUAYAQUIL[[#This Row],[Stock Actual Unds]]*GUAYAQUIL[[#This Row],[Gramaje]]*GUAYAQUIL[[#This Row],[Conversión]]),"")</f>
        <v>73.5</v>
      </c>
      <c r="W164" s="270">
        <f t="shared" si="13"/>
        <v>3</v>
      </c>
      <c r="X164" s="32">
        <f t="shared" si="14"/>
        <v>0.95</v>
      </c>
      <c r="Y164" s="236">
        <f>IFERROR(VLOOKUP(GUAYAQUIL[[#This Row],[CODIGO]],MAESTRO!A:BI,21,FALSE),0)</f>
        <v>2.20255</v>
      </c>
      <c r="Z164" s="237">
        <f>+IFERROR(IF(GUAYAQUIL[[#This Row],[CODIGO]]="","",GUAYAQUIL[[#This Row],[COSTO UNIT base]]*GUAYAQUIL[[#This Row],[Conversión]]),"")</f>
        <v>2.20255</v>
      </c>
      <c r="AA164" s="236">
        <f>+IFERROR(IF(GUAYAQUIL[[#This Row],[CODIGO]]="","",GUAYAQUIL[[#This Row],[COSTO UNIT Conv]]*GUAYAQUIL[[#This Row],[Stock Actual Kgs]]),"")</f>
        <v>161.88742500000001</v>
      </c>
      <c r="AB164" s="33">
        <f ca="1">+IFERROR(IF(GUAYAQUIL[[#This Row],[CODIGO]]="","",$J$3-O164),"")</f>
        <v>13</v>
      </c>
      <c r="AC164" s="34" t="str">
        <f ca="1">IF(GUAYAQUIL[[#This Row],[CODIGO]]="","",IF(S164&lt;=0,"CADUCADO",IF(AND(S164&gt;0,S164&lt;=21),"FECHA CORTA",IF(AND(S164&gt;=22,S164&lt;=26),"PROXIMOS FECHA CORTA", "VIGENTE"))))</f>
        <v>VIGENTE</v>
      </c>
      <c r="AD164" s="37">
        <f>+IF(GUAYAQUIL[[#This Row],[CODIGO]]="","",GUAYAQUIL[[#This Row],[Stock Actual Unds]]*GUAYAQUIL[[#This Row],[Gramaje]]*GUAYAQUIL[[#This Row],[Conversión]])/1000</f>
        <v>7.3499999999999996E-2</v>
      </c>
    </row>
    <row r="165" spans="1:30">
      <c r="A165" s="24" t="str">
        <f>+IFERROR(IF(GUAYAQUIL[[#This Row],[CODIGO]]="","",VLOOKUP(GUAYAQUIL[[#This Row],[CODIGO]],MAESTRO!$A:$J,10,FALSE)),"")</f>
        <v>SAN GABRIEL</v>
      </c>
      <c r="B165" s="24" t="str">
        <f>+IFERROR(IF(GUAYAQUIL[[#This Row],[CODIGO]]="","",VLOOKUP(GUAYAQUIL[[#This Row],[CODIGO]],MAESTRO!$A:$Q,17,FALSE)),"")</f>
        <v>QUESOS Y GRASAS</v>
      </c>
      <c r="C165" s="24" t="str">
        <f>+IFERROR(IF(GUAYAQUIL[[#This Row],[CODIGO]]="","",VLOOKUP(GUAYAQUIL[[#This Row],[CODIGO]],MAESTRO!$A:$BA,53,FALSE)),"")</f>
        <v xml:space="preserve">Esteban Montenegro                      </v>
      </c>
      <c r="D165" s="24" t="str">
        <f>+IFERROR(IF(GUAYAQUIL[[#This Row],[CODIGO]]="","",VLOOKUP(GUAYAQUIL[[#This Row],[CODIGO]],MAESTRO!$A:$D,4,FALSE)),"")</f>
        <v>QUESO SEMIMADURO KIOSKO</v>
      </c>
      <c r="E165" s="24" t="str">
        <f>+IFERROR(IF(GUAYAQUIL[[#This Row],[CODIGO]]="","",VLOOKUP(GUAYAQUIL[[#This Row],[CODIGO]],MAESTRO!$A:$F,6,FALSE)),"")</f>
        <v>QUESO SEMIMADURO KIOSKO MIX CUBOS</v>
      </c>
      <c r="F165" s="42" t="str">
        <f>IF(GUAYAQUIL[[#This Row],[CODIGO]]="","",$K$6)</f>
        <v>GUAYAQUIL</v>
      </c>
      <c r="G165" s="209">
        <f>IF(GUAYAQUIL[[#This Row],[CODIGO]]="","",7711)</f>
        <v>7711</v>
      </c>
      <c r="H165" s="209">
        <f>IF(GUAYAQUIL[[#This Row],[CODIGO]]="","",1001)</f>
        <v>1001</v>
      </c>
      <c r="I165" s="258" t="s">
        <v>2259</v>
      </c>
      <c r="J165" s="25" t="str">
        <f>IFERROR((VLOOKUP(GUAYAQUIL[[#This Row],[CODIGO]],MAESTRO!A:B,2,FALSE)),"")</f>
        <v>Q MIX ESPECIAL KIOSKO CUBO BOL 350G</v>
      </c>
      <c r="K165" s="35">
        <v>90</v>
      </c>
      <c r="L165" s="38">
        <f>+IFERROR(IF(GUAYAQUIL[[#This Row],[CODIGO]]="","",VLOOKUP(GUAYAQUIL[[#This Row],[CODIGO]],MAESTRO!$A:$BF,58,FALSE)),"")</f>
        <v>1</v>
      </c>
      <c r="M165" s="27">
        <f>+IFERROR(IF(GUAYAQUIL[[#This Row],[CODIGO]]="","",VLOOKUP(GUAYAQUIL[[#This Row],[CODIGO]],MAESTRO!A:N,14,FALSE)),"")</f>
        <v>0.35</v>
      </c>
      <c r="N165" s="28">
        <f>+IFERROR(IF(GUAYAQUIL[[#This Row],[CODIGO]]="","",VLOOKUP(GUAYAQUIL[[#This Row],[CODIGO]],MAESTRO!A:P,16,FALSE)),"")</f>
        <v>60</v>
      </c>
      <c r="O165" s="45">
        <v>45610</v>
      </c>
      <c r="P165" s="72" t="str">
        <f t="shared" si="10"/>
        <v>jueves</v>
      </c>
      <c r="Q165" s="29">
        <f>IFERROR(IF(GUAYAQUIL[[#This Row],[CODIGO]]="","",IF(GUAYAQUIL[[#This Row],[Fecha Cad]]="","",(GUAYAQUIL[[#This Row],[Fecha Cad]]-GUAYAQUIL[[#This Row],[VIDA UTIL (Días)]]))+1),"")</f>
        <v>45608</v>
      </c>
      <c r="R165" s="45">
        <v>45667</v>
      </c>
      <c r="S165" s="30">
        <f t="shared" ca="1" si="11"/>
        <v>43</v>
      </c>
      <c r="T165" s="31">
        <f t="shared" ca="1" si="12"/>
        <v>0.71666666666666667</v>
      </c>
      <c r="U165" s="286">
        <v>53</v>
      </c>
      <c r="V165" s="262">
        <f>+IFERROR(IF(GUAYAQUIL[[#This Row],[CODIGO]]="","",GUAYAQUIL[[#This Row],[Stock Actual Unds]]*GUAYAQUIL[[#This Row],[Gramaje]]*GUAYAQUIL[[#This Row],[Conversión]]),"")</f>
        <v>18.549999999999997</v>
      </c>
      <c r="W165" s="270">
        <f t="shared" si="13"/>
        <v>2</v>
      </c>
      <c r="X165" s="32">
        <f t="shared" si="14"/>
        <v>0.96666666666666667</v>
      </c>
      <c r="Y165" s="236">
        <f>IFERROR(VLOOKUP(GUAYAQUIL[[#This Row],[CODIGO]],MAESTRO!A:BI,21,FALSE),0)</f>
        <v>2.20255</v>
      </c>
      <c r="Z165" s="237">
        <f>+IFERROR(IF(GUAYAQUIL[[#This Row],[CODIGO]]="","",GUAYAQUIL[[#This Row],[COSTO UNIT base]]*GUAYAQUIL[[#This Row],[Conversión]]),"")</f>
        <v>2.20255</v>
      </c>
      <c r="AA165" s="236">
        <f>+IFERROR(IF(GUAYAQUIL[[#This Row],[CODIGO]]="","",GUAYAQUIL[[#This Row],[COSTO UNIT Conv]]*GUAYAQUIL[[#This Row],[Stock Actual Kgs]]),"")</f>
        <v>40.857302499999996</v>
      </c>
      <c r="AB165" s="33">
        <f ca="1">+IFERROR(IF(GUAYAQUIL[[#This Row],[CODIGO]]="","",$J$3-O165),"")</f>
        <v>14</v>
      </c>
      <c r="AC165" s="34" t="str">
        <f ca="1">IF(GUAYAQUIL[[#This Row],[CODIGO]]="","",IF(S165&lt;=0,"CADUCADO",IF(AND(S165&gt;0,S165&lt;=21),"FECHA CORTA",IF(AND(S165&gt;=22,S165&lt;=26),"PROXIMOS FECHA CORTA", "VIGENTE"))))</f>
        <v>VIGENTE</v>
      </c>
      <c r="AD165" s="37">
        <f>+IF(GUAYAQUIL[[#This Row],[CODIGO]]="","",GUAYAQUIL[[#This Row],[Stock Actual Unds]]*GUAYAQUIL[[#This Row],[Gramaje]]*GUAYAQUIL[[#This Row],[Conversión]])/1000</f>
        <v>1.8549999999999997E-2</v>
      </c>
    </row>
    <row r="166" spans="1:30">
      <c r="A166" s="24" t="str">
        <f>+IFERROR(IF(GUAYAQUIL[[#This Row],[CODIGO]]="","",VLOOKUP(GUAYAQUIL[[#This Row],[CODIGO]],MAESTRO!$A:$J,10,FALSE)),"")</f>
        <v>SAN GABRIEL</v>
      </c>
      <c r="B166" s="24" t="str">
        <f>+IFERROR(IF(GUAYAQUIL[[#This Row],[CODIGO]]="","",VLOOKUP(GUAYAQUIL[[#This Row],[CODIGO]],MAESTRO!$A:$Q,17,FALSE)),"")</f>
        <v>QUESOS Y GRASAS</v>
      </c>
      <c r="C166" s="24" t="str">
        <f>+IFERROR(IF(GUAYAQUIL[[#This Row],[CODIGO]]="","",VLOOKUP(GUAYAQUIL[[#This Row],[CODIGO]],MAESTRO!$A:$BA,53,FALSE)),"")</f>
        <v xml:space="preserve">Esteban Montenegro                      </v>
      </c>
      <c r="D166" s="24" t="str">
        <f>+IFERROR(IF(GUAYAQUIL[[#This Row],[CODIGO]]="","",VLOOKUP(GUAYAQUIL[[#This Row],[CODIGO]],MAESTRO!$A:$D,4,FALSE)),"")</f>
        <v>QUESO SEMIMADURO KIOSKO</v>
      </c>
      <c r="E166" s="24" t="str">
        <f>+IFERROR(IF(GUAYAQUIL[[#This Row],[CODIGO]]="","",VLOOKUP(GUAYAQUIL[[#This Row],[CODIGO]],MAESTRO!$A:$F,6,FALSE)),"")</f>
        <v>QUESO SEMIMADURO KIOSKO MIX CUBOS</v>
      </c>
      <c r="F166" s="42" t="str">
        <f>IF(GUAYAQUIL[[#This Row],[CODIGO]]="","",$K$6)</f>
        <v>GUAYAQUIL</v>
      </c>
      <c r="G166" s="42">
        <f>IF(GUAYAQUIL[[#This Row],[CODIGO]]="","",7711)</f>
        <v>7711</v>
      </c>
      <c r="H166" s="42">
        <f>IF(GUAYAQUIL[[#This Row],[CODIGO]]="","",1001)</f>
        <v>1001</v>
      </c>
      <c r="I166" s="257" t="s">
        <v>2259</v>
      </c>
      <c r="J166" s="25" t="str">
        <f>IFERROR((VLOOKUP(GUAYAQUIL[[#This Row],[CODIGO]],MAESTRO!A:B,2,FALSE)),"")</f>
        <v>Q MIX ESPECIAL KIOSKO CUBO BOL 350G</v>
      </c>
      <c r="K166" s="26">
        <v>120</v>
      </c>
      <c r="L166" s="38">
        <f>+IFERROR(IF(GUAYAQUIL[[#This Row],[CODIGO]]="","",VLOOKUP(GUAYAQUIL[[#This Row],[CODIGO]],MAESTRO!$A:$BF,58,FALSE)),"")</f>
        <v>1</v>
      </c>
      <c r="M166" s="27">
        <f>+IFERROR(IF(GUAYAQUIL[[#This Row],[CODIGO]]="","",VLOOKUP(GUAYAQUIL[[#This Row],[CODIGO]],MAESTRO!A:N,14,FALSE)),"")</f>
        <v>0.35</v>
      </c>
      <c r="N166" s="28">
        <f>+IFERROR(IF(GUAYAQUIL[[#This Row],[CODIGO]]="","",VLOOKUP(GUAYAQUIL[[#This Row],[CODIGO]],MAESTRO!A:P,16,FALSE)),"")</f>
        <v>60</v>
      </c>
      <c r="O166" s="29">
        <v>45615</v>
      </c>
      <c r="P166" s="72" t="str">
        <f t="shared" si="10"/>
        <v>martes</v>
      </c>
      <c r="Q166" s="29">
        <f>IFERROR(IF(GUAYAQUIL[[#This Row],[CODIGO]]="","",IF(GUAYAQUIL[[#This Row],[Fecha Cad]]="","",(GUAYAQUIL[[#This Row],[Fecha Cad]]-GUAYAQUIL[[#This Row],[VIDA UTIL (Días)]]))+1),"")</f>
        <v>45609</v>
      </c>
      <c r="R166" s="29">
        <v>45668</v>
      </c>
      <c r="S166" s="30">
        <f t="shared" ca="1" si="11"/>
        <v>44</v>
      </c>
      <c r="T166" s="31">
        <f t="shared" ca="1" si="12"/>
        <v>0.73333333333333328</v>
      </c>
      <c r="U166" s="286">
        <v>120</v>
      </c>
      <c r="V166" s="260">
        <f>+IFERROR(IF(GUAYAQUIL[[#This Row],[CODIGO]]="","",GUAYAQUIL[[#This Row],[Stock Actual Unds]]*GUAYAQUIL[[#This Row],[Gramaje]]*GUAYAQUIL[[#This Row],[Conversión]]),"")</f>
        <v>42</v>
      </c>
      <c r="W166" s="270">
        <f t="shared" si="13"/>
        <v>6</v>
      </c>
      <c r="X166" s="32">
        <f t="shared" si="14"/>
        <v>0.9</v>
      </c>
      <c r="Y166" s="236">
        <f>IFERROR(VLOOKUP(GUAYAQUIL[[#This Row],[CODIGO]],MAESTRO!A:BI,21,FALSE),0)</f>
        <v>2.20255</v>
      </c>
      <c r="Z166" s="237">
        <f>+IFERROR(IF(GUAYAQUIL[[#This Row],[CODIGO]]="","",GUAYAQUIL[[#This Row],[COSTO UNIT base]]*GUAYAQUIL[[#This Row],[Conversión]]),"")</f>
        <v>2.20255</v>
      </c>
      <c r="AA166" s="236">
        <f>+IFERROR(IF(GUAYAQUIL[[#This Row],[CODIGO]]="","",GUAYAQUIL[[#This Row],[COSTO UNIT Conv]]*GUAYAQUIL[[#This Row],[Stock Actual Kgs]]),"")</f>
        <v>92.507099999999994</v>
      </c>
      <c r="AB166" s="33">
        <f ca="1">+IFERROR(IF(GUAYAQUIL[[#This Row],[CODIGO]]="","",$J$3-O166),"")</f>
        <v>9</v>
      </c>
      <c r="AC166" s="34" t="str">
        <f ca="1">IF(GUAYAQUIL[[#This Row],[CODIGO]]="","",IF(S166&lt;=0,"CADUCADO",IF(AND(S166&gt;0,S166&lt;=21),"FECHA CORTA",IF(AND(S166&gt;=22,S166&lt;=26),"PROXIMOS FECHA CORTA", "VIGENTE"))))</f>
        <v>VIGENTE</v>
      </c>
      <c r="AD166" s="37">
        <f>+IF(GUAYAQUIL[[#This Row],[CODIGO]]="","",GUAYAQUIL[[#This Row],[Stock Actual Unds]]*GUAYAQUIL[[#This Row],[Gramaje]]*GUAYAQUIL[[#This Row],[Conversión]])/1000</f>
        <v>4.2000000000000003E-2</v>
      </c>
    </row>
    <row r="167" spans="1:30">
      <c r="A167" s="24" t="str">
        <f>+IFERROR(IF(GUAYAQUIL[[#This Row],[CODIGO]]="","",VLOOKUP(GUAYAQUIL[[#This Row],[CODIGO]],MAESTRO!$A:$J,10,FALSE)),"")</f>
        <v>SAN GABRIEL</v>
      </c>
      <c r="B167" s="24" t="str">
        <f>+IFERROR(IF(GUAYAQUIL[[#This Row],[CODIGO]]="","",VLOOKUP(GUAYAQUIL[[#This Row],[CODIGO]],MAESTRO!$A:$Q,17,FALSE)),"")</f>
        <v>QUESOS Y GRASAS</v>
      </c>
      <c r="C167" s="24" t="str">
        <f>+IFERROR(IF(GUAYAQUIL[[#This Row],[CODIGO]]="","",VLOOKUP(GUAYAQUIL[[#This Row],[CODIGO]],MAESTRO!$A:$BA,53,FALSE)),"")</f>
        <v xml:space="preserve">Esteban Montenegro                      </v>
      </c>
      <c r="D167" s="24" t="str">
        <f>+IFERROR(IF(GUAYAQUIL[[#This Row],[CODIGO]]="","",VLOOKUP(GUAYAQUIL[[#This Row],[CODIGO]],MAESTRO!$A:$D,4,FALSE)),"")</f>
        <v>QUESO SEMIMADURO KIOSKO</v>
      </c>
      <c r="E167" s="24" t="str">
        <f>+IFERROR(IF(GUAYAQUIL[[#This Row],[CODIGO]]="","",VLOOKUP(GUAYAQUIL[[#This Row],[CODIGO]],MAESTRO!$A:$F,6,FALSE)),"")</f>
        <v>QUESO SEMIMADURO KIOSKO MIX CUBOS</v>
      </c>
      <c r="F167" s="42" t="str">
        <f>IF(GUAYAQUIL[[#This Row],[CODIGO]]="","",$K$6)</f>
        <v>GUAYAQUIL</v>
      </c>
      <c r="G167" s="209">
        <f>IF(GUAYAQUIL[[#This Row],[CODIGO]]="","",7711)</f>
        <v>7711</v>
      </c>
      <c r="H167" s="209">
        <f>IF(GUAYAQUIL[[#This Row],[CODIGO]]="","",1001)</f>
        <v>1001</v>
      </c>
      <c r="I167" s="258" t="s">
        <v>2259</v>
      </c>
      <c r="J167" s="25" t="str">
        <f>IFERROR((VLOOKUP(GUAYAQUIL[[#This Row],[CODIGO]],MAESTRO!A:B,2,FALSE)),"")</f>
        <v>Q MIX ESPECIAL KIOSKO CUBO BOL 350G</v>
      </c>
      <c r="K167" s="35">
        <v>30</v>
      </c>
      <c r="L167" s="38">
        <f>+IFERROR(IF(GUAYAQUIL[[#This Row],[CODIGO]]="","",VLOOKUP(GUAYAQUIL[[#This Row],[CODIGO]],MAESTRO!$A:$BF,58,FALSE)),"")</f>
        <v>1</v>
      </c>
      <c r="M167" s="27">
        <f>+IFERROR(IF(GUAYAQUIL[[#This Row],[CODIGO]]="","",VLOOKUP(GUAYAQUIL[[#This Row],[CODIGO]],MAESTRO!A:N,14,FALSE)),"")</f>
        <v>0.35</v>
      </c>
      <c r="N167" s="28">
        <f>+IFERROR(IF(GUAYAQUIL[[#This Row],[CODIGO]]="","",VLOOKUP(GUAYAQUIL[[#This Row],[CODIGO]],MAESTRO!A:P,16,FALSE)),"")</f>
        <v>60</v>
      </c>
      <c r="O167" s="29">
        <v>45616</v>
      </c>
      <c r="P167" s="72" t="str">
        <f t="shared" si="10"/>
        <v>miércoles</v>
      </c>
      <c r="Q167" s="29">
        <f>IFERROR(IF(GUAYAQUIL[[#This Row],[CODIGO]]="","",IF(GUAYAQUIL[[#This Row],[Fecha Cad]]="","",(GUAYAQUIL[[#This Row],[Fecha Cad]]-GUAYAQUIL[[#This Row],[VIDA UTIL (Días)]]))+1),"")</f>
        <v>45611</v>
      </c>
      <c r="R167" s="29">
        <v>45670</v>
      </c>
      <c r="S167" s="30">
        <f t="shared" ca="1" si="11"/>
        <v>46</v>
      </c>
      <c r="T167" s="31">
        <f t="shared" ca="1" si="12"/>
        <v>0.76666666666666672</v>
      </c>
      <c r="U167" s="286">
        <v>30</v>
      </c>
      <c r="V167" s="261">
        <f>+IFERROR(IF(GUAYAQUIL[[#This Row],[CODIGO]]="","",GUAYAQUIL[[#This Row],[Stock Actual Unds]]*GUAYAQUIL[[#This Row],[Gramaje]]*GUAYAQUIL[[#This Row],[Conversión]]),"")</f>
        <v>10.5</v>
      </c>
      <c r="W167" s="270">
        <f t="shared" si="13"/>
        <v>5</v>
      </c>
      <c r="X167" s="32">
        <f t="shared" si="14"/>
        <v>0.91666666666666663</v>
      </c>
      <c r="Y167" s="236">
        <f>IFERROR(VLOOKUP(GUAYAQUIL[[#This Row],[CODIGO]],MAESTRO!A:BI,21,FALSE),0)</f>
        <v>2.20255</v>
      </c>
      <c r="Z167" s="237">
        <f>+IFERROR(IF(GUAYAQUIL[[#This Row],[CODIGO]]="","",GUAYAQUIL[[#This Row],[COSTO UNIT base]]*GUAYAQUIL[[#This Row],[Conversión]]),"")</f>
        <v>2.20255</v>
      </c>
      <c r="AA167" s="236">
        <f>+IFERROR(IF(GUAYAQUIL[[#This Row],[CODIGO]]="","",GUAYAQUIL[[#This Row],[COSTO UNIT Conv]]*GUAYAQUIL[[#This Row],[Stock Actual Kgs]]),"")</f>
        <v>23.126774999999999</v>
      </c>
      <c r="AB167" s="33">
        <f ca="1">+IFERROR(IF(GUAYAQUIL[[#This Row],[CODIGO]]="","",$J$3-O167),"")</f>
        <v>8</v>
      </c>
      <c r="AC167" s="34" t="str">
        <f ca="1">IF(GUAYAQUIL[[#This Row],[CODIGO]]="","",IF(S167&lt;=0,"CADUCADO",IF(AND(S167&gt;0,S167&lt;=21),"FECHA CORTA",IF(AND(S167&gt;=22,S167&lt;=26),"PROXIMOS FECHA CORTA", "VIGENTE"))))</f>
        <v>VIGENTE</v>
      </c>
      <c r="AD167" s="37">
        <f>+IF(GUAYAQUIL[[#This Row],[CODIGO]]="","",GUAYAQUIL[[#This Row],[Stock Actual Unds]]*GUAYAQUIL[[#This Row],[Gramaje]]*GUAYAQUIL[[#This Row],[Conversión]])/1000</f>
        <v>1.0500000000000001E-2</v>
      </c>
    </row>
    <row r="168" spans="1:30">
      <c r="A168" s="24" t="str">
        <f>+IFERROR(IF(GUAYAQUIL[[#This Row],[CODIGO]]="","",VLOOKUP(GUAYAQUIL[[#This Row],[CODIGO]],MAESTRO!$A:$J,10,FALSE)),"")</f>
        <v>SAN GABRIEL</v>
      </c>
      <c r="B168" s="24" t="str">
        <f>+IFERROR(IF(GUAYAQUIL[[#This Row],[CODIGO]]="","",VLOOKUP(GUAYAQUIL[[#This Row],[CODIGO]],MAESTRO!$A:$Q,17,FALSE)),"")</f>
        <v>QUESOS Y GRASAS</v>
      </c>
      <c r="C168" s="24" t="str">
        <f>+IFERROR(IF(GUAYAQUIL[[#This Row],[CODIGO]]="","",VLOOKUP(GUAYAQUIL[[#This Row],[CODIGO]],MAESTRO!$A:$BA,53,FALSE)),"")</f>
        <v xml:space="preserve">Esteban Montenegro                      </v>
      </c>
      <c r="D168" s="24" t="str">
        <f>+IFERROR(IF(GUAYAQUIL[[#This Row],[CODIGO]]="","",VLOOKUP(GUAYAQUIL[[#This Row],[CODIGO]],MAESTRO!$A:$D,4,FALSE)),"")</f>
        <v>QUESO SEMIMADURO KIOSKO</v>
      </c>
      <c r="E168" s="24" t="str">
        <f>+IFERROR(IF(GUAYAQUIL[[#This Row],[CODIGO]]="","",VLOOKUP(GUAYAQUIL[[#This Row],[CODIGO]],MAESTRO!$A:$F,6,FALSE)),"")</f>
        <v>QUESO SEMIMADURO KIOSKO MIX CUBOS</v>
      </c>
      <c r="F168" s="42" t="str">
        <f>IF(GUAYAQUIL[[#This Row],[CODIGO]]="","",$K$6)</f>
        <v>GUAYAQUIL</v>
      </c>
      <c r="G168" s="42">
        <f>IF(GUAYAQUIL[[#This Row],[CODIGO]]="","",7711)</f>
        <v>7711</v>
      </c>
      <c r="H168" s="42">
        <f>IF(GUAYAQUIL[[#This Row],[CODIGO]]="","",1001)</f>
        <v>1001</v>
      </c>
      <c r="I168" s="258" t="s">
        <v>2259</v>
      </c>
      <c r="J168" s="25" t="str">
        <f>IFERROR((VLOOKUP(GUAYAQUIL[[#This Row],[CODIGO]],MAESTRO!A:B,2,FALSE)),"")</f>
        <v>Q MIX ESPECIAL KIOSKO CUBO BOL 350G</v>
      </c>
      <c r="K168" s="35">
        <v>60</v>
      </c>
      <c r="L168" s="38">
        <f>+IFERROR(IF(GUAYAQUIL[[#This Row],[CODIGO]]="","",VLOOKUP(GUAYAQUIL[[#This Row],[CODIGO]],MAESTRO!$A:$BF,58,FALSE)),"")</f>
        <v>1</v>
      </c>
      <c r="M168" s="27">
        <f>+IFERROR(IF(GUAYAQUIL[[#This Row],[CODIGO]]="","",VLOOKUP(GUAYAQUIL[[#This Row],[CODIGO]],MAESTRO!A:N,14,FALSE)),"")</f>
        <v>0.35</v>
      </c>
      <c r="N168" s="28">
        <f>+IFERROR(IF(GUAYAQUIL[[#This Row],[CODIGO]]="","",VLOOKUP(GUAYAQUIL[[#This Row],[CODIGO]],MAESTRO!A:P,16,FALSE)),"")</f>
        <v>60</v>
      </c>
      <c r="O168" s="45">
        <v>45616</v>
      </c>
      <c r="P168" s="72" t="str">
        <f t="shared" si="10"/>
        <v>miércoles</v>
      </c>
      <c r="Q168" s="29">
        <f>IFERROR(IF(GUAYAQUIL[[#This Row],[CODIGO]]="","",IF(GUAYAQUIL[[#This Row],[Fecha Cad]]="","",(GUAYAQUIL[[#This Row],[Fecha Cad]]-GUAYAQUIL[[#This Row],[VIDA UTIL (Días)]]))+1),"")</f>
        <v>45609</v>
      </c>
      <c r="R168" s="45">
        <v>45668</v>
      </c>
      <c r="S168" s="30">
        <f t="shared" ca="1" si="11"/>
        <v>44</v>
      </c>
      <c r="T168" s="31">
        <f t="shared" ca="1" si="12"/>
        <v>0.73333333333333328</v>
      </c>
      <c r="U168" s="286">
        <v>60</v>
      </c>
      <c r="V168" s="262">
        <f>+IFERROR(IF(GUAYAQUIL[[#This Row],[CODIGO]]="","",GUAYAQUIL[[#This Row],[Stock Actual Unds]]*GUAYAQUIL[[#This Row],[Gramaje]]*GUAYAQUIL[[#This Row],[Conversión]]),"")</f>
        <v>21</v>
      </c>
      <c r="W168" s="270">
        <f t="shared" si="13"/>
        <v>7</v>
      </c>
      <c r="X168" s="32">
        <f t="shared" si="14"/>
        <v>0.8833333333333333</v>
      </c>
      <c r="Y168" s="236">
        <f>IFERROR(VLOOKUP(GUAYAQUIL[[#This Row],[CODIGO]],MAESTRO!A:BI,21,FALSE),0)</f>
        <v>2.20255</v>
      </c>
      <c r="Z168" s="237">
        <f>+IFERROR(IF(GUAYAQUIL[[#This Row],[CODIGO]]="","",GUAYAQUIL[[#This Row],[COSTO UNIT base]]*GUAYAQUIL[[#This Row],[Conversión]]),"")</f>
        <v>2.20255</v>
      </c>
      <c r="AA168" s="236">
        <f>+IFERROR(IF(GUAYAQUIL[[#This Row],[CODIGO]]="","",GUAYAQUIL[[#This Row],[COSTO UNIT Conv]]*GUAYAQUIL[[#This Row],[Stock Actual Kgs]]),"")</f>
        <v>46.253549999999997</v>
      </c>
      <c r="AB168" s="33">
        <f ca="1">+IFERROR(IF(GUAYAQUIL[[#This Row],[CODIGO]]="","",$J$3-O168),"")</f>
        <v>8</v>
      </c>
      <c r="AC168" s="34" t="str">
        <f ca="1">IF(GUAYAQUIL[[#This Row],[CODIGO]]="","",IF(S168&lt;=0,"CADUCADO",IF(AND(S168&gt;0,S168&lt;=21),"FECHA CORTA",IF(AND(S168&gt;=22,S168&lt;=26),"PROXIMOS FECHA CORTA", "VIGENTE"))))</f>
        <v>VIGENTE</v>
      </c>
      <c r="AD168" s="37">
        <f>+IF(GUAYAQUIL[[#This Row],[CODIGO]]="","",GUAYAQUIL[[#This Row],[Stock Actual Unds]]*GUAYAQUIL[[#This Row],[Gramaje]]*GUAYAQUIL[[#This Row],[Conversión]])/1000</f>
        <v>2.1000000000000001E-2</v>
      </c>
    </row>
    <row r="169" spans="1:30">
      <c r="A169" s="24" t="str">
        <f>+IFERROR(IF(GUAYAQUIL[[#This Row],[CODIGO]]="","",VLOOKUP(GUAYAQUIL[[#This Row],[CODIGO]],MAESTRO!$A:$J,10,FALSE)),"")</f>
        <v>SAN GABRIEL</v>
      </c>
      <c r="B169" s="24" t="str">
        <f>+IFERROR(IF(GUAYAQUIL[[#This Row],[CODIGO]]="","",VLOOKUP(GUAYAQUIL[[#This Row],[CODIGO]],MAESTRO!$A:$Q,17,FALSE)),"")</f>
        <v>QUESOS Y GRASAS</v>
      </c>
      <c r="C169" s="24" t="str">
        <f>+IFERROR(IF(GUAYAQUIL[[#This Row],[CODIGO]]="","",VLOOKUP(GUAYAQUIL[[#This Row],[CODIGO]],MAESTRO!$A:$BA,53,FALSE)),"")</f>
        <v xml:space="preserve">Esteban Montenegro                      </v>
      </c>
      <c r="D169" s="24" t="str">
        <f>+IFERROR(IF(GUAYAQUIL[[#This Row],[CODIGO]]="","",VLOOKUP(GUAYAQUIL[[#This Row],[CODIGO]],MAESTRO!$A:$D,4,FALSE)),"")</f>
        <v>QUESO SEMIMADURO KIOSKO</v>
      </c>
      <c r="E169" s="24" t="str">
        <f>+IFERROR(IF(GUAYAQUIL[[#This Row],[CODIGO]]="","",VLOOKUP(GUAYAQUIL[[#This Row],[CODIGO]],MAESTRO!$A:$F,6,FALSE)),"")</f>
        <v>QUESO SEMIMADURO KIOSKO MIX CUBOS</v>
      </c>
      <c r="F169" s="42" t="str">
        <f>IF(GUAYAQUIL[[#This Row],[CODIGO]]="","",$K$6)</f>
        <v>GUAYAQUIL</v>
      </c>
      <c r="G169" s="209">
        <f>IF(GUAYAQUIL[[#This Row],[CODIGO]]="","",7711)</f>
        <v>7711</v>
      </c>
      <c r="H169" s="209">
        <f>IF(GUAYAQUIL[[#This Row],[CODIGO]]="","",1001)</f>
        <v>1001</v>
      </c>
      <c r="I169" s="258" t="s">
        <v>2259</v>
      </c>
      <c r="J169" s="25" t="str">
        <f>IFERROR((VLOOKUP(GUAYAQUIL[[#This Row],[CODIGO]],MAESTRO!A:B,2,FALSE)),"")</f>
        <v>Q MIX ESPECIAL KIOSKO CUBO BOL 350G</v>
      </c>
      <c r="K169" s="35">
        <v>90</v>
      </c>
      <c r="L169" s="38">
        <f>+IFERROR(IF(GUAYAQUIL[[#This Row],[CODIGO]]="","",VLOOKUP(GUAYAQUIL[[#This Row],[CODIGO]],MAESTRO!$A:$BF,58,FALSE)),"")</f>
        <v>1</v>
      </c>
      <c r="M169" s="27">
        <f>+IFERROR(IF(GUAYAQUIL[[#This Row],[CODIGO]]="","",VLOOKUP(GUAYAQUIL[[#This Row],[CODIGO]],MAESTRO!A:N,14,FALSE)),"")</f>
        <v>0.35</v>
      </c>
      <c r="N169" s="28">
        <f>+IFERROR(IF(GUAYAQUIL[[#This Row],[CODIGO]]="","",VLOOKUP(GUAYAQUIL[[#This Row],[CODIGO]],MAESTRO!A:P,16,FALSE)),"")</f>
        <v>60</v>
      </c>
      <c r="O169" s="45">
        <v>45617</v>
      </c>
      <c r="P169" s="72" t="str">
        <f t="shared" si="10"/>
        <v>jueves</v>
      </c>
      <c r="Q169" s="29">
        <f>IFERROR(IF(GUAYAQUIL[[#This Row],[CODIGO]]="","",IF(GUAYAQUIL[[#This Row],[Fecha Cad]]="","",(GUAYAQUIL[[#This Row],[Fecha Cad]]-GUAYAQUIL[[#This Row],[VIDA UTIL (Días)]]))+1),"")</f>
        <v>45611</v>
      </c>
      <c r="R169" s="45">
        <v>45670</v>
      </c>
      <c r="S169" s="30">
        <f t="shared" ca="1" si="11"/>
        <v>46</v>
      </c>
      <c r="T169" s="31">
        <f t="shared" ca="1" si="12"/>
        <v>0.76666666666666672</v>
      </c>
      <c r="U169" s="286">
        <v>90</v>
      </c>
      <c r="V169" s="262">
        <f>+IFERROR(IF(GUAYAQUIL[[#This Row],[CODIGO]]="","",GUAYAQUIL[[#This Row],[Stock Actual Unds]]*GUAYAQUIL[[#This Row],[Gramaje]]*GUAYAQUIL[[#This Row],[Conversión]]),"")</f>
        <v>31.499999999999996</v>
      </c>
      <c r="W169" s="270">
        <f t="shared" si="13"/>
        <v>6</v>
      </c>
      <c r="X169" s="32">
        <f t="shared" si="14"/>
        <v>0.9</v>
      </c>
      <c r="Y169" s="236">
        <f>IFERROR(VLOOKUP(GUAYAQUIL[[#This Row],[CODIGO]],MAESTRO!A:BI,21,FALSE),0)</f>
        <v>2.20255</v>
      </c>
      <c r="Z169" s="237">
        <f>+IFERROR(IF(GUAYAQUIL[[#This Row],[CODIGO]]="","",GUAYAQUIL[[#This Row],[COSTO UNIT base]]*GUAYAQUIL[[#This Row],[Conversión]]),"")</f>
        <v>2.20255</v>
      </c>
      <c r="AA169" s="236">
        <f>+IFERROR(IF(GUAYAQUIL[[#This Row],[CODIGO]]="","",GUAYAQUIL[[#This Row],[COSTO UNIT Conv]]*GUAYAQUIL[[#This Row],[Stock Actual Kgs]]),"")</f>
        <v>69.380324999999999</v>
      </c>
      <c r="AB169" s="33">
        <f ca="1">+IFERROR(IF(GUAYAQUIL[[#This Row],[CODIGO]]="","",$J$3-O169),"")</f>
        <v>7</v>
      </c>
      <c r="AC169" s="34" t="str">
        <f ca="1">IF(GUAYAQUIL[[#This Row],[CODIGO]]="","",IF(S169&lt;=0,"CADUCADO",IF(AND(S169&gt;0,S169&lt;=21),"FECHA CORTA",IF(AND(S169&gt;=22,S169&lt;=26),"PROXIMOS FECHA CORTA", "VIGENTE"))))</f>
        <v>VIGENTE</v>
      </c>
      <c r="AD169" s="37">
        <f>+IF(GUAYAQUIL[[#This Row],[CODIGO]]="","",GUAYAQUIL[[#This Row],[Stock Actual Unds]]*GUAYAQUIL[[#This Row],[Gramaje]]*GUAYAQUIL[[#This Row],[Conversión]])/1000</f>
        <v>3.1499999999999993E-2</v>
      </c>
    </row>
    <row r="170" spans="1:30">
      <c r="A170" s="24" t="str">
        <f>+IFERROR(IF(GUAYAQUIL[[#This Row],[CODIGO]]="","",VLOOKUP(GUAYAQUIL[[#This Row],[CODIGO]],MAESTRO!$A:$J,10,FALSE)),"")</f>
        <v>SAN GABRIEL</v>
      </c>
      <c r="B170" s="24" t="str">
        <f>+IFERROR(IF(GUAYAQUIL[[#This Row],[CODIGO]]="","",VLOOKUP(GUAYAQUIL[[#This Row],[CODIGO]],MAESTRO!$A:$Q,17,FALSE)),"")</f>
        <v>QUESOS Y GRASAS</v>
      </c>
      <c r="C170" s="24" t="str">
        <f>+IFERROR(IF(GUAYAQUIL[[#This Row],[CODIGO]]="","",VLOOKUP(GUAYAQUIL[[#This Row],[CODIGO]],MAESTRO!$A:$BA,53,FALSE)),"")</f>
        <v xml:space="preserve">Esteban Montenegro                      </v>
      </c>
      <c r="D170" s="24" t="str">
        <f>+IFERROR(IF(GUAYAQUIL[[#This Row],[CODIGO]]="","",VLOOKUP(GUAYAQUIL[[#This Row],[CODIGO]],MAESTRO!$A:$D,4,FALSE)),"")</f>
        <v>QUESO SEMIMADURO KIOSKO</v>
      </c>
      <c r="E170" s="24" t="str">
        <f>+IFERROR(IF(GUAYAQUIL[[#This Row],[CODIGO]]="","",VLOOKUP(GUAYAQUIL[[#This Row],[CODIGO]],MAESTRO!$A:$F,6,FALSE)),"")</f>
        <v>QUESO PROVOLONE KIOSKO BLOQUE</v>
      </c>
      <c r="F170" s="42" t="str">
        <f>IF(GUAYAQUIL[[#This Row],[CODIGO]]="","",$K$6)</f>
        <v>GUAYAQUIL</v>
      </c>
      <c r="G170" s="42">
        <f>IF(GUAYAQUIL[[#This Row],[CODIGO]]="","",7711)</f>
        <v>7711</v>
      </c>
      <c r="H170" s="42">
        <f>IF(GUAYAQUIL[[#This Row],[CODIGO]]="","",1001)</f>
        <v>1001</v>
      </c>
      <c r="I170" s="258" t="s">
        <v>3522</v>
      </c>
      <c r="J170" s="25" t="str">
        <f>IFERROR((VLOOKUP(GUAYAQUIL[[#This Row],[CODIGO]],MAESTRO!A:B,2,FALSE)),"")</f>
        <v>Q PROVO AHUM KIOSKO AL PESO</v>
      </c>
      <c r="K170" s="35">
        <v>80</v>
      </c>
      <c r="L170" s="38">
        <f>+IFERROR(IF(GUAYAQUIL[[#This Row],[CODIGO]]="","",VLOOKUP(GUAYAQUIL[[#This Row],[CODIGO]],MAESTRO!$A:$BF,58,FALSE)),"")</f>
        <v>1.4</v>
      </c>
      <c r="M170" s="27">
        <f>+IFERROR(IF(GUAYAQUIL[[#This Row],[CODIGO]]="","",VLOOKUP(GUAYAQUIL[[#This Row],[CODIGO]],MAESTRO!A:N,14,FALSE)),"")</f>
        <v>1</v>
      </c>
      <c r="N170" s="28">
        <f>+IFERROR(IF(GUAYAQUIL[[#This Row],[CODIGO]]="","",VLOOKUP(GUAYAQUIL[[#This Row],[CODIGO]],MAESTRO!A:P,16,FALSE)),"")</f>
        <v>60</v>
      </c>
      <c r="O170" s="45">
        <v>45596</v>
      </c>
      <c r="P170" s="72" t="str">
        <f t="shared" si="10"/>
        <v>jueves</v>
      </c>
      <c r="Q170" s="29">
        <f>IFERROR(IF(GUAYAQUIL[[#This Row],[CODIGO]]="","",IF(GUAYAQUIL[[#This Row],[Fecha Cad]]="","",(GUAYAQUIL[[#This Row],[Fecha Cad]]-GUAYAQUIL[[#This Row],[VIDA UTIL (Días)]]))+1),"")</f>
        <v>45595</v>
      </c>
      <c r="R170" s="45">
        <v>45654</v>
      </c>
      <c r="S170" s="30">
        <f t="shared" ca="1" si="11"/>
        <v>30</v>
      </c>
      <c r="T170" s="31">
        <f t="shared" ca="1" si="12"/>
        <v>0.5</v>
      </c>
      <c r="U170" s="286">
        <v>21</v>
      </c>
      <c r="V170" s="262">
        <f>+IFERROR(IF(GUAYAQUIL[[#This Row],[CODIGO]]="","",GUAYAQUIL[[#This Row],[Stock Actual Unds]]*GUAYAQUIL[[#This Row],[Gramaje]]*GUAYAQUIL[[#This Row],[Conversión]]),"")</f>
        <v>29.4</v>
      </c>
      <c r="W170" s="270">
        <f t="shared" si="13"/>
        <v>1</v>
      </c>
      <c r="X170" s="32">
        <f t="shared" si="14"/>
        <v>0.98333333333333328</v>
      </c>
      <c r="Y170" s="236">
        <f>IFERROR(VLOOKUP(GUAYAQUIL[[#This Row],[CODIGO]],MAESTRO!A:BI,21,FALSE),0)</f>
        <v>6.2104049999999997</v>
      </c>
      <c r="Z170" s="237">
        <f>+IFERROR(IF(GUAYAQUIL[[#This Row],[CODIGO]]="","",GUAYAQUIL[[#This Row],[COSTO UNIT base]]*GUAYAQUIL[[#This Row],[Conversión]]),"")</f>
        <v>8.6945669999999993</v>
      </c>
      <c r="AA170" s="236">
        <f>+IFERROR(IF(GUAYAQUIL[[#This Row],[CODIGO]]="","",GUAYAQUIL[[#This Row],[COSTO UNIT Conv]]*GUAYAQUIL[[#This Row],[Stock Actual Kgs]]),"")</f>
        <v>255.62026979999996</v>
      </c>
      <c r="AB170" s="33">
        <f ca="1">+IFERROR(IF(GUAYAQUIL[[#This Row],[CODIGO]]="","",$J$3-O170),"")</f>
        <v>28</v>
      </c>
      <c r="AC170" s="34" t="str">
        <f ca="1">IF(GUAYAQUIL[[#This Row],[CODIGO]]="","",IF(S170&lt;=0,"CADUCADO",IF(AND(S170&gt;0,S170&lt;=21),"FECHA CORTA",IF(AND(S170&gt;=22,S170&lt;=26),"PROXIMOS FECHA CORTA", "VIGENTE"))))</f>
        <v>VIGENTE</v>
      </c>
      <c r="AD170" s="37">
        <f>+IF(GUAYAQUIL[[#This Row],[CODIGO]]="","",GUAYAQUIL[[#This Row],[Stock Actual Unds]]*GUAYAQUIL[[#This Row],[Gramaje]]*GUAYAQUIL[[#This Row],[Conversión]])/1000</f>
        <v>2.9399999999999999E-2</v>
      </c>
    </row>
    <row r="171" spans="1:30">
      <c r="A171" s="24" t="str">
        <f>+IFERROR(IF(GUAYAQUIL[[#This Row],[CODIGO]]="","",VLOOKUP(GUAYAQUIL[[#This Row],[CODIGO]],MAESTRO!$A:$J,10,FALSE)),"")</f>
        <v>SAN GABRIEL</v>
      </c>
      <c r="B171" s="24" t="str">
        <f>+IFERROR(IF(GUAYAQUIL[[#This Row],[CODIGO]]="","",VLOOKUP(GUAYAQUIL[[#This Row],[CODIGO]],MAESTRO!$A:$Q,17,FALSE)),"")</f>
        <v>QUESOS Y GRASAS</v>
      </c>
      <c r="C171" s="24" t="str">
        <f>+IFERROR(IF(GUAYAQUIL[[#This Row],[CODIGO]]="","",VLOOKUP(GUAYAQUIL[[#This Row],[CODIGO]],MAESTRO!$A:$BA,53,FALSE)),"")</f>
        <v xml:space="preserve">Esteban Montenegro                      </v>
      </c>
      <c r="D171" s="24" t="str">
        <f>+IFERROR(IF(GUAYAQUIL[[#This Row],[CODIGO]]="","",VLOOKUP(GUAYAQUIL[[#This Row],[CODIGO]],MAESTRO!$A:$D,4,FALSE)),"")</f>
        <v>QUESO SEMIMADURO KIOSKO</v>
      </c>
      <c r="E171" s="24" t="str">
        <f>+IFERROR(IF(GUAYAQUIL[[#This Row],[CODIGO]]="","",VLOOKUP(GUAYAQUIL[[#This Row],[CODIGO]],MAESTRO!$A:$F,6,FALSE)),"")</f>
        <v>QUESO PROVOLONE KIOSKO BLOQUE</v>
      </c>
      <c r="F171" s="42" t="str">
        <f>IF(GUAYAQUIL[[#This Row],[CODIGO]]="","",$K$6)</f>
        <v>GUAYAQUIL</v>
      </c>
      <c r="G171" s="209">
        <f>IF(GUAYAQUIL[[#This Row],[CODIGO]]="","",7711)</f>
        <v>7711</v>
      </c>
      <c r="H171" s="209">
        <f>IF(GUAYAQUIL[[#This Row],[CODIGO]]="","",1001)</f>
        <v>1001</v>
      </c>
      <c r="I171" s="258" t="s">
        <v>3522</v>
      </c>
      <c r="J171" s="25" t="str">
        <f>IFERROR((VLOOKUP(GUAYAQUIL[[#This Row],[CODIGO]],MAESTRO!A:B,2,FALSE)),"")</f>
        <v>Q PROVO AHUM KIOSKO AL PESO</v>
      </c>
      <c r="K171" s="35">
        <v>26</v>
      </c>
      <c r="L171" s="38">
        <f>+IFERROR(IF(GUAYAQUIL[[#This Row],[CODIGO]]="","",VLOOKUP(GUAYAQUIL[[#This Row],[CODIGO]],MAESTRO!$A:$BF,58,FALSE)),"")</f>
        <v>1.4</v>
      </c>
      <c r="M171" s="27">
        <f>+IFERROR(IF(GUAYAQUIL[[#This Row],[CODIGO]]="","",VLOOKUP(GUAYAQUIL[[#This Row],[CODIGO]],MAESTRO!A:N,14,FALSE)),"")</f>
        <v>1</v>
      </c>
      <c r="N171" s="28">
        <f>+IFERROR(IF(GUAYAQUIL[[#This Row],[CODIGO]]="","",VLOOKUP(GUAYAQUIL[[#This Row],[CODIGO]],MAESTRO!A:P,16,FALSE)),"")</f>
        <v>60</v>
      </c>
      <c r="O171" s="45">
        <v>45609</v>
      </c>
      <c r="P171" s="72" t="str">
        <f t="shared" si="10"/>
        <v>miércoles</v>
      </c>
      <c r="Q171" s="29">
        <f>IFERROR(IF(GUAYAQUIL[[#This Row],[CODIGO]]="","",IF(GUAYAQUIL[[#This Row],[Fecha Cad]]="","",(GUAYAQUIL[[#This Row],[Fecha Cad]]-GUAYAQUIL[[#This Row],[VIDA UTIL (Días)]]))+1),"")</f>
        <v>45608</v>
      </c>
      <c r="R171" s="45">
        <v>45667</v>
      </c>
      <c r="S171" s="30">
        <f t="shared" ca="1" si="11"/>
        <v>43</v>
      </c>
      <c r="T171" s="31">
        <f t="shared" ca="1" si="12"/>
        <v>0.71666666666666667</v>
      </c>
      <c r="U171" s="286">
        <v>26</v>
      </c>
      <c r="V171" s="262">
        <f>+IFERROR(IF(GUAYAQUIL[[#This Row],[CODIGO]]="","",GUAYAQUIL[[#This Row],[Stock Actual Unds]]*GUAYAQUIL[[#This Row],[Gramaje]]*GUAYAQUIL[[#This Row],[Conversión]]),"")</f>
        <v>36.4</v>
      </c>
      <c r="W171" s="270">
        <f t="shared" si="13"/>
        <v>1</v>
      </c>
      <c r="X171" s="32">
        <f t="shared" si="14"/>
        <v>0.98333333333333328</v>
      </c>
      <c r="Y171" s="236">
        <f>IFERROR(VLOOKUP(GUAYAQUIL[[#This Row],[CODIGO]],MAESTRO!A:BI,21,FALSE),0)</f>
        <v>6.2104049999999997</v>
      </c>
      <c r="Z171" s="237">
        <f>+IFERROR(IF(GUAYAQUIL[[#This Row],[CODIGO]]="","",GUAYAQUIL[[#This Row],[COSTO UNIT base]]*GUAYAQUIL[[#This Row],[Conversión]]),"")</f>
        <v>8.6945669999999993</v>
      </c>
      <c r="AA171" s="236">
        <f>+IFERROR(IF(GUAYAQUIL[[#This Row],[CODIGO]]="","",GUAYAQUIL[[#This Row],[COSTO UNIT Conv]]*GUAYAQUIL[[#This Row],[Stock Actual Kgs]]),"")</f>
        <v>316.48223879999995</v>
      </c>
      <c r="AB171" s="33">
        <f ca="1">+IFERROR(IF(GUAYAQUIL[[#This Row],[CODIGO]]="","",$J$3-O171),"")</f>
        <v>15</v>
      </c>
      <c r="AC171" s="34" t="str">
        <f ca="1">IF(GUAYAQUIL[[#This Row],[CODIGO]]="","",IF(S171&lt;=0,"CADUCADO",IF(AND(S171&gt;0,S171&lt;=21),"FECHA CORTA",IF(AND(S171&gt;=22,S171&lt;=26),"PROXIMOS FECHA CORTA", "VIGENTE"))))</f>
        <v>VIGENTE</v>
      </c>
      <c r="AD171" s="37">
        <f>+IF(GUAYAQUIL[[#This Row],[CODIGO]]="","",GUAYAQUIL[[#This Row],[Stock Actual Unds]]*GUAYAQUIL[[#This Row],[Gramaje]]*GUAYAQUIL[[#This Row],[Conversión]])/1000</f>
        <v>3.6400000000000002E-2</v>
      </c>
    </row>
    <row r="172" spans="1:30">
      <c r="A172" s="24" t="str">
        <f>+IFERROR(IF(GUAYAQUIL[[#This Row],[CODIGO]]="","",VLOOKUP(GUAYAQUIL[[#This Row],[CODIGO]],MAESTRO!$A:$J,10,FALSE)),"")</f>
        <v>SAN GABRIEL</v>
      </c>
      <c r="B172" s="24" t="str">
        <f>+IFERROR(IF(GUAYAQUIL[[#This Row],[CODIGO]]="","",VLOOKUP(GUAYAQUIL[[#This Row],[CODIGO]],MAESTRO!$A:$Q,17,FALSE)),"")</f>
        <v>QUESOS Y GRASAS</v>
      </c>
      <c r="C172" s="24" t="str">
        <f>+IFERROR(IF(GUAYAQUIL[[#This Row],[CODIGO]]="","",VLOOKUP(GUAYAQUIL[[#This Row],[CODIGO]],MAESTRO!$A:$BA,53,FALSE)),"")</f>
        <v xml:space="preserve">Esteban Montenegro                      </v>
      </c>
      <c r="D172" s="24" t="str">
        <f>+IFERROR(IF(GUAYAQUIL[[#This Row],[CODIGO]]="","",VLOOKUP(GUAYAQUIL[[#This Row],[CODIGO]],MAESTRO!$A:$D,4,FALSE)),"")</f>
        <v>QUESO SEMIMADURO KIOSKO</v>
      </c>
      <c r="E172" s="24" t="str">
        <f>+IFERROR(IF(GUAYAQUIL[[#This Row],[CODIGO]]="","",VLOOKUP(GUAYAQUIL[[#This Row],[CODIGO]],MAESTRO!$A:$F,6,FALSE)),"")</f>
        <v>QUESO PROVOLONE KIOSKO BLOQUE</v>
      </c>
      <c r="F172" s="42" t="str">
        <f>IF(GUAYAQUIL[[#This Row],[CODIGO]]="","",$K$6)</f>
        <v>GUAYAQUIL</v>
      </c>
      <c r="G172" s="42">
        <f>IF(GUAYAQUIL[[#This Row],[CODIGO]]="","",7711)</f>
        <v>7711</v>
      </c>
      <c r="H172" s="42">
        <f>IF(GUAYAQUIL[[#This Row],[CODIGO]]="","",1001)</f>
        <v>1001</v>
      </c>
      <c r="I172" s="258" t="s">
        <v>3522</v>
      </c>
      <c r="J172" s="25" t="str">
        <f>IFERROR((VLOOKUP(GUAYAQUIL[[#This Row],[CODIGO]],MAESTRO!A:B,2,FALSE)),"")</f>
        <v>Q PROVO AHUM KIOSKO AL PESO</v>
      </c>
      <c r="K172" s="35">
        <v>26</v>
      </c>
      <c r="L172" s="38">
        <f>+IFERROR(IF(GUAYAQUIL[[#This Row],[CODIGO]]="","",VLOOKUP(GUAYAQUIL[[#This Row],[CODIGO]],MAESTRO!$A:$BF,58,FALSE)),"")</f>
        <v>1.4</v>
      </c>
      <c r="M172" s="27">
        <f>+IFERROR(IF(GUAYAQUIL[[#This Row],[CODIGO]]="","",VLOOKUP(GUAYAQUIL[[#This Row],[CODIGO]],MAESTRO!A:N,14,FALSE)),"")</f>
        <v>1</v>
      </c>
      <c r="N172" s="28">
        <f>+IFERROR(IF(GUAYAQUIL[[#This Row],[CODIGO]]="","",VLOOKUP(GUAYAQUIL[[#This Row],[CODIGO]],MAESTRO!A:P,16,FALSE)),"")</f>
        <v>60</v>
      </c>
      <c r="O172" s="45">
        <v>45611</v>
      </c>
      <c r="P172" s="72" t="str">
        <f t="shared" si="10"/>
        <v>viernes</v>
      </c>
      <c r="Q172" s="29">
        <f>IFERROR(IF(GUAYAQUIL[[#This Row],[CODIGO]]="","",IF(GUAYAQUIL[[#This Row],[Fecha Cad]]="","",(GUAYAQUIL[[#This Row],[Fecha Cad]]-GUAYAQUIL[[#This Row],[VIDA UTIL (Días)]]))+1),"")</f>
        <v>45610</v>
      </c>
      <c r="R172" s="45">
        <v>45669</v>
      </c>
      <c r="S172" s="30">
        <f t="shared" ca="1" si="11"/>
        <v>45</v>
      </c>
      <c r="T172" s="31">
        <f t="shared" ca="1" si="12"/>
        <v>0.75</v>
      </c>
      <c r="U172" s="286">
        <v>26</v>
      </c>
      <c r="V172" s="262">
        <f>+IFERROR(IF(GUAYAQUIL[[#This Row],[CODIGO]]="","",GUAYAQUIL[[#This Row],[Stock Actual Unds]]*GUAYAQUIL[[#This Row],[Gramaje]]*GUAYAQUIL[[#This Row],[Conversión]]),"")</f>
        <v>36.4</v>
      </c>
      <c r="W172" s="270">
        <f t="shared" si="13"/>
        <v>1</v>
      </c>
      <c r="X172" s="32">
        <f t="shared" si="14"/>
        <v>0.98333333333333328</v>
      </c>
      <c r="Y172" s="236">
        <f>IFERROR(VLOOKUP(GUAYAQUIL[[#This Row],[CODIGO]],MAESTRO!A:BI,21,FALSE),0)</f>
        <v>6.2104049999999997</v>
      </c>
      <c r="Z172" s="237">
        <f>+IFERROR(IF(GUAYAQUIL[[#This Row],[CODIGO]]="","",GUAYAQUIL[[#This Row],[COSTO UNIT base]]*GUAYAQUIL[[#This Row],[Conversión]]),"")</f>
        <v>8.6945669999999993</v>
      </c>
      <c r="AA172" s="236">
        <f>+IFERROR(IF(GUAYAQUIL[[#This Row],[CODIGO]]="","",GUAYAQUIL[[#This Row],[COSTO UNIT Conv]]*GUAYAQUIL[[#This Row],[Stock Actual Kgs]]),"")</f>
        <v>316.48223879999995</v>
      </c>
      <c r="AB172" s="33">
        <f ca="1">+IFERROR(IF(GUAYAQUIL[[#This Row],[CODIGO]]="","",$J$3-O172),"")</f>
        <v>13</v>
      </c>
      <c r="AC172" s="34" t="str">
        <f ca="1">IF(GUAYAQUIL[[#This Row],[CODIGO]]="","",IF(S172&lt;=0,"CADUCADO",IF(AND(S172&gt;0,S172&lt;=21),"FECHA CORTA",IF(AND(S172&gt;=22,S172&lt;=26),"PROXIMOS FECHA CORTA", "VIGENTE"))))</f>
        <v>VIGENTE</v>
      </c>
      <c r="AD172" s="37">
        <f>+IF(GUAYAQUIL[[#This Row],[CODIGO]]="","",GUAYAQUIL[[#This Row],[Stock Actual Unds]]*GUAYAQUIL[[#This Row],[Gramaje]]*GUAYAQUIL[[#This Row],[Conversión]])/1000</f>
        <v>3.6400000000000002E-2</v>
      </c>
    </row>
    <row r="173" spans="1:30">
      <c r="A173" s="24" t="str">
        <f>+IFERROR(IF(GUAYAQUIL[[#This Row],[CODIGO]]="","",VLOOKUP(GUAYAQUIL[[#This Row],[CODIGO]],MAESTRO!$A:$J,10,FALSE)),"")</f>
        <v>SAN GABRIEL</v>
      </c>
      <c r="B173" s="24" t="str">
        <f>+IFERROR(IF(GUAYAQUIL[[#This Row],[CODIGO]]="","",VLOOKUP(GUAYAQUIL[[#This Row],[CODIGO]],MAESTRO!$A:$Q,17,FALSE)),"")</f>
        <v>QUESOS Y GRASAS</v>
      </c>
      <c r="C173" s="24" t="str">
        <f>+IFERROR(IF(GUAYAQUIL[[#This Row],[CODIGO]]="","",VLOOKUP(GUAYAQUIL[[#This Row],[CODIGO]],MAESTRO!$A:$BA,53,FALSE)),"")</f>
        <v xml:space="preserve">Esteban Montenegro                      </v>
      </c>
      <c r="D173" s="24" t="str">
        <f>+IFERROR(IF(GUAYAQUIL[[#This Row],[CODIGO]]="","",VLOOKUP(GUAYAQUIL[[#This Row],[CODIGO]],MAESTRO!$A:$D,4,FALSE)),"")</f>
        <v>QUESO SEMIMADURO KIOSKO</v>
      </c>
      <c r="E173" s="24" t="str">
        <f>+IFERROR(IF(GUAYAQUIL[[#This Row],[CODIGO]]="","",VLOOKUP(GUAYAQUIL[[#This Row],[CODIGO]],MAESTRO!$A:$F,6,FALSE)),"")</f>
        <v>QUESO SANDUCHE KIOSKO TAJADO</v>
      </c>
      <c r="F173" s="42" t="str">
        <f>IF(GUAYAQUIL[[#This Row],[CODIGO]]="","",$K$6)</f>
        <v>GUAYAQUIL</v>
      </c>
      <c r="G173" s="209">
        <f>IF(GUAYAQUIL[[#This Row],[CODIGO]]="","",7711)</f>
        <v>7711</v>
      </c>
      <c r="H173" s="209">
        <f>IF(GUAYAQUIL[[#This Row],[CODIGO]]="","",1001)</f>
        <v>1001</v>
      </c>
      <c r="I173" s="258" t="s">
        <v>4124</v>
      </c>
      <c r="J173" s="25" t="str">
        <f>IFERROR((VLOOKUP(GUAYAQUIL[[#This Row],[CODIGO]],MAESTRO!A:B,2,FALSE)),"")</f>
        <v>Q SANDU KIOSKO 10 LONJ 150G</v>
      </c>
      <c r="K173" s="35">
        <v>300</v>
      </c>
      <c r="L173" s="38">
        <f>+IFERROR(IF(GUAYAQUIL[[#This Row],[CODIGO]]="","",VLOOKUP(GUAYAQUIL[[#This Row],[CODIGO]],MAESTRO!$A:$BF,58,FALSE)),"")</f>
        <v>1</v>
      </c>
      <c r="M173" s="27">
        <f>+IFERROR(IF(GUAYAQUIL[[#This Row],[CODIGO]]="","",VLOOKUP(GUAYAQUIL[[#This Row],[CODIGO]],MAESTRO!A:N,14,FALSE)),"")</f>
        <v>0.15</v>
      </c>
      <c r="N173" s="28">
        <f>+IFERROR(IF(GUAYAQUIL[[#This Row],[CODIGO]]="","",VLOOKUP(GUAYAQUIL[[#This Row],[CODIGO]],MAESTRO!A:P,16,FALSE)),"")</f>
        <v>90</v>
      </c>
      <c r="O173" s="45">
        <v>45608</v>
      </c>
      <c r="P173" s="72" t="str">
        <f t="shared" si="10"/>
        <v>martes</v>
      </c>
      <c r="Q173" s="29">
        <f>IFERROR(IF(GUAYAQUIL[[#This Row],[CODIGO]]="","",IF(GUAYAQUIL[[#This Row],[Fecha Cad]]="","",(GUAYAQUIL[[#This Row],[Fecha Cad]]-GUAYAQUIL[[#This Row],[VIDA UTIL (Días)]]))+1),"")</f>
        <v>45601</v>
      </c>
      <c r="R173" s="45">
        <v>45690</v>
      </c>
      <c r="S173" s="30">
        <f t="shared" ca="1" si="11"/>
        <v>66</v>
      </c>
      <c r="T173" s="31">
        <f t="shared" ca="1" si="12"/>
        <v>0.73333333333333328</v>
      </c>
      <c r="U173" s="286">
        <v>167</v>
      </c>
      <c r="V173" s="262">
        <f>+IFERROR(IF(GUAYAQUIL[[#This Row],[CODIGO]]="","",GUAYAQUIL[[#This Row],[Stock Actual Unds]]*GUAYAQUIL[[#This Row],[Gramaje]]*GUAYAQUIL[[#This Row],[Conversión]]),"")</f>
        <v>25.05</v>
      </c>
      <c r="W173" s="270">
        <f t="shared" si="13"/>
        <v>7</v>
      </c>
      <c r="X173" s="32">
        <f t="shared" si="14"/>
        <v>0.92222222222222228</v>
      </c>
      <c r="Y173" s="236">
        <f>IFERROR(VLOOKUP(GUAYAQUIL[[#This Row],[CODIGO]],MAESTRO!A:BI,21,FALSE),0)</f>
        <v>1.186285</v>
      </c>
      <c r="Z173" s="237">
        <f>+IFERROR(IF(GUAYAQUIL[[#This Row],[CODIGO]]="","",GUAYAQUIL[[#This Row],[COSTO UNIT base]]*GUAYAQUIL[[#This Row],[Conversión]]),"")</f>
        <v>1.186285</v>
      </c>
      <c r="AA173" s="236">
        <f>+IFERROR(IF(GUAYAQUIL[[#This Row],[CODIGO]]="","",GUAYAQUIL[[#This Row],[COSTO UNIT Conv]]*GUAYAQUIL[[#This Row],[Stock Actual Kgs]]),"")</f>
        <v>29.716439250000001</v>
      </c>
      <c r="AB173" s="33">
        <f ca="1">+IFERROR(IF(GUAYAQUIL[[#This Row],[CODIGO]]="","",$J$3-O173),"")</f>
        <v>16</v>
      </c>
      <c r="AC173" s="34" t="str">
        <f ca="1">IF(GUAYAQUIL[[#This Row],[CODIGO]]="","",IF(S173&lt;=0,"CADUCADO",IF(AND(S173&gt;0,S173&lt;=21),"FECHA CORTA",IF(AND(S173&gt;=22,S173&lt;=26),"PROXIMOS FECHA CORTA", "VIGENTE"))))</f>
        <v>VIGENTE</v>
      </c>
      <c r="AD173" s="37">
        <f>+IF(GUAYAQUIL[[#This Row],[CODIGO]]="","",GUAYAQUIL[[#This Row],[Stock Actual Unds]]*GUAYAQUIL[[#This Row],[Gramaje]]*GUAYAQUIL[[#This Row],[Conversión]])/1000</f>
        <v>2.5049999999999999E-2</v>
      </c>
    </row>
    <row r="174" spans="1:30">
      <c r="A174" s="24" t="str">
        <f>+IFERROR(IF(GUAYAQUIL[[#This Row],[CODIGO]]="","",VLOOKUP(GUAYAQUIL[[#This Row],[CODIGO]],MAESTRO!$A:$J,10,FALSE)),"")</f>
        <v>SAN GABRIEL</v>
      </c>
      <c r="B174" s="24" t="str">
        <f>+IFERROR(IF(GUAYAQUIL[[#This Row],[CODIGO]]="","",VLOOKUP(GUAYAQUIL[[#This Row],[CODIGO]],MAESTRO!$A:$Q,17,FALSE)),"")</f>
        <v>QUESOS Y GRASAS</v>
      </c>
      <c r="C174" s="24" t="str">
        <f>+IFERROR(IF(GUAYAQUIL[[#This Row],[CODIGO]]="","",VLOOKUP(GUAYAQUIL[[#This Row],[CODIGO]],MAESTRO!$A:$BA,53,FALSE)),"")</f>
        <v xml:space="preserve">Esteban Montenegro                      </v>
      </c>
      <c r="D174" s="24" t="str">
        <f>+IFERROR(IF(GUAYAQUIL[[#This Row],[CODIGO]]="","",VLOOKUP(GUAYAQUIL[[#This Row],[CODIGO]],MAESTRO!$A:$D,4,FALSE)),"")</f>
        <v>QUESO SEMIMADURO KIOSKO</v>
      </c>
      <c r="E174" s="24" t="str">
        <f>+IFERROR(IF(GUAYAQUIL[[#This Row],[CODIGO]]="","",VLOOKUP(GUAYAQUIL[[#This Row],[CODIGO]],MAESTRO!$A:$F,6,FALSE)),"")</f>
        <v>QUESO SANDUCHE KIOSKO TAJADO</v>
      </c>
      <c r="F174" s="42" t="str">
        <f>IF(GUAYAQUIL[[#This Row],[CODIGO]]="","",$K$6)</f>
        <v>GUAYAQUIL</v>
      </c>
      <c r="G174" s="42">
        <f>IF(GUAYAQUIL[[#This Row],[CODIGO]]="","",7711)</f>
        <v>7711</v>
      </c>
      <c r="H174" s="42">
        <f>IF(GUAYAQUIL[[#This Row],[CODIGO]]="","",1001)</f>
        <v>1001</v>
      </c>
      <c r="I174" s="258" t="s">
        <v>4124</v>
      </c>
      <c r="J174" s="25" t="str">
        <f>IFERROR((VLOOKUP(GUAYAQUIL[[#This Row],[CODIGO]],MAESTRO!A:B,2,FALSE)),"")</f>
        <v>Q SANDU KIOSKO 10 LONJ 150G</v>
      </c>
      <c r="K174" s="35">
        <v>150</v>
      </c>
      <c r="L174" s="38">
        <f>+IFERROR(IF(GUAYAQUIL[[#This Row],[CODIGO]]="","",VLOOKUP(GUAYAQUIL[[#This Row],[CODIGO]],MAESTRO!$A:$BF,58,FALSE)),"")</f>
        <v>1</v>
      </c>
      <c r="M174" s="27">
        <f>+IFERROR(IF(GUAYAQUIL[[#This Row],[CODIGO]]="","",VLOOKUP(GUAYAQUIL[[#This Row],[CODIGO]],MAESTRO!A:N,14,FALSE)),"")</f>
        <v>0.15</v>
      </c>
      <c r="N174" s="28">
        <f>+IFERROR(IF(GUAYAQUIL[[#This Row],[CODIGO]]="","",VLOOKUP(GUAYAQUIL[[#This Row],[CODIGO]],MAESTRO!A:P,16,FALSE)),"")</f>
        <v>90</v>
      </c>
      <c r="O174" s="45">
        <v>45610</v>
      </c>
      <c r="P174" s="72" t="str">
        <f t="shared" si="10"/>
        <v>jueves</v>
      </c>
      <c r="Q174" s="29">
        <f>IFERROR(IF(GUAYAQUIL[[#This Row],[CODIGO]]="","",IF(GUAYAQUIL[[#This Row],[Fecha Cad]]="","",(GUAYAQUIL[[#This Row],[Fecha Cad]]-GUAYAQUIL[[#This Row],[VIDA UTIL (Días)]]))+1),"")</f>
        <v>45609</v>
      </c>
      <c r="R174" s="45">
        <v>45698</v>
      </c>
      <c r="S174" s="30">
        <f t="shared" ca="1" si="11"/>
        <v>74</v>
      </c>
      <c r="T174" s="31">
        <f t="shared" ca="1" si="12"/>
        <v>0.82222222222222219</v>
      </c>
      <c r="U174" s="286">
        <v>150</v>
      </c>
      <c r="V174" s="262">
        <f>+IFERROR(IF(GUAYAQUIL[[#This Row],[CODIGO]]="","",GUAYAQUIL[[#This Row],[Stock Actual Unds]]*GUAYAQUIL[[#This Row],[Gramaje]]*GUAYAQUIL[[#This Row],[Conversión]]),"")</f>
        <v>22.5</v>
      </c>
      <c r="W174" s="270">
        <f t="shared" si="13"/>
        <v>1</v>
      </c>
      <c r="X174" s="32">
        <f t="shared" si="14"/>
        <v>0.98888888888888893</v>
      </c>
      <c r="Y174" s="236">
        <f>IFERROR(VLOOKUP(GUAYAQUIL[[#This Row],[CODIGO]],MAESTRO!A:BI,21,FALSE),0)</f>
        <v>1.186285</v>
      </c>
      <c r="Z174" s="237">
        <f>+IFERROR(IF(GUAYAQUIL[[#This Row],[CODIGO]]="","",GUAYAQUIL[[#This Row],[COSTO UNIT base]]*GUAYAQUIL[[#This Row],[Conversión]]),"")</f>
        <v>1.186285</v>
      </c>
      <c r="AA174" s="236">
        <f>+IFERROR(IF(GUAYAQUIL[[#This Row],[CODIGO]]="","",GUAYAQUIL[[#This Row],[COSTO UNIT Conv]]*GUAYAQUIL[[#This Row],[Stock Actual Kgs]]),"")</f>
        <v>26.691412500000002</v>
      </c>
      <c r="AB174" s="33">
        <f ca="1">+IFERROR(IF(GUAYAQUIL[[#This Row],[CODIGO]]="","",$J$3-O174),"")</f>
        <v>14</v>
      </c>
      <c r="AC174" s="34" t="str">
        <f ca="1">IF(GUAYAQUIL[[#This Row],[CODIGO]]="","",IF(S174&lt;=0,"CADUCADO",IF(AND(S174&gt;0,S174&lt;=21),"FECHA CORTA",IF(AND(S174&gt;=22,S174&lt;=26),"PROXIMOS FECHA CORTA", "VIGENTE"))))</f>
        <v>VIGENTE</v>
      </c>
      <c r="AD174" s="37">
        <f>+IF(GUAYAQUIL[[#This Row],[CODIGO]]="","",GUAYAQUIL[[#This Row],[Stock Actual Unds]]*GUAYAQUIL[[#This Row],[Gramaje]]*GUAYAQUIL[[#This Row],[Conversión]])/1000</f>
        <v>2.2499999999999999E-2</v>
      </c>
    </row>
    <row r="175" spans="1:30">
      <c r="A175" s="24" t="str">
        <f>+IFERROR(IF(GUAYAQUIL[[#This Row],[CODIGO]]="","",VLOOKUP(GUAYAQUIL[[#This Row],[CODIGO]],MAESTRO!$A:$J,10,FALSE)),"")</f>
        <v>SAN GABRIEL</v>
      </c>
      <c r="B175" s="24" t="str">
        <f>+IFERROR(IF(GUAYAQUIL[[#This Row],[CODIGO]]="","",VLOOKUP(GUAYAQUIL[[#This Row],[CODIGO]],MAESTRO!$A:$Q,17,FALSE)),"")</f>
        <v>QUESOS Y GRASAS</v>
      </c>
      <c r="C175" s="24" t="str">
        <f>+IFERROR(IF(GUAYAQUIL[[#This Row],[CODIGO]]="","",VLOOKUP(GUAYAQUIL[[#This Row],[CODIGO]],MAESTRO!$A:$BA,53,FALSE)),"")</f>
        <v xml:space="preserve">Esteban Montenegro                      </v>
      </c>
      <c r="D175" s="24" t="str">
        <f>+IFERROR(IF(GUAYAQUIL[[#This Row],[CODIGO]]="","",VLOOKUP(GUAYAQUIL[[#This Row],[CODIGO]],MAESTRO!$A:$D,4,FALSE)),"")</f>
        <v>QUESO SEMIMADURO KIOSKO</v>
      </c>
      <c r="E175" s="24" t="str">
        <f>+IFERROR(IF(GUAYAQUIL[[#This Row],[CODIGO]]="","",VLOOKUP(GUAYAQUIL[[#This Row],[CODIGO]],MAESTRO!$A:$F,6,FALSE)),"")</f>
        <v>QUESO SANDUCHE KIOSKO TAJADO</v>
      </c>
      <c r="F175" s="42" t="str">
        <f>IF(GUAYAQUIL[[#This Row],[CODIGO]]="","",$K$6)</f>
        <v>GUAYAQUIL</v>
      </c>
      <c r="G175" s="209">
        <f>IF(GUAYAQUIL[[#This Row],[CODIGO]]="","",7711)</f>
        <v>7711</v>
      </c>
      <c r="H175" s="209">
        <f>IF(GUAYAQUIL[[#This Row],[CODIGO]]="","",1001)</f>
        <v>1001</v>
      </c>
      <c r="I175" s="258" t="s">
        <v>4124</v>
      </c>
      <c r="J175" s="25" t="str">
        <f>IFERROR((VLOOKUP(GUAYAQUIL[[#This Row],[CODIGO]],MAESTRO!A:B,2,FALSE)),"")</f>
        <v>Q SANDU KIOSKO 10 LONJ 150G</v>
      </c>
      <c r="K175" s="35">
        <v>150</v>
      </c>
      <c r="L175" s="38">
        <f>+IFERROR(IF(GUAYAQUIL[[#This Row],[CODIGO]]="","",VLOOKUP(GUAYAQUIL[[#This Row],[CODIGO]],MAESTRO!$A:$BF,58,FALSE)),"")</f>
        <v>1</v>
      </c>
      <c r="M175" s="27">
        <f>+IFERROR(IF(GUAYAQUIL[[#This Row],[CODIGO]]="","",VLOOKUP(GUAYAQUIL[[#This Row],[CODIGO]],MAESTRO!A:N,14,FALSE)),"")</f>
        <v>0.15</v>
      </c>
      <c r="N175" s="28">
        <f>+IFERROR(IF(GUAYAQUIL[[#This Row],[CODIGO]]="","",VLOOKUP(GUAYAQUIL[[#This Row],[CODIGO]],MAESTRO!A:P,16,FALSE)),"")</f>
        <v>90</v>
      </c>
      <c r="O175" s="45">
        <v>45615</v>
      </c>
      <c r="P175" s="72" t="str">
        <f t="shared" si="10"/>
        <v>martes</v>
      </c>
      <c r="Q175" s="29">
        <f>IFERROR(IF(GUAYAQUIL[[#This Row],[CODIGO]]="","",IF(GUAYAQUIL[[#This Row],[Fecha Cad]]="","",(GUAYAQUIL[[#This Row],[Fecha Cad]]-GUAYAQUIL[[#This Row],[VIDA UTIL (Días)]]))+1),"")</f>
        <v>45609</v>
      </c>
      <c r="R175" s="45">
        <v>45698</v>
      </c>
      <c r="S175" s="30">
        <f t="shared" ca="1" si="11"/>
        <v>74</v>
      </c>
      <c r="T175" s="31">
        <f t="shared" ca="1" si="12"/>
        <v>0.82222222222222219</v>
      </c>
      <c r="U175" s="286">
        <v>150</v>
      </c>
      <c r="V175" s="262">
        <f>+IFERROR(IF(GUAYAQUIL[[#This Row],[CODIGO]]="","",GUAYAQUIL[[#This Row],[Stock Actual Unds]]*GUAYAQUIL[[#This Row],[Gramaje]]*GUAYAQUIL[[#This Row],[Conversión]]),"")</f>
        <v>22.5</v>
      </c>
      <c r="W175" s="270">
        <f t="shared" si="13"/>
        <v>6</v>
      </c>
      <c r="X175" s="32">
        <f t="shared" si="14"/>
        <v>0.93333333333333335</v>
      </c>
      <c r="Y175" s="236">
        <f>IFERROR(VLOOKUP(GUAYAQUIL[[#This Row],[CODIGO]],MAESTRO!A:BI,21,FALSE),0)</f>
        <v>1.186285</v>
      </c>
      <c r="Z175" s="237">
        <f>+IFERROR(IF(GUAYAQUIL[[#This Row],[CODIGO]]="","",GUAYAQUIL[[#This Row],[COSTO UNIT base]]*GUAYAQUIL[[#This Row],[Conversión]]),"")</f>
        <v>1.186285</v>
      </c>
      <c r="AA175" s="236">
        <f>+IFERROR(IF(GUAYAQUIL[[#This Row],[CODIGO]]="","",GUAYAQUIL[[#This Row],[COSTO UNIT Conv]]*GUAYAQUIL[[#This Row],[Stock Actual Kgs]]),"")</f>
        <v>26.691412500000002</v>
      </c>
      <c r="AB175" s="33">
        <f ca="1">+IFERROR(IF(GUAYAQUIL[[#This Row],[CODIGO]]="","",$J$3-O175),"")</f>
        <v>9</v>
      </c>
      <c r="AC175" s="34" t="str">
        <f ca="1">IF(GUAYAQUIL[[#This Row],[CODIGO]]="","",IF(S175&lt;=0,"CADUCADO",IF(AND(S175&gt;0,S175&lt;=21),"FECHA CORTA",IF(AND(S175&gt;=22,S175&lt;=26),"PROXIMOS FECHA CORTA", "VIGENTE"))))</f>
        <v>VIGENTE</v>
      </c>
      <c r="AD175" s="37">
        <f>+IF(GUAYAQUIL[[#This Row],[CODIGO]]="","",GUAYAQUIL[[#This Row],[Stock Actual Unds]]*GUAYAQUIL[[#This Row],[Gramaje]]*GUAYAQUIL[[#This Row],[Conversión]])/1000</f>
        <v>2.2499999999999999E-2</v>
      </c>
    </row>
    <row r="176" spans="1:30">
      <c r="A176" s="24" t="str">
        <f>+IFERROR(IF(GUAYAQUIL[[#This Row],[CODIGO]]="","",VLOOKUP(GUAYAQUIL[[#This Row],[CODIGO]],MAESTRO!$A:$J,10,FALSE)),"")</f>
        <v>SAN GABRIEL</v>
      </c>
      <c r="B176" s="24" t="str">
        <f>+IFERROR(IF(GUAYAQUIL[[#This Row],[CODIGO]]="","",VLOOKUP(GUAYAQUIL[[#This Row],[CODIGO]],MAESTRO!$A:$Q,17,FALSE)),"")</f>
        <v>QUESOS Y GRASAS</v>
      </c>
      <c r="C176" s="24" t="str">
        <f>+IFERROR(IF(GUAYAQUIL[[#This Row],[CODIGO]]="","",VLOOKUP(GUAYAQUIL[[#This Row],[CODIGO]],MAESTRO!$A:$BA,53,FALSE)),"")</f>
        <v xml:space="preserve">Esteban Montenegro                      </v>
      </c>
      <c r="D176" s="24" t="str">
        <f>+IFERROR(IF(GUAYAQUIL[[#This Row],[CODIGO]]="","",VLOOKUP(GUAYAQUIL[[#This Row],[CODIGO]],MAESTRO!$A:$D,4,FALSE)),"")</f>
        <v>QUESO SEMIMADURO KIOSKO</v>
      </c>
      <c r="E176" s="24" t="str">
        <f>+IFERROR(IF(GUAYAQUIL[[#This Row],[CODIGO]]="","",VLOOKUP(GUAYAQUIL[[#This Row],[CODIGO]],MAESTRO!$A:$F,6,FALSE)),"")</f>
        <v>QUESO SANDUCHE KIOSKO TAJADO</v>
      </c>
      <c r="F176" s="42" t="str">
        <f>IF(GUAYAQUIL[[#This Row],[CODIGO]]="","",$K$6)</f>
        <v>GUAYAQUIL</v>
      </c>
      <c r="G176" s="42">
        <f>IF(GUAYAQUIL[[#This Row],[CODIGO]]="","",7711)</f>
        <v>7711</v>
      </c>
      <c r="H176" s="42">
        <f>IF(GUAYAQUIL[[#This Row],[CODIGO]]="","",1001)</f>
        <v>1001</v>
      </c>
      <c r="I176" s="258" t="s">
        <v>4124</v>
      </c>
      <c r="J176" s="25" t="str">
        <f>IFERROR((VLOOKUP(GUAYAQUIL[[#This Row],[CODIGO]],MAESTRO!A:B,2,FALSE)),"")</f>
        <v>Q SANDU KIOSKO 10 LONJ 150G</v>
      </c>
      <c r="K176" s="35">
        <v>150</v>
      </c>
      <c r="L176" s="38">
        <f>+IFERROR(IF(GUAYAQUIL[[#This Row],[CODIGO]]="","",VLOOKUP(GUAYAQUIL[[#This Row],[CODIGO]],MAESTRO!$A:$BF,58,FALSE)),"")</f>
        <v>1</v>
      </c>
      <c r="M176" s="27">
        <f>+IFERROR(IF(GUAYAQUIL[[#This Row],[CODIGO]]="","",VLOOKUP(GUAYAQUIL[[#This Row],[CODIGO]],MAESTRO!A:N,14,FALSE)),"")</f>
        <v>0.15</v>
      </c>
      <c r="N176" s="28">
        <f>+IFERROR(IF(GUAYAQUIL[[#This Row],[CODIGO]]="","",VLOOKUP(GUAYAQUIL[[#This Row],[CODIGO]],MAESTRO!A:P,16,FALSE)),"")</f>
        <v>90</v>
      </c>
      <c r="O176" s="45">
        <v>45617</v>
      </c>
      <c r="P176" s="72" t="str">
        <f t="shared" si="10"/>
        <v>jueves</v>
      </c>
      <c r="Q176" s="29">
        <f>IFERROR(IF(GUAYAQUIL[[#This Row],[CODIGO]]="","",IF(GUAYAQUIL[[#This Row],[Fecha Cad]]="","",(GUAYAQUIL[[#This Row],[Fecha Cad]]-GUAYAQUIL[[#This Row],[VIDA UTIL (Días)]]))+1),"")</f>
        <v>45616</v>
      </c>
      <c r="R176" s="45">
        <v>45705</v>
      </c>
      <c r="S176" s="30">
        <f t="shared" ca="1" si="11"/>
        <v>81</v>
      </c>
      <c r="T176" s="31">
        <f t="shared" ca="1" si="12"/>
        <v>0.9</v>
      </c>
      <c r="U176" s="286">
        <v>150</v>
      </c>
      <c r="V176" s="262">
        <f>+IFERROR(IF(GUAYAQUIL[[#This Row],[CODIGO]]="","",GUAYAQUIL[[#This Row],[Stock Actual Unds]]*GUAYAQUIL[[#This Row],[Gramaje]]*GUAYAQUIL[[#This Row],[Conversión]]),"")</f>
        <v>22.5</v>
      </c>
      <c r="W176" s="270">
        <f t="shared" si="13"/>
        <v>1</v>
      </c>
      <c r="X176" s="32">
        <f t="shared" si="14"/>
        <v>0.98888888888888893</v>
      </c>
      <c r="Y176" s="236">
        <f>IFERROR(VLOOKUP(GUAYAQUIL[[#This Row],[CODIGO]],MAESTRO!A:BI,21,FALSE),0)</f>
        <v>1.186285</v>
      </c>
      <c r="Z176" s="237">
        <f>+IFERROR(IF(GUAYAQUIL[[#This Row],[CODIGO]]="","",GUAYAQUIL[[#This Row],[COSTO UNIT base]]*GUAYAQUIL[[#This Row],[Conversión]]),"")</f>
        <v>1.186285</v>
      </c>
      <c r="AA176" s="236">
        <f>+IFERROR(IF(GUAYAQUIL[[#This Row],[CODIGO]]="","",GUAYAQUIL[[#This Row],[COSTO UNIT Conv]]*GUAYAQUIL[[#This Row],[Stock Actual Kgs]]),"")</f>
        <v>26.691412500000002</v>
      </c>
      <c r="AB176" s="33">
        <f ca="1">+IFERROR(IF(GUAYAQUIL[[#This Row],[CODIGO]]="","",$J$3-O176),"")</f>
        <v>7</v>
      </c>
      <c r="AC176" s="34" t="str">
        <f ca="1">IF(GUAYAQUIL[[#This Row],[CODIGO]]="","",IF(S176&lt;=0,"CADUCADO",IF(AND(S176&gt;0,S176&lt;=21),"FECHA CORTA",IF(AND(S176&gt;=22,S176&lt;=26),"PROXIMOS FECHA CORTA", "VIGENTE"))))</f>
        <v>VIGENTE</v>
      </c>
      <c r="AD176" s="37">
        <f>+IF(GUAYAQUIL[[#This Row],[CODIGO]]="","",GUAYAQUIL[[#This Row],[Stock Actual Unds]]*GUAYAQUIL[[#This Row],[Gramaje]]*GUAYAQUIL[[#This Row],[Conversión]])/1000</f>
        <v>2.2499999999999999E-2</v>
      </c>
    </row>
    <row r="177" spans="1:30">
      <c r="A177" s="24" t="str">
        <f>+IFERROR(IF(GUAYAQUIL[[#This Row],[CODIGO]]="","",VLOOKUP(GUAYAQUIL[[#This Row],[CODIGO]],MAESTRO!$A:$J,10,FALSE)),"")</f>
        <v>MACHACHI</v>
      </c>
      <c r="B177" s="24" t="str">
        <f>+IFERROR(IF(GUAYAQUIL[[#This Row],[CODIGO]]="","",VLOOKUP(GUAYAQUIL[[#This Row],[CODIGO]],MAESTRO!$A:$Q,17,FALSE)),"")</f>
        <v>BEBIDAS LACTEAS</v>
      </c>
      <c r="C177" s="24" t="str">
        <f>+IFERROR(IF(GUAYAQUIL[[#This Row],[CODIGO]]="","",VLOOKUP(GUAYAQUIL[[#This Row],[CODIGO]],MAESTRO!$A:$BA,53,FALSE)),"")</f>
        <v xml:space="preserve">Luis Armendariz                         </v>
      </c>
      <c r="D177" s="24" t="str">
        <f>+IFERROR(IF(GUAYAQUIL[[#This Row],[CODIGO]]="","",VLOOKUP(GUAYAQUIL[[#This Row],[CODIGO]],MAESTRO!$A:$D,4,FALSE)),"")</f>
        <v>YOGURT KIOSKO</v>
      </c>
      <c r="E177" s="24" t="str">
        <f>+IFERROR(IF(GUAYAQUIL[[#This Row],[CODIGO]]="","",VLOOKUP(GUAYAQUIL[[#This Row],[CODIGO]],MAESTRO!$A:$F,6,FALSE)),"")</f>
        <v>BEBIDA DE YOGURT KIOSKO BOTELLA PERSONAL</v>
      </c>
      <c r="F177" s="42" t="str">
        <f>IF(GUAYAQUIL[[#This Row],[CODIGO]]="","",$K$6)</f>
        <v>GUAYAQUIL</v>
      </c>
      <c r="G177" s="42">
        <f>IF(GUAYAQUIL[[#This Row],[CODIGO]]="","",7711)</f>
        <v>7711</v>
      </c>
      <c r="H177" s="42">
        <f>IF(GUAYAQUIL[[#This Row],[CODIGO]]="","",1001)</f>
        <v>1001</v>
      </c>
      <c r="I177" s="258" t="s">
        <v>2587</v>
      </c>
      <c r="J177" s="25" t="str">
        <f>IFERROR((VLOOKUP(GUAYAQUIL[[#This Row],[CODIGO]],MAESTRO!A:B,2,FALSE)),"")</f>
        <v>YOG BBLE KID KK DZNO BOT 120G</v>
      </c>
      <c r="K177" s="35">
        <v>1274</v>
      </c>
      <c r="L177" s="38">
        <f>+IFERROR(IF(GUAYAQUIL[[#This Row],[CODIGO]]="","",VLOOKUP(GUAYAQUIL[[#This Row],[CODIGO]],MAESTRO!$A:$BF,58,FALSE)),"")</f>
        <v>1</v>
      </c>
      <c r="M177" s="27">
        <f>+IFERROR(IF(GUAYAQUIL[[#This Row],[CODIGO]]="","",VLOOKUP(GUAYAQUIL[[#This Row],[CODIGO]],MAESTRO!A:N,14,FALSE)),"")</f>
        <v>0.12</v>
      </c>
      <c r="N177" s="28">
        <f>+IFERROR(IF(GUAYAQUIL[[#This Row],[CODIGO]]="","",VLOOKUP(GUAYAQUIL[[#This Row],[CODIGO]],MAESTRO!A:P,16,FALSE)),"")</f>
        <v>45</v>
      </c>
      <c r="O177" s="45">
        <v>45605</v>
      </c>
      <c r="P177" s="72" t="str">
        <f t="shared" si="10"/>
        <v>sábado</v>
      </c>
      <c r="Q177" s="29">
        <f>IFERROR(IF(GUAYAQUIL[[#This Row],[CODIGO]]="","",IF(GUAYAQUIL[[#This Row],[Fecha Cad]]="","",(GUAYAQUIL[[#This Row],[Fecha Cad]]-GUAYAQUIL[[#This Row],[VIDA UTIL (Días)]]))+1),"")</f>
        <v>45597</v>
      </c>
      <c r="R177" s="45">
        <v>45641</v>
      </c>
      <c r="S177" s="30">
        <f t="shared" ca="1" si="11"/>
        <v>17</v>
      </c>
      <c r="T177" s="31">
        <f t="shared" ca="1" si="12"/>
        <v>0.37777777777777777</v>
      </c>
      <c r="U177" s="286">
        <v>105</v>
      </c>
      <c r="V177" s="262">
        <f>+IFERROR(IF(GUAYAQUIL[[#This Row],[CODIGO]]="","",GUAYAQUIL[[#This Row],[Stock Actual Unds]]*GUAYAQUIL[[#This Row],[Gramaje]]*GUAYAQUIL[[#This Row],[Conversión]]),"")</f>
        <v>12.6</v>
      </c>
      <c r="W177" s="270">
        <f t="shared" si="13"/>
        <v>8</v>
      </c>
      <c r="X177" s="32">
        <f t="shared" si="14"/>
        <v>0.82222222222222219</v>
      </c>
      <c r="Y177" s="236">
        <f>IFERROR(VLOOKUP(GUAYAQUIL[[#This Row],[CODIGO]],MAESTRO!A:BI,21,FALSE),0)</f>
        <v>0.26012000000000002</v>
      </c>
      <c r="Z177" s="237">
        <f>+IFERROR(IF(GUAYAQUIL[[#This Row],[CODIGO]]="","",GUAYAQUIL[[#This Row],[COSTO UNIT base]]*GUAYAQUIL[[#This Row],[Conversión]]),"")</f>
        <v>0.26012000000000002</v>
      </c>
      <c r="AA177" s="236">
        <f>+IFERROR(IF(GUAYAQUIL[[#This Row],[CODIGO]]="","",GUAYAQUIL[[#This Row],[COSTO UNIT Conv]]*GUAYAQUIL[[#This Row],[Stock Actual Kgs]]),"")</f>
        <v>3.2775120000000002</v>
      </c>
      <c r="AB177" s="33">
        <f ca="1">+IFERROR(IF(GUAYAQUIL[[#This Row],[CODIGO]]="","",$J$3-O177),"")</f>
        <v>19</v>
      </c>
      <c r="AC177" s="34" t="str">
        <f ca="1">IF(GUAYAQUIL[[#This Row],[CODIGO]]="","",IF(S177&lt;=0,"CADUCADO",IF(AND(S177&gt;0,S177&lt;=21),"FECHA CORTA",IF(AND(S177&gt;=22,S177&lt;=26),"PROXIMOS FECHA CORTA", "VIGENTE"))))</f>
        <v>FECHA CORTA</v>
      </c>
      <c r="AD177" s="37">
        <f>+IF(GUAYAQUIL[[#This Row],[CODIGO]]="","",GUAYAQUIL[[#This Row],[Stock Actual Unds]]*GUAYAQUIL[[#This Row],[Gramaje]]*GUAYAQUIL[[#This Row],[Conversión]])/1000</f>
        <v>1.26E-2</v>
      </c>
    </row>
    <row r="178" spans="1:30">
      <c r="A178" s="42" t="str">
        <f>+IFERROR(IF(GUAYAQUIL[[#This Row],[CODIGO]]="","",VLOOKUP(GUAYAQUIL[[#This Row],[CODIGO]],MAESTRO!$A:$J,10,FALSE)),"")</f>
        <v>MACHACHI</v>
      </c>
      <c r="B178" s="42" t="str">
        <f>+IFERROR(IF(GUAYAQUIL[[#This Row],[CODIGO]]="","",VLOOKUP(GUAYAQUIL[[#This Row],[CODIGO]],MAESTRO!$A:$Q,17,FALSE)),"")</f>
        <v>BEBIDAS LACTEAS</v>
      </c>
      <c r="C178" s="42" t="str">
        <f>+IFERROR(IF(GUAYAQUIL[[#This Row],[CODIGO]]="","",VLOOKUP(GUAYAQUIL[[#This Row],[CODIGO]],MAESTRO!$A:$BA,53,FALSE)),"")</f>
        <v xml:space="preserve">Luis Armendariz                         </v>
      </c>
      <c r="D178" s="42" t="str">
        <f>+IFERROR(IF(GUAYAQUIL[[#This Row],[CODIGO]]="","",VLOOKUP(GUAYAQUIL[[#This Row],[CODIGO]],MAESTRO!$A:$D,4,FALSE)),"")</f>
        <v>YOGURT KIOSKO</v>
      </c>
      <c r="E178" s="42" t="str">
        <f>+IFERROR(IF(GUAYAQUIL[[#This Row],[CODIGO]]="","",VLOOKUP(GUAYAQUIL[[#This Row],[CODIGO]],MAESTRO!$A:$F,6,FALSE)),"")</f>
        <v>BEBIDA DE YOGURT KIOSKO BOTELLA PERSONAL</v>
      </c>
      <c r="F178" s="42" t="str">
        <f>IF(GUAYAQUIL[[#This Row],[CODIGO]]="","",$K$6)</f>
        <v>GUAYAQUIL</v>
      </c>
      <c r="G178" s="42">
        <f>IF(GUAYAQUIL[[#This Row],[CODIGO]]="","",7711)</f>
        <v>7711</v>
      </c>
      <c r="H178" s="42">
        <f>IF(GUAYAQUIL[[#This Row],[CODIGO]]="","",1001)</f>
        <v>1001</v>
      </c>
      <c r="I178" s="258" t="s">
        <v>2587</v>
      </c>
      <c r="J178" s="25" t="str">
        <f>IFERROR((VLOOKUP(GUAYAQUIL[[#This Row],[CODIGO]],MAESTRO!A:B,2,FALSE)),"")</f>
        <v>YOG BBLE KID KK DZNO BOT 120G</v>
      </c>
      <c r="K178" s="35">
        <v>728</v>
      </c>
      <c r="L178" s="205">
        <f>+IFERROR(IF(GUAYAQUIL[[#This Row],[CODIGO]]="","",VLOOKUP(GUAYAQUIL[[#This Row],[CODIGO]],MAESTRO!$A:$BF,58,FALSE)),"")</f>
        <v>1</v>
      </c>
      <c r="M178" s="27">
        <f>+IFERROR(IF(GUAYAQUIL[[#This Row],[CODIGO]]="","",VLOOKUP(GUAYAQUIL[[#This Row],[CODIGO]],MAESTRO!A:N,14,FALSE)),"")</f>
        <v>0.12</v>
      </c>
      <c r="N178" s="290">
        <f>+IFERROR(IF(GUAYAQUIL[[#This Row],[CODIGO]]="","",VLOOKUP(GUAYAQUIL[[#This Row],[CODIGO]],MAESTRO!A:P,16,FALSE)),"")</f>
        <v>45</v>
      </c>
      <c r="O178" s="45">
        <v>45616</v>
      </c>
      <c r="P178" s="292" t="str">
        <f t="shared" si="10"/>
        <v>miércoles</v>
      </c>
      <c r="Q178" s="278">
        <f>IFERROR(IF(GUAYAQUIL[[#This Row],[CODIGO]]="","",IF(GUAYAQUIL[[#This Row],[Fecha Cad]]="","",(GUAYAQUIL[[#This Row],[Fecha Cad]]-GUAYAQUIL[[#This Row],[VIDA UTIL (Días)]]))+1),"")</f>
        <v>45610</v>
      </c>
      <c r="R178" s="45">
        <v>45654</v>
      </c>
      <c r="S178" s="30">
        <f t="shared" ca="1" si="11"/>
        <v>30</v>
      </c>
      <c r="T178" s="294">
        <f t="shared" ca="1" si="12"/>
        <v>0.66666666666666663</v>
      </c>
      <c r="U178" s="286">
        <v>685</v>
      </c>
      <c r="V178" s="262">
        <f>+IFERROR(IF(GUAYAQUIL[[#This Row],[CODIGO]]="","",GUAYAQUIL[[#This Row],[Stock Actual Unds]]*GUAYAQUIL[[#This Row],[Gramaje]]*GUAYAQUIL[[#This Row],[Conversión]]),"")</f>
        <v>82.2</v>
      </c>
      <c r="W178" s="299">
        <f t="shared" si="13"/>
        <v>6</v>
      </c>
      <c r="X178" s="44">
        <f t="shared" si="14"/>
        <v>0.8666666666666667</v>
      </c>
      <c r="Y178" s="236">
        <f>IFERROR(VLOOKUP(GUAYAQUIL[[#This Row],[CODIGO]],MAESTRO!A:BI,21,FALSE),0)</f>
        <v>0.26012000000000002</v>
      </c>
      <c r="Z178" s="237">
        <f>+IFERROR(IF(GUAYAQUIL[[#This Row],[CODIGO]]="","",GUAYAQUIL[[#This Row],[COSTO UNIT base]]*GUAYAQUIL[[#This Row],[Conversión]]),"")</f>
        <v>0.26012000000000002</v>
      </c>
      <c r="AA178" s="236">
        <f>+IFERROR(IF(GUAYAQUIL[[#This Row],[CODIGO]]="","",GUAYAQUIL[[#This Row],[COSTO UNIT Conv]]*GUAYAQUIL[[#This Row],[Stock Actual Kgs]]),"")</f>
        <v>21.381864000000004</v>
      </c>
      <c r="AB178" s="180">
        <f ca="1">+IFERROR(IF(GUAYAQUIL[[#This Row],[CODIGO]]="","",$J$3-O178),"")</f>
        <v>8</v>
      </c>
      <c r="AC178" s="35" t="str">
        <f ca="1">IF(GUAYAQUIL[[#This Row],[CODIGO]]="","",IF(S178&lt;=0,"CADUCADO",IF(AND(S178&gt;0,S178&lt;=21),"FECHA CORTA",IF(AND(S178&gt;=22,S178&lt;=26),"PROXIMOS FECHA CORTA", "VIGENTE"))))</f>
        <v>VIGENTE</v>
      </c>
      <c r="AD178" s="37">
        <f>+IF(GUAYAQUIL[[#This Row],[CODIGO]]="","",GUAYAQUIL[[#This Row],[Stock Actual Unds]]*GUAYAQUIL[[#This Row],[Gramaje]]*GUAYAQUIL[[#This Row],[Conversión]])/1000</f>
        <v>8.2200000000000009E-2</v>
      </c>
    </row>
    <row r="179" spans="1:30">
      <c r="A179" s="42" t="str">
        <f>+IFERROR(IF(GUAYAQUIL[[#This Row],[CODIGO]]="","",VLOOKUP(GUAYAQUIL[[#This Row],[CODIGO]],MAESTRO!$A:$J,10,FALSE)),"")</f>
        <v>SAN GABRIEL</v>
      </c>
      <c r="B179" s="42" t="str">
        <f>+IFERROR(IF(GUAYAQUIL[[#This Row],[CODIGO]]="","",VLOOKUP(GUAYAQUIL[[#This Row],[CODIGO]],MAESTRO!$A:$Q,17,FALSE)),"")</f>
        <v>QUESOS Y GRASAS</v>
      </c>
      <c r="C179" s="42" t="str">
        <f>+IFERROR(IF(GUAYAQUIL[[#This Row],[CODIGO]]="","",VLOOKUP(GUAYAQUIL[[#This Row],[CODIGO]],MAESTRO!$A:$BA,53,FALSE)),"")</f>
        <v xml:space="preserve">Esteban Montenegro                      </v>
      </c>
      <c r="D179" s="42" t="str">
        <f>+IFERROR(IF(GUAYAQUIL[[#This Row],[CODIGO]]="","",VLOOKUP(GUAYAQUIL[[#This Row],[CODIGO]],MAESTRO!$A:$D,4,FALSE)),"")</f>
        <v>QUESO SEMIMADURO KIOSKO</v>
      </c>
      <c r="E179" s="42" t="str">
        <f>+IFERROR(IF(GUAYAQUIL[[#This Row],[CODIGO]]="","",VLOOKUP(GUAYAQUIL[[#This Row],[CODIGO]],MAESTRO!$A:$F,6,FALSE)),"")</f>
        <v>QUESO AMERICANO KIOSKO TAJADO</v>
      </c>
      <c r="F179" s="42" t="str">
        <f>IF(GUAYAQUIL[[#This Row],[CODIGO]]="","",$K$6)</f>
        <v>GUAYAQUIL</v>
      </c>
      <c r="G179" s="42">
        <f>IF(GUAYAQUIL[[#This Row],[CODIGO]]="","",7711)</f>
        <v>7711</v>
      </c>
      <c r="H179" s="42">
        <f>IF(GUAYAQUIL[[#This Row],[CODIGO]]="","",1001)</f>
        <v>1001</v>
      </c>
      <c r="I179" s="258" t="s">
        <v>1176</v>
      </c>
      <c r="J179" s="25" t="str">
        <f>IFERROR((VLOOKUP(GUAYAQUIL[[#This Row],[CODIGO]],MAESTRO!A:B,2,FALSE)),"")</f>
        <v>Q AMERIC KIOSKO 20 LONJ 300G</v>
      </c>
      <c r="K179" s="35">
        <v>30</v>
      </c>
      <c r="L179" s="205">
        <f>+IFERROR(IF(GUAYAQUIL[[#This Row],[CODIGO]]="","",VLOOKUP(GUAYAQUIL[[#This Row],[CODIGO]],MAESTRO!$A:$BF,58,FALSE)),"")</f>
        <v>1</v>
      </c>
      <c r="M179" s="27">
        <f>+IFERROR(IF(GUAYAQUIL[[#This Row],[CODIGO]]="","",VLOOKUP(GUAYAQUIL[[#This Row],[CODIGO]],MAESTRO!A:N,14,FALSE)),"")</f>
        <v>0.3</v>
      </c>
      <c r="N179" s="290">
        <f>+IFERROR(IF(GUAYAQUIL[[#This Row],[CODIGO]]="","",VLOOKUP(GUAYAQUIL[[#This Row],[CODIGO]],MAESTRO!A:P,16,FALSE)),"")</f>
        <v>60</v>
      </c>
      <c r="O179" s="45">
        <v>45611</v>
      </c>
      <c r="P179" s="292" t="str">
        <f t="shared" si="10"/>
        <v>viernes</v>
      </c>
      <c r="Q179" s="278">
        <f>IFERROR(IF(GUAYAQUIL[[#This Row],[CODIGO]]="","",IF(GUAYAQUIL[[#This Row],[Fecha Cad]]="","",(GUAYAQUIL[[#This Row],[Fecha Cad]]-GUAYAQUIL[[#This Row],[VIDA UTIL (Días)]]))+1),"")</f>
        <v>45602</v>
      </c>
      <c r="R179" s="45">
        <v>45661</v>
      </c>
      <c r="S179" s="30">
        <f t="shared" ca="1" si="11"/>
        <v>37</v>
      </c>
      <c r="T179" s="294">
        <f t="shared" ca="1" si="12"/>
        <v>0.6166666666666667</v>
      </c>
      <c r="U179" s="295">
        <v>29</v>
      </c>
      <c r="V179" s="262">
        <f>+IFERROR(IF(GUAYAQUIL[[#This Row],[CODIGO]]="","",GUAYAQUIL[[#This Row],[Stock Actual Unds]]*GUAYAQUIL[[#This Row],[Gramaje]]*GUAYAQUIL[[#This Row],[Conversión]]),"")</f>
        <v>8.6999999999999993</v>
      </c>
      <c r="W179" s="299">
        <f t="shared" si="13"/>
        <v>9</v>
      </c>
      <c r="X179" s="44">
        <f t="shared" si="14"/>
        <v>0.85</v>
      </c>
      <c r="Y179" s="236">
        <f>IFERROR(VLOOKUP(GUAYAQUIL[[#This Row],[CODIGO]],MAESTRO!A:BI,21,FALSE),0)</f>
        <v>1.9980950000000002</v>
      </c>
      <c r="Z179" s="237">
        <f>+IFERROR(IF(GUAYAQUIL[[#This Row],[CODIGO]]="","",GUAYAQUIL[[#This Row],[COSTO UNIT base]]*GUAYAQUIL[[#This Row],[Conversión]]),"")</f>
        <v>1.9980950000000002</v>
      </c>
      <c r="AA179" s="236">
        <f>+IFERROR(IF(GUAYAQUIL[[#This Row],[CODIGO]]="","",GUAYAQUIL[[#This Row],[COSTO UNIT Conv]]*GUAYAQUIL[[#This Row],[Stock Actual Kgs]]),"")</f>
        <v>17.383426499999999</v>
      </c>
      <c r="AB179" s="180">
        <f ca="1">+IFERROR(IF(GUAYAQUIL[[#This Row],[CODIGO]]="","",$J$3-O179),"")</f>
        <v>13</v>
      </c>
      <c r="AC179" s="35" t="str">
        <f ca="1">IF(GUAYAQUIL[[#This Row],[CODIGO]]="","",IF(S179&lt;=0,"CADUCADO",IF(AND(S179&gt;0,S179&lt;=21),"FECHA CORTA",IF(AND(S179&gt;=22,S179&lt;=26),"PROXIMOS FECHA CORTA", "VIGENTE"))))</f>
        <v>VIGENTE</v>
      </c>
      <c r="AD179" s="37">
        <f>+IF(GUAYAQUIL[[#This Row],[CODIGO]]="","",GUAYAQUIL[[#This Row],[Stock Actual Unds]]*GUAYAQUIL[[#This Row],[Gramaje]]*GUAYAQUIL[[#This Row],[Conversión]])/1000</f>
        <v>8.6999999999999994E-3</v>
      </c>
    </row>
    <row r="180" spans="1:30">
      <c r="A180" s="24" t="str">
        <f>+IFERROR(IF(GUAYAQUIL[[#This Row],[CODIGO]]="","",VLOOKUP(GUAYAQUIL[[#This Row],[CODIGO]],MAESTRO!$A:$J,10,FALSE)),"")</f>
        <v>MACHACHI</v>
      </c>
      <c r="B180" s="24" t="str">
        <f>+IFERROR(IF(GUAYAQUIL[[#This Row],[CODIGO]]="","",VLOOKUP(GUAYAQUIL[[#This Row],[CODIGO]],MAESTRO!$A:$Q,17,FALSE)),"")</f>
        <v>BEBIDAS LACTEAS</v>
      </c>
      <c r="C180" s="24" t="str">
        <f>+IFERROR(IF(GUAYAQUIL[[#This Row],[CODIGO]]="","",VLOOKUP(GUAYAQUIL[[#This Row],[CODIGO]],MAESTRO!$A:$BA,53,FALSE)),"")</f>
        <v xml:space="preserve">Luis Armendariz                         </v>
      </c>
      <c r="D180" s="24" t="str">
        <f>+IFERROR(IF(GUAYAQUIL[[#This Row],[CODIGO]]="","",VLOOKUP(GUAYAQUIL[[#This Row],[CODIGO]],MAESTRO!$A:$D,4,FALSE)),"")</f>
        <v>YOGURT KIOSKO</v>
      </c>
      <c r="E180" s="24" t="str">
        <f>+IFERROR(IF(GUAYAQUIL[[#This Row],[CODIGO]]="","",VLOOKUP(GUAYAQUIL[[#This Row],[CODIGO]],MAESTRO!$A:$F,6,FALSE)),"")</f>
        <v>BEBIDA DE YOGURT KIOSKO BOTELLA FAMILIAR</v>
      </c>
      <c r="F180" s="42" t="str">
        <f>IF(GUAYAQUIL[[#This Row],[CODIGO]]="","",$K$6)</f>
        <v>GUAYAQUIL</v>
      </c>
      <c r="G180" s="42">
        <f>IF(GUAYAQUIL[[#This Row],[CODIGO]]="","",7711)</f>
        <v>7711</v>
      </c>
      <c r="H180" s="42">
        <f>IF(GUAYAQUIL[[#This Row],[CODIGO]]="","",1001)</f>
        <v>1001</v>
      </c>
      <c r="I180" s="258" t="s">
        <v>3055</v>
      </c>
      <c r="J180" s="25" t="str">
        <f>IFERROR((VLOOKUP(GUAYAQUIL[[#This Row],[CODIGO]],MAESTRO!A:B,2,FALSE)),"")</f>
        <v>YOG BBLE KIOSKO DZNO BOT 950G</v>
      </c>
      <c r="K180" s="35">
        <v>18</v>
      </c>
      <c r="L180" s="38">
        <f>+IFERROR(IF(GUAYAQUIL[[#This Row],[CODIGO]]="","",VLOOKUP(GUAYAQUIL[[#This Row],[CODIGO]],MAESTRO!$A:$BF,58,FALSE)),"")</f>
        <v>1</v>
      </c>
      <c r="M180" s="27">
        <f>+IFERROR(IF(GUAYAQUIL[[#This Row],[CODIGO]]="","",VLOOKUP(GUAYAQUIL[[#This Row],[CODIGO]],MAESTRO!A:N,14,FALSE)),"")</f>
        <v>0.95</v>
      </c>
      <c r="N180" s="28">
        <f>+IFERROR(IF(GUAYAQUIL[[#This Row],[CODIGO]]="","",VLOOKUP(GUAYAQUIL[[#This Row],[CODIGO]],MAESTRO!A:P,16,FALSE)),"")</f>
        <v>45</v>
      </c>
      <c r="O180" s="45">
        <v>45605</v>
      </c>
      <c r="P180" s="72" t="str">
        <f t="shared" si="10"/>
        <v>sábado</v>
      </c>
      <c r="Q180" s="29">
        <f>IFERROR(IF(GUAYAQUIL[[#This Row],[CODIGO]]="","",IF(GUAYAQUIL[[#This Row],[Fecha Cad]]="","",(GUAYAQUIL[[#This Row],[Fecha Cad]]-GUAYAQUIL[[#This Row],[VIDA UTIL (Días)]]))+1),"")</f>
        <v>45596</v>
      </c>
      <c r="R180" s="45">
        <v>45640</v>
      </c>
      <c r="S180" s="30">
        <f t="shared" ca="1" si="11"/>
        <v>16</v>
      </c>
      <c r="T180" s="31">
        <f t="shared" ca="1" si="12"/>
        <v>0.35555555555555557</v>
      </c>
      <c r="U180" s="286">
        <v>7</v>
      </c>
      <c r="V180" s="262">
        <f>+IFERROR(IF(GUAYAQUIL[[#This Row],[CODIGO]]="","",GUAYAQUIL[[#This Row],[Stock Actual Unds]]*GUAYAQUIL[[#This Row],[Gramaje]]*GUAYAQUIL[[#This Row],[Conversión]]),"")</f>
        <v>6.6499999999999995</v>
      </c>
      <c r="W180" s="270">
        <f t="shared" si="13"/>
        <v>9</v>
      </c>
      <c r="X180" s="32">
        <f t="shared" si="14"/>
        <v>0.8</v>
      </c>
      <c r="Y180" s="236">
        <f>IFERROR(VLOOKUP(GUAYAQUIL[[#This Row],[CODIGO]],MAESTRO!A:BI,21,FALSE),0)</f>
        <v>1.055175</v>
      </c>
      <c r="Z180" s="237">
        <f>+IFERROR(IF(GUAYAQUIL[[#This Row],[CODIGO]]="","",GUAYAQUIL[[#This Row],[COSTO UNIT base]]*GUAYAQUIL[[#This Row],[Conversión]]),"")</f>
        <v>1.055175</v>
      </c>
      <c r="AA180" s="236">
        <f>+IFERROR(IF(GUAYAQUIL[[#This Row],[CODIGO]]="","",GUAYAQUIL[[#This Row],[COSTO UNIT Conv]]*GUAYAQUIL[[#This Row],[Stock Actual Kgs]]),"")</f>
        <v>7.0169137499999996</v>
      </c>
      <c r="AB180" s="33">
        <f ca="1">+IFERROR(IF(GUAYAQUIL[[#This Row],[CODIGO]]="","",$J$3-O180),"")</f>
        <v>19</v>
      </c>
      <c r="AC180" s="34" t="str">
        <f ca="1">IF(GUAYAQUIL[[#This Row],[CODIGO]]="","",IF(S180&lt;=0,"CADUCADO",IF(AND(S180&gt;0,S180&lt;=21),"FECHA CORTA",IF(AND(S180&gt;=22,S180&lt;=26),"PROXIMOS FECHA CORTA", "VIGENTE"))))</f>
        <v>FECHA CORTA</v>
      </c>
      <c r="AD180" s="37">
        <f>+IF(GUAYAQUIL[[#This Row],[CODIGO]]="","",GUAYAQUIL[[#This Row],[Stock Actual Unds]]*GUAYAQUIL[[#This Row],[Gramaje]]*GUAYAQUIL[[#This Row],[Conversión]])/1000</f>
        <v>6.6499999999999997E-3</v>
      </c>
    </row>
    <row r="181" spans="1:30">
      <c r="A181" s="24" t="str">
        <f>+IFERROR(IF(GUAYAQUIL[[#This Row],[CODIGO]]="","",VLOOKUP(GUAYAQUIL[[#This Row],[CODIGO]],MAESTRO!$A:$J,10,FALSE)),"")</f>
        <v>MACHACHI</v>
      </c>
      <c r="B181" s="24" t="str">
        <f>+IFERROR(IF(GUAYAQUIL[[#This Row],[CODIGO]]="","",VLOOKUP(GUAYAQUIL[[#This Row],[CODIGO]],MAESTRO!$A:$Q,17,FALSE)),"")</f>
        <v>BEBIDAS LACTEAS</v>
      </c>
      <c r="C181" s="24" t="str">
        <f>+IFERROR(IF(GUAYAQUIL[[#This Row],[CODIGO]]="","",VLOOKUP(GUAYAQUIL[[#This Row],[CODIGO]],MAESTRO!$A:$BA,53,FALSE)),"")</f>
        <v xml:space="preserve">Luis Armendariz                         </v>
      </c>
      <c r="D181" s="24" t="str">
        <f>+IFERROR(IF(GUAYAQUIL[[#This Row],[CODIGO]]="","",VLOOKUP(GUAYAQUIL[[#This Row],[CODIGO]],MAESTRO!$A:$D,4,FALSE)),"")</f>
        <v>YOGURT KIOSKO</v>
      </c>
      <c r="E181" s="24" t="str">
        <f>+IFERROR(IF(GUAYAQUIL[[#This Row],[CODIGO]]="","",VLOOKUP(GUAYAQUIL[[#This Row],[CODIGO]],MAESTRO!$A:$F,6,FALSE)),"")</f>
        <v>BEBIDA DE YOGURT KIOSKO BOTELLA FAMILIAR</v>
      </c>
      <c r="F181" s="42" t="str">
        <f>IF(GUAYAQUIL[[#This Row],[CODIGO]]="","",$K$6)</f>
        <v>GUAYAQUIL</v>
      </c>
      <c r="G181" s="42">
        <f>IF(GUAYAQUIL[[#This Row],[CODIGO]]="","",7711)</f>
        <v>7711</v>
      </c>
      <c r="H181" s="42">
        <f>IF(GUAYAQUIL[[#This Row],[CODIGO]]="","",1001)</f>
        <v>1001</v>
      </c>
      <c r="I181" s="258" t="s">
        <v>3055</v>
      </c>
      <c r="J181" s="25" t="str">
        <f>IFERROR((VLOOKUP(GUAYAQUIL[[#This Row],[CODIGO]],MAESTRO!A:B,2,FALSE)),"")</f>
        <v>YOG BBLE KIOSKO DZNO BOT 950G</v>
      </c>
      <c r="K181" s="35">
        <v>18</v>
      </c>
      <c r="L181" s="38">
        <f>+IFERROR(IF(GUAYAQUIL[[#This Row],[CODIGO]]="","",VLOOKUP(GUAYAQUIL[[#This Row],[CODIGO]],MAESTRO!$A:$BF,58,FALSE)),"")</f>
        <v>1</v>
      </c>
      <c r="M181" s="27">
        <f>+IFERROR(IF(GUAYAQUIL[[#This Row],[CODIGO]]="","",VLOOKUP(GUAYAQUIL[[#This Row],[CODIGO]],MAESTRO!A:N,14,FALSE)),"")</f>
        <v>0.95</v>
      </c>
      <c r="N181" s="28">
        <f>+IFERROR(IF(GUAYAQUIL[[#This Row],[CODIGO]]="","",VLOOKUP(GUAYAQUIL[[#This Row],[CODIGO]],MAESTRO!A:P,16,FALSE)),"")</f>
        <v>45</v>
      </c>
      <c r="O181" s="45">
        <v>45612</v>
      </c>
      <c r="P181" s="72" t="str">
        <f t="shared" si="10"/>
        <v>sábado</v>
      </c>
      <c r="Q181" s="29">
        <f>IFERROR(IF(GUAYAQUIL[[#This Row],[CODIGO]]="","",IF(GUAYAQUIL[[#This Row],[Fecha Cad]]="","",(GUAYAQUIL[[#This Row],[Fecha Cad]]-GUAYAQUIL[[#This Row],[VIDA UTIL (Días)]]))+1),"")</f>
        <v>45604</v>
      </c>
      <c r="R181" s="45">
        <v>45648</v>
      </c>
      <c r="S181" s="30">
        <f t="shared" ca="1" si="11"/>
        <v>24</v>
      </c>
      <c r="T181" s="31">
        <f t="shared" ca="1" si="12"/>
        <v>0.53333333333333333</v>
      </c>
      <c r="U181" s="286">
        <v>18</v>
      </c>
      <c r="V181" s="262">
        <f>+IFERROR(IF(GUAYAQUIL[[#This Row],[CODIGO]]="","",GUAYAQUIL[[#This Row],[Stock Actual Unds]]*GUAYAQUIL[[#This Row],[Gramaje]]*GUAYAQUIL[[#This Row],[Conversión]]),"")</f>
        <v>17.099999999999998</v>
      </c>
      <c r="W181" s="270">
        <f t="shared" si="13"/>
        <v>8</v>
      </c>
      <c r="X181" s="32">
        <f t="shared" si="14"/>
        <v>0.82222222222222219</v>
      </c>
      <c r="Y181" s="236">
        <f>IFERROR(VLOOKUP(GUAYAQUIL[[#This Row],[CODIGO]],MAESTRO!A:BI,21,FALSE),0)</f>
        <v>1.055175</v>
      </c>
      <c r="Z181" s="237">
        <f>+IFERROR(IF(GUAYAQUIL[[#This Row],[CODIGO]]="","",GUAYAQUIL[[#This Row],[COSTO UNIT base]]*GUAYAQUIL[[#This Row],[Conversión]]),"")</f>
        <v>1.055175</v>
      </c>
      <c r="AA181" s="236">
        <f>+IFERROR(IF(GUAYAQUIL[[#This Row],[CODIGO]]="","",GUAYAQUIL[[#This Row],[COSTO UNIT Conv]]*GUAYAQUIL[[#This Row],[Stock Actual Kgs]]),"")</f>
        <v>18.043492499999996</v>
      </c>
      <c r="AB181" s="33">
        <f ca="1">+IFERROR(IF(GUAYAQUIL[[#This Row],[CODIGO]]="","",$J$3-O181),"")</f>
        <v>12</v>
      </c>
      <c r="AC181" s="34" t="str">
        <f ca="1">IF(GUAYAQUIL[[#This Row],[CODIGO]]="","",IF(S181&lt;=0,"CADUCADO",IF(AND(S181&gt;0,S181&lt;=21),"FECHA CORTA",IF(AND(S181&gt;=22,S181&lt;=26),"PROXIMOS FECHA CORTA", "VIGENTE"))))</f>
        <v>PROXIMOS FECHA CORTA</v>
      </c>
      <c r="AD181" s="37">
        <f>+IF(GUAYAQUIL[[#This Row],[CODIGO]]="","",GUAYAQUIL[[#This Row],[Stock Actual Unds]]*GUAYAQUIL[[#This Row],[Gramaje]]*GUAYAQUIL[[#This Row],[Conversión]])/1000</f>
        <v>1.7099999999999997E-2</v>
      </c>
    </row>
    <row r="182" spans="1:30">
      <c r="A182" s="24" t="str">
        <f>+IFERROR(IF(GUAYAQUIL[[#This Row],[CODIGO]]="","",VLOOKUP(GUAYAQUIL[[#This Row],[CODIGO]],MAESTRO!$A:$J,10,FALSE)),"")</f>
        <v>MACHACHI</v>
      </c>
      <c r="B182" s="24" t="str">
        <f>+IFERROR(IF(GUAYAQUIL[[#This Row],[CODIGO]]="","",VLOOKUP(GUAYAQUIL[[#This Row],[CODIGO]],MAESTRO!$A:$Q,17,FALSE)),"")</f>
        <v>BEBIDAS LACTEAS</v>
      </c>
      <c r="C182" s="24" t="str">
        <f>+IFERROR(IF(GUAYAQUIL[[#This Row],[CODIGO]]="","",VLOOKUP(GUAYAQUIL[[#This Row],[CODIGO]],MAESTRO!$A:$BA,53,FALSE)),"")</f>
        <v xml:space="preserve">Luis Armendariz                         </v>
      </c>
      <c r="D182" s="24" t="str">
        <f>+IFERROR(IF(GUAYAQUIL[[#This Row],[CODIGO]]="","",VLOOKUP(GUAYAQUIL[[#This Row],[CODIGO]],MAESTRO!$A:$D,4,FALSE)),"")</f>
        <v>YOGURT KIOSKO</v>
      </c>
      <c r="E182" s="24" t="str">
        <f>+IFERROR(IF(GUAYAQUIL[[#This Row],[CODIGO]]="","",VLOOKUP(GUAYAQUIL[[#This Row],[CODIGO]],MAESTRO!$A:$F,6,FALSE)),"")</f>
        <v>BEBIDA DE YOGURT KIOSKO BOTELLA FAMILIAR</v>
      </c>
      <c r="F182" s="42" t="str">
        <f>IF(GUAYAQUIL[[#This Row],[CODIGO]]="","",$K$6)</f>
        <v>GUAYAQUIL</v>
      </c>
      <c r="G182" s="42">
        <f>IF(GUAYAQUIL[[#This Row],[CODIGO]]="","",7711)</f>
        <v>7711</v>
      </c>
      <c r="H182" s="42">
        <f>IF(GUAYAQUIL[[#This Row],[CODIGO]]="","",1001)</f>
        <v>1001</v>
      </c>
      <c r="I182" s="258" t="s">
        <v>3055</v>
      </c>
      <c r="J182" s="25" t="str">
        <f>IFERROR((VLOOKUP(GUAYAQUIL[[#This Row],[CODIGO]],MAESTRO!A:B,2,FALSE)),"")</f>
        <v>YOG BBLE KIOSKO DZNO BOT 950G</v>
      </c>
      <c r="K182" s="35">
        <v>18</v>
      </c>
      <c r="L182" s="38">
        <f>+IFERROR(IF(GUAYAQUIL[[#This Row],[CODIGO]]="","",VLOOKUP(GUAYAQUIL[[#This Row],[CODIGO]],MAESTRO!$A:$BF,58,FALSE)),"")</f>
        <v>1</v>
      </c>
      <c r="M182" s="27">
        <f>+IFERROR(IF(GUAYAQUIL[[#This Row],[CODIGO]]="","",VLOOKUP(GUAYAQUIL[[#This Row],[CODIGO]],MAESTRO!A:N,14,FALSE)),"")</f>
        <v>0.95</v>
      </c>
      <c r="N182" s="28">
        <f>+IFERROR(IF(GUAYAQUIL[[#This Row],[CODIGO]]="","",VLOOKUP(GUAYAQUIL[[#This Row],[CODIGO]],MAESTRO!A:P,16,FALSE)),"")</f>
        <v>45</v>
      </c>
      <c r="O182" s="45">
        <v>45610</v>
      </c>
      <c r="P182" s="72" t="str">
        <f t="shared" si="10"/>
        <v>jueves</v>
      </c>
      <c r="Q182" s="29">
        <f>IFERROR(IF(GUAYAQUIL[[#This Row],[CODIGO]]="","",IF(GUAYAQUIL[[#This Row],[Fecha Cad]]="","",(GUAYAQUIL[[#This Row],[Fecha Cad]]-GUAYAQUIL[[#This Row],[VIDA UTIL (Días)]]))+1),"")</f>
        <v>45604</v>
      </c>
      <c r="R182" s="45">
        <v>45648</v>
      </c>
      <c r="S182" s="30">
        <f t="shared" ca="1" si="11"/>
        <v>24</v>
      </c>
      <c r="T182" s="31">
        <f t="shared" ca="1" si="12"/>
        <v>0.53333333333333333</v>
      </c>
      <c r="U182" s="286">
        <v>8</v>
      </c>
      <c r="V182" s="262">
        <f>+IFERROR(IF(GUAYAQUIL[[#This Row],[CODIGO]]="","",GUAYAQUIL[[#This Row],[Stock Actual Unds]]*GUAYAQUIL[[#This Row],[Gramaje]]*GUAYAQUIL[[#This Row],[Conversión]]),"")</f>
        <v>7.6</v>
      </c>
      <c r="W182" s="270">
        <f t="shared" si="13"/>
        <v>6</v>
      </c>
      <c r="X182" s="32">
        <f t="shared" si="14"/>
        <v>0.8666666666666667</v>
      </c>
      <c r="Y182" s="236">
        <f>IFERROR(VLOOKUP(GUAYAQUIL[[#This Row],[CODIGO]],MAESTRO!A:BI,21,FALSE),0)</f>
        <v>1.055175</v>
      </c>
      <c r="Z182" s="237">
        <f>+IFERROR(IF(GUAYAQUIL[[#This Row],[CODIGO]]="","",GUAYAQUIL[[#This Row],[COSTO UNIT base]]*GUAYAQUIL[[#This Row],[Conversión]]),"")</f>
        <v>1.055175</v>
      </c>
      <c r="AA182" s="236">
        <f>+IFERROR(IF(GUAYAQUIL[[#This Row],[CODIGO]]="","",GUAYAQUIL[[#This Row],[COSTO UNIT Conv]]*GUAYAQUIL[[#This Row],[Stock Actual Kgs]]),"")</f>
        <v>8.0193300000000001</v>
      </c>
      <c r="AB182" s="33">
        <f ca="1">+IFERROR(IF(GUAYAQUIL[[#This Row],[CODIGO]]="","",$J$3-O182),"")</f>
        <v>14</v>
      </c>
      <c r="AC182" s="34" t="str">
        <f ca="1">IF(GUAYAQUIL[[#This Row],[CODIGO]]="","",IF(S182&lt;=0,"CADUCADO",IF(AND(S182&gt;0,S182&lt;=21),"FECHA CORTA",IF(AND(S182&gt;=22,S182&lt;=26),"PROXIMOS FECHA CORTA", "VIGENTE"))))</f>
        <v>PROXIMOS FECHA CORTA</v>
      </c>
      <c r="AD182" s="37">
        <f>+IF(GUAYAQUIL[[#This Row],[CODIGO]]="","",GUAYAQUIL[[#This Row],[Stock Actual Unds]]*GUAYAQUIL[[#This Row],[Gramaje]]*GUAYAQUIL[[#This Row],[Conversión]])/1000</f>
        <v>7.6E-3</v>
      </c>
    </row>
    <row r="183" spans="1:30">
      <c r="A183" s="42" t="str">
        <f>+IFERROR(IF(GUAYAQUIL[[#This Row],[CODIGO]]="","",VLOOKUP(GUAYAQUIL[[#This Row],[CODIGO]],MAESTRO!$A:$J,10,FALSE)),"")</f>
        <v>MACHACHI</v>
      </c>
      <c r="B183" s="42" t="str">
        <f>+IFERROR(IF(GUAYAQUIL[[#This Row],[CODIGO]]="","",VLOOKUP(GUAYAQUIL[[#This Row],[CODIGO]],MAESTRO!$A:$Q,17,FALSE)),"")</f>
        <v>BEBIDAS LACTEAS</v>
      </c>
      <c r="C183" s="42" t="str">
        <f>+IFERROR(IF(GUAYAQUIL[[#This Row],[CODIGO]]="","",VLOOKUP(GUAYAQUIL[[#This Row],[CODIGO]],MAESTRO!$A:$BA,53,FALSE)),"")</f>
        <v xml:space="preserve">Luis Armendariz                         </v>
      </c>
      <c r="D183" s="42" t="str">
        <f>+IFERROR(IF(GUAYAQUIL[[#This Row],[CODIGO]]="","",VLOOKUP(GUAYAQUIL[[#This Row],[CODIGO]],MAESTRO!$A:$D,4,FALSE)),"")</f>
        <v>YOGURT KIOSKO</v>
      </c>
      <c r="E183" s="42" t="str">
        <f>+IFERROR(IF(GUAYAQUIL[[#This Row],[CODIGO]]="","",VLOOKUP(GUAYAQUIL[[#This Row],[CODIGO]],MAESTRO!$A:$F,6,FALSE)),"")</f>
        <v>BEBIDA DE YOGURT KIOSKO BOTELLA FAMILIAR</v>
      </c>
      <c r="F183" s="42" t="str">
        <f>IF(GUAYAQUIL[[#This Row],[CODIGO]]="","",$K$6)</f>
        <v>GUAYAQUIL</v>
      </c>
      <c r="G183" s="209">
        <f>IF(GUAYAQUIL[[#This Row],[CODIGO]]="","",7711)</f>
        <v>7711</v>
      </c>
      <c r="H183" s="209">
        <f>IF(GUAYAQUIL[[#This Row],[CODIGO]]="","",1001)</f>
        <v>1001</v>
      </c>
      <c r="I183" s="258" t="s">
        <v>3055</v>
      </c>
      <c r="J183" s="25" t="str">
        <f>IFERROR((VLOOKUP(GUAYAQUIL[[#This Row],[CODIGO]],MAESTRO!A:B,2,FALSE)),"")</f>
        <v>YOG BBLE KIOSKO DZNO BOT 950G</v>
      </c>
      <c r="K183" s="35">
        <v>36</v>
      </c>
      <c r="L183" s="205">
        <f>+IFERROR(IF(GUAYAQUIL[[#This Row],[CODIGO]]="","",VLOOKUP(GUAYAQUIL[[#This Row],[CODIGO]],MAESTRO!$A:$BF,58,FALSE)),"")</f>
        <v>1</v>
      </c>
      <c r="M183" s="27">
        <f>+IFERROR(IF(GUAYAQUIL[[#This Row],[CODIGO]]="","",VLOOKUP(GUAYAQUIL[[#This Row],[CODIGO]],MAESTRO!A:N,14,FALSE)),"")</f>
        <v>0.95</v>
      </c>
      <c r="N183" s="290">
        <f>+IFERROR(IF(GUAYAQUIL[[#This Row],[CODIGO]]="","",VLOOKUP(GUAYAQUIL[[#This Row],[CODIGO]],MAESTRO!A:P,16,FALSE)),"")</f>
        <v>45</v>
      </c>
      <c r="O183" s="45">
        <v>45615</v>
      </c>
      <c r="P183" s="292" t="str">
        <f t="shared" si="10"/>
        <v>martes</v>
      </c>
      <c r="Q183" s="278">
        <f>IFERROR(IF(GUAYAQUIL[[#This Row],[CODIGO]]="","",IF(GUAYAQUIL[[#This Row],[Fecha Cad]]="","",(GUAYAQUIL[[#This Row],[Fecha Cad]]-GUAYAQUIL[[#This Row],[VIDA UTIL (Días)]]))+1),"")</f>
        <v>45611</v>
      </c>
      <c r="R183" s="45">
        <v>45655</v>
      </c>
      <c r="S183" s="30">
        <f t="shared" ca="1" si="11"/>
        <v>31</v>
      </c>
      <c r="T183" s="294">
        <f t="shared" ca="1" si="12"/>
        <v>0.68888888888888888</v>
      </c>
      <c r="U183" s="286">
        <v>18</v>
      </c>
      <c r="V183" s="262">
        <f>+IFERROR(IF(GUAYAQUIL[[#This Row],[CODIGO]]="","",GUAYAQUIL[[#This Row],[Stock Actual Unds]]*GUAYAQUIL[[#This Row],[Gramaje]]*GUAYAQUIL[[#This Row],[Conversión]]),"")</f>
        <v>17.099999999999998</v>
      </c>
      <c r="W183" s="299">
        <f t="shared" si="13"/>
        <v>4</v>
      </c>
      <c r="X183" s="44">
        <f t="shared" si="14"/>
        <v>0.91111111111111109</v>
      </c>
      <c r="Y183" s="236">
        <f>IFERROR(VLOOKUP(GUAYAQUIL[[#This Row],[CODIGO]],MAESTRO!A:BI,21,FALSE),0)</f>
        <v>1.055175</v>
      </c>
      <c r="Z183" s="237">
        <f>+IFERROR(IF(GUAYAQUIL[[#This Row],[CODIGO]]="","",GUAYAQUIL[[#This Row],[COSTO UNIT base]]*GUAYAQUIL[[#This Row],[Conversión]]),"")</f>
        <v>1.055175</v>
      </c>
      <c r="AA183" s="236">
        <f>+IFERROR(IF(GUAYAQUIL[[#This Row],[CODIGO]]="","",GUAYAQUIL[[#This Row],[COSTO UNIT Conv]]*GUAYAQUIL[[#This Row],[Stock Actual Kgs]]),"")</f>
        <v>18.043492499999996</v>
      </c>
      <c r="AB183" s="180">
        <f ca="1">+IFERROR(IF(GUAYAQUIL[[#This Row],[CODIGO]]="","",$J$3-O183),"")</f>
        <v>9</v>
      </c>
      <c r="AC183" s="35" t="str">
        <f ca="1">IF(GUAYAQUIL[[#This Row],[CODIGO]]="","",IF(S183&lt;=0,"CADUCADO",IF(AND(S183&gt;0,S183&lt;=21),"FECHA CORTA",IF(AND(S183&gt;=22,S183&lt;=26),"PROXIMOS FECHA CORTA", "VIGENTE"))))</f>
        <v>VIGENTE</v>
      </c>
      <c r="AD183" s="37">
        <f>+IF(GUAYAQUIL[[#This Row],[CODIGO]]="","",GUAYAQUIL[[#This Row],[Stock Actual Unds]]*GUAYAQUIL[[#This Row],[Gramaje]]*GUAYAQUIL[[#This Row],[Conversión]])/1000</f>
        <v>1.7099999999999997E-2</v>
      </c>
    </row>
    <row r="184" spans="1:30">
      <c r="A184" s="42" t="str">
        <f>+IFERROR(IF(GUAYAQUIL[[#This Row],[CODIGO]]="","",VLOOKUP(GUAYAQUIL[[#This Row],[CODIGO]],MAESTRO!$A:$J,10,FALSE)),"")</f>
        <v>MACHACHI</v>
      </c>
      <c r="B184" s="42" t="str">
        <f>+IFERROR(IF(GUAYAQUIL[[#This Row],[CODIGO]]="","",VLOOKUP(GUAYAQUIL[[#This Row],[CODIGO]],MAESTRO!$A:$Q,17,FALSE)),"")</f>
        <v>BEBIDAS LACTEAS</v>
      </c>
      <c r="C184" s="42" t="str">
        <f>+IFERROR(IF(GUAYAQUIL[[#This Row],[CODIGO]]="","",VLOOKUP(GUAYAQUIL[[#This Row],[CODIGO]],MAESTRO!$A:$BA,53,FALSE)),"")</f>
        <v xml:space="preserve">Luis Armendariz                         </v>
      </c>
      <c r="D184" s="42" t="str">
        <f>+IFERROR(IF(GUAYAQUIL[[#This Row],[CODIGO]]="","",VLOOKUP(GUAYAQUIL[[#This Row],[CODIGO]],MAESTRO!$A:$D,4,FALSE)),"")</f>
        <v>YOGURT KIOSKO</v>
      </c>
      <c r="E184" s="42" t="str">
        <f>+IFERROR(IF(GUAYAQUIL[[#This Row],[CODIGO]]="","",VLOOKUP(GUAYAQUIL[[#This Row],[CODIGO]],MAESTRO!$A:$F,6,FALSE)),"")</f>
        <v>BEBIDA DE YOGURT KIOSKO BOTELLA FAMILIAR</v>
      </c>
      <c r="F184" s="42" t="str">
        <f>IF(GUAYAQUIL[[#This Row],[CODIGO]]="","",$K$6)</f>
        <v>GUAYAQUIL</v>
      </c>
      <c r="G184" s="42">
        <f>IF(GUAYAQUIL[[#This Row],[CODIGO]]="","",7711)</f>
        <v>7711</v>
      </c>
      <c r="H184" s="42">
        <f>IF(GUAYAQUIL[[#This Row],[CODIGO]]="","",1001)</f>
        <v>1001</v>
      </c>
      <c r="I184" s="258" t="s">
        <v>3055</v>
      </c>
      <c r="J184" s="25" t="str">
        <f>IFERROR((VLOOKUP(GUAYAQUIL[[#This Row],[CODIGO]],MAESTRO!A:B,2,FALSE)),"")</f>
        <v>YOG BBLE KIOSKO DZNO BOT 950G</v>
      </c>
      <c r="K184" s="35">
        <v>36</v>
      </c>
      <c r="L184" s="205">
        <f>+IFERROR(IF(GUAYAQUIL[[#This Row],[CODIGO]]="","",VLOOKUP(GUAYAQUIL[[#This Row],[CODIGO]],MAESTRO!$A:$BF,58,FALSE)),"")</f>
        <v>1</v>
      </c>
      <c r="M184" s="27">
        <f>+IFERROR(IF(GUAYAQUIL[[#This Row],[CODIGO]]="","",VLOOKUP(GUAYAQUIL[[#This Row],[CODIGO]],MAESTRO!A:N,14,FALSE)),"")</f>
        <v>0.95</v>
      </c>
      <c r="N184" s="290">
        <f>+IFERROR(IF(GUAYAQUIL[[#This Row],[CODIGO]]="","",VLOOKUP(GUAYAQUIL[[#This Row],[CODIGO]],MAESTRO!A:P,16,FALSE)),"")</f>
        <v>45</v>
      </c>
      <c r="O184" s="45">
        <v>45616</v>
      </c>
      <c r="P184" s="292" t="str">
        <f t="shared" si="10"/>
        <v>miércoles</v>
      </c>
      <c r="Q184" s="278">
        <f>IFERROR(IF(GUAYAQUIL[[#This Row],[CODIGO]]="","",IF(GUAYAQUIL[[#This Row],[Fecha Cad]]="","",(GUAYAQUIL[[#This Row],[Fecha Cad]]-GUAYAQUIL[[#This Row],[VIDA UTIL (Días)]]))+1),"")</f>
        <v>45611</v>
      </c>
      <c r="R184" s="45">
        <v>45655</v>
      </c>
      <c r="S184" s="30">
        <f t="shared" ca="1" si="11"/>
        <v>31</v>
      </c>
      <c r="T184" s="294">
        <f t="shared" ca="1" si="12"/>
        <v>0.68888888888888888</v>
      </c>
      <c r="U184" s="286">
        <v>36</v>
      </c>
      <c r="V184" s="262">
        <f>+IFERROR(IF(GUAYAQUIL[[#This Row],[CODIGO]]="","",GUAYAQUIL[[#This Row],[Stock Actual Unds]]*GUAYAQUIL[[#This Row],[Gramaje]]*GUAYAQUIL[[#This Row],[Conversión]]),"")</f>
        <v>34.199999999999996</v>
      </c>
      <c r="W184" s="299">
        <f t="shared" si="13"/>
        <v>5</v>
      </c>
      <c r="X184" s="44">
        <f t="shared" si="14"/>
        <v>0.88888888888888884</v>
      </c>
      <c r="Y184" s="236">
        <f>IFERROR(VLOOKUP(GUAYAQUIL[[#This Row],[CODIGO]],MAESTRO!A:BI,21,FALSE),0)</f>
        <v>1.055175</v>
      </c>
      <c r="Z184" s="237">
        <f>+IFERROR(IF(GUAYAQUIL[[#This Row],[CODIGO]]="","",GUAYAQUIL[[#This Row],[COSTO UNIT base]]*GUAYAQUIL[[#This Row],[Conversión]]),"")</f>
        <v>1.055175</v>
      </c>
      <c r="AA184" s="236">
        <f>+IFERROR(IF(GUAYAQUIL[[#This Row],[CODIGO]]="","",GUAYAQUIL[[#This Row],[COSTO UNIT Conv]]*GUAYAQUIL[[#This Row],[Stock Actual Kgs]]),"")</f>
        <v>36.086984999999991</v>
      </c>
      <c r="AB184" s="180">
        <f ca="1">+IFERROR(IF(GUAYAQUIL[[#This Row],[CODIGO]]="","",$J$3-O184),"")</f>
        <v>8</v>
      </c>
      <c r="AC184" s="35" t="str">
        <f ca="1">IF(GUAYAQUIL[[#This Row],[CODIGO]]="","",IF(S184&lt;=0,"CADUCADO",IF(AND(S184&gt;0,S184&lt;=21),"FECHA CORTA",IF(AND(S184&gt;=22,S184&lt;=26),"PROXIMOS FECHA CORTA", "VIGENTE"))))</f>
        <v>VIGENTE</v>
      </c>
      <c r="AD184" s="37">
        <f>+IF(GUAYAQUIL[[#This Row],[CODIGO]]="","",GUAYAQUIL[[#This Row],[Stock Actual Unds]]*GUAYAQUIL[[#This Row],[Gramaje]]*GUAYAQUIL[[#This Row],[Conversión]])/1000</f>
        <v>3.4199999999999994E-2</v>
      </c>
    </row>
    <row r="185" spans="1:30">
      <c r="A185" s="24" t="str">
        <f>+IFERROR(IF(GUAYAQUIL[[#This Row],[CODIGO]]="","",VLOOKUP(GUAYAQUIL[[#This Row],[CODIGO]],MAESTRO!$A:$J,10,FALSE)),"")</f>
        <v>MACHACHI</v>
      </c>
      <c r="B185" s="24" t="str">
        <f>+IFERROR(IF(GUAYAQUIL[[#This Row],[CODIGO]]="","",VLOOKUP(GUAYAQUIL[[#This Row],[CODIGO]],MAESTRO!$A:$Q,17,FALSE)),"")</f>
        <v>BEBIDAS LACTEAS</v>
      </c>
      <c r="C185" s="24" t="str">
        <f>+IFERROR(IF(GUAYAQUIL[[#This Row],[CODIGO]]="","",VLOOKUP(GUAYAQUIL[[#This Row],[CODIGO]],MAESTRO!$A:$BA,53,FALSE)),"")</f>
        <v xml:space="preserve">Luis Armendariz                         </v>
      </c>
      <c r="D185" s="24" t="str">
        <f>+IFERROR(IF(GUAYAQUIL[[#This Row],[CODIGO]]="","",VLOOKUP(GUAYAQUIL[[#This Row],[CODIGO]],MAESTRO!$A:$D,4,FALSE)),"")</f>
        <v>YOGURT KIOSKO</v>
      </c>
      <c r="E185" s="24" t="str">
        <f>+IFERROR(IF(GUAYAQUIL[[#This Row],[CODIGO]]="","",VLOOKUP(GUAYAQUIL[[#This Row],[CODIGO]],MAESTRO!$A:$F,6,FALSE)),"")</f>
        <v>BEBIDA DE YOGURT KIOSKO BOTELLA FAMILIAR</v>
      </c>
      <c r="F185" s="42" t="str">
        <f>IF(GUAYAQUIL[[#This Row],[CODIGO]]="","",$K$6)</f>
        <v>GUAYAQUIL</v>
      </c>
      <c r="G185" s="209">
        <f>IF(GUAYAQUIL[[#This Row],[CODIGO]]="","",7711)</f>
        <v>7711</v>
      </c>
      <c r="H185" s="209">
        <f>IF(GUAYAQUIL[[#This Row],[CODIGO]]="","",1001)</f>
        <v>1001</v>
      </c>
      <c r="I185" s="258" t="s">
        <v>3055</v>
      </c>
      <c r="J185" s="25" t="str">
        <f>IFERROR((VLOOKUP(GUAYAQUIL[[#This Row],[CODIGO]],MAESTRO!A:B,2,FALSE)),"")</f>
        <v>YOG BBLE KIOSKO DZNO BOT 950G</v>
      </c>
      <c r="K185" s="35">
        <v>18</v>
      </c>
      <c r="L185" s="38">
        <f>+IFERROR(IF(GUAYAQUIL[[#This Row],[CODIGO]]="","",VLOOKUP(GUAYAQUIL[[#This Row],[CODIGO]],MAESTRO!$A:$BF,58,FALSE)),"")</f>
        <v>1</v>
      </c>
      <c r="M185" s="27">
        <f>+IFERROR(IF(GUAYAQUIL[[#This Row],[CODIGO]]="","",VLOOKUP(GUAYAQUIL[[#This Row],[CODIGO]],MAESTRO!A:N,14,FALSE)),"")</f>
        <v>0.95</v>
      </c>
      <c r="N185" s="28">
        <f>+IFERROR(IF(GUAYAQUIL[[#This Row],[CODIGO]]="","",VLOOKUP(GUAYAQUIL[[#This Row],[CODIGO]],MAESTRO!A:P,16,FALSE)),"")</f>
        <v>45</v>
      </c>
      <c r="O185" s="45">
        <v>45617</v>
      </c>
      <c r="P185" s="72" t="str">
        <f t="shared" si="10"/>
        <v>jueves</v>
      </c>
      <c r="Q185" s="29">
        <f>IFERROR(IF(GUAYAQUIL[[#This Row],[CODIGO]]="","",IF(GUAYAQUIL[[#This Row],[Fecha Cad]]="","",(GUAYAQUIL[[#This Row],[Fecha Cad]]-GUAYAQUIL[[#This Row],[VIDA UTIL (Días)]]))+1),"")</f>
        <v>45611</v>
      </c>
      <c r="R185" s="45">
        <v>45655</v>
      </c>
      <c r="S185" s="30">
        <f t="shared" ca="1" si="11"/>
        <v>31</v>
      </c>
      <c r="T185" s="31">
        <f t="shared" ca="1" si="12"/>
        <v>0.68888888888888888</v>
      </c>
      <c r="U185" s="286">
        <v>18</v>
      </c>
      <c r="V185" s="262">
        <f>+IFERROR(IF(GUAYAQUIL[[#This Row],[CODIGO]]="","",GUAYAQUIL[[#This Row],[Stock Actual Unds]]*GUAYAQUIL[[#This Row],[Gramaje]]*GUAYAQUIL[[#This Row],[Conversión]]),"")</f>
        <v>17.099999999999998</v>
      </c>
      <c r="W185" s="270">
        <f t="shared" si="13"/>
        <v>6</v>
      </c>
      <c r="X185" s="32">
        <f t="shared" si="14"/>
        <v>0.8666666666666667</v>
      </c>
      <c r="Y185" s="236">
        <f>IFERROR(VLOOKUP(GUAYAQUIL[[#This Row],[CODIGO]],MAESTRO!A:BI,21,FALSE),0)</f>
        <v>1.055175</v>
      </c>
      <c r="Z185" s="237">
        <f>+IFERROR(IF(GUAYAQUIL[[#This Row],[CODIGO]]="","",GUAYAQUIL[[#This Row],[COSTO UNIT base]]*GUAYAQUIL[[#This Row],[Conversión]]),"")</f>
        <v>1.055175</v>
      </c>
      <c r="AA185" s="236">
        <f>+IFERROR(IF(GUAYAQUIL[[#This Row],[CODIGO]]="","",GUAYAQUIL[[#This Row],[COSTO UNIT Conv]]*GUAYAQUIL[[#This Row],[Stock Actual Kgs]]),"")</f>
        <v>18.043492499999996</v>
      </c>
      <c r="AB185" s="33">
        <f ca="1">+IFERROR(IF(GUAYAQUIL[[#This Row],[CODIGO]]="","",$J$3-O185),"")</f>
        <v>7</v>
      </c>
      <c r="AC185" s="34" t="str">
        <f ca="1">IF(GUAYAQUIL[[#This Row],[CODIGO]]="","",IF(S185&lt;=0,"CADUCADO",IF(AND(S185&gt;0,S185&lt;=21),"FECHA CORTA",IF(AND(S185&gt;=22,S185&lt;=26),"PROXIMOS FECHA CORTA", "VIGENTE"))))</f>
        <v>VIGENTE</v>
      </c>
      <c r="AD185" s="37">
        <f>+IF(GUAYAQUIL[[#This Row],[CODIGO]]="","",GUAYAQUIL[[#This Row],[Stock Actual Unds]]*GUAYAQUIL[[#This Row],[Gramaje]]*GUAYAQUIL[[#This Row],[Conversión]])/1000</f>
        <v>1.7099999999999997E-2</v>
      </c>
    </row>
    <row r="186" spans="1:30">
      <c r="A186" s="24" t="str">
        <f>+IFERROR(IF(GUAYAQUIL[[#This Row],[CODIGO]]="","",VLOOKUP(GUAYAQUIL[[#This Row],[CODIGO]],MAESTRO!$A:$J,10,FALSE)),"")</f>
        <v>MACHACHI</v>
      </c>
      <c r="B186" s="24" t="str">
        <f>+IFERROR(IF(GUAYAQUIL[[#This Row],[CODIGO]]="","",VLOOKUP(GUAYAQUIL[[#This Row],[CODIGO]],MAESTRO!$A:$Q,17,FALSE)),"")</f>
        <v>BEBIDAS LACTEAS</v>
      </c>
      <c r="C186" s="24" t="str">
        <f>+IFERROR(IF(GUAYAQUIL[[#This Row],[CODIGO]]="","",VLOOKUP(GUAYAQUIL[[#This Row],[CODIGO]],MAESTRO!$A:$BA,53,FALSE)),"")</f>
        <v xml:space="preserve">Luis Armendariz                         </v>
      </c>
      <c r="D186" s="24" t="str">
        <f>+IFERROR(IF(GUAYAQUIL[[#This Row],[CODIGO]]="","",VLOOKUP(GUAYAQUIL[[#This Row],[CODIGO]],MAESTRO!$A:$D,4,FALSE)),"")</f>
        <v>YOGURT KIOSKO</v>
      </c>
      <c r="E186" s="24" t="str">
        <f>+IFERROR(IF(GUAYAQUIL[[#This Row],[CODIGO]]="","",VLOOKUP(GUAYAQUIL[[#This Row],[CODIGO]],MAESTRO!$A:$F,6,FALSE)),"")</f>
        <v>GRIEGO SABORIZADO</v>
      </c>
      <c r="F186" s="42" t="str">
        <f>IF(GUAYAQUIL[[#This Row],[CODIGO]]="","",$K$6)</f>
        <v>GUAYAQUIL</v>
      </c>
      <c r="G186" s="42">
        <f>IF(GUAYAQUIL[[#This Row],[CODIGO]]="","",7711)</f>
        <v>7711</v>
      </c>
      <c r="H186" s="42">
        <f>IF(GUAYAQUIL[[#This Row],[CODIGO]]="","",1001)</f>
        <v>1001</v>
      </c>
      <c r="I186" s="258" t="s">
        <v>2931</v>
      </c>
      <c r="J186" s="25" t="str">
        <f>IFERROR((VLOOKUP(GUAYAQUIL[[#This Row],[CODIGO]],MAESTRO!A:B,2,FALSE)),"")</f>
        <v>GRIEG KIOSKO FRUT ROJ 120</v>
      </c>
      <c r="K186" s="35">
        <v>360</v>
      </c>
      <c r="L186" s="38">
        <f>+IFERROR(IF(GUAYAQUIL[[#This Row],[CODIGO]]="","",VLOOKUP(GUAYAQUIL[[#This Row],[CODIGO]],MAESTRO!$A:$BF,58,FALSE)),"")</f>
        <v>1</v>
      </c>
      <c r="M186" s="27">
        <f>+IFERROR(IF(GUAYAQUIL[[#This Row],[CODIGO]]="","",VLOOKUP(GUAYAQUIL[[#This Row],[CODIGO]],MAESTRO!A:N,14,FALSE)),"")</f>
        <v>0.12</v>
      </c>
      <c r="N186" s="28">
        <f>+IFERROR(IF(GUAYAQUIL[[#This Row],[CODIGO]]="","",VLOOKUP(GUAYAQUIL[[#This Row],[CODIGO]],MAESTRO!A:P,16,FALSE)),"")</f>
        <v>45</v>
      </c>
      <c r="O186" s="45">
        <v>45612</v>
      </c>
      <c r="P186" s="72" t="str">
        <f t="shared" si="10"/>
        <v>sábado</v>
      </c>
      <c r="Q186" s="29">
        <f>IFERROR(IF(GUAYAQUIL[[#This Row],[CODIGO]]="","",IF(GUAYAQUIL[[#This Row],[Fecha Cad]]="","",(GUAYAQUIL[[#This Row],[Fecha Cad]]-GUAYAQUIL[[#This Row],[VIDA UTIL (Días)]]))+1),"")</f>
        <v>45611</v>
      </c>
      <c r="R186" s="45">
        <v>45655</v>
      </c>
      <c r="S186" s="30">
        <f t="shared" ca="1" si="11"/>
        <v>31</v>
      </c>
      <c r="T186" s="31">
        <f t="shared" ca="1" si="12"/>
        <v>0.68888888888888888</v>
      </c>
      <c r="U186" s="286">
        <v>116</v>
      </c>
      <c r="V186" s="262">
        <f>+IFERROR(IF(GUAYAQUIL[[#This Row],[CODIGO]]="","",GUAYAQUIL[[#This Row],[Stock Actual Unds]]*GUAYAQUIL[[#This Row],[Gramaje]]*GUAYAQUIL[[#This Row],[Conversión]]),"")</f>
        <v>13.92</v>
      </c>
      <c r="W186" s="270">
        <f t="shared" si="13"/>
        <v>1</v>
      </c>
      <c r="X186" s="32">
        <f t="shared" si="14"/>
        <v>0.97777777777777775</v>
      </c>
      <c r="Y186" s="236">
        <f>IFERROR(VLOOKUP(GUAYAQUIL[[#This Row],[CODIGO]],MAESTRO!A:BI,21,FALSE),0)</f>
        <v>0.37374000000000002</v>
      </c>
      <c r="Z186" s="237">
        <f>+IFERROR(IF(GUAYAQUIL[[#This Row],[CODIGO]]="","",GUAYAQUIL[[#This Row],[COSTO UNIT base]]*GUAYAQUIL[[#This Row],[Conversión]]),"")</f>
        <v>0.37374000000000002</v>
      </c>
      <c r="AA186" s="236">
        <f>+IFERROR(IF(GUAYAQUIL[[#This Row],[CODIGO]]="","",GUAYAQUIL[[#This Row],[COSTO UNIT Conv]]*GUAYAQUIL[[#This Row],[Stock Actual Kgs]]),"")</f>
        <v>5.2024607999999999</v>
      </c>
      <c r="AB186" s="33">
        <f ca="1">+IFERROR(IF(GUAYAQUIL[[#This Row],[CODIGO]]="","",$J$3-O186),"")</f>
        <v>12</v>
      </c>
      <c r="AC186" s="34" t="str">
        <f ca="1">IF(GUAYAQUIL[[#This Row],[CODIGO]]="","",IF(S186&lt;=0,"CADUCADO",IF(AND(S186&gt;0,S186&lt;=21),"FECHA CORTA",IF(AND(S186&gt;=22,S186&lt;=26),"PROXIMOS FECHA CORTA", "VIGENTE"))))</f>
        <v>VIGENTE</v>
      </c>
      <c r="AD186" s="37">
        <f>+IF(GUAYAQUIL[[#This Row],[CODIGO]]="","",GUAYAQUIL[[#This Row],[Stock Actual Unds]]*GUAYAQUIL[[#This Row],[Gramaje]]*GUAYAQUIL[[#This Row],[Conversión]])/1000</f>
        <v>1.392E-2</v>
      </c>
    </row>
    <row r="187" spans="1:30">
      <c r="A187" s="24" t="str">
        <f>+IFERROR(IF(GUAYAQUIL[[#This Row],[CODIGO]]="","",VLOOKUP(GUAYAQUIL[[#This Row],[CODIGO]],MAESTRO!$A:$J,10,FALSE)),"")</f>
        <v>MACHACHI</v>
      </c>
      <c r="B187" s="24" t="str">
        <f>+IFERROR(IF(GUAYAQUIL[[#This Row],[CODIGO]]="","",VLOOKUP(GUAYAQUIL[[#This Row],[CODIGO]],MAESTRO!$A:$Q,17,FALSE)),"")</f>
        <v>BEBIDAS LACTEAS</v>
      </c>
      <c r="C187" s="24" t="str">
        <f>+IFERROR(IF(GUAYAQUIL[[#This Row],[CODIGO]]="","",VLOOKUP(GUAYAQUIL[[#This Row],[CODIGO]],MAESTRO!$A:$BA,53,FALSE)),"")</f>
        <v xml:space="preserve">Luis Armendariz                         </v>
      </c>
      <c r="D187" s="24" t="str">
        <f>+IFERROR(IF(GUAYAQUIL[[#This Row],[CODIGO]]="","",VLOOKUP(GUAYAQUIL[[#This Row],[CODIGO]],MAESTRO!$A:$D,4,FALSE)),"")</f>
        <v>YOGURT KIOSKO</v>
      </c>
      <c r="E187" s="24" t="str">
        <f>+IFERROR(IF(GUAYAQUIL[[#This Row],[CODIGO]]="","",VLOOKUP(GUAYAQUIL[[#This Row],[CODIGO]],MAESTRO!$A:$F,6,FALSE)),"")</f>
        <v>GRIEGO SABORIZADO</v>
      </c>
      <c r="F187" s="42" t="str">
        <f>IF(GUAYAQUIL[[#This Row],[CODIGO]]="","",$K$6)</f>
        <v>GUAYAQUIL</v>
      </c>
      <c r="G187" s="209">
        <f>IF(GUAYAQUIL[[#This Row],[CODIGO]]="","",7711)</f>
        <v>7711</v>
      </c>
      <c r="H187" s="209">
        <f>IF(GUAYAQUIL[[#This Row],[CODIGO]]="","",1001)</f>
        <v>1001</v>
      </c>
      <c r="I187" s="258" t="s">
        <v>1244</v>
      </c>
      <c r="J187" s="25" t="str">
        <f>IFERROR((VLOOKUP(GUAYAQUIL[[#This Row],[CODIGO]],MAESTRO!A:B,2,FALSE)),"")</f>
        <v>GRIEG KIOSKO MOR Y ARAND 400</v>
      </c>
      <c r="K187" s="35">
        <v>80</v>
      </c>
      <c r="L187" s="38">
        <f>+IFERROR(IF(GUAYAQUIL[[#This Row],[CODIGO]]="","",VLOOKUP(GUAYAQUIL[[#This Row],[CODIGO]],MAESTRO!$A:$BF,58,FALSE)),"")</f>
        <v>1</v>
      </c>
      <c r="M187" s="27">
        <f>+IFERROR(IF(GUAYAQUIL[[#This Row],[CODIGO]]="","",VLOOKUP(GUAYAQUIL[[#This Row],[CODIGO]],MAESTRO!A:N,14,FALSE)),"")</f>
        <v>0.4</v>
      </c>
      <c r="N187" s="28">
        <f>+IFERROR(IF(GUAYAQUIL[[#This Row],[CODIGO]]="","",VLOOKUP(GUAYAQUIL[[#This Row],[CODIGO]],MAESTRO!A:P,16,FALSE)),"")</f>
        <v>45</v>
      </c>
      <c r="O187" s="45">
        <v>45612</v>
      </c>
      <c r="P187" s="72" t="str">
        <f t="shared" si="10"/>
        <v>sábado</v>
      </c>
      <c r="Q187" s="29">
        <f>IFERROR(IF(GUAYAQUIL[[#This Row],[CODIGO]]="","",IF(GUAYAQUIL[[#This Row],[Fecha Cad]]="","",(GUAYAQUIL[[#This Row],[Fecha Cad]]-GUAYAQUIL[[#This Row],[VIDA UTIL (Días)]]))+1),"")</f>
        <v>45611</v>
      </c>
      <c r="R187" s="45">
        <v>45655</v>
      </c>
      <c r="S187" s="30">
        <f t="shared" ca="1" si="11"/>
        <v>31</v>
      </c>
      <c r="T187" s="31">
        <f t="shared" ca="1" si="12"/>
        <v>0.68888888888888888</v>
      </c>
      <c r="U187" s="286">
        <v>80</v>
      </c>
      <c r="V187" s="262">
        <f>+IFERROR(IF(GUAYAQUIL[[#This Row],[CODIGO]]="","",GUAYAQUIL[[#This Row],[Stock Actual Unds]]*GUAYAQUIL[[#This Row],[Gramaje]]*GUAYAQUIL[[#This Row],[Conversión]]),"")</f>
        <v>32</v>
      </c>
      <c r="W187" s="270">
        <f t="shared" si="13"/>
        <v>1</v>
      </c>
      <c r="X187" s="32">
        <f t="shared" si="14"/>
        <v>0.97777777777777775</v>
      </c>
      <c r="Y187" s="236">
        <f>IFERROR(VLOOKUP(GUAYAQUIL[[#This Row],[CODIGO]],MAESTRO!A:BI,21,FALSE),0)</f>
        <v>1.0693199999999998</v>
      </c>
      <c r="Z187" s="237">
        <f>+IFERROR(IF(GUAYAQUIL[[#This Row],[CODIGO]]="","",GUAYAQUIL[[#This Row],[COSTO UNIT base]]*GUAYAQUIL[[#This Row],[Conversión]]),"")</f>
        <v>1.0693199999999998</v>
      </c>
      <c r="AA187" s="236">
        <f>+IFERROR(IF(GUAYAQUIL[[#This Row],[CODIGO]]="","",GUAYAQUIL[[#This Row],[COSTO UNIT Conv]]*GUAYAQUIL[[#This Row],[Stock Actual Kgs]]),"")</f>
        <v>34.218239999999994</v>
      </c>
      <c r="AB187" s="33">
        <f ca="1">+IFERROR(IF(GUAYAQUIL[[#This Row],[CODIGO]]="","",$J$3-O187),"")</f>
        <v>12</v>
      </c>
      <c r="AC187" s="34" t="str">
        <f ca="1">IF(GUAYAQUIL[[#This Row],[CODIGO]]="","",IF(S187&lt;=0,"CADUCADO",IF(AND(S187&gt;0,S187&lt;=21),"FECHA CORTA",IF(AND(S187&gt;=22,S187&lt;=26),"PROXIMOS FECHA CORTA", "VIGENTE"))))</f>
        <v>VIGENTE</v>
      </c>
      <c r="AD187" s="37">
        <f>+IF(GUAYAQUIL[[#This Row],[CODIGO]]="","",GUAYAQUIL[[#This Row],[Stock Actual Unds]]*GUAYAQUIL[[#This Row],[Gramaje]]*GUAYAQUIL[[#This Row],[Conversión]])/1000</f>
        <v>3.2000000000000001E-2</v>
      </c>
    </row>
    <row r="188" spans="1:30">
      <c r="A188" s="24" t="str">
        <f>+IFERROR(IF(GUAYAQUIL[[#This Row],[CODIGO]]="","",VLOOKUP(GUAYAQUIL[[#This Row],[CODIGO]],MAESTRO!$A:$J,10,FALSE)),"")</f>
        <v>MACHACHI</v>
      </c>
      <c r="B188" s="24" t="str">
        <f>+IFERROR(IF(GUAYAQUIL[[#This Row],[CODIGO]]="","",VLOOKUP(GUAYAQUIL[[#This Row],[CODIGO]],MAESTRO!$A:$Q,17,FALSE)),"")</f>
        <v>BEBIDAS LACTEAS</v>
      </c>
      <c r="C188" s="24" t="str">
        <f>+IFERROR(IF(GUAYAQUIL[[#This Row],[CODIGO]]="","",VLOOKUP(GUAYAQUIL[[#This Row],[CODIGO]],MAESTRO!$A:$BA,53,FALSE)),"")</f>
        <v xml:space="preserve">Luis Armendariz                         </v>
      </c>
      <c r="D188" s="24" t="str">
        <f>+IFERROR(IF(GUAYAQUIL[[#This Row],[CODIGO]]="","",VLOOKUP(GUAYAQUIL[[#This Row],[CODIGO]],MAESTRO!$A:$D,4,FALSE)),"")</f>
        <v>YOGURT KIOSKO</v>
      </c>
      <c r="E188" s="24" t="str">
        <f>+IFERROR(IF(GUAYAQUIL[[#This Row],[CODIGO]]="","",VLOOKUP(GUAYAQUIL[[#This Row],[CODIGO]],MAESTRO!$A:$F,6,FALSE)),"")</f>
        <v>GRIEGO SABORIZADO</v>
      </c>
      <c r="F188" s="42" t="str">
        <f>IF(GUAYAQUIL[[#This Row],[CODIGO]]="","",$K$6)</f>
        <v>GUAYAQUIL</v>
      </c>
      <c r="G188" s="42">
        <f>IF(GUAYAQUIL[[#This Row],[CODIGO]]="","",7711)</f>
        <v>7711</v>
      </c>
      <c r="H188" s="42">
        <f>IF(GUAYAQUIL[[#This Row],[CODIGO]]="","",1001)</f>
        <v>1001</v>
      </c>
      <c r="I188" s="258" t="s">
        <v>1244</v>
      </c>
      <c r="J188" s="25" t="str">
        <f>IFERROR((VLOOKUP(GUAYAQUIL[[#This Row],[CODIGO]],MAESTRO!A:B,2,FALSE)),"")</f>
        <v>GRIEG KIOSKO MOR Y ARAND 400</v>
      </c>
      <c r="K188" s="35">
        <v>40</v>
      </c>
      <c r="L188" s="38">
        <f>+IFERROR(IF(GUAYAQUIL[[#This Row],[CODIGO]]="","",VLOOKUP(GUAYAQUIL[[#This Row],[CODIGO]],MAESTRO!$A:$BF,58,FALSE)),"")</f>
        <v>1</v>
      </c>
      <c r="M188" s="27">
        <f>+IFERROR(IF(GUAYAQUIL[[#This Row],[CODIGO]]="","",VLOOKUP(GUAYAQUIL[[#This Row],[CODIGO]],MAESTRO!A:N,14,FALSE)),"")</f>
        <v>0.4</v>
      </c>
      <c r="N188" s="28">
        <f>+IFERROR(IF(GUAYAQUIL[[#This Row],[CODIGO]]="","",VLOOKUP(GUAYAQUIL[[#This Row],[CODIGO]],MAESTRO!A:P,16,FALSE)),"")</f>
        <v>45</v>
      </c>
      <c r="O188" s="45">
        <v>45611</v>
      </c>
      <c r="P188" s="72" t="str">
        <f t="shared" si="10"/>
        <v>viernes</v>
      </c>
      <c r="Q188" s="29">
        <f>IFERROR(IF(GUAYAQUIL[[#This Row],[CODIGO]]="","",IF(GUAYAQUIL[[#This Row],[Fecha Cad]]="","",(GUAYAQUIL[[#This Row],[Fecha Cad]]-GUAYAQUIL[[#This Row],[VIDA UTIL (Días)]]))+1),"")</f>
        <v>45611</v>
      </c>
      <c r="R188" s="45">
        <v>45655</v>
      </c>
      <c r="S188" s="30">
        <f t="shared" ca="1" si="11"/>
        <v>31</v>
      </c>
      <c r="T188" s="31">
        <f t="shared" ca="1" si="12"/>
        <v>0.68888888888888888</v>
      </c>
      <c r="U188" s="286">
        <v>35</v>
      </c>
      <c r="V188" s="262">
        <f>+IFERROR(IF(GUAYAQUIL[[#This Row],[CODIGO]]="","",GUAYAQUIL[[#This Row],[Stock Actual Unds]]*GUAYAQUIL[[#This Row],[Gramaje]]*GUAYAQUIL[[#This Row],[Conversión]]),"")</f>
        <v>14</v>
      </c>
      <c r="W188" s="270">
        <f t="shared" si="13"/>
        <v>0</v>
      </c>
      <c r="X188" s="32">
        <f t="shared" si="14"/>
        <v>1</v>
      </c>
      <c r="Y188" s="236">
        <f>IFERROR(VLOOKUP(GUAYAQUIL[[#This Row],[CODIGO]],MAESTRO!A:BI,21,FALSE),0)</f>
        <v>1.0693199999999998</v>
      </c>
      <c r="Z188" s="237">
        <f>+IFERROR(IF(GUAYAQUIL[[#This Row],[CODIGO]]="","",GUAYAQUIL[[#This Row],[COSTO UNIT base]]*GUAYAQUIL[[#This Row],[Conversión]]),"")</f>
        <v>1.0693199999999998</v>
      </c>
      <c r="AA188" s="236">
        <f>+IFERROR(IF(GUAYAQUIL[[#This Row],[CODIGO]]="","",GUAYAQUIL[[#This Row],[COSTO UNIT Conv]]*GUAYAQUIL[[#This Row],[Stock Actual Kgs]]),"")</f>
        <v>14.970479999999998</v>
      </c>
      <c r="AB188" s="33">
        <f ca="1">+IFERROR(IF(GUAYAQUIL[[#This Row],[CODIGO]]="","",$J$3-O188),"")</f>
        <v>13</v>
      </c>
      <c r="AC188" s="34" t="str">
        <f ca="1">IF(GUAYAQUIL[[#This Row],[CODIGO]]="","",IF(S188&lt;=0,"CADUCADO",IF(AND(S188&gt;0,S188&lt;=21),"FECHA CORTA",IF(AND(S188&gt;=22,S188&lt;=26),"PROXIMOS FECHA CORTA", "VIGENTE"))))</f>
        <v>VIGENTE</v>
      </c>
      <c r="AD188" s="37">
        <f>+IF(GUAYAQUIL[[#This Row],[CODIGO]]="","",GUAYAQUIL[[#This Row],[Stock Actual Unds]]*GUAYAQUIL[[#This Row],[Gramaje]]*GUAYAQUIL[[#This Row],[Conversión]])/1000</f>
        <v>1.4E-2</v>
      </c>
    </row>
    <row r="189" spans="1:30">
      <c r="A189" s="24" t="str">
        <f>+IFERROR(IF(GUAYAQUIL[[#This Row],[CODIGO]]="","",VLOOKUP(GUAYAQUIL[[#This Row],[CODIGO]],MAESTRO!$A:$J,10,FALSE)),"")</f>
        <v>MACHACHI</v>
      </c>
      <c r="B189" s="24" t="str">
        <f>+IFERROR(IF(GUAYAQUIL[[#This Row],[CODIGO]]="","",VLOOKUP(GUAYAQUIL[[#This Row],[CODIGO]],MAESTRO!$A:$Q,17,FALSE)),"")</f>
        <v>BEBIDAS LACTEAS</v>
      </c>
      <c r="C189" s="24" t="str">
        <f>+IFERROR(IF(GUAYAQUIL[[#This Row],[CODIGO]]="","",VLOOKUP(GUAYAQUIL[[#This Row],[CODIGO]],MAESTRO!$A:$BA,53,FALSE)),"")</f>
        <v xml:space="preserve">Luis Armendariz                         </v>
      </c>
      <c r="D189" s="24" t="str">
        <f>+IFERROR(IF(GUAYAQUIL[[#This Row],[CODIGO]]="","",VLOOKUP(GUAYAQUIL[[#This Row],[CODIGO]],MAESTRO!$A:$D,4,FALSE)),"")</f>
        <v>YOGURT FINESSE</v>
      </c>
      <c r="E189" s="24" t="str">
        <f>+IFERROR(IF(GUAYAQUIL[[#This Row],[CODIGO]]="","",VLOOKUP(GUAYAQUIL[[#This Row],[CODIGO]],MAESTRO!$A:$F,6,FALSE)),"")</f>
        <v>YOGURT FINESSE DESLACT BOTELLA PERSONAL</v>
      </c>
      <c r="F189" s="42" t="str">
        <f>IF(GUAYAQUIL[[#This Row],[CODIGO]]="","",$K$6)</f>
        <v>GUAYAQUIL</v>
      </c>
      <c r="G189" s="209">
        <f>IF(GUAYAQUIL[[#This Row],[CODIGO]]="","",7711)</f>
        <v>7711</v>
      </c>
      <c r="H189" s="209">
        <f>IF(GUAYAQUIL[[#This Row],[CODIGO]]="","",1001)</f>
        <v>1001</v>
      </c>
      <c r="I189" s="258" t="s">
        <v>1191</v>
      </c>
      <c r="J189" s="25" t="str">
        <f>IFERROR((VLOOKUP(GUAYAQUIL[[#This Row],[CODIGO]],MAESTRO!A:B,2,FALSE)),"")</f>
        <v>YOG FNSSE VAINILLA 180</v>
      </c>
      <c r="K189" s="35">
        <v>216</v>
      </c>
      <c r="L189" s="38">
        <f>+IFERROR(IF(GUAYAQUIL[[#This Row],[CODIGO]]="","",VLOOKUP(GUAYAQUIL[[#This Row],[CODIGO]],MAESTRO!$A:$BF,58,FALSE)),"")</f>
        <v>1</v>
      </c>
      <c r="M189" s="27">
        <f>+IFERROR(IF(GUAYAQUIL[[#This Row],[CODIGO]]="","",VLOOKUP(GUAYAQUIL[[#This Row],[CODIGO]],MAESTRO!A:N,14,FALSE)),"")</f>
        <v>0.18</v>
      </c>
      <c r="N189" s="28">
        <f>+IFERROR(IF(GUAYAQUIL[[#This Row],[CODIGO]]="","",VLOOKUP(GUAYAQUIL[[#This Row],[CODIGO]],MAESTRO!A:P,16,FALSE)),"")</f>
        <v>45</v>
      </c>
      <c r="O189" s="45">
        <v>45601</v>
      </c>
      <c r="P189" s="72" t="str">
        <f t="shared" si="10"/>
        <v>martes</v>
      </c>
      <c r="Q189" s="29">
        <f>IFERROR(IF(GUAYAQUIL[[#This Row],[CODIGO]]="","",IF(GUAYAQUIL[[#This Row],[Fecha Cad]]="","",(GUAYAQUIL[[#This Row],[Fecha Cad]]-GUAYAQUIL[[#This Row],[VIDA UTIL (Días)]]))+1),"")</f>
        <v>45590</v>
      </c>
      <c r="R189" s="45">
        <v>45634</v>
      </c>
      <c r="S189" s="30">
        <f t="shared" ca="1" si="11"/>
        <v>10</v>
      </c>
      <c r="T189" s="31">
        <f t="shared" ca="1" si="12"/>
        <v>0.22222222222222221</v>
      </c>
      <c r="U189" s="286">
        <v>70</v>
      </c>
      <c r="V189" s="262">
        <f>+IFERROR(IF(GUAYAQUIL[[#This Row],[CODIGO]]="","",GUAYAQUIL[[#This Row],[Stock Actual Unds]]*GUAYAQUIL[[#This Row],[Gramaje]]*GUAYAQUIL[[#This Row],[Conversión]]),"")</f>
        <v>12.6</v>
      </c>
      <c r="W189" s="270">
        <f t="shared" si="13"/>
        <v>11</v>
      </c>
      <c r="X189" s="32">
        <f t="shared" si="14"/>
        <v>0.75555555555555554</v>
      </c>
      <c r="Y189" s="236">
        <f>IFERROR(VLOOKUP(GUAYAQUIL[[#This Row],[CODIGO]],MAESTRO!A:BI,21,FALSE),0)</f>
        <v>0.286325</v>
      </c>
      <c r="Z189" s="237">
        <f>+IFERROR(IF(GUAYAQUIL[[#This Row],[CODIGO]]="","",GUAYAQUIL[[#This Row],[COSTO UNIT base]]*GUAYAQUIL[[#This Row],[Conversión]]),"")</f>
        <v>0.286325</v>
      </c>
      <c r="AA189" s="236">
        <f>+IFERROR(IF(GUAYAQUIL[[#This Row],[CODIGO]]="","",GUAYAQUIL[[#This Row],[COSTO UNIT Conv]]*GUAYAQUIL[[#This Row],[Stock Actual Kgs]]),"")</f>
        <v>3.6076949999999997</v>
      </c>
      <c r="AB189" s="33">
        <f ca="1">+IFERROR(IF(GUAYAQUIL[[#This Row],[CODIGO]]="","",$J$3-O189),"")</f>
        <v>23</v>
      </c>
      <c r="AC189" s="34" t="str">
        <f ca="1">IF(GUAYAQUIL[[#This Row],[CODIGO]]="","",IF(S189&lt;=0,"CADUCADO",IF(AND(S189&gt;0,S189&lt;=21),"FECHA CORTA",IF(AND(S189&gt;=22,S189&lt;=26),"PROXIMOS FECHA CORTA", "VIGENTE"))))</f>
        <v>FECHA CORTA</v>
      </c>
      <c r="AD189" s="37">
        <f>+IF(GUAYAQUIL[[#This Row],[CODIGO]]="","",GUAYAQUIL[[#This Row],[Stock Actual Unds]]*GUAYAQUIL[[#This Row],[Gramaje]]*GUAYAQUIL[[#This Row],[Conversión]])/1000</f>
        <v>1.26E-2</v>
      </c>
    </row>
    <row r="190" spans="1:30">
      <c r="A190" s="24" t="str">
        <f>+IFERROR(IF(GUAYAQUIL[[#This Row],[CODIGO]]="","",VLOOKUP(GUAYAQUIL[[#This Row],[CODIGO]],MAESTRO!$A:$J,10,FALSE)),"")</f>
        <v>MACHACHI</v>
      </c>
      <c r="B190" s="24" t="str">
        <f>+IFERROR(IF(GUAYAQUIL[[#This Row],[CODIGO]]="","",VLOOKUP(GUAYAQUIL[[#This Row],[CODIGO]],MAESTRO!$A:$Q,17,FALSE)),"")</f>
        <v>BEBIDAS LACTEAS</v>
      </c>
      <c r="C190" s="24" t="str">
        <f>+IFERROR(IF(GUAYAQUIL[[#This Row],[CODIGO]]="","",VLOOKUP(GUAYAQUIL[[#This Row],[CODIGO]],MAESTRO!$A:$BA,53,FALSE)),"")</f>
        <v xml:space="preserve">Luis Armendariz                         </v>
      </c>
      <c r="D190" s="24" t="str">
        <f>+IFERROR(IF(GUAYAQUIL[[#This Row],[CODIGO]]="","",VLOOKUP(GUAYAQUIL[[#This Row],[CODIGO]],MAESTRO!$A:$D,4,FALSE)),"")</f>
        <v>YOGURT FINESSE</v>
      </c>
      <c r="E190" s="24" t="str">
        <f>+IFERROR(IF(GUAYAQUIL[[#This Row],[CODIGO]]="","",VLOOKUP(GUAYAQUIL[[#This Row],[CODIGO]],MAESTRO!$A:$F,6,FALSE)),"")</f>
        <v>YOGURT FINESSE DESLACT BOTELLA PERSONAL</v>
      </c>
      <c r="F190" s="42" t="str">
        <f>IF(GUAYAQUIL[[#This Row],[CODIGO]]="","",$K$6)</f>
        <v>GUAYAQUIL</v>
      </c>
      <c r="G190" s="42">
        <f>IF(GUAYAQUIL[[#This Row],[CODIGO]]="","",7711)</f>
        <v>7711</v>
      </c>
      <c r="H190" s="42">
        <f>IF(GUAYAQUIL[[#This Row],[CODIGO]]="","",1001)</f>
        <v>1001</v>
      </c>
      <c r="I190" s="258" t="s">
        <v>1191</v>
      </c>
      <c r="J190" s="25" t="str">
        <f>IFERROR((VLOOKUP(GUAYAQUIL[[#This Row],[CODIGO]],MAESTRO!A:B,2,FALSE)),"")</f>
        <v>YOG FNSSE VAINILLA 180</v>
      </c>
      <c r="K190" s="35">
        <v>108</v>
      </c>
      <c r="L190" s="38">
        <f>+IFERROR(IF(GUAYAQUIL[[#This Row],[CODIGO]]="","",VLOOKUP(GUAYAQUIL[[#This Row],[CODIGO]],MAESTRO!$A:$BF,58,FALSE)),"")</f>
        <v>1</v>
      </c>
      <c r="M190" s="27">
        <f>+IFERROR(IF(GUAYAQUIL[[#This Row],[CODIGO]]="","",VLOOKUP(GUAYAQUIL[[#This Row],[CODIGO]],MAESTRO!A:N,14,FALSE)),"")</f>
        <v>0.18</v>
      </c>
      <c r="N190" s="28">
        <f>+IFERROR(IF(GUAYAQUIL[[#This Row],[CODIGO]]="","",VLOOKUP(GUAYAQUIL[[#This Row],[CODIGO]],MAESTRO!A:P,16,FALSE)),"")</f>
        <v>45</v>
      </c>
      <c r="O190" s="45">
        <v>45612</v>
      </c>
      <c r="P190" s="72" t="str">
        <f t="shared" si="10"/>
        <v>sábado</v>
      </c>
      <c r="Q190" s="29">
        <f>IFERROR(IF(GUAYAQUIL[[#This Row],[CODIGO]]="","",IF(GUAYAQUIL[[#This Row],[Fecha Cad]]="","",(GUAYAQUIL[[#This Row],[Fecha Cad]]-GUAYAQUIL[[#This Row],[VIDA UTIL (Días)]]))+1),"")</f>
        <v>45604</v>
      </c>
      <c r="R190" s="45">
        <v>45648</v>
      </c>
      <c r="S190" s="30">
        <f t="shared" ca="1" si="11"/>
        <v>24</v>
      </c>
      <c r="T190" s="31">
        <f t="shared" ca="1" si="12"/>
        <v>0.53333333333333333</v>
      </c>
      <c r="U190" s="286">
        <v>98</v>
      </c>
      <c r="V190" s="262">
        <f>+IFERROR(IF(GUAYAQUIL[[#This Row],[CODIGO]]="","",GUAYAQUIL[[#This Row],[Stock Actual Unds]]*GUAYAQUIL[[#This Row],[Gramaje]]*GUAYAQUIL[[#This Row],[Conversión]]),"")</f>
        <v>17.64</v>
      </c>
      <c r="W190" s="270">
        <f t="shared" si="13"/>
        <v>8</v>
      </c>
      <c r="X190" s="32">
        <f t="shared" si="14"/>
        <v>0.82222222222222219</v>
      </c>
      <c r="Y190" s="236">
        <f>IFERROR(VLOOKUP(GUAYAQUIL[[#This Row],[CODIGO]],MAESTRO!A:BI,21,FALSE),0)</f>
        <v>0.286325</v>
      </c>
      <c r="Z190" s="237">
        <f>+IFERROR(IF(GUAYAQUIL[[#This Row],[CODIGO]]="","",GUAYAQUIL[[#This Row],[COSTO UNIT base]]*GUAYAQUIL[[#This Row],[Conversión]]),"")</f>
        <v>0.286325</v>
      </c>
      <c r="AA190" s="236">
        <f>+IFERROR(IF(GUAYAQUIL[[#This Row],[CODIGO]]="","",GUAYAQUIL[[#This Row],[COSTO UNIT Conv]]*GUAYAQUIL[[#This Row],[Stock Actual Kgs]]),"")</f>
        <v>5.0507730000000004</v>
      </c>
      <c r="AB190" s="33">
        <f ca="1">+IFERROR(IF(GUAYAQUIL[[#This Row],[CODIGO]]="","",$J$3-O190),"")</f>
        <v>12</v>
      </c>
      <c r="AC190" s="34" t="str">
        <f ca="1">IF(GUAYAQUIL[[#This Row],[CODIGO]]="","",IF(S190&lt;=0,"CADUCADO",IF(AND(S190&gt;0,S190&lt;=21),"FECHA CORTA",IF(AND(S190&gt;=22,S190&lt;=26),"PROXIMOS FECHA CORTA", "VIGENTE"))))</f>
        <v>PROXIMOS FECHA CORTA</v>
      </c>
      <c r="AD190" s="37">
        <f>+IF(GUAYAQUIL[[#This Row],[CODIGO]]="","",GUAYAQUIL[[#This Row],[Stock Actual Unds]]*GUAYAQUIL[[#This Row],[Gramaje]]*GUAYAQUIL[[#This Row],[Conversión]])/1000</f>
        <v>1.7639999999999999E-2</v>
      </c>
    </row>
    <row r="191" spans="1:30">
      <c r="A191" s="24" t="str">
        <f>+IFERROR(IF(GUAYAQUIL[[#This Row],[CODIGO]]="","",VLOOKUP(GUAYAQUIL[[#This Row],[CODIGO]],MAESTRO!$A:$J,10,FALSE)),"")</f>
        <v>MACHACHI</v>
      </c>
      <c r="B191" s="24" t="str">
        <f>+IFERROR(IF(GUAYAQUIL[[#This Row],[CODIGO]]="","",VLOOKUP(GUAYAQUIL[[#This Row],[CODIGO]],MAESTRO!$A:$Q,17,FALSE)),"")</f>
        <v>BEBIDAS LACTEAS</v>
      </c>
      <c r="C191" s="24" t="str">
        <f>+IFERROR(IF(GUAYAQUIL[[#This Row],[CODIGO]]="","",VLOOKUP(GUAYAQUIL[[#This Row],[CODIGO]],MAESTRO!$A:$BA,53,FALSE)),"")</f>
        <v xml:space="preserve">Luis Armendariz                         </v>
      </c>
      <c r="D191" s="24" t="str">
        <f>+IFERROR(IF(GUAYAQUIL[[#This Row],[CODIGO]]="","",VLOOKUP(GUAYAQUIL[[#This Row],[CODIGO]],MAESTRO!$A:$D,4,FALSE)),"")</f>
        <v>YOGURT FINESSE</v>
      </c>
      <c r="E191" s="24" t="str">
        <f>+IFERROR(IF(GUAYAQUIL[[#This Row],[CODIGO]]="","",VLOOKUP(GUAYAQUIL[[#This Row],[CODIGO]],MAESTRO!$A:$F,6,FALSE)),"")</f>
        <v>YOGURT FINESSE DESLACT BOTELLA PERSONAL</v>
      </c>
      <c r="F191" s="42" t="str">
        <f>IF(GUAYAQUIL[[#This Row],[CODIGO]]="","",$K$6)</f>
        <v>GUAYAQUIL</v>
      </c>
      <c r="G191" s="209">
        <f>IF(GUAYAQUIL[[#This Row],[CODIGO]]="","",7711)</f>
        <v>7711</v>
      </c>
      <c r="H191" s="209">
        <f>IF(GUAYAQUIL[[#This Row],[CODIGO]]="","",1001)</f>
        <v>1001</v>
      </c>
      <c r="I191" s="258" t="s">
        <v>1191</v>
      </c>
      <c r="J191" s="25" t="str">
        <f>IFERROR((VLOOKUP(GUAYAQUIL[[#This Row],[CODIGO]],MAESTRO!A:B,2,FALSE)),"")</f>
        <v>YOG FNSSE VAINILLA 180</v>
      </c>
      <c r="K191" s="35">
        <v>216</v>
      </c>
      <c r="L191" s="38">
        <f>+IFERROR(IF(GUAYAQUIL[[#This Row],[CODIGO]]="","",VLOOKUP(GUAYAQUIL[[#This Row],[CODIGO]],MAESTRO!$A:$BF,58,FALSE)),"")</f>
        <v>1</v>
      </c>
      <c r="M191" s="27">
        <f>+IFERROR(IF(GUAYAQUIL[[#This Row],[CODIGO]]="","",VLOOKUP(GUAYAQUIL[[#This Row],[CODIGO]],MAESTRO!A:N,14,FALSE)),"")</f>
        <v>0.18</v>
      </c>
      <c r="N191" s="28">
        <f>+IFERROR(IF(GUAYAQUIL[[#This Row],[CODIGO]]="","",VLOOKUP(GUAYAQUIL[[#This Row],[CODIGO]],MAESTRO!A:P,16,FALSE)),"")</f>
        <v>45</v>
      </c>
      <c r="O191" s="45">
        <v>45616</v>
      </c>
      <c r="P191" s="72" t="str">
        <f t="shared" si="10"/>
        <v>miércoles</v>
      </c>
      <c r="Q191" s="29">
        <f>IFERROR(IF(GUAYAQUIL[[#This Row],[CODIGO]]="","",IF(GUAYAQUIL[[#This Row],[Fecha Cad]]="","",(GUAYAQUIL[[#This Row],[Fecha Cad]]-GUAYAQUIL[[#This Row],[VIDA UTIL (Días)]]))+1),"")</f>
        <v>45611</v>
      </c>
      <c r="R191" s="45">
        <v>45655</v>
      </c>
      <c r="S191" s="30">
        <f t="shared" ca="1" si="11"/>
        <v>31</v>
      </c>
      <c r="T191" s="31">
        <f t="shared" ca="1" si="12"/>
        <v>0.68888888888888888</v>
      </c>
      <c r="U191" s="286">
        <v>108</v>
      </c>
      <c r="V191" s="262">
        <f>+IFERROR(IF(GUAYAQUIL[[#This Row],[CODIGO]]="","",GUAYAQUIL[[#This Row],[Stock Actual Unds]]*GUAYAQUIL[[#This Row],[Gramaje]]*GUAYAQUIL[[#This Row],[Conversión]]),"")</f>
        <v>19.439999999999998</v>
      </c>
      <c r="W191" s="270">
        <f t="shared" si="13"/>
        <v>5</v>
      </c>
      <c r="X191" s="32">
        <f t="shared" si="14"/>
        <v>0.88888888888888884</v>
      </c>
      <c r="Y191" s="236">
        <f>IFERROR(VLOOKUP(GUAYAQUIL[[#This Row],[CODIGO]],MAESTRO!A:BI,21,FALSE),0)</f>
        <v>0.286325</v>
      </c>
      <c r="Z191" s="237">
        <f>+IFERROR(IF(GUAYAQUIL[[#This Row],[CODIGO]]="","",GUAYAQUIL[[#This Row],[COSTO UNIT base]]*GUAYAQUIL[[#This Row],[Conversión]]),"")</f>
        <v>0.286325</v>
      </c>
      <c r="AA191" s="236">
        <f>+IFERROR(IF(GUAYAQUIL[[#This Row],[CODIGO]]="","",GUAYAQUIL[[#This Row],[COSTO UNIT Conv]]*GUAYAQUIL[[#This Row],[Stock Actual Kgs]]),"")</f>
        <v>5.5661579999999997</v>
      </c>
      <c r="AB191" s="33">
        <f ca="1">+IFERROR(IF(GUAYAQUIL[[#This Row],[CODIGO]]="","",$J$3-O191),"")</f>
        <v>8</v>
      </c>
      <c r="AC191" s="34" t="str">
        <f ca="1">IF(GUAYAQUIL[[#This Row],[CODIGO]]="","",IF(S191&lt;=0,"CADUCADO",IF(AND(S191&gt;0,S191&lt;=21),"FECHA CORTA",IF(AND(S191&gt;=22,S191&lt;=26),"PROXIMOS FECHA CORTA", "VIGENTE"))))</f>
        <v>VIGENTE</v>
      </c>
      <c r="AD191" s="37">
        <f>+IF(GUAYAQUIL[[#This Row],[CODIGO]]="","",GUAYAQUIL[[#This Row],[Stock Actual Unds]]*GUAYAQUIL[[#This Row],[Gramaje]]*GUAYAQUIL[[#This Row],[Conversión]])/1000</f>
        <v>1.9439999999999999E-2</v>
      </c>
    </row>
    <row r="192" spans="1:30">
      <c r="A192" s="24" t="str">
        <f>+IFERROR(IF(GUAYAQUIL[[#This Row],[CODIGO]]="","",VLOOKUP(GUAYAQUIL[[#This Row],[CODIGO]],MAESTRO!$A:$J,10,FALSE)),"")</f>
        <v>MACHACHI</v>
      </c>
      <c r="B192" s="24" t="str">
        <f>+IFERROR(IF(GUAYAQUIL[[#This Row],[CODIGO]]="","",VLOOKUP(GUAYAQUIL[[#This Row],[CODIGO]],MAESTRO!$A:$Q,17,FALSE)),"")</f>
        <v>BEBIDAS LACTEAS</v>
      </c>
      <c r="C192" s="24" t="str">
        <f>+IFERROR(IF(GUAYAQUIL[[#This Row],[CODIGO]]="","",VLOOKUP(GUAYAQUIL[[#This Row],[CODIGO]],MAESTRO!$A:$BA,53,FALSE)),"")</f>
        <v xml:space="preserve">Luis Armendariz                         </v>
      </c>
      <c r="D192" s="24" t="str">
        <f>+IFERROR(IF(GUAYAQUIL[[#This Row],[CODIGO]]="","",VLOOKUP(GUAYAQUIL[[#This Row],[CODIGO]],MAESTRO!$A:$D,4,FALSE)),"")</f>
        <v>YOGURT FINESSE</v>
      </c>
      <c r="E192" s="24" t="str">
        <f>+IFERROR(IF(GUAYAQUIL[[#This Row],[CODIGO]]="","",VLOOKUP(GUAYAQUIL[[#This Row],[CODIGO]],MAESTRO!$A:$F,6,FALSE)),"")</f>
        <v>YOGURT FINESSE DESLACT BOTELLA PERSONAL</v>
      </c>
      <c r="F192" s="42" t="str">
        <f>IF(GUAYAQUIL[[#This Row],[CODIGO]]="","",$K$6)</f>
        <v>GUAYAQUIL</v>
      </c>
      <c r="G192" s="42">
        <f>IF(GUAYAQUIL[[#This Row],[CODIGO]]="","",7711)</f>
        <v>7711</v>
      </c>
      <c r="H192" s="42">
        <f>IF(GUAYAQUIL[[#This Row],[CODIGO]]="","",1001)</f>
        <v>1001</v>
      </c>
      <c r="I192" s="258" t="s">
        <v>1191</v>
      </c>
      <c r="J192" s="25" t="str">
        <f>IFERROR((VLOOKUP(GUAYAQUIL[[#This Row],[CODIGO]],MAESTRO!A:B,2,FALSE)),"")</f>
        <v>YOG FNSSE VAINILLA 180</v>
      </c>
      <c r="K192" s="35">
        <v>108</v>
      </c>
      <c r="L192" s="38">
        <f>+IFERROR(IF(GUAYAQUIL[[#This Row],[CODIGO]]="","",VLOOKUP(GUAYAQUIL[[#This Row],[CODIGO]],MAESTRO!$A:$BF,58,FALSE)),"")</f>
        <v>1</v>
      </c>
      <c r="M192" s="27">
        <f>+IFERROR(IF(GUAYAQUIL[[#This Row],[CODIGO]]="","",VLOOKUP(GUAYAQUIL[[#This Row],[CODIGO]],MAESTRO!A:N,14,FALSE)),"")</f>
        <v>0.18</v>
      </c>
      <c r="N192" s="28">
        <f>+IFERROR(IF(GUAYAQUIL[[#This Row],[CODIGO]]="","",VLOOKUP(GUAYAQUIL[[#This Row],[CODIGO]],MAESTRO!A:P,16,FALSE)),"")</f>
        <v>45</v>
      </c>
      <c r="O192" s="45">
        <v>45617</v>
      </c>
      <c r="P192" s="72" t="str">
        <f t="shared" si="10"/>
        <v>jueves</v>
      </c>
      <c r="Q192" s="29">
        <f>IFERROR(IF(GUAYAQUIL[[#This Row],[CODIGO]]="","",IF(GUAYAQUIL[[#This Row],[Fecha Cad]]="","",(GUAYAQUIL[[#This Row],[Fecha Cad]]-GUAYAQUIL[[#This Row],[VIDA UTIL (Días)]]))+1),"")</f>
        <v>45611</v>
      </c>
      <c r="R192" s="45">
        <v>45655</v>
      </c>
      <c r="S192" s="30">
        <f t="shared" ca="1" si="11"/>
        <v>31</v>
      </c>
      <c r="T192" s="31">
        <f t="shared" ca="1" si="12"/>
        <v>0.68888888888888888</v>
      </c>
      <c r="U192" s="286">
        <v>108</v>
      </c>
      <c r="V192" s="262">
        <f>+IFERROR(IF(GUAYAQUIL[[#This Row],[CODIGO]]="","",GUAYAQUIL[[#This Row],[Stock Actual Unds]]*GUAYAQUIL[[#This Row],[Gramaje]]*GUAYAQUIL[[#This Row],[Conversión]]),"")</f>
        <v>19.439999999999998</v>
      </c>
      <c r="W192" s="270">
        <f t="shared" si="13"/>
        <v>6</v>
      </c>
      <c r="X192" s="32">
        <f t="shared" si="14"/>
        <v>0.8666666666666667</v>
      </c>
      <c r="Y192" s="236">
        <f>IFERROR(VLOOKUP(GUAYAQUIL[[#This Row],[CODIGO]],MAESTRO!A:BI,21,FALSE),0)</f>
        <v>0.286325</v>
      </c>
      <c r="Z192" s="237">
        <f>+IFERROR(IF(GUAYAQUIL[[#This Row],[CODIGO]]="","",GUAYAQUIL[[#This Row],[COSTO UNIT base]]*GUAYAQUIL[[#This Row],[Conversión]]),"")</f>
        <v>0.286325</v>
      </c>
      <c r="AA192" s="236">
        <f>+IFERROR(IF(GUAYAQUIL[[#This Row],[CODIGO]]="","",GUAYAQUIL[[#This Row],[COSTO UNIT Conv]]*GUAYAQUIL[[#This Row],[Stock Actual Kgs]]),"")</f>
        <v>5.5661579999999997</v>
      </c>
      <c r="AB192" s="33">
        <f ca="1">+IFERROR(IF(GUAYAQUIL[[#This Row],[CODIGO]]="","",$J$3-O192),"")</f>
        <v>7</v>
      </c>
      <c r="AC192" s="34" t="str">
        <f ca="1">IF(GUAYAQUIL[[#This Row],[CODIGO]]="","",IF(S192&lt;=0,"CADUCADO",IF(AND(S192&gt;0,S192&lt;=21),"FECHA CORTA",IF(AND(S192&gt;=22,S192&lt;=26),"PROXIMOS FECHA CORTA", "VIGENTE"))))</f>
        <v>VIGENTE</v>
      </c>
      <c r="AD192" s="37">
        <f>+IF(GUAYAQUIL[[#This Row],[CODIGO]]="","",GUAYAQUIL[[#This Row],[Stock Actual Unds]]*GUAYAQUIL[[#This Row],[Gramaje]]*GUAYAQUIL[[#This Row],[Conversión]])/1000</f>
        <v>1.9439999999999999E-2</v>
      </c>
    </row>
    <row r="193" spans="1:30">
      <c r="A193" s="24" t="str">
        <f>+IFERROR(IF(GUAYAQUIL[[#This Row],[CODIGO]]="","",VLOOKUP(GUAYAQUIL[[#This Row],[CODIGO]],MAESTRO!$A:$J,10,FALSE)),"")</f>
        <v>SAN GABRIEL</v>
      </c>
      <c r="B193" s="24" t="str">
        <f>+IFERROR(IF(GUAYAQUIL[[#This Row],[CODIGO]]="","",VLOOKUP(GUAYAQUIL[[#This Row],[CODIGO]],MAESTRO!$A:$Q,17,FALSE)),"")</f>
        <v>QUESOS Y GRASAS</v>
      </c>
      <c r="C193" s="24" t="str">
        <f>+IFERROR(IF(GUAYAQUIL[[#This Row],[CODIGO]]="","",VLOOKUP(GUAYAQUIL[[#This Row],[CODIGO]],MAESTRO!$A:$BA,53,FALSE)),"")</f>
        <v xml:space="preserve">Esteban Montenegro                      </v>
      </c>
      <c r="D193" s="24" t="str">
        <f>+IFERROR(IF(GUAYAQUIL[[#This Row],[CODIGO]]="","",VLOOKUP(GUAYAQUIL[[#This Row],[CODIGO]],MAESTRO!$A:$D,4,FALSE)),"")</f>
        <v>QUESO SEMIMADURO KIOSKO</v>
      </c>
      <c r="E193" s="24" t="str">
        <f>+IFERROR(IF(GUAYAQUIL[[#This Row],[CODIGO]]="","",VLOOKUP(GUAYAQUIL[[#This Row],[CODIGO]],MAESTRO!$A:$F,6,FALSE)),"")</f>
        <v>QUESO PROVOLONE KIOSKO TAJADO</v>
      </c>
      <c r="F193" s="42" t="str">
        <f>IF(GUAYAQUIL[[#This Row],[CODIGO]]="","",$K$6)</f>
        <v>GUAYAQUIL</v>
      </c>
      <c r="G193" s="209">
        <f>IF(GUAYAQUIL[[#This Row],[CODIGO]]="","",7711)</f>
        <v>7711</v>
      </c>
      <c r="H193" s="209">
        <f>IF(GUAYAQUIL[[#This Row],[CODIGO]]="","",1001)</f>
        <v>1001</v>
      </c>
      <c r="I193" s="258" t="s">
        <v>752</v>
      </c>
      <c r="J193" s="25" t="str">
        <f>IFERROR((VLOOKUP(GUAYAQUIL[[#This Row],[CODIGO]],MAESTRO!A:B,2,FALSE)),"")</f>
        <v>Q PROVO AHUM KIOSKO LONJ 1KG</v>
      </c>
      <c r="K193" s="35">
        <v>13</v>
      </c>
      <c r="L193" s="38">
        <f>+IFERROR(IF(GUAYAQUIL[[#This Row],[CODIGO]]="","",VLOOKUP(GUAYAQUIL[[#This Row],[CODIGO]],MAESTRO!$A:$BF,58,FALSE)),"")</f>
        <v>1</v>
      </c>
      <c r="M193" s="27">
        <f>+IFERROR(IF(GUAYAQUIL[[#This Row],[CODIGO]]="","",VLOOKUP(GUAYAQUIL[[#This Row],[CODIGO]],MAESTRO!A:N,14,FALSE)),"")</f>
        <v>1</v>
      </c>
      <c r="N193" s="28">
        <f>+IFERROR(IF(GUAYAQUIL[[#This Row],[CODIGO]]="","",VLOOKUP(GUAYAQUIL[[#This Row],[CODIGO]],MAESTRO!A:P,16,FALSE)),"")</f>
        <v>60</v>
      </c>
      <c r="O193" s="45">
        <v>45611</v>
      </c>
      <c r="P193" s="72" t="str">
        <f t="shared" si="10"/>
        <v>viernes</v>
      </c>
      <c r="Q193" s="29">
        <f>IFERROR(IF(GUAYAQUIL[[#This Row],[CODIGO]]="","",IF(GUAYAQUIL[[#This Row],[Fecha Cad]]="","",(GUAYAQUIL[[#This Row],[Fecha Cad]]-GUAYAQUIL[[#This Row],[VIDA UTIL (Días)]]))+1),"")</f>
        <v>45591</v>
      </c>
      <c r="R193" s="45">
        <v>45650</v>
      </c>
      <c r="S193" s="30">
        <f t="shared" ca="1" si="11"/>
        <v>26</v>
      </c>
      <c r="T193" s="31">
        <f t="shared" ca="1" si="12"/>
        <v>0.43333333333333335</v>
      </c>
      <c r="U193" s="286">
        <v>11</v>
      </c>
      <c r="V193" s="262">
        <f>+IFERROR(IF(GUAYAQUIL[[#This Row],[CODIGO]]="","",GUAYAQUIL[[#This Row],[Stock Actual Unds]]*GUAYAQUIL[[#This Row],[Gramaje]]*GUAYAQUIL[[#This Row],[Conversión]]),"")</f>
        <v>11</v>
      </c>
      <c r="W193" s="270">
        <f t="shared" si="13"/>
        <v>20</v>
      </c>
      <c r="X193" s="32">
        <f t="shared" si="14"/>
        <v>0.66666666666666674</v>
      </c>
      <c r="Y193" s="236">
        <f>IFERROR(VLOOKUP(GUAYAQUIL[[#This Row],[CODIGO]],MAESTRO!A:BI,21,FALSE),0)</f>
        <v>7.6642950000000001</v>
      </c>
      <c r="Z193" s="237">
        <f>+IFERROR(IF(GUAYAQUIL[[#This Row],[CODIGO]]="","",GUAYAQUIL[[#This Row],[COSTO UNIT base]]*GUAYAQUIL[[#This Row],[Conversión]]),"")</f>
        <v>7.6642950000000001</v>
      </c>
      <c r="AA193" s="236">
        <f>+IFERROR(IF(GUAYAQUIL[[#This Row],[CODIGO]]="","",GUAYAQUIL[[#This Row],[COSTO UNIT Conv]]*GUAYAQUIL[[#This Row],[Stock Actual Kgs]]),"")</f>
        <v>84.307244999999995</v>
      </c>
      <c r="AB193" s="33">
        <f ca="1">+IFERROR(IF(GUAYAQUIL[[#This Row],[CODIGO]]="","",$J$3-O193),"")</f>
        <v>13</v>
      </c>
      <c r="AC193" s="34" t="str">
        <f ca="1">IF(GUAYAQUIL[[#This Row],[CODIGO]]="","",IF(S193&lt;=0,"CADUCADO",IF(AND(S193&gt;0,S193&lt;=21),"FECHA CORTA",IF(AND(S193&gt;=22,S193&lt;=26),"PROXIMOS FECHA CORTA", "VIGENTE"))))</f>
        <v>PROXIMOS FECHA CORTA</v>
      </c>
      <c r="AD193" s="37">
        <f>+IF(GUAYAQUIL[[#This Row],[CODIGO]]="","",GUAYAQUIL[[#This Row],[Stock Actual Unds]]*GUAYAQUIL[[#This Row],[Gramaje]]*GUAYAQUIL[[#This Row],[Conversión]])/1000</f>
        <v>1.0999999999999999E-2</v>
      </c>
    </row>
    <row r="194" spans="1:30">
      <c r="A194" s="24" t="str">
        <f>+IFERROR(IF(GUAYAQUIL[[#This Row],[CODIGO]]="","",VLOOKUP(GUAYAQUIL[[#This Row],[CODIGO]],MAESTRO!$A:$J,10,FALSE)),"")</f>
        <v>SAN GABRIEL</v>
      </c>
      <c r="B194" s="24" t="str">
        <f>+IFERROR(IF(GUAYAQUIL[[#This Row],[CODIGO]]="","",VLOOKUP(GUAYAQUIL[[#This Row],[CODIGO]],MAESTRO!$A:$Q,17,FALSE)),"")</f>
        <v>QUESOS Y GRASAS</v>
      </c>
      <c r="C194" s="24" t="str">
        <f>+IFERROR(IF(GUAYAQUIL[[#This Row],[CODIGO]]="","",VLOOKUP(GUAYAQUIL[[#This Row],[CODIGO]],MAESTRO!$A:$BA,53,FALSE)),"")</f>
        <v xml:space="preserve">Esteban Montenegro                      </v>
      </c>
      <c r="D194" s="24" t="str">
        <f>+IFERROR(IF(GUAYAQUIL[[#This Row],[CODIGO]]="","",VLOOKUP(GUAYAQUIL[[#This Row],[CODIGO]],MAESTRO!$A:$D,4,FALSE)),"")</f>
        <v>QUESO SEMIMADURO KIOSKO</v>
      </c>
      <c r="E194" s="24" t="str">
        <f>+IFERROR(IF(GUAYAQUIL[[#This Row],[CODIGO]]="","",VLOOKUP(GUAYAQUIL[[#This Row],[CODIGO]],MAESTRO!$A:$F,6,FALSE)),"")</f>
        <v>QUESO PROVOLONE KIOSKO TAJADO</v>
      </c>
      <c r="F194" s="42" t="str">
        <f>IF(GUAYAQUIL[[#This Row],[CODIGO]]="","",$K$6)</f>
        <v>GUAYAQUIL</v>
      </c>
      <c r="G194" s="42">
        <f>IF(GUAYAQUIL[[#This Row],[CODIGO]]="","",7711)</f>
        <v>7711</v>
      </c>
      <c r="H194" s="42">
        <f>IF(GUAYAQUIL[[#This Row],[CODIGO]]="","",1001)</f>
        <v>1001</v>
      </c>
      <c r="I194" s="258" t="s">
        <v>752</v>
      </c>
      <c r="J194" s="25" t="str">
        <f>IFERROR((VLOOKUP(GUAYAQUIL[[#This Row],[CODIGO]],MAESTRO!A:B,2,FALSE)),"")</f>
        <v>Q PROVO AHUM KIOSKO LONJ 1KG</v>
      </c>
      <c r="K194" s="35">
        <v>17</v>
      </c>
      <c r="L194" s="38">
        <f>+IFERROR(IF(GUAYAQUIL[[#This Row],[CODIGO]]="","",VLOOKUP(GUAYAQUIL[[#This Row],[CODIGO]],MAESTRO!$A:$BF,58,FALSE)),"")</f>
        <v>1</v>
      </c>
      <c r="M194" s="27">
        <f>+IFERROR(IF(GUAYAQUIL[[#This Row],[CODIGO]]="","",VLOOKUP(GUAYAQUIL[[#This Row],[CODIGO]],MAESTRO!A:N,14,FALSE)),"")</f>
        <v>1</v>
      </c>
      <c r="N194" s="28">
        <f>+IFERROR(IF(GUAYAQUIL[[#This Row],[CODIGO]]="","",VLOOKUP(GUAYAQUIL[[#This Row],[CODIGO]],MAESTRO!A:P,16,FALSE)),"")</f>
        <v>60</v>
      </c>
      <c r="O194" s="45">
        <v>45611</v>
      </c>
      <c r="P194" s="72" t="str">
        <f t="shared" si="10"/>
        <v>viernes</v>
      </c>
      <c r="Q194" s="29">
        <f>IFERROR(IF(GUAYAQUIL[[#This Row],[CODIGO]]="","",IF(GUAYAQUIL[[#This Row],[Fecha Cad]]="","",(GUAYAQUIL[[#This Row],[Fecha Cad]]-GUAYAQUIL[[#This Row],[VIDA UTIL (Días)]]))+1),"")</f>
        <v>45609</v>
      </c>
      <c r="R194" s="45">
        <v>45668</v>
      </c>
      <c r="S194" s="30">
        <f t="shared" ca="1" si="11"/>
        <v>44</v>
      </c>
      <c r="T194" s="31">
        <f t="shared" ca="1" si="12"/>
        <v>0.73333333333333328</v>
      </c>
      <c r="U194" s="286">
        <v>7</v>
      </c>
      <c r="V194" s="262">
        <f>+IFERROR(IF(GUAYAQUIL[[#This Row],[CODIGO]]="","",GUAYAQUIL[[#This Row],[Stock Actual Unds]]*GUAYAQUIL[[#This Row],[Gramaje]]*GUAYAQUIL[[#This Row],[Conversión]]),"")</f>
        <v>7</v>
      </c>
      <c r="W194" s="270">
        <f t="shared" si="13"/>
        <v>2</v>
      </c>
      <c r="X194" s="32">
        <f t="shared" si="14"/>
        <v>0.96666666666666667</v>
      </c>
      <c r="Y194" s="236">
        <f>IFERROR(VLOOKUP(GUAYAQUIL[[#This Row],[CODIGO]],MAESTRO!A:BI,21,FALSE),0)</f>
        <v>7.6642950000000001</v>
      </c>
      <c r="Z194" s="237">
        <f>+IFERROR(IF(GUAYAQUIL[[#This Row],[CODIGO]]="","",GUAYAQUIL[[#This Row],[COSTO UNIT base]]*GUAYAQUIL[[#This Row],[Conversión]]),"")</f>
        <v>7.6642950000000001</v>
      </c>
      <c r="AA194" s="236">
        <f>+IFERROR(IF(GUAYAQUIL[[#This Row],[CODIGO]]="","",GUAYAQUIL[[#This Row],[COSTO UNIT Conv]]*GUAYAQUIL[[#This Row],[Stock Actual Kgs]]),"")</f>
        <v>53.650064999999998</v>
      </c>
      <c r="AB194" s="33">
        <f ca="1">+IFERROR(IF(GUAYAQUIL[[#This Row],[CODIGO]]="","",$J$3-O194),"")</f>
        <v>13</v>
      </c>
      <c r="AC194" s="34" t="str">
        <f ca="1">IF(GUAYAQUIL[[#This Row],[CODIGO]]="","",IF(S194&lt;=0,"CADUCADO",IF(AND(S194&gt;0,S194&lt;=21),"FECHA CORTA",IF(AND(S194&gt;=22,S194&lt;=26),"PROXIMOS FECHA CORTA", "VIGENTE"))))</f>
        <v>VIGENTE</v>
      </c>
      <c r="AD194" s="37">
        <f>+IF(GUAYAQUIL[[#This Row],[CODIGO]]="","",GUAYAQUIL[[#This Row],[Stock Actual Unds]]*GUAYAQUIL[[#This Row],[Gramaje]]*GUAYAQUIL[[#This Row],[Conversión]])/1000</f>
        <v>7.0000000000000001E-3</v>
      </c>
    </row>
    <row r="195" spans="1:30">
      <c r="A195" s="42" t="str">
        <f>+IFERROR(IF(GUAYAQUIL[[#This Row],[CODIGO]]="","",VLOOKUP(GUAYAQUIL[[#This Row],[CODIGO]],MAESTRO!$A:$J,10,FALSE)),"")</f>
        <v>SAN GABRIEL</v>
      </c>
      <c r="B195" s="42" t="str">
        <f>+IFERROR(IF(GUAYAQUIL[[#This Row],[CODIGO]]="","",VLOOKUP(GUAYAQUIL[[#This Row],[CODIGO]],MAESTRO!$A:$Q,17,FALSE)),"")</f>
        <v>QUESOS Y GRASAS</v>
      </c>
      <c r="C195" s="42" t="str">
        <f>+IFERROR(IF(GUAYAQUIL[[#This Row],[CODIGO]]="","",VLOOKUP(GUAYAQUIL[[#This Row],[CODIGO]],MAESTRO!$A:$BA,53,FALSE)),"")</f>
        <v xml:space="preserve">Esteban Montenegro                      </v>
      </c>
      <c r="D195" s="42" t="str">
        <f>+IFERROR(IF(GUAYAQUIL[[#This Row],[CODIGO]]="","",VLOOKUP(GUAYAQUIL[[#This Row],[CODIGO]],MAESTRO!$A:$D,4,FALSE)),"")</f>
        <v>QUESO SEMIMADURO KIOSKO</v>
      </c>
      <c r="E195" s="42" t="str">
        <f>+IFERROR(IF(GUAYAQUIL[[#This Row],[CODIGO]]="","",VLOOKUP(GUAYAQUIL[[#This Row],[CODIGO]],MAESTRO!$A:$F,6,FALSE)),"")</f>
        <v>QUESO PROVOLONE KIOSKO TAJADO</v>
      </c>
      <c r="F195" s="42" t="str">
        <f>IF(GUAYAQUIL[[#This Row],[CODIGO]]="","",$K$6)</f>
        <v>GUAYAQUIL</v>
      </c>
      <c r="G195" s="209">
        <f>IF(GUAYAQUIL[[#This Row],[CODIGO]]="","",7711)</f>
        <v>7711</v>
      </c>
      <c r="H195" s="209">
        <f>IF(GUAYAQUIL[[#This Row],[CODIGO]]="","",1001)</f>
        <v>1001</v>
      </c>
      <c r="I195" s="258" t="s">
        <v>752</v>
      </c>
      <c r="J195" s="25" t="str">
        <f>IFERROR((VLOOKUP(GUAYAQUIL[[#This Row],[CODIGO]],MAESTRO!A:B,2,FALSE)),"")</f>
        <v>Q PROVO AHUM KIOSKO LONJ 1KG</v>
      </c>
      <c r="K195" s="35">
        <v>23</v>
      </c>
      <c r="L195" s="205">
        <f>+IFERROR(IF(GUAYAQUIL[[#This Row],[CODIGO]]="","",VLOOKUP(GUAYAQUIL[[#This Row],[CODIGO]],MAESTRO!$A:$BF,58,FALSE)),"")</f>
        <v>1</v>
      </c>
      <c r="M195" s="27">
        <f>+IFERROR(IF(GUAYAQUIL[[#This Row],[CODIGO]]="","",VLOOKUP(GUAYAQUIL[[#This Row],[CODIGO]],MAESTRO!A:N,14,FALSE)),"")</f>
        <v>1</v>
      </c>
      <c r="N195" s="290">
        <f>+IFERROR(IF(GUAYAQUIL[[#This Row],[CODIGO]]="","",VLOOKUP(GUAYAQUIL[[#This Row],[CODIGO]],MAESTRO!A:P,16,FALSE)),"")</f>
        <v>60</v>
      </c>
      <c r="O195" s="45">
        <v>45616</v>
      </c>
      <c r="P195" s="292" t="str">
        <f t="shared" si="10"/>
        <v>miércoles</v>
      </c>
      <c r="Q195" s="278">
        <f>IFERROR(IF(GUAYAQUIL[[#This Row],[CODIGO]]="","",IF(GUAYAQUIL[[#This Row],[Fecha Cad]]="","",(GUAYAQUIL[[#This Row],[Fecha Cad]]-GUAYAQUIL[[#This Row],[VIDA UTIL (Días)]]))+1),"")</f>
        <v>45609</v>
      </c>
      <c r="R195" s="45">
        <v>45668</v>
      </c>
      <c r="S195" s="30">
        <f t="shared" ca="1" si="11"/>
        <v>44</v>
      </c>
      <c r="T195" s="294">
        <f t="shared" ca="1" si="12"/>
        <v>0.73333333333333328</v>
      </c>
      <c r="U195" s="295">
        <v>23</v>
      </c>
      <c r="V195" s="262">
        <f>+IFERROR(IF(GUAYAQUIL[[#This Row],[CODIGO]]="","",GUAYAQUIL[[#This Row],[Stock Actual Unds]]*GUAYAQUIL[[#This Row],[Gramaje]]*GUAYAQUIL[[#This Row],[Conversión]]),"")</f>
        <v>23</v>
      </c>
      <c r="W195" s="299">
        <f t="shared" si="13"/>
        <v>7</v>
      </c>
      <c r="X195" s="44">
        <f t="shared" si="14"/>
        <v>0.8833333333333333</v>
      </c>
      <c r="Y195" s="236">
        <f>IFERROR(VLOOKUP(GUAYAQUIL[[#This Row],[CODIGO]],MAESTRO!A:BI,21,FALSE),0)</f>
        <v>7.6642950000000001</v>
      </c>
      <c r="Z195" s="237">
        <f>+IFERROR(IF(GUAYAQUIL[[#This Row],[CODIGO]]="","",GUAYAQUIL[[#This Row],[COSTO UNIT base]]*GUAYAQUIL[[#This Row],[Conversión]]),"")</f>
        <v>7.6642950000000001</v>
      </c>
      <c r="AA195" s="236">
        <f>+IFERROR(IF(GUAYAQUIL[[#This Row],[CODIGO]]="","",GUAYAQUIL[[#This Row],[COSTO UNIT Conv]]*GUAYAQUIL[[#This Row],[Stock Actual Kgs]]),"")</f>
        <v>176.278785</v>
      </c>
      <c r="AB195" s="180">
        <f ca="1">+IFERROR(IF(GUAYAQUIL[[#This Row],[CODIGO]]="","",$J$3-O195),"")</f>
        <v>8</v>
      </c>
      <c r="AC195" s="35" t="str">
        <f ca="1">IF(GUAYAQUIL[[#This Row],[CODIGO]]="","",IF(S195&lt;=0,"CADUCADO",IF(AND(S195&gt;0,S195&lt;=21),"FECHA CORTA",IF(AND(S195&gt;=22,S195&lt;=26),"PROXIMOS FECHA CORTA", "VIGENTE"))))</f>
        <v>VIGENTE</v>
      </c>
      <c r="AD195" s="37">
        <f>+IF(GUAYAQUIL[[#This Row],[CODIGO]]="","",GUAYAQUIL[[#This Row],[Stock Actual Unds]]*GUAYAQUIL[[#This Row],[Gramaje]]*GUAYAQUIL[[#This Row],[Conversión]])/1000</f>
        <v>2.3E-2</v>
      </c>
    </row>
    <row r="196" spans="1:30">
      <c r="A196" s="24" t="str">
        <f>+IFERROR(IF(GUAYAQUIL[[#This Row],[CODIGO]]="","",VLOOKUP(GUAYAQUIL[[#This Row],[CODIGO]],MAESTRO!$A:$J,10,FALSE)),"")</f>
        <v>SAN GABRIEL</v>
      </c>
      <c r="B196" s="24" t="str">
        <f>+IFERROR(IF(GUAYAQUIL[[#This Row],[CODIGO]]="","",VLOOKUP(GUAYAQUIL[[#This Row],[CODIGO]],MAESTRO!$A:$Q,17,FALSE)),"")</f>
        <v>QUESOS Y GRASAS</v>
      </c>
      <c r="C196" s="24" t="str">
        <f>+IFERROR(IF(GUAYAQUIL[[#This Row],[CODIGO]]="","",VLOOKUP(GUAYAQUIL[[#This Row],[CODIGO]],MAESTRO!$A:$BA,53,FALSE)),"")</f>
        <v xml:space="preserve">Esteban Montenegro                      </v>
      </c>
      <c r="D196" s="24" t="str">
        <f>+IFERROR(IF(GUAYAQUIL[[#This Row],[CODIGO]]="","",VLOOKUP(GUAYAQUIL[[#This Row],[CODIGO]],MAESTRO!$A:$D,4,FALSE)),"")</f>
        <v>QUESO SEMIMADURO KIOSKO</v>
      </c>
      <c r="E196" s="24" t="str">
        <f>+IFERROR(IF(GUAYAQUIL[[#This Row],[CODIGO]]="","",VLOOKUP(GUAYAQUIL[[#This Row],[CODIGO]],MAESTRO!$A:$F,6,FALSE)),"")</f>
        <v>QUESO SANDUCHE KIOSKO TAJADO</v>
      </c>
      <c r="F196" s="42" t="str">
        <f>IF(GUAYAQUIL[[#This Row],[CODIGO]]="","",$K$6)</f>
        <v>GUAYAQUIL</v>
      </c>
      <c r="G196" s="42">
        <f>IF(GUAYAQUIL[[#This Row],[CODIGO]]="","",7711)</f>
        <v>7711</v>
      </c>
      <c r="H196" s="42">
        <f>IF(GUAYAQUIL[[#This Row],[CODIGO]]="","",1001)</f>
        <v>1001</v>
      </c>
      <c r="I196" s="258" t="s">
        <v>1692</v>
      </c>
      <c r="J196" s="25" t="str">
        <f>IFERROR((VLOOKUP(GUAYAQUIL[[#This Row],[CODIGO]],MAESTRO!A:B,2,FALSE)),"")</f>
        <v>Q SANDU KIOSKO 20 LONJ 300G</v>
      </c>
      <c r="K196" s="35">
        <v>75</v>
      </c>
      <c r="L196" s="38">
        <f>+IFERROR(IF(GUAYAQUIL[[#This Row],[CODIGO]]="","",VLOOKUP(GUAYAQUIL[[#This Row],[CODIGO]],MAESTRO!$A:$BF,58,FALSE)),"")</f>
        <v>1</v>
      </c>
      <c r="M196" s="27">
        <f>+IFERROR(IF(GUAYAQUIL[[#This Row],[CODIGO]]="","",VLOOKUP(GUAYAQUIL[[#This Row],[CODIGO]],MAESTRO!A:N,14,FALSE)),"")</f>
        <v>0.3</v>
      </c>
      <c r="N196" s="28">
        <f>+IFERROR(IF(GUAYAQUIL[[#This Row],[CODIGO]]="","",VLOOKUP(GUAYAQUIL[[#This Row],[CODIGO]],MAESTRO!A:P,16,FALSE)),"")</f>
        <v>90</v>
      </c>
      <c r="O196" s="45">
        <v>45611</v>
      </c>
      <c r="P196" s="72" t="str">
        <f t="shared" si="10"/>
        <v>viernes</v>
      </c>
      <c r="Q196" s="29">
        <f>IFERROR(IF(GUAYAQUIL[[#This Row],[CODIGO]]="","",IF(GUAYAQUIL[[#This Row],[Fecha Cad]]="","",(GUAYAQUIL[[#This Row],[Fecha Cad]]-GUAYAQUIL[[#This Row],[VIDA UTIL (Días)]]))+1),"")</f>
        <v>45602</v>
      </c>
      <c r="R196" s="45">
        <v>45691</v>
      </c>
      <c r="S196" s="30">
        <f t="shared" ca="1" si="11"/>
        <v>67</v>
      </c>
      <c r="T196" s="31">
        <f t="shared" ca="1" si="12"/>
        <v>0.74444444444444446</v>
      </c>
      <c r="U196" s="286">
        <v>37</v>
      </c>
      <c r="V196" s="262">
        <f>+IFERROR(IF(GUAYAQUIL[[#This Row],[CODIGO]]="","",GUAYAQUIL[[#This Row],[Stock Actual Unds]]*GUAYAQUIL[[#This Row],[Gramaje]]*GUAYAQUIL[[#This Row],[Conversión]]),"")</f>
        <v>11.1</v>
      </c>
      <c r="W196" s="270">
        <f t="shared" si="13"/>
        <v>9</v>
      </c>
      <c r="X196" s="32">
        <f t="shared" si="14"/>
        <v>0.9</v>
      </c>
      <c r="Y196" s="236">
        <f>IFERROR(VLOOKUP(GUAYAQUIL[[#This Row],[CODIGO]],MAESTRO!A:BI,21,FALSE),0)</f>
        <v>2.3314949999999999</v>
      </c>
      <c r="Z196" s="237">
        <f>+IFERROR(IF(GUAYAQUIL[[#This Row],[CODIGO]]="","",GUAYAQUIL[[#This Row],[COSTO UNIT base]]*GUAYAQUIL[[#This Row],[Conversión]]),"")</f>
        <v>2.3314949999999999</v>
      </c>
      <c r="AA196" s="236">
        <f>+IFERROR(IF(GUAYAQUIL[[#This Row],[CODIGO]]="","",GUAYAQUIL[[#This Row],[COSTO UNIT Conv]]*GUAYAQUIL[[#This Row],[Stock Actual Kgs]]),"")</f>
        <v>25.879594499999996</v>
      </c>
      <c r="AB196" s="33">
        <f ca="1">+IFERROR(IF(GUAYAQUIL[[#This Row],[CODIGO]]="","",$J$3-O196),"")</f>
        <v>13</v>
      </c>
      <c r="AC196" s="34" t="str">
        <f ca="1">IF(GUAYAQUIL[[#This Row],[CODIGO]]="","",IF(S196&lt;=0,"CADUCADO",IF(AND(S196&gt;0,S196&lt;=21),"FECHA CORTA",IF(AND(S196&gt;=22,S196&lt;=26),"PROXIMOS FECHA CORTA", "VIGENTE"))))</f>
        <v>VIGENTE</v>
      </c>
      <c r="AD196" s="37">
        <f>+IF(GUAYAQUIL[[#This Row],[CODIGO]]="","",GUAYAQUIL[[#This Row],[Stock Actual Unds]]*GUAYAQUIL[[#This Row],[Gramaje]]*GUAYAQUIL[[#This Row],[Conversión]])/1000</f>
        <v>1.11E-2</v>
      </c>
    </row>
    <row r="197" spans="1:30">
      <c r="A197" s="24" t="str">
        <f>+IFERROR(IF(GUAYAQUIL[[#This Row],[CODIGO]]="","",VLOOKUP(GUAYAQUIL[[#This Row],[CODIGO]],MAESTRO!$A:$J,10,FALSE)),"")</f>
        <v>SAN GABRIEL</v>
      </c>
      <c r="B197" s="24" t="str">
        <f>+IFERROR(IF(GUAYAQUIL[[#This Row],[CODIGO]]="","",VLOOKUP(GUAYAQUIL[[#This Row],[CODIGO]],MAESTRO!$A:$Q,17,FALSE)),"")</f>
        <v>QUESOS Y GRASAS</v>
      </c>
      <c r="C197" s="24" t="str">
        <f>+IFERROR(IF(GUAYAQUIL[[#This Row],[CODIGO]]="","",VLOOKUP(GUAYAQUIL[[#This Row],[CODIGO]],MAESTRO!$A:$BA,53,FALSE)),"")</f>
        <v xml:space="preserve">Esteban Montenegro                      </v>
      </c>
      <c r="D197" s="24" t="str">
        <f>+IFERROR(IF(GUAYAQUIL[[#This Row],[CODIGO]]="","",VLOOKUP(GUAYAQUIL[[#This Row],[CODIGO]],MAESTRO!$A:$D,4,FALSE)),"")</f>
        <v>QUESO SEMIMADURO KIOSKO</v>
      </c>
      <c r="E197" s="24" t="str">
        <f>+IFERROR(IF(GUAYAQUIL[[#This Row],[CODIGO]]="","",VLOOKUP(GUAYAQUIL[[#This Row],[CODIGO]],MAESTRO!$A:$F,6,FALSE)),"")</f>
        <v>QUESO SANDUCHE KIOSKO TAJADO</v>
      </c>
      <c r="F197" s="42" t="str">
        <f>IF(GUAYAQUIL[[#This Row],[CODIGO]]="","",$K$6)</f>
        <v>GUAYAQUIL</v>
      </c>
      <c r="G197" s="209">
        <f>IF(GUAYAQUIL[[#This Row],[CODIGO]]="","",7711)</f>
        <v>7711</v>
      </c>
      <c r="H197" s="209">
        <f>IF(GUAYAQUIL[[#This Row],[CODIGO]]="","",1001)</f>
        <v>1001</v>
      </c>
      <c r="I197" s="258" t="s">
        <v>1692</v>
      </c>
      <c r="J197" s="25" t="str">
        <f>IFERROR((VLOOKUP(GUAYAQUIL[[#This Row],[CODIGO]],MAESTRO!A:B,2,FALSE)),"")</f>
        <v>Q SANDU KIOSKO 20 LONJ 300G</v>
      </c>
      <c r="K197" s="35">
        <v>75</v>
      </c>
      <c r="L197" s="38">
        <f>+IFERROR(IF(GUAYAQUIL[[#This Row],[CODIGO]]="","",VLOOKUP(GUAYAQUIL[[#This Row],[CODIGO]],MAESTRO!$A:$BF,58,FALSE)),"")</f>
        <v>1</v>
      </c>
      <c r="M197" s="27">
        <f>+IFERROR(IF(GUAYAQUIL[[#This Row],[CODIGO]]="","",VLOOKUP(GUAYAQUIL[[#This Row],[CODIGO]],MAESTRO!A:N,14,FALSE)),"")</f>
        <v>0.3</v>
      </c>
      <c r="N197" s="28">
        <f>+IFERROR(IF(GUAYAQUIL[[#This Row],[CODIGO]]="","",VLOOKUP(GUAYAQUIL[[#This Row],[CODIGO]],MAESTRO!A:P,16,FALSE)),"")</f>
        <v>90</v>
      </c>
      <c r="O197" s="45">
        <v>45615</v>
      </c>
      <c r="P197" s="72" t="str">
        <f t="shared" si="10"/>
        <v>martes</v>
      </c>
      <c r="Q197" s="29">
        <f>IFERROR(IF(GUAYAQUIL[[#This Row],[CODIGO]]="","",IF(GUAYAQUIL[[#This Row],[Fecha Cad]]="","",(GUAYAQUIL[[#This Row],[Fecha Cad]]-GUAYAQUIL[[#This Row],[VIDA UTIL (Días)]]))+1),"")</f>
        <v>45602</v>
      </c>
      <c r="R197" s="45">
        <v>45691</v>
      </c>
      <c r="S197" s="30">
        <f t="shared" ca="1" si="11"/>
        <v>67</v>
      </c>
      <c r="T197" s="31">
        <f t="shared" ca="1" si="12"/>
        <v>0.74444444444444446</v>
      </c>
      <c r="U197" s="286">
        <v>75</v>
      </c>
      <c r="V197" s="262">
        <f>+IFERROR(IF(GUAYAQUIL[[#This Row],[CODIGO]]="","",GUAYAQUIL[[#This Row],[Stock Actual Unds]]*GUAYAQUIL[[#This Row],[Gramaje]]*GUAYAQUIL[[#This Row],[Conversión]]),"")</f>
        <v>22.5</v>
      </c>
      <c r="W197" s="270">
        <f t="shared" si="13"/>
        <v>13</v>
      </c>
      <c r="X197" s="32">
        <f t="shared" si="14"/>
        <v>0.85555555555555562</v>
      </c>
      <c r="Y197" s="236">
        <f>IFERROR(VLOOKUP(GUAYAQUIL[[#This Row],[CODIGO]],MAESTRO!A:BI,21,FALSE),0)</f>
        <v>2.3314949999999999</v>
      </c>
      <c r="Z197" s="237">
        <f>+IFERROR(IF(GUAYAQUIL[[#This Row],[CODIGO]]="","",GUAYAQUIL[[#This Row],[COSTO UNIT base]]*GUAYAQUIL[[#This Row],[Conversión]]),"")</f>
        <v>2.3314949999999999</v>
      </c>
      <c r="AA197" s="236">
        <f>+IFERROR(IF(GUAYAQUIL[[#This Row],[CODIGO]]="","",GUAYAQUIL[[#This Row],[COSTO UNIT Conv]]*GUAYAQUIL[[#This Row],[Stock Actual Kgs]]),"")</f>
        <v>52.458637499999995</v>
      </c>
      <c r="AB197" s="33">
        <f ca="1">+IFERROR(IF(GUAYAQUIL[[#This Row],[CODIGO]]="","",$J$3-O197),"")</f>
        <v>9</v>
      </c>
      <c r="AC197" s="34" t="str">
        <f ca="1">IF(GUAYAQUIL[[#This Row],[CODIGO]]="","",IF(S197&lt;=0,"CADUCADO",IF(AND(S197&gt;0,S197&lt;=21),"FECHA CORTA",IF(AND(S197&gt;=22,S197&lt;=26),"PROXIMOS FECHA CORTA", "VIGENTE"))))</f>
        <v>VIGENTE</v>
      </c>
      <c r="AD197" s="37">
        <f>+IF(GUAYAQUIL[[#This Row],[CODIGO]]="","",GUAYAQUIL[[#This Row],[Stock Actual Unds]]*GUAYAQUIL[[#This Row],[Gramaje]]*GUAYAQUIL[[#This Row],[Conversión]])/1000</f>
        <v>2.2499999999999999E-2</v>
      </c>
    </row>
    <row r="198" spans="1:30">
      <c r="A198" s="24" t="str">
        <f>+IFERROR(IF(GUAYAQUIL[[#This Row],[CODIGO]]="","",VLOOKUP(GUAYAQUIL[[#This Row],[CODIGO]],MAESTRO!$A:$J,10,FALSE)),"")</f>
        <v>MULTIEMPAQUE_SG</v>
      </c>
      <c r="B198" s="24" t="str">
        <f>+IFERROR(IF(GUAYAQUIL[[#This Row],[CODIGO]]="","",VLOOKUP(GUAYAQUIL[[#This Row],[CODIGO]],MAESTRO!$A:$Q,17,FALSE)),"")</f>
        <v>POSTRES</v>
      </c>
      <c r="C198" s="24" t="str">
        <f>+IFERROR(IF(GUAYAQUIL[[#This Row],[CODIGO]]="","",VLOOKUP(GUAYAQUIL[[#This Row],[CODIGO]],MAESTRO!$A:$BA,53,FALSE)),"")</f>
        <v xml:space="preserve">Luis Armendariz                         </v>
      </c>
      <c r="D198" s="24" t="str">
        <f>+IFERROR(IF(GUAYAQUIL[[#This Row],[CODIGO]]="","",VLOOKUP(GUAYAQUIL[[#This Row],[CODIGO]],MAESTRO!$A:$D,4,FALSE)),"")</f>
        <v>AREQUIPE ALPINA</v>
      </c>
      <c r="E198" s="24" t="str">
        <f>+IFERROR(IF(GUAYAQUIL[[#This Row],[CODIGO]]="","",VLOOKUP(GUAYAQUIL[[#This Row],[CODIGO]],MAESTRO!$A:$F,6,FALSE)),"")</f>
        <v>AREQUIPE ALPINA</v>
      </c>
      <c r="F198" s="42" t="str">
        <f>IF(GUAYAQUIL[[#This Row],[CODIGO]]="","",$K$6)</f>
        <v>GUAYAQUIL</v>
      </c>
      <c r="G198" s="42">
        <f>IF(GUAYAQUIL[[#This Row],[CODIGO]]="","",7711)</f>
        <v>7711</v>
      </c>
      <c r="H198" s="42">
        <f>IF(GUAYAQUIL[[#This Row],[CODIGO]]="","",1001)</f>
        <v>1001</v>
      </c>
      <c r="I198" s="258" t="s">
        <v>562</v>
      </c>
      <c r="J198" s="25" t="str">
        <f>IFERROR((VLOOKUP(GUAYAQUIL[[#This Row],[CODIGO]],MAESTRO!A:B,2,FALSE)),"")</f>
        <v>MPLX6 AREQUIPE VASO 50G</v>
      </c>
      <c r="K198" s="35">
        <v>360</v>
      </c>
      <c r="L198" s="38">
        <f>+IFERROR(IF(GUAYAQUIL[[#This Row],[CODIGO]]="","",VLOOKUP(GUAYAQUIL[[#This Row],[CODIGO]],MAESTRO!$A:$BF,58,FALSE)),"")</f>
        <v>1</v>
      </c>
      <c r="M198" s="27">
        <f>+IFERROR(IF(GUAYAQUIL[[#This Row],[CODIGO]]="","",VLOOKUP(GUAYAQUIL[[#This Row],[CODIGO]],MAESTRO!A:N,14,FALSE)),"")</f>
        <v>0.3</v>
      </c>
      <c r="N198" s="28">
        <f>+IFERROR(IF(GUAYAQUIL[[#This Row],[CODIGO]]="","",VLOOKUP(GUAYAQUIL[[#This Row],[CODIGO]],MAESTRO!A:P,16,FALSE)),"")</f>
        <v>180</v>
      </c>
      <c r="O198" s="45">
        <v>45608</v>
      </c>
      <c r="P198" s="72" t="str">
        <f t="shared" si="10"/>
        <v>martes</v>
      </c>
      <c r="Q198" s="29">
        <f>IFERROR(IF(GUAYAQUIL[[#This Row],[CODIGO]]="","",IF(GUAYAQUIL[[#This Row],[Fecha Cad]]="","",(GUAYAQUIL[[#This Row],[Fecha Cad]]-GUAYAQUIL[[#This Row],[VIDA UTIL (Días)]]))+1),"")</f>
        <v>45602</v>
      </c>
      <c r="R198" s="45">
        <v>45781</v>
      </c>
      <c r="S198" s="30">
        <f t="shared" ca="1" si="11"/>
        <v>157</v>
      </c>
      <c r="T198" s="31">
        <f t="shared" ca="1" si="12"/>
        <v>0.87222222222222223</v>
      </c>
      <c r="U198" s="286">
        <v>267</v>
      </c>
      <c r="V198" s="262">
        <f>+IFERROR(IF(GUAYAQUIL[[#This Row],[CODIGO]]="","",GUAYAQUIL[[#This Row],[Stock Actual Unds]]*GUAYAQUIL[[#This Row],[Gramaje]]*GUAYAQUIL[[#This Row],[Conversión]]),"")</f>
        <v>80.099999999999994</v>
      </c>
      <c r="W198" s="270">
        <f t="shared" si="13"/>
        <v>6</v>
      </c>
      <c r="X198" s="32">
        <f t="shared" si="14"/>
        <v>0.96666666666666667</v>
      </c>
      <c r="Y198" s="236">
        <f>IFERROR(VLOOKUP(GUAYAQUIL[[#This Row],[CODIGO]],MAESTRO!A:BI,21,FALSE),0)</f>
        <v>1.2875100000000002</v>
      </c>
      <c r="Z198" s="237">
        <f>+IFERROR(IF(GUAYAQUIL[[#This Row],[CODIGO]]="","",GUAYAQUIL[[#This Row],[COSTO UNIT base]]*GUAYAQUIL[[#This Row],[Conversión]]),"")</f>
        <v>1.2875100000000002</v>
      </c>
      <c r="AA198" s="236">
        <f>+IFERROR(IF(GUAYAQUIL[[#This Row],[CODIGO]]="","",GUAYAQUIL[[#This Row],[COSTO UNIT Conv]]*GUAYAQUIL[[#This Row],[Stock Actual Kgs]]),"")</f>
        <v>103.12955100000001</v>
      </c>
      <c r="AB198" s="33">
        <f ca="1">+IFERROR(IF(GUAYAQUIL[[#This Row],[CODIGO]]="","",$J$3-O198),"")</f>
        <v>16</v>
      </c>
      <c r="AC198" s="34" t="str">
        <f ca="1">IF(GUAYAQUIL[[#This Row],[CODIGO]]="","",IF(S198&lt;=0,"CADUCADO",IF(AND(S198&gt;0,S198&lt;=21),"FECHA CORTA",IF(AND(S198&gt;=22,S198&lt;=26),"PROXIMOS FECHA CORTA", "VIGENTE"))))</f>
        <v>VIGENTE</v>
      </c>
      <c r="AD198" s="37">
        <f>+IF(GUAYAQUIL[[#This Row],[CODIGO]]="","",GUAYAQUIL[[#This Row],[Stock Actual Unds]]*GUAYAQUIL[[#This Row],[Gramaje]]*GUAYAQUIL[[#This Row],[Conversión]])/1000</f>
        <v>8.0099999999999991E-2</v>
      </c>
    </row>
    <row r="199" spans="1:30">
      <c r="A199" s="24" t="str">
        <f>+IFERROR(IF(GUAYAQUIL[[#This Row],[CODIGO]]="","",VLOOKUP(GUAYAQUIL[[#This Row],[CODIGO]],MAESTRO!$A:$J,10,FALSE)),"")</f>
        <v>MULTIEMPAQUE_SG</v>
      </c>
      <c r="B199" s="24" t="str">
        <f>+IFERROR(IF(GUAYAQUIL[[#This Row],[CODIGO]]="","",VLOOKUP(GUAYAQUIL[[#This Row],[CODIGO]],MAESTRO!$A:$Q,17,FALSE)),"")</f>
        <v>POSTRES</v>
      </c>
      <c r="C199" s="24" t="str">
        <f>+IFERROR(IF(GUAYAQUIL[[#This Row],[CODIGO]]="","",VLOOKUP(GUAYAQUIL[[#This Row],[CODIGO]],MAESTRO!$A:$BA,53,FALSE)),"")</f>
        <v xml:space="preserve">Luis Armendariz                         </v>
      </c>
      <c r="D199" s="24" t="str">
        <f>+IFERROR(IF(GUAYAQUIL[[#This Row],[CODIGO]]="","",VLOOKUP(GUAYAQUIL[[#This Row],[CODIGO]],MAESTRO!$A:$D,4,FALSE)),"")</f>
        <v>AREQUIPE ALPINA</v>
      </c>
      <c r="E199" s="24" t="str">
        <f>+IFERROR(IF(GUAYAQUIL[[#This Row],[CODIGO]]="","",VLOOKUP(GUAYAQUIL[[#This Row],[CODIGO]],MAESTRO!$A:$F,6,FALSE)),"")</f>
        <v>AREQUIPE ALPINA</v>
      </c>
      <c r="F199" s="42" t="str">
        <f>IF(GUAYAQUIL[[#This Row],[CODIGO]]="","",$K$6)</f>
        <v>GUAYAQUIL</v>
      </c>
      <c r="G199" s="42">
        <f>IF(GUAYAQUIL[[#This Row],[CODIGO]]="","",7711)</f>
        <v>7711</v>
      </c>
      <c r="H199" s="42">
        <f>IF(GUAYAQUIL[[#This Row],[CODIGO]]="","",1001)</f>
        <v>1001</v>
      </c>
      <c r="I199" s="258" t="s">
        <v>562</v>
      </c>
      <c r="J199" s="25" t="str">
        <f>IFERROR((VLOOKUP(GUAYAQUIL[[#This Row],[CODIGO]],MAESTRO!A:B,2,FALSE)),"")</f>
        <v>MPLX6 AREQUIPE VASO 50G</v>
      </c>
      <c r="K199" s="35">
        <v>90</v>
      </c>
      <c r="L199" s="38">
        <f>+IFERROR(IF(GUAYAQUIL[[#This Row],[CODIGO]]="","",VLOOKUP(GUAYAQUIL[[#This Row],[CODIGO]],MAESTRO!$A:$BF,58,FALSE)),"")</f>
        <v>1</v>
      </c>
      <c r="M199" s="27">
        <f>+IFERROR(IF(GUAYAQUIL[[#This Row],[CODIGO]]="","",VLOOKUP(GUAYAQUIL[[#This Row],[CODIGO]],MAESTRO!A:N,14,FALSE)),"")</f>
        <v>0.3</v>
      </c>
      <c r="N199" s="28">
        <f>+IFERROR(IF(GUAYAQUIL[[#This Row],[CODIGO]]="","",VLOOKUP(GUAYAQUIL[[#This Row],[CODIGO]],MAESTRO!A:P,16,FALSE)),"")</f>
        <v>180</v>
      </c>
      <c r="O199" s="45">
        <v>45611</v>
      </c>
      <c r="P199" s="72" t="str">
        <f t="shared" si="10"/>
        <v>viernes</v>
      </c>
      <c r="Q199" s="29">
        <f>IFERROR(IF(GUAYAQUIL[[#This Row],[CODIGO]]="","",IF(GUAYAQUIL[[#This Row],[Fecha Cad]]="","",(GUAYAQUIL[[#This Row],[Fecha Cad]]-GUAYAQUIL[[#This Row],[VIDA UTIL (Días)]]))+1),"")</f>
        <v>45603</v>
      </c>
      <c r="R199" s="45">
        <v>45782</v>
      </c>
      <c r="S199" s="30">
        <f t="shared" ca="1" si="11"/>
        <v>158</v>
      </c>
      <c r="T199" s="31">
        <f t="shared" ca="1" si="12"/>
        <v>0.87777777777777777</v>
      </c>
      <c r="U199" s="286">
        <v>90</v>
      </c>
      <c r="V199" s="262">
        <f>+IFERROR(IF(GUAYAQUIL[[#This Row],[CODIGO]]="","",GUAYAQUIL[[#This Row],[Stock Actual Unds]]*GUAYAQUIL[[#This Row],[Gramaje]]*GUAYAQUIL[[#This Row],[Conversión]]),"")</f>
        <v>27</v>
      </c>
      <c r="W199" s="270">
        <f t="shared" si="13"/>
        <v>8</v>
      </c>
      <c r="X199" s="32">
        <f t="shared" si="14"/>
        <v>0.9555555555555556</v>
      </c>
      <c r="Y199" s="236">
        <f>IFERROR(VLOOKUP(GUAYAQUIL[[#This Row],[CODIGO]],MAESTRO!A:BI,21,FALSE),0)</f>
        <v>1.2875100000000002</v>
      </c>
      <c r="Z199" s="237">
        <f>+IFERROR(IF(GUAYAQUIL[[#This Row],[CODIGO]]="","",GUAYAQUIL[[#This Row],[COSTO UNIT base]]*GUAYAQUIL[[#This Row],[Conversión]]),"")</f>
        <v>1.2875100000000002</v>
      </c>
      <c r="AA199" s="236">
        <f>+IFERROR(IF(GUAYAQUIL[[#This Row],[CODIGO]]="","",GUAYAQUIL[[#This Row],[COSTO UNIT Conv]]*GUAYAQUIL[[#This Row],[Stock Actual Kgs]]),"")</f>
        <v>34.762770000000003</v>
      </c>
      <c r="AB199" s="33">
        <f ca="1">+IFERROR(IF(GUAYAQUIL[[#This Row],[CODIGO]]="","",$J$3-O199),"")</f>
        <v>13</v>
      </c>
      <c r="AC199" s="34" t="str">
        <f ca="1">IF(GUAYAQUIL[[#This Row],[CODIGO]]="","",IF(S199&lt;=0,"CADUCADO",IF(AND(S199&gt;0,S199&lt;=21),"FECHA CORTA",IF(AND(S199&gt;=22,S199&lt;=26),"PROXIMOS FECHA CORTA", "VIGENTE"))))</f>
        <v>VIGENTE</v>
      </c>
      <c r="AD199" s="37">
        <f>+IF(GUAYAQUIL[[#This Row],[CODIGO]]="","",GUAYAQUIL[[#This Row],[Stock Actual Unds]]*GUAYAQUIL[[#This Row],[Gramaje]]*GUAYAQUIL[[#This Row],[Conversión]])/1000</f>
        <v>2.7E-2</v>
      </c>
    </row>
    <row r="200" spans="1:30">
      <c r="A200" s="24" t="str">
        <f>+IFERROR(IF(GUAYAQUIL[[#This Row],[CODIGO]]="","",VLOOKUP(GUAYAQUIL[[#This Row],[CODIGO]],MAESTRO!$A:$J,10,FALSE)),"")</f>
        <v>MULTIEMPAQUE_SG</v>
      </c>
      <c r="B200" s="24" t="str">
        <f>+IFERROR(IF(GUAYAQUIL[[#This Row],[CODIGO]]="","",VLOOKUP(GUAYAQUIL[[#This Row],[CODIGO]],MAESTRO!$A:$Q,17,FALSE)),"")</f>
        <v>POSTRES</v>
      </c>
      <c r="C200" s="24" t="str">
        <f>+IFERROR(IF(GUAYAQUIL[[#This Row],[CODIGO]]="","",VLOOKUP(GUAYAQUIL[[#This Row],[CODIGO]],MAESTRO!$A:$BA,53,FALSE)),"")</f>
        <v xml:space="preserve">Luis Armendariz                         </v>
      </c>
      <c r="D200" s="24" t="str">
        <f>+IFERROR(IF(GUAYAQUIL[[#This Row],[CODIGO]]="","",VLOOKUP(GUAYAQUIL[[#This Row],[CODIGO]],MAESTRO!$A:$D,4,FALSE)),"")</f>
        <v>AREQUIPE ALPINA</v>
      </c>
      <c r="E200" s="24" t="str">
        <f>+IFERROR(IF(GUAYAQUIL[[#This Row],[CODIGO]]="","",VLOOKUP(GUAYAQUIL[[#This Row],[CODIGO]],MAESTRO!$A:$F,6,FALSE)),"")</f>
        <v>AREQUIPE ALPINA</v>
      </c>
      <c r="F200" s="42" t="str">
        <f>IF(GUAYAQUIL[[#This Row],[CODIGO]]="","",$K$6)</f>
        <v>GUAYAQUIL</v>
      </c>
      <c r="G200" s="42">
        <f>IF(GUAYAQUIL[[#This Row],[CODIGO]]="","",7711)</f>
        <v>7711</v>
      </c>
      <c r="H200" s="42">
        <f>IF(GUAYAQUIL[[#This Row],[CODIGO]]="","",1001)</f>
        <v>1001</v>
      </c>
      <c r="I200" s="258" t="s">
        <v>562</v>
      </c>
      <c r="J200" s="25" t="str">
        <f>IFERROR((VLOOKUP(GUAYAQUIL[[#This Row],[CODIGO]],MAESTRO!A:B,2,FALSE)),"")</f>
        <v>MPLX6 AREQUIPE VASO 50G</v>
      </c>
      <c r="K200" s="35">
        <v>180</v>
      </c>
      <c r="L200" s="38">
        <f>+IFERROR(IF(GUAYAQUIL[[#This Row],[CODIGO]]="","",VLOOKUP(GUAYAQUIL[[#This Row],[CODIGO]],MAESTRO!$A:$BF,58,FALSE)),"")</f>
        <v>1</v>
      </c>
      <c r="M200" s="27">
        <f>+IFERROR(IF(GUAYAQUIL[[#This Row],[CODIGO]]="","",VLOOKUP(GUAYAQUIL[[#This Row],[CODIGO]],MAESTRO!A:N,14,FALSE)),"")</f>
        <v>0.3</v>
      </c>
      <c r="N200" s="28">
        <f>+IFERROR(IF(GUAYAQUIL[[#This Row],[CODIGO]]="","",VLOOKUP(GUAYAQUIL[[#This Row],[CODIGO]],MAESTRO!A:P,16,FALSE)),"")</f>
        <v>180</v>
      </c>
      <c r="O200" s="45">
        <v>45610</v>
      </c>
      <c r="P200" s="72" t="str">
        <f t="shared" ref="P200:P263" si="15">+IF(R200="","",TEXT(O200,"dddd"))</f>
        <v>jueves</v>
      </c>
      <c r="Q200" s="29">
        <f>IFERROR(IF(GUAYAQUIL[[#This Row],[CODIGO]]="","",IF(GUAYAQUIL[[#This Row],[Fecha Cad]]="","",(GUAYAQUIL[[#This Row],[Fecha Cad]]-GUAYAQUIL[[#This Row],[VIDA UTIL (Días)]]))+1),"")</f>
        <v>45603</v>
      </c>
      <c r="R200" s="45">
        <v>45782</v>
      </c>
      <c r="S200" s="30">
        <f t="shared" ref="S200:S263" ca="1" si="16">+IFERROR(IF(R200="","",R200-$J$3),0)</f>
        <v>158</v>
      </c>
      <c r="T200" s="31">
        <f t="shared" ref="T200:T263" ca="1" si="17">IFERROR(IF(8="","",S200/N200),0)</f>
        <v>0.87777777777777777</v>
      </c>
      <c r="U200" s="286">
        <v>184</v>
      </c>
      <c r="V200" s="262">
        <f>+IFERROR(IF(GUAYAQUIL[[#This Row],[CODIGO]]="","",GUAYAQUIL[[#This Row],[Stock Actual Unds]]*GUAYAQUIL[[#This Row],[Gramaje]]*GUAYAQUIL[[#This Row],[Conversión]]),"")</f>
        <v>55.199999999999996</v>
      </c>
      <c r="W200" s="270">
        <f t="shared" ref="W200:W263" si="18">IFERROR(O200-Q200,0)</f>
        <v>7</v>
      </c>
      <c r="X200" s="32">
        <f t="shared" ref="X200:X263" si="19">IF(I200="","",1-(W200/N200))</f>
        <v>0.96111111111111114</v>
      </c>
      <c r="Y200" s="236">
        <f>IFERROR(VLOOKUP(GUAYAQUIL[[#This Row],[CODIGO]],MAESTRO!A:BI,21,FALSE),0)</f>
        <v>1.2875100000000002</v>
      </c>
      <c r="Z200" s="237">
        <f>+IFERROR(IF(GUAYAQUIL[[#This Row],[CODIGO]]="","",GUAYAQUIL[[#This Row],[COSTO UNIT base]]*GUAYAQUIL[[#This Row],[Conversión]]),"")</f>
        <v>1.2875100000000002</v>
      </c>
      <c r="AA200" s="236">
        <f>+IFERROR(IF(GUAYAQUIL[[#This Row],[CODIGO]]="","",GUAYAQUIL[[#This Row],[COSTO UNIT Conv]]*GUAYAQUIL[[#This Row],[Stock Actual Kgs]]),"")</f>
        <v>71.070552000000006</v>
      </c>
      <c r="AB200" s="33">
        <f ca="1">+IFERROR(IF(GUAYAQUIL[[#This Row],[CODIGO]]="","",$J$3-O200),"")</f>
        <v>14</v>
      </c>
      <c r="AC200" s="34" t="str">
        <f ca="1">IF(GUAYAQUIL[[#This Row],[CODIGO]]="","",IF(S200&lt;=0,"CADUCADO",IF(AND(S200&gt;0,S200&lt;=21),"FECHA CORTA",IF(AND(S200&gt;=22,S200&lt;=26),"PROXIMOS FECHA CORTA", "VIGENTE"))))</f>
        <v>VIGENTE</v>
      </c>
      <c r="AD200" s="37">
        <f>+IF(GUAYAQUIL[[#This Row],[CODIGO]]="","",GUAYAQUIL[[#This Row],[Stock Actual Unds]]*GUAYAQUIL[[#This Row],[Gramaje]]*GUAYAQUIL[[#This Row],[Conversión]])/1000</f>
        <v>5.5199999999999999E-2</v>
      </c>
    </row>
    <row r="201" spans="1:30">
      <c r="A201" s="24" t="str">
        <f>+IFERROR(IF(GUAYAQUIL[[#This Row],[CODIGO]]="","",VLOOKUP(GUAYAQUIL[[#This Row],[CODIGO]],MAESTRO!$A:$J,10,FALSE)),"")</f>
        <v>MULTIEMPAQUE_SG</v>
      </c>
      <c r="B201" s="24" t="str">
        <f>+IFERROR(IF(GUAYAQUIL[[#This Row],[CODIGO]]="","",VLOOKUP(GUAYAQUIL[[#This Row],[CODIGO]],MAESTRO!$A:$Q,17,FALSE)),"")</f>
        <v>POSTRES</v>
      </c>
      <c r="C201" s="24" t="str">
        <f>+IFERROR(IF(GUAYAQUIL[[#This Row],[CODIGO]]="","",VLOOKUP(GUAYAQUIL[[#This Row],[CODIGO]],MAESTRO!$A:$BA,53,FALSE)),"")</f>
        <v xml:space="preserve">Luis Armendariz                         </v>
      </c>
      <c r="D201" s="24" t="str">
        <f>+IFERROR(IF(GUAYAQUIL[[#This Row],[CODIGO]]="","",VLOOKUP(GUAYAQUIL[[#This Row],[CODIGO]],MAESTRO!$A:$D,4,FALSE)),"")</f>
        <v>AREQUIPE ALPINA</v>
      </c>
      <c r="E201" s="24" t="str">
        <f>+IFERROR(IF(GUAYAQUIL[[#This Row],[CODIGO]]="","",VLOOKUP(GUAYAQUIL[[#This Row],[CODIGO]],MAESTRO!$A:$F,6,FALSE)),"")</f>
        <v>AREQUIPE ALPINA</v>
      </c>
      <c r="F201" s="42" t="str">
        <f>IF(GUAYAQUIL[[#This Row],[CODIGO]]="","",$K$6)</f>
        <v>GUAYAQUIL</v>
      </c>
      <c r="G201" s="209">
        <f>IF(GUAYAQUIL[[#This Row],[CODIGO]]="","",7711)</f>
        <v>7711</v>
      </c>
      <c r="H201" s="209">
        <f>IF(GUAYAQUIL[[#This Row],[CODIGO]]="","",1001)</f>
        <v>1001</v>
      </c>
      <c r="I201" s="258" t="s">
        <v>562</v>
      </c>
      <c r="J201" s="25" t="str">
        <f>IFERROR((VLOOKUP(GUAYAQUIL[[#This Row],[CODIGO]],MAESTRO!A:B,2,FALSE)),"")</f>
        <v>MPLX6 AREQUIPE VASO 50G</v>
      </c>
      <c r="K201" s="35">
        <v>225</v>
      </c>
      <c r="L201" s="38">
        <f>+IFERROR(IF(GUAYAQUIL[[#This Row],[CODIGO]]="","",VLOOKUP(GUAYAQUIL[[#This Row],[CODIGO]],MAESTRO!$A:$BF,58,FALSE)),"")</f>
        <v>1</v>
      </c>
      <c r="M201" s="27">
        <f>+IFERROR(IF(GUAYAQUIL[[#This Row],[CODIGO]]="","",VLOOKUP(GUAYAQUIL[[#This Row],[CODIGO]],MAESTRO!A:N,14,FALSE)),"")</f>
        <v>0.3</v>
      </c>
      <c r="N201" s="28">
        <f>+IFERROR(IF(GUAYAQUIL[[#This Row],[CODIGO]]="","",VLOOKUP(GUAYAQUIL[[#This Row],[CODIGO]],MAESTRO!A:P,16,FALSE)),"")</f>
        <v>180</v>
      </c>
      <c r="O201" s="45">
        <v>45615</v>
      </c>
      <c r="P201" s="72" t="str">
        <f t="shared" si="15"/>
        <v>martes</v>
      </c>
      <c r="Q201" s="29">
        <f>IFERROR(IF(GUAYAQUIL[[#This Row],[CODIGO]]="","",IF(GUAYAQUIL[[#This Row],[Fecha Cad]]="","",(GUAYAQUIL[[#This Row],[Fecha Cad]]-GUAYAQUIL[[#This Row],[VIDA UTIL (Días)]]))+1),"")</f>
        <v>45603</v>
      </c>
      <c r="R201" s="45">
        <v>45782</v>
      </c>
      <c r="S201" s="30">
        <f t="shared" ca="1" si="16"/>
        <v>158</v>
      </c>
      <c r="T201" s="31">
        <f t="shared" ca="1" si="17"/>
        <v>0.87777777777777777</v>
      </c>
      <c r="U201" s="286">
        <v>225</v>
      </c>
      <c r="V201" s="262">
        <f>+IFERROR(IF(GUAYAQUIL[[#This Row],[CODIGO]]="","",GUAYAQUIL[[#This Row],[Stock Actual Unds]]*GUAYAQUIL[[#This Row],[Gramaje]]*GUAYAQUIL[[#This Row],[Conversión]]),"")</f>
        <v>67.5</v>
      </c>
      <c r="W201" s="270">
        <f t="shared" si="18"/>
        <v>12</v>
      </c>
      <c r="X201" s="32">
        <f t="shared" si="19"/>
        <v>0.93333333333333335</v>
      </c>
      <c r="Y201" s="236">
        <f>IFERROR(VLOOKUP(GUAYAQUIL[[#This Row],[CODIGO]],MAESTRO!A:BI,21,FALSE),0)</f>
        <v>1.2875100000000002</v>
      </c>
      <c r="Z201" s="237">
        <f>+IFERROR(IF(GUAYAQUIL[[#This Row],[CODIGO]]="","",GUAYAQUIL[[#This Row],[COSTO UNIT base]]*GUAYAQUIL[[#This Row],[Conversión]]),"")</f>
        <v>1.2875100000000002</v>
      </c>
      <c r="AA201" s="236">
        <f>+IFERROR(IF(GUAYAQUIL[[#This Row],[CODIGO]]="","",GUAYAQUIL[[#This Row],[COSTO UNIT Conv]]*GUAYAQUIL[[#This Row],[Stock Actual Kgs]]),"")</f>
        <v>86.906925000000015</v>
      </c>
      <c r="AB201" s="33">
        <f ca="1">+IFERROR(IF(GUAYAQUIL[[#This Row],[CODIGO]]="","",$J$3-O201),"")</f>
        <v>9</v>
      </c>
      <c r="AC201" s="34" t="str">
        <f ca="1">IF(GUAYAQUIL[[#This Row],[CODIGO]]="","",IF(S201&lt;=0,"CADUCADO",IF(AND(S201&gt;0,S201&lt;=21),"FECHA CORTA",IF(AND(S201&gt;=22,S201&lt;=26),"PROXIMOS FECHA CORTA", "VIGENTE"))))</f>
        <v>VIGENTE</v>
      </c>
      <c r="AD201" s="37">
        <f>+IF(GUAYAQUIL[[#This Row],[CODIGO]]="","",GUAYAQUIL[[#This Row],[Stock Actual Unds]]*GUAYAQUIL[[#This Row],[Gramaje]]*GUAYAQUIL[[#This Row],[Conversión]])/1000</f>
        <v>6.7500000000000004E-2</v>
      </c>
    </row>
    <row r="202" spans="1:30">
      <c r="A202" s="24" t="str">
        <f>+IFERROR(IF(GUAYAQUIL[[#This Row],[CODIGO]]="","",VLOOKUP(GUAYAQUIL[[#This Row],[CODIGO]],MAESTRO!$A:$J,10,FALSE)),"")</f>
        <v>MULTIEMPAQUE_SG</v>
      </c>
      <c r="B202" s="24" t="str">
        <f>+IFERROR(IF(GUAYAQUIL[[#This Row],[CODIGO]]="","",VLOOKUP(GUAYAQUIL[[#This Row],[CODIGO]],MAESTRO!$A:$Q,17,FALSE)),"")</f>
        <v>POSTRES</v>
      </c>
      <c r="C202" s="24" t="str">
        <f>+IFERROR(IF(GUAYAQUIL[[#This Row],[CODIGO]]="","",VLOOKUP(GUAYAQUIL[[#This Row],[CODIGO]],MAESTRO!$A:$BA,53,FALSE)),"")</f>
        <v xml:space="preserve">Luis Armendariz                         </v>
      </c>
      <c r="D202" s="24" t="str">
        <f>+IFERROR(IF(GUAYAQUIL[[#This Row],[CODIGO]]="","",VLOOKUP(GUAYAQUIL[[#This Row],[CODIGO]],MAESTRO!$A:$D,4,FALSE)),"")</f>
        <v>AREQUIPE ALPINA</v>
      </c>
      <c r="E202" s="24" t="str">
        <f>+IFERROR(IF(GUAYAQUIL[[#This Row],[CODIGO]]="","",VLOOKUP(GUAYAQUIL[[#This Row],[CODIGO]],MAESTRO!$A:$F,6,FALSE)),"")</f>
        <v>AREQUIPE ALPINA</v>
      </c>
      <c r="F202" s="42" t="str">
        <f>IF(GUAYAQUIL[[#This Row],[CODIGO]]="","",$K$6)</f>
        <v>GUAYAQUIL</v>
      </c>
      <c r="G202" s="42">
        <f>IF(GUAYAQUIL[[#This Row],[CODIGO]]="","",7711)</f>
        <v>7711</v>
      </c>
      <c r="H202" s="42">
        <f>IF(GUAYAQUIL[[#This Row],[CODIGO]]="","",1001)</f>
        <v>1001</v>
      </c>
      <c r="I202" s="258" t="s">
        <v>562</v>
      </c>
      <c r="J202" s="25" t="str">
        <f>IFERROR((VLOOKUP(GUAYAQUIL[[#This Row],[CODIGO]],MAESTRO!A:B,2,FALSE)),"")</f>
        <v>MPLX6 AREQUIPE VASO 50G</v>
      </c>
      <c r="K202" s="35">
        <v>90</v>
      </c>
      <c r="L202" s="38">
        <f>+IFERROR(IF(GUAYAQUIL[[#This Row],[CODIGO]]="","",VLOOKUP(GUAYAQUIL[[#This Row],[CODIGO]],MAESTRO!$A:$BF,58,FALSE)),"")</f>
        <v>1</v>
      </c>
      <c r="M202" s="27">
        <f>+IFERROR(IF(GUAYAQUIL[[#This Row],[CODIGO]]="","",VLOOKUP(GUAYAQUIL[[#This Row],[CODIGO]],MAESTRO!A:N,14,FALSE)),"")</f>
        <v>0.3</v>
      </c>
      <c r="N202" s="28">
        <f>+IFERROR(IF(GUAYAQUIL[[#This Row],[CODIGO]]="","",VLOOKUP(GUAYAQUIL[[#This Row],[CODIGO]],MAESTRO!A:P,16,FALSE)),"")</f>
        <v>180</v>
      </c>
      <c r="O202" s="29">
        <v>45616</v>
      </c>
      <c r="P202" s="72" t="str">
        <f t="shared" si="15"/>
        <v>miércoles</v>
      </c>
      <c r="Q202" s="29">
        <f>IFERROR(IF(GUAYAQUIL[[#This Row],[CODIGO]]="","",IF(GUAYAQUIL[[#This Row],[Fecha Cad]]="","",(GUAYAQUIL[[#This Row],[Fecha Cad]]-GUAYAQUIL[[#This Row],[VIDA UTIL (Días)]]))+1),"")</f>
        <v>45608</v>
      </c>
      <c r="R202" s="29">
        <v>45787</v>
      </c>
      <c r="S202" s="30">
        <f t="shared" ca="1" si="16"/>
        <v>163</v>
      </c>
      <c r="T202" s="31">
        <f t="shared" ca="1" si="17"/>
        <v>0.90555555555555556</v>
      </c>
      <c r="U202" s="286">
        <v>91</v>
      </c>
      <c r="V202" s="261">
        <f>+IFERROR(IF(GUAYAQUIL[[#This Row],[CODIGO]]="","",GUAYAQUIL[[#This Row],[Stock Actual Unds]]*GUAYAQUIL[[#This Row],[Gramaje]]*GUAYAQUIL[[#This Row],[Conversión]]),"")</f>
        <v>27.3</v>
      </c>
      <c r="W202" s="270">
        <f t="shared" si="18"/>
        <v>8</v>
      </c>
      <c r="X202" s="32">
        <f t="shared" si="19"/>
        <v>0.9555555555555556</v>
      </c>
      <c r="Y202" s="236">
        <f>IFERROR(VLOOKUP(GUAYAQUIL[[#This Row],[CODIGO]],MAESTRO!A:BI,21,FALSE),0)</f>
        <v>1.2875100000000002</v>
      </c>
      <c r="Z202" s="237">
        <f>+IFERROR(IF(GUAYAQUIL[[#This Row],[CODIGO]]="","",GUAYAQUIL[[#This Row],[COSTO UNIT base]]*GUAYAQUIL[[#This Row],[Conversión]]),"")</f>
        <v>1.2875100000000002</v>
      </c>
      <c r="AA202" s="236">
        <f>+IFERROR(IF(GUAYAQUIL[[#This Row],[CODIGO]]="","",GUAYAQUIL[[#This Row],[COSTO UNIT Conv]]*GUAYAQUIL[[#This Row],[Stock Actual Kgs]]),"")</f>
        <v>35.149023000000007</v>
      </c>
      <c r="AB202" s="33">
        <f ca="1">+IFERROR(IF(GUAYAQUIL[[#This Row],[CODIGO]]="","",$J$3-O202),"")</f>
        <v>8</v>
      </c>
      <c r="AC202" s="34" t="str">
        <f ca="1">IF(GUAYAQUIL[[#This Row],[CODIGO]]="","",IF(S202&lt;=0,"CADUCADO",IF(AND(S202&gt;0,S202&lt;=21),"FECHA CORTA",IF(AND(S202&gt;=22,S202&lt;=26),"PROXIMOS FECHA CORTA", "VIGENTE"))))</f>
        <v>VIGENTE</v>
      </c>
      <c r="AD202" s="37">
        <f>+IF(GUAYAQUIL[[#This Row],[CODIGO]]="","",GUAYAQUIL[[#This Row],[Stock Actual Unds]]*GUAYAQUIL[[#This Row],[Gramaje]]*GUAYAQUIL[[#This Row],[Conversión]])/1000</f>
        <v>2.7300000000000001E-2</v>
      </c>
    </row>
    <row r="203" spans="1:30">
      <c r="A203" s="24" t="str">
        <f>+IFERROR(IF(GUAYAQUIL[[#This Row],[CODIGO]]="","",VLOOKUP(GUAYAQUIL[[#This Row],[CODIGO]],MAESTRO!$A:$J,10,FALSE)),"")</f>
        <v>SAN GABRIEL</v>
      </c>
      <c r="B203" s="24" t="str">
        <f>+IFERROR(IF(GUAYAQUIL[[#This Row],[CODIGO]]="","",VLOOKUP(GUAYAQUIL[[#This Row],[CODIGO]],MAESTRO!$A:$Q,17,FALSE)),"")</f>
        <v>POSTRES</v>
      </c>
      <c r="C203" s="24" t="str">
        <f>+IFERROR(IF(GUAYAQUIL[[#This Row],[CODIGO]]="","",VLOOKUP(GUAYAQUIL[[#This Row],[CODIGO]],MAESTRO!$A:$BA,53,FALSE)),"")</f>
        <v xml:space="preserve">Luis Armendariz                         </v>
      </c>
      <c r="D203" s="24" t="str">
        <f>+IFERROR(IF(GUAYAQUIL[[#This Row],[CODIGO]]="","",VLOOKUP(GUAYAQUIL[[#This Row],[CODIGO]],MAESTRO!$A:$D,4,FALSE)),"")</f>
        <v>AREQUIPE ALPINA</v>
      </c>
      <c r="E203" s="24" t="str">
        <f>+IFERROR(IF(GUAYAQUIL[[#This Row],[CODIGO]]="","",VLOOKUP(GUAYAQUIL[[#This Row],[CODIGO]],MAESTRO!$A:$F,6,FALSE)),"")</f>
        <v>AREQUIPE ALPINA FAMILIAR</v>
      </c>
      <c r="F203" s="42" t="str">
        <f>IF(GUAYAQUIL[[#This Row],[CODIGO]]="","",$K$6)</f>
        <v>GUAYAQUIL</v>
      </c>
      <c r="G203" s="209">
        <f>IF(GUAYAQUIL[[#This Row],[CODIGO]]="","",7711)</f>
        <v>7711</v>
      </c>
      <c r="H203" s="209">
        <f>IF(GUAYAQUIL[[#This Row],[CODIGO]]="","",1001)</f>
        <v>1001</v>
      </c>
      <c r="I203" s="258" t="s">
        <v>184</v>
      </c>
      <c r="J203" s="25" t="str">
        <f>IFERROR((VLOOKUP(GUAYAQUIL[[#This Row],[CODIGO]],MAESTRO!A:B,2,FALSE)),"")</f>
        <v>AREQUIPE GAR 4.6KG</v>
      </c>
      <c r="K203" s="35">
        <v>72</v>
      </c>
      <c r="L203" s="38">
        <f>+IFERROR(IF(GUAYAQUIL[[#This Row],[CODIGO]]="","",VLOOKUP(GUAYAQUIL[[#This Row],[CODIGO]],MAESTRO!$A:$BF,58,FALSE)),"")</f>
        <v>1</v>
      </c>
      <c r="M203" s="27">
        <f>+IFERROR(IF(GUAYAQUIL[[#This Row],[CODIGO]]="","",VLOOKUP(GUAYAQUIL[[#This Row],[CODIGO]],MAESTRO!A:N,14,FALSE)),"")</f>
        <v>4.5999999999999996</v>
      </c>
      <c r="N203" s="28">
        <f>+IFERROR(IF(GUAYAQUIL[[#This Row],[CODIGO]]="","",VLOOKUP(GUAYAQUIL[[#This Row],[CODIGO]],MAESTRO!A:P,16,FALSE)),"")</f>
        <v>90</v>
      </c>
      <c r="O203" s="29">
        <v>45611</v>
      </c>
      <c r="P203" s="72" t="str">
        <f t="shared" si="15"/>
        <v>viernes</v>
      </c>
      <c r="Q203" s="29">
        <f>IFERROR(IF(GUAYAQUIL[[#This Row],[CODIGO]]="","",IF(GUAYAQUIL[[#This Row],[Fecha Cad]]="","",(GUAYAQUIL[[#This Row],[Fecha Cad]]-GUAYAQUIL[[#This Row],[VIDA UTIL (Días)]]))+1),"")</f>
        <v>45609</v>
      </c>
      <c r="R203" s="29">
        <v>45698</v>
      </c>
      <c r="S203" s="30">
        <f t="shared" ca="1" si="16"/>
        <v>74</v>
      </c>
      <c r="T203" s="31">
        <f t="shared" ca="1" si="17"/>
        <v>0.82222222222222219</v>
      </c>
      <c r="U203" s="286">
        <v>72</v>
      </c>
      <c r="V203" s="262">
        <f>+IFERROR(IF(GUAYAQUIL[[#This Row],[CODIGO]]="","",GUAYAQUIL[[#This Row],[Stock Actual Unds]]*GUAYAQUIL[[#This Row],[Gramaje]]*GUAYAQUIL[[#This Row],[Conversión]]),"")</f>
        <v>331.2</v>
      </c>
      <c r="W203" s="270">
        <f t="shared" si="18"/>
        <v>2</v>
      </c>
      <c r="X203" s="32">
        <f t="shared" si="19"/>
        <v>0.97777777777777775</v>
      </c>
      <c r="Y203" s="236">
        <f>IFERROR(VLOOKUP(GUAYAQUIL[[#This Row],[CODIGO]],MAESTRO!A:BI,21,FALSE),0)</f>
        <v>12.450799999999999</v>
      </c>
      <c r="Z203" s="237">
        <f>+IFERROR(IF(GUAYAQUIL[[#This Row],[CODIGO]]="","",GUAYAQUIL[[#This Row],[COSTO UNIT base]]*GUAYAQUIL[[#This Row],[Conversión]]),"")</f>
        <v>12.450799999999999</v>
      </c>
      <c r="AA203" s="236">
        <f>+IFERROR(IF(GUAYAQUIL[[#This Row],[CODIGO]]="","",GUAYAQUIL[[#This Row],[COSTO UNIT Conv]]*GUAYAQUIL[[#This Row],[Stock Actual Kgs]]),"")</f>
        <v>4123.70496</v>
      </c>
      <c r="AB203" s="33">
        <f ca="1">+IFERROR(IF(GUAYAQUIL[[#This Row],[CODIGO]]="","",$J$3-O203),"")</f>
        <v>13</v>
      </c>
      <c r="AC203" s="34" t="str">
        <f ca="1">IF(GUAYAQUIL[[#This Row],[CODIGO]]="","",IF(S203&lt;=0,"CADUCADO",IF(AND(S203&gt;0,S203&lt;=21),"FECHA CORTA",IF(AND(S203&gt;=22,S203&lt;=26),"PROXIMOS FECHA CORTA", "VIGENTE"))))</f>
        <v>VIGENTE</v>
      </c>
      <c r="AD203" s="37">
        <f>+IF(GUAYAQUIL[[#This Row],[CODIGO]]="","",GUAYAQUIL[[#This Row],[Stock Actual Unds]]*GUAYAQUIL[[#This Row],[Gramaje]]*GUAYAQUIL[[#This Row],[Conversión]])/1000</f>
        <v>0.33119999999999999</v>
      </c>
    </row>
    <row r="204" spans="1:30">
      <c r="A204" s="24" t="str">
        <f>+IFERROR(IF(GUAYAQUIL[[#This Row],[CODIGO]]="","",VLOOKUP(GUAYAQUIL[[#This Row],[CODIGO]],MAESTRO!$A:$J,10,FALSE)),"")</f>
        <v>SAN GABRIEL</v>
      </c>
      <c r="B204" s="24" t="str">
        <f>+IFERROR(IF(GUAYAQUIL[[#This Row],[CODIGO]]="","",VLOOKUP(GUAYAQUIL[[#This Row],[CODIGO]],MAESTRO!$A:$Q,17,FALSE)),"")</f>
        <v>POSTRES</v>
      </c>
      <c r="C204" s="24" t="str">
        <f>+IFERROR(IF(GUAYAQUIL[[#This Row],[CODIGO]]="","",VLOOKUP(GUAYAQUIL[[#This Row],[CODIGO]],MAESTRO!$A:$BA,53,FALSE)),"")</f>
        <v xml:space="preserve">Luis Armendariz                         </v>
      </c>
      <c r="D204" s="24" t="str">
        <f>+IFERROR(IF(GUAYAQUIL[[#This Row],[CODIGO]]="","",VLOOKUP(GUAYAQUIL[[#This Row],[CODIGO]],MAESTRO!$A:$D,4,FALSE)),"")</f>
        <v>AREQUIPE ALPINA</v>
      </c>
      <c r="E204" s="24" t="str">
        <f>+IFERROR(IF(GUAYAQUIL[[#This Row],[CODIGO]]="","",VLOOKUP(GUAYAQUIL[[#This Row],[CODIGO]],MAESTRO!$A:$F,6,FALSE)),"")</f>
        <v>AREQUIPE ALPINA FAMILIAR</v>
      </c>
      <c r="F204" s="42" t="str">
        <f>IF(GUAYAQUIL[[#This Row],[CODIGO]]="","",$K$6)</f>
        <v>GUAYAQUIL</v>
      </c>
      <c r="G204" s="42">
        <f>IF(GUAYAQUIL[[#This Row],[CODIGO]]="","",7711)</f>
        <v>7711</v>
      </c>
      <c r="H204" s="42">
        <f>IF(GUAYAQUIL[[#This Row],[CODIGO]]="","",1001)</f>
        <v>1001</v>
      </c>
      <c r="I204" s="258" t="s">
        <v>184</v>
      </c>
      <c r="J204" s="25" t="str">
        <f>IFERROR((VLOOKUP(GUAYAQUIL[[#This Row],[CODIGO]],MAESTRO!A:B,2,FALSE)),"")</f>
        <v>AREQUIPE GAR 4.6KG</v>
      </c>
      <c r="K204" s="35">
        <v>90</v>
      </c>
      <c r="L204" s="38">
        <f>+IFERROR(IF(GUAYAQUIL[[#This Row],[CODIGO]]="","",VLOOKUP(GUAYAQUIL[[#This Row],[CODIGO]],MAESTRO!$A:$BF,58,FALSE)),"")</f>
        <v>1</v>
      </c>
      <c r="M204" s="27">
        <f>+IFERROR(IF(GUAYAQUIL[[#This Row],[CODIGO]]="","",VLOOKUP(GUAYAQUIL[[#This Row],[CODIGO]],MAESTRO!A:N,14,FALSE)),"")</f>
        <v>4.5999999999999996</v>
      </c>
      <c r="N204" s="28">
        <f>+IFERROR(IF(GUAYAQUIL[[#This Row],[CODIGO]]="","",VLOOKUP(GUAYAQUIL[[#This Row],[CODIGO]],MAESTRO!A:P,16,FALSE)),"")</f>
        <v>90</v>
      </c>
      <c r="O204" s="29">
        <v>45610</v>
      </c>
      <c r="P204" s="72" t="str">
        <f t="shared" si="15"/>
        <v>jueves</v>
      </c>
      <c r="Q204" s="29">
        <f>IFERROR(IF(GUAYAQUIL[[#This Row],[CODIGO]]="","",IF(GUAYAQUIL[[#This Row],[Fecha Cad]]="","",(GUAYAQUIL[[#This Row],[Fecha Cad]]-GUAYAQUIL[[#This Row],[VIDA UTIL (Días)]]))+1),"")</f>
        <v>45609</v>
      </c>
      <c r="R204" s="29">
        <v>45698</v>
      </c>
      <c r="S204" s="30">
        <f t="shared" ca="1" si="16"/>
        <v>74</v>
      </c>
      <c r="T204" s="31">
        <f t="shared" ca="1" si="17"/>
        <v>0.82222222222222219</v>
      </c>
      <c r="U204" s="286">
        <v>20</v>
      </c>
      <c r="V204" s="261">
        <f>+IFERROR(IF(GUAYAQUIL[[#This Row],[CODIGO]]="","",GUAYAQUIL[[#This Row],[Stock Actual Unds]]*GUAYAQUIL[[#This Row],[Gramaje]]*GUAYAQUIL[[#This Row],[Conversión]]),"")</f>
        <v>92</v>
      </c>
      <c r="W204" s="270">
        <f t="shared" si="18"/>
        <v>1</v>
      </c>
      <c r="X204" s="32">
        <f t="shared" si="19"/>
        <v>0.98888888888888893</v>
      </c>
      <c r="Y204" s="236">
        <f>IFERROR(VLOOKUP(GUAYAQUIL[[#This Row],[CODIGO]],MAESTRO!A:BI,21,FALSE),0)</f>
        <v>12.450799999999999</v>
      </c>
      <c r="Z204" s="237">
        <f>+IFERROR(IF(GUAYAQUIL[[#This Row],[CODIGO]]="","",GUAYAQUIL[[#This Row],[COSTO UNIT base]]*GUAYAQUIL[[#This Row],[Conversión]]),"")</f>
        <v>12.450799999999999</v>
      </c>
      <c r="AA204" s="236">
        <f>+IFERROR(IF(GUAYAQUIL[[#This Row],[CODIGO]]="","",GUAYAQUIL[[#This Row],[COSTO UNIT Conv]]*GUAYAQUIL[[#This Row],[Stock Actual Kgs]]),"")</f>
        <v>1145.4736</v>
      </c>
      <c r="AB204" s="33">
        <f ca="1">+IFERROR(IF(GUAYAQUIL[[#This Row],[CODIGO]]="","",$J$3-O204),"")</f>
        <v>14</v>
      </c>
      <c r="AC204" s="34" t="str">
        <f ca="1">IF(GUAYAQUIL[[#This Row],[CODIGO]]="","",IF(S204&lt;=0,"CADUCADO",IF(AND(S204&gt;0,S204&lt;=21),"FECHA CORTA",IF(AND(S204&gt;=22,S204&lt;=26),"PROXIMOS FECHA CORTA", "VIGENTE"))))</f>
        <v>VIGENTE</v>
      </c>
      <c r="AD204" s="37">
        <f>+IF(GUAYAQUIL[[#This Row],[CODIGO]]="","",GUAYAQUIL[[#This Row],[Stock Actual Unds]]*GUAYAQUIL[[#This Row],[Gramaje]]*GUAYAQUIL[[#This Row],[Conversión]])/1000</f>
        <v>9.1999999999999998E-2</v>
      </c>
    </row>
    <row r="205" spans="1:30">
      <c r="A205" s="24" t="str">
        <f>+IFERROR(IF(GUAYAQUIL[[#This Row],[CODIGO]]="","",VLOOKUP(GUAYAQUIL[[#This Row],[CODIGO]],MAESTRO!$A:$J,10,FALSE)),"")</f>
        <v>SAN GABRIEL</v>
      </c>
      <c r="B205" s="24" t="str">
        <f>+IFERROR(IF(GUAYAQUIL[[#This Row],[CODIGO]]="","",VLOOKUP(GUAYAQUIL[[#This Row],[CODIGO]],MAESTRO!$A:$Q,17,FALSE)),"")</f>
        <v>POSTRES</v>
      </c>
      <c r="C205" s="24" t="str">
        <f>+IFERROR(IF(GUAYAQUIL[[#This Row],[CODIGO]]="","",VLOOKUP(GUAYAQUIL[[#This Row],[CODIGO]],MAESTRO!$A:$BA,53,FALSE)),"")</f>
        <v xml:space="preserve">Luis Armendariz                         </v>
      </c>
      <c r="D205" s="24" t="str">
        <f>+IFERROR(IF(GUAYAQUIL[[#This Row],[CODIGO]]="","",VLOOKUP(GUAYAQUIL[[#This Row],[CODIGO]],MAESTRO!$A:$D,4,FALSE)),"")</f>
        <v>AREQUIPE ALPINA</v>
      </c>
      <c r="E205" s="24" t="str">
        <f>+IFERROR(IF(GUAYAQUIL[[#This Row],[CODIGO]]="","",VLOOKUP(GUAYAQUIL[[#This Row],[CODIGO]],MAESTRO!$A:$F,6,FALSE)),"")</f>
        <v>AREQUIPE ALPINA FAMILIAR</v>
      </c>
      <c r="F205" s="42" t="str">
        <f>IF(GUAYAQUIL[[#This Row],[CODIGO]]="","",$K$6)</f>
        <v>GUAYAQUIL</v>
      </c>
      <c r="G205" s="209">
        <f>IF(GUAYAQUIL[[#This Row],[CODIGO]]="","",7711)</f>
        <v>7711</v>
      </c>
      <c r="H205" s="209">
        <f>IF(GUAYAQUIL[[#This Row],[CODIGO]]="","",1001)</f>
        <v>1001</v>
      </c>
      <c r="I205" s="257" t="s">
        <v>184</v>
      </c>
      <c r="J205" s="25" t="str">
        <f>IFERROR((VLOOKUP(GUAYAQUIL[[#This Row],[CODIGO]],MAESTRO!A:B,2,FALSE)),"")</f>
        <v>AREQUIPE GAR 4.6KG</v>
      </c>
      <c r="K205" s="26">
        <v>0</v>
      </c>
      <c r="L205" s="38">
        <f>+IFERROR(IF(GUAYAQUIL[[#This Row],[CODIGO]]="","",VLOOKUP(GUAYAQUIL[[#This Row],[CODIGO]],MAESTRO!$A:$BF,58,FALSE)),"")</f>
        <v>1</v>
      </c>
      <c r="M205" s="27">
        <f>+IFERROR(IF(GUAYAQUIL[[#This Row],[CODIGO]]="","",VLOOKUP(GUAYAQUIL[[#This Row],[CODIGO]],MAESTRO!A:N,14,FALSE)),"")</f>
        <v>4.5999999999999996</v>
      </c>
      <c r="N205" s="28">
        <f>+IFERROR(IF(GUAYAQUIL[[#This Row],[CODIGO]]="","",VLOOKUP(GUAYAQUIL[[#This Row],[CODIGO]],MAESTRO!A:P,16,FALSE)),"")</f>
        <v>90</v>
      </c>
      <c r="O205" s="29">
        <v>45610</v>
      </c>
      <c r="P205" s="72" t="str">
        <f t="shared" si="15"/>
        <v>jueves</v>
      </c>
      <c r="Q205" s="29">
        <f>IFERROR(IF(GUAYAQUIL[[#This Row],[CODIGO]]="","",IF(GUAYAQUIL[[#This Row],[Fecha Cad]]="","",(GUAYAQUIL[[#This Row],[Fecha Cad]]-GUAYAQUIL[[#This Row],[VIDA UTIL (Días)]]))+1),"")</f>
        <v>45610</v>
      </c>
      <c r="R205" s="29">
        <v>45699</v>
      </c>
      <c r="S205" s="30">
        <f t="shared" ca="1" si="16"/>
        <v>75</v>
      </c>
      <c r="T205" s="31">
        <f t="shared" ca="1" si="17"/>
        <v>0.83333333333333337</v>
      </c>
      <c r="U205" s="286">
        <v>1</v>
      </c>
      <c r="V205" s="263">
        <f>+IFERROR(IF(GUAYAQUIL[[#This Row],[CODIGO]]="","",GUAYAQUIL[[#This Row],[Stock Actual Unds]]*GUAYAQUIL[[#This Row],[Gramaje]]*GUAYAQUIL[[#This Row],[Conversión]]),"")</f>
        <v>4.5999999999999996</v>
      </c>
      <c r="W205" s="270">
        <f t="shared" si="18"/>
        <v>0</v>
      </c>
      <c r="X205" s="32">
        <f t="shared" si="19"/>
        <v>1</v>
      </c>
      <c r="Y205" s="236">
        <f>IFERROR(VLOOKUP(GUAYAQUIL[[#This Row],[CODIGO]],MAESTRO!A:BI,21,FALSE),0)</f>
        <v>12.450799999999999</v>
      </c>
      <c r="Z205" s="237">
        <f>+IFERROR(IF(GUAYAQUIL[[#This Row],[CODIGO]]="","",GUAYAQUIL[[#This Row],[COSTO UNIT base]]*GUAYAQUIL[[#This Row],[Conversión]]),"")</f>
        <v>12.450799999999999</v>
      </c>
      <c r="AA205" s="236">
        <f>+IFERROR(IF(GUAYAQUIL[[#This Row],[CODIGO]]="","",GUAYAQUIL[[#This Row],[COSTO UNIT Conv]]*GUAYAQUIL[[#This Row],[Stock Actual Kgs]]),"")</f>
        <v>57.273679999999992</v>
      </c>
      <c r="AB205" s="33">
        <f ca="1">+IFERROR(IF(GUAYAQUIL[[#This Row],[CODIGO]]="","",$J$3-O205),"")</f>
        <v>14</v>
      </c>
      <c r="AC205" s="34" t="str">
        <f ca="1">IF(GUAYAQUIL[[#This Row],[CODIGO]]="","",IF(S205&lt;=0,"CADUCADO",IF(AND(S205&gt;0,S205&lt;=21),"FECHA CORTA",IF(AND(S205&gt;=22,S205&lt;=26),"PROXIMOS FECHA CORTA", "VIGENTE"))))</f>
        <v>VIGENTE</v>
      </c>
      <c r="AD205" s="37">
        <f>+IF(GUAYAQUIL[[#This Row],[CODIGO]]="","",GUAYAQUIL[[#This Row],[Stock Actual Unds]]*GUAYAQUIL[[#This Row],[Gramaje]]*GUAYAQUIL[[#This Row],[Conversión]])/1000</f>
        <v>4.5999999999999999E-3</v>
      </c>
    </row>
    <row r="206" spans="1:30">
      <c r="A206" s="24" t="str">
        <f>+IFERROR(IF(GUAYAQUIL[[#This Row],[CODIGO]]="","",VLOOKUP(GUAYAQUIL[[#This Row],[CODIGO]],MAESTRO!$A:$J,10,FALSE)),"")</f>
        <v>SAN GABRIEL</v>
      </c>
      <c r="B206" s="24" t="str">
        <f>+IFERROR(IF(GUAYAQUIL[[#This Row],[CODIGO]]="","",VLOOKUP(GUAYAQUIL[[#This Row],[CODIGO]],MAESTRO!$A:$Q,17,FALSE)),"")</f>
        <v>POSTRES</v>
      </c>
      <c r="C206" s="24" t="str">
        <f>+IFERROR(IF(GUAYAQUIL[[#This Row],[CODIGO]]="","",VLOOKUP(GUAYAQUIL[[#This Row],[CODIGO]],MAESTRO!$A:$BA,53,FALSE)),"")</f>
        <v xml:space="preserve">Luis Armendariz                         </v>
      </c>
      <c r="D206" s="24" t="str">
        <f>+IFERROR(IF(GUAYAQUIL[[#This Row],[CODIGO]]="","",VLOOKUP(GUAYAQUIL[[#This Row],[CODIGO]],MAESTRO!$A:$D,4,FALSE)),"")</f>
        <v>AREQUIPE ALPINA</v>
      </c>
      <c r="E206" s="24" t="str">
        <f>+IFERROR(IF(GUAYAQUIL[[#This Row],[CODIGO]]="","",VLOOKUP(GUAYAQUIL[[#This Row],[CODIGO]],MAESTRO!$A:$F,6,FALSE)),"")</f>
        <v>AREQUIPE ALPINA FAMILIAR</v>
      </c>
      <c r="F206" s="42" t="str">
        <f>IF(GUAYAQUIL[[#This Row],[CODIGO]]="","",$K$6)</f>
        <v>GUAYAQUIL</v>
      </c>
      <c r="G206" s="42">
        <f>IF(GUAYAQUIL[[#This Row],[CODIGO]]="","",7711)</f>
        <v>7711</v>
      </c>
      <c r="H206" s="42">
        <f>IF(GUAYAQUIL[[#This Row],[CODIGO]]="","",1001)</f>
        <v>1001</v>
      </c>
      <c r="I206" s="257" t="s">
        <v>184</v>
      </c>
      <c r="J206" s="25" t="str">
        <f>IFERROR((VLOOKUP(GUAYAQUIL[[#This Row],[CODIGO]],MAESTRO!A:B,2,FALSE)),"")</f>
        <v>AREQUIPE GAR 4.6KG</v>
      </c>
      <c r="K206" s="26">
        <v>24</v>
      </c>
      <c r="L206" s="38">
        <f>+IFERROR(IF(GUAYAQUIL[[#This Row],[CODIGO]]="","",VLOOKUP(GUAYAQUIL[[#This Row],[CODIGO]],MAESTRO!$A:$BF,58,FALSE)),"")</f>
        <v>1</v>
      </c>
      <c r="M206" s="27">
        <f>+IFERROR(IF(GUAYAQUIL[[#This Row],[CODIGO]]="","",VLOOKUP(GUAYAQUIL[[#This Row],[CODIGO]],MAESTRO!A:N,14,FALSE)),"")</f>
        <v>4.5999999999999996</v>
      </c>
      <c r="N206" s="28">
        <f>+IFERROR(IF(GUAYAQUIL[[#This Row],[CODIGO]]="","",VLOOKUP(GUAYAQUIL[[#This Row],[CODIGO]],MAESTRO!A:P,16,FALSE)),"")</f>
        <v>90</v>
      </c>
      <c r="O206" s="29">
        <v>45615</v>
      </c>
      <c r="P206" s="72" t="str">
        <f t="shared" si="15"/>
        <v>martes</v>
      </c>
      <c r="Q206" s="29">
        <f>IFERROR(IF(GUAYAQUIL[[#This Row],[CODIGO]]="","",IF(GUAYAQUIL[[#This Row],[Fecha Cad]]="","",(GUAYAQUIL[[#This Row],[Fecha Cad]]-GUAYAQUIL[[#This Row],[VIDA UTIL (Días)]]))+1),"")</f>
        <v>45609</v>
      </c>
      <c r="R206" s="29">
        <v>45698</v>
      </c>
      <c r="S206" s="30">
        <f t="shared" ca="1" si="16"/>
        <v>74</v>
      </c>
      <c r="T206" s="31">
        <f t="shared" ca="1" si="17"/>
        <v>0.82222222222222219</v>
      </c>
      <c r="U206" s="286">
        <v>24</v>
      </c>
      <c r="V206" s="260">
        <f>+IFERROR(IF(GUAYAQUIL[[#This Row],[CODIGO]]="","",GUAYAQUIL[[#This Row],[Stock Actual Unds]]*GUAYAQUIL[[#This Row],[Gramaje]]*GUAYAQUIL[[#This Row],[Conversión]]),"")</f>
        <v>110.39999999999999</v>
      </c>
      <c r="W206" s="270">
        <f t="shared" si="18"/>
        <v>6</v>
      </c>
      <c r="X206" s="32">
        <f t="shared" si="19"/>
        <v>0.93333333333333335</v>
      </c>
      <c r="Y206" s="236">
        <f>IFERROR(VLOOKUP(GUAYAQUIL[[#This Row],[CODIGO]],MAESTRO!A:BI,21,FALSE),0)</f>
        <v>12.450799999999999</v>
      </c>
      <c r="Z206" s="237">
        <f>+IFERROR(IF(GUAYAQUIL[[#This Row],[CODIGO]]="","",GUAYAQUIL[[#This Row],[COSTO UNIT base]]*GUAYAQUIL[[#This Row],[Conversión]]),"")</f>
        <v>12.450799999999999</v>
      </c>
      <c r="AA206" s="236">
        <f>+IFERROR(IF(GUAYAQUIL[[#This Row],[CODIGO]]="","",GUAYAQUIL[[#This Row],[COSTO UNIT Conv]]*GUAYAQUIL[[#This Row],[Stock Actual Kgs]]),"")</f>
        <v>1374.5683199999999</v>
      </c>
      <c r="AB206" s="33">
        <f ca="1">+IFERROR(IF(GUAYAQUIL[[#This Row],[CODIGO]]="","",$J$3-O206),"")</f>
        <v>9</v>
      </c>
      <c r="AC206" s="34" t="str">
        <f ca="1">IF(GUAYAQUIL[[#This Row],[CODIGO]]="","",IF(S206&lt;=0,"CADUCADO",IF(AND(S206&gt;0,S206&lt;=21),"FECHA CORTA",IF(AND(S206&gt;=22,S206&lt;=26),"PROXIMOS FECHA CORTA", "VIGENTE"))))</f>
        <v>VIGENTE</v>
      </c>
      <c r="AD206" s="37">
        <f>+IF(GUAYAQUIL[[#This Row],[CODIGO]]="","",GUAYAQUIL[[#This Row],[Stock Actual Unds]]*GUAYAQUIL[[#This Row],[Gramaje]]*GUAYAQUIL[[#This Row],[Conversión]])/1000</f>
        <v>0.1104</v>
      </c>
    </row>
    <row r="207" spans="1:30">
      <c r="A207" s="24" t="str">
        <f>+IFERROR(IF(GUAYAQUIL[[#This Row],[CODIGO]]="","",VLOOKUP(GUAYAQUIL[[#This Row],[CODIGO]],MAESTRO!$A:$J,10,FALSE)),"")</f>
        <v>SAN GABRIEL</v>
      </c>
      <c r="B207" s="24" t="str">
        <f>+IFERROR(IF(GUAYAQUIL[[#This Row],[CODIGO]]="","",VLOOKUP(GUAYAQUIL[[#This Row],[CODIGO]],MAESTRO!$A:$Q,17,FALSE)),"")</f>
        <v>POSTRES</v>
      </c>
      <c r="C207" s="24" t="str">
        <f>+IFERROR(IF(GUAYAQUIL[[#This Row],[CODIGO]]="","",VLOOKUP(GUAYAQUIL[[#This Row],[CODIGO]],MAESTRO!$A:$BA,53,FALSE)),"")</f>
        <v xml:space="preserve">Luis Armendariz                         </v>
      </c>
      <c r="D207" s="24" t="str">
        <f>+IFERROR(IF(GUAYAQUIL[[#This Row],[CODIGO]]="","",VLOOKUP(GUAYAQUIL[[#This Row],[CODIGO]],MAESTRO!$A:$D,4,FALSE)),"")</f>
        <v>AREQUIPE ALPINA</v>
      </c>
      <c r="E207" s="24" t="str">
        <f>+IFERROR(IF(GUAYAQUIL[[#This Row],[CODIGO]]="","",VLOOKUP(GUAYAQUIL[[#This Row],[CODIGO]],MAESTRO!$A:$F,6,FALSE)),"")</f>
        <v>AREQUIPE ALPINA FAMILIAR</v>
      </c>
      <c r="F207" s="42" t="str">
        <f>IF(GUAYAQUIL[[#This Row],[CODIGO]]="","",$K$6)</f>
        <v>GUAYAQUIL</v>
      </c>
      <c r="G207" s="42">
        <f>IF(GUAYAQUIL[[#This Row],[CODIGO]]="","",7711)</f>
        <v>7711</v>
      </c>
      <c r="H207" s="42">
        <f>IF(GUAYAQUIL[[#This Row],[CODIGO]]="","",1001)</f>
        <v>1001</v>
      </c>
      <c r="I207" s="258" t="s">
        <v>184</v>
      </c>
      <c r="J207" s="25" t="str">
        <f>IFERROR((VLOOKUP(GUAYAQUIL[[#This Row],[CODIGO]],MAESTRO!A:B,2,FALSE)),"")</f>
        <v>AREQUIPE GAR 4.6KG</v>
      </c>
      <c r="K207" s="35">
        <v>12</v>
      </c>
      <c r="L207" s="38">
        <f>+IFERROR(IF(GUAYAQUIL[[#This Row],[CODIGO]]="","",VLOOKUP(GUAYAQUIL[[#This Row],[CODIGO]],MAESTRO!$A:$BF,58,FALSE)),"")</f>
        <v>1</v>
      </c>
      <c r="M207" s="27">
        <f>+IFERROR(IF(GUAYAQUIL[[#This Row],[CODIGO]]="","",VLOOKUP(GUAYAQUIL[[#This Row],[CODIGO]],MAESTRO!A:N,14,FALSE)),"")</f>
        <v>4.5999999999999996</v>
      </c>
      <c r="N207" s="28">
        <f>+IFERROR(IF(GUAYAQUIL[[#This Row],[CODIGO]]="","",VLOOKUP(GUAYAQUIL[[#This Row],[CODIGO]],MAESTRO!A:P,16,FALSE)),"")</f>
        <v>90</v>
      </c>
      <c r="O207" s="45">
        <v>45616</v>
      </c>
      <c r="P207" s="72" t="str">
        <f t="shared" si="15"/>
        <v>miércoles</v>
      </c>
      <c r="Q207" s="29">
        <f>IFERROR(IF(GUAYAQUIL[[#This Row],[CODIGO]]="","",IF(GUAYAQUIL[[#This Row],[Fecha Cad]]="","",(GUAYAQUIL[[#This Row],[Fecha Cad]]-GUAYAQUIL[[#This Row],[VIDA UTIL (Días)]]))+1),"")</f>
        <v>45612</v>
      </c>
      <c r="R207" s="45">
        <v>45701</v>
      </c>
      <c r="S207" s="30">
        <f t="shared" ca="1" si="16"/>
        <v>77</v>
      </c>
      <c r="T207" s="31">
        <f t="shared" ca="1" si="17"/>
        <v>0.85555555555555551</v>
      </c>
      <c r="U207" s="286">
        <v>12</v>
      </c>
      <c r="V207" s="262">
        <f>+IFERROR(IF(GUAYAQUIL[[#This Row],[CODIGO]]="","",GUAYAQUIL[[#This Row],[Stock Actual Unds]]*GUAYAQUIL[[#This Row],[Gramaje]]*GUAYAQUIL[[#This Row],[Conversión]]),"")</f>
        <v>55.199999999999996</v>
      </c>
      <c r="W207" s="270">
        <f t="shared" si="18"/>
        <v>4</v>
      </c>
      <c r="X207" s="32">
        <f t="shared" si="19"/>
        <v>0.9555555555555556</v>
      </c>
      <c r="Y207" s="236">
        <f>IFERROR(VLOOKUP(GUAYAQUIL[[#This Row],[CODIGO]],MAESTRO!A:BI,21,FALSE),0)</f>
        <v>12.450799999999999</v>
      </c>
      <c r="Z207" s="237">
        <f>+IFERROR(IF(GUAYAQUIL[[#This Row],[CODIGO]]="","",GUAYAQUIL[[#This Row],[COSTO UNIT base]]*GUAYAQUIL[[#This Row],[Conversión]]),"")</f>
        <v>12.450799999999999</v>
      </c>
      <c r="AA207" s="236">
        <f>+IFERROR(IF(GUAYAQUIL[[#This Row],[CODIGO]]="","",GUAYAQUIL[[#This Row],[COSTO UNIT Conv]]*GUAYAQUIL[[#This Row],[Stock Actual Kgs]]),"")</f>
        <v>687.28415999999993</v>
      </c>
      <c r="AB207" s="33">
        <f ca="1">+IFERROR(IF(GUAYAQUIL[[#This Row],[CODIGO]]="","",$J$3-O207),"")</f>
        <v>8</v>
      </c>
      <c r="AC207" s="34" t="str">
        <f ca="1">IF(GUAYAQUIL[[#This Row],[CODIGO]]="","",IF(S207&lt;=0,"CADUCADO",IF(AND(S207&gt;0,S207&lt;=21),"FECHA CORTA",IF(AND(S207&gt;=22,S207&lt;=26),"PROXIMOS FECHA CORTA", "VIGENTE"))))</f>
        <v>VIGENTE</v>
      </c>
      <c r="AD207" s="37">
        <f>+IF(GUAYAQUIL[[#This Row],[CODIGO]]="","",GUAYAQUIL[[#This Row],[Stock Actual Unds]]*GUAYAQUIL[[#This Row],[Gramaje]]*GUAYAQUIL[[#This Row],[Conversión]])/1000</f>
        <v>5.5199999999999999E-2</v>
      </c>
    </row>
    <row r="208" spans="1:30">
      <c r="A208" s="24" t="str">
        <f>+IFERROR(IF(GUAYAQUIL[[#This Row],[CODIGO]]="","",VLOOKUP(GUAYAQUIL[[#This Row],[CODIGO]],MAESTRO!$A:$J,10,FALSE)),"")</f>
        <v>SAN GABRIEL</v>
      </c>
      <c r="B208" s="24" t="str">
        <f>+IFERROR(IF(GUAYAQUIL[[#This Row],[CODIGO]]="","",VLOOKUP(GUAYAQUIL[[#This Row],[CODIGO]],MAESTRO!$A:$Q,17,FALSE)),"")</f>
        <v>POSTRES</v>
      </c>
      <c r="C208" s="24" t="str">
        <f>+IFERROR(IF(GUAYAQUIL[[#This Row],[CODIGO]]="","",VLOOKUP(GUAYAQUIL[[#This Row],[CODIGO]],MAESTRO!$A:$BA,53,FALSE)),"")</f>
        <v xml:space="preserve">Luis Armendariz                         </v>
      </c>
      <c r="D208" s="24" t="str">
        <f>+IFERROR(IF(GUAYAQUIL[[#This Row],[CODIGO]]="","",VLOOKUP(GUAYAQUIL[[#This Row],[CODIGO]],MAESTRO!$A:$D,4,FALSE)),"")</f>
        <v>AREQUIPE ALPINA</v>
      </c>
      <c r="E208" s="24" t="str">
        <f>+IFERROR(IF(GUAYAQUIL[[#This Row],[CODIGO]]="","",VLOOKUP(GUAYAQUIL[[#This Row],[CODIGO]],MAESTRO!$A:$F,6,FALSE)),"")</f>
        <v>AREQUIPE ALPINA FAMILIAR</v>
      </c>
      <c r="F208" s="42" t="str">
        <f>IF(GUAYAQUIL[[#This Row],[CODIGO]]="","",$K$6)</f>
        <v>GUAYAQUIL</v>
      </c>
      <c r="G208" s="42">
        <f>IF(GUAYAQUIL[[#This Row],[CODIGO]]="","",7711)</f>
        <v>7711</v>
      </c>
      <c r="H208" s="42">
        <f>IF(GUAYAQUIL[[#This Row],[CODIGO]]="","",1001)</f>
        <v>1001</v>
      </c>
      <c r="I208" s="257" t="s">
        <v>184</v>
      </c>
      <c r="J208" s="25" t="str">
        <f>IFERROR((VLOOKUP(GUAYAQUIL[[#This Row],[CODIGO]],MAESTRO!A:B,2,FALSE)),"")</f>
        <v>AREQUIPE GAR 4.6KG</v>
      </c>
      <c r="K208" s="26">
        <v>24</v>
      </c>
      <c r="L208" s="38">
        <f>+IFERROR(IF(GUAYAQUIL[[#This Row],[CODIGO]]="","",VLOOKUP(GUAYAQUIL[[#This Row],[CODIGO]],MAESTRO!$A:$BF,58,FALSE)),"")</f>
        <v>1</v>
      </c>
      <c r="M208" s="27">
        <f>+IFERROR(IF(GUAYAQUIL[[#This Row],[CODIGO]]="","",VLOOKUP(GUAYAQUIL[[#This Row],[CODIGO]],MAESTRO!A:N,14,FALSE)),"")</f>
        <v>4.5999999999999996</v>
      </c>
      <c r="N208" s="28">
        <f>+IFERROR(IF(GUAYAQUIL[[#This Row],[CODIGO]]="","",VLOOKUP(GUAYAQUIL[[#This Row],[CODIGO]],MAESTRO!A:P,16,FALSE)),"")</f>
        <v>90</v>
      </c>
      <c r="O208" s="29">
        <v>45617</v>
      </c>
      <c r="P208" s="72" t="str">
        <f t="shared" si="15"/>
        <v>jueves</v>
      </c>
      <c r="Q208" s="29">
        <f>IFERROR(IF(GUAYAQUIL[[#This Row],[CODIGO]]="","",IF(GUAYAQUIL[[#This Row],[Fecha Cad]]="","",(GUAYAQUIL[[#This Row],[Fecha Cad]]-GUAYAQUIL[[#This Row],[VIDA UTIL (Días)]]))+1),"")</f>
        <v>45612</v>
      </c>
      <c r="R208" s="29">
        <v>45701</v>
      </c>
      <c r="S208" s="30">
        <f t="shared" ca="1" si="16"/>
        <v>77</v>
      </c>
      <c r="T208" s="31">
        <f t="shared" ca="1" si="17"/>
        <v>0.85555555555555551</v>
      </c>
      <c r="U208" s="286">
        <v>24</v>
      </c>
      <c r="V208" s="260">
        <f>+IFERROR(IF(GUAYAQUIL[[#This Row],[CODIGO]]="","",GUAYAQUIL[[#This Row],[Stock Actual Unds]]*GUAYAQUIL[[#This Row],[Gramaje]]*GUAYAQUIL[[#This Row],[Conversión]]),"")</f>
        <v>110.39999999999999</v>
      </c>
      <c r="W208" s="270">
        <f t="shared" si="18"/>
        <v>5</v>
      </c>
      <c r="X208" s="32">
        <f t="shared" si="19"/>
        <v>0.94444444444444442</v>
      </c>
      <c r="Y208" s="236">
        <f>IFERROR(VLOOKUP(GUAYAQUIL[[#This Row],[CODIGO]],MAESTRO!A:BI,21,FALSE),0)</f>
        <v>12.450799999999999</v>
      </c>
      <c r="Z208" s="237">
        <f>+IFERROR(IF(GUAYAQUIL[[#This Row],[CODIGO]]="","",GUAYAQUIL[[#This Row],[COSTO UNIT base]]*GUAYAQUIL[[#This Row],[Conversión]]),"")</f>
        <v>12.450799999999999</v>
      </c>
      <c r="AA208" s="236">
        <f>+IFERROR(IF(GUAYAQUIL[[#This Row],[CODIGO]]="","",GUAYAQUIL[[#This Row],[COSTO UNIT Conv]]*GUAYAQUIL[[#This Row],[Stock Actual Kgs]]),"")</f>
        <v>1374.5683199999999</v>
      </c>
      <c r="AB208" s="33">
        <f ca="1">+IFERROR(IF(GUAYAQUIL[[#This Row],[CODIGO]]="","",$J$3-O208),"")</f>
        <v>7</v>
      </c>
      <c r="AC208" s="34" t="str">
        <f ca="1">IF(GUAYAQUIL[[#This Row],[CODIGO]]="","",IF(S208&lt;=0,"CADUCADO",IF(AND(S208&gt;0,S208&lt;=21),"FECHA CORTA",IF(AND(S208&gt;=22,S208&lt;=26),"PROXIMOS FECHA CORTA", "VIGENTE"))))</f>
        <v>VIGENTE</v>
      </c>
      <c r="AD208" s="37">
        <f>+IF(GUAYAQUIL[[#This Row],[CODIGO]]="","",GUAYAQUIL[[#This Row],[Stock Actual Unds]]*GUAYAQUIL[[#This Row],[Gramaje]]*GUAYAQUIL[[#This Row],[Conversión]])/1000</f>
        <v>0.1104</v>
      </c>
    </row>
    <row r="209" spans="1:30">
      <c r="A209" s="24" t="str">
        <f>+IFERROR(IF(GUAYAQUIL[[#This Row],[CODIGO]]="","",VLOOKUP(GUAYAQUIL[[#This Row],[CODIGO]],MAESTRO!$A:$J,10,FALSE)),"")</f>
        <v>SAN GABRIEL</v>
      </c>
      <c r="B209" s="24" t="str">
        <f>+IFERROR(IF(GUAYAQUIL[[#This Row],[CODIGO]]="","",VLOOKUP(GUAYAQUIL[[#This Row],[CODIGO]],MAESTRO!$A:$Q,17,FALSE)),"")</f>
        <v>POSTRES</v>
      </c>
      <c r="C209" s="24" t="str">
        <f>+IFERROR(IF(GUAYAQUIL[[#This Row],[CODIGO]]="","",VLOOKUP(GUAYAQUIL[[#This Row],[CODIGO]],MAESTRO!$A:$BA,53,FALSE)),"")</f>
        <v xml:space="preserve">Luis Armendariz                         </v>
      </c>
      <c r="D209" s="24" t="str">
        <f>+IFERROR(IF(GUAYAQUIL[[#This Row],[CODIGO]]="","",VLOOKUP(GUAYAQUIL[[#This Row],[CODIGO]],MAESTRO!$A:$D,4,FALSE)),"")</f>
        <v>AREQUIPE ALPINA</v>
      </c>
      <c r="E209" s="24" t="str">
        <f>+IFERROR(IF(GUAYAQUIL[[#This Row],[CODIGO]]="","",VLOOKUP(GUAYAQUIL[[#This Row],[CODIGO]],MAESTRO!$A:$F,6,FALSE)),"")</f>
        <v>AREQUIPE ALPINA</v>
      </c>
      <c r="F209" s="42" t="str">
        <f>IF(GUAYAQUIL[[#This Row],[CODIGO]]="","",$K$6)</f>
        <v>GUAYAQUIL</v>
      </c>
      <c r="G209" s="42">
        <f>IF(GUAYAQUIL[[#This Row],[CODIGO]]="","",7711)</f>
        <v>7711</v>
      </c>
      <c r="H209" s="42">
        <f>IF(GUAYAQUIL[[#This Row],[CODIGO]]="","",1001)</f>
        <v>1001</v>
      </c>
      <c r="I209" s="257" t="s">
        <v>679</v>
      </c>
      <c r="J209" s="25" t="str">
        <f>IFERROR((VLOOKUP(GUAYAQUIL[[#This Row],[CODIGO]],MAESTRO!A:B,2,FALSE)),"")</f>
        <v>AREQUIPE VASO 500G ECU</v>
      </c>
      <c r="K209" s="26">
        <v>972</v>
      </c>
      <c r="L209" s="38">
        <f>+IFERROR(IF(GUAYAQUIL[[#This Row],[CODIGO]]="","",VLOOKUP(GUAYAQUIL[[#This Row],[CODIGO]],MAESTRO!$A:$BF,58,FALSE)),"")</f>
        <v>1</v>
      </c>
      <c r="M209" s="27">
        <f>+IFERROR(IF(GUAYAQUIL[[#This Row],[CODIGO]]="","",VLOOKUP(GUAYAQUIL[[#This Row],[CODIGO]],MAESTRO!A:N,14,FALSE)),"")</f>
        <v>0.5</v>
      </c>
      <c r="N209" s="28">
        <f>+IFERROR(IF(GUAYAQUIL[[#This Row],[CODIGO]]="","",VLOOKUP(GUAYAQUIL[[#This Row],[CODIGO]],MAESTRO!A:P,16,FALSE)),"")</f>
        <v>180</v>
      </c>
      <c r="O209" s="29">
        <v>45596</v>
      </c>
      <c r="P209" s="72" t="str">
        <f t="shared" si="15"/>
        <v>jueves</v>
      </c>
      <c r="Q209" s="29">
        <f>IFERROR(IF(GUAYAQUIL[[#This Row],[CODIGO]]="","",IF(GUAYAQUIL[[#This Row],[Fecha Cad]]="","",(GUAYAQUIL[[#This Row],[Fecha Cad]]-GUAYAQUIL[[#This Row],[VIDA UTIL (Días)]]))+1),"")</f>
        <v>45595</v>
      </c>
      <c r="R209" s="29">
        <v>45774</v>
      </c>
      <c r="S209" s="30">
        <f t="shared" ca="1" si="16"/>
        <v>150</v>
      </c>
      <c r="T209" s="31">
        <f t="shared" ca="1" si="17"/>
        <v>0.83333333333333337</v>
      </c>
      <c r="U209" s="286">
        <v>36</v>
      </c>
      <c r="V209" s="260">
        <f>+IFERROR(IF(GUAYAQUIL[[#This Row],[CODIGO]]="","",GUAYAQUIL[[#This Row],[Stock Actual Unds]]*GUAYAQUIL[[#This Row],[Gramaje]]*GUAYAQUIL[[#This Row],[Conversión]]),"")</f>
        <v>18</v>
      </c>
      <c r="W209" s="270">
        <f t="shared" si="18"/>
        <v>1</v>
      </c>
      <c r="X209" s="32">
        <f t="shared" si="19"/>
        <v>0.99444444444444446</v>
      </c>
      <c r="Y209" s="236">
        <f>IFERROR(VLOOKUP(GUAYAQUIL[[#This Row],[CODIGO]],MAESTRO!A:BI,21,FALSE),0)</f>
        <v>1.477565</v>
      </c>
      <c r="Z209" s="237">
        <f>+IFERROR(IF(GUAYAQUIL[[#This Row],[CODIGO]]="","",GUAYAQUIL[[#This Row],[COSTO UNIT base]]*GUAYAQUIL[[#This Row],[Conversión]]),"")</f>
        <v>1.477565</v>
      </c>
      <c r="AA209" s="236">
        <f>+IFERROR(IF(GUAYAQUIL[[#This Row],[CODIGO]]="","",GUAYAQUIL[[#This Row],[COSTO UNIT Conv]]*GUAYAQUIL[[#This Row],[Stock Actual Kgs]]),"")</f>
        <v>26.596170000000001</v>
      </c>
      <c r="AB209" s="33">
        <f ca="1">+IFERROR(IF(GUAYAQUIL[[#This Row],[CODIGO]]="","",$J$3-O209),"")</f>
        <v>28</v>
      </c>
      <c r="AC209" s="34" t="str">
        <f ca="1">IF(GUAYAQUIL[[#This Row],[CODIGO]]="","",IF(S209&lt;=0,"CADUCADO",IF(AND(S209&gt;0,S209&lt;=21),"FECHA CORTA",IF(AND(S209&gt;=22,S209&lt;=26),"PROXIMOS FECHA CORTA", "VIGENTE"))))</f>
        <v>VIGENTE</v>
      </c>
      <c r="AD209" s="37">
        <f>+IF(GUAYAQUIL[[#This Row],[CODIGO]]="","",GUAYAQUIL[[#This Row],[Stock Actual Unds]]*GUAYAQUIL[[#This Row],[Gramaje]]*GUAYAQUIL[[#This Row],[Conversión]])/1000</f>
        <v>1.7999999999999999E-2</v>
      </c>
    </row>
    <row r="210" spans="1:30">
      <c r="A210" s="24" t="str">
        <f>+IFERROR(IF(GUAYAQUIL[[#This Row],[CODIGO]]="","",VLOOKUP(GUAYAQUIL[[#This Row],[CODIGO]],MAESTRO!$A:$J,10,FALSE)),"")</f>
        <v>SAN GABRIEL</v>
      </c>
      <c r="B210" s="24" t="str">
        <f>+IFERROR(IF(GUAYAQUIL[[#This Row],[CODIGO]]="","",VLOOKUP(GUAYAQUIL[[#This Row],[CODIGO]],MAESTRO!$A:$Q,17,FALSE)),"")</f>
        <v>POSTRES</v>
      </c>
      <c r="C210" s="24" t="str">
        <f>+IFERROR(IF(GUAYAQUIL[[#This Row],[CODIGO]]="","",VLOOKUP(GUAYAQUIL[[#This Row],[CODIGO]],MAESTRO!$A:$BA,53,FALSE)),"")</f>
        <v xml:space="preserve">Luis Armendariz                         </v>
      </c>
      <c r="D210" s="24" t="str">
        <f>+IFERROR(IF(GUAYAQUIL[[#This Row],[CODIGO]]="","",VLOOKUP(GUAYAQUIL[[#This Row],[CODIGO]],MAESTRO!$A:$D,4,FALSE)),"")</f>
        <v>AREQUIPE ALPINA</v>
      </c>
      <c r="E210" s="24" t="str">
        <f>+IFERROR(IF(GUAYAQUIL[[#This Row],[CODIGO]]="","",VLOOKUP(GUAYAQUIL[[#This Row],[CODIGO]],MAESTRO!$A:$F,6,FALSE)),"")</f>
        <v>AREQUIPE ALPINA</v>
      </c>
      <c r="F210" s="42" t="str">
        <f>IF(GUAYAQUIL[[#This Row],[CODIGO]]="","",$K$6)</f>
        <v>GUAYAQUIL</v>
      </c>
      <c r="G210" s="42">
        <f>IF(GUAYAQUIL[[#This Row],[CODIGO]]="","",7711)</f>
        <v>7711</v>
      </c>
      <c r="H210" s="42">
        <f>IF(GUAYAQUIL[[#This Row],[CODIGO]]="","",1001)</f>
        <v>1001</v>
      </c>
      <c r="I210" s="257" t="s">
        <v>679</v>
      </c>
      <c r="J210" s="25" t="str">
        <f>IFERROR((VLOOKUP(GUAYAQUIL[[#This Row],[CODIGO]],MAESTRO!A:B,2,FALSE)),"")</f>
        <v>AREQUIPE VASO 500G ECU</v>
      </c>
      <c r="K210" s="26">
        <v>504</v>
      </c>
      <c r="L210" s="38">
        <f>+IFERROR(IF(GUAYAQUIL[[#This Row],[CODIGO]]="","",VLOOKUP(GUAYAQUIL[[#This Row],[CODIGO]],MAESTRO!$A:$BF,58,FALSE)),"")</f>
        <v>1</v>
      </c>
      <c r="M210" s="27">
        <f>+IFERROR(IF(GUAYAQUIL[[#This Row],[CODIGO]]="","",VLOOKUP(GUAYAQUIL[[#This Row],[CODIGO]],MAESTRO!A:N,14,FALSE)),"")</f>
        <v>0.5</v>
      </c>
      <c r="N210" s="28">
        <f>+IFERROR(IF(GUAYAQUIL[[#This Row],[CODIGO]]="","",VLOOKUP(GUAYAQUIL[[#This Row],[CODIGO]],MAESTRO!A:P,16,FALSE)),"")</f>
        <v>180</v>
      </c>
      <c r="O210" s="29">
        <v>45609</v>
      </c>
      <c r="P210" s="72" t="str">
        <f t="shared" si="15"/>
        <v>miércoles</v>
      </c>
      <c r="Q210" s="29">
        <f>IFERROR(IF(GUAYAQUIL[[#This Row],[CODIGO]]="","",IF(GUAYAQUIL[[#This Row],[Fecha Cad]]="","",(GUAYAQUIL[[#This Row],[Fecha Cad]]-GUAYAQUIL[[#This Row],[VIDA UTIL (Días)]]))+1),"")</f>
        <v>45608</v>
      </c>
      <c r="R210" s="29">
        <v>45787</v>
      </c>
      <c r="S210" s="30">
        <f t="shared" ca="1" si="16"/>
        <v>163</v>
      </c>
      <c r="T210" s="31">
        <f t="shared" ca="1" si="17"/>
        <v>0.90555555555555556</v>
      </c>
      <c r="U210" s="286">
        <v>165</v>
      </c>
      <c r="V210" s="260">
        <f>+IFERROR(IF(GUAYAQUIL[[#This Row],[CODIGO]]="","",GUAYAQUIL[[#This Row],[Stock Actual Unds]]*GUAYAQUIL[[#This Row],[Gramaje]]*GUAYAQUIL[[#This Row],[Conversión]]),"")</f>
        <v>82.5</v>
      </c>
      <c r="W210" s="270">
        <f t="shared" si="18"/>
        <v>1</v>
      </c>
      <c r="X210" s="32">
        <f t="shared" si="19"/>
        <v>0.99444444444444446</v>
      </c>
      <c r="Y210" s="236">
        <f>IFERROR(VLOOKUP(GUAYAQUIL[[#This Row],[CODIGO]],MAESTRO!A:BI,21,FALSE),0)</f>
        <v>1.477565</v>
      </c>
      <c r="Z210" s="237">
        <f>+IFERROR(IF(GUAYAQUIL[[#This Row],[CODIGO]]="","",GUAYAQUIL[[#This Row],[COSTO UNIT base]]*GUAYAQUIL[[#This Row],[Conversión]]),"")</f>
        <v>1.477565</v>
      </c>
      <c r="AA210" s="236">
        <f>+IFERROR(IF(GUAYAQUIL[[#This Row],[CODIGO]]="","",GUAYAQUIL[[#This Row],[COSTO UNIT Conv]]*GUAYAQUIL[[#This Row],[Stock Actual Kgs]]),"")</f>
        <v>121.8991125</v>
      </c>
      <c r="AB210" s="33">
        <f ca="1">+IFERROR(IF(GUAYAQUIL[[#This Row],[CODIGO]]="","",$J$3-O210),"")</f>
        <v>15</v>
      </c>
      <c r="AC210" s="34" t="str">
        <f ca="1">IF(GUAYAQUIL[[#This Row],[CODIGO]]="","",IF(S210&lt;=0,"CADUCADO",IF(AND(S210&gt;0,S210&lt;=21),"FECHA CORTA",IF(AND(S210&gt;=22,S210&lt;=26),"PROXIMOS FECHA CORTA", "VIGENTE"))))</f>
        <v>VIGENTE</v>
      </c>
      <c r="AD210" s="37">
        <f>+IF(GUAYAQUIL[[#This Row],[CODIGO]]="","",GUAYAQUIL[[#This Row],[Stock Actual Unds]]*GUAYAQUIL[[#This Row],[Gramaje]]*GUAYAQUIL[[#This Row],[Conversión]])/1000</f>
        <v>8.2500000000000004E-2</v>
      </c>
    </row>
    <row r="211" spans="1:30">
      <c r="A211" s="24" t="str">
        <f>+IFERROR(IF(GUAYAQUIL[[#This Row],[CODIGO]]="","",VLOOKUP(GUAYAQUIL[[#This Row],[CODIGO]],MAESTRO!$A:$J,10,FALSE)),"")</f>
        <v>SAN GABRIEL</v>
      </c>
      <c r="B211" s="24" t="str">
        <f>+IFERROR(IF(GUAYAQUIL[[#This Row],[CODIGO]]="","",VLOOKUP(GUAYAQUIL[[#This Row],[CODIGO]],MAESTRO!$A:$Q,17,FALSE)),"")</f>
        <v>POSTRES</v>
      </c>
      <c r="C211" s="24" t="str">
        <f>+IFERROR(IF(GUAYAQUIL[[#This Row],[CODIGO]]="","",VLOOKUP(GUAYAQUIL[[#This Row],[CODIGO]],MAESTRO!$A:$BA,53,FALSE)),"")</f>
        <v xml:space="preserve">Luis Armendariz                         </v>
      </c>
      <c r="D211" s="24" t="str">
        <f>+IFERROR(IF(GUAYAQUIL[[#This Row],[CODIGO]]="","",VLOOKUP(GUAYAQUIL[[#This Row],[CODIGO]],MAESTRO!$A:$D,4,FALSE)),"")</f>
        <v>AREQUIPE ALPINA</v>
      </c>
      <c r="E211" s="24" t="str">
        <f>+IFERROR(IF(GUAYAQUIL[[#This Row],[CODIGO]]="","",VLOOKUP(GUAYAQUIL[[#This Row],[CODIGO]],MAESTRO!$A:$F,6,FALSE)),"")</f>
        <v>AREQUIPE ALPINA</v>
      </c>
      <c r="F211" s="42" t="str">
        <f>IF(GUAYAQUIL[[#This Row],[CODIGO]]="","",$K$6)</f>
        <v>GUAYAQUIL</v>
      </c>
      <c r="G211" s="42">
        <f>IF(GUAYAQUIL[[#This Row],[CODIGO]]="","",7711)</f>
        <v>7711</v>
      </c>
      <c r="H211" s="42">
        <f>IF(GUAYAQUIL[[#This Row],[CODIGO]]="","",1001)</f>
        <v>1001</v>
      </c>
      <c r="I211" s="257" t="s">
        <v>679</v>
      </c>
      <c r="J211" s="25" t="str">
        <f>IFERROR((VLOOKUP(GUAYAQUIL[[#This Row],[CODIGO]],MAESTRO!A:B,2,FALSE)),"")</f>
        <v>AREQUIPE VASO 500G ECU</v>
      </c>
      <c r="K211" s="26">
        <v>396</v>
      </c>
      <c r="L211" s="38">
        <f>+IFERROR(IF(GUAYAQUIL[[#This Row],[CODIGO]]="","",VLOOKUP(GUAYAQUIL[[#This Row],[CODIGO]],MAESTRO!$A:$BF,58,FALSE)),"")</f>
        <v>1</v>
      </c>
      <c r="M211" s="27">
        <f>+IFERROR(IF(GUAYAQUIL[[#This Row],[CODIGO]]="","",VLOOKUP(GUAYAQUIL[[#This Row],[CODIGO]],MAESTRO!A:N,14,FALSE)),"")</f>
        <v>0.5</v>
      </c>
      <c r="N211" s="28">
        <f>+IFERROR(IF(GUAYAQUIL[[#This Row],[CODIGO]]="","",VLOOKUP(GUAYAQUIL[[#This Row],[CODIGO]],MAESTRO!A:P,16,FALSE)),"")</f>
        <v>180</v>
      </c>
      <c r="O211" s="29">
        <v>45611</v>
      </c>
      <c r="P211" s="72" t="str">
        <f t="shared" si="15"/>
        <v>viernes</v>
      </c>
      <c r="Q211" s="29">
        <f>IFERROR(IF(GUAYAQUIL[[#This Row],[CODIGO]]="","",IF(GUAYAQUIL[[#This Row],[Fecha Cad]]="","",(GUAYAQUIL[[#This Row],[Fecha Cad]]-GUAYAQUIL[[#This Row],[VIDA UTIL (Días)]]))+1),"")</f>
        <v>45610</v>
      </c>
      <c r="R211" s="29">
        <v>45789</v>
      </c>
      <c r="S211" s="30">
        <f t="shared" ca="1" si="16"/>
        <v>165</v>
      </c>
      <c r="T211" s="31">
        <f t="shared" ca="1" si="17"/>
        <v>0.91666666666666663</v>
      </c>
      <c r="U211" s="286">
        <v>396</v>
      </c>
      <c r="V211" s="260">
        <f>+IFERROR(IF(GUAYAQUIL[[#This Row],[CODIGO]]="","",GUAYAQUIL[[#This Row],[Stock Actual Unds]]*GUAYAQUIL[[#This Row],[Gramaje]]*GUAYAQUIL[[#This Row],[Conversión]]),"")</f>
        <v>198</v>
      </c>
      <c r="W211" s="270">
        <f t="shared" si="18"/>
        <v>1</v>
      </c>
      <c r="X211" s="32">
        <f t="shared" si="19"/>
        <v>0.99444444444444446</v>
      </c>
      <c r="Y211" s="236">
        <f>IFERROR(VLOOKUP(GUAYAQUIL[[#This Row],[CODIGO]],MAESTRO!A:BI,21,FALSE),0)</f>
        <v>1.477565</v>
      </c>
      <c r="Z211" s="237">
        <f>+IFERROR(IF(GUAYAQUIL[[#This Row],[CODIGO]]="","",GUAYAQUIL[[#This Row],[COSTO UNIT base]]*GUAYAQUIL[[#This Row],[Conversión]]),"")</f>
        <v>1.477565</v>
      </c>
      <c r="AA211" s="236">
        <f>+IFERROR(IF(GUAYAQUIL[[#This Row],[CODIGO]]="","",GUAYAQUIL[[#This Row],[COSTO UNIT Conv]]*GUAYAQUIL[[#This Row],[Stock Actual Kgs]]),"")</f>
        <v>292.55786999999998</v>
      </c>
      <c r="AB211" s="33">
        <f ca="1">+IFERROR(IF(GUAYAQUIL[[#This Row],[CODIGO]]="","",$J$3-O211),"")</f>
        <v>13</v>
      </c>
      <c r="AC211" s="34" t="str">
        <f ca="1">IF(GUAYAQUIL[[#This Row],[CODIGO]]="","",IF(S211&lt;=0,"CADUCADO",IF(AND(S211&gt;0,S211&lt;=21),"FECHA CORTA",IF(AND(S211&gt;=22,S211&lt;=26),"PROXIMOS FECHA CORTA", "VIGENTE"))))</f>
        <v>VIGENTE</v>
      </c>
      <c r="AD211" s="37">
        <f>+IF(GUAYAQUIL[[#This Row],[CODIGO]]="","",GUAYAQUIL[[#This Row],[Stock Actual Unds]]*GUAYAQUIL[[#This Row],[Gramaje]]*GUAYAQUIL[[#This Row],[Conversión]])/1000</f>
        <v>0.19800000000000001</v>
      </c>
    </row>
    <row r="212" spans="1:30">
      <c r="A212" s="24" t="str">
        <f>+IFERROR(IF(GUAYAQUIL[[#This Row],[CODIGO]]="","",VLOOKUP(GUAYAQUIL[[#This Row],[CODIGO]],MAESTRO!$A:$J,10,FALSE)),"")</f>
        <v>SAN GABRIEL</v>
      </c>
      <c r="B212" s="24" t="str">
        <f>+IFERROR(IF(GUAYAQUIL[[#This Row],[CODIGO]]="","",VLOOKUP(GUAYAQUIL[[#This Row],[CODIGO]],MAESTRO!$A:$Q,17,FALSE)),"")</f>
        <v>POSTRES</v>
      </c>
      <c r="C212" s="24" t="str">
        <f>+IFERROR(IF(GUAYAQUIL[[#This Row],[CODIGO]]="","",VLOOKUP(GUAYAQUIL[[#This Row],[CODIGO]],MAESTRO!$A:$BA,53,FALSE)),"")</f>
        <v xml:space="preserve">Luis Armendariz                         </v>
      </c>
      <c r="D212" s="24" t="str">
        <f>+IFERROR(IF(GUAYAQUIL[[#This Row],[CODIGO]]="","",VLOOKUP(GUAYAQUIL[[#This Row],[CODIGO]],MAESTRO!$A:$D,4,FALSE)),"")</f>
        <v>AREQUIPE ALPINA</v>
      </c>
      <c r="E212" s="24" t="str">
        <f>+IFERROR(IF(GUAYAQUIL[[#This Row],[CODIGO]]="","",VLOOKUP(GUAYAQUIL[[#This Row],[CODIGO]],MAESTRO!$A:$F,6,FALSE)),"")</f>
        <v>AREQUIPE ALPINA</v>
      </c>
      <c r="F212" s="42" t="str">
        <f>IF(GUAYAQUIL[[#This Row],[CODIGO]]="","",$K$6)</f>
        <v>GUAYAQUIL</v>
      </c>
      <c r="G212" s="42">
        <f>IF(GUAYAQUIL[[#This Row],[CODIGO]]="","",7711)</f>
        <v>7711</v>
      </c>
      <c r="H212" s="42">
        <f>IF(GUAYAQUIL[[#This Row],[CODIGO]]="","",1001)</f>
        <v>1001</v>
      </c>
      <c r="I212" s="258" t="s">
        <v>679</v>
      </c>
      <c r="J212" s="25" t="str">
        <f>IFERROR((VLOOKUP(GUAYAQUIL[[#This Row],[CODIGO]],MAESTRO!A:B,2,FALSE)),"")</f>
        <v>AREQUIPE VASO 500G ECU</v>
      </c>
      <c r="K212" s="35">
        <v>828</v>
      </c>
      <c r="L212" s="38">
        <f>+IFERROR(IF(GUAYAQUIL[[#This Row],[CODIGO]]="","",VLOOKUP(GUAYAQUIL[[#This Row],[CODIGO]],MAESTRO!$A:$BF,58,FALSE)),"")</f>
        <v>1</v>
      </c>
      <c r="M212" s="27">
        <f>+IFERROR(IF(GUAYAQUIL[[#This Row],[CODIGO]]="","",VLOOKUP(GUAYAQUIL[[#This Row],[CODIGO]],MAESTRO!A:N,14,FALSE)),"")</f>
        <v>0.5</v>
      </c>
      <c r="N212" s="28">
        <f>+IFERROR(IF(GUAYAQUIL[[#This Row],[CODIGO]]="","",VLOOKUP(GUAYAQUIL[[#This Row],[CODIGO]],MAESTRO!A:P,16,FALSE)),"")</f>
        <v>180</v>
      </c>
      <c r="O212" s="45">
        <v>45616</v>
      </c>
      <c r="P212" s="72" t="str">
        <f t="shared" si="15"/>
        <v>miércoles</v>
      </c>
      <c r="Q212" s="29">
        <f>IFERROR(IF(GUAYAQUIL[[#This Row],[CODIGO]]="","",IF(GUAYAQUIL[[#This Row],[Fecha Cad]]="","",(GUAYAQUIL[[#This Row],[Fecha Cad]]-GUAYAQUIL[[#This Row],[VIDA UTIL (Días)]]))+1),"")</f>
        <v>45608</v>
      </c>
      <c r="R212" s="45">
        <v>45787</v>
      </c>
      <c r="S212" s="30">
        <f t="shared" ca="1" si="16"/>
        <v>163</v>
      </c>
      <c r="T212" s="31">
        <f t="shared" ca="1" si="17"/>
        <v>0.90555555555555556</v>
      </c>
      <c r="U212" s="286">
        <v>828</v>
      </c>
      <c r="V212" s="262">
        <f>+IFERROR(IF(GUAYAQUIL[[#This Row],[CODIGO]]="","",GUAYAQUIL[[#This Row],[Stock Actual Unds]]*GUAYAQUIL[[#This Row],[Gramaje]]*GUAYAQUIL[[#This Row],[Conversión]]),"")</f>
        <v>414</v>
      </c>
      <c r="W212" s="270">
        <f t="shared" si="18"/>
        <v>8</v>
      </c>
      <c r="X212" s="32">
        <f t="shared" si="19"/>
        <v>0.9555555555555556</v>
      </c>
      <c r="Y212" s="236">
        <f>IFERROR(VLOOKUP(GUAYAQUIL[[#This Row],[CODIGO]],MAESTRO!A:BI,21,FALSE),0)</f>
        <v>1.477565</v>
      </c>
      <c r="Z212" s="237">
        <f>+IFERROR(IF(GUAYAQUIL[[#This Row],[CODIGO]]="","",GUAYAQUIL[[#This Row],[COSTO UNIT base]]*GUAYAQUIL[[#This Row],[Conversión]]),"")</f>
        <v>1.477565</v>
      </c>
      <c r="AA212" s="236">
        <f>+IFERROR(IF(GUAYAQUIL[[#This Row],[CODIGO]]="","",GUAYAQUIL[[#This Row],[COSTO UNIT Conv]]*GUAYAQUIL[[#This Row],[Stock Actual Kgs]]),"")</f>
        <v>611.71190999999999</v>
      </c>
      <c r="AB212" s="33">
        <f ca="1">+IFERROR(IF(GUAYAQUIL[[#This Row],[CODIGO]]="","",$J$3-O212),"")</f>
        <v>8</v>
      </c>
      <c r="AC212" s="34" t="str">
        <f ca="1">IF(GUAYAQUIL[[#This Row],[CODIGO]]="","",IF(S212&lt;=0,"CADUCADO",IF(AND(S212&gt;0,S212&lt;=21),"FECHA CORTA",IF(AND(S212&gt;=22,S212&lt;=26),"PROXIMOS FECHA CORTA", "VIGENTE"))))</f>
        <v>VIGENTE</v>
      </c>
      <c r="AD212" s="37">
        <f>+IF(GUAYAQUIL[[#This Row],[CODIGO]]="","",GUAYAQUIL[[#This Row],[Stock Actual Unds]]*GUAYAQUIL[[#This Row],[Gramaje]]*GUAYAQUIL[[#This Row],[Conversión]])/1000</f>
        <v>0.41399999999999998</v>
      </c>
    </row>
    <row r="213" spans="1:30">
      <c r="A213" s="24" t="str">
        <f>+IFERROR(IF(GUAYAQUIL[[#This Row],[CODIGO]]="","",VLOOKUP(GUAYAQUIL[[#This Row],[CODIGO]],MAESTRO!$A:$J,10,FALSE)),"")</f>
        <v>SAN GABRIEL</v>
      </c>
      <c r="B213" s="24" t="str">
        <f>+IFERROR(IF(GUAYAQUIL[[#This Row],[CODIGO]]="","",VLOOKUP(GUAYAQUIL[[#This Row],[CODIGO]],MAESTRO!$A:$Q,17,FALSE)),"")</f>
        <v>POSTRES</v>
      </c>
      <c r="C213" s="24" t="str">
        <f>+IFERROR(IF(GUAYAQUIL[[#This Row],[CODIGO]]="","",VLOOKUP(GUAYAQUIL[[#This Row],[CODIGO]],MAESTRO!$A:$BA,53,FALSE)),"")</f>
        <v xml:space="preserve">Luis Armendariz                         </v>
      </c>
      <c r="D213" s="24" t="str">
        <f>+IFERROR(IF(GUAYAQUIL[[#This Row],[CODIGO]]="","",VLOOKUP(GUAYAQUIL[[#This Row],[CODIGO]],MAESTRO!$A:$D,4,FALSE)),"")</f>
        <v>AREQUIPE ALPINA</v>
      </c>
      <c r="E213" s="24" t="str">
        <f>+IFERROR(IF(GUAYAQUIL[[#This Row],[CODIGO]]="","",VLOOKUP(GUAYAQUIL[[#This Row],[CODIGO]],MAESTRO!$A:$F,6,FALSE)),"")</f>
        <v>AREQUIPE ALPINA</v>
      </c>
      <c r="F213" s="42" t="str">
        <f>IF(GUAYAQUIL[[#This Row],[CODIGO]]="","",$K$6)</f>
        <v>GUAYAQUIL</v>
      </c>
      <c r="G213" s="209">
        <f>IF(GUAYAQUIL[[#This Row],[CODIGO]]="","",7711)</f>
        <v>7711</v>
      </c>
      <c r="H213" s="209">
        <f>IF(GUAYAQUIL[[#This Row],[CODIGO]]="","",1001)</f>
        <v>1001</v>
      </c>
      <c r="I213" s="258" t="s">
        <v>679</v>
      </c>
      <c r="J213" s="25" t="str">
        <f>IFERROR((VLOOKUP(GUAYAQUIL[[#This Row],[CODIGO]],MAESTRO!A:B,2,FALSE)),"")</f>
        <v>AREQUIPE VASO 500G ECU</v>
      </c>
      <c r="K213" s="35">
        <v>180</v>
      </c>
      <c r="L213" s="38">
        <f>+IFERROR(IF(GUAYAQUIL[[#This Row],[CODIGO]]="","",VLOOKUP(GUAYAQUIL[[#This Row],[CODIGO]],MAESTRO!$A:$BF,58,FALSE)),"")</f>
        <v>1</v>
      </c>
      <c r="M213" s="27">
        <f>+IFERROR(IF(GUAYAQUIL[[#This Row],[CODIGO]]="","",VLOOKUP(GUAYAQUIL[[#This Row],[CODIGO]],MAESTRO!A:N,14,FALSE)),"")</f>
        <v>0.5</v>
      </c>
      <c r="N213" s="28">
        <f>+IFERROR(IF(GUAYAQUIL[[#This Row],[CODIGO]]="","",VLOOKUP(GUAYAQUIL[[#This Row],[CODIGO]],MAESTRO!A:P,16,FALSE)),"")</f>
        <v>180</v>
      </c>
      <c r="O213" s="45">
        <v>45617</v>
      </c>
      <c r="P213" s="72" t="str">
        <f t="shared" si="15"/>
        <v>jueves</v>
      </c>
      <c r="Q213" s="29">
        <f>IFERROR(IF(GUAYAQUIL[[#This Row],[CODIGO]]="","",IF(GUAYAQUIL[[#This Row],[Fecha Cad]]="","",(GUAYAQUIL[[#This Row],[Fecha Cad]]-GUAYAQUIL[[#This Row],[VIDA UTIL (Días)]]))+1),"")</f>
        <v>45615</v>
      </c>
      <c r="R213" s="45">
        <v>45794</v>
      </c>
      <c r="S213" s="30">
        <f t="shared" ca="1" si="16"/>
        <v>170</v>
      </c>
      <c r="T213" s="31">
        <f t="shared" ca="1" si="17"/>
        <v>0.94444444444444442</v>
      </c>
      <c r="U213" s="286">
        <v>180</v>
      </c>
      <c r="V213" s="262">
        <f>+IFERROR(IF(GUAYAQUIL[[#This Row],[CODIGO]]="","",GUAYAQUIL[[#This Row],[Stock Actual Unds]]*GUAYAQUIL[[#This Row],[Gramaje]]*GUAYAQUIL[[#This Row],[Conversión]]),"")</f>
        <v>90</v>
      </c>
      <c r="W213" s="270">
        <f t="shared" si="18"/>
        <v>2</v>
      </c>
      <c r="X213" s="32">
        <f t="shared" si="19"/>
        <v>0.98888888888888893</v>
      </c>
      <c r="Y213" s="236">
        <f>IFERROR(VLOOKUP(GUAYAQUIL[[#This Row],[CODIGO]],MAESTRO!A:BI,21,FALSE),0)</f>
        <v>1.477565</v>
      </c>
      <c r="Z213" s="237">
        <f>+IFERROR(IF(GUAYAQUIL[[#This Row],[CODIGO]]="","",GUAYAQUIL[[#This Row],[COSTO UNIT base]]*GUAYAQUIL[[#This Row],[Conversión]]),"")</f>
        <v>1.477565</v>
      </c>
      <c r="AA213" s="236">
        <f>+IFERROR(IF(GUAYAQUIL[[#This Row],[CODIGO]]="","",GUAYAQUIL[[#This Row],[COSTO UNIT Conv]]*GUAYAQUIL[[#This Row],[Stock Actual Kgs]]),"")</f>
        <v>132.98085</v>
      </c>
      <c r="AB213" s="33">
        <f ca="1">+IFERROR(IF(GUAYAQUIL[[#This Row],[CODIGO]]="","",$J$3-O213),"")</f>
        <v>7</v>
      </c>
      <c r="AC213" s="34" t="str">
        <f ca="1">IF(GUAYAQUIL[[#This Row],[CODIGO]]="","",IF(S213&lt;=0,"CADUCADO",IF(AND(S213&gt;0,S213&lt;=21),"FECHA CORTA",IF(AND(S213&gt;=22,S213&lt;=26),"PROXIMOS FECHA CORTA", "VIGENTE"))))</f>
        <v>VIGENTE</v>
      </c>
      <c r="AD213" s="37">
        <f>+IF(GUAYAQUIL[[#This Row],[CODIGO]]="","",GUAYAQUIL[[#This Row],[Stock Actual Unds]]*GUAYAQUIL[[#This Row],[Gramaje]]*GUAYAQUIL[[#This Row],[Conversión]])/1000</f>
        <v>0.09</v>
      </c>
    </row>
    <row r="214" spans="1:30">
      <c r="A214" s="24" t="str">
        <f>+IFERROR(IF(GUAYAQUIL[[#This Row],[CODIGO]]="","",VLOOKUP(GUAYAQUIL[[#This Row],[CODIGO]],MAESTRO!$A:$J,10,FALSE)),"")</f>
        <v>MACHACHI</v>
      </c>
      <c r="B214" s="24" t="str">
        <f>+IFERROR(IF(GUAYAQUIL[[#This Row],[CODIGO]]="","",VLOOKUP(GUAYAQUIL[[#This Row],[CODIGO]],MAESTRO!$A:$Q,17,FALSE)),"")</f>
        <v>BEBIDAS LACTEAS</v>
      </c>
      <c r="C214" s="24" t="str">
        <f>+IFERROR(IF(GUAYAQUIL[[#This Row],[CODIGO]]="","",VLOOKUP(GUAYAQUIL[[#This Row],[CODIGO]],MAESTRO!$A:$BA,53,FALSE)),"")</f>
        <v xml:space="preserve">Luis Armendariz                         </v>
      </c>
      <c r="D214" s="24" t="str">
        <f>+IFERROR(IF(GUAYAQUIL[[#This Row],[CODIGO]]="","",VLOOKUP(GUAYAQUIL[[#This Row],[CODIGO]],MAESTRO!$A:$D,4,FALSE)),"")</f>
        <v>BON YURT</v>
      </c>
      <c r="E214" s="24" t="str">
        <f>+IFERROR(IF(GUAYAQUIL[[#This Row],[CODIGO]]="","",VLOOKUP(GUAYAQUIL[[#This Row],[CODIGO]],MAESTRO!$A:$F,6,FALSE)),"")</f>
        <v>BON YURT REGULAR</v>
      </c>
      <c r="F214" s="42" t="str">
        <f>IF(GUAYAQUIL[[#This Row],[CODIGO]]="","",$K$6)</f>
        <v>GUAYAQUIL</v>
      </c>
      <c r="G214" s="42">
        <f>IF(GUAYAQUIL[[#This Row],[CODIGO]]="","",7711)</f>
        <v>7711</v>
      </c>
      <c r="H214" s="42">
        <f>IF(GUAYAQUIL[[#This Row],[CODIGO]]="","",1001)</f>
        <v>1001</v>
      </c>
      <c r="I214" s="258" t="s">
        <v>2368</v>
      </c>
      <c r="J214" s="25" t="str">
        <f>IFERROR((VLOOKUP(GUAYAQUIL[[#This Row],[CODIGO]],MAESTRO!A:B,2,FALSE)),"")</f>
        <v>BONYURT FRUTILLA ZUCARITAS</v>
      </c>
      <c r="K214" s="35">
        <v>120</v>
      </c>
      <c r="L214" s="38">
        <f>+IFERROR(IF(GUAYAQUIL[[#This Row],[CODIGO]]="","",VLOOKUP(GUAYAQUIL[[#This Row],[CODIGO]],MAESTRO!$A:$BF,58,FALSE)),"")</f>
        <v>1</v>
      </c>
      <c r="M214" s="27">
        <f>+IFERROR(IF(GUAYAQUIL[[#This Row],[CODIGO]]="","",VLOOKUP(GUAYAQUIL[[#This Row],[CODIGO]],MAESTRO!A:N,14,FALSE)),"")</f>
        <v>0.16300000000000001</v>
      </c>
      <c r="N214" s="28">
        <f>+IFERROR(IF(GUAYAQUIL[[#This Row],[CODIGO]]="","",VLOOKUP(GUAYAQUIL[[#This Row],[CODIGO]],MAESTRO!A:P,16,FALSE)),"")</f>
        <v>45</v>
      </c>
      <c r="O214" s="45">
        <v>45611</v>
      </c>
      <c r="P214" s="72" t="str">
        <f t="shared" si="15"/>
        <v>viernes</v>
      </c>
      <c r="Q214" s="29">
        <f>IFERROR(IF(GUAYAQUIL[[#This Row],[CODIGO]]="","",IF(GUAYAQUIL[[#This Row],[Fecha Cad]]="","",(GUAYAQUIL[[#This Row],[Fecha Cad]]-GUAYAQUIL[[#This Row],[VIDA UTIL (Días)]]))+1),"")</f>
        <v>45605</v>
      </c>
      <c r="R214" s="45">
        <v>45649</v>
      </c>
      <c r="S214" s="30">
        <f t="shared" ca="1" si="16"/>
        <v>25</v>
      </c>
      <c r="T214" s="31">
        <f t="shared" ca="1" si="17"/>
        <v>0.55555555555555558</v>
      </c>
      <c r="U214" s="286">
        <v>120</v>
      </c>
      <c r="V214" s="262">
        <f>+IFERROR(IF(GUAYAQUIL[[#This Row],[CODIGO]]="","",GUAYAQUIL[[#This Row],[Stock Actual Unds]]*GUAYAQUIL[[#This Row],[Gramaje]]*GUAYAQUIL[[#This Row],[Conversión]]),"")</f>
        <v>19.560000000000002</v>
      </c>
      <c r="W214" s="270">
        <f t="shared" si="18"/>
        <v>6</v>
      </c>
      <c r="X214" s="32">
        <f t="shared" si="19"/>
        <v>0.8666666666666667</v>
      </c>
      <c r="Y214" s="236">
        <f>IFERROR(VLOOKUP(GUAYAQUIL[[#This Row],[CODIGO]],MAESTRO!A:BI,21,FALSE),0)</f>
        <v>0.298205</v>
      </c>
      <c r="Z214" s="237">
        <f>+IFERROR(IF(GUAYAQUIL[[#This Row],[CODIGO]]="","",GUAYAQUIL[[#This Row],[COSTO UNIT base]]*GUAYAQUIL[[#This Row],[Conversión]]),"")</f>
        <v>0.298205</v>
      </c>
      <c r="AA214" s="236">
        <f>+IFERROR(IF(GUAYAQUIL[[#This Row],[CODIGO]]="","",GUAYAQUIL[[#This Row],[COSTO UNIT Conv]]*GUAYAQUIL[[#This Row],[Stock Actual Kgs]]),"")</f>
        <v>5.8328898000000002</v>
      </c>
      <c r="AB214" s="33">
        <f ca="1">+IFERROR(IF(GUAYAQUIL[[#This Row],[CODIGO]]="","",$J$3-O214),"")</f>
        <v>13</v>
      </c>
      <c r="AC214" s="34" t="str">
        <f ca="1">IF(GUAYAQUIL[[#This Row],[CODIGO]]="","",IF(S214&lt;=0,"CADUCADO",IF(AND(S214&gt;0,S214&lt;=21),"FECHA CORTA",IF(AND(S214&gt;=22,S214&lt;=26),"PROXIMOS FECHA CORTA", "VIGENTE"))))</f>
        <v>PROXIMOS FECHA CORTA</v>
      </c>
      <c r="AD214" s="37">
        <f>+IF(GUAYAQUIL[[#This Row],[CODIGO]]="","",GUAYAQUIL[[#This Row],[Stock Actual Unds]]*GUAYAQUIL[[#This Row],[Gramaje]]*GUAYAQUIL[[#This Row],[Conversión]])/1000</f>
        <v>1.9560000000000001E-2</v>
      </c>
    </row>
    <row r="215" spans="1:30">
      <c r="A215" s="24" t="str">
        <f>+IFERROR(IF(GUAYAQUIL[[#This Row],[CODIGO]]="","",VLOOKUP(GUAYAQUIL[[#This Row],[CODIGO]],MAESTRO!$A:$J,10,FALSE)),"")</f>
        <v>MACHACHI</v>
      </c>
      <c r="B215" s="24" t="str">
        <f>+IFERROR(IF(GUAYAQUIL[[#This Row],[CODIGO]]="","",VLOOKUP(GUAYAQUIL[[#This Row],[CODIGO]],MAESTRO!$A:$Q,17,FALSE)),"")</f>
        <v>BEBIDAS LACTEAS</v>
      </c>
      <c r="C215" s="24" t="str">
        <f>+IFERROR(IF(GUAYAQUIL[[#This Row],[CODIGO]]="","",VLOOKUP(GUAYAQUIL[[#This Row],[CODIGO]],MAESTRO!$A:$BA,53,FALSE)),"")</f>
        <v xml:space="preserve">Luis Armendariz                         </v>
      </c>
      <c r="D215" s="24" t="str">
        <f>+IFERROR(IF(GUAYAQUIL[[#This Row],[CODIGO]]="","",VLOOKUP(GUAYAQUIL[[#This Row],[CODIGO]],MAESTRO!$A:$D,4,FALSE)),"")</f>
        <v>BON YURT</v>
      </c>
      <c r="E215" s="24" t="str">
        <f>+IFERROR(IF(GUAYAQUIL[[#This Row],[CODIGO]]="","",VLOOKUP(GUAYAQUIL[[#This Row],[CODIGO]],MAESTRO!$A:$F,6,FALSE)),"")</f>
        <v>BON YURT REGULAR</v>
      </c>
      <c r="F215" s="42" t="str">
        <f>IF(GUAYAQUIL[[#This Row],[CODIGO]]="","",$K$6)</f>
        <v>GUAYAQUIL</v>
      </c>
      <c r="G215" s="42">
        <f>IF(GUAYAQUIL[[#This Row],[CODIGO]]="","",7711)</f>
        <v>7711</v>
      </c>
      <c r="H215" s="42">
        <f>IF(GUAYAQUIL[[#This Row],[CODIGO]]="","",1001)</f>
        <v>1001</v>
      </c>
      <c r="I215" s="258" t="s">
        <v>2368</v>
      </c>
      <c r="J215" s="25" t="str">
        <f>IFERROR((VLOOKUP(GUAYAQUIL[[#This Row],[CODIGO]],MAESTRO!A:B,2,FALSE)),"")</f>
        <v>BONYURT FRUTILLA ZUCARITAS</v>
      </c>
      <c r="K215" s="35">
        <v>120</v>
      </c>
      <c r="L215" s="38">
        <f>+IFERROR(IF(GUAYAQUIL[[#This Row],[CODIGO]]="","",VLOOKUP(GUAYAQUIL[[#This Row],[CODIGO]],MAESTRO!$A:$BF,58,FALSE)),"")</f>
        <v>1</v>
      </c>
      <c r="M215" s="27">
        <f>+IFERROR(IF(GUAYAQUIL[[#This Row],[CODIGO]]="","",VLOOKUP(GUAYAQUIL[[#This Row],[CODIGO]],MAESTRO!A:N,14,FALSE)),"")</f>
        <v>0.16300000000000001</v>
      </c>
      <c r="N215" s="28">
        <f>+IFERROR(IF(GUAYAQUIL[[#This Row],[CODIGO]]="","",VLOOKUP(GUAYAQUIL[[#This Row],[CODIGO]],MAESTRO!A:P,16,FALSE)),"")</f>
        <v>45</v>
      </c>
      <c r="O215" s="29">
        <v>45610</v>
      </c>
      <c r="P215" s="72" t="str">
        <f t="shared" si="15"/>
        <v>jueves</v>
      </c>
      <c r="Q215" s="29">
        <f>IFERROR(IF(GUAYAQUIL[[#This Row],[CODIGO]]="","",IF(GUAYAQUIL[[#This Row],[Fecha Cad]]="","",(GUAYAQUIL[[#This Row],[Fecha Cad]]-GUAYAQUIL[[#This Row],[VIDA UTIL (Días)]]))+1),"")</f>
        <v>45605</v>
      </c>
      <c r="R215" s="29">
        <v>45649</v>
      </c>
      <c r="S215" s="30">
        <f t="shared" ca="1" si="16"/>
        <v>25</v>
      </c>
      <c r="T215" s="31">
        <f t="shared" ca="1" si="17"/>
        <v>0.55555555555555558</v>
      </c>
      <c r="U215" s="286">
        <v>47</v>
      </c>
      <c r="V215" s="262">
        <f>+IFERROR(IF(GUAYAQUIL[[#This Row],[CODIGO]]="","",GUAYAQUIL[[#This Row],[Stock Actual Unds]]*GUAYAQUIL[[#This Row],[Gramaje]]*GUAYAQUIL[[#This Row],[Conversión]]),"")</f>
        <v>7.6610000000000005</v>
      </c>
      <c r="W215" s="270">
        <f t="shared" si="18"/>
        <v>5</v>
      </c>
      <c r="X215" s="32">
        <f t="shared" si="19"/>
        <v>0.88888888888888884</v>
      </c>
      <c r="Y215" s="236">
        <f>IFERROR(VLOOKUP(GUAYAQUIL[[#This Row],[CODIGO]],MAESTRO!A:BI,21,FALSE),0)</f>
        <v>0.298205</v>
      </c>
      <c r="Z215" s="237">
        <f>+IFERROR(IF(GUAYAQUIL[[#This Row],[CODIGO]]="","",GUAYAQUIL[[#This Row],[COSTO UNIT base]]*GUAYAQUIL[[#This Row],[Conversión]]),"")</f>
        <v>0.298205</v>
      </c>
      <c r="AA215" s="236">
        <f>+IFERROR(IF(GUAYAQUIL[[#This Row],[CODIGO]]="","",GUAYAQUIL[[#This Row],[COSTO UNIT Conv]]*GUAYAQUIL[[#This Row],[Stock Actual Kgs]]),"")</f>
        <v>2.2845485050000001</v>
      </c>
      <c r="AB215" s="33">
        <f ca="1">+IFERROR(IF(GUAYAQUIL[[#This Row],[CODIGO]]="","",$J$3-O215),"")</f>
        <v>14</v>
      </c>
      <c r="AC215" s="34" t="str">
        <f ca="1">IF(GUAYAQUIL[[#This Row],[CODIGO]]="","",IF(S215&lt;=0,"CADUCADO",IF(AND(S215&gt;0,S215&lt;=21),"FECHA CORTA",IF(AND(S215&gt;=22,S215&lt;=26),"PROXIMOS FECHA CORTA", "VIGENTE"))))</f>
        <v>PROXIMOS FECHA CORTA</v>
      </c>
      <c r="AD215" s="37">
        <f>+IF(GUAYAQUIL[[#This Row],[CODIGO]]="","",GUAYAQUIL[[#This Row],[Stock Actual Unds]]*GUAYAQUIL[[#This Row],[Gramaje]]*GUAYAQUIL[[#This Row],[Conversión]])/1000</f>
        <v>7.6610000000000003E-3</v>
      </c>
    </row>
    <row r="216" spans="1:30">
      <c r="A216" s="24" t="str">
        <f>+IFERROR(IF(GUAYAQUIL[[#This Row],[CODIGO]]="","",VLOOKUP(GUAYAQUIL[[#This Row],[CODIGO]],MAESTRO!$A:$J,10,FALSE)),"")</f>
        <v>MACHACHI</v>
      </c>
      <c r="B216" s="24" t="str">
        <f>+IFERROR(IF(GUAYAQUIL[[#This Row],[CODIGO]]="","",VLOOKUP(GUAYAQUIL[[#This Row],[CODIGO]],MAESTRO!$A:$Q,17,FALSE)),"")</f>
        <v>BEBIDAS LACTEAS</v>
      </c>
      <c r="C216" s="24" t="str">
        <f>+IFERROR(IF(GUAYAQUIL[[#This Row],[CODIGO]]="","",VLOOKUP(GUAYAQUIL[[#This Row],[CODIGO]],MAESTRO!$A:$BA,53,FALSE)),"")</f>
        <v xml:space="preserve">Luis Armendariz                         </v>
      </c>
      <c r="D216" s="24" t="str">
        <f>+IFERROR(IF(GUAYAQUIL[[#This Row],[CODIGO]]="","",VLOOKUP(GUAYAQUIL[[#This Row],[CODIGO]],MAESTRO!$A:$D,4,FALSE)),"")</f>
        <v>BON YURT</v>
      </c>
      <c r="E216" s="24" t="str">
        <f>+IFERROR(IF(GUAYAQUIL[[#This Row],[CODIGO]]="","",VLOOKUP(GUAYAQUIL[[#This Row],[CODIGO]],MAESTRO!$A:$F,6,FALSE)),"")</f>
        <v>BON YURT REGULAR</v>
      </c>
      <c r="F216" s="42" t="str">
        <f>IF(GUAYAQUIL[[#This Row],[CODIGO]]="","",$K$6)</f>
        <v>GUAYAQUIL</v>
      </c>
      <c r="G216" s="42">
        <f>IF(GUAYAQUIL[[#This Row],[CODIGO]]="","",7711)</f>
        <v>7711</v>
      </c>
      <c r="H216" s="42">
        <f>IF(GUAYAQUIL[[#This Row],[CODIGO]]="","",1001)</f>
        <v>1001</v>
      </c>
      <c r="I216" s="258" t="s">
        <v>2368</v>
      </c>
      <c r="J216" s="25" t="str">
        <f>IFERROR((VLOOKUP(GUAYAQUIL[[#This Row],[CODIGO]],MAESTRO!A:B,2,FALSE)),"")</f>
        <v>BONYURT FRUTILLA ZUCARITAS</v>
      </c>
      <c r="K216" s="35">
        <v>120</v>
      </c>
      <c r="L216" s="38">
        <f>+IFERROR(IF(GUAYAQUIL[[#This Row],[CODIGO]]="","",VLOOKUP(GUAYAQUIL[[#This Row],[CODIGO]],MAESTRO!$A:$BF,58,FALSE)),"")</f>
        <v>1</v>
      </c>
      <c r="M216" s="27">
        <f>+IFERROR(IF(GUAYAQUIL[[#This Row],[CODIGO]]="","",VLOOKUP(GUAYAQUIL[[#This Row],[CODIGO]],MAESTRO!A:N,14,FALSE)),"")</f>
        <v>0.16300000000000001</v>
      </c>
      <c r="N216" s="28">
        <f>+IFERROR(IF(GUAYAQUIL[[#This Row],[CODIGO]]="","",VLOOKUP(GUAYAQUIL[[#This Row],[CODIGO]],MAESTRO!A:P,16,FALSE)),"")</f>
        <v>45</v>
      </c>
      <c r="O216" s="29">
        <v>45615</v>
      </c>
      <c r="P216" s="72" t="str">
        <f t="shared" si="15"/>
        <v>martes</v>
      </c>
      <c r="Q216" s="29">
        <f>IFERROR(IF(GUAYAQUIL[[#This Row],[CODIGO]]="","",IF(GUAYAQUIL[[#This Row],[Fecha Cad]]="","",(GUAYAQUIL[[#This Row],[Fecha Cad]]-GUAYAQUIL[[#This Row],[VIDA UTIL (Días)]]))+1),"")</f>
        <v>45605</v>
      </c>
      <c r="R216" s="29">
        <v>45649</v>
      </c>
      <c r="S216" s="30">
        <f t="shared" ca="1" si="16"/>
        <v>25</v>
      </c>
      <c r="T216" s="31">
        <f t="shared" ca="1" si="17"/>
        <v>0.55555555555555558</v>
      </c>
      <c r="U216" s="286">
        <v>120</v>
      </c>
      <c r="V216" s="262">
        <f>+IFERROR(IF(GUAYAQUIL[[#This Row],[CODIGO]]="","",GUAYAQUIL[[#This Row],[Stock Actual Unds]]*GUAYAQUIL[[#This Row],[Gramaje]]*GUAYAQUIL[[#This Row],[Conversión]]),"")</f>
        <v>19.560000000000002</v>
      </c>
      <c r="W216" s="270">
        <f t="shared" si="18"/>
        <v>10</v>
      </c>
      <c r="X216" s="32">
        <f t="shared" si="19"/>
        <v>0.77777777777777779</v>
      </c>
      <c r="Y216" s="236">
        <f>IFERROR(VLOOKUP(GUAYAQUIL[[#This Row],[CODIGO]],MAESTRO!A:BI,21,FALSE),0)</f>
        <v>0.298205</v>
      </c>
      <c r="Z216" s="237">
        <f>+IFERROR(IF(GUAYAQUIL[[#This Row],[CODIGO]]="","",GUAYAQUIL[[#This Row],[COSTO UNIT base]]*GUAYAQUIL[[#This Row],[Conversión]]),"")</f>
        <v>0.298205</v>
      </c>
      <c r="AA216" s="236">
        <f>+IFERROR(IF(GUAYAQUIL[[#This Row],[CODIGO]]="","",GUAYAQUIL[[#This Row],[COSTO UNIT Conv]]*GUAYAQUIL[[#This Row],[Stock Actual Kgs]]),"")</f>
        <v>5.8328898000000002</v>
      </c>
      <c r="AB216" s="33">
        <f ca="1">+IFERROR(IF(GUAYAQUIL[[#This Row],[CODIGO]]="","",$J$3-O216),"")</f>
        <v>9</v>
      </c>
      <c r="AC216" s="34" t="str">
        <f ca="1">IF(GUAYAQUIL[[#This Row],[CODIGO]]="","",IF(S216&lt;=0,"CADUCADO",IF(AND(S216&gt;0,S216&lt;=21),"FECHA CORTA",IF(AND(S216&gt;=22,S216&lt;=26),"PROXIMOS FECHA CORTA", "VIGENTE"))))</f>
        <v>PROXIMOS FECHA CORTA</v>
      </c>
      <c r="AD216" s="37">
        <f>+IF(GUAYAQUIL[[#This Row],[CODIGO]]="","",GUAYAQUIL[[#This Row],[Stock Actual Unds]]*GUAYAQUIL[[#This Row],[Gramaje]]*GUAYAQUIL[[#This Row],[Conversión]])/1000</f>
        <v>1.9560000000000001E-2</v>
      </c>
    </row>
    <row r="217" spans="1:30">
      <c r="A217" s="24" t="str">
        <f>+IFERROR(IF(GUAYAQUIL[[#This Row],[CODIGO]]="","",VLOOKUP(GUAYAQUIL[[#This Row],[CODIGO]],MAESTRO!$A:$J,10,FALSE)),"")</f>
        <v>MACHACHI</v>
      </c>
      <c r="B217" s="24" t="str">
        <f>+IFERROR(IF(GUAYAQUIL[[#This Row],[CODIGO]]="","",VLOOKUP(GUAYAQUIL[[#This Row],[CODIGO]],MAESTRO!$A:$Q,17,FALSE)),"")</f>
        <v>BEBIDAS LACTEAS</v>
      </c>
      <c r="C217" s="24" t="str">
        <f>+IFERROR(IF(GUAYAQUIL[[#This Row],[CODIGO]]="","",VLOOKUP(GUAYAQUIL[[#This Row],[CODIGO]],MAESTRO!$A:$BA,53,FALSE)),"")</f>
        <v xml:space="preserve">Luis Armendariz                         </v>
      </c>
      <c r="D217" s="24" t="str">
        <f>+IFERROR(IF(GUAYAQUIL[[#This Row],[CODIGO]]="","",VLOOKUP(GUAYAQUIL[[#This Row],[CODIGO]],MAESTRO!$A:$D,4,FALSE)),"")</f>
        <v>BON YURT</v>
      </c>
      <c r="E217" s="24" t="str">
        <f>+IFERROR(IF(GUAYAQUIL[[#This Row],[CODIGO]]="","",VLOOKUP(GUAYAQUIL[[#This Row],[CODIGO]],MAESTRO!$A:$F,6,FALSE)),"")</f>
        <v>BON YURT REGULAR</v>
      </c>
      <c r="F217" s="42" t="str">
        <f>IF(GUAYAQUIL[[#This Row],[CODIGO]]="","",$K$6)</f>
        <v>GUAYAQUIL</v>
      </c>
      <c r="G217" s="42">
        <f>IF(GUAYAQUIL[[#This Row],[CODIGO]]="","",7711)</f>
        <v>7711</v>
      </c>
      <c r="H217" s="42">
        <f>IF(GUAYAQUIL[[#This Row],[CODIGO]]="","",1001)</f>
        <v>1001</v>
      </c>
      <c r="I217" s="258" t="s">
        <v>2368</v>
      </c>
      <c r="J217" s="25" t="str">
        <f>IFERROR((VLOOKUP(GUAYAQUIL[[#This Row],[CODIGO]],MAESTRO!A:B,2,FALSE)),"")</f>
        <v>BONYURT FRUTILLA ZUCARITAS</v>
      </c>
      <c r="K217" s="35">
        <v>120</v>
      </c>
      <c r="L217" s="38">
        <f>+IFERROR(IF(GUAYAQUIL[[#This Row],[CODIGO]]="","",VLOOKUP(GUAYAQUIL[[#This Row],[CODIGO]],MAESTRO!$A:$BF,58,FALSE)),"")</f>
        <v>1</v>
      </c>
      <c r="M217" s="27">
        <f>+IFERROR(IF(GUAYAQUIL[[#This Row],[CODIGO]]="","",VLOOKUP(GUAYAQUIL[[#This Row],[CODIGO]],MAESTRO!A:N,14,FALSE)),"")</f>
        <v>0.16300000000000001</v>
      </c>
      <c r="N217" s="28">
        <f>+IFERROR(IF(GUAYAQUIL[[#This Row],[CODIGO]]="","",VLOOKUP(GUAYAQUIL[[#This Row],[CODIGO]],MAESTRO!A:P,16,FALSE)),"")</f>
        <v>45</v>
      </c>
      <c r="O217" s="29">
        <v>45616</v>
      </c>
      <c r="P217" s="72" t="str">
        <f t="shared" si="15"/>
        <v>miércoles</v>
      </c>
      <c r="Q217" s="29">
        <f>IFERROR(IF(GUAYAQUIL[[#This Row],[CODIGO]]="","",IF(GUAYAQUIL[[#This Row],[Fecha Cad]]="","",(GUAYAQUIL[[#This Row],[Fecha Cad]]-GUAYAQUIL[[#This Row],[VIDA UTIL (Días)]]))+1),"")</f>
        <v>45612</v>
      </c>
      <c r="R217" s="29">
        <v>45656</v>
      </c>
      <c r="S217" s="30">
        <f t="shared" ca="1" si="16"/>
        <v>32</v>
      </c>
      <c r="T217" s="31">
        <f t="shared" ca="1" si="17"/>
        <v>0.71111111111111114</v>
      </c>
      <c r="U217" s="286">
        <v>0</v>
      </c>
      <c r="V217" s="262">
        <f>+IFERROR(IF(GUAYAQUIL[[#This Row],[CODIGO]]="","",GUAYAQUIL[[#This Row],[Stock Actual Unds]]*GUAYAQUIL[[#This Row],[Gramaje]]*GUAYAQUIL[[#This Row],[Conversión]]),"")</f>
        <v>0</v>
      </c>
      <c r="W217" s="270">
        <f t="shared" si="18"/>
        <v>4</v>
      </c>
      <c r="X217" s="32">
        <f t="shared" si="19"/>
        <v>0.91111111111111109</v>
      </c>
      <c r="Y217" s="236">
        <f>IFERROR(VLOOKUP(GUAYAQUIL[[#This Row],[CODIGO]],MAESTRO!A:BI,21,FALSE),0)</f>
        <v>0.298205</v>
      </c>
      <c r="Z217" s="237">
        <f>+IFERROR(IF(GUAYAQUIL[[#This Row],[CODIGO]]="","",GUAYAQUIL[[#This Row],[COSTO UNIT base]]*GUAYAQUIL[[#This Row],[Conversión]]),"")</f>
        <v>0.298205</v>
      </c>
      <c r="AA217" s="236">
        <f>+IFERROR(IF(GUAYAQUIL[[#This Row],[CODIGO]]="","",GUAYAQUIL[[#This Row],[COSTO UNIT Conv]]*GUAYAQUIL[[#This Row],[Stock Actual Kgs]]),"")</f>
        <v>0</v>
      </c>
      <c r="AB217" s="33">
        <f ca="1">+IFERROR(IF(GUAYAQUIL[[#This Row],[CODIGO]]="","",$J$3-O217),"")</f>
        <v>8</v>
      </c>
      <c r="AC217" s="34" t="str">
        <f ca="1">IF(GUAYAQUIL[[#This Row],[CODIGO]]="","",IF(S217&lt;=0,"CADUCADO",IF(AND(S217&gt;0,S217&lt;=21),"FECHA CORTA",IF(AND(S217&gt;=22,S217&lt;=26),"PROXIMOS FECHA CORTA", "VIGENTE"))))</f>
        <v>VIGENTE</v>
      </c>
      <c r="AD217" s="37">
        <f>+IF(GUAYAQUIL[[#This Row],[CODIGO]]="","",GUAYAQUIL[[#This Row],[Stock Actual Unds]]*GUAYAQUIL[[#This Row],[Gramaje]]*GUAYAQUIL[[#This Row],[Conversión]])/1000</f>
        <v>0</v>
      </c>
    </row>
    <row r="218" spans="1:30">
      <c r="A218" s="24" t="str">
        <f>+IFERROR(IF(GUAYAQUIL[[#This Row],[CODIGO]]="","",VLOOKUP(GUAYAQUIL[[#This Row],[CODIGO]],MAESTRO!$A:$J,10,FALSE)),"")</f>
        <v>MACHACHI</v>
      </c>
      <c r="B218" s="24" t="str">
        <f>+IFERROR(IF(GUAYAQUIL[[#This Row],[CODIGO]]="","",VLOOKUP(GUAYAQUIL[[#This Row],[CODIGO]],MAESTRO!$A:$Q,17,FALSE)),"")</f>
        <v>BEBIDAS LACTEAS</v>
      </c>
      <c r="C218" s="24" t="str">
        <f>+IFERROR(IF(GUAYAQUIL[[#This Row],[CODIGO]]="","",VLOOKUP(GUAYAQUIL[[#This Row],[CODIGO]],MAESTRO!$A:$BA,53,FALSE)),"")</f>
        <v xml:space="preserve">Luis Armendariz                         </v>
      </c>
      <c r="D218" s="24" t="str">
        <f>+IFERROR(IF(GUAYAQUIL[[#This Row],[CODIGO]]="","",VLOOKUP(GUAYAQUIL[[#This Row],[CODIGO]],MAESTRO!$A:$D,4,FALSE)),"")</f>
        <v>BON YURT</v>
      </c>
      <c r="E218" s="24" t="str">
        <f>+IFERROR(IF(GUAYAQUIL[[#This Row],[CODIGO]]="","",VLOOKUP(GUAYAQUIL[[#This Row],[CODIGO]],MAESTRO!$A:$F,6,FALSE)),"")</f>
        <v>BON YURT REGULAR</v>
      </c>
      <c r="F218" s="42" t="str">
        <f>IF(GUAYAQUIL[[#This Row],[CODIGO]]="","",$K$6)</f>
        <v>GUAYAQUIL</v>
      </c>
      <c r="G218" s="42">
        <f>IF(GUAYAQUIL[[#This Row],[CODIGO]]="","",7711)</f>
        <v>7711</v>
      </c>
      <c r="H218" s="42">
        <f>IF(GUAYAQUIL[[#This Row],[CODIGO]]="","",1001)</f>
        <v>1001</v>
      </c>
      <c r="I218" s="258" t="s">
        <v>2368</v>
      </c>
      <c r="J218" s="25" t="str">
        <f>IFERROR((VLOOKUP(GUAYAQUIL[[#This Row],[CODIGO]],MAESTRO!A:B,2,FALSE)),"")</f>
        <v>BONYURT FRUTILLA ZUCARITAS</v>
      </c>
      <c r="K218" s="35">
        <v>120</v>
      </c>
      <c r="L218" s="38">
        <f>+IFERROR(IF(GUAYAQUIL[[#This Row],[CODIGO]]="","",VLOOKUP(GUAYAQUIL[[#This Row],[CODIGO]],MAESTRO!$A:$BF,58,FALSE)),"")</f>
        <v>1</v>
      </c>
      <c r="M218" s="27">
        <f>+IFERROR(IF(GUAYAQUIL[[#This Row],[CODIGO]]="","",VLOOKUP(GUAYAQUIL[[#This Row],[CODIGO]],MAESTRO!A:N,14,FALSE)),"")</f>
        <v>0.16300000000000001</v>
      </c>
      <c r="N218" s="28">
        <f>+IFERROR(IF(GUAYAQUIL[[#This Row],[CODIGO]]="","",VLOOKUP(GUAYAQUIL[[#This Row],[CODIGO]],MAESTRO!A:P,16,FALSE)),"")</f>
        <v>45</v>
      </c>
      <c r="O218" s="29">
        <v>45617</v>
      </c>
      <c r="P218" s="72" t="str">
        <f t="shared" si="15"/>
        <v>jueves</v>
      </c>
      <c r="Q218" s="29">
        <f>IFERROR(IF(GUAYAQUIL[[#This Row],[CODIGO]]="","",IF(GUAYAQUIL[[#This Row],[Fecha Cad]]="","",(GUAYAQUIL[[#This Row],[Fecha Cad]]-GUAYAQUIL[[#This Row],[VIDA UTIL (Días)]]))+1),"")</f>
        <v>45612</v>
      </c>
      <c r="R218" s="29">
        <v>45656</v>
      </c>
      <c r="S218" s="30">
        <f t="shared" ca="1" si="16"/>
        <v>32</v>
      </c>
      <c r="T218" s="31">
        <f t="shared" ca="1" si="17"/>
        <v>0.71111111111111114</v>
      </c>
      <c r="U218" s="286">
        <v>120</v>
      </c>
      <c r="V218" s="262">
        <f>+IFERROR(IF(GUAYAQUIL[[#This Row],[CODIGO]]="","",GUAYAQUIL[[#This Row],[Stock Actual Unds]]*GUAYAQUIL[[#This Row],[Gramaje]]*GUAYAQUIL[[#This Row],[Conversión]]),"")</f>
        <v>19.560000000000002</v>
      </c>
      <c r="W218" s="270">
        <f t="shared" si="18"/>
        <v>5</v>
      </c>
      <c r="X218" s="32">
        <f t="shared" si="19"/>
        <v>0.88888888888888884</v>
      </c>
      <c r="Y218" s="236">
        <f>IFERROR(VLOOKUP(GUAYAQUIL[[#This Row],[CODIGO]],MAESTRO!A:BI,21,FALSE),0)</f>
        <v>0.298205</v>
      </c>
      <c r="Z218" s="237">
        <f>+IFERROR(IF(GUAYAQUIL[[#This Row],[CODIGO]]="","",GUAYAQUIL[[#This Row],[COSTO UNIT base]]*GUAYAQUIL[[#This Row],[Conversión]]),"")</f>
        <v>0.298205</v>
      </c>
      <c r="AA218" s="236">
        <f>+IFERROR(IF(GUAYAQUIL[[#This Row],[CODIGO]]="","",GUAYAQUIL[[#This Row],[COSTO UNIT Conv]]*GUAYAQUIL[[#This Row],[Stock Actual Kgs]]),"")</f>
        <v>5.8328898000000002</v>
      </c>
      <c r="AB218" s="33">
        <f ca="1">+IFERROR(IF(GUAYAQUIL[[#This Row],[CODIGO]]="","",$J$3-O218),"")</f>
        <v>7</v>
      </c>
      <c r="AC218" s="34" t="str">
        <f ca="1">IF(GUAYAQUIL[[#This Row],[CODIGO]]="","",IF(S218&lt;=0,"CADUCADO",IF(AND(S218&gt;0,S218&lt;=21),"FECHA CORTA",IF(AND(S218&gt;=22,S218&lt;=26),"PROXIMOS FECHA CORTA", "VIGENTE"))))</f>
        <v>VIGENTE</v>
      </c>
      <c r="AD218" s="37">
        <f>+IF(GUAYAQUIL[[#This Row],[CODIGO]]="","",GUAYAQUIL[[#This Row],[Stock Actual Unds]]*GUAYAQUIL[[#This Row],[Gramaje]]*GUAYAQUIL[[#This Row],[Conversión]])/1000</f>
        <v>1.9560000000000001E-2</v>
      </c>
    </row>
    <row r="219" spans="1:30">
      <c r="A219" s="24" t="str">
        <f>+IFERROR(IF(GUAYAQUIL[[#This Row],[CODIGO]]="","",VLOOKUP(GUAYAQUIL[[#This Row],[CODIGO]],MAESTRO!$A:$J,10,FALSE)),"")</f>
        <v>MACHACHI</v>
      </c>
      <c r="B219" s="24" t="str">
        <f>+IFERROR(IF(GUAYAQUIL[[#This Row],[CODIGO]]="","",VLOOKUP(GUAYAQUIL[[#This Row],[CODIGO]],MAESTRO!$A:$Q,17,FALSE)),"")</f>
        <v>BEBIDAS LACTEAS</v>
      </c>
      <c r="C219" s="24" t="str">
        <f>+IFERROR(IF(GUAYAQUIL[[#This Row],[CODIGO]]="","",VLOOKUP(GUAYAQUIL[[#This Row],[CODIGO]],MAESTRO!$A:$BA,53,FALSE)),"")</f>
        <v xml:space="preserve">Luis Armendariz                         </v>
      </c>
      <c r="D219" s="24" t="str">
        <f>+IFERROR(IF(GUAYAQUIL[[#This Row],[CODIGO]]="","",VLOOKUP(GUAYAQUIL[[#This Row],[CODIGO]],MAESTRO!$A:$D,4,FALSE)),"")</f>
        <v>BON YURT</v>
      </c>
      <c r="E219" s="24" t="str">
        <f>+IFERROR(IF(GUAYAQUIL[[#This Row],[CODIGO]]="","",VLOOKUP(GUAYAQUIL[[#This Row],[CODIGO]],MAESTRO!$A:$F,6,FALSE)),"")</f>
        <v>BON YURT REGULAR</v>
      </c>
      <c r="F219" s="42" t="str">
        <f>IF(GUAYAQUIL[[#This Row],[CODIGO]]="","",$K$6)</f>
        <v>GUAYAQUIL</v>
      </c>
      <c r="G219" s="42">
        <f>IF(GUAYAQUIL[[#This Row],[CODIGO]]="","",7711)</f>
        <v>7711</v>
      </c>
      <c r="H219" s="42">
        <f>IF(GUAYAQUIL[[#This Row],[CODIGO]]="","",1001)</f>
        <v>1001</v>
      </c>
      <c r="I219" s="258" t="s">
        <v>4116</v>
      </c>
      <c r="J219" s="25" t="str">
        <f>IFERROR((VLOOKUP(GUAYAQUIL[[#This Row],[CODIGO]],MAESTRO!A:B,2,FALSE)),"")</f>
        <v>BY ZUC VASO 170G ECU</v>
      </c>
      <c r="K219" s="35">
        <v>60</v>
      </c>
      <c r="L219" s="38">
        <f>+IFERROR(IF(GUAYAQUIL[[#This Row],[CODIGO]]="","",VLOOKUP(GUAYAQUIL[[#This Row],[CODIGO]],MAESTRO!$A:$BF,58,FALSE)),"")</f>
        <v>1</v>
      </c>
      <c r="M219" s="27">
        <f>+IFERROR(IF(GUAYAQUIL[[#This Row],[CODIGO]]="","",VLOOKUP(GUAYAQUIL[[#This Row],[CODIGO]],MAESTRO!A:N,14,FALSE)),"")</f>
        <v>0.16200000000000001</v>
      </c>
      <c r="N219" s="28">
        <f>+IFERROR(IF(GUAYAQUIL[[#This Row],[CODIGO]]="","",VLOOKUP(GUAYAQUIL[[#This Row],[CODIGO]],MAESTRO!A:P,16,FALSE)),"")</f>
        <v>45</v>
      </c>
      <c r="O219" s="29">
        <v>45608</v>
      </c>
      <c r="P219" s="72" t="str">
        <f t="shared" si="15"/>
        <v>martes</v>
      </c>
      <c r="Q219" s="29">
        <f>IFERROR(IF(GUAYAQUIL[[#This Row],[CODIGO]]="","",IF(GUAYAQUIL[[#This Row],[Fecha Cad]]="","",(GUAYAQUIL[[#This Row],[Fecha Cad]]-GUAYAQUIL[[#This Row],[VIDA UTIL (Días)]]))+1),"")</f>
        <v>45605</v>
      </c>
      <c r="R219" s="29">
        <v>45649</v>
      </c>
      <c r="S219" s="30">
        <f t="shared" ca="1" si="16"/>
        <v>25</v>
      </c>
      <c r="T219" s="31">
        <f t="shared" ca="1" si="17"/>
        <v>0.55555555555555558</v>
      </c>
      <c r="U219" s="286">
        <v>20</v>
      </c>
      <c r="V219" s="262">
        <f>+IFERROR(IF(GUAYAQUIL[[#This Row],[CODIGO]]="","",GUAYAQUIL[[#This Row],[Stock Actual Unds]]*GUAYAQUIL[[#This Row],[Gramaje]]*GUAYAQUIL[[#This Row],[Conversión]]),"")</f>
        <v>3.24</v>
      </c>
      <c r="W219" s="270">
        <f t="shared" si="18"/>
        <v>3</v>
      </c>
      <c r="X219" s="32">
        <f t="shared" si="19"/>
        <v>0.93333333333333335</v>
      </c>
      <c r="Y219" s="236">
        <f>IFERROR(VLOOKUP(GUAYAQUIL[[#This Row],[CODIGO]],MAESTRO!A:BI,21,FALSE),0)</f>
        <v>0.27881999999999996</v>
      </c>
      <c r="Z219" s="237">
        <f>+IFERROR(IF(GUAYAQUIL[[#This Row],[CODIGO]]="","",GUAYAQUIL[[#This Row],[COSTO UNIT base]]*GUAYAQUIL[[#This Row],[Conversión]]),"")</f>
        <v>0.27881999999999996</v>
      </c>
      <c r="AA219" s="236">
        <f>+IFERROR(IF(GUAYAQUIL[[#This Row],[CODIGO]]="","",GUAYAQUIL[[#This Row],[COSTO UNIT Conv]]*GUAYAQUIL[[#This Row],[Stock Actual Kgs]]),"")</f>
        <v>0.90337679999999987</v>
      </c>
      <c r="AB219" s="33">
        <f ca="1">+IFERROR(IF(GUAYAQUIL[[#This Row],[CODIGO]]="","",$J$3-O219),"")</f>
        <v>16</v>
      </c>
      <c r="AC219" s="34" t="str">
        <f ca="1">IF(GUAYAQUIL[[#This Row],[CODIGO]]="","",IF(S219&lt;=0,"CADUCADO",IF(AND(S219&gt;0,S219&lt;=21),"FECHA CORTA",IF(AND(S219&gt;=22,S219&lt;=26),"PROXIMOS FECHA CORTA", "VIGENTE"))))</f>
        <v>PROXIMOS FECHA CORTA</v>
      </c>
      <c r="AD219" s="37">
        <f>+IF(GUAYAQUIL[[#This Row],[CODIGO]]="","",GUAYAQUIL[[#This Row],[Stock Actual Unds]]*GUAYAQUIL[[#This Row],[Gramaje]]*GUAYAQUIL[[#This Row],[Conversión]])/1000</f>
        <v>3.2400000000000003E-3</v>
      </c>
    </row>
    <row r="220" spans="1:30">
      <c r="A220" s="24" t="str">
        <f>+IFERROR(IF(GUAYAQUIL[[#This Row],[CODIGO]]="","",VLOOKUP(GUAYAQUIL[[#This Row],[CODIGO]],MAESTRO!$A:$J,10,FALSE)),"")</f>
        <v>MACHACHI</v>
      </c>
      <c r="B220" s="24" t="str">
        <f>+IFERROR(IF(GUAYAQUIL[[#This Row],[CODIGO]]="","",VLOOKUP(GUAYAQUIL[[#This Row],[CODIGO]],MAESTRO!$A:$Q,17,FALSE)),"")</f>
        <v>BEBIDAS LACTEAS</v>
      </c>
      <c r="C220" s="24" t="str">
        <f>+IFERROR(IF(GUAYAQUIL[[#This Row],[CODIGO]]="","",VLOOKUP(GUAYAQUIL[[#This Row],[CODIGO]],MAESTRO!$A:$BA,53,FALSE)),"")</f>
        <v xml:space="preserve">Luis Armendariz                         </v>
      </c>
      <c r="D220" s="24" t="str">
        <f>+IFERROR(IF(GUAYAQUIL[[#This Row],[CODIGO]]="","",VLOOKUP(GUAYAQUIL[[#This Row],[CODIGO]],MAESTRO!$A:$D,4,FALSE)),"")</f>
        <v>BON YURT</v>
      </c>
      <c r="E220" s="24" t="str">
        <f>+IFERROR(IF(GUAYAQUIL[[#This Row],[CODIGO]]="","",VLOOKUP(GUAYAQUIL[[#This Row],[CODIGO]],MAESTRO!$A:$F,6,FALSE)),"")</f>
        <v>BON YURT REGULAR</v>
      </c>
      <c r="F220" s="42" t="str">
        <f>IF(GUAYAQUIL[[#This Row],[CODIGO]]="","",$K$6)</f>
        <v>GUAYAQUIL</v>
      </c>
      <c r="G220" s="42">
        <f>IF(GUAYAQUIL[[#This Row],[CODIGO]]="","",7711)</f>
        <v>7711</v>
      </c>
      <c r="H220" s="42">
        <f>IF(GUAYAQUIL[[#This Row],[CODIGO]]="","",1001)</f>
        <v>1001</v>
      </c>
      <c r="I220" s="258" t="s">
        <v>4116</v>
      </c>
      <c r="J220" s="25" t="str">
        <f>IFERROR((VLOOKUP(GUAYAQUIL[[#This Row],[CODIGO]],MAESTRO!A:B,2,FALSE)),"")</f>
        <v>BY ZUC VASO 170G ECU</v>
      </c>
      <c r="K220" s="35">
        <v>60</v>
      </c>
      <c r="L220" s="38">
        <f>+IFERROR(IF(GUAYAQUIL[[#This Row],[CODIGO]]="","",VLOOKUP(GUAYAQUIL[[#This Row],[CODIGO]],MAESTRO!$A:$BF,58,FALSE)),"")</f>
        <v>1</v>
      </c>
      <c r="M220" s="27">
        <f>+IFERROR(IF(GUAYAQUIL[[#This Row],[CODIGO]]="","",VLOOKUP(GUAYAQUIL[[#This Row],[CODIGO]],MAESTRO!A:N,14,FALSE)),"")</f>
        <v>0.16200000000000001</v>
      </c>
      <c r="N220" s="28">
        <f>+IFERROR(IF(GUAYAQUIL[[#This Row],[CODIGO]]="","",VLOOKUP(GUAYAQUIL[[#This Row],[CODIGO]],MAESTRO!A:P,16,FALSE)),"")</f>
        <v>45</v>
      </c>
      <c r="O220" s="29">
        <v>45610</v>
      </c>
      <c r="P220" s="72" t="str">
        <f t="shared" si="15"/>
        <v>jueves</v>
      </c>
      <c r="Q220" s="29">
        <f>IFERROR(IF(GUAYAQUIL[[#This Row],[CODIGO]]="","",IF(GUAYAQUIL[[#This Row],[Fecha Cad]]="","",(GUAYAQUIL[[#This Row],[Fecha Cad]]-GUAYAQUIL[[#This Row],[VIDA UTIL (Días)]]))+1),"")</f>
        <v>45605</v>
      </c>
      <c r="R220" s="29">
        <v>45649</v>
      </c>
      <c r="S220" s="30">
        <f t="shared" ca="1" si="16"/>
        <v>25</v>
      </c>
      <c r="T220" s="31">
        <f t="shared" ca="1" si="17"/>
        <v>0.55555555555555558</v>
      </c>
      <c r="U220" s="286">
        <v>60</v>
      </c>
      <c r="V220" s="262">
        <f>+IFERROR(IF(GUAYAQUIL[[#This Row],[CODIGO]]="","",GUAYAQUIL[[#This Row],[Stock Actual Unds]]*GUAYAQUIL[[#This Row],[Gramaje]]*GUAYAQUIL[[#This Row],[Conversión]]),"")</f>
        <v>9.7200000000000006</v>
      </c>
      <c r="W220" s="270">
        <f t="shared" si="18"/>
        <v>5</v>
      </c>
      <c r="X220" s="32">
        <f t="shared" si="19"/>
        <v>0.88888888888888884</v>
      </c>
      <c r="Y220" s="236">
        <f>IFERROR(VLOOKUP(GUAYAQUIL[[#This Row],[CODIGO]],MAESTRO!A:BI,21,FALSE),0)</f>
        <v>0.27881999999999996</v>
      </c>
      <c r="Z220" s="237">
        <f>+IFERROR(IF(GUAYAQUIL[[#This Row],[CODIGO]]="","",GUAYAQUIL[[#This Row],[COSTO UNIT base]]*GUAYAQUIL[[#This Row],[Conversión]]),"")</f>
        <v>0.27881999999999996</v>
      </c>
      <c r="AA220" s="236">
        <f>+IFERROR(IF(GUAYAQUIL[[#This Row],[CODIGO]]="","",GUAYAQUIL[[#This Row],[COSTO UNIT Conv]]*GUAYAQUIL[[#This Row],[Stock Actual Kgs]]),"")</f>
        <v>2.7101303999999997</v>
      </c>
      <c r="AB220" s="33">
        <f ca="1">+IFERROR(IF(GUAYAQUIL[[#This Row],[CODIGO]]="","",$J$3-O220),"")</f>
        <v>14</v>
      </c>
      <c r="AC220" s="34" t="str">
        <f ca="1">IF(GUAYAQUIL[[#This Row],[CODIGO]]="","",IF(S220&lt;=0,"CADUCADO",IF(AND(S220&gt;0,S220&lt;=21),"FECHA CORTA",IF(AND(S220&gt;=22,S220&lt;=26),"PROXIMOS FECHA CORTA", "VIGENTE"))))</f>
        <v>PROXIMOS FECHA CORTA</v>
      </c>
      <c r="AD220" s="37">
        <f>+IF(GUAYAQUIL[[#This Row],[CODIGO]]="","",GUAYAQUIL[[#This Row],[Stock Actual Unds]]*GUAYAQUIL[[#This Row],[Gramaje]]*GUAYAQUIL[[#This Row],[Conversión]])/1000</f>
        <v>9.7200000000000012E-3</v>
      </c>
    </row>
    <row r="221" spans="1:30">
      <c r="A221" s="24" t="str">
        <f>+IFERROR(IF(GUAYAQUIL[[#This Row],[CODIGO]]="","",VLOOKUP(GUAYAQUIL[[#This Row],[CODIGO]],MAESTRO!$A:$J,10,FALSE)),"")</f>
        <v>MACHACHI</v>
      </c>
      <c r="B221" s="24" t="str">
        <f>+IFERROR(IF(GUAYAQUIL[[#This Row],[CODIGO]]="","",VLOOKUP(GUAYAQUIL[[#This Row],[CODIGO]],MAESTRO!$A:$Q,17,FALSE)),"")</f>
        <v>BEBIDAS LACTEAS</v>
      </c>
      <c r="C221" s="24" t="str">
        <f>+IFERROR(IF(GUAYAQUIL[[#This Row],[CODIGO]]="","",VLOOKUP(GUAYAQUIL[[#This Row],[CODIGO]],MAESTRO!$A:$BA,53,FALSE)),"")</f>
        <v xml:space="preserve">Luis Armendariz                         </v>
      </c>
      <c r="D221" s="24" t="str">
        <f>+IFERROR(IF(GUAYAQUIL[[#This Row],[CODIGO]]="","",VLOOKUP(GUAYAQUIL[[#This Row],[CODIGO]],MAESTRO!$A:$D,4,FALSE)),"")</f>
        <v>BON YURT</v>
      </c>
      <c r="E221" s="24" t="str">
        <f>+IFERROR(IF(GUAYAQUIL[[#This Row],[CODIGO]]="","",VLOOKUP(GUAYAQUIL[[#This Row],[CODIGO]],MAESTRO!$A:$F,6,FALSE)),"")</f>
        <v>BON YURT REGULAR</v>
      </c>
      <c r="F221" s="42" t="str">
        <f>IF(GUAYAQUIL[[#This Row],[CODIGO]]="","",$K$6)</f>
        <v>GUAYAQUIL</v>
      </c>
      <c r="G221" s="209">
        <f>IF(GUAYAQUIL[[#This Row],[CODIGO]]="","",7711)</f>
        <v>7711</v>
      </c>
      <c r="H221" s="209">
        <f>IF(GUAYAQUIL[[#This Row],[CODIGO]]="","",1001)</f>
        <v>1001</v>
      </c>
      <c r="I221" s="258" t="s">
        <v>4116</v>
      </c>
      <c r="J221" s="25" t="str">
        <f>IFERROR((VLOOKUP(GUAYAQUIL[[#This Row],[CODIGO]],MAESTRO!A:B,2,FALSE)),"")</f>
        <v>BY ZUC VASO 170G ECU</v>
      </c>
      <c r="K221" s="35">
        <v>60</v>
      </c>
      <c r="L221" s="38">
        <f>+IFERROR(IF(GUAYAQUIL[[#This Row],[CODIGO]]="","",VLOOKUP(GUAYAQUIL[[#This Row],[CODIGO]],MAESTRO!$A:$BF,58,FALSE)),"")</f>
        <v>1</v>
      </c>
      <c r="M221" s="27">
        <f>+IFERROR(IF(GUAYAQUIL[[#This Row],[CODIGO]]="","",VLOOKUP(GUAYAQUIL[[#This Row],[CODIGO]],MAESTRO!A:N,14,FALSE)),"")</f>
        <v>0.16200000000000001</v>
      </c>
      <c r="N221" s="28">
        <f>+IFERROR(IF(GUAYAQUIL[[#This Row],[CODIGO]]="","",VLOOKUP(GUAYAQUIL[[#This Row],[CODIGO]],MAESTRO!A:P,16,FALSE)),"")</f>
        <v>45</v>
      </c>
      <c r="O221" s="45">
        <v>45615</v>
      </c>
      <c r="P221" s="72" t="str">
        <f t="shared" si="15"/>
        <v>martes</v>
      </c>
      <c r="Q221" s="29">
        <f>IFERROR(IF(GUAYAQUIL[[#This Row],[CODIGO]]="","",IF(GUAYAQUIL[[#This Row],[Fecha Cad]]="","",(GUAYAQUIL[[#This Row],[Fecha Cad]]-GUAYAQUIL[[#This Row],[VIDA UTIL (Días)]]))+1),"")</f>
        <v>45611</v>
      </c>
      <c r="R221" s="45">
        <v>45655</v>
      </c>
      <c r="S221" s="30">
        <f t="shared" ca="1" si="16"/>
        <v>31</v>
      </c>
      <c r="T221" s="31">
        <f t="shared" ca="1" si="17"/>
        <v>0.68888888888888888</v>
      </c>
      <c r="U221" s="286">
        <v>0</v>
      </c>
      <c r="V221" s="262">
        <f>+IFERROR(IF(GUAYAQUIL[[#This Row],[CODIGO]]="","",GUAYAQUIL[[#This Row],[Stock Actual Unds]]*GUAYAQUIL[[#This Row],[Gramaje]]*GUAYAQUIL[[#This Row],[Conversión]]),"")</f>
        <v>0</v>
      </c>
      <c r="W221" s="270">
        <f t="shared" si="18"/>
        <v>4</v>
      </c>
      <c r="X221" s="32">
        <f t="shared" si="19"/>
        <v>0.91111111111111109</v>
      </c>
      <c r="Y221" s="236">
        <f>IFERROR(VLOOKUP(GUAYAQUIL[[#This Row],[CODIGO]],MAESTRO!A:BI,21,FALSE),0)</f>
        <v>0.27881999999999996</v>
      </c>
      <c r="Z221" s="237">
        <f>+IFERROR(IF(GUAYAQUIL[[#This Row],[CODIGO]]="","",GUAYAQUIL[[#This Row],[COSTO UNIT base]]*GUAYAQUIL[[#This Row],[Conversión]]),"")</f>
        <v>0.27881999999999996</v>
      </c>
      <c r="AA221" s="236">
        <f>+IFERROR(IF(GUAYAQUIL[[#This Row],[CODIGO]]="","",GUAYAQUIL[[#This Row],[COSTO UNIT Conv]]*GUAYAQUIL[[#This Row],[Stock Actual Kgs]]),"")</f>
        <v>0</v>
      </c>
      <c r="AB221" s="33">
        <f ca="1">+IFERROR(IF(GUAYAQUIL[[#This Row],[CODIGO]]="","",$J$3-O221),"")</f>
        <v>9</v>
      </c>
      <c r="AC221" s="34" t="str">
        <f ca="1">IF(GUAYAQUIL[[#This Row],[CODIGO]]="","",IF(S221&lt;=0,"CADUCADO",IF(AND(S221&gt;0,S221&lt;=21),"FECHA CORTA",IF(AND(S221&gt;=22,S221&lt;=26),"PROXIMOS FECHA CORTA", "VIGENTE"))))</f>
        <v>VIGENTE</v>
      </c>
      <c r="AD221" s="37">
        <f>+IF(GUAYAQUIL[[#This Row],[CODIGO]]="","",GUAYAQUIL[[#This Row],[Stock Actual Unds]]*GUAYAQUIL[[#This Row],[Gramaje]]*GUAYAQUIL[[#This Row],[Conversión]])/1000</f>
        <v>0</v>
      </c>
    </row>
    <row r="222" spans="1:30">
      <c r="A222" s="24" t="str">
        <f>+IFERROR(IF(GUAYAQUIL[[#This Row],[CODIGO]]="","",VLOOKUP(GUAYAQUIL[[#This Row],[CODIGO]],MAESTRO!$A:$J,10,FALSE)),"")</f>
        <v>MACHACHI</v>
      </c>
      <c r="B222" s="24" t="str">
        <f>+IFERROR(IF(GUAYAQUIL[[#This Row],[CODIGO]]="","",VLOOKUP(GUAYAQUIL[[#This Row],[CODIGO]],MAESTRO!$A:$Q,17,FALSE)),"")</f>
        <v>BEBIDAS LACTEAS</v>
      </c>
      <c r="C222" s="24" t="str">
        <f>+IFERROR(IF(GUAYAQUIL[[#This Row],[CODIGO]]="","",VLOOKUP(GUAYAQUIL[[#This Row],[CODIGO]],MAESTRO!$A:$BA,53,FALSE)),"")</f>
        <v xml:space="preserve">Luis Armendariz                         </v>
      </c>
      <c r="D222" s="24" t="str">
        <f>+IFERROR(IF(GUAYAQUIL[[#This Row],[CODIGO]]="","",VLOOKUP(GUAYAQUIL[[#This Row],[CODIGO]],MAESTRO!$A:$D,4,FALSE)),"")</f>
        <v>BON YURT</v>
      </c>
      <c r="E222" s="24" t="str">
        <f>+IFERROR(IF(GUAYAQUIL[[#This Row],[CODIGO]]="","",VLOOKUP(GUAYAQUIL[[#This Row],[CODIGO]],MAESTRO!$A:$F,6,FALSE)),"")</f>
        <v>BON YURT REGULAR</v>
      </c>
      <c r="F222" s="42" t="str">
        <f>IF(GUAYAQUIL[[#This Row],[CODIGO]]="","",$K$6)</f>
        <v>GUAYAQUIL</v>
      </c>
      <c r="G222" s="42">
        <f>IF(GUAYAQUIL[[#This Row],[CODIGO]]="","",7711)</f>
        <v>7711</v>
      </c>
      <c r="H222" s="42">
        <f>IF(GUAYAQUIL[[#This Row],[CODIGO]]="","",1001)</f>
        <v>1001</v>
      </c>
      <c r="I222" s="258" t="s">
        <v>4116</v>
      </c>
      <c r="J222" s="25" t="str">
        <f>IFERROR((VLOOKUP(GUAYAQUIL[[#This Row],[CODIGO]],MAESTRO!A:B,2,FALSE)),"")</f>
        <v>BY ZUC VASO 170G ECU</v>
      </c>
      <c r="K222" s="35">
        <v>60</v>
      </c>
      <c r="L222" s="38">
        <f>+IFERROR(IF(GUAYAQUIL[[#This Row],[CODIGO]]="","",VLOOKUP(GUAYAQUIL[[#This Row],[CODIGO]],MAESTRO!$A:$BF,58,FALSE)),"")</f>
        <v>1</v>
      </c>
      <c r="M222" s="27">
        <f>+IFERROR(IF(GUAYAQUIL[[#This Row],[CODIGO]]="","",VLOOKUP(GUAYAQUIL[[#This Row],[CODIGO]],MAESTRO!A:N,14,FALSE)),"")</f>
        <v>0.16200000000000001</v>
      </c>
      <c r="N222" s="28">
        <f>+IFERROR(IF(GUAYAQUIL[[#This Row],[CODIGO]]="","",VLOOKUP(GUAYAQUIL[[#This Row],[CODIGO]],MAESTRO!A:P,16,FALSE)),"")</f>
        <v>45</v>
      </c>
      <c r="O222" s="29">
        <v>45617</v>
      </c>
      <c r="P222" s="72" t="str">
        <f t="shared" si="15"/>
        <v>jueves</v>
      </c>
      <c r="Q222" s="29">
        <f>IFERROR(IF(GUAYAQUIL[[#This Row],[CODIGO]]="","",IF(GUAYAQUIL[[#This Row],[Fecha Cad]]="","",(GUAYAQUIL[[#This Row],[Fecha Cad]]-GUAYAQUIL[[#This Row],[VIDA UTIL (Días)]]))+1),"")</f>
        <v>45611</v>
      </c>
      <c r="R222" s="29">
        <v>45655</v>
      </c>
      <c r="S222" s="30">
        <f t="shared" ca="1" si="16"/>
        <v>31</v>
      </c>
      <c r="T222" s="31">
        <f t="shared" ca="1" si="17"/>
        <v>0.68888888888888888</v>
      </c>
      <c r="U222" s="286">
        <v>60</v>
      </c>
      <c r="V222" s="261">
        <f>+IFERROR(IF(GUAYAQUIL[[#This Row],[CODIGO]]="","",GUAYAQUIL[[#This Row],[Stock Actual Unds]]*GUAYAQUIL[[#This Row],[Gramaje]]*GUAYAQUIL[[#This Row],[Conversión]]),"")</f>
        <v>9.7200000000000006</v>
      </c>
      <c r="W222" s="270">
        <f t="shared" si="18"/>
        <v>6</v>
      </c>
      <c r="X222" s="32">
        <f t="shared" si="19"/>
        <v>0.8666666666666667</v>
      </c>
      <c r="Y222" s="236">
        <f>IFERROR(VLOOKUP(GUAYAQUIL[[#This Row],[CODIGO]],MAESTRO!A:BI,21,FALSE),0)</f>
        <v>0.27881999999999996</v>
      </c>
      <c r="Z222" s="237">
        <f>+IFERROR(IF(GUAYAQUIL[[#This Row],[CODIGO]]="","",GUAYAQUIL[[#This Row],[COSTO UNIT base]]*GUAYAQUIL[[#This Row],[Conversión]]),"")</f>
        <v>0.27881999999999996</v>
      </c>
      <c r="AA222" s="236">
        <f>+IFERROR(IF(GUAYAQUIL[[#This Row],[CODIGO]]="","",GUAYAQUIL[[#This Row],[COSTO UNIT Conv]]*GUAYAQUIL[[#This Row],[Stock Actual Kgs]]),"")</f>
        <v>2.7101303999999997</v>
      </c>
      <c r="AB222" s="33">
        <f ca="1">+IFERROR(IF(GUAYAQUIL[[#This Row],[CODIGO]]="","",$J$3-O222),"")</f>
        <v>7</v>
      </c>
      <c r="AC222" s="34" t="str">
        <f ca="1">IF(GUAYAQUIL[[#This Row],[CODIGO]]="","",IF(S222&lt;=0,"CADUCADO",IF(AND(S222&gt;0,S222&lt;=21),"FECHA CORTA",IF(AND(S222&gt;=22,S222&lt;=26),"PROXIMOS FECHA CORTA", "VIGENTE"))))</f>
        <v>VIGENTE</v>
      </c>
      <c r="AD222" s="37">
        <f>+IF(GUAYAQUIL[[#This Row],[CODIGO]]="","",GUAYAQUIL[[#This Row],[Stock Actual Unds]]*GUAYAQUIL[[#This Row],[Gramaje]]*GUAYAQUIL[[#This Row],[Conversión]])/1000</f>
        <v>9.7200000000000012E-3</v>
      </c>
    </row>
    <row r="223" spans="1:30">
      <c r="A223" s="24" t="str">
        <f>+IFERROR(IF(GUAYAQUIL[[#This Row],[CODIGO]]="","",VLOOKUP(GUAYAQUIL[[#This Row],[CODIGO]],MAESTRO!$A:$J,10,FALSE)),"")</f>
        <v>MACHACHI</v>
      </c>
      <c r="B223" s="24" t="str">
        <f>+IFERROR(IF(GUAYAQUIL[[#This Row],[CODIGO]]="","",VLOOKUP(GUAYAQUIL[[#This Row],[CODIGO]],MAESTRO!$A:$Q,17,FALSE)),"")</f>
        <v>BEBIDAS LACTEAS</v>
      </c>
      <c r="C223" s="24" t="str">
        <f>+IFERROR(IF(GUAYAQUIL[[#This Row],[CODIGO]]="","",VLOOKUP(GUAYAQUIL[[#This Row],[CODIGO]],MAESTRO!$A:$BA,53,FALSE)),"")</f>
        <v xml:space="preserve">Luis Armendariz                         </v>
      </c>
      <c r="D223" s="24" t="str">
        <f>+IFERROR(IF(GUAYAQUIL[[#This Row],[CODIGO]]="","",VLOOKUP(GUAYAQUIL[[#This Row],[CODIGO]],MAESTRO!$A:$D,4,FALSE)),"")</f>
        <v>BON YURT</v>
      </c>
      <c r="E223" s="24" t="str">
        <f>+IFERROR(IF(GUAYAQUIL[[#This Row],[CODIGO]]="","",VLOOKUP(GUAYAQUIL[[#This Row],[CODIGO]],MAESTRO!$A:$F,6,FALSE)),"")</f>
        <v>BON YURT REGULAR</v>
      </c>
      <c r="F223" s="42" t="str">
        <f>IF(GUAYAQUIL[[#This Row],[CODIGO]]="","",$K$6)</f>
        <v>GUAYAQUIL</v>
      </c>
      <c r="G223" s="209">
        <f>IF(GUAYAQUIL[[#This Row],[CODIGO]]="","",7711)</f>
        <v>7711</v>
      </c>
      <c r="H223" s="209">
        <f>IF(GUAYAQUIL[[#This Row],[CODIGO]]="","",1001)</f>
        <v>1001</v>
      </c>
      <c r="I223" s="258" t="s">
        <v>2875</v>
      </c>
      <c r="J223" s="25" t="str">
        <f>IFERROR((VLOOKUP(GUAYAQUIL[[#This Row],[CODIGO]],MAESTRO!A:B,2,FALSE)),"")</f>
        <v>BY FROOT LOOPS VASO 154 G</v>
      </c>
      <c r="K223" s="35">
        <v>240</v>
      </c>
      <c r="L223" s="38">
        <f>+IFERROR(IF(GUAYAQUIL[[#This Row],[CODIGO]]="","",VLOOKUP(GUAYAQUIL[[#This Row],[CODIGO]],MAESTRO!$A:$BF,58,FALSE)),"")</f>
        <v>1</v>
      </c>
      <c r="M223" s="27">
        <f>+IFERROR(IF(GUAYAQUIL[[#This Row],[CODIGO]]="","",VLOOKUP(GUAYAQUIL[[#This Row],[CODIGO]],MAESTRO!A:N,14,FALSE)),"")</f>
        <v>0.154</v>
      </c>
      <c r="N223" s="28">
        <f>+IFERROR(IF(GUAYAQUIL[[#This Row],[CODIGO]]="","",VLOOKUP(GUAYAQUIL[[#This Row],[CODIGO]],MAESTRO!A:P,16,FALSE)),"")</f>
        <v>45</v>
      </c>
      <c r="O223" s="29">
        <v>45604</v>
      </c>
      <c r="P223" s="72" t="str">
        <f t="shared" si="15"/>
        <v>viernes</v>
      </c>
      <c r="Q223" s="29">
        <f>IFERROR(IF(GUAYAQUIL[[#This Row],[CODIGO]]="","",IF(GUAYAQUIL[[#This Row],[Fecha Cad]]="","",(GUAYAQUIL[[#This Row],[Fecha Cad]]-GUAYAQUIL[[#This Row],[VIDA UTIL (Días)]]))+1),"")</f>
        <v>45594</v>
      </c>
      <c r="R223" s="29">
        <v>45638</v>
      </c>
      <c r="S223" s="30">
        <f t="shared" ca="1" si="16"/>
        <v>14</v>
      </c>
      <c r="T223" s="31">
        <f t="shared" ca="1" si="17"/>
        <v>0.31111111111111112</v>
      </c>
      <c r="U223" s="286">
        <v>3</v>
      </c>
      <c r="V223" s="261">
        <f>+IFERROR(IF(GUAYAQUIL[[#This Row],[CODIGO]]="","",GUAYAQUIL[[#This Row],[Stock Actual Unds]]*GUAYAQUIL[[#This Row],[Gramaje]]*GUAYAQUIL[[#This Row],[Conversión]]),"")</f>
        <v>0.46199999999999997</v>
      </c>
      <c r="W223" s="270">
        <f t="shared" si="18"/>
        <v>10</v>
      </c>
      <c r="X223" s="32">
        <f t="shared" si="19"/>
        <v>0.77777777777777779</v>
      </c>
      <c r="Y223" s="236">
        <f>IFERROR(VLOOKUP(GUAYAQUIL[[#This Row],[CODIGO]],MAESTRO!A:BI,21,FALSE),0)</f>
        <v>0.295705</v>
      </c>
      <c r="Z223" s="237">
        <f>+IFERROR(IF(GUAYAQUIL[[#This Row],[CODIGO]]="","",GUAYAQUIL[[#This Row],[COSTO UNIT base]]*GUAYAQUIL[[#This Row],[Conversión]]),"")</f>
        <v>0.295705</v>
      </c>
      <c r="AA223" s="236">
        <f>+IFERROR(IF(GUAYAQUIL[[#This Row],[CODIGO]]="","",GUAYAQUIL[[#This Row],[COSTO UNIT Conv]]*GUAYAQUIL[[#This Row],[Stock Actual Kgs]]),"")</f>
        <v>0.13661571</v>
      </c>
      <c r="AB223" s="33">
        <f ca="1">+IFERROR(IF(GUAYAQUIL[[#This Row],[CODIGO]]="","",$J$3-O223),"")</f>
        <v>20</v>
      </c>
      <c r="AC223" s="34" t="str">
        <f ca="1">IF(GUAYAQUIL[[#This Row],[CODIGO]]="","",IF(S223&lt;=0,"CADUCADO",IF(AND(S223&gt;0,S223&lt;=21),"FECHA CORTA",IF(AND(S223&gt;=22,S223&lt;=26),"PROXIMOS FECHA CORTA", "VIGENTE"))))</f>
        <v>FECHA CORTA</v>
      </c>
      <c r="AD223" s="37">
        <f>+IF(GUAYAQUIL[[#This Row],[CODIGO]]="","",GUAYAQUIL[[#This Row],[Stock Actual Unds]]*GUAYAQUIL[[#This Row],[Gramaje]]*GUAYAQUIL[[#This Row],[Conversión]])/1000</f>
        <v>4.6199999999999995E-4</v>
      </c>
    </row>
    <row r="224" spans="1:30">
      <c r="A224" s="24" t="str">
        <f>+IFERROR(IF(GUAYAQUIL[[#This Row],[CODIGO]]="","",VLOOKUP(GUAYAQUIL[[#This Row],[CODIGO]],MAESTRO!$A:$J,10,FALSE)),"")</f>
        <v>MACHACHI</v>
      </c>
      <c r="B224" s="24" t="str">
        <f>+IFERROR(IF(GUAYAQUIL[[#This Row],[CODIGO]]="","",VLOOKUP(GUAYAQUIL[[#This Row],[CODIGO]],MAESTRO!$A:$Q,17,FALSE)),"")</f>
        <v>BEBIDAS LACTEAS</v>
      </c>
      <c r="C224" s="24" t="str">
        <f>+IFERROR(IF(GUAYAQUIL[[#This Row],[CODIGO]]="","",VLOOKUP(GUAYAQUIL[[#This Row],[CODIGO]],MAESTRO!$A:$BA,53,FALSE)),"")</f>
        <v xml:space="preserve">Luis Armendariz                         </v>
      </c>
      <c r="D224" s="24" t="str">
        <f>+IFERROR(IF(GUAYAQUIL[[#This Row],[CODIGO]]="","",VLOOKUP(GUAYAQUIL[[#This Row],[CODIGO]],MAESTRO!$A:$D,4,FALSE)),"")</f>
        <v>BON YURT</v>
      </c>
      <c r="E224" s="24" t="str">
        <f>+IFERROR(IF(GUAYAQUIL[[#This Row],[CODIGO]]="","",VLOOKUP(GUAYAQUIL[[#This Row],[CODIGO]],MAESTRO!$A:$F,6,FALSE)),"")</f>
        <v>BON YURT REGULAR</v>
      </c>
      <c r="F224" s="42" t="str">
        <f>IF(GUAYAQUIL[[#This Row],[CODIGO]]="","",$K$6)</f>
        <v>GUAYAQUIL</v>
      </c>
      <c r="G224" s="42">
        <f>IF(GUAYAQUIL[[#This Row],[CODIGO]]="","",7711)</f>
        <v>7711</v>
      </c>
      <c r="H224" s="42">
        <f>IF(GUAYAQUIL[[#This Row],[CODIGO]]="","",1001)</f>
        <v>1001</v>
      </c>
      <c r="I224" s="258" t="s">
        <v>2875</v>
      </c>
      <c r="J224" s="25" t="str">
        <f>IFERROR((VLOOKUP(GUAYAQUIL[[#This Row],[CODIGO]],MAESTRO!A:B,2,FALSE)),"")</f>
        <v>BY FROOT LOOPS VASO 154 G</v>
      </c>
      <c r="K224" s="35">
        <v>300</v>
      </c>
      <c r="L224" s="38">
        <f>+IFERROR(IF(GUAYAQUIL[[#This Row],[CODIGO]]="","",VLOOKUP(GUAYAQUIL[[#This Row],[CODIGO]],MAESTRO!$A:$BF,58,FALSE)),"")</f>
        <v>1</v>
      </c>
      <c r="M224" s="27">
        <f>+IFERROR(IF(GUAYAQUIL[[#This Row],[CODIGO]]="","",VLOOKUP(GUAYAQUIL[[#This Row],[CODIGO]],MAESTRO!A:N,14,FALSE)),"")</f>
        <v>0.154</v>
      </c>
      <c r="N224" s="28">
        <f>+IFERROR(IF(GUAYAQUIL[[#This Row],[CODIGO]]="","",VLOOKUP(GUAYAQUIL[[#This Row],[CODIGO]],MAESTRO!A:P,16,FALSE)),"")</f>
        <v>45</v>
      </c>
      <c r="O224" s="29">
        <v>45609</v>
      </c>
      <c r="P224" s="72" t="str">
        <f t="shared" si="15"/>
        <v>miércoles</v>
      </c>
      <c r="Q224" s="29">
        <f>IFERROR(IF(GUAYAQUIL[[#This Row],[CODIGO]]="","",IF(GUAYAQUIL[[#This Row],[Fecha Cad]]="","",(GUAYAQUIL[[#This Row],[Fecha Cad]]-GUAYAQUIL[[#This Row],[VIDA UTIL (Días)]]))+1),"")</f>
        <v>45601</v>
      </c>
      <c r="R224" s="29">
        <v>45645</v>
      </c>
      <c r="S224" s="30">
        <f t="shared" ca="1" si="16"/>
        <v>21</v>
      </c>
      <c r="T224" s="31">
        <f t="shared" ca="1" si="17"/>
        <v>0.46666666666666667</v>
      </c>
      <c r="U224" s="286">
        <v>26</v>
      </c>
      <c r="V224" s="261">
        <f>+IFERROR(IF(GUAYAQUIL[[#This Row],[CODIGO]]="","",GUAYAQUIL[[#This Row],[Stock Actual Unds]]*GUAYAQUIL[[#This Row],[Gramaje]]*GUAYAQUIL[[#This Row],[Conversión]]),"")</f>
        <v>4.0039999999999996</v>
      </c>
      <c r="W224" s="270">
        <f t="shared" si="18"/>
        <v>8</v>
      </c>
      <c r="X224" s="32">
        <f t="shared" si="19"/>
        <v>0.82222222222222219</v>
      </c>
      <c r="Y224" s="236">
        <f>IFERROR(VLOOKUP(GUAYAQUIL[[#This Row],[CODIGO]],MAESTRO!A:BI,21,FALSE),0)</f>
        <v>0.295705</v>
      </c>
      <c r="Z224" s="237">
        <f>+IFERROR(IF(GUAYAQUIL[[#This Row],[CODIGO]]="","",GUAYAQUIL[[#This Row],[COSTO UNIT base]]*GUAYAQUIL[[#This Row],[Conversión]]),"")</f>
        <v>0.295705</v>
      </c>
      <c r="AA224" s="236">
        <f>+IFERROR(IF(GUAYAQUIL[[#This Row],[CODIGO]]="","",GUAYAQUIL[[#This Row],[COSTO UNIT Conv]]*GUAYAQUIL[[#This Row],[Stock Actual Kgs]]),"")</f>
        <v>1.1840028199999999</v>
      </c>
      <c r="AB224" s="33">
        <f ca="1">+IFERROR(IF(GUAYAQUIL[[#This Row],[CODIGO]]="","",$J$3-O224),"")</f>
        <v>15</v>
      </c>
      <c r="AC224" s="34" t="str">
        <f ca="1">IF(GUAYAQUIL[[#This Row],[CODIGO]]="","",IF(S224&lt;=0,"CADUCADO",IF(AND(S224&gt;0,S224&lt;=21),"FECHA CORTA",IF(AND(S224&gt;=22,S224&lt;=26),"PROXIMOS FECHA CORTA", "VIGENTE"))))</f>
        <v>FECHA CORTA</v>
      </c>
      <c r="AD224" s="37">
        <f>+IF(GUAYAQUIL[[#This Row],[CODIGO]]="","",GUAYAQUIL[[#This Row],[Stock Actual Unds]]*GUAYAQUIL[[#This Row],[Gramaje]]*GUAYAQUIL[[#This Row],[Conversión]])/1000</f>
        <v>4.0039999999999997E-3</v>
      </c>
    </row>
    <row r="225" spans="1:30">
      <c r="A225" s="24" t="str">
        <f>+IFERROR(IF(GUAYAQUIL[[#This Row],[CODIGO]]="","",VLOOKUP(GUAYAQUIL[[#This Row],[CODIGO]],MAESTRO!$A:$J,10,FALSE)),"")</f>
        <v>MACHACHI</v>
      </c>
      <c r="B225" s="24" t="str">
        <f>+IFERROR(IF(GUAYAQUIL[[#This Row],[CODIGO]]="","",VLOOKUP(GUAYAQUIL[[#This Row],[CODIGO]],MAESTRO!$A:$Q,17,FALSE)),"")</f>
        <v>BEBIDAS LACTEAS</v>
      </c>
      <c r="C225" s="24" t="str">
        <f>+IFERROR(IF(GUAYAQUIL[[#This Row],[CODIGO]]="","",VLOOKUP(GUAYAQUIL[[#This Row],[CODIGO]],MAESTRO!$A:$BA,53,FALSE)),"")</f>
        <v xml:space="preserve">Luis Armendariz                         </v>
      </c>
      <c r="D225" s="24" t="str">
        <f>+IFERROR(IF(GUAYAQUIL[[#This Row],[CODIGO]]="","",VLOOKUP(GUAYAQUIL[[#This Row],[CODIGO]],MAESTRO!$A:$D,4,FALSE)),"")</f>
        <v>BON YURT</v>
      </c>
      <c r="E225" s="24" t="str">
        <f>+IFERROR(IF(GUAYAQUIL[[#This Row],[CODIGO]]="","",VLOOKUP(GUAYAQUIL[[#This Row],[CODIGO]],MAESTRO!$A:$F,6,FALSE)),"")</f>
        <v>BON YURT REGULAR</v>
      </c>
      <c r="F225" s="42" t="str">
        <f>IF(GUAYAQUIL[[#This Row],[CODIGO]]="","",$K$6)</f>
        <v>GUAYAQUIL</v>
      </c>
      <c r="G225" s="209">
        <f>IF(GUAYAQUIL[[#This Row],[CODIGO]]="","",7711)</f>
        <v>7711</v>
      </c>
      <c r="H225" s="209">
        <f>IF(GUAYAQUIL[[#This Row],[CODIGO]]="","",1001)</f>
        <v>1001</v>
      </c>
      <c r="I225" s="258" t="s">
        <v>2875</v>
      </c>
      <c r="J225" s="25" t="str">
        <f>IFERROR((VLOOKUP(GUAYAQUIL[[#This Row],[CODIGO]],MAESTRO!A:B,2,FALSE)),"")</f>
        <v>BY FROOT LOOPS VASO 154 G</v>
      </c>
      <c r="K225" s="35">
        <v>480</v>
      </c>
      <c r="L225" s="38">
        <f>+IFERROR(IF(GUAYAQUIL[[#This Row],[CODIGO]]="","",VLOOKUP(GUAYAQUIL[[#This Row],[CODIGO]],MAESTRO!$A:$BF,58,FALSE)),"")</f>
        <v>1</v>
      </c>
      <c r="M225" s="27">
        <f>+IFERROR(IF(GUAYAQUIL[[#This Row],[CODIGO]]="","",VLOOKUP(GUAYAQUIL[[#This Row],[CODIGO]],MAESTRO!A:N,14,FALSE)),"")</f>
        <v>0.154</v>
      </c>
      <c r="N225" s="28">
        <f>+IFERROR(IF(GUAYAQUIL[[#This Row],[CODIGO]]="","",VLOOKUP(GUAYAQUIL[[#This Row],[CODIGO]],MAESTRO!A:P,16,FALSE)),"")</f>
        <v>45</v>
      </c>
      <c r="O225" s="29">
        <v>45612</v>
      </c>
      <c r="P225" s="72" t="str">
        <f t="shared" si="15"/>
        <v>sábado</v>
      </c>
      <c r="Q225" s="29">
        <f>IFERROR(IF(GUAYAQUIL[[#This Row],[CODIGO]]="","",IF(GUAYAQUIL[[#This Row],[Fecha Cad]]="","",(GUAYAQUIL[[#This Row],[Fecha Cad]]-GUAYAQUIL[[#This Row],[VIDA UTIL (Días)]]))+1),"")</f>
        <v>45608</v>
      </c>
      <c r="R225" s="29">
        <v>45652</v>
      </c>
      <c r="S225" s="30">
        <f t="shared" ca="1" si="16"/>
        <v>28</v>
      </c>
      <c r="T225" s="31">
        <f t="shared" ca="1" si="17"/>
        <v>0.62222222222222223</v>
      </c>
      <c r="U225" s="286">
        <v>480</v>
      </c>
      <c r="V225" s="261">
        <f>+IFERROR(IF(GUAYAQUIL[[#This Row],[CODIGO]]="","",GUAYAQUIL[[#This Row],[Stock Actual Unds]]*GUAYAQUIL[[#This Row],[Gramaje]]*GUAYAQUIL[[#This Row],[Conversión]]),"")</f>
        <v>73.92</v>
      </c>
      <c r="W225" s="270">
        <f t="shared" si="18"/>
        <v>4</v>
      </c>
      <c r="X225" s="32">
        <f t="shared" si="19"/>
        <v>0.91111111111111109</v>
      </c>
      <c r="Y225" s="236">
        <f>IFERROR(VLOOKUP(GUAYAQUIL[[#This Row],[CODIGO]],MAESTRO!A:BI,21,FALSE),0)</f>
        <v>0.295705</v>
      </c>
      <c r="Z225" s="237">
        <f>+IFERROR(IF(GUAYAQUIL[[#This Row],[CODIGO]]="","",GUAYAQUIL[[#This Row],[COSTO UNIT base]]*GUAYAQUIL[[#This Row],[Conversión]]),"")</f>
        <v>0.295705</v>
      </c>
      <c r="AA225" s="236">
        <f>+IFERROR(IF(GUAYAQUIL[[#This Row],[CODIGO]]="","",GUAYAQUIL[[#This Row],[COSTO UNIT Conv]]*GUAYAQUIL[[#This Row],[Stock Actual Kgs]]),"")</f>
        <v>21.858513599999998</v>
      </c>
      <c r="AB225" s="33">
        <f ca="1">+IFERROR(IF(GUAYAQUIL[[#This Row],[CODIGO]]="","",$J$3-O225),"")</f>
        <v>12</v>
      </c>
      <c r="AC225" s="34" t="str">
        <f ca="1">IF(GUAYAQUIL[[#This Row],[CODIGO]]="","",IF(S225&lt;=0,"CADUCADO",IF(AND(S225&gt;0,S225&lt;=21),"FECHA CORTA",IF(AND(S225&gt;=22,S225&lt;=26),"PROXIMOS FECHA CORTA", "VIGENTE"))))</f>
        <v>VIGENTE</v>
      </c>
      <c r="AD225" s="37">
        <f>+IF(GUAYAQUIL[[#This Row],[CODIGO]]="","",GUAYAQUIL[[#This Row],[Stock Actual Unds]]*GUAYAQUIL[[#This Row],[Gramaje]]*GUAYAQUIL[[#This Row],[Conversión]])/1000</f>
        <v>7.392E-2</v>
      </c>
    </row>
    <row r="226" spans="1:30">
      <c r="A226" s="24" t="str">
        <f>+IFERROR(IF(GUAYAQUIL[[#This Row],[CODIGO]]="","",VLOOKUP(GUAYAQUIL[[#This Row],[CODIGO]],MAESTRO!$A:$J,10,FALSE)),"")</f>
        <v>MACHACHI</v>
      </c>
      <c r="B226" s="24" t="str">
        <f>+IFERROR(IF(GUAYAQUIL[[#This Row],[CODIGO]]="","",VLOOKUP(GUAYAQUIL[[#This Row],[CODIGO]],MAESTRO!$A:$Q,17,FALSE)),"")</f>
        <v>BEBIDAS LACTEAS</v>
      </c>
      <c r="C226" s="24" t="str">
        <f>+IFERROR(IF(GUAYAQUIL[[#This Row],[CODIGO]]="","",VLOOKUP(GUAYAQUIL[[#This Row],[CODIGO]],MAESTRO!$A:$BA,53,FALSE)),"")</f>
        <v xml:space="preserve">Luis Armendariz                         </v>
      </c>
      <c r="D226" s="24" t="str">
        <f>+IFERROR(IF(GUAYAQUIL[[#This Row],[CODIGO]]="","",VLOOKUP(GUAYAQUIL[[#This Row],[CODIGO]],MAESTRO!$A:$D,4,FALSE)),"")</f>
        <v>BON YURT</v>
      </c>
      <c r="E226" s="24" t="str">
        <f>+IFERROR(IF(GUAYAQUIL[[#This Row],[CODIGO]]="","",VLOOKUP(GUAYAQUIL[[#This Row],[CODIGO]],MAESTRO!$A:$F,6,FALSE)),"")</f>
        <v>BON YURT REGULAR</v>
      </c>
      <c r="F226" s="42" t="str">
        <f>IF(GUAYAQUIL[[#This Row],[CODIGO]]="","",$K$6)</f>
        <v>GUAYAQUIL</v>
      </c>
      <c r="G226" s="42">
        <f>IF(GUAYAQUIL[[#This Row],[CODIGO]]="","",7711)</f>
        <v>7711</v>
      </c>
      <c r="H226" s="42">
        <f>IF(GUAYAQUIL[[#This Row],[CODIGO]]="","",1001)</f>
        <v>1001</v>
      </c>
      <c r="I226" s="258" t="s">
        <v>2875</v>
      </c>
      <c r="J226" s="25" t="str">
        <f>IFERROR((VLOOKUP(GUAYAQUIL[[#This Row],[CODIGO]],MAESTRO!A:B,2,FALSE)),"")</f>
        <v>BY FROOT LOOPS VASO 154 G</v>
      </c>
      <c r="K226" s="35">
        <v>360</v>
      </c>
      <c r="L226" s="38">
        <f>+IFERROR(IF(GUAYAQUIL[[#This Row],[CODIGO]]="","",VLOOKUP(GUAYAQUIL[[#This Row],[CODIGO]],MAESTRO!$A:$BF,58,FALSE)),"")</f>
        <v>1</v>
      </c>
      <c r="M226" s="27">
        <f>+IFERROR(IF(GUAYAQUIL[[#This Row],[CODIGO]]="","",VLOOKUP(GUAYAQUIL[[#This Row],[CODIGO]],MAESTRO!A:N,14,FALSE)),"")</f>
        <v>0.154</v>
      </c>
      <c r="N226" s="28">
        <f>+IFERROR(IF(GUAYAQUIL[[#This Row],[CODIGO]]="","",VLOOKUP(GUAYAQUIL[[#This Row],[CODIGO]],MAESTRO!A:P,16,FALSE)),"")</f>
        <v>45</v>
      </c>
      <c r="O226" s="29">
        <v>45611</v>
      </c>
      <c r="P226" s="72" t="str">
        <f t="shared" si="15"/>
        <v>viernes</v>
      </c>
      <c r="Q226" s="29">
        <f>IFERROR(IF(GUAYAQUIL[[#This Row],[CODIGO]]="","",IF(GUAYAQUIL[[#This Row],[Fecha Cad]]="","",(GUAYAQUIL[[#This Row],[Fecha Cad]]-GUAYAQUIL[[#This Row],[VIDA UTIL (Días)]]))+1),"")</f>
        <v>45605</v>
      </c>
      <c r="R226" s="29">
        <v>45649</v>
      </c>
      <c r="S226" s="30">
        <f t="shared" ca="1" si="16"/>
        <v>25</v>
      </c>
      <c r="T226" s="31">
        <f t="shared" ca="1" si="17"/>
        <v>0.55555555555555558</v>
      </c>
      <c r="U226" s="286">
        <v>110</v>
      </c>
      <c r="V226" s="261">
        <f>+IFERROR(IF(GUAYAQUIL[[#This Row],[CODIGO]]="","",GUAYAQUIL[[#This Row],[Stock Actual Unds]]*GUAYAQUIL[[#This Row],[Gramaje]]*GUAYAQUIL[[#This Row],[Conversión]]),"")</f>
        <v>16.940000000000001</v>
      </c>
      <c r="W226" s="270">
        <f t="shared" si="18"/>
        <v>6</v>
      </c>
      <c r="X226" s="32">
        <f t="shared" si="19"/>
        <v>0.8666666666666667</v>
      </c>
      <c r="Y226" s="236">
        <f>IFERROR(VLOOKUP(GUAYAQUIL[[#This Row],[CODIGO]],MAESTRO!A:BI,21,FALSE),0)</f>
        <v>0.295705</v>
      </c>
      <c r="Z226" s="237">
        <f>+IFERROR(IF(GUAYAQUIL[[#This Row],[CODIGO]]="","",GUAYAQUIL[[#This Row],[COSTO UNIT base]]*GUAYAQUIL[[#This Row],[Conversión]]),"")</f>
        <v>0.295705</v>
      </c>
      <c r="AA226" s="236">
        <f>+IFERROR(IF(GUAYAQUIL[[#This Row],[CODIGO]]="","",GUAYAQUIL[[#This Row],[COSTO UNIT Conv]]*GUAYAQUIL[[#This Row],[Stock Actual Kgs]]),"")</f>
        <v>5.0092427000000006</v>
      </c>
      <c r="AB226" s="33">
        <f ca="1">+IFERROR(IF(GUAYAQUIL[[#This Row],[CODIGO]]="","",$J$3-O226),"")</f>
        <v>13</v>
      </c>
      <c r="AC226" s="34" t="str">
        <f ca="1">IF(GUAYAQUIL[[#This Row],[CODIGO]]="","",IF(S226&lt;=0,"CADUCADO",IF(AND(S226&gt;0,S226&lt;=21),"FECHA CORTA",IF(AND(S226&gt;=22,S226&lt;=26),"PROXIMOS FECHA CORTA", "VIGENTE"))))</f>
        <v>PROXIMOS FECHA CORTA</v>
      </c>
      <c r="AD226" s="37">
        <f>+IF(GUAYAQUIL[[#This Row],[CODIGO]]="","",GUAYAQUIL[[#This Row],[Stock Actual Unds]]*GUAYAQUIL[[#This Row],[Gramaje]]*GUAYAQUIL[[#This Row],[Conversión]])/1000</f>
        <v>1.694E-2</v>
      </c>
    </row>
    <row r="227" spans="1:30">
      <c r="A227" s="24" t="str">
        <f>+IFERROR(IF(GUAYAQUIL[[#This Row],[CODIGO]]="","",VLOOKUP(GUAYAQUIL[[#This Row],[CODIGO]],MAESTRO!$A:$J,10,FALSE)),"")</f>
        <v>MACHACHI</v>
      </c>
      <c r="B227" s="24" t="str">
        <f>+IFERROR(IF(GUAYAQUIL[[#This Row],[CODIGO]]="","",VLOOKUP(GUAYAQUIL[[#This Row],[CODIGO]],MAESTRO!$A:$Q,17,FALSE)),"")</f>
        <v>BEBIDAS LACTEAS</v>
      </c>
      <c r="C227" s="24" t="str">
        <f>+IFERROR(IF(GUAYAQUIL[[#This Row],[CODIGO]]="","",VLOOKUP(GUAYAQUIL[[#This Row],[CODIGO]],MAESTRO!$A:$BA,53,FALSE)),"")</f>
        <v xml:space="preserve">Luis Armendariz                         </v>
      </c>
      <c r="D227" s="24" t="str">
        <f>+IFERROR(IF(GUAYAQUIL[[#This Row],[CODIGO]]="","",VLOOKUP(GUAYAQUIL[[#This Row],[CODIGO]],MAESTRO!$A:$D,4,FALSE)),"")</f>
        <v>BON YURT</v>
      </c>
      <c r="E227" s="24" t="str">
        <f>+IFERROR(IF(GUAYAQUIL[[#This Row],[CODIGO]]="","",VLOOKUP(GUAYAQUIL[[#This Row],[CODIGO]],MAESTRO!$A:$F,6,FALSE)),"")</f>
        <v>BON YURT REGULAR</v>
      </c>
      <c r="F227" s="42" t="str">
        <f>IF(GUAYAQUIL[[#This Row],[CODIGO]]="","",$K$6)</f>
        <v>GUAYAQUIL</v>
      </c>
      <c r="G227" s="209">
        <f>IF(GUAYAQUIL[[#This Row],[CODIGO]]="","",7711)</f>
        <v>7711</v>
      </c>
      <c r="H227" s="209">
        <f>IF(GUAYAQUIL[[#This Row],[CODIGO]]="","",1001)</f>
        <v>1001</v>
      </c>
      <c r="I227" s="258" t="s">
        <v>2875</v>
      </c>
      <c r="J227" s="25" t="str">
        <f>IFERROR((VLOOKUP(GUAYAQUIL[[#This Row],[CODIGO]],MAESTRO!A:B,2,FALSE)),"")</f>
        <v>BY FROOT LOOPS VASO 154 G</v>
      </c>
      <c r="K227" s="35">
        <v>240</v>
      </c>
      <c r="L227" s="38">
        <f>+IFERROR(IF(GUAYAQUIL[[#This Row],[CODIGO]]="","",VLOOKUP(GUAYAQUIL[[#This Row],[CODIGO]],MAESTRO!$A:$BF,58,FALSE)),"")</f>
        <v>1</v>
      </c>
      <c r="M227" s="27">
        <f>+IFERROR(IF(GUAYAQUIL[[#This Row],[CODIGO]]="","",VLOOKUP(GUAYAQUIL[[#This Row],[CODIGO]],MAESTRO!A:N,14,FALSE)),"")</f>
        <v>0.154</v>
      </c>
      <c r="N227" s="28">
        <f>+IFERROR(IF(GUAYAQUIL[[#This Row],[CODIGO]]="","",VLOOKUP(GUAYAQUIL[[#This Row],[CODIGO]],MAESTRO!A:P,16,FALSE)),"")</f>
        <v>45</v>
      </c>
      <c r="O227" s="29">
        <v>45610</v>
      </c>
      <c r="P227" s="72" t="str">
        <f t="shared" si="15"/>
        <v>jueves</v>
      </c>
      <c r="Q227" s="29">
        <f>IFERROR(IF(GUAYAQUIL[[#This Row],[CODIGO]]="","",IF(GUAYAQUIL[[#This Row],[Fecha Cad]]="","",(GUAYAQUIL[[#This Row],[Fecha Cad]]-GUAYAQUIL[[#This Row],[VIDA UTIL (Días)]]))+1),"")</f>
        <v>45601</v>
      </c>
      <c r="R227" s="29">
        <v>45645</v>
      </c>
      <c r="S227" s="30">
        <f t="shared" ca="1" si="16"/>
        <v>21</v>
      </c>
      <c r="T227" s="31">
        <f t="shared" ca="1" si="17"/>
        <v>0.46666666666666667</v>
      </c>
      <c r="U227" s="286">
        <v>240</v>
      </c>
      <c r="V227" s="261">
        <f>+IFERROR(IF(GUAYAQUIL[[#This Row],[CODIGO]]="","",GUAYAQUIL[[#This Row],[Stock Actual Unds]]*GUAYAQUIL[[#This Row],[Gramaje]]*GUAYAQUIL[[#This Row],[Conversión]]),"")</f>
        <v>36.96</v>
      </c>
      <c r="W227" s="270">
        <f t="shared" si="18"/>
        <v>9</v>
      </c>
      <c r="X227" s="32">
        <f t="shared" si="19"/>
        <v>0.8</v>
      </c>
      <c r="Y227" s="236">
        <f>IFERROR(VLOOKUP(GUAYAQUIL[[#This Row],[CODIGO]],MAESTRO!A:BI,21,FALSE),0)</f>
        <v>0.295705</v>
      </c>
      <c r="Z227" s="237">
        <f>+IFERROR(IF(GUAYAQUIL[[#This Row],[CODIGO]]="","",GUAYAQUIL[[#This Row],[COSTO UNIT base]]*GUAYAQUIL[[#This Row],[Conversión]]),"")</f>
        <v>0.295705</v>
      </c>
      <c r="AA227" s="236">
        <f>+IFERROR(IF(GUAYAQUIL[[#This Row],[CODIGO]]="","",GUAYAQUIL[[#This Row],[COSTO UNIT Conv]]*GUAYAQUIL[[#This Row],[Stock Actual Kgs]]),"")</f>
        <v>10.929256799999999</v>
      </c>
      <c r="AB227" s="33">
        <f ca="1">+IFERROR(IF(GUAYAQUIL[[#This Row],[CODIGO]]="","",$J$3-O227),"")</f>
        <v>14</v>
      </c>
      <c r="AC227" s="34" t="str">
        <f ca="1">IF(GUAYAQUIL[[#This Row],[CODIGO]]="","",IF(S227&lt;=0,"CADUCADO",IF(AND(S227&gt;0,S227&lt;=21),"FECHA CORTA",IF(AND(S227&gt;=22,S227&lt;=26),"PROXIMOS FECHA CORTA", "VIGENTE"))))</f>
        <v>FECHA CORTA</v>
      </c>
      <c r="AD227" s="37">
        <f>+IF(GUAYAQUIL[[#This Row],[CODIGO]]="","",GUAYAQUIL[[#This Row],[Stock Actual Unds]]*GUAYAQUIL[[#This Row],[Gramaje]]*GUAYAQUIL[[#This Row],[Conversión]])/1000</f>
        <v>3.696E-2</v>
      </c>
    </row>
    <row r="228" spans="1:30">
      <c r="A228" s="24" t="str">
        <f>+IFERROR(IF(GUAYAQUIL[[#This Row],[CODIGO]]="","",VLOOKUP(GUAYAQUIL[[#This Row],[CODIGO]],MAESTRO!$A:$J,10,FALSE)),"")</f>
        <v>MACHACHI</v>
      </c>
      <c r="B228" s="24" t="str">
        <f>+IFERROR(IF(GUAYAQUIL[[#This Row],[CODIGO]]="","",VLOOKUP(GUAYAQUIL[[#This Row],[CODIGO]],MAESTRO!$A:$Q,17,FALSE)),"")</f>
        <v>BEBIDAS LACTEAS</v>
      </c>
      <c r="C228" s="24" t="str">
        <f>+IFERROR(IF(GUAYAQUIL[[#This Row],[CODIGO]]="","",VLOOKUP(GUAYAQUIL[[#This Row],[CODIGO]],MAESTRO!$A:$BA,53,FALSE)),"")</f>
        <v xml:space="preserve">Luis Armendariz                         </v>
      </c>
      <c r="D228" s="24" t="str">
        <f>+IFERROR(IF(GUAYAQUIL[[#This Row],[CODIGO]]="","",VLOOKUP(GUAYAQUIL[[#This Row],[CODIGO]],MAESTRO!$A:$D,4,FALSE)),"")</f>
        <v>BON YURT</v>
      </c>
      <c r="E228" s="24" t="str">
        <f>+IFERROR(IF(GUAYAQUIL[[#This Row],[CODIGO]]="","",VLOOKUP(GUAYAQUIL[[#This Row],[CODIGO]],MAESTRO!$A:$F,6,FALSE)),"")</f>
        <v>BON YURT REGULAR</v>
      </c>
      <c r="F228" s="42" t="str">
        <f>IF(GUAYAQUIL[[#This Row],[CODIGO]]="","",$K$6)</f>
        <v>GUAYAQUIL</v>
      </c>
      <c r="G228" s="42">
        <f>IF(GUAYAQUIL[[#This Row],[CODIGO]]="","",7711)</f>
        <v>7711</v>
      </c>
      <c r="H228" s="42">
        <f>IF(GUAYAQUIL[[#This Row],[CODIGO]]="","",1001)</f>
        <v>1001</v>
      </c>
      <c r="I228" s="258" t="s">
        <v>2875</v>
      </c>
      <c r="J228" s="25" t="str">
        <f>IFERROR((VLOOKUP(GUAYAQUIL[[#This Row],[CODIGO]],MAESTRO!A:B,2,FALSE)),"")</f>
        <v>BY FROOT LOOPS VASO 154 G</v>
      </c>
      <c r="K228" s="35">
        <v>300</v>
      </c>
      <c r="L228" s="38">
        <f>+IFERROR(IF(GUAYAQUIL[[#This Row],[CODIGO]]="","",VLOOKUP(GUAYAQUIL[[#This Row],[CODIGO]],MAESTRO!$A:$BF,58,FALSE)),"")</f>
        <v>1</v>
      </c>
      <c r="M228" s="27">
        <f>+IFERROR(IF(GUAYAQUIL[[#This Row],[CODIGO]]="","",VLOOKUP(GUAYAQUIL[[#This Row],[CODIGO]],MAESTRO!A:N,14,FALSE)),"")</f>
        <v>0.154</v>
      </c>
      <c r="N228" s="28">
        <f>+IFERROR(IF(GUAYAQUIL[[#This Row],[CODIGO]]="","",VLOOKUP(GUAYAQUIL[[#This Row],[CODIGO]],MAESTRO!A:P,16,FALSE)),"")</f>
        <v>45</v>
      </c>
      <c r="O228" s="29">
        <v>45615</v>
      </c>
      <c r="P228" s="72" t="str">
        <f t="shared" si="15"/>
        <v>martes</v>
      </c>
      <c r="Q228" s="29">
        <f>IFERROR(IF(GUAYAQUIL[[#This Row],[CODIGO]]="","",IF(GUAYAQUIL[[#This Row],[Fecha Cad]]="","",(GUAYAQUIL[[#This Row],[Fecha Cad]]-GUAYAQUIL[[#This Row],[VIDA UTIL (Días)]]))+1),"")</f>
        <v>45608</v>
      </c>
      <c r="R228" s="29">
        <v>45652</v>
      </c>
      <c r="S228" s="30">
        <f t="shared" ca="1" si="16"/>
        <v>28</v>
      </c>
      <c r="T228" s="31">
        <f t="shared" ca="1" si="17"/>
        <v>0.62222222222222223</v>
      </c>
      <c r="U228" s="286">
        <v>300</v>
      </c>
      <c r="V228" s="261">
        <f>+IFERROR(IF(GUAYAQUIL[[#This Row],[CODIGO]]="","",GUAYAQUIL[[#This Row],[Stock Actual Unds]]*GUAYAQUIL[[#This Row],[Gramaje]]*GUAYAQUIL[[#This Row],[Conversión]]),"")</f>
        <v>46.2</v>
      </c>
      <c r="W228" s="270">
        <f t="shared" si="18"/>
        <v>7</v>
      </c>
      <c r="X228" s="32">
        <f t="shared" si="19"/>
        <v>0.84444444444444444</v>
      </c>
      <c r="Y228" s="236">
        <f>IFERROR(VLOOKUP(GUAYAQUIL[[#This Row],[CODIGO]],MAESTRO!A:BI,21,FALSE),0)</f>
        <v>0.295705</v>
      </c>
      <c r="Z228" s="237">
        <f>+IFERROR(IF(GUAYAQUIL[[#This Row],[CODIGO]]="","",GUAYAQUIL[[#This Row],[COSTO UNIT base]]*GUAYAQUIL[[#This Row],[Conversión]]),"")</f>
        <v>0.295705</v>
      </c>
      <c r="AA228" s="236">
        <f>+IFERROR(IF(GUAYAQUIL[[#This Row],[CODIGO]]="","",GUAYAQUIL[[#This Row],[COSTO UNIT Conv]]*GUAYAQUIL[[#This Row],[Stock Actual Kgs]]),"")</f>
        <v>13.661571</v>
      </c>
      <c r="AB228" s="33">
        <f ca="1">+IFERROR(IF(GUAYAQUIL[[#This Row],[CODIGO]]="","",$J$3-O228),"")</f>
        <v>9</v>
      </c>
      <c r="AC228" s="34" t="str">
        <f ca="1">IF(GUAYAQUIL[[#This Row],[CODIGO]]="","",IF(S228&lt;=0,"CADUCADO",IF(AND(S228&gt;0,S228&lt;=21),"FECHA CORTA",IF(AND(S228&gt;=22,S228&lt;=26),"PROXIMOS FECHA CORTA", "VIGENTE"))))</f>
        <v>VIGENTE</v>
      </c>
      <c r="AD228" s="37">
        <f>+IF(GUAYAQUIL[[#This Row],[CODIGO]]="","",GUAYAQUIL[[#This Row],[Stock Actual Unds]]*GUAYAQUIL[[#This Row],[Gramaje]]*GUAYAQUIL[[#This Row],[Conversión]])/1000</f>
        <v>4.6200000000000005E-2</v>
      </c>
    </row>
    <row r="229" spans="1:30">
      <c r="A229" s="24" t="str">
        <f>+IFERROR(IF(GUAYAQUIL[[#This Row],[CODIGO]]="","",VLOOKUP(GUAYAQUIL[[#This Row],[CODIGO]],MAESTRO!$A:$J,10,FALSE)),"")</f>
        <v>MACHACHI</v>
      </c>
      <c r="B229" s="24" t="str">
        <f>+IFERROR(IF(GUAYAQUIL[[#This Row],[CODIGO]]="","",VLOOKUP(GUAYAQUIL[[#This Row],[CODIGO]],MAESTRO!$A:$Q,17,FALSE)),"")</f>
        <v>BEBIDAS LACTEAS</v>
      </c>
      <c r="C229" s="24" t="str">
        <f>+IFERROR(IF(GUAYAQUIL[[#This Row],[CODIGO]]="","",VLOOKUP(GUAYAQUIL[[#This Row],[CODIGO]],MAESTRO!$A:$BA,53,FALSE)),"")</f>
        <v xml:space="preserve">Luis Armendariz                         </v>
      </c>
      <c r="D229" s="24" t="str">
        <f>+IFERROR(IF(GUAYAQUIL[[#This Row],[CODIGO]]="","",VLOOKUP(GUAYAQUIL[[#This Row],[CODIGO]],MAESTRO!$A:$D,4,FALSE)),"")</f>
        <v>BON YURT</v>
      </c>
      <c r="E229" s="24" t="str">
        <f>+IFERROR(IF(GUAYAQUIL[[#This Row],[CODIGO]]="","",VLOOKUP(GUAYAQUIL[[#This Row],[CODIGO]],MAESTRO!$A:$F,6,FALSE)),"")</f>
        <v>BON YURT REGULAR</v>
      </c>
      <c r="F229" s="42" t="str">
        <f>IF(GUAYAQUIL[[#This Row],[CODIGO]]="","",$K$6)</f>
        <v>GUAYAQUIL</v>
      </c>
      <c r="G229" s="209">
        <f>IF(GUAYAQUIL[[#This Row],[CODIGO]]="","",7711)</f>
        <v>7711</v>
      </c>
      <c r="H229" s="209">
        <f>IF(GUAYAQUIL[[#This Row],[CODIGO]]="","",1001)</f>
        <v>1001</v>
      </c>
      <c r="I229" s="258" t="s">
        <v>2875</v>
      </c>
      <c r="J229" s="25" t="str">
        <f>IFERROR((VLOOKUP(GUAYAQUIL[[#This Row],[CODIGO]],MAESTRO!A:B,2,FALSE)),"")</f>
        <v>BY FROOT LOOPS VASO 154 G</v>
      </c>
      <c r="K229" s="35">
        <v>420</v>
      </c>
      <c r="L229" s="38">
        <f>+IFERROR(IF(GUAYAQUIL[[#This Row],[CODIGO]]="","",VLOOKUP(GUAYAQUIL[[#This Row],[CODIGO]],MAESTRO!$A:$BF,58,FALSE)),"")</f>
        <v>1</v>
      </c>
      <c r="M229" s="27">
        <f>+IFERROR(IF(GUAYAQUIL[[#This Row],[CODIGO]]="","",VLOOKUP(GUAYAQUIL[[#This Row],[CODIGO]],MAESTRO!A:N,14,FALSE)),"")</f>
        <v>0.154</v>
      </c>
      <c r="N229" s="28">
        <f>+IFERROR(IF(GUAYAQUIL[[#This Row],[CODIGO]]="","",VLOOKUP(GUAYAQUIL[[#This Row],[CODIGO]],MAESTRO!A:P,16,FALSE)),"")</f>
        <v>45</v>
      </c>
      <c r="O229" s="29">
        <v>45616</v>
      </c>
      <c r="P229" s="72" t="str">
        <f t="shared" si="15"/>
        <v>miércoles</v>
      </c>
      <c r="Q229" s="29">
        <f>IFERROR(IF(GUAYAQUIL[[#This Row],[CODIGO]]="","",IF(GUAYAQUIL[[#This Row],[Fecha Cad]]="","",(GUAYAQUIL[[#This Row],[Fecha Cad]]-GUAYAQUIL[[#This Row],[VIDA UTIL (Días)]]))+1),"")</f>
        <v>45611</v>
      </c>
      <c r="R229" s="29">
        <v>45655</v>
      </c>
      <c r="S229" s="30">
        <f t="shared" ca="1" si="16"/>
        <v>31</v>
      </c>
      <c r="T229" s="31">
        <f t="shared" ca="1" si="17"/>
        <v>0.68888888888888888</v>
      </c>
      <c r="U229" s="286">
        <v>120</v>
      </c>
      <c r="V229" s="261">
        <f>+IFERROR(IF(GUAYAQUIL[[#This Row],[CODIGO]]="","",GUAYAQUIL[[#This Row],[Stock Actual Unds]]*GUAYAQUIL[[#This Row],[Gramaje]]*GUAYAQUIL[[#This Row],[Conversión]]),"")</f>
        <v>18.48</v>
      </c>
      <c r="W229" s="270">
        <f t="shared" si="18"/>
        <v>5</v>
      </c>
      <c r="X229" s="32">
        <f t="shared" si="19"/>
        <v>0.88888888888888884</v>
      </c>
      <c r="Y229" s="236">
        <f>IFERROR(VLOOKUP(GUAYAQUIL[[#This Row],[CODIGO]],MAESTRO!A:BI,21,FALSE),0)</f>
        <v>0.295705</v>
      </c>
      <c r="Z229" s="237">
        <f>+IFERROR(IF(GUAYAQUIL[[#This Row],[CODIGO]]="","",GUAYAQUIL[[#This Row],[COSTO UNIT base]]*GUAYAQUIL[[#This Row],[Conversión]]),"")</f>
        <v>0.295705</v>
      </c>
      <c r="AA229" s="236">
        <f>+IFERROR(IF(GUAYAQUIL[[#This Row],[CODIGO]]="","",GUAYAQUIL[[#This Row],[COSTO UNIT Conv]]*GUAYAQUIL[[#This Row],[Stock Actual Kgs]]),"")</f>
        <v>5.4646283999999996</v>
      </c>
      <c r="AB229" s="33">
        <f ca="1">+IFERROR(IF(GUAYAQUIL[[#This Row],[CODIGO]]="","",$J$3-O229),"")</f>
        <v>8</v>
      </c>
      <c r="AC229" s="34" t="str">
        <f ca="1">IF(GUAYAQUIL[[#This Row],[CODIGO]]="","",IF(S229&lt;=0,"CADUCADO",IF(AND(S229&gt;0,S229&lt;=21),"FECHA CORTA",IF(AND(S229&gt;=22,S229&lt;=26),"PROXIMOS FECHA CORTA", "VIGENTE"))))</f>
        <v>VIGENTE</v>
      </c>
      <c r="AD229" s="37">
        <f>+IF(GUAYAQUIL[[#This Row],[CODIGO]]="","",GUAYAQUIL[[#This Row],[Stock Actual Unds]]*GUAYAQUIL[[#This Row],[Gramaje]]*GUAYAQUIL[[#This Row],[Conversión]])/1000</f>
        <v>1.848E-2</v>
      </c>
    </row>
    <row r="230" spans="1:30">
      <c r="A230" s="24" t="str">
        <f>+IFERROR(IF(GUAYAQUIL[[#This Row],[CODIGO]]="","",VLOOKUP(GUAYAQUIL[[#This Row],[CODIGO]],MAESTRO!$A:$J,10,FALSE)),"")</f>
        <v>MACHACHI</v>
      </c>
      <c r="B230" s="24" t="str">
        <f>+IFERROR(IF(GUAYAQUIL[[#This Row],[CODIGO]]="","",VLOOKUP(GUAYAQUIL[[#This Row],[CODIGO]],MAESTRO!$A:$Q,17,FALSE)),"")</f>
        <v>BEBIDAS LACTEAS</v>
      </c>
      <c r="C230" s="24" t="str">
        <f>+IFERROR(IF(GUAYAQUIL[[#This Row],[CODIGO]]="","",VLOOKUP(GUAYAQUIL[[#This Row],[CODIGO]],MAESTRO!$A:$BA,53,FALSE)),"")</f>
        <v xml:space="preserve">Luis Armendariz                         </v>
      </c>
      <c r="D230" s="24" t="str">
        <f>+IFERROR(IF(GUAYAQUIL[[#This Row],[CODIGO]]="","",VLOOKUP(GUAYAQUIL[[#This Row],[CODIGO]],MAESTRO!$A:$D,4,FALSE)),"")</f>
        <v>BON YURT</v>
      </c>
      <c r="E230" s="24" t="str">
        <f>+IFERROR(IF(GUAYAQUIL[[#This Row],[CODIGO]]="","",VLOOKUP(GUAYAQUIL[[#This Row],[CODIGO]],MAESTRO!$A:$F,6,FALSE)),"")</f>
        <v>BON YURT REGULAR</v>
      </c>
      <c r="F230" s="42" t="str">
        <f>IF(GUAYAQUIL[[#This Row],[CODIGO]]="","",$K$6)</f>
        <v>GUAYAQUIL</v>
      </c>
      <c r="G230" s="42">
        <f>IF(GUAYAQUIL[[#This Row],[CODIGO]]="","",7711)</f>
        <v>7711</v>
      </c>
      <c r="H230" s="42">
        <f>IF(GUAYAQUIL[[#This Row],[CODIGO]]="","",1001)</f>
        <v>1001</v>
      </c>
      <c r="I230" s="258" t="s">
        <v>2875</v>
      </c>
      <c r="J230" s="25" t="str">
        <f>IFERROR((VLOOKUP(GUAYAQUIL[[#This Row],[CODIGO]],MAESTRO!A:B,2,FALSE)),"")</f>
        <v>BY FROOT LOOPS VASO 154 G</v>
      </c>
      <c r="K230" s="35">
        <v>300</v>
      </c>
      <c r="L230" s="38">
        <f>+IFERROR(IF(GUAYAQUIL[[#This Row],[CODIGO]]="","",VLOOKUP(GUAYAQUIL[[#This Row],[CODIGO]],MAESTRO!$A:$BF,58,FALSE)),"")</f>
        <v>1</v>
      </c>
      <c r="M230" s="27">
        <f>+IFERROR(IF(GUAYAQUIL[[#This Row],[CODIGO]]="","",VLOOKUP(GUAYAQUIL[[#This Row],[CODIGO]],MAESTRO!A:N,14,FALSE)),"")</f>
        <v>0.154</v>
      </c>
      <c r="N230" s="28">
        <f>+IFERROR(IF(GUAYAQUIL[[#This Row],[CODIGO]]="","",VLOOKUP(GUAYAQUIL[[#This Row],[CODIGO]],MAESTRO!A:P,16,FALSE)),"")</f>
        <v>45</v>
      </c>
      <c r="O230" s="29">
        <v>45617</v>
      </c>
      <c r="P230" s="72" t="str">
        <f t="shared" si="15"/>
        <v>jueves</v>
      </c>
      <c r="Q230" s="29">
        <f>IFERROR(IF(GUAYAQUIL[[#This Row],[CODIGO]]="","",IF(GUAYAQUIL[[#This Row],[Fecha Cad]]="","",(GUAYAQUIL[[#This Row],[Fecha Cad]]-GUAYAQUIL[[#This Row],[VIDA UTIL (Días)]]))+1),"")</f>
        <v>45611</v>
      </c>
      <c r="R230" s="29">
        <v>45655</v>
      </c>
      <c r="S230" s="30">
        <f t="shared" ca="1" si="16"/>
        <v>31</v>
      </c>
      <c r="T230" s="31">
        <f t="shared" ca="1" si="17"/>
        <v>0.68888888888888888</v>
      </c>
      <c r="U230" s="286">
        <v>300</v>
      </c>
      <c r="V230" s="261">
        <f>+IFERROR(IF(GUAYAQUIL[[#This Row],[CODIGO]]="","",GUAYAQUIL[[#This Row],[Stock Actual Unds]]*GUAYAQUIL[[#This Row],[Gramaje]]*GUAYAQUIL[[#This Row],[Conversión]]),"")</f>
        <v>46.2</v>
      </c>
      <c r="W230" s="270">
        <f t="shared" si="18"/>
        <v>6</v>
      </c>
      <c r="X230" s="32">
        <f t="shared" si="19"/>
        <v>0.8666666666666667</v>
      </c>
      <c r="Y230" s="236">
        <f>IFERROR(VLOOKUP(GUAYAQUIL[[#This Row],[CODIGO]],MAESTRO!A:BI,21,FALSE),0)</f>
        <v>0.295705</v>
      </c>
      <c r="Z230" s="237">
        <f>+IFERROR(IF(GUAYAQUIL[[#This Row],[CODIGO]]="","",GUAYAQUIL[[#This Row],[COSTO UNIT base]]*GUAYAQUIL[[#This Row],[Conversión]]),"")</f>
        <v>0.295705</v>
      </c>
      <c r="AA230" s="236">
        <f>+IFERROR(IF(GUAYAQUIL[[#This Row],[CODIGO]]="","",GUAYAQUIL[[#This Row],[COSTO UNIT Conv]]*GUAYAQUIL[[#This Row],[Stock Actual Kgs]]),"")</f>
        <v>13.661571</v>
      </c>
      <c r="AB230" s="33">
        <f ca="1">+IFERROR(IF(GUAYAQUIL[[#This Row],[CODIGO]]="","",$J$3-O230),"")</f>
        <v>7</v>
      </c>
      <c r="AC230" s="34" t="str">
        <f ca="1">IF(GUAYAQUIL[[#This Row],[CODIGO]]="","",IF(S230&lt;=0,"CADUCADO",IF(AND(S230&gt;0,S230&lt;=21),"FECHA CORTA",IF(AND(S230&gt;=22,S230&lt;=26),"PROXIMOS FECHA CORTA", "VIGENTE"))))</f>
        <v>VIGENTE</v>
      </c>
      <c r="AD230" s="37">
        <f>+IF(GUAYAQUIL[[#This Row],[CODIGO]]="","",GUAYAQUIL[[#This Row],[Stock Actual Unds]]*GUAYAQUIL[[#This Row],[Gramaje]]*GUAYAQUIL[[#This Row],[Conversión]])/1000</f>
        <v>4.6200000000000005E-2</v>
      </c>
    </row>
    <row r="231" spans="1:30">
      <c r="A231" s="24" t="str">
        <f>+IFERROR(IF(GUAYAQUIL[[#This Row],[CODIGO]]="","",VLOOKUP(GUAYAQUIL[[#This Row],[CODIGO]],MAESTRO!$A:$J,10,FALSE)),"")</f>
        <v>SAN GABRIEL</v>
      </c>
      <c r="B231" s="24" t="str">
        <f>+IFERROR(IF(GUAYAQUIL[[#This Row],[CODIGO]]="","",VLOOKUP(GUAYAQUIL[[#This Row],[CODIGO]],MAESTRO!$A:$Q,17,FALSE)),"")</f>
        <v>QUESOS Y GRASAS</v>
      </c>
      <c r="C231" s="24" t="str">
        <f>+IFERROR(IF(GUAYAQUIL[[#This Row],[CODIGO]]="","",VLOOKUP(GUAYAQUIL[[#This Row],[CODIGO]],MAESTRO!$A:$BA,53,FALSE)),"")</f>
        <v xml:space="preserve">Esteban Montenegro                      </v>
      </c>
      <c r="D231" s="24" t="str">
        <f>+IFERROR(IF(GUAYAQUIL[[#This Row],[CODIGO]]="","",VLOOKUP(GUAYAQUIL[[#This Row],[CODIGO]],MAESTRO!$A:$D,4,FALSE)),"")</f>
        <v>QUESO SEMIMADURO KIOSKO</v>
      </c>
      <c r="E231" s="24" t="str">
        <f>+IFERROR(IF(GUAYAQUIL[[#This Row],[CODIGO]]="","",VLOOKUP(GUAYAQUIL[[#This Row],[CODIGO]],MAESTRO!$A:$F,6,FALSE)),"")</f>
        <v>QUESO HOLANDES KIOSKO BLOQUE</v>
      </c>
      <c r="F231" s="42" t="str">
        <f>IF(GUAYAQUIL[[#This Row],[CODIGO]]="","",$K$6)</f>
        <v>GUAYAQUIL</v>
      </c>
      <c r="G231" s="42">
        <f>IF(GUAYAQUIL[[#This Row],[CODIGO]]="","",7711)</f>
        <v>7711</v>
      </c>
      <c r="H231" s="42">
        <f>IF(GUAYAQUIL[[#This Row],[CODIGO]]="","",1001)</f>
        <v>1001</v>
      </c>
      <c r="I231" s="258" t="s">
        <v>3603</v>
      </c>
      <c r="J231" s="25" t="str">
        <f>IFERROR((VLOOKUP(GUAYAQUIL[[#This Row],[CODIGO]],MAESTRO!A:B,2,FALSE)),"")</f>
        <v>Q HOLAN KIOSKO BLOQ 400G</v>
      </c>
      <c r="K231" s="35">
        <v>36</v>
      </c>
      <c r="L231" s="38">
        <f>+IFERROR(IF(GUAYAQUIL[[#This Row],[CODIGO]]="","",VLOOKUP(GUAYAQUIL[[#This Row],[CODIGO]],MAESTRO!$A:$BF,58,FALSE)),"")</f>
        <v>1</v>
      </c>
      <c r="M231" s="27">
        <f>+IFERROR(IF(GUAYAQUIL[[#This Row],[CODIGO]]="","",VLOOKUP(GUAYAQUIL[[#This Row],[CODIGO]],MAESTRO!A:N,14,FALSE)),"")</f>
        <v>0.4</v>
      </c>
      <c r="N231" s="28">
        <f>+IFERROR(IF(GUAYAQUIL[[#This Row],[CODIGO]]="","",VLOOKUP(GUAYAQUIL[[#This Row],[CODIGO]],MAESTRO!A:P,16,FALSE)),"")</f>
        <v>60</v>
      </c>
      <c r="O231" s="29">
        <v>45582</v>
      </c>
      <c r="P231" s="72" t="str">
        <f t="shared" si="15"/>
        <v>jueves</v>
      </c>
      <c r="Q231" s="29">
        <f>IFERROR(IF(GUAYAQUIL[[#This Row],[CODIGO]]="","",IF(GUAYAQUIL[[#This Row],[Fecha Cad]]="","",(GUAYAQUIL[[#This Row],[Fecha Cad]]-GUAYAQUIL[[#This Row],[VIDA UTIL (Días)]]))+1),"")</f>
        <v>45575</v>
      </c>
      <c r="R231" s="29">
        <v>45634</v>
      </c>
      <c r="S231" s="30">
        <f t="shared" ca="1" si="16"/>
        <v>10</v>
      </c>
      <c r="T231" s="31">
        <f t="shared" ca="1" si="17"/>
        <v>0.16666666666666666</v>
      </c>
      <c r="U231" s="286">
        <v>35</v>
      </c>
      <c r="V231" s="262">
        <f>+IFERROR(IF(GUAYAQUIL[[#This Row],[CODIGO]]="","",GUAYAQUIL[[#This Row],[Stock Actual Unds]]*GUAYAQUIL[[#This Row],[Gramaje]]*GUAYAQUIL[[#This Row],[Conversión]]),"")</f>
        <v>14</v>
      </c>
      <c r="W231" s="270">
        <f t="shared" si="18"/>
        <v>7</v>
      </c>
      <c r="X231" s="32">
        <f t="shared" si="19"/>
        <v>0.8833333333333333</v>
      </c>
      <c r="Y231" s="236">
        <f>IFERROR(VLOOKUP(GUAYAQUIL[[#This Row],[CODIGO]],MAESTRO!A:BI,21,FALSE),0)</f>
        <v>2.599545</v>
      </c>
      <c r="Z231" s="237">
        <f>+IFERROR(IF(GUAYAQUIL[[#This Row],[CODIGO]]="","",GUAYAQUIL[[#This Row],[COSTO UNIT base]]*GUAYAQUIL[[#This Row],[Conversión]]),"")</f>
        <v>2.599545</v>
      </c>
      <c r="AA231" s="236">
        <f>+IFERROR(IF(GUAYAQUIL[[#This Row],[CODIGO]]="","",GUAYAQUIL[[#This Row],[COSTO UNIT Conv]]*GUAYAQUIL[[#This Row],[Stock Actual Kgs]]),"")</f>
        <v>36.393630000000002</v>
      </c>
      <c r="AB231" s="33">
        <f ca="1">+IFERROR(IF(GUAYAQUIL[[#This Row],[CODIGO]]="","",$J$3-O231),"")</f>
        <v>42</v>
      </c>
      <c r="AC231" s="34" t="str">
        <f ca="1">IF(GUAYAQUIL[[#This Row],[CODIGO]]="","",IF(S231&lt;=0,"CADUCADO",IF(AND(S231&gt;0,S231&lt;=21),"FECHA CORTA",IF(AND(S231&gt;=22,S231&lt;=26),"PROXIMOS FECHA CORTA", "VIGENTE"))))</f>
        <v>FECHA CORTA</v>
      </c>
      <c r="AD231" s="37">
        <f>+IF(GUAYAQUIL[[#This Row],[CODIGO]]="","",GUAYAQUIL[[#This Row],[Stock Actual Unds]]*GUAYAQUIL[[#This Row],[Gramaje]]*GUAYAQUIL[[#This Row],[Conversión]])/1000</f>
        <v>1.4E-2</v>
      </c>
    </row>
    <row r="232" spans="1:30">
      <c r="A232" s="24" t="str">
        <f>+IFERROR(IF(GUAYAQUIL[[#This Row],[CODIGO]]="","",VLOOKUP(GUAYAQUIL[[#This Row],[CODIGO]],MAESTRO!$A:$J,10,FALSE)),"")</f>
        <v>SAN GABRIEL</v>
      </c>
      <c r="B232" s="24" t="str">
        <f>+IFERROR(IF(GUAYAQUIL[[#This Row],[CODIGO]]="","",VLOOKUP(GUAYAQUIL[[#This Row],[CODIGO]],MAESTRO!$A:$Q,17,FALSE)),"")</f>
        <v>QUESOS Y GRASAS</v>
      </c>
      <c r="C232" s="24" t="str">
        <f>+IFERROR(IF(GUAYAQUIL[[#This Row],[CODIGO]]="","",VLOOKUP(GUAYAQUIL[[#This Row],[CODIGO]],MAESTRO!$A:$BA,53,FALSE)),"")</f>
        <v xml:space="preserve">Esteban Montenegro                      </v>
      </c>
      <c r="D232" s="24" t="str">
        <f>+IFERROR(IF(GUAYAQUIL[[#This Row],[CODIGO]]="","",VLOOKUP(GUAYAQUIL[[#This Row],[CODIGO]],MAESTRO!$A:$D,4,FALSE)),"")</f>
        <v>QUESO SEMIMADURO KIOSKO</v>
      </c>
      <c r="E232" s="24" t="str">
        <f>+IFERROR(IF(GUAYAQUIL[[#This Row],[CODIGO]]="","",VLOOKUP(GUAYAQUIL[[#This Row],[CODIGO]],MAESTRO!$A:$F,6,FALSE)),"")</f>
        <v>QUESO HOLANDES KIOSKO BLOQUE</v>
      </c>
      <c r="F232" s="42" t="str">
        <f>IF(GUAYAQUIL[[#This Row],[CODIGO]]="","",$K$6)</f>
        <v>GUAYAQUIL</v>
      </c>
      <c r="G232" s="42">
        <f>IF(GUAYAQUIL[[#This Row],[CODIGO]]="","",7711)</f>
        <v>7711</v>
      </c>
      <c r="H232" s="42">
        <f>IF(GUAYAQUIL[[#This Row],[CODIGO]]="","",1001)</f>
        <v>1001</v>
      </c>
      <c r="I232" s="258" t="s">
        <v>3603</v>
      </c>
      <c r="J232" s="25" t="str">
        <f>IFERROR((VLOOKUP(GUAYAQUIL[[#This Row],[CODIGO]],MAESTRO!A:B,2,FALSE)),"")</f>
        <v>Q HOLAN KIOSKO BLOQ 400G</v>
      </c>
      <c r="K232" s="35">
        <v>36</v>
      </c>
      <c r="L232" s="38">
        <f>+IFERROR(IF(GUAYAQUIL[[#This Row],[CODIGO]]="","",VLOOKUP(GUAYAQUIL[[#This Row],[CODIGO]],MAESTRO!$A:$BF,58,FALSE)),"")</f>
        <v>1</v>
      </c>
      <c r="M232" s="27">
        <f>+IFERROR(IF(GUAYAQUIL[[#This Row],[CODIGO]]="","",VLOOKUP(GUAYAQUIL[[#This Row],[CODIGO]],MAESTRO!A:N,14,FALSE)),"")</f>
        <v>0.4</v>
      </c>
      <c r="N232" s="28">
        <f>+IFERROR(IF(GUAYAQUIL[[#This Row],[CODIGO]]="","",VLOOKUP(GUAYAQUIL[[#This Row],[CODIGO]],MAESTRO!A:P,16,FALSE)),"")</f>
        <v>60</v>
      </c>
      <c r="O232" s="29">
        <v>45604</v>
      </c>
      <c r="P232" s="72" t="str">
        <f t="shared" si="15"/>
        <v>viernes</v>
      </c>
      <c r="Q232" s="29">
        <f>IFERROR(IF(GUAYAQUIL[[#This Row],[CODIGO]]="","",IF(GUAYAQUIL[[#This Row],[Fecha Cad]]="","",(GUAYAQUIL[[#This Row],[Fecha Cad]]-GUAYAQUIL[[#This Row],[VIDA UTIL (Días)]]))+1),"")</f>
        <v>45596</v>
      </c>
      <c r="R232" s="29">
        <v>45655</v>
      </c>
      <c r="S232" s="30">
        <f t="shared" ca="1" si="16"/>
        <v>31</v>
      </c>
      <c r="T232" s="31">
        <f t="shared" ca="1" si="17"/>
        <v>0.51666666666666672</v>
      </c>
      <c r="U232" s="286">
        <v>36</v>
      </c>
      <c r="V232" s="262">
        <f>+IFERROR(IF(GUAYAQUIL[[#This Row],[CODIGO]]="","",GUAYAQUIL[[#This Row],[Stock Actual Unds]]*GUAYAQUIL[[#This Row],[Gramaje]]*GUAYAQUIL[[#This Row],[Conversión]]),"")</f>
        <v>14.4</v>
      </c>
      <c r="W232" s="270">
        <f t="shared" si="18"/>
        <v>8</v>
      </c>
      <c r="X232" s="32">
        <f t="shared" si="19"/>
        <v>0.8666666666666667</v>
      </c>
      <c r="Y232" s="236">
        <f>IFERROR(VLOOKUP(GUAYAQUIL[[#This Row],[CODIGO]],MAESTRO!A:BI,21,FALSE),0)</f>
        <v>2.599545</v>
      </c>
      <c r="Z232" s="237">
        <f>+IFERROR(IF(GUAYAQUIL[[#This Row],[CODIGO]]="","",GUAYAQUIL[[#This Row],[COSTO UNIT base]]*GUAYAQUIL[[#This Row],[Conversión]]),"")</f>
        <v>2.599545</v>
      </c>
      <c r="AA232" s="236">
        <f>+IFERROR(IF(GUAYAQUIL[[#This Row],[CODIGO]]="","",GUAYAQUIL[[#This Row],[COSTO UNIT Conv]]*GUAYAQUIL[[#This Row],[Stock Actual Kgs]]),"")</f>
        <v>37.433447999999999</v>
      </c>
      <c r="AB232" s="33">
        <f ca="1">+IFERROR(IF(GUAYAQUIL[[#This Row],[CODIGO]]="","",$J$3-O232),"")</f>
        <v>20</v>
      </c>
      <c r="AC232" s="34" t="str">
        <f ca="1">IF(GUAYAQUIL[[#This Row],[CODIGO]]="","",IF(S232&lt;=0,"CADUCADO",IF(AND(S232&gt;0,S232&lt;=21),"FECHA CORTA",IF(AND(S232&gt;=22,S232&lt;=26),"PROXIMOS FECHA CORTA", "VIGENTE"))))</f>
        <v>VIGENTE</v>
      </c>
      <c r="AD232" s="37">
        <f>+IF(GUAYAQUIL[[#This Row],[CODIGO]]="","",GUAYAQUIL[[#This Row],[Stock Actual Unds]]*GUAYAQUIL[[#This Row],[Gramaje]]*GUAYAQUIL[[#This Row],[Conversión]])/1000</f>
        <v>1.44E-2</v>
      </c>
    </row>
    <row r="233" spans="1:30">
      <c r="A233" s="24" t="str">
        <f>+IFERROR(IF(GUAYAQUIL[[#This Row],[CODIGO]]="","",VLOOKUP(GUAYAQUIL[[#This Row],[CODIGO]],MAESTRO!$A:$J,10,FALSE)),"")</f>
        <v>SAN GABRIEL</v>
      </c>
      <c r="B233" s="24" t="str">
        <f>+IFERROR(IF(GUAYAQUIL[[#This Row],[CODIGO]]="","",VLOOKUP(GUAYAQUIL[[#This Row],[CODIGO]],MAESTRO!$A:$Q,17,FALSE)),"")</f>
        <v>QUESOS Y GRASAS</v>
      </c>
      <c r="C233" s="24" t="str">
        <f>+IFERROR(IF(GUAYAQUIL[[#This Row],[CODIGO]]="","",VLOOKUP(GUAYAQUIL[[#This Row],[CODIGO]],MAESTRO!$A:$BA,53,FALSE)),"")</f>
        <v xml:space="preserve">Esteban Montenegro                      </v>
      </c>
      <c r="D233" s="24" t="str">
        <f>+IFERROR(IF(GUAYAQUIL[[#This Row],[CODIGO]]="","",VLOOKUP(GUAYAQUIL[[#This Row],[CODIGO]],MAESTRO!$A:$D,4,FALSE)),"")</f>
        <v>QUESO SEMIMADURO KIOSKO</v>
      </c>
      <c r="E233" s="24" t="str">
        <f>+IFERROR(IF(GUAYAQUIL[[#This Row],[CODIGO]]="","",VLOOKUP(GUAYAQUIL[[#This Row],[CODIGO]],MAESTRO!$A:$F,6,FALSE)),"")</f>
        <v>QUESO HOLANDES KIOSKO BLOQUE</v>
      </c>
      <c r="F233" s="42" t="str">
        <f>IF(GUAYAQUIL[[#This Row],[CODIGO]]="","",$K$6)</f>
        <v>GUAYAQUIL</v>
      </c>
      <c r="G233" s="42">
        <f>IF(GUAYAQUIL[[#This Row],[CODIGO]]="","",7711)</f>
        <v>7711</v>
      </c>
      <c r="H233" s="42">
        <f>IF(GUAYAQUIL[[#This Row],[CODIGO]]="","",1001)</f>
        <v>1001</v>
      </c>
      <c r="I233" s="258" t="s">
        <v>3603</v>
      </c>
      <c r="J233" s="25" t="str">
        <f>IFERROR((VLOOKUP(GUAYAQUIL[[#This Row],[CODIGO]],MAESTRO!A:B,2,FALSE)),"")</f>
        <v>Q HOLAN KIOSKO BLOQ 400G</v>
      </c>
      <c r="K233" s="35">
        <v>10</v>
      </c>
      <c r="L233" s="38">
        <f>+IFERROR(IF(GUAYAQUIL[[#This Row],[CODIGO]]="","",VLOOKUP(GUAYAQUIL[[#This Row],[CODIGO]],MAESTRO!$A:$BF,58,FALSE)),"")</f>
        <v>1</v>
      </c>
      <c r="M233" s="27">
        <f>+IFERROR(IF(GUAYAQUIL[[#This Row],[CODIGO]]="","",VLOOKUP(GUAYAQUIL[[#This Row],[CODIGO]],MAESTRO!A:N,14,FALSE)),"")</f>
        <v>0.4</v>
      </c>
      <c r="N233" s="28">
        <f>+IFERROR(IF(GUAYAQUIL[[#This Row],[CODIGO]]="","",VLOOKUP(GUAYAQUIL[[#This Row],[CODIGO]],MAESTRO!A:P,16,FALSE)),"")</f>
        <v>60</v>
      </c>
      <c r="O233" s="29">
        <v>45617</v>
      </c>
      <c r="P233" s="72" t="str">
        <f t="shared" si="15"/>
        <v>jueves</v>
      </c>
      <c r="Q233" s="29">
        <f>IFERROR(IF(GUAYAQUIL[[#This Row],[CODIGO]]="","",IF(GUAYAQUIL[[#This Row],[Fecha Cad]]="","",(GUAYAQUIL[[#This Row],[Fecha Cad]]-GUAYAQUIL[[#This Row],[VIDA UTIL (Días)]]))+1),"")</f>
        <v>45611</v>
      </c>
      <c r="R233" s="29">
        <v>45670</v>
      </c>
      <c r="S233" s="30">
        <f t="shared" ca="1" si="16"/>
        <v>46</v>
      </c>
      <c r="T233" s="31">
        <f t="shared" ca="1" si="17"/>
        <v>0.76666666666666672</v>
      </c>
      <c r="U233" s="286">
        <v>10</v>
      </c>
      <c r="V233" s="262">
        <f>+IFERROR(IF(GUAYAQUIL[[#This Row],[CODIGO]]="","",GUAYAQUIL[[#This Row],[Stock Actual Unds]]*GUAYAQUIL[[#This Row],[Gramaje]]*GUAYAQUIL[[#This Row],[Conversión]]),"")</f>
        <v>4</v>
      </c>
      <c r="W233" s="270">
        <f t="shared" si="18"/>
        <v>6</v>
      </c>
      <c r="X233" s="32">
        <f t="shared" si="19"/>
        <v>0.9</v>
      </c>
      <c r="Y233" s="236">
        <f>IFERROR(VLOOKUP(GUAYAQUIL[[#This Row],[CODIGO]],MAESTRO!A:BI,21,FALSE),0)</f>
        <v>2.599545</v>
      </c>
      <c r="Z233" s="237">
        <f>+IFERROR(IF(GUAYAQUIL[[#This Row],[CODIGO]]="","",GUAYAQUIL[[#This Row],[COSTO UNIT base]]*GUAYAQUIL[[#This Row],[Conversión]]),"")</f>
        <v>2.599545</v>
      </c>
      <c r="AA233" s="236">
        <f>+IFERROR(IF(GUAYAQUIL[[#This Row],[CODIGO]]="","",GUAYAQUIL[[#This Row],[COSTO UNIT Conv]]*GUAYAQUIL[[#This Row],[Stock Actual Kgs]]),"")</f>
        <v>10.39818</v>
      </c>
      <c r="AB233" s="33">
        <f ca="1">+IFERROR(IF(GUAYAQUIL[[#This Row],[CODIGO]]="","",$J$3-O233),"")</f>
        <v>7</v>
      </c>
      <c r="AC233" s="34" t="str">
        <f ca="1">IF(GUAYAQUIL[[#This Row],[CODIGO]]="","",IF(S233&lt;=0,"CADUCADO",IF(AND(S233&gt;0,S233&lt;=21),"FECHA CORTA",IF(AND(S233&gt;=22,S233&lt;=26),"PROXIMOS FECHA CORTA", "VIGENTE"))))</f>
        <v>VIGENTE</v>
      </c>
      <c r="AD233" s="37">
        <f>+IF(GUAYAQUIL[[#This Row],[CODIGO]]="","",GUAYAQUIL[[#This Row],[Stock Actual Unds]]*GUAYAQUIL[[#This Row],[Gramaje]]*GUAYAQUIL[[#This Row],[Conversión]])/1000</f>
        <v>4.0000000000000001E-3</v>
      </c>
    </row>
    <row r="234" spans="1:30">
      <c r="A234" s="24" t="str">
        <f>+IFERROR(IF(GUAYAQUIL[[#This Row],[CODIGO]]="","",VLOOKUP(GUAYAQUIL[[#This Row],[CODIGO]],MAESTRO!$A:$J,10,FALSE)),"")</f>
        <v>SAN GABRIEL</v>
      </c>
      <c r="B234" s="24" t="str">
        <f>+IFERROR(IF(GUAYAQUIL[[#This Row],[CODIGO]]="","",VLOOKUP(GUAYAQUIL[[#This Row],[CODIGO]],MAESTRO!$A:$Q,17,FALSE)),"")</f>
        <v>QUESOS Y GRASAS</v>
      </c>
      <c r="C234" s="24" t="str">
        <f>+IFERROR(IF(GUAYAQUIL[[#This Row],[CODIGO]]="","",VLOOKUP(GUAYAQUIL[[#This Row],[CODIGO]],MAESTRO!$A:$BA,53,FALSE)),"")</f>
        <v xml:space="preserve">Esteban Montenegro                      </v>
      </c>
      <c r="D234" s="24" t="str">
        <f>+IFERROR(IF(GUAYAQUIL[[#This Row],[CODIGO]]="","",VLOOKUP(GUAYAQUIL[[#This Row],[CODIGO]],MAESTRO!$A:$D,4,FALSE)),"")</f>
        <v>QUESO SEMIMADURO KIOSKO</v>
      </c>
      <c r="E234" s="24" t="str">
        <f>+IFERROR(IF(GUAYAQUIL[[#This Row],[CODIGO]]="","",VLOOKUP(GUAYAQUIL[[#This Row],[CODIGO]],MAESTRO!$A:$F,6,FALSE)),"")</f>
        <v>QUESO SEMIMADURO CHEDDAR KIOSKO BLOQUE</v>
      </c>
      <c r="F234" s="42" t="str">
        <f>IF(GUAYAQUIL[[#This Row],[CODIGO]]="","",$K$6)</f>
        <v>GUAYAQUIL</v>
      </c>
      <c r="G234" s="42">
        <f>IF(GUAYAQUIL[[#This Row],[CODIGO]]="","",7711)</f>
        <v>7711</v>
      </c>
      <c r="H234" s="42">
        <f>IF(GUAYAQUIL[[#This Row],[CODIGO]]="","",1001)</f>
        <v>1001</v>
      </c>
      <c r="I234" s="258" t="s">
        <v>1621</v>
      </c>
      <c r="J234" s="25" t="str">
        <f>IFERROR((VLOOKUP(GUAYAQUIL[[#This Row],[CODIGO]],MAESTRO!A:B,2,FALSE)),"")</f>
        <v>Q CHEDDAR KIOSKO BLOQ 400G</v>
      </c>
      <c r="K234" s="35">
        <v>36</v>
      </c>
      <c r="L234" s="38">
        <f>+IFERROR(IF(GUAYAQUIL[[#This Row],[CODIGO]]="","",VLOOKUP(GUAYAQUIL[[#This Row],[CODIGO]],MAESTRO!$A:$BF,58,FALSE)),"")</f>
        <v>1</v>
      </c>
      <c r="M234" s="27">
        <f>+IFERROR(IF(GUAYAQUIL[[#This Row],[CODIGO]]="","",VLOOKUP(GUAYAQUIL[[#This Row],[CODIGO]],MAESTRO!A:N,14,FALSE)),"")</f>
        <v>0.4</v>
      </c>
      <c r="N234" s="28">
        <f>+IFERROR(IF(GUAYAQUIL[[#This Row],[CODIGO]]="","",VLOOKUP(GUAYAQUIL[[#This Row],[CODIGO]],MAESTRO!A:P,16,FALSE)),"")</f>
        <v>60</v>
      </c>
      <c r="O234" s="29">
        <v>45611</v>
      </c>
      <c r="P234" s="72" t="str">
        <f t="shared" si="15"/>
        <v>viernes</v>
      </c>
      <c r="Q234" s="29">
        <f>IFERROR(IF(GUAYAQUIL[[#This Row],[CODIGO]]="","",IF(GUAYAQUIL[[#This Row],[Fecha Cad]]="","",(GUAYAQUIL[[#This Row],[Fecha Cad]]-GUAYAQUIL[[#This Row],[VIDA UTIL (Días)]]))+1),"")</f>
        <v>45634</v>
      </c>
      <c r="R234" s="29">
        <v>45693</v>
      </c>
      <c r="S234" s="30">
        <f t="shared" ca="1" si="16"/>
        <v>69</v>
      </c>
      <c r="T234" s="31">
        <f t="shared" ca="1" si="17"/>
        <v>1.1499999999999999</v>
      </c>
      <c r="U234" s="286">
        <v>34</v>
      </c>
      <c r="V234" s="262">
        <f>+IFERROR(IF(GUAYAQUIL[[#This Row],[CODIGO]]="","",GUAYAQUIL[[#This Row],[Stock Actual Unds]]*GUAYAQUIL[[#This Row],[Gramaje]]*GUAYAQUIL[[#This Row],[Conversión]]),"")</f>
        <v>13.600000000000001</v>
      </c>
      <c r="W234" s="270">
        <f t="shared" si="18"/>
        <v>-23</v>
      </c>
      <c r="X234" s="32">
        <f t="shared" si="19"/>
        <v>1.3833333333333333</v>
      </c>
      <c r="Y234" s="236">
        <f>IFERROR(VLOOKUP(GUAYAQUIL[[#This Row],[CODIGO]],MAESTRO!A:BI,21,FALSE),0)</f>
        <v>3.5996300000000003</v>
      </c>
      <c r="Z234" s="237">
        <f>+IFERROR(IF(GUAYAQUIL[[#This Row],[CODIGO]]="","",GUAYAQUIL[[#This Row],[COSTO UNIT base]]*GUAYAQUIL[[#This Row],[Conversión]]),"")</f>
        <v>3.5996300000000003</v>
      </c>
      <c r="AA234" s="236">
        <f>+IFERROR(IF(GUAYAQUIL[[#This Row],[CODIGO]]="","",GUAYAQUIL[[#This Row],[COSTO UNIT Conv]]*GUAYAQUIL[[#This Row],[Stock Actual Kgs]]),"")</f>
        <v>48.954968000000008</v>
      </c>
      <c r="AB234" s="33">
        <f ca="1">+IFERROR(IF(GUAYAQUIL[[#This Row],[CODIGO]]="","",$J$3-O234),"")</f>
        <v>13</v>
      </c>
      <c r="AC234" s="34" t="str">
        <f ca="1">IF(GUAYAQUIL[[#This Row],[CODIGO]]="","",IF(S234&lt;=0,"CADUCADO",IF(AND(S234&gt;0,S234&lt;=21),"FECHA CORTA",IF(AND(S234&gt;=22,S234&lt;=26),"PROXIMOS FECHA CORTA", "VIGENTE"))))</f>
        <v>VIGENTE</v>
      </c>
      <c r="AD234" s="37">
        <f>+IF(GUAYAQUIL[[#This Row],[CODIGO]]="","",GUAYAQUIL[[#This Row],[Stock Actual Unds]]*GUAYAQUIL[[#This Row],[Gramaje]]*GUAYAQUIL[[#This Row],[Conversión]])/1000</f>
        <v>1.3600000000000001E-2</v>
      </c>
    </row>
    <row r="235" spans="1:30">
      <c r="A235" s="42" t="str">
        <f>+IFERROR(IF(GUAYAQUIL[[#This Row],[CODIGO]]="","",VLOOKUP(GUAYAQUIL[[#This Row],[CODIGO]],MAESTRO!$A:$J,10,FALSE)),"")</f>
        <v>SAN GABRIEL</v>
      </c>
      <c r="B235" s="42" t="str">
        <f>+IFERROR(IF(GUAYAQUIL[[#This Row],[CODIGO]]="","",VLOOKUP(GUAYAQUIL[[#This Row],[CODIGO]],MAESTRO!$A:$Q,17,FALSE)),"")</f>
        <v>QUESOS Y GRASAS</v>
      </c>
      <c r="C235" s="42" t="str">
        <f>+IFERROR(IF(GUAYAQUIL[[#This Row],[CODIGO]]="","",VLOOKUP(GUAYAQUIL[[#This Row],[CODIGO]],MAESTRO!$A:$BA,53,FALSE)),"")</f>
        <v xml:space="preserve">Esteban Montenegro                      </v>
      </c>
      <c r="D235" s="42" t="str">
        <f>+IFERROR(IF(GUAYAQUIL[[#This Row],[CODIGO]]="","",VLOOKUP(GUAYAQUIL[[#This Row],[CODIGO]],MAESTRO!$A:$D,4,FALSE)),"")</f>
        <v>QUESO SEMIMADURO KIOSKO</v>
      </c>
      <c r="E235" s="42" t="str">
        <f>+IFERROR(IF(GUAYAQUIL[[#This Row],[CODIGO]]="","",VLOOKUP(GUAYAQUIL[[#This Row],[CODIGO]],MAESTRO!$A:$F,6,FALSE)),"")</f>
        <v>QUESO SEMIMADURO CHEDDAR KIOSKO BLOQUE</v>
      </c>
      <c r="F235" s="42" t="str">
        <f>IF(GUAYAQUIL[[#This Row],[CODIGO]]="","",$K$6)</f>
        <v>GUAYAQUIL</v>
      </c>
      <c r="G235" s="42">
        <f>IF(GUAYAQUIL[[#This Row],[CODIGO]]="","",7711)</f>
        <v>7711</v>
      </c>
      <c r="H235" s="42">
        <f>IF(GUAYAQUIL[[#This Row],[CODIGO]]="","",1001)</f>
        <v>1001</v>
      </c>
      <c r="I235" s="258" t="s">
        <v>1621</v>
      </c>
      <c r="J235" s="25" t="str">
        <f>IFERROR((VLOOKUP(GUAYAQUIL[[#This Row],[CODIGO]],MAESTRO!A:B,2,FALSE)),"")</f>
        <v>Q CHEDDAR KIOSKO BLOQ 400G</v>
      </c>
      <c r="K235" s="35">
        <v>20</v>
      </c>
      <c r="L235" s="205">
        <f>+IFERROR(IF(GUAYAQUIL[[#This Row],[CODIGO]]="","",VLOOKUP(GUAYAQUIL[[#This Row],[CODIGO]],MAESTRO!$A:$BF,58,FALSE)),"")</f>
        <v>1</v>
      </c>
      <c r="M235" s="27">
        <f>+IFERROR(IF(GUAYAQUIL[[#This Row],[CODIGO]]="","",VLOOKUP(GUAYAQUIL[[#This Row],[CODIGO]],MAESTRO!A:N,14,FALSE)),"")</f>
        <v>0.4</v>
      </c>
      <c r="N235" s="290">
        <f>+IFERROR(IF(GUAYAQUIL[[#This Row],[CODIGO]]="","",VLOOKUP(GUAYAQUIL[[#This Row],[CODIGO]],MAESTRO!A:P,16,FALSE)),"")</f>
        <v>60</v>
      </c>
      <c r="O235" s="45">
        <v>45617</v>
      </c>
      <c r="P235" s="292" t="str">
        <f t="shared" si="15"/>
        <v>jueves</v>
      </c>
      <c r="Q235" s="278">
        <f>IFERROR(IF(GUAYAQUIL[[#This Row],[CODIGO]]="","",IF(GUAYAQUIL[[#This Row],[Fecha Cad]]="","",(GUAYAQUIL[[#This Row],[Fecha Cad]]-GUAYAQUIL[[#This Row],[VIDA UTIL (Días)]]))+1),"")</f>
        <v>45640</v>
      </c>
      <c r="R235" s="45">
        <v>45699</v>
      </c>
      <c r="S235" s="30">
        <f t="shared" ca="1" si="16"/>
        <v>75</v>
      </c>
      <c r="T235" s="294">
        <f t="shared" ca="1" si="17"/>
        <v>1.25</v>
      </c>
      <c r="U235" s="295">
        <v>20</v>
      </c>
      <c r="V235" s="262">
        <f>+IFERROR(IF(GUAYAQUIL[[#This Row],[CODIGO]]="","",GUAYAQUIL[[#This Row],[Stock Actual Unds]]*GUAYAQUIL[[#This Row],[Gramaje]]*GUAYAQUIL[[#This Row],[Conversión]]),"")</f>
        <v>8</v>
      </c>
      <c r="W235" s="299">
        <f t="shared" si="18"/>
        <v>-23</v>
      </c>
      <c r="X235" s="44">
        <f t="shared" si="19"/>
        <v>1.3833333333333333</v>
      </c>
      <c r="Y235" s="236">
        <f>IFERROR(VLOOKUP(GUAYAQUIL[[#This Row],[CODIGO]],MAESTRO!A:BI,21,FALSE),0)</f>
        <v>3.5996300000000003</v>
      </c>
      <c r="Z235" s="237">
        <f>+IFERROR(IF(GUAYAQUIL[[#This Row],[CODIGO]]="","",GUAYAQUIL[[#This Row],[COSTO UNIT base]]*GUAYAQUIL[[#This Row],[Conversión]]),"")</f>
        <v>3.5996300000000003</v>
      </c>
      <c r="AA235" s="236">
        <f>+IFERROR(IF(GUAYAQUIL[[#This Row],[CODIGO]]="","",GUAYAQUIL[[#This Row],[COSTO UNIT Conv]]*GUAYAQUIL[[#This Row],[Stock Actual Kgs]]),"")</f>
        <v>28.797040000000003</v>
      </c>
      <c r="AB235" s="180">
        <f ca="1">+IFERROR(IF(GUAYAQUIL[[#This Row],[CODIGO]]="","",$J$3-O235),"")</f>
        <v>7</v>
      </c>
      <c r="AC235" s="35" t="str">
        <f ca="1">IF(GUAYAQUIL[[#This Row],[CODIGO]]="","",IF(S235&lt;=0,"CADUCADO",IF(AND(S235&gt;0,S235&lt;=21),"FECHA CORTA",IF(AND(S235&gt;=22,S235&lt;=26),"PROXIMOS FECHA CORTA", "VIGENTE"))))</f>
        <v>VIGENTE</v>
      </c>
      <c r="AD235" s="37">
        <f>+IF(GUAYAQUIL[[#This Row],[CODIGO]]="","",GUAYAQUIL[[#This Row],[Stock Actual Unds]]*GUAYAQUIL[[#This Row],[Gramaje]]*GUAYAQUIL[[#This Row],[Conversión]])/1000</f>
        <v>8.0000000000000002E-3</v>
      </c>
    </row>
    <row r="236" spans="1:30">
      <c r="A236" s="42" t="str">
        <f>+IFERROR(IF(GUAYAQUIL[[#This Row],[CODIGO]]="","",VLOOKUP(GUAYAQUIL[[#This Row],[CODIGO]],MAESTRO!$A:$J,10,FALSE)),"")</f>
        <v>SAN GABRIEL</v>
      </c>
      <c r="B236" s="42" t="str">
        <f>+IFERROR(IF(GUAYAQUIL[[#This Row],[CODIGO]]="","",VLOOKUP(GUAYAQUIL[[#This Row],[CODIGO]],MAESTRO!$A:$Q,17,FALSE)),"")</f>
        <v>QUESOS Y GRASAS</v>
      </c>
      <c r="C236" s="42" t="str">
        <f>+IFERROR(IF(GUAYAQUIL[[#This Row],[CODIGO]]="","",VLOOKUP(GUAYAQUIL[[#This Row],[CODIGO]],MAESTRO!$A:$BA,53,FALSE)),"")</f>
        <v xml:space="preserve">Esteban Montenegro                      </v>
      </c>
      <c r="D236" s="42" t="str">
        <f>+IFERROR(IF(GUAYAQUIL[[#This Row],[CODIGO]]="","",VLOOKUP(GUAYAQUIL[[#This Row],[CODIGO]],MAESTRO!$A:$D,4,FALSE)),"")</f>
        <v>QUESO SEMIMADURO KIOSKO</v>
      </c>
      <c r="E236" s="42" t="str">
        <f>+IFERROR(IF(GUAYAQUIL[[#This Row],[CODIGO]]="","",VLOOKUP(GUAYAQUIL[[#This Row],[CODIGO]],MAESTRO!$A:$F,6,FALSE)),"")</f>
        <v>QUESO PARMESANO KIOSKO BLOQUE</v>
      </c>
      <c r="F236" s="42" t="str">
        <f>IF(GUAYAQUIL[[#This Row],[CODIGO]]="","",$K$6)</f>
        <v>GUAYAQUIL</v>
      </c>
      <c r="G236" s="42">
        <f>IF(GUAYAQUIL[[#This Row],[CODIGO]]="","",7711)</f>
        <v>7711</v>
      </c>
      <c r="H236" s="42">
        <f>IF(GUAYAQUIL[[#This Row],[CODIGO]]="","",1001)</f>
        <v>1001</v>
      </c>
      <c r="I236" s="258" t="s">
        <v>1246</v>
      </c>
      <c r="J236" s="25" t="str">
        <f>IFERROR((VLOOKUP(GUAYAQUIL[[#This Row],[CODIGO]],MAESTRO!A:B,2,FALSE)),"")</f>
        <v>Q PARME KIOSKO CUNA 300G</v>
      </c>
      <c r="K236" s="35">
        <v>30</v>
      </c>
      <c r="L236" s="205">
        <f>+IFERROR(IF(GUAYAQUIL[[#This Row],[CODIGO]]="","",VLOOKUP(GUAYAQUIL[[#This Row],[CODIGO]],MAESTRO!$A:$BF,58,FALSE)),"")</f>
        <v>1</v>
      </c>
      <c r="M236" s="27">
        <f>+IFERROR(IF(GUAYAQUIL[[#This Row],[CODIGO]]="","",VLOOKUP(GUAYAQUIL[[#This Row],[CODIGO]],MAESTRO!A:N,14,FALSE)),"")</f>
        <v>0.3</v>
      </c>
      <c r="N236" s="290">
        <f>+IFERROR(IF(GUAYAQUIL[[#This Row],[CODIGO]]="","",VLOOKUP(GUAYAQUIL[[#This Row],[CODIGO]],MAESTRO!A:P,16,FALSE)),"")</f>
        <v>90</v>
      </c>
      <c r="O236" s="45">
        <v>45591</v>
      </c>
      <c r="P236" s="292" t="str">
        <f t="shared" si="15"/>
        <v>sábado</v>
      </c>
      <c r="Q236" s="278">
        <f>IFERROR(IF(GUAYAQUIL[[#This Row],[CODIGO]]="","",IF(GUAYAQUIL[[#This Row],[Fecha Cad]]="","",(GUAYAQUIL[[#This Row],[Fecha Cad]]-GUAYAQUIL[[#This Row],[VIDA UTIL (Días)]]))+1),"")</f>
        <v>45556</v>
      </c>
      <c r="R236" s="45">
        <v>45645</v>
      </c>
      <c r="S236" s="30">
        <f t="shared" ca="1" si="16"/>
        <v>21</v>
      </c>
      <c r="T236" s="294">
        <f t="shared" ca="1" si="17"/>
        <v>0.23333333333333334</v>
      </c>
      <c r="U236" s="295">
        <v>5</v>
      </c>
      <c r="V236" s="262">
        <f>+IFERROR(IF(GUAYAQUIL[[#This Row],[CODIGO]]="","",GUAYAQUIL[[#This Row],[Stock Actual Unds]]*GUAYAQUIL[[#This Row],[Gramaje]]*GUAYAQUIL[[#This Row],[Conversión]]),"")</f>
        <v>1.5</v>
      </c>
      <c r="W236" s="299">
        <f t="shared" si="18"/>
        <v>35</v>
      </c>
      <c r="X236" s="44">
        <f t="shared" si="19"/>
        <v>0.61111111111111116</v>
      </c>
      <c r="Y236" s="236">
        <f>IFERROR(VLOOKUP(GUAYAQUIL[[#This Row],[CODIGO]],MAESTRO!A:BI,21,FALSE),0)</f>
        <v>2.93831</v>
      </c>
      <c r="Z236" s="237">
        <f>+IFERROR(IF(GUAYAQUIL[[#This Row],[CODIGO]]="","",GUAYAQUIL[[#This Row],[COSTO UNIT base]]*GUAYAQUIL[[#This Row],[Conversión]]),"")</f>
        <v>2.93831</v>
      </c>
      <c r="AA236" s="236">
        <f>+IFERROR(IF(GUAYAQUIL[[#This Row],[CODIGO]]="","",GUAYAQUIL[[#This Row],[COSTO UNIT Conv]]*GUAYAQUIL[[#This Row],[Stock Actual Kgs]]),"")</f>
        <v>4.4074650000000002</v>
      </c>
      <c r="AB236" s="180">
        <f ca="1">+IFERROR(IF(GUAYAQUIL[[#This Row],[CODIGO]]="","",$J$3-O236),"")</f>
        <v>33</v>
      </c>
      <c r="AC236" s="35" t="str">
        <f ca="1">IF(GUAYAQUIL[[#This Row],[CODIGO]]="","",IF(S236&lt;=0,"CADUCADO",IF(AND(S236&gt;0,S236&lt;=21),"FECHA CORTA",IF(AND(S236&gt;=22,S236&lt;=26),"PROXIMOS FECHA CORTA", "VIGENTE"))))</f>
        <v>FECHA CORTA</v>
      </c>
      <c r="AD236" s="37">
        <f>+IF(GUAYAQUIL[[#This Row],[CODIGO]]="","",GUAYAQUIL[[#This Row],[Stock Actual Unds]]*GUAYAQUIL[[#This Row],[Gramaje]]*GUAYAQUIL[[#This Row],[Conversión]])/1000</f>
        <v>1.5E-3</v>
      </c>
    </row>
    <row r="237" spans="1:30">
      <c r="A237" s="24" t="str">
        <f>+IFERROR(IF(GUAYAQUIL[[#This Row],[CODIGO]]="","",VLOOKUP(GUAYAQUIL[[#This Row],[CODIGO]],MAESTRO!$A:$J,10,FALSE)),"")</f>
        <v>SAN GABRIEL</v>
      </c>
      <c r="B237" s="24" t="str">
        <f>+IFERROR(IF(GUAYAQUIL[[#This Row],[CODIGO]]="","",VLOOKUP(GUAYAQUIL[[#This Row],[CODIGO]],MAESTRO!$A:$Q,17,FALSE)),"")</f>
        <v>QUESOS Y GRASAS</v>
      </c>
      <c r="C237" s="24" t="str">
        <f>+IFERROR(IF(GUAYAQUIL[[#This Row],[CODIGO]]="","",VLOOKUP(GUAYAQUIL[[#This Row],[CODIGO]],MAESTRO!$A:$BA,53,FALSE)),"")</f>
        <v xml:space="preserve">Esteban Montenegro                      </v>
      </c>
      <c r="D237" s="24" t="str">
        <f>+IFERROR(IF(GUAYAQUIL[[#This Row],[CODIGO]]="","",VLOOKUP(GUAYAQUIL[[#This Row],[CODIGO]],MAESTRO!$A:$D,4,FALSE)),"")</f>
        <v>QUESO SEMIMADURO KIOSKO</v>
      </c>
      <c r="E237" s="24" t="str">
        <f>+IFERROR(IF(GUAYAQUIL[[#This Row],[CODIGO]]="","",VLOOKUP(GUAYAQUIL[[#This Row],[CODIGO]],MAESTRO!$A:$F,6,FALSE)),"")</f>
        <v>QUESO PARMESANO KIOSKO BLOQUE</v>
      </c>
      <c r="F237" s="42" t="str">
        <f>IF(GUAYAQUIL[[#This Row],[CODIGO]]="","",$K$6)</f>
        <v>GUAYAQUIL</v>
      </c>
      <c r="G237" s="209">
        <f>IF(GUAYAQUIL[[#This Row],[CODIGO]]="","",7711)</f>
        <v>7711</v>
      </c>
      <c r="H237" s="209">
        <f>IF(GUAYAQUIL[[#This Row],[CODIGO]]="","",1001)</f>
        <v>1001</v>
      </c>
      <c r="I237" s="258" t="s">
        <v>1246</v>
      </c>
      <c r="J237" s="25" t="str">
        <f>IFERROR((VLOOKUP(GUAYAQUIL[[#This Row],[CODIGO]],MAESTRO!A:B,2,FALSE)),"")</f>
        <v>Q PARME KIOSKO CUNA 300G</v>
      </c>
      <c r="K237" s="35">
        <v>10</v>
      </c>
      <c r="L237" s="38">
        <f>+IFERROR(IF(GUAYAQUIL[[#This Row],[CODIGO]]="","",VLOOKUP(GUAYAQUIL[[#This Row],[CODIGO]],MAESTRO!$A:$BF,58,FALSE)),"")</f>
        <v>1</v>
      </c>
      <c r="M237" s="27">
        <f>+IFERROR(IF(GUAYAQUIL[[#This Row],[CODIGO]]="","",VLOOKUP(GUAYAQUIL[[#This Row],[CODIGO]],MAESTRO!A:N,14,FALSE)),"")</f>
        <v>0.3</v>
      </c>
      <c r="N237" s="28">
        <f>+IFERROR(IF(GUAYAQUIL[[#This Row],[CODIGO]]="","",VLOOKUP(GUAYAQUIL[[#This Row],[CODIGO]],MAESTRO!A:P,16,FALSE)),"")</f>
        <v>90</v>
      </c>
      <c r="O237" s="29">
        <v>45603</v>
      </c>
      <c r="P237" s="72" t="str">
        <f t="shared" si="15"/>
        <v>jueves</v>
      </c>
      <c r="Q237" s="29">
        <f>IFERROR(IF(GUAYAQUIL[[#This Row],[CODIGO]]="","",IF(GUAYAQUIL[[#This Row],[Fecha Cad]]="","",(GUAYAQUIL[[#This Row],[Fecha Cad]]-GUAYAQUIL[[#This Row],[VIDA UTIL (Días)]]))+1),"")</f>
        <v>45590</v>
      </c>
      <c r="R237" s="29">
        <v>45679</v>
      </c>
      <c r="S237" s="30">
        <f t="shared" ca="1" si="16"/>
        <v>55</v>
      </c>
      <c r="T237" s="31">
        <f t="shared" ca="1" si="17"/>
        <v>0.61111111111111116</v>
      </c>
      <c r="U237" s="286">
        <v>7</v>
      </c>
      <c r="V237" s="261">
        <f>+IFERROR(IF(GUAYAQUIL[[#This Row],[CODIGO]]="","",GUAYAQUIL[[#This Row],[Stock Actual Unds]]*GUAYAQUIL[[#This Row],[Gramaje]]*GUAYAQUIL[[#This Row],[Conversión]]),"")</f>
        <v>2.1</v>
      </c>
      <c r="W237" s="270">
        <f t="shared" si="18"/>
        <v>13</v>
      </c>
      <c r="X237" s="32">
        <f t="shared" si="19"/>
        <v>0.85555555555555562</v>
      </c>
      <c r="Y237" s="236">
        <f>IFERROR(VLOOKUP(GUAYAQUIL[[#This Row],[CODIGO]],MAESTRO!A:BI,21,FALSE),0)</f>
        <v>2.93831</v>
      </c>
      <c r="Z237" s="237">
        <f>+IFERROR(IF(GUAYAQUIL[[#This Row],[CODIGO]]="","",GUAYAQUIL[[#This Row],[COSTO UNIT base]]*GUAYAQUIL[[#This Row],[Conversión]]),"")</f>
        <v>2.93831</v>
      </c>
      <c r="AA237" s="236">
        <f>+IFERROR(IF(GUAYAQUIL[[#This Row],[CODIGO]]="","",GUAYAQUIL[[#This Row],[COSTO UNIT Conv]]*GUAYAQUIL[[#This Row],[Stock Actual Kgs]]),"")</f>
        <v>6.1704509999999999</v>
      </c>
      <c r="AB237" s="33">
        <f ca="1">+IFERROR(IF(GUAYAQUIL[[#This Row],[CODIGO]]="","",$J$3-O237),"")</f>
        <v>21</v>
      </c>
      <c r="AC237" s="34" t="str">
        <f ca="1">IF(GUAYAQUIL[[#This Row],[CODIGO]]="","",IF(S237&lt;=0,"CADUCADO",IF(AND(S237&gt;0,S237&lt;=21),"FECHA CORTA",IF(AND(S237&gt;=22,S237&lt;=26),"PROXIMOS FECHA CORTA", "VIGENTE"))))</f>
        <v>VIGENTE</v>
      </c>
      <c r="AD237" s="37">
        <f>+IF(GUAYAQUIL[[#This Row],[CODIGO]]="","",GUAYAQUIL[[#This Row],[Stock Actual Unds]]*GUAYAQUIL[[#This Row],[Gramaje]]*GUAYAQUIL[[#This Row],[Conversión]])/1000</f>
        <v>2.1000000000000003E-3</v>
      </c>
    </row>
    <row r="238" spans="1:30">
      <c r="A238" s="24" t="str">
        <f>+IFERROR(IF(GUAYAQUIL[[#This Row],[CODIGO]]="","",VLOOKUP(GUAYAQUIL[[#This Row],[CODIGO]],MAESTRO!$A:$J,10,FALSE)),"")</f>
        <v>SAN GABRIEL</v>
      </c>
      <c r="B238" s="24" t="str">
        <f>+IFERROR(IF(GUAYAQUIL[[#This Row],[CODIGO]]="","",VLOOKUP(GUAYAQUIL[[#This Row],[CODIGO]],MAESTRO!$A:$Q,17,FALSE)),"")</f>
        <v>QUESOS Y GRASAS</v>
      </c>
      <c r="C238" s="24" t="str">
        <f>+IFERROR(IF(GUAYAQUIL[[#This Row],[CODIGO]]="","",VLOOKUP(GUAYAQUIL[[#This Row],[CODIGO]],MAESTRO!$A:$BA,53,FALSE)),"")</f>
        <v xml:space="preserve">Esteban Montenegro                      </v>
      </c>
      <c r="D238" s="24" t="str">
        <f>+IFERROR(IF(GUAYAQUIL[[#This Row],[CODIGO]]="","",VLOOKUP(GUAYAQUIL[[#This Row],[CODIGO]],MAESTRO!$A:$D,4,FALSE)),"")</f>
        <v>QUESO SEMIMADURO KIOSKO</v>
      </c>
      <c r="E238" s="24" t="str">
        <f>+IFERROR(IF(GUAYAQUIL[[#This Row],[CODIGO]]="","",VLOOKUP(GUAYAQUIL[[#This Row],[CODIGO]],MAESTRO!$A:$F,6,FALSE)),"")</f>
        <v>QUESO PARMESANO KIOSKO BLOQUE</v>
      </c>
      <c r="F238" s="42" t="str">
        <f>IF(GUAYAQUIL[[#This Row],[CODIGO]]="","",$K$6)</f>
        <v>GUAYAQUIL</v>
      </c>
      <c r="G238" s="42">
        <f>IF(GUAYAQUIL[[#This Row],[CODIGO]]="","",7711)</f>
        <v>7711</v>
      </c>
      <c r="H238" s="42">
        <f>IF(GUAYAQUIL[[#This Row],[CODIGO]]="","",1001)</f>
        <v>1001</v>
      </c>
      <c r="I238" s="258" t="s">
        <v>1246</v>
      </c>
      <c r="J238" s="25" t="str">
        <f>IFERROR((VLOOKUP(GUAYAQUIL[[#This Row],[CODIGO]],MAESTRO!A:B,2,FALSE)),"")</f>
        <v>Q PARME KIOSKO CUNA 300G</v>
      </c>
      <c r="K238" s="35">
        <v>10</v>
      </c>
      <c r="L238" s="38">
        <f>+IFERROR(IF(GUAYAQUIL[[#This Row],[CODIGO]]="","",VLOOKUP(GUAYAQUIL[[#This Row],[CODIGO]],MAESTRO!$A:$BF,58,FALSE)),"")</f>
        <v>1</v>
      </c>
      <c r="M238" s="27">
        <f>+IFERROR(IF(GUAYAQUIL[[#This Row],[CODIGO]]="","",VLOOKUP(GUAYAQUIL[[#This Row],[CODIGO]],MAESTRO!A:N,14,FALSE)),"")</f>
        <v>0.3</v>
      </c>
      <c r="N238" s="28">
        <f>+IFERROR(IF(GUAYAQUIL[[#This Row],[CODIGO]]="","",VLOOKUP(GUAYAQUIL[[#This Row],[CODIGO]],MAESTRO!A:P,16,FALSE)),"")</f>
        <v>90</v>
      </c>
      <c r="O238" s="29">
        <v>45604</v>
      </c>
      <c r="P238" s="72" t="str">
        <f t="shared" si="15"/>
        <v>viernes</v>
      </c>
      <c r="Q238" s="29">
        <f>IFERROR(IF(GUAYAQUIL[[#This Row],[CODIGO]]="","",IF(GUAYAQUIL[[#This Row],[Fecha Cad]]="","",(GUAYAQUIL[[#This Row],[Fecha Cad]]-GUAYAQUIL[[#This Row],[VIDA UTIL (Días)]]))+1),"")</f>
        <v>45590</v>
      </c>
      <c r="R238" s="29">
        <v>45679</v>
      </c>
      <c r="S238" s="30">
        <f t="shared" ca="1" si="16"/>
        <v>55</v>
      </c>
      <c r="T238" s="31">
        <f t="shared" ca="1" si="17"/>
        <v>0.61111111111111116</v>
      </c>
      <c r="U238" s="286">
        <v>10</v>
      </c>
      <c r="V238" s="261">
        <f>+IFERROR(IF(GUAYAQUIL[[#This Row],[CODIGO]]="","",GUAYAQUIL[[#This Row],[Stock Actual Unds]]*GUAYAQUIL[[#This Row],[Gramaje]]*GUAYAQUIL[[#This Row],[Conversión]]),"")</f>
        <v>3</v>
      </c>
      <c r="W238" s="270">
        <f t="shared" si="18"/>
        <v>14</v>
      </c>
      <c r="X238" s="32">
        <f t="shared" si="19"/>
        <v>0.84444444444444444</v>
      </c>
      <c r="Y238" s="236">
        <f>IFERROR(VLOOKUP(GUAYAQUIL[[#This Row],[CODIGO]],MAESTRO!A:BI,21,FALSE),0)</f>
        <v>2.93831</v>
      </c>
      <c r="Z238" s="237">
        <f>+IFERROR(IF(GUAYAQUIL[[#This Row],[CODIGO]]="","",GUAYAQUIL[[#This Row],[COSTO UNIT base]]*GUAYAQUIL[[#This Row],[Conversión]]),"")</f>
        <v>2.93831</v>
      </c>
      <c r="AA238" s="236">
        <f>+IFERROR(IF(GUAYAQUIL[[#This Row],[CODIGO]]="","",GUAYAQUIL[[#This Row],[COSTO UNIT Conv]]*GUAYAQUIL[[#This Row],[Stock Actual Kgs]]),"")</f>
        <v>8.8149300000000004</v>
      </c>
      <c r="AB238" s="33">
        <f ca="1">+IFERROR(IF(GUAYAQUIL[[#This Row],[CODIGO]]="","",$J$3-O238),"")</f>
        <v>20</v>
      </c>
      <c r="AC238" s="34" t="str">
        <f ca="1">IF(GUAYAQUIL[[#This Row],[CODIGO]]="","",IF(S238&lt;=0,"CADUCADO",IF(AND(S238&gt;0,S238&lt;=21),"FECHA CORTA",IF(AND(S238&gt;=22,S238&lt;=26),"PROXIMOS FECHA CORTA", "VIGENTE"))))</f>
        <v>VIGENTE</v>
      </c>
      <c r="AD238" s="37">
        <f>+IF(GUAYAQUIL[[#This Row],[CODIGO]]="","",GUAYAQUIL[[#This Row],[Stock Actual Unds]]*GUAYAQUIL[[#This Row],[Gramaje]]*GUAYAQUIL[[#This Row],[Conversión]])/1000</f>
        <v>3.0000000000000001E-3</v>
      </c>
    </row>
    <row r="239" spans="1:30">
      <c r="A239" s="24" t="str">
        <f>+IFERROR(IF(GUAYAQUIL[[#This Row],[CODIGO]]="","",VLOOKUP(GUAYAQUIL[[#This Row],[CODIGO]],MAESTRO!$A:$J,10,FALSE)),"")</f>
        <v>SAN GABRIEL</v>
      </c>
      <c r="B239" s="24" t="str">
        <f>+IFERROR(IF(GUAYAQUIL[[#This Row],[CODIGO]]="","",VLOOKUP(GUAYAQUIL[[#This Row],[CODIGO]],MAESTRO!$A:$Q,17,FALSE)),"")</f>
        <v>QUESOS Y GRASAS</v>
      </c>
      <c r="C239" s="24" t="str">
        <f>+IFERROR(IF(GUAYAQUIL[[#This Row],[CODIGO]]="","",VLOOKUP(GUAYAQUIL[[#This Row],[CODIGO]],MAESTRO!$A:$BA,53,FALSE)),"")</f>
        <v xml:space="preserve">Esteban Montenegro                      </v>
      </c>
      <c r="D239" s="24" t="str">
        <f>+IFERROR(IF(GUAYAQUIL[[#This Row],[CODIGO]]="","",VLOOKUP(GUAYAQUIL[[#This Row],[CODIGO]],MAESTRO!$A:$D,4,FALSE)),"")</f>
        <v>QUESO SEMIMADURO KIOSKO</v>
      </c>
      <c r="E239" s="24" t="str">
        <f>+IFERROR(IF(GUAYAQUIL[[#This Row],[CODIGO]]="","",VLOOKUP(GUAYAQUIL[[#This Row],[CODIGO]],MAESTRO!$A:$F,6,FALSE)),"")</f>
        <v>QUESO PARMESANO KIOSKO BLOQUE</v>
      </c>
      <c r="F239" s="42" t="str">
        <f>IF(GUAYAQUIL[[#This Row],[CODIGO]]="","",$K$6)</f>
        <v>GUAYAQUIL</v>
      </c>
      <c r="G239" s="42">
        <f>IF(GUAYAQUIL[[#This Row],[CODIGO]]="","",7711)</f>
        <v>7711</v>
      </c>
      <c r="H239" s="42">
        <f>IF(GUAYAQUIL[[#This Row],[CODIGO]]="","",1001)</f>
        <v>1001</v>
      </c>
      <c r="I239" s="258" t="s">
        <v>1246</v>
      </c>
      <c r="J239" s="25" t="str">
        <f>IFERROR((VLOOKUP(GUAYAQUIL[[#This Row],[CODIGO]],MAESTRO!A:B,2,FALSE)),"")</f>
        <v>Q PARME KIOSKO CUNA 300G</v>
      </c>
      <c r="K239" s="35">
        <v>20</v>
      </c>
      <c r="L239" s="38">
        <f>+IFERROR(IF(GUAYAQUIL[[#This Row],[CODIGO]]="","",VLOOKUP(GUAYAQUIL[[#This Row],[CODIGO]],MAESTRO!$A:$BF,58,FALSE)),"")</f>
        <v>1</v>
      </c>
      <c r="M239" s="27">
        <f>+IFERROR(IF(GUAYAQUIL[[#This Row],[CODIGO]]="","",VLOOKUP(GUAYAQUIL[[#This Row],[CODIGO]],MAESTRO!A:N,14,FALSE)),"")</f>
        <v>0.3</v>
      </c>
      <c r="N239" s="28">
        <f>+IFERROR(IF(GUAYAQUIL[[#This Row],[CODIGO]]="","",VLOOKUP(GUAYAQUIL[[#This Row],[CODIGO]],MAESTRO!A:P,16,FALSE)),"")</f>
        <v>90</v>
      </c>
      <c r="O239" s="29">
        <v>45610</v>
      </c>
      <c r="P239" s="72" t="str">
        <f t="shared" si="15"/>
        <v>jueves</v>
      </c>
      <c r="Q239" s="29">
        <f>IFERROR(IF(GUAYAQUIL[[#This Row],[CODIGO]]="","",IF(GUAYAQUIL[[#This Row],[Fecha Cad]]="","",(GUAYAQUIL[[#This Row],[Fecha Cad]]-GUAYAQUIL[[#This Row],[VIDA UTIL (Días)]]))+1),"")</f>
        <v>45590</v>
      </c>
      <c r="R239" s="29">
        <v>45679</v>
      </c>
      <c r="S239" s="30">
        <f t="shared" ca="1" si="16"/>
        <v>55</v>
      </c>
      <c r="T239" s="31">
        <f t="shared" ca="1" si="17"/>
        <v>0.61111111111111116</v>
      </c>
      <c r="U239" s="286">
        <v>20</v>
      </c>
      <c r="V239" s="261">
        <f>+IFERROR(IF(GUAYAQUIL[[#This Row],[CODIGO]]="","",GUAYAQUIL[[#This Row],[Stock Actual Unds]]*GUAYAQUIL[[#This Row],[Gramaje]]*GUAYAQUIL[[#This Row],[Conversión]]),"")</f>
        <v>6</v>
      </c>
      <c r="W239" s="270">
        <f t="shared" si="18"/>
        <v>20</v>
      </c>
      <c r="X239" s="32">
        <f t="shared" si="19"/>
        <v>0.77777777777777779</v>
      </c>
      <c r="Y239" s="236">
        <f>IFERROR(VLOOKUP(GUAYAQUIL[[#This Row],[CODIGO]],MAESTRO!A:BI,21,FALSE),0)</f>
        <v>2.93831</v>
      </c>
      <c r="Z239" s="237">
        <f>+IFERROR(IF(GUAYAQUIL[[#This Row],[CODIGO]]="","",GUAYAQUIL[[#This Row],[COSTO UNIT base]]*GUAYAQUIL[[#This Row],[Conversión]]),"")</f>
        <v>2.93831</v>
      </c>
      <c r="AA239" s="236">
        <f>+IFERROR(IF(GUAYAQUIL[[#This Row],[CODIGO]]="","",GUAYAQUIL[[#This Row],[COSTO UNIT Conv]]*GUAYAQUIL[[#This Row],[Stock Actual Kgs]]),"")</f>
        <v>17.629860000000001</v>
      </c>
      <c r="AB239" s="33">
        <f ca="1">+IFERROR(IF(GUAYAQUIL[[#This Row],[CODIGO]]="","",$J$3-O239),"")</f>
        <v>14</v>
      </c>
      <c r="AC239" s="34" t="str">
        <f ca="1">IF(GUAYAQUIL[[#This Row],[CODIGO]]="","",IF(S239&lt;=0,"CADUCADO",IF(AND(S239&gt;0,S239&lt;=21),"FECHA CORTA",IF(AND(S239&gt;=22,S239&lt;=26),"PROXIMOS FECHA CORTA", "VIGENTE"))))</f>
        <v>VIGENTE</v>
      </c>
      <c r="AD239" s="37">
        <f>+IF(GUAYAQUIL[[#This Row],[CODIGO]]="","",GUAYAQUIL[[#This Row],[Stock Actual Unds]]*GUAYAQUIL[[#This Row],[Gramaje]]*GUAYAQUIL[[#This Row],[Conversión]])/1000</f>
        <v>6.0000000000000001E-3</v>
      </c>
    </row>
    <row r="240" spans="1:30">
      <c r="A240" s="24" t="str">
        <f>+IFERROR(IF(GUAYAQUIL[[#This Row],[CODIGO]]="","",VLOOKUP(GUAYAQUIL[[#This Row],[CODIGO]],MAESTRO!$A:$J,10,FALSE)),"")</f>
        <v>MACHACHI</v>
      </c>
      <c r="B240" s="24" t="str">
        <f>+IFERROR(IF(GUAYAQUIL[[#This Row],[CODIGO]]="","",VLOOKUP(GUAYAQUIL[[#This Row],[CODIGO]],MAESTRO!$A:$Q,17,FALSE)),"")</f>
        <v>BEBIDAS LACTEAS</v>
      </c>
      <c r="C240" s="24" t="str">
        <f>+IFERROR(IF(GUAYAQUIL[[#This Row],[CODIGO]]="","",VLOOKUP(GUAYAQUIL[[#This Row],[CODIGO]],MAESTRO!$A:$BA,53,FALSE)),"")</f>
        <v xml:space="preserve">Luis Armendariz                         </v>
      </c>
      <c r="D240" s="24" t="str">
        <f>+IFERROR(IF(GUAYAQUIL[[#This Row],[CODIGO]]="","",VLOOKUP(GUAYAQUIL[[#This Row],[CODIGO]],MAESTRO!$A:$D,4,FALSE)),"")</f>
        <v>YOGURT KIOSKO</v>
      </c>
      <c r="E240" s="24" t="str">
        <f>+IFERROR(IF(GUAYAQUIL[[#This Row],[CODIGO]]="","",VLOOKUP(GUAYAQUIL[[#This Row],[CODIGO]],MAESTRO!$A:$F,6,FALSE)),"")</f>
        <v>BEBIDA DE YOGURT KIOSKO BOTELLA FAMILIAR</v>
      </c>
      <c r="F240" s="42" t="str">
        <f>IF(GUAYAQUIL[[#This Row],[CODIGO]]="","",$K$6)</f>
        <v>GUAYAQUIL</v>
      </c>
      <c r="G240" s="42">
        <f>IF(GUAYAQUIL[[#This Row],[CODIGO]]="","",7711)</f>
        <v>7711</v>
      </c>
      <c r="H240" s="42">
        <f>IF(GUAYAQUIL[[#This Row],[CODIGO]]="","",1001)</f>
        <v>1001</v>
      </c>
      <c r="I240" s="258" t="s">
        <v>3060</v>
      </c>
      <c r="J240" s="25" t="str">
        <f>IFERROR((VLOOKUP(GUAYAQUIL[[#This Row],[CODIGO]],MAESTRO!A:B,2,FALSE)),"")</f>
        <v>YOG BBLE KIOSKO FTLLA BOT 950G</v>
      </c>
      <c r="K240" s="35">
        <v>36</v>
      </c>
      <c r="L240" s="38">
        <f>+IFERROR(IF(GUAYAQUIL[[#This Row],[CODIGO]]="","",VLOOKUP(GUAYAQUIL[[#This Row],[CODIGO]],MAESTRO!$A:$BF,58,FALSE)),"")</f>
        <v>1</v>
      </c>
      <c r="M240" s="27">
        <f>+IFERROR(IF(GUAYAQUIL[[#This Row],[CODIGO]]="","",VLOOKUP(GUAYAQUIL[[#This Row],[CODIGO]],MAESTRO!A:N,14,FALSE)),"")</f>
        <v>0.95</v>
      </c>
      <c r="N240" s="28">
        <f>+IFERROR(IF(GUAYAQUIL[[#This Row],[CODIGO]]="","",VLOOKUP(GUAYAQUIL[[#This Row],[CODIGO]],MAESTRO!A:P,16,FALSE)),"")</f>
        <v>45</v>
      </c>
      <c r="O240" s="29">
        <v>45612</v>
      </c>
      <c r="P240" s="72" t="str">
        <f t="shared" si="15"/>
        <v>sábado</v>
      </c>
      <c r="Q240" s="29">
        <f>IFERROR(IF(GUAYAQUIL[[#This Row],[CODIGO]]="","",IF(GUAYAQUIL[[#This Row],[Fecha Cad]]="","",(GUAYAQUIL[[#This Row],[Fecha Cad]]-GUAYAQUIL[[#This Row],[VIDA UTIL (Días)]]))+1),"")</f>
        <v>45604</v>
      </c>
      <c r="R240" s="29">
        <v>45648</v>
      </c>
      <c r="S240" s="30">
        <f t="shared" ca="1" si="16"/>
        <v>24</v>
      </c>
      <c r="T240" s="31">
        <f t="shared" ca="1" si="17"/>
        <v>0.53333333333333333</v>
      </c>
      <c r="U240" s="286">
        <v>36</v>
      </c>
      <c r="V240" s="261">
        <f>+IFERROR(IF(GUAYAQUIL[[#This Row],[CODIGO]]="","",GUAYAQUIL[[#This Row],[Stock Actual Unds]]*GUAYAQUIL[[#This Row],[Gramaje]]*GUAYAQUIL[[#This Row],[Conversión]]),"")</f>
        <v>34.199999999999996</v>
      </c>
      <c r="W240" s="270">
        <f t="shared" si="18"/>
        <v>8</v>
      </c>
      <c r="X240" s="32">
        <f t="shared" si="19"/>
        <v>0.82222222222222219</v>
      </c>
      <c r="Y240" s="236">
        <f>IFERROR(VLOOKUP(GUAYAQUIL[[#This Row],[CODIGO]],MAESTRO!A:BI,21,FALSE),0)</f>
        <v>1.0303550000000001</v>
      </c>
      <c r="Z240" s="237">
        <f>+IFERROR(IF(GUAYAQUIL[[#This Row],[CODIGO]]="","",GUAYAQUIL[[#This Row],[COSTO UNIT base]]*GUAYAQUIL[[#This Row],[Conversión]]),"")</f>
        <v>1.0303550000000001</v>
      </c>
      <c r="AA240" s="236">
        <f>+IFERROR(IF(GUAYAQUIL[[#This Row],[CODIGO]]="","",GUAYAQUIL[[#This Row],[COSTO UNIT Conv]]*GUAYAQUIL[[#This Row],[Stock Actual Kgs]]),"")</f>
        <v>35.238140999999999</v>
      </c>
      <c r="AB240" s="33">
        <f ca="1">+IFERROR(IF(GUAYAQUIL[[#This Row],[CODIGO]]="","",$J$3-O240),"")</f>
        <v>12</v>
      </c>
      <c r="AC240" s="34" t="str">
        <f ca="1">IF(GUAYAQUIL[[#This Row],[CODIGO]]="","",IF(S240&lt;=0,"CADUCADO",IF(AND(S240&gt;0,S240&lt;=21),"FECHA CORTA",IF(AND(S240&gt;=22,S240&lt;=26),"PROXIMOS FECHA CORTA", "VIGENTE"))))</f>
        <v>PROXIMOS FECHA CORTA</v>
      </c>
      <c r="AD240" s="37">
        <f>+IF(GUAYAQUIL[[#This Row],[CODIGO]]="","",GUAYAQUIL[[#This Row],[Stock Actual Unds]]*GUAYAQUIL[[#This Row],[Gramaje]]*GUAYAQUIL[[#This Row],[Conversión]])/1000</f>
        <v>3.4199999999999994E-2</v>
      </c>
    </row>
    <row r="241" spans="1:30">
      <c r="A241" s="24" t="str">
        <f>+IFERROR(IF(GUAYAQUIL[[#This Row],[CODIGO]]="","",VLOOKUP(GUAYAQUIL[[#This Row],[CODIGO]],MAESTRO!$A:$J,10,FALSE)),"")</f>
        <v>MACHACHI</v>
      </c>
      <c r="B241" s="24" t="str">
        <f>+IFERROR(IF(GUAYAQUIL[[#This Row],[CODIGO]]="","",VLOOKUP(GUAYAQUIL[[#This Row],[CODIGO]],MAESTRO!$A:$Q,17,FALSE)),"")</f>
        <v>BEBIDAS LACTEAS</v>
      </c>
      <c r="C241" s="24" t="str">
        <f>+IFERROR(IF(GUAYAQUIL[[#This Row],[CODIGO]]="","",VLOOKUP(GUAYAQUIL[[#This Row],[CODIGO]],MAESTRO!$A:$BA,53,FALSE)),"")</f>
        <v xml:space="preserve">Luis Armendariz                         </v>
      </c>
      <c r="D241" s="24" t="str">
        <f>+IFERROR(IF(GUAYAQUIL[[#This Row],[CODIGO]]="","",VLOOKUP(GUAYAQUIL[[#This Row],[CODIGO]],MAESTRO!$A:$D,4,FALSE)),"")</f>
        <v>YOGURT KIOSKO</v>
      </c>
      <c r="E241" s="24" t="str">
        <f>+IFERROR(IF(GUAYAQUIL[[#This Row],[CODIGO]]="","",VLOOKUP(GUAYAQUIL[[#This Row],[CODIGO]],MAESTRO!$A:$F,6,FALSE)),"")</f>
        <v>BEBIDA DE YOGURT KIOSKO BOTELLA FAMILIAR</v>
      </c>
      <c r="F241" s="42" t="str">
        <f>IF(GUAYAQUIL[[#This Row],[CODIGO]]="","",$K$6)</f>
        <v>GUAYAQUIL</v>
      </c>
      <c r="G241" s="42">
        <f>IF(GUAYAQUIL[[#This Row],[CODIGO]]="","",7711)</f>
        <v>7711</v>
      </c>
      <c r="H241" s="42">
        <f>IF(GUAYAQUIL[[#This Row],[CODIGO]]="","",1001)</f>
        <v>1001</v>
      </c>
      <c r="I241" s="258" t="s">
        <v>3060</v>
      </c>
      <c r="J241" s="25" t="str">
        <f>IFERROR((VLOOKUP(GUAYAQUIL[[#This Row],[CODIGO]],MAESTRO!A:B,2,FALSE)),"")</f>
        <v>YOG BBLE KIOSKO FTLLA BOT 950G</v>
      </c>
      <c r="K241" s="35">
        <v>18</v>
      </c>
      <c r="L241" s="38">
        <f>+IFERROR(IF(GUAYAQUIL[[#This Row],[CODIGO]]="","",VLOOKUP(GUAYAQUIL[[#This Row],[CODIGO]],MAESTRO!$A:$BF,58,FALSE)),"")</f>
        <v>1</v>
      </c>
      <c r="M241" s="27">
        <f>+IFERROR(IF(GUAYAQUIL[[#This Row],[CODIGO]]="","",VLOOKUP(GUAYAQUIL[[#This Row],[CODIGO]],MAESTRO!A:N,14,FALSE)),"")</f>
        <v>0.95</v>
      </c>
      <c r="N241" s="28">
        <f>+IFERROR(IF(GUAYAQUIL[[#This Row],[CODIGO]]="","",VLOOKUP(GUAYAQUIL[[#This Row],[CODIGO]],MAESTRO!A:P,16,FALSE)),"")</f>
        <v>45</v>
      </c>
      <c r="O241" s="45">
        <v>45611</v>
      </c>
      <c r="P241" s="72" t="str">
        <f t="shared" si="15"/>
        <v>viernes</v>
      </c>
      <c r="Q241" s="29">
        <f>IFERROR(IF(GUAYAQUIL[[#This Row],[CODIGO]]="","",IF(GUAYAQUIL[[#This Row],[Fecha Cad]]="","",(GUAYAQUIL[[#This Row],[Fecha Cad]]-GUAYAQUIL[[#This Row],[VIDA UTIL (Días)]]))+1),"")</f>
        <v>45604</v>
      </c>
      <c r="R241" s="45">
        <v>45648</v>
      </c>
      <c r="S241" s="30">
        <f t="shared" ca="1" si="16"/>
        <v>24</v>
      </c>
      <c r="T241" s="31">
        <f t="shared" ca="1" si="17"/>
        <v>0.53333333333333333</v>
      </c>
      <c r="U241" s="286">
        <v>8</v>
      </c>
      <c r="V241" s="262">
        <f>+IFERROR(IF(GUAYAQUIL[[#This Row],[CODIGO]]="","",GUAYAQUIL[[#This Row],[Stock Actual Unds]]*GUAYAQUIL[[#This Row],[Gramaje]]*GUAYAQUIL[[#This Row],[Conversión]]),"")</f>
        <v>7.6</v>
      </c>
      <c r="W241" s="270">
        <f t="shared" si="18"/>
        <v>7</v>
      </c>
      <c r="X241" s="32">
        <f t="shared" si="19"/>
        <v>0.84444444444444444</v>
      </c>
      <c r="Y241" s="236">
        <f>IFERROR(VLOOKUP(GUAYAQUIL[[#This Row],[CODIGO]],MAESTRO!A:BI,21,FALSE),0)</f>
        <v>1.0303550000000001</v>
      </c>
      <c r="Z241" s="237">
        <f>+IFERROR(IF(GUAYAQUIL[[#This Row],[CODIGO]]="","",GUAYAQUIL[[#This Row],[COSTO UNIT base]]*GUAYAQUIL[[#This Row],[Conversión]]),"")</f>
        <v>1.0303550000000001</v>
      </c>
      <c r="AA241" s="236">
        <f>+IFERROR(IF(GUAYAQUIL[[#This Row],[CODIGO]]="","",GUAYAQUIL[[#This Row],[COSTO UNIT Conv]]*GUAYAQUIL[[#This Row],[Stock Actual Kgs]]),"")</f>
        <v>7.8306980000000008</v>
      </c>
      <c r="AB241" s="33">
        <f ca="1">+IFERROR(IF(GUAYAQUIL[[#This Row],[CODIGO]]="","",$J$3-O241),"")</f>
        <v>13</v>
      </c>
      <c r="AC241" s="34" t="str">
        <f ca="1">IF(GUAYAQUIL[[#This Row],[CODIGO]]="","",IF(S241&lt;=0,"CADUCADO",IF(AND(S241&gt;0,S241&lt;=21),"FECHA CORTA",IF(AND(S241&gt;=22,S241&lt;=26),"PROXIMOS FECHA CORTA", "VIGENTE"))))</f>
        <v>PROXIMOS FECHA CORTA</v>
      </c>
      <c r="AD241" s="37">
        <f>+IF(GUAYAQUIL[[#This Row],[CODIGO]]="","",GUAYAQUIL[[#This Row],[Stock Actual Unds]]*GUAYAQUIL[[#This Row],[Gramaje]]*GUAYAQUIL[[#This Row],[Conversión]])/1000</f>
        <v>7.6E-3</v>
      </c>
    </row>
    <row r="242" spans="1:30">
      <c r="A242" s="24" t="str">
        <f>+IFERROR(IF(GUAYAQUIL[[#This Row],[CODIGO]]="","",VLOOKUP(GUAYAQUIL[[#This Row],[CODIGO]],MAESTRO!$A:$J,10,FALSE)),"")</f>
        <v>MACHACHI</v>
      </c>
      <c r="B242" s="24" t="str">
        <f>+IFERROR(IF(GUAYAQUIL[[#This Row],[CODIGO]]="","",VLOOKUP(GUAYAQUIL[[#This Row],[CODIGO]],MAESTRO!$A:$Q,17,FALSE)),"")</f>
        <v>BEBIDAS LACTEAS</v>
      </c>
      <c r="C242" s="24" t="str">
        <f>+IFERROR(IF(GUAYAQUIL[[#This Row],[CODIGO]]="","",VLOOKUP(GUAYAQUIL[[#This Row],[CODIGO]],MAESTRO!$A:$BA,53,FALSE)),"")</f>
        <v xml:space="preserve">Luis Armendariz                         </v>
      </c>
      <c r="D242" s="24" t="str">
        <f>+IFERROR(IF(GUAYAQUIL[[#This Row],[CODIGO]]="","",VLOOKUP(GUAYAQUIL[[#This Row],[CODIGO]],MAESTRO!$A:$D,4,FALSE)),"")</f>
        <v>YOGURT KIOSKO</v>
      </c>
      <c r="E242" s="24" t="str">
        <f>+IFERROR(IF(GUAYAQUIL[[#This Row],[CODIGO]]="","",VLOOKUP(GUAYAQUIL[[#This Row],[CODIGO]],MAESTRO!$A:$F,6,FALSE)),"")</f>
        <v>BEBIDA DE YOGURT KIOSKO BOTELLA FAMILIAR</v>
      </c>
      <c r="F242" s="42" t="str">
        <f>IF(GUAYAQUIL[[#This Row],[CODIGO]]="","",$K$6)</f>
        <v>GUAYAQUIL</v>
      </c>
      <c r="G242" s="42">
        <f>IF(GUAYAQUIL[[#This Row],[CODIGO]]="","",7711)</f>
        <v>7711</v>
      </c>
      <c r="H242" s="42">
        <f>IF(GUAYAQUIL[[#This Row],[CODIGO]]="","",1001)</f>
        <v>1001</v>
      </c>
      <c r="I242" s="257" t="s">
        <v>3060</v>
      </c>
      <c r="J242" s="25" t="str">
        <f>IFERROR((VLOOKUP(GUAYAQUIL[[#This Row],[CODIGO]],MAESTRO!A:B,2,FALSE)),"")</f>
        <v>YOG BBLE KIOSKO FTLLA BOT 950G</v>
      </c>
      <c r="K242" s="26">
        <v>36</v>
      </c>
      <c r="L242" s="38">
        <f>+IFERROR(IF(GUAYAQUIL[[#This Row],[CODIGO]]="","",VLOOKUP(GUAYAQUIL[[#This Row],[CODIGO]],MAESTRO!$A:$BF,58,FALSE)),"")</f>
        <v>1</v>
      </c>
      <c r="M242" s="27">
        <f>+IFERROR(IF(GUAYAQUIL[[#This Row],[CODIGO]]="","",VLOOKUP(GUAYAQUIL[[#This Row],[CODIGO]],MAESTRO!A:N,14,FALSE)),"")</f>
        <v>0.95</v>
      </c>
      <c r="N242" s="28">
        <f>+IFERROR(IF(GUAYAQUIL[[#This Row],[CODIGO]]="","",VLOOKUP(GUAYAQUIL[[#This Row],[CODIGO]],MAESTRO!A:P,16,FALSE)),"")</f>
        <v>45</v>
      </c>
      <c r="O242" s="29">
        <v>45615</v>
      </c>
      <c r="P242" s="72" t="str">
        <f t="shared" si="15"/>
        <v>martes</v>
      </c>
      <c r="Q242" s="29">
        <f>IFERROR(IF(GUAYAQUIL[[#This Row],[CODIGO]]="","",IF(GUAYAQUIL[[#This Row],[Fecha Cad]]="","",(GUAYAQUIL[[#This Row],[Fecha Cad]]-GUAYAQUIL[[#This Row],[VIDA UTIL (Días)]]))+1),"")</f>
        <v>45611</v>
      </c>
      <c r="R242" s="29">
        <v>45655</v>
      </c>
      <c r="S242" s="30">
        <f t="shared" ca="1" si="16"/>
        <v>31</v>
      </c>
      <c r="T242" s="31">
        <f t="shared" ca="1" si="17"/>
        <v>0.68888888888888888</v>
      </c>
      <c r="U242" s="286">
        <v>18</v>
      </c>
      <c r="V242" s="260">
        <f>+IFERROR(IF(GUAYAQUIL[[#This Row],[CODIGO]]="","",GUAYAQUIL[[#This Row],[Stock Actual Unds]]*GUAYAQUIL[[#This Row],[Gramaje]]*GUAYAQUIL[[#This Row],[Conversión]]),"")</f>
        <v>17.099999999999998</v>
      </c>
      <c r="W242" s="270">
        <f t="shared" si="18"/>
        <v>4</v>
      </c>
      <c r="X242" s="32">
        <f t="shared" si="19"/>
        <v>0.91111111111111109</v>
      </c>
      <c r="Y242" s="236">
        <f>IFERROR(VLOOKUP(GUAYAQUIL[[#This Row],[CODIGO]],MAESTRO!A:BI,21,FALSE),0)</f>
        <v>1.0303550000000001</v>
      </c>
      <c r="Z242" s="237">
        <f>+IFERROR(IF(GUAYAQUIL[[#This Row],[CODIGO]]="","",GUAYAQUIL[[#This Row],[COSTO UNIT base]]*GUAYAQUIL[[#This Row],[Conversión]]),"")</f>
        <v>1.0303550000000001</v>
      </c>
      <c r="AA242" s="236">
        <f>+IFERROR(IF(GUAYAQUIL[[#This Row],[CODIGO]]="","",GUAYAQUIL[[#This Row],[COSTO UNIT Conv]]*GUAYAQUIL[[#This Row],[Stock Actual Kgs]]),"")</f>
        <v>17.619070499999999</v>
      </c>
      <c r="AB242" s="33">
        <f ca="1">+IFERROR(IF(GUAYAQUIL[[#This Row],[CODIGO]]="","",$J$3-O242),"")</f>
        <v>9</v>
      </c>
      <c r="AC242" s="34" t="str">
        <f ca="1">IF(GUAYAQUIL[[#This Row],[CODIGO]]="","",IF(S242&lt;=0,"CADUCADO",IF(AND(S242&gt;0,S242&lt;=21),"FECHA CORTA",IF(AND(S242&gt;=22,S242&lt;=26),"PROXIMOS FECHA CORTA", "VIGENTE"))))</f>
        <v>VIGENTE</v>
      </c>
      <c r="AD242" s="37">
        <f>+IF(GUAYAQUIL[[#This Row],[CODIGO]]="","",GUAYAQUIL[[#This Row],[Stock Actual Unds]]*GUAYAQUIL[[#This Row],[Gramaje]]*GUAYAQUIL[[#This Row],[Conversión]])/1000</f>
        <v>1.7099999999999997E-2</v>
      </c>
    </row>
    <row r="243" spans="1:30">
      <c r="A243" s="24" t="str">
        <f>+IFERROR(IF(GUAYAQUIL[[#This Row],[CODIGO]]="","",VLOOKUP(GUAYAQUIL[[#This Row],[CODIGO]],MAESTRO!$A:$J,10,FALSE)),"")</f>
        <v>MACHACHI</v>
      </c>
      <c r="B243" s="24" t="str">
        <f>+IFERROR(IF(GUAYAQUIL[[#This Row],[CODIGO]]="","",VLOOKUP(GUAYAQUIL[[#This Row],[CODIGO]],MAESTRO!$A:$Q,17,FALSE)),"")</f>
        <v>BEBIDAS LACTEAS</v>
      </c>
      <c r="C243" s="24" t="str">
        <f>+IFERROR(IF(GUAYAQUIL[[#This Row],[CODIGO]]="","",VLOOKUP(GUAYAQUIL[[#This Row],[CODIGO]],MAESTRO!$A:$BA,53,FALSE)),"")</f>
        <v xml:space="preserve">Luis Armendariz                         </v>
      </c>
      <c r="D243" s="24" t="str">
        <f>+IFERROR(IF(GUAYAQUIL[[#This Row],[CODIGO]]="","",VLOOKUP(GUAYAQUIL[[#This Row],[CODIGO]],MAESTRO!$A:$D,4,FALSE)),"")</f>
        <v>YOGURT KIOSKO</v>
      </c>
      <c r="E243" s="24" t="str">
        <f>+IFERROR(IF(GUAYAQUIL[[#This Row],[CODIGO]]="","",VLOOKUP(GUAYAQUIL[[#This Row],[CODIGO]],MAESTRO!$A:$F,6,FALSE)),"")</f>
        <v>BEBIDA DE YOGURT KIOSKO BOTELLA FAMILIAR</v>
      </c>
      <c r="F243" s="42" t="str">
        <f>IF(GUAYAQUIL[[#This Row],[CODIGO]]="","",$K$6)</f>
        <v>GUAYAQUIL</v>
      </c>
      <c r="G243" s="209">
        <f>IF(GUAYAQUIL[[#This Row],[CODIGO]]="","",7711)</f>
        <v>7711</v>
      </c>
      <c r="H243" s="209">
        <f>IF(GUAYAQUIL[[#This Row],[CODIGO]]="","",1001)</f>
        <v>1001</v>
      </c>
      <c r="I243" s="258" t="s">
        <v>3060</v>
      </c>
      <c r="J243" s="25" t="str">
        <f>IFERROR((VLOOKUP(GUAYAQUIL[[#This Row],[CODIGO]],MAESTRO!A:B,2,FALSE)),"")</f>
        <v>YOG BBLE KIOSKO FTLLA BOT 950G</v>
      </c>
      <c r="K243" s="35">
        <v>72</v>
      </c>
      <c r="L243" s="38">
        <f>+IFERROR(IF(GUAYAQUIL[[#This Row],[CODIGO]]="","",VLOOKUP(GUAYAQUIL[[#This Row],[CODIGO]],MAESTRO!$A:$BF,58,FALSE)),"")</f>
        <v>1</v>
      </c>
      <c r="M243" s="27">
        <f>+IFERROR(IF(GUAYAQUIL[[#This Row],[CODIGO]]="","",VLOOKUP(GUAYAQUIL[[#This Row],[CODIGO]],MAESTRO!A:N,14,FALSE)),"")</f>
        <v>0.95</v>
      </c>
      <c r="N243" s="28">
        <f>+IFERROR(IF(GUAYAQUIL[[#This Row],[CODIGO]]="","",VLOOKUP(GUAYAQUIL[[#This Row],[CODIGO]],MAESTRO!A:P,16,FALSE)),"")</f>
        <v>45</v>
      </c>
      <c r="O243" s="29">
        <v>45616</v>
      </c>
      <c r="P243" s="72" t="str">
        <f t="shared" si="15"/>
        <v>miércoles</v>
      </c>
      <c r="Q243" s="29">
        <f>IFERROR(IF(GUAYAQUIL[[#This Row],[CODIGO]]="","",IF(GUAYAQUIL[[#This Row],[Fecha Cad]]="","",(GUAYAQUIL[[#This Row],[Fecha Cad]]-GUAYAQUIL[[#This Row],[VIDA UTIL (Días)]]))+1),"")</f>
        <v>45611</v>
      </c>
      <c r="R243" s="29">
        <v>45655</v>
      </c>
      <c r="S243" s="30">
        <f t="shared" ca="1" si="16"/>
        <v>31</v>
      </c>
      <c r="T243" s="31">
        <f t="shared" ca="1" si="17"/>
        <v>0.68888888888888888</v>
      </c>
      <c r="U243" s="286">
        <v>72</v>
      </c>
      <c r="V243" s="261">
        <f>+IFERROR(IF(GUAYAQUIL[[#This Row],[CODIGO]]="","",GUAYAQUIL[[#This Row],[Stock Actual Unds]]*GUAYAQUIL[[#This Row],[Gramaje]]*GUAYAQUIL[[#This Row],[Conversión]]),"")</f>
        <v>68.399999999999991</v>
      </c>
      <c r="W243" s="270">
        <f t="shared" si="18"/>
        <v>5</v>
      </c>
      <c r="X243" s="32">
        <f t="shared" si="19"/>
        <v>0.88888888888888884</v>
      </c>
      <c r="Y243" s="236">
        <f>IFERROR(VLOOKUP(GUAYAQUIL[[#This Row],[CODIGO]],MAESTRO!A:BI,21,FALSE),0)</f>
        <v>1.0303550000000001</v>
      </c>
      <c r="Z243" s="237">
        <f>+IFERROR(IF(GUAYAQUIL[[#This Row],[CODIGO]]="","",GUAYAQUIL[[#This Row],[COSTO UNIT base]]*GUAYAQUIL[[#This Row],[Conversión]]),"")</f>
        <v>1.0303550000000001</v>
      </c>
      <c r="AA243" s="236">
        <f>+IFERROR(IF(GUAYAQUIL[[#This Row],[CODIGO]]="","",GUAYAQUIL[[#This Row],[COSTO UNIT Conv]]*GUAYAQUIL[[#This Row],[Stock Actual Kgs]]),"")</f>
        <v>70.476281999999998</v>
      </c>
      <c r="AB243" s="33">
        <f ca="1">+IFERROR(IF(GUAYAQUIL[[#This Row],[CODIGO]]="","",$J$3-O243),"")</f>
        <v>8</v>
      </c>
      <c r="AC243" s="34" t="str">
        <f ca="1">IF(GUAYAQUIL[[#This Row],[CODIGO]]="","",IF(S243&lt;=0,"CADUCADO",IF(AND(S243&gt;0,S243&lt;=21),"FECHA CORTA",IF(AND(S243&gt;=22,S243&lt;=26),"PROXIMOS FECHA CORTA", "VIGENTE"))))</f>
        <v>VIGENTE</v>
      </c>
      <c r="AD243" s="37">
        <f>+IF(GUAYAQUIL[[#This Row],[CODIGO]]="","",GUAYAQUIL[[#This Row],[Stock Actual Unds]]*GUAYAQUIL[[#This Row],[Gramaje]]*GUAYAQUIL[[#This Row],[Conversión]])/1000</f>
        <v>6.8399999999999989E-2</v>
      </c>
    </row>
    <row r="244" spans="1:30">
      <c r="A244" s="24" t="str">
        <f>+IFERROR(IF(GUAYAQUIL[[#This Row],[CODIGO]]="","",VLOOKUP(GUAYAQUIL[[#This Row],[CODIGO]],MAESTRO!$A:$J,10,FALSE)),"")</f>
        <v>MACHACHI</v>
      </c>
      <c r="B244" s="24" t="str">
        <f>+IFERROR(IF(GUAYAQUIL[[#This Row],[CODIGO]]="","",VLOOKUP(GUAYAQUIL[[#This Row],[CODIGO]],MAESTRO!$A:$Q,17,FALSE)),"")</f>
        <v>BEBIDAS LACTEAS</v>
      </c>
      <c r="C244" s="24" t="str">
        <f>+IFERROR(IF(GUAYAQUIL[[#This Row],[CODIGO]]="","",VLOOKUP(GUAYAQUIL[[#This Row],[CODIGO]],MAESTRO!$A:$BA,53,FALSE)),"")</f>
        <v xml:space="preserve">Luis Armendariz                         </v>
      </c>
      <c r="D244" s="24" t="str">
        <f>+IFERROR(IF(GUAYAQUIL[[#This Row],[CODIGO]]="","",VLOOKUP(GUAYAQUIL[[#This Row],[CODIGO]],MAESTRO!$A:$D,4,FALSE)),"")</f>
        <v>YOGURT KIOSKO</v>
      </c>
      <c r="E244" s="24" t="str">
        <f>+IFERROR(IF(GUAYAQUIL[[#This Row],[CODIGO]]="","",VLOOKUP(GUAYAQUIL[[#This Row],[CODIGO]],MAESTRO!$A:$F,6,FALSE)),"")</f>
        <v>BEBIDA DE YOGURT KIOSKO BOTELLA FAMILIAR</v>
      </c>
      <c r="F244" s="42" t="str">
        <f>IF(GUAYAQUIL[[#This Row],[CODIGO]]="","",$K$6)</f>
        <v>GUAYAQUIL</v>
      </c>
      <c r="G244" s="42">
        <f>IF(GUAYAQUIL[[#This Row],[CODIGO]]="","",7711)</f>
        <v>7711</v>
      </c>
      <c r="H244" s="42">
        <f>IF(GUAYAQUIL[[#This Row],[CODIGO]]="","",1001)</f>
        <v>1001</v>
      </c>
      <c r="I244" s="258" t="s">
        <v>3060</v>
      </c>
      <c r="J244" s="25" t="str">
        <f>IFERROR((VLOOKUP(GUAYAQUIL[[#This Row],[CODIGO]],MAESTRO!A:B,2,FALSE)),"")</f>
        <v>YOG BBLE KIOSKO FTLLA BOT 950G</v>
      </c>
      <c r="K244" s="35">
        <v>18</v>
      </c>
      <c r="L244" s="38">
        <f>+IFERROR(IF(GUAYAQUIL[[#This Row],[CODIGO]]="","",VLOOKUP(GUAYAQUIL[[#This Row],[CODIGO]],MAESTRO!$A:$BF,58,FALSE)),"")</f>
        <v>1</v>
      </c>
      <c r="M244" s="27">
        <f>+IFERROR(IF(GUAYAQUIL[[#This Row],[CODIGO]]="","",VLOOKUP(GUAYAQUIL[[#This Row],[CODIGO]],MAESTRO!A:N,14,FALSE)),"")</f>
        <v>0.95</v>
      </c>
      <c r="N244" s="28">
        <f>+IFERROR(IF(GUAYAQUIL[[#This Row],[CODIGO]]="","",VLOOKUP(GUAYAQUIL[[#This Row],[CODIGO]],MAESTRO!A:P,16,FALSE)),"")</f>
        <v>45</v>
      </c>
      <c r="O244" s="29">
        <v>45617</v>
      </c>
      <c r="P244" s="72" t="str">
        <f t="shared" si="15"/>
        <v>jueves</v>
      </c>
      <c r="Q244" s="29">
        <f>IFERROR(IF(GUAYAQUIL[[#This Row],[CODIGO]]="","",IF(GUAYAQUIL[[#This Row],[Fecha Cad]]="","",(GUAYAQUIL[[#This Row],[Fecha Cad]]-GUAYAQUIL[[#This Row],[VIDA UTIL (Días)]]))+1),"")</f>
        <v>45611</v>
      </c>
      <c r="R244" s="29">
        <v>45655</v>
      </c>
      <c r="S244" s="30">
        <f t="shared" ca="1" si="16"/>
        <v>31</v>
      </c>
      <c r="T244" s="31">
        <f t="shared" ca="1" si="17"/>
        <v>0.68888888888888888</v>
      </c>
      <c r="U244" s="286">
        <v>18</v>
      </c>
      <c r="V244" s="261">
        <f>+IFERROR(IF(GUAYAQUIL[[#This Row],[CODIGO]]="","",GUAYAQUIL[[#This Row],[Stock Actual Unds]]*GUAYAQUIL[[#This Row],[Gramaje]]*GUAYAQUIL[[#This Row],[Conversión]]),"")</f>
        <v>17.099999999999998</v>
      </c>
      <c r="W244" s="270">
        <f t="shared" si="18"/>
        <v>6</v>
      </c>
      <c r="X244" s="32">
        <f t="shared" si="19"/>
        <v>0.8666666666666667</v>
      </c>
      <c r="Y244" s="236">
        <f>IFERROR(VLOOKUP(GUAYAQUIL[[#This Row],[CODIGO]],MAESTRO!A:BI,21,FALSE),0)</f>
        <v>1.0303550000000001</v>
      </c>
      <c r="Z244" s="237">
        <f>+IFERROR(IF(GUAYAQUIL[[#This Row],[CODIGO]]="","",GUAYAQUIL[[#This Row],[COSTO UNIT base]]*GUAYAQUIL[[#This Row],[Conversión]]),"")</f>
        <v>1.0303550000000001</v>
      </c>
      <c r="AA244" s="236">
        <f>+IFERROR(IF(GUAYAQUIL[[#This Row],[CODIGO]]="","",GUAYAQUIL[[#This Row],[COSTO UNIT Conv]]*GUAYAQUIL[[#This Row],[Stock Actual Kgs]]),"")</f>
        <v>17.619070499999999</v>
      </c>
      <c r="AB244" s="33">
        <f ca="1">+IFERROR(IF(GUAYAQUIL[[#This Row],[CODIGO]]="","",$J$3-O244),"")</f>
        <v>7</v>
      </c>
      <c r="AC244" s="34" t="str">
        <f ca="1">IF(GUAYAQUIL[[#This Row],[CODIGO]]="","",IF(S244&lt;=0,"CADUCADO",IF(AND(S244&gt;0,S244&lt;=21),"FECHA CORTA",IF(AND(S244&gt;=22,S244&lt;=26),"PROXIMOS FECHA CORTA", "VIGENTE"))))</f>
        <v>VIGENTE</v>
      </c>
      <c r="AD244" s="37">
        <f>+IF(GUAYAQUIL[[#This Row],[CODIGO]]="","",GUAYAQUIL[[#This Row],[Stock Actual Unds]]*GUAYAQUIL[[#This Row],[Gramaje]]*GUAYAQUIL[[#This Row],[Conversión]])/1000</f>
        <v>1.7099999999999997E-2</v>
      </c>
    </row>
    <row r="245" spans="1:30">
      <c r="A245" s="24" t="str">
        <f>+IFERROR(IF(GUAYAQUIL[[#This Row],[CODIGO]]="","",VLOOKUP(GUAYAQUIL[[#This Row],[CODIGO]],MAESTRO!$A:$J,10,FALSE)),"")</f>
        <v>MACHACHI</v>
      </c>
      <c r="B245" s="24" t="str">
        <f>+IFERROR(IF(GUAYAQUIL[[#This Row],[CODIGO]]="","",VLOOKUP(GUAYAQUIL[[#This Row],[CODIGO]],MAESTRO!$A:$Q,17,FALSE)),"")</f>
        <v>BEBIDAS LACTEAS</v>
      </c>
      <c r="C245" s="24" t="str">
        <f>+IFERROR(IF(GUAYAQUIL[[#This Row],[CODIGO]]="","",VLOOKUP(GUAYAQUIL[[#This Row],[CODIGO]],MAESTRO!$A:$BA,53,FALSE)),"")</f>
        <v xml:space="preserve">Luis Armendariz                         </v>
      </c>
      <c r="D245" s="24" t="str">
        <f>+IFERROR(IF(GUAYAQUIL[[#This Row],[CODIGO]]="","",VLOOKUP(GUAYAQUIL[[#This Row],[CODIGO]],MAESTRO!$A:$D,4,FALSE)),"")</f>
        <v>YOGURT KIOSKO</v>
      </c>
      <c r="E245" s="24" t="str">
        <f>+IFERROR(IF(GUAYAQUIL[[#This Row],[CODIGO]]="","",VLOOKUP(GUAYAQUIL[[#This Row],[CODIGO]],MAESTRO!$A:$F,6,FALSE)),"")</f>
        <v>BEBIDA DE YOGURT KIOSKO BOTELLA PERSONAL</v>
      </c>
      <c r="F245" s="42" t="str">
        <f>IF(GUAYAQUIL[[#This Row],[CODIGO]]="","",$K$6)</f>
        <v>GUAYAQUIL</v>
      </c>
      <c r="G245" s="209">
        <f>IF(GUAYAQUIL[[#This Row],[CODIGO]]="","",7711)</f>
        <v>7711</v>
      </c>
      <c r="H245" s="209">
        <f>IF(GUAYAQUIL[[#This Row],[CODIGO]]="","",1001)</f>
        <v>1001</v>
      </c>
      <c r="I245" s="258" t="s">
        <v>1633</v>
      </c>
      <c r="J245" s="25" t="str">
        <f>IFERROR((VLOOKUP(GUAYAQUIL[[#This Row],[CODIGO]],MAESTRO!A:B,2,FALSE)),"")</f>
        <v>YOG BBLE KID KK DZNO BOT 180G</v>
      </c>
      <c r="K245" s="35">
        <v>756</v>
      </c>
      <c r="L245" s="38">
        <f>+IFERROR(IF(GUAYAQUIL[[#This Row],[CODIGO]]="","",VLOOKUP(GUAYAQUIL[[#This Row],[CODIGO]],MAESTRO!$A:$BF,58,FALSE)),"")</f>
        <v>1</v>
      </c>
      <c r="M245" s="27">
        <f>+IFERROR(IF(GUAYAQUIL[[#This Row],[CODIGO]]="","",VLOOKUP(GUAYAQUIL[[#This Row],[CODIGO]],MAESTRO!A:N,14,FALSE)),"")</f>
        <v>0.18</v>
      </c>
      <c r="N245" s="28">
        <f>+IFERROR(IF(GUAYAQUIL[[#This Row],[CODIGO]]="","",VLOOKUP(GUAYAQUIL[[#This Row],[CODIGO]],MAESTRO!A:P,16,FALSE)),"")</f>
        <v>45</v>
      </c>
      <c r="O245" s="45">
        <v>45608</v>
      </c>
      <c r="P245" s="72" t="str">
        <f t="shared" si="15"/>
        <v>martes</v>
      </c>
      <c r="Q245" s="29">
        <f>IFERROR(IF(GUAYAQUIL[[#This Row],[CODIGO]]="","",IF(GUAYAQUIL[[#This Row],[Fecha Cad]]="","",(GUAYAQUIL[[#This Row],[Fecha Cad]]-GUAYAQUIL[[#This Row],[VIDA UTIL (Días)]]))+1),"")</f>
        <v>45602</v>
      </c>
      <c r="R245" s="45">
        <v>45646</v>
      </c>
      <c r="S245" s="30">
        <f t="shared" ca="1" si="16"/>
        <v>22</v>
      </c>
      <c r="T245" s="31">
        <f t="shared" ca="1" si="17"/>
        <v>0.48888888888888887</v>
      </c>
      <c r="U245" s="286">
        <v>4</v>
      </c>
      <c r="V245" s="262">
        <f>+IFERROR(IF(GUAYAQUIL[[#This Row],[CODIGO]]="","",GUAYAQUIL[[#This Row],[Stock Actual Unds]]*GUAYAQUIL[[#This Row],[Gramaje]]*GUAYAQUIL[[#This Row],[Conversión]]),"")</f>
        <v>0.72</v>
      </c>
      <c r="W245" s="270">
        <f t="shared" si="18"/>
        <v>6</v>
      </c>
      <c r="X245" s="32">
        <f t="shared" si="19"/>
        <v>0.8666666666666667</v>
      </c>
      <c r="Y245" s="236">
        <f>IFERROR(VLOOKUP(GUAYAQUIL[[#This Row],[CODIGO]],MAESTRO!A:BI,21,FALSE),0)</f>
        <v>0.32987</v>
      </c>
      <c r="Z245" s="237">
        <f>+IFERROR(IF(GUAYAQUIL[[#This Row],[CODIGO]]="","",GUAYAQUIL[[#This Row],[COSTO UNIT base]]*GUAYAQUIL[[#This Row],[Conversión]]),"")</f>
        <v>0.32987</v>
      </c>
      <c r="AA245" s="236">
        <f>+IFERROR(IF(GUAYAQUIL[[#This Row],[CODIGO]]="","",GUAYAQUIL[[#This Row],[COSTO UNIT Conv]]*GUAYAQUIL[[#This Row],[Stock Actual Kgs]]),"")</f>
        <v>0.23750639999999998</v>
      </c>
      <c r="AB245" s="33">
        <f ca="1">+IFERROR(IF(GUAYAQUIL[[#This Row],[CODIGO]]="","",$J$3-O245),"")</f>
        <v>16</v>
      </c>
      <c r="AC245" s="34" t="str">
        <f ca="1">IF(GUAYAQUIL[[#This Row],[CODIGO]]="","",IF(S245&lt;=0,"CADUCADO",IF(AND(S245&gt;0,S245&lt;=21),"FECHA CORTA",IF(AND(S245&gt;=22,S245&lt;=26),"PROXIMOS FECHA CORTA", "VIGENTE"))))</f>
        <v>PROXIMOS FECHA CORTA</v>
      </c>
      <c r="AD245" s="37">
        <f>+IF(GUAYAQUIL[[#This Row],[CODIGO]]="","",GUAYAQUIL[[#This Row],[Stock Actual Unds]]*GUAYAQUIL[[#This Row],[Gramaje]]*GUAYAQUIL[[#This Row],[Conversión]])/1000</f>
        <v>7.1999999999999994E-4</v>
      </c>
    </row>
    <row r="246" spans="1:30">
      <c r="A246" s="24" t="str">
        <f>+IFERROR(IF(GUAYAQUIL[[#This Row],[CODIGO]]="","",VLOOKUP(GUAYAQUIL[[#This Row],[CODIGO]],MAESTRO!$A:$J,10,FALSE)),"")</f>
        <v>MACHACHI</v>
      </c>
      <c r="B246" s="24" t="str">
        <f>+IFERROR(IF(GUAYAQUIL[[#This Row],[CODIGO]]="","",VLOOKUP(GUAYAQUIL[[#This Row],[CODIGO]],MAESTRO!$A:$Q,17,FALSE)),"")</f>
        <v>BEBIDAS LACTEAS</v>
      </c>
      <c r="C246" s="24" t="str">
        <f>+IFERROR(IF(GUAYAQUIL[[#This Row],[CODIGO]]="","",VLOOKUP(GUAYAQUIL[[#This Row],[CODIGO]],MAESTRO!$A:$BA,53,FALSE)),"")</f>
        <v xml:space="preserve">Luis Armendariz                         </v>
      </c>
      <c r="D246" s="24" t="str">
        <f>+IFERROR(IF(GUAYAQUIL[[#This Row],[CODIGO]]="","",VLOOKUP(GUAYAQUIL[[#This Row],[CODIGO]],MAESTRO!$A:$D,4,FALSE)),"")</f>
        <v>YOGURT KIOSKO</v>
      </c>
      <c r="E246" s="24" t="str">
        <f>+IFERROR(IF(GUAYAQUIL[[#This Row],[CODIGO]]="","",VLOOKUP(GUAYAQUIL[[#This Row],[CODIGO]],MAESTRO!$A:$F,6,FALSE)),"")</f>
        <v>BEBIDA DE YOGURT KIOSKO BOTELLA PERSONAL</v>
      </c>
      <c r="F246" s="42" t="str">
        <f>IF(GUAYAQUIL[[#This Row],[CODIGO]]="","",$K$6)</f>
        <v>GUAYAQUIL</v>
      </c>
      <c r="G246" s="42">
        <f>IF(GUAYAQUIL[[#This Row],[CODIGO]]="","",7711)</f>
        <v>7711</v>
      </c>
      <c r="H246" s="42">
        <f>IF(GUAYAQUIL[[#This Row],[CODIGO]]="","",1001)</f>
        <v>1001</v>
      </c>
      <c r="I246" s="258" t="s">
        <v>1633</v>
      </c>
      <c r="J246" s="25" t="str">
        <f>IFERROR((VLOOKUP(GUAYAQUIL[[#This Row],[CODIGO]],MAESTRO!A:B,2,FALSE)),"")</f>
        <v>YOG BBLE KID KK DZNO BOT 180G</v>
      </c>
      <c r="K246" s="35">
        <v>216</v>
      </c>
      <c r="L246" s="38">
        <f>+IFERROR(IF(GUAYAQUIL[[#This Row],[CODIGO]]="","",VLOOKUP(GUAYAQUIL[[#This Row],[CODIGO]],MAESTRO!$A:$BF,58,FALSE)),"")</f>
        <v>1</v>
      </c>
      <c r="M246" s="27">
        <f>+IFERROR(IF(GUAYAQUIL[[#This Row],[CODIGO]]="","",VLOOKUP(GUAYAQUIL[[#This Row],[CODIGO]],MAESTRO!A:N,14,FALSE)),"")</f>
        <v>0.18</v>
      </c>
      <c r="N246" s="28">
        <f>+IFERROR(IF(GUAYAQUIL[[#This Row],[CODIGO]]="","",VLOOKUP(GUAYAQUIL[[#This Row],[CODIGO]],MAESTRO!A:P,16,FALSE)),"")</f>
        <v>45</v>
      </c>
      <c r="O246" s="45">
        <v>45612</v>
      </c>
      <c r="P246" s="72" t="str">
        <f t="shared" si="15"/>
        <v>sábado</v>
      </c>
      <c r="Q246" s="29">
        <f>IFERROR(IF(GUAYAQUIL[[#This Row],[CODIGO]]="","",IF(GUAYAQUIL[[#This Row],[Fecha Cad]]="","",(GUAYAQUIL[[#This Row],[Fecha Cad]]-GUAYAQUIL[[#This Row],[VIDA UTIL (Días)]]))+1),"")</f>
        <v>45609</v>
      </c>
      <c r="R246" s="45">
        <v>45653</v>
      </c>
      <c r="S246" s="30">
        <f t="shared" ca="1" si="16"/>
        <v>29</v>
      </c>
      <c r="T246" s="31">
        <f t="shared" ca="1" si="17"/>
        <v>0.64444444444444449</v>
      </c>
      <c r="U246" s="286">
        <v>216</v>
      </c>
      <c r="V246" s="262">
        <f>+IFERROR(IF(GUAYAQUIL[[#This Row],[CODIGO]]="","",GUAYAQUIL[[#This Row],[Stock Actual Unds]]*GUAYAQUIL[[#This Row],[Gramaje]]*GUAYAQUIL[[#This Row],[Conversión]]),"")</f>
        <v>38.879999999999995</v>
      </c>
      <c r="W246" s="270">
        <f t="shared" si="18"/>
        <v>3</v>
      </c>
      <c r="X246" s="32">
        <f t="shared" si="19"/>
        <v>0.93333333333333335</v>
      </c>
      <c r="Y246" s="236">
        <f>IFERROR(VLOOKUP(GUAYAQUIL[[#This Row],[CODIGO]],MAESTRO!A:BI,21,FALSE),0)</f>
        <v>0.32987</v>
      </c>
      <c r="Z246" s="237">
        <f>+IFERROR(IF(GUAYAQUIL[[#This Row],[CODIGO]]="","",GUAYAQUIL[[#This Row],[COSTO UNIT base]]*GUAYAQUIL[[#This Row],[Conversión]]),"")</f>
        <v>0.32987</v>
      </c>
      <c r="AA246" s="236">
        <f>+IFERROR(IF(GUAYAQUIL[[#This Row],[CODIGO]]="","",GUAYAQUIL[[#This Row],[COSTO UNIT Conv]]*GUAYAQUIL[[#This Row],[Stock Actual Kgs]]),"")</f>
        <v>12.825345599999999</v>
      </c>
      <c r="AB246" s="33">
        <f ca="1">+IFERROR(IF(GUAYAQUIL[[#This Row],[CODIGO]]="","",$J$3-O246),"")</f>
        <v>12</v>
      </c>
      <c r="AC246" s="34" t="str">
        <f ca="1">IF(GUAYAQUIL[[#This Row],[CODIGO]]="","",IF(S246&lt;=0,"CADUCADO",IF(AND(S246&gt;0,S246&lt;=21),"FECHA CORTA",IF(AND(S246&gt;=22,S246&lt;=26),"PROXIMOS FECHA CORTA", "VIGENTE"))))</f>
        <v>VIGENTE</v>
      </c>
      <c r="AD246" s="37">
        <f>+IF(GUAYAQUIL[[#This Row],[CODIGO]]="","",GUAYAQUIL[[#This Row],[Stock Actual Unds]]*GUAYAQUIL[[#This Row],[Gramaje]]*GUAYAQUIL[[#This Row],[Conversión]])/1000</f>
        <v>3.8879999999999998E-2</v>
      </c>
    </row>
    <row r="247" spans="1:30">
      <c r="A247" s="24" t="str">
        <f>+IFERROR(IF(GUAYAQUIL[[#This Row],[CODIGO]]="","",VLOOKUP(GUAYAQUIL[[#This Row],[CODIGO]],MAESTRO!$A:$J,10,FALSE)),"")</f>
        <v>MACHACHI</v>
      </c>
      <c r="B247" s="24" t="str">
        <f>+IFERROR(IF(GUAYAQUIL[[#This Row],[CODIGO]]="","",VLOOKUP(GUAYAQUIL[[#This Row],[CODIGO]],MAESTRO!$A:$Q,17,FALSE)),"")</f>
        <v>BEBIDAS LACTEAS</v>
      </c>
      <c r="C247" s="24" t="str">
        <f>+IFERROR(IF(GUAYAQUIL[[#This Row],[CODIGO]]="","",VLOOKUP(GUAYAQUIL[[#This Row],[CODIGO]],MAESTRO!$A:$BA,53,FALSE)),"")</f>
        <v xml:space="preserve">Luis Armendariz                         </v>
      </c>
      <c r="D247" s="24" t="str">
        <f>+IFERROR(IF(GUAYAQUIL[[#This Row],[CODIGO]]="","",VLOOKUP(GUAYAQUIL[[#This Row],[CODIGO]],MAESTRO!$A:$D,4,FALSE)),"")</f>
        <v>YOGURT KIOSKO</v>
      </c>
      <c r="E247" s="24" t="str">
        <f>+IFERROR(IF(GUAYAQUIL[[#This Row],[CODIGO]]="","",VLOOKUP(GUAYAQUIL[[#This Row],[CODIGO]],MAESTRO!$A:$F,6,FALSE)),"")</f>
        <v>BEBIDA DE YOGURT KIOSKO BOTELLA PERSONAL</v>
      </c>
      <c r="F247" s="42" t="str">
        <f>IF(GUAYAQUIL[[#This Row],[CODIGO]]="","",$K$6)</f>
        <v>GUAYAQUIL</v>
      </c>
      <c r="G247" s="209">
        <f>IF(GUAYAQUIL[[#This Row],[CODIGO]]="","",7711)</f>
        <v>7711</v>
      </c>
      <c r="H247" s="209">
        <f>IF(GUAYAQUIL[[#This Row],[CODIGO]]="","",1001)</f>
        <v>1001</v>
      </c>
      <c r="I247" s="258" t="s">
        <v>1633</v>
      </c>
      <c r="J247" s="25" t="str">
        <f>IFERROR((VLOOKUP(GUAYAQUIL[[#This Row],[CODIGO]],MAESTRO!A:B,2,FALSE)),"")</f>
        <v>YOG BBLE KID KK DZNO BOT 180G</v>
      </c>
      <c r="K247" s="35">
        <v>108</v>
      </c>
      <c r="L247" s="38">
        <f>+IFERROR(IF(GUAYAQUIL[[#This Row],[CODIGO]]="","",VLOOKUP(GUAYAQUIL[[#This Row],[CODIGO]],MAESTRO!$A:$BF,58,FALSE)),"")</f>
        <v>1</v>
      </c>
      <c r="M247" s="27">
        <f>+IFERROR(IF(GUAYAQUIL[[#This Row],[CODIGO]]="","",VLOOKUP(GUAYAQUIL[[#This Row],[CODIGO]],MAESTRO!A:N,14,FALSE)),"")</f>
        <v>0.18</v>
      </c>
      <c r="N247" s="28">
        <f>+IFERROR(IF(GUAYAQUIL[[#This Row],[CODIGO]]="","",VLOOKUP(GUAYAQUIL[[#This Row],[CODIGO]],MAESTRO!A:P,16,FALSE)),"")</f>
        <v>45</v>
      </c>
      <c r="O247" s="45">
        <v>45611</v>
      </c>
      <c r="P247" s="72" t="str">
        <f t="shared" si="15"/>
        <v>viernes</v>
      </c>
      <c r="Q247" s="29">
        <f>IFERROR(IF(GUAYAQUIL[[#This Row],[CODIGO]]="","",IF(GUAYAQUIL[[#This Row],[Fecha Cad]]="","",(GUAYAQUIL[[#This Row],[Fecha Cad]]-GUAYAQUIL[[#This Row],[VIDA UTIL (Días)]]))+1),"")</f>
        <v>45609</v>
      </c>
      <c r="R247" s="45">
        <v>45653</v>
      </c>
      <c r="S247" s="30">
        <f t="shared" ca="1" si="16"/>
        <v>29</v>
      </c>
      <c r="T247" s="31">
        <f t="shared" ca="1" si="17"/>
        <v>0.64444444444444449</v>
      </c>
      <c r="U247" s="286">
        <v>107</v>
      </c>
      <c r="V247" s="262">
        <f>+IFERROR(IF(GUAYAQUIL[[#This Row],[CODIGO]]="","",GUAYAQUIL[[#This Row],[Stock Actual Unds]]*GUAYAQUIL[[#This Row],[Gramaje]]*GUAYAQUIL[[#This Row],[Conversión]]),"")</f>
        <v>19.259999999999998</v>
      </c>
      <c r="W247" s="270">
        <f t="shared" si="18"/>
        <v>2</v>
      </c>
      <c r="X247" s="32">
        <f t="shared" si="19"/>
        <v>0.9555555555555556</v>
      </c>
      <c r="Y247" s="236">
        <f>IFERROR(VLOOKUP(GUAYAQUIL[[#This Row],[CODIGO]],MAESTRO!A:BI,21,FALSE),0)</f>
        <v>0.32987</v>
      </c>
      <c r="Z247" s="237">
        <f>+IFERROR(IF(GUAYAQUIL[[#This Row],[CODIGO]]="","",GUAYAQUIL[[#This Row],[COSTO UNIT base]]*GUAYAQUIL[[#This Row],[Conversión]]),"")</f>
        <v>0.32987</v>
      </c>
      <c r="AA247" s="236">
        <f>+IFERROR(IF(GUAYAQUIL[[#This Row],[CODIGO]]="","",GUAYAQUIL[[#This Row],[COSTO UNIT Conv]]*GUAYAQUIL[[#This Row],[Stock Actual Kgs]]),"")</f>
        <v>6.3532961999999991</v>
      </c>
      <c r="AB247" s="33">
        <f ca="1">+IFERROR(IF(GUAYAQUIL[[#This Row],[CODIGO]]="","",$J$3-O247),"")</f>
        <v>13</v>
      </c>
      <c r="AC247" s="34" t="str">
        <f ca="1">IF(GUAYAQUIL[[#This Row],[CODIGO]]="","",IF(S247&lt;=0,"CADUCADO",IF(AND(S247&gt;0,S247&lt;=21),"FECHA CORTA",IF(AND(S247&gt;=22,S247&lt;=26),"PROXIMOS FECHA CORTA", "VIGENTE"))))</f>
        <v>VIGENTE</v>
      </c>
      <c r="AD247" s="37">
        <f>+IF(GUAYAQUIL[[#This Row],[CODIGO]]="","",GUAYAQUIL[[#This Row],[Stock Actual Unds]]*GUAYAQUIL[[#This Row],[Gramaje]]*GUAYAQUIL[[#This Row],[Conversión]])/1000</f>
        <v>1.9259999999999999E-2</v>
      </c>
    </row>
    <row r="248" spans="1:30">
      <c r="A248" s="24" t="str">
        <f>+IFERROR(IF(GUAYAQUIL[[#This Row],[CODIGO]]="","",VLOOKUP(GUAYAQUIL[[#This Row],[CODIGO]],MAESTRO!$A:$J,10,FALSE)),"")</f>
        <v>MACHACHI</v>
      </c>
      <c r="B248" s="24" t="str">
        <f>+IFERROR(IF(GUAYAQUIL[[#This Row],[CODIGO]]="","",VLOOKUP(GUAYAQUIL[[#This Row],[CODIGO]],MAESTRO!$A:$Q,17,FALSE)),"")</f>
        <v>BEBIDAS LACTEAS</v>
      </c>
      <c r="C248" s="24" t="str">
        <f>+IFERROR(IF(GUAYAQUIL[[#This Row],[CODIGO]]="","",VLOOKUP(GUAYAQUIL[[#This Row],[CODIGO]],MAESTRO!$A:$BA,53,FALSE)),"")</f>
        <v xml:space="preserve">Luis Armendariz                         </v>
      </c>
      <c r="D248" s="24" t="str">
        <f>+IFERROR(IF(GUAYAQUIL[[#This Row],[CODIGO]]="","",VLOOKUP(GUAYAQUIL[[#This Row],[CODIGO]],MAESTRO!$A:$D,4,FALSE)),"")</f>
        <v>YOGURT KIOSKO</v>
      </c>
      <c r="E248" s="24" t="str">
        <f>+IFERROR(IF(GUAYAQUIL[[#This Row],[CODIGO]]="","",VLOOKUP(GUAYAQUIL[[#This Row],[CODIGO]],MAESTRO!$A:$F,6,FALSE)),"")</f>
        <v>BEBIDA DE YOGURT KIOSKO BOTELLA PERSONAL</v>
      </c>
      <c r="F248" s="42" t="str">
        <f>IF(GUAYAQUIL[[#This Row],[CODIGO]]="","",$K$6)</f>
        <v>GUAYAQUIL</v>
      </c>
      <c r="G248" s="42">
        <f>IF(GUAYAQUIL[[#This Row],[CODIGO]]="","",7711)</f>
        <v>7711</v>
      </c>
      <c r="H248" s="42">
        <f>IF(GUAYAQUIL[[#This Row],[CODIGO]]="","",1001)</f>
        <v>1001</v>
      </c>
      <c r="I248" s="257" t="s">
        <v>1633</v>
      </c>
      <c r="J248" s="25" t="str">
        <f>IFERROR((VLOOKUP(GUAYAQUIL[[#This Row],[CODIGO]],MAESTRO!A:B,2,FALSE)),"")</f>
        <v>YOG BBLE KID KK DZNO BOT 180G</v>
      </c>
      <c r="K248" s="26">
        <v>216</v>
      </c>
      <c r="L248" s="38">
        <f>+IFERROR(IF(GUAYAQUIL[[#This Row],[CODIGO]]="","",VLOOKUP(GUAYAQUIL[[#This Row],[CODIGO]],MAESTRO!$A:$BF,58,FALSE)),"")</f>
        <v>1</v>
      </c>
      <c r="M248" s="27">
        <f>+IFERROR(IF(GUAYAQUIL[[#This Row],[CODIGO]]="","",VLOOKUP(GUAYAQUIL[[#This Row],[CODIGO]],MAESTRO!A:N,14,FALSE)),"")</f>
        <v>0.18</v>
      </c>
      <c r="N248" s="28">
        <f>+IFERROR(IF(GUAYAQUIL[[#This Row],[CODIGO]]="","",VLOOKUP(GUAYAQUIL[[#This Row],[CODIGO]],MAESTRO!A:P,16,FALSE)),"")</f>
        <v>45</v>
      </c>
      <c r="O248" s="29">
        <v>45615</v>
      </c>
      <c r="P248" s="72" t="str">
        <f t="shared" si="15"/>
        <v>martes</v>
      </c>
      <c r="Q248" s="29">
        <f>IFERROR(IF(GUAYAQUIL[[#This Row],[CODIGO]]="","",IF(GUAYAQUIL[[#This Row],[Fecha Cad]]="","",(GUAYAQUIL[[#This Row],[Fecha Cad]]-GUAYAQUIL[[#This Row],[VIDA UTIL (Días)]]))+1),"")</f>
        <v>45609</v>
      </c>
      <c r="R248" s="29">
        <v>45653</v>
      </c>
      <c r="S248" s="30">
        <f t="shared" ca="1" si="16"/>
        <v>29</v>
      </c>
      <c r="T248" s="31">
        <f t="shared" ca="1" si="17"/>
        <v>0.64444444444444449</v>
      </c>
      <c r="U248" s="286">
        <v>216</v>
      </c>
      <c r="V248" s="260">
        <f>+IFERROR(IF(GUAYAQUIL[[#This Row],[CODIGO]]="","",GUAYAQUIL[[#This Row],[Stock Actual Unds]]*GUAYAQUIL[[#This Row],[Gramaje]]*GUAYAQUIL[[#This Row],[Conversión]]),"")</f>
        <v>38.879999999999995</v>
      </c>
      <c r="W248" s="270">
        <f t="shared" si="18"/>
        <v>6</v>
      </c>
      <c r="X248" s="32">
        <f t="shared" si="19"/>
        <v>0.8666666666666667</v>
      </c>
      <c r="Y248" s="236">
        <f>IFERROR(VLOOKUP(GUAYAQUIL[[#This Row],[CODIGO]],MAESTRO!A:BI,21,FALSE),0)</f>
        <v>0.32987</v>
      </c>
      <c r="Z248" s="237">
        <f>+IFERROR(IF(GUAYAQUIL[[#This Row],[CODIGO]]="","",GUAYAQUIL[[#This Row],[COSTO UNIT base]]*GUAYAQUIL[[#This Row],[Conversión]]),"")</f>
        <v>0.32987</v>
      </c>
      <c r="AA248" s="236">
        <f>+IFERROR(IF(GUAYAQUIL[[#This Row],[CODIGO]]="","",GUAYAQUIL[[#This Row],[COSTO UNIT Conv]]*GUAYAQUIL[[#This Row],[Stock Actual Kgs]]),"")</f>
        <v>12.825345599999999</v>
      </c>
      <c r="AB248" s="33">
        <f ca="1">+IFERROR(IF(GUAYAQUIL[[#This Row],[CODIGO]]="","",$J$3-O248),"")</f>
        <v>9</v>
      </c>
      <c r="AC248" s="34" t="str">
        <f ca="1">IF(GUAYAQUIL[[#This Row],[CODIGO]]="","",IF(S248&lt;=0,"CADUCADO",IF(AND(S248&gt;0,S248&lt;=21),"FECHA CORTA",IF(AND(S248&gt;=22,S248&lt;=26),"PROXIMOS FECHA CORTA", "VIGENTE"))))</f>
        <v>VIGENTE</v>
      </c>
      <c r="AD248" s="37">
        <f>+IF(GUAYAQUIL[[#This Row],[CODIGO]]="","",GUAYAQUIL[[#This Row],[Stock Actual Unds]]*GUAYAQUIL[[#This Row],[Gramaje]]*GUAYAQUIL[[#This Row],[Conversión]])/1000</f>
        <v>3.8879999999999998E-2</v>
      </c>
    </row>
    <row r="249" spans="1:30">
      <c r="A249" s="24" t="str">
        <f>+IFERROR(IF(GUAYAQUIL[[#This Row],[CODIGO]]="","",VLOOKUP(GUAYAQUIL[[#This Row],[CODIGO]],MAESTRO!$A:$J,10,FALSE)),"")</f>
        <v>MACHACHI</v>
      </c>
      <c r="B249" s="24" t="str">
        <f>+IFERROR(IF(GUAYAQUIL[[#This Row],[CODIGO]]="","",VLOOKUP(GUAYAQUIL[[#This Row],[CODIGO]],MAESTRO!$A:$Q,17,FALSE)),"")</f>
        <v>BEBIDAS LACTEAS</v>
      </c>
      <c r="C249" s="24" t="str">
        <f>+IFERROR(IF(GUAYAQUIL[[#This Row],[CODIGO]]="","",VLOOKUP(GUAYAQUIL[[#This Row],[CODIGO]],MAESTRO!$A:$BA,53,FALSE)),"")</f>
        <v xml:space="preserve">Luis Armendariz                         </v>
      </c>
      <c r="D249" s="24" t="str">
        <f>+IFERROR(IF(GUAYAQUIL[[#This Row],[CODIGO]]="","",VLOOKUP(GUAYAQUIL[[#This Row],[CODIGO]],MAESTRO!$A:$D,4,FALSE)),"")</f>
        <v>YOGURT KIOSKO</v>
      </c>
      <c r="E249" s="24" t="str">
        <f>+IFERROR(IF(GUAYAQUIL[[#This Row],[CODIGO]]="","",VLOOKUP(GUAYAQUIL[[#This Row],[CODIGO]],MAESTRO!$A:$F,6,FALSE)),"")</f>
        <v>BEBIDA DE YOGURT KIOSKO BOTELLA PERSONAL</v>
      </c>
      <c r="F249" s="42" t="str">
        <f>IF(GUAYAQUIL[[#This Row],[CODIGO]]="","",$K$6)</f>
        <v>GUAYAQUIL</v>
      </c>
      <c r="G249" s="209">
        <f>IF(GUAYAQUIL[[#This Row],[CODIGO]]="","",7711)</f>
        <v>7711</v>
      </c>
      <c r="H249" s="209">
        <f>IF(GUAYAQUIL[[#This Row],[CODIGO]]="","",1001)</f>
        <v>1001</v>
      </c>
      <c r="I249" s="258" t="s">
        <v>1633</v>
      </c>
      <c r="J249" s="25" t="str">
        <f>IFERROR((VLOOKUP(GUAYAQUIL[[#This Row],[CODIGO]],MAESTRO!A:B,2,FALSE)),"")</f>
        <v>YOG BBLE KID KK DZNO BOT 180G</v>
      </c>
      <c r="K249" s="35">
        <v>108</v>
      </c>
      <c r="L249" s="38">
        <f>+IFERROR(IF(GUAYAQUIL[[#This Row],[CODIGO]]="","",VLOOKUP(GUAYAQUIL[[#This Row],[CODIGO]],MAESTRO!$A:$BF,58,FALSE)),"")</f>
        <v>1</v>
      </c>
      <c r="M249" s="27">
        <f>+IFERROR(IF(GUAYAQUIL[[#This Row],[CODIGO]]="","",VLOOKUP(GUAYAQUIL[[#This Row],[CODIGO]],MAESTRO!A:N,14,FALSE)),"")</f>
        <v>0.18</v>
      </c>
      <c r="N249" s="28">
        <f>+IFERROR(IF(GUAYAQUIL[[#This Row],[CODIGO]]="","",VLOOKUP(GUAYAQUIL[[#This Row],[CODIGO]],MAESTRO!A:P,16,FALSE)),"")</f>
        <v>45</v>
      </c>
      <c r="O249" s="29">
        <v>45616</v>
      </c>
      <c r="P249" s="72" t="str">
        <f t="shared" si="15"/>
        <v>miércoles</v>
      </c>
      <c r="Q249" s="29">
        <f>IFERROR(IF(GUAYAQUIL[[#This Row],[CODIGO]]="","",IF(GUAYAQUIL[[#This Row],[Fecha Cad]]="","",(GUAYAQUIL[[#This Row],[Fecha Cad]]-GUAYAQUIL[[#This Row],[VIDA UTIL (Días)]]))+1),"")</f>
        <v>45609</v>
      </c>
      <c r="R249" s="29">
        <v>45653</v>
      </c>
      <c r="S249" s="30">
        <f t="shared" ca="1" si="16"/>
        <v>29</v>
      </c>
      <c r="T249" s="31">
        <f t="shared" ca="1" si="17"/>
        <v>0.64444444444444449</v>
      </c>
      <c r="U249" s="286">
        <v>108</v>
      </c>
      <c r="V249" s="261">
        <f>+IFERROR(IF(GUAYAQUIL[[#This Row],[CODIGO]]="","",GUAYAQUIL[[#This Row],[Stock Actual Unds]]*GUAYAQUIL[[#This Row],[Gramaje]]*GUAYAQUIL[[#This Row],[Conversión]]),"")</f>
        <v>19.439999999999998</v>
      </c>
      <c r="W249" s="270">
        <f t="shared" si="18"/>
        <v>7</v>
      </c>
      <c r="X249" s="32">
        <f t="shared" si="19"/>
        <v>0.84444444444444444</v>
      </c>
      <c r="Y249" s="236">
        <f>IFERROR(VLOOKUP(GUAYAQUIL[[#This Row],[CODIGO]],MAESTRO!A:BI,21,FALSE),0)</f>
        <v>0.32987</v>
      </c>
      <c r="Z249" s="237">
        <f>+IFERROR(IF(GUAYAQUIL[[#This Row],[CODIGO]]="","",GUAYAQUIL[[#This Row],[COSTO UNIT base]]*GUAYAQUIL[[#This Row],[Conversión]]),"")</f>
        <v>0.32987</v>
      </c>
      <c r="AA249" s="236">
        <f>+IFERROR(IF(GUAYAQUIL[[#This Row],[CODIGO]]="","",GUAYAQUIL[[#This Row],[COSTO UNIT Conv]]*GUAYAQUIL[[#This Row],[Stock Actual Kgs]]),"")</f>
        <v>6.4126727999999993</v>
      </c>
      <c r="AB249" s="33">
        <f ca="1">+IFERROR(IF(GUAYAQUIL[[#This Row],[CODIGO]]="","",$J$3-O249),"")</f>
        <v>8</v>
      </c>
      <c r="AC249" s="34" t="str">
        <f ca="1">IF(GUAYAQUIL[[#This Row],[CODIGO]]="","",IF(S249&lt;=0,"CADUCADO",IF(AND(S249&gt;0,S249&lt;=21),"FECHA CORTA",IF(AND(S249&gt;=22,S249&lt;=26),"PROXIMOS FECHA CORTA", "VIGENTE"))))</f>
        <v>VIGENTE</v>
      </c>
      <c r="AD249" s="37">
        <f>+IF(GUAYAQUIL[[#This Row],[CODIGO]]="","",GUAYAQUIL[[#This Row],[Stock Actual Unds]]*GUAYAQUIL[[#This Row],[Gramaje]]*GUAYAQUIL[[#This Row],[Conversión]])/1000</f>
        <v>1.9439999999999999E-2</v>
      </c>
    </row>
    <row r="250" spans="1:30">
      <c r="A250" s="24" t="str">
        <f>+IFERROR(IF(GUAYAQUIL[[#This Row],[CODIGO]]="","",VLOOKUP(GUAYAQUIL[[#This Row],[CODIGO]],MAESTRO!$A:$J,10,FALSE)),"")</f>
        <v>SAN GABRIEL</v>
      </c>
      <c r="B250" s="24" t="str">
        <f>+IFERROR(IF(GUAYAQUIL[[#This Row],[CODIGO]]="","",VLOOKUP(GUAYAQUIL[[#This Row],[CODIGO]],MAESTRO!$A:$Q,17,FALSE)),"")</f>
        <v>POSTRES</v>
      </c>
      <c r="C250" s="24" t="str">
        <f>+IFERROR(IF(GUAYAQUIL[[#This Row],[CODIGO]]="","",VLOOKUP(GUAYAQUIL[[#This Row],[CODIGO]],MAESTRO!$A:$BA,53,FALSE)),"")</f>
        <v xml:space="preserve">Luis Armendariz                         </v>
      </c>
      <c r="D250" s="24" t="str">
        <f>+IFERROR(IF(GUAYAQUIL[[#This Row],[CODIGO]]="","",VLOOKUP(GUAYAQUIL[[#This Row],[CODIGO]],MAESTRO!$A:$D,4,FALSE)),"")</f>
        <v>AREQUIPE ALPINA</v>
      </c>
      <c r="E250" s="24" t="str">
        <f>+IFERROR(IF(GUAYAQUIL[[#This Row],[CODIGO]]="","",VLOOKUP(GUAYAQUIL[[#This Row],[CODIGO]],MAESTRO!$A:$F,6,FALSE)),"")</f>
        <v>AREQUIPE ALPINA</v>
      </c>
      <c r="F250" s="42" t="str">
        <f>IF(GUAYAQUIL[[#This Row],[CODIGO]]="","",$K$6)</f>
        <v>GUAYAQUIL</v>
      </c>
      <c r="G250" s="42">
        <f>IF(GUAYAQUIL[[#This Row],[CODIGO]]="","",7711)</f>
        <v>7711</v>
      </c>
      <c r="H250" s="42">
        <f>IF(GUAYAQUIL[[#This Row],[CODIGO]]="","",1001)</f>
        <v>1001</v>
      </c>
      <c r="I250" s="258" t="s">
        <v>2436</v>
      </c>
      <c r="J250" s="25" t="str">
        <f>IFERROR((VLOOKUP(GUAYAQUIL[[#This Row],[CODIGO]],MAESTRO!A:B,2,FALSE)),"")</f>
        <v>AREQUIPE VASO 50G ECU</v>
      </c>
      <c r="K250" s="35">
        <v>300</v>
      </c>
      <c r="L250" s="38">
        <f>+IFERROR(IF(GUAYAQUIL[[#This Row],[CODIGO]]="","",VLOOKUP(GUAYAQUIL[[#This Row],[CODIGO]],MAESTRO!$A:$BF,58,FALSE)),"")</f>
        <v>1</v>
      </c>
      <c r="M250" s="27">
        <f>+IFERROR(IF(GUAYAQUIL[[#This Row],[CODIGO]]="","",VLOOKUP(GUAYAQUIL[[#This Row],[CODIGO]],MAESTRO!A:N,14,FALSE)),"")</f>
        <v>0.05</v>
      </c>
      <c r="N250" s="28">
        <f>+IFERROR(IF(GUAYAQUIL[[#This Row],[CODIGO]]="","",VLOOKUP(GUAYAQUIL[[#This Row],[CODIGO]],MAESTRO!A:P,16,FALSE)),"")</f>
        <v>180</v>
      </c>
      <c r="O250" s="29">
        <v>45597</v>
      </c>
      <c r="P250" s="72" t="str">
        <f t="shared" si="15"/>
        <v>viernes</v>
      </c>
      <c r="Q250" s="29">
        <f>IFERROR(IF(GUAYAQUIL[[#This Row],[CODIGO]]="","",IF(GUAYAQUIL[[#This Row],[Fecha Cad]]="","",(GUAYAQUIL[[#This Row],[Fecha Cad]]-GUAYAQUIL[[#This Row],[VIDA UTIL (Días)]]))+1),"")</f>
        <v>45595</v>
      </c>
      <c r="R250" s="29">
        <v>45774</v>
      </c>
      <c r="S250" s="30">
        <f t="shared" ca="1" si="16"/>
        <v>150</v>
      </c>
      <c r="T250" s="31">
        <f t="shared" ca="1" si="17"/>
        <v>0.83333333333333337</v>
      </c>
      <c r="U250" s="286">
        <v>92</v>
      </c>
      <c r="V250" s="261">
        <f>+IFERROR(IF(GUAYAQUIL[[#This Row],[CODIGO]]="","",GUAYAQUIL[[#This Row],[Stock Actual Unds]]*GUAYAQUIL[[#This Row],[Gramaje]]*GUAYAQUIL[[#This Row],[Conversión]]),"")</f>
        <v>4.6000000000000005</v>
      </c>
      <c r="W250" s="270">
        <f t="shared" si="18"/>
        <v>2</v>
      </c>
      <c r="X250" s="32">
        <f t="shared" si="19"/>
        <v>0.98888888888888893</v>
      </c>
      <c r="Y250" s="236">
        <f>IFERROR(VLOOKUP(GUAYAQUIL[[#This Row],[CODIGO]],MAESTRO!A:BI,21,FALSE),0)</f>
        <v>0.18558999999999998</v>
      </c>
      <c r="Z250" s="237">
        <f>+IFERROR(IF(GUAYAQUIL[[#This Row],[CODIGO]]="","",GUAYAQUIL[[#This Row],[COSTO UNIT base]]*GUAYAQUIL[[#This Row],[Conversión]]),"")</f>
        <v>0.18558999999999998</v>
      </c>
      <c r="AA250" s="236">
        <f>+IFERROR(IF(GUAYAQUIL[[#This Row],[CODIGO]]="","",GUAYAQUIL[[#This Row],[COSTO UNIT Conv]]*GUAYAQUIL[[#This Row],[Stock Actual Kgs]]),"")</f>
        <v>0.85371399999999997</v>
      </c>
      <c r="AB250" s="33">
        <f ca="1">+IFERROR(IF(GUAYAQUIL[[#This Row],[CODIGO]]="","",$J$3-O250),"")</f>
        <v>27</v>
      </c>
      <c r="AC250" s="34" t="str">
        <f ca="1">IF(GUAYAQUIL[[#This Row],[CODIGO]]="","",IF(S250&lt;=0,"CADUCADO",IF(AND(S250&gt;0,S250&lt;=21),"FECHA CORTA",IF(AND(S250&gt;=22,S250&lt;=26),"PROXIMOS FECHA CORTA", "VIGENTE"))))</f>
        <v>VIGENTE</v>
      </c>
      <c r="AD250" s="37">
        <f>+IF(GUAYAQUIL[[#This Row],[CODIGO]]="","",GUAYAQUIL[[#This Row],[Stock Actual Unds]]*GUAYAQUIL[[#This Row],[Gramaje]]*GUAYAQUIL[[#This Row],[Conversión]])/1000</f>
        <v>4.6000000000000008E-3</v>
      </c>
    </row>
    <row r="251" spans="1:30">
      <c r="A251" s="24" t="str">
        <f>+IFERROR(IF(GUAYAQUIL[[#This Row],[CODIGO]]="","",VLOOKUP(GUAYAQUIL[[#This Row],[CODIGO]],MAESTRO!$A:$J,10,FALSE)),"")</f>
        <v>MACHACHI</v>
      </c>
      <c r="B251" s="24" t="str">
        <f>+IFERROR(IF(GUAYAQUIL[[#This Row],[CODIGO]]="","",VLOOKUP(GUAYAQUIL[[#This Row],[CODIGO]],MAESTRO!$A:$Q,17,FALSE)),"")</f>
        <v>BEBIDAS LACTEAS</v>
      </c>
      <c r="C251" s="24" t="str">
        <f>+IFERROR(IF(GUAYAQUIL[[#This Row],[CODIGO]]="","",VLOOKUP(GUAYAQUIL[[#This Row],[CODIGO]],MAESTRO!$A:$BA,53,FALSE)),"")</f>
        <v xml:space="preserve">Luis Armendariz                         </v>
      </c>
      <c r="D251" s="24" t="str">
        <f>+IFERROR(IF(GUAYAQUIL[[#This Row],[CODIGO]]="","",VLOOKUP(GUAYAQUIL[[#This Row],[CODIGO]],MAESTRO!$A:$D,4,FALSE)),"")</f>
        <v>YOGURT KIOSKO</v>
      </c>
      <c r="E251" s="24" t="str">
        <f>+IFERROR(IF(GUAYAQUIL[[#This Row],[CODIGO]]="","",VLOOKUP(GUAYAQUIL[[#This Row],[CODIGO]],MAESTRO!$A:$F,6,FALSE)),"")</f>
        <v>BEBIDA DE YOGURT KIOSKO BOTELLA PERSONAL</v>
      </c>
      <c r="F251" s="42" t="str">
        <f>IF(GUAYAQUIL[[#This Row],[CODIGO]]="","",$K$6)</f>
        <v>GUAYAQUIL</v>
      </c>
      <c r="G251" s="209">
        <f>IF(GUAYAQUIL[[#This Row],[CODIGO]]="","",7711)</f>
        <v>7711</v>
      </c>
      <c r="H251" s="209">
        <f>IF(GUAYAQUIL[[#This Row],[CODIGO]]="","",1001)</f>
        <v>1001</v>
      </c>
      <c r="I251" s="258" t="s">
        <v>501</v>
      </c>
      <c r="J251" s="25" t="str">
        <f>IFERROR((VLOOKUP(GUAYAQUIL[[#This Row],[CODIGO]],MAESTRO!A:B,2,FALSE)),"")</f>
        <v>YOG BBLE KID KK MORA BOT 180G</v>
      </c>
      <c r="K251" s="35">
        <v>432</v>
      </c>
      <c r="L251" s="38">
        <f>+IFERROR(IF(GUAYAQUIL[[#This Row],[CODIGO]]="","",VLOOKUP(GUAYAQUIL[[#This Row],[CODIGO]],MAESTRO!$A:$BF,58,FALSE)),"")</f>
        <v>1</v>
      </c>
      <c r="M251" s="27">
        <f>+IFERROR(IF(GUAYAQUIL[[#This Row],[CODIGO]]="","",VLOOKUP(GUAYAQUIL[[#This Row],[CODIGO]],MAESTRO!A:N,14,FALSE)),"")</f>
        <v>0.18</v>
      </c>
      <c r="N251" s="28">
        <f>+IFERROR(IF(GUAYAQUIL[[#This Row],[CODIGO]]="","",VLOOKUP(GUAYAQUIL[[#This Row],[CODIGO]],MAESTRO!A:P,16,FALSE)),"")</f>
        <v>45</v>
      </c>
      <c r="O251" s="29">
        <v>45601</v>
      </c>
      <c r="P251" s="72" t="str">
        <f t="shared" si="15"/>
        <v>martes</v>
      </c>
      <c r="Q251" s="29">
        <f>IFERROR(IF(GUAYAQUIL[[#This Row],[CODIGO]]="","",IF(GUAYAQUIL[[#This Row],[Fecha Cad]]="","",(GUAYAQUIL[[#This Row],[Fecha Cad]]-GUAYAQUIL[[#This Row],[VIDA UTIL (Días)]]))+1),"")</f>
        <v>45590</v>
      </c>
      <c r="R251" s="29">
        <v>45634</v>
      </c>
      <c r="S251" s="30">
        <f t="shared" ca="1" si="16"/>
        <v>10</v>
      </c>
      <c r="T251" s="31">
        <f t="shared" ca="1" si="17"/>
        <v>0.22222222222222221</v>
      </c>
      <c r="U251" s="286">
        <v>153</v>
      </c>
      <c r="V251" s="261">
        <f>+IFERROR(IF(GUAYAQUIL[[#This Row],[CODIGO]]="","",GUAYAQUIL[[#This Row],[Stock Actual Unds]]*GUAYAQUIL[[#This Row],[Gramaje]]*GUAYAQUIL[[#This Row],[Conversión]]),"")</f>
        <v>27.54</v>
      </c>
      <c r="W251" s="270">
        <f t="shared" si="18"/>
        <v>11</v>
      </c>
      <c r="X251" s="32">
        <f t="shared" si="19"/>
        <v>0.75555555555555554</v>
      </c>
      <c r="Y251" s="236">
        <f>IFERROR(VLOOKUP(GUAYAQUIL[[#This Row],[CODIGO]],MAESTRO!A:BI,21,FALSE),0)</f>
        <v>0.32335000000000003</v>
      </c>
      <c r="Z251" s="237">
        <f>+IFERROR(IF(GUAYAQUIL[[#This Row],[CODIGO]]="","",GUAYAQUIL[[#This Row],[COSTO UNIT base]]*GUAYAQUIL[[#This Row],[Conversión]]),"")</f>
        <v>0.32335000000000003</v>
      </c>
      <c r="AA251" s="236">
        <f>+IFERROR(IF(GUAYAQUIL[[#This Row],[CODIGO]]="","",GUAYAQUIL[[#This Row],[COSTO UNIT Conv]]*GUAYAQUIL[[#This Row],[Stock Actual Kgs]]),"")</f>
        <v>8.9050589999999996</v>
      </c>
      <c r="AB251" s="33">
        <f ca="1">+IFERROR(IF(GUAYAQUIL[[#This Row],[CODIGO]]="","",$J$3-O251),"")</f>
        <v>23</v>
      </c>
      <c r="AC251" s="34" t="str">
        <f ca="1">IF(GUAYAQUIL[[#This Row],[CODIGO]]="","",IF(S251&lt;=0,"CADUCADO",IF(AND(S251&gt;0,S251&lt;=21),"FECHA CORTA",IF(AND(S251&gt;=22,S251&lt;=26),"PROXIMOS FECHA CORTA", "VIGENTE"))))</f>
        <v>FECHA CORTA</v>
      </c>
      <c r="AD251" s="37">
        <f>+IF(GUAYAQUIL[[#This Row],[CODIGO]]="","",GUAYAQUIL[[#This Row],[Stock Actual Unds]]*GUAYAQUIL[[#This Row],[Gramaje]]*GUAYAQUIL[[#This Row],[Conversión]])/1000</f>
        <v>2.7539999999999999E-2</v>
      </c>
    </row>
    <row r="252" spans="1:30">
      <c r="A252" s="24" t="str">
        <f>+IFERROR(IF(GUAYAQUIL[[#This Row],[CODIGO]]="","",VLOOKUP(GUAYAQUIL[[#This Row],[CODIGO]],MAESTRO!$A:$J,10,FALSE)),"")</f>
        <v>MACHACHI</v>
      </c>
      <c r="B252" s="24" t="str">
        <f>+IFERROR(IF(GUAYAQUIL[[#This Row],[CODIGO]]="","",VLOOKUP(GUAYAQUIL[[#This Row],[CODIGO]],MAESTRO!$A:$Q,17,FALSE)),"")</f>
        <v>BEBIDAS LACTEAS</v>
      </c>
      <c r="C252" s="24" t="str">
        <f>+IFERROR(IF(GUAYAQUIL[[#This Row],[CODIGO]]="","",VLOOKUP(GUAYAQUIL[[#This Row],[CODIGO]],MAESTRO!$A:$BA,53,FALSE)),"")</f>
        <v xml:space="preserve">Luis Armendariz                         </v>
      </c>
      <c r="D252" s="24" t="str">
        <f>+IFERROR(IF(GUAYAQUIL[[#This Row],[CODIGO]]="","",VLOOKUP(GUAYAQUIL[[#This Row],[CODIGO]],MAESTRO!$A:$D,4,FALSE)),"")</f>
        <v>YOGURT KIOSKO</v>
      </c>
      <c r="E252" s="24" t="str">
        <f>+IFERROR(IF(GUAYAQUIL[[#This Row],[CODIGO]]="","",VLOOKUP(GUAYAQUIL[[#This Row],[CODIGO]],MAESTRO!$A:$F,6,FALSE)),"")</f>
        <v>BEBIDA DE YOGURT KIOSKO BOTELLA PERSONAL</v>
      </c>
      <c r="F252" s="42" t="str">
        <f>IF(GUAYAQUIL[[#This Row],[CODIGO]]="","",$K$6)</f>
        <v>GUAYAQUIL</v>
      </c>
      <c r="G252" s="42">
        <f>IF(GUAYAQUIL[[#This Row],[CODIGO]]="","",7711)</f>
        <v>7711</v>
      </c>
      <c r="H252" s="42">
        <f>IF(GUAYAQUIL[[#This Row],[CODIGO]]="","",1001)</f>
        <v>1001</v>
      </c>
      <c r="I252" s="258" t="s">
        <v>501</v>
      </c>
      <c r="J252" s="25" t="str">
        <f>IFERROR((VLOOKUP(GUAYAQUIL[[#This Row],[CODIGO]],MAESTRO!A:B,2,FALSE)),"")</f>
        <v>YOG BBLE KID KK MORA BOT 180G</v>
      </c>
      <c r="K252" s="35">
        <v>432</v>
      </c>
      <c r="L252" s="38">
        <f>+IFERROR(IF(GUAYAQUIL[[#This Row],[CODIGO]]="","",VLOOKUP(GUAYAQUIL[[#This Row],[CODIGO]],MAESTRO!$A:$BF,58,FALSE)),"")</f>
        <v>1</v>
      </c>
      <c r="M252" s="27">
        <f>+IFERROR(IF(GUAYAQUIL[[#This Row],[CODIGO]]="","",VLOOKUP(GUAYAQUIL[[#This Row],[CODIGO]],MAESTRO!A:N,14,FALSE)),"")</f>
        <v>0.18</v>
      </c>
      <c r="N252" s="28">
        <f>+IFERROR(IF(GUAYAQUIL[[#This Row],[CODIGO]]="","",VLOOKUP(GUAYAQUIL[[#This Row],[CODIGO]],MAESTRO!A:P,16,FALSE)),"")</f>
        <v>45</v>
      </c>
      <c r="O252" s="29">
        <v>45611</v>
      </c>
      <c r="P252" s="72" t="str">
        <f t="shared" si="15"/>
        <v>viernes</v>
      </c>
      <c r="Q252" s="29">
        <f>IFERROR(IF(GUAYAQUIL[[#This Row],[CODIGO]]="","",IF(GUAYAQUIL[[#This Row],[Fecha Cad]]="","",(GUAYAQUIL[[#This Row],[Fecha Cad]]-GUAYAQUIL[[#This Row],[VIDA UTIL (Días)]]))+1),"")</f>
        <v>45604</v>
      </c>
      <c r="R252" s="29">
        <v>45648</v>
      </c>
      <c r="S252" s="30">
        <f t="shared" ca="1" si="16"/>
        <v>24</v>
      </c>
      <c r="T252" s="31">
        <f t="shared" ca="1" si="17"/>
        <v>0.53333333333333333</v>
      </c>
      <c r="U252" s="286">
        <v>1</v>
      </c>
      <c r="V252" s="261">
        <f>+IFERROR(IF(GUAYAQUIL[[#This Row],[CODIGO]]="","",GUAYAQUIL[[#This Row],[Stock Actual Unds]]*GUAYAQUIL[[#This Row],[Gramaje]]*GUAYAQUIL[[#This Row],[Conversión]]),"")</f>
        <v>0.18</v>
      </c>
      <c r="W252" s="270">
        <f t="shared" si="18"/>
        <v>7</v>
      </c>
      <c r="X252" s="32">
        <f t="shared" si="19"/>
        <v>0.84444444444444444</v>
      </c>
      <c r="Y252" s="236">
        <f>IFERROR(VLOOKUP(GUAYAQUIL[[#This Row],[CODIGO]],MAESTRO!A:BI,21,FALSE),0)</f>
        <v>0.32335000000000003</v>
      </c>
      <c r="Z252" s="237">
        <f>+IFERROR(IF(GUAYAQUIL[[#This Row],[CODIGO]]="","",GUAYAQUIL[[#This Row],[COSTO UNIT base]]*GUAYAQUIL[[#This Row],[Conversión]]),"")</f>
        <v>0.32335000000000003</v>
      </c>
      <c r="AA252" s="236">
        <f>+IFERROR(IF(GUAYAQUIL[[#This Row],[CODIGO]]="","",GUAYAQUIL[[#This Row],[COSTO UNIT Conv]]*GUAYAQUIL[[#This Row],[Stock Actual Kgs]]),"")</f>
        <v>5.8203000000000005E-2</v>
      </c>
      <c r="AB252" s="33">
        <f ca="1">+IFERROR(IF(GUAYAQUIL[[#This Row],[CODIGO]]="","",$J$3-O252),"")</f>
        <v>13</v>
      </c>
      <c r="AC252" s="34" t="str">
        <f ca="1">IF(GUAYAQUIL[[#This Row],[CODIGO]]="","",IF(S252&lt;=0,"CADUCADO",IF(AND(S252&gt;0,S252&lt;=21),"FECHA CORTA",IF(AND(S252&gt;=22,S252&lt;=26),"PROXIMOS FECHA CORTA", "VIGENTE"))))</f>
        <v>PROXIMOS FECHA CORTA</v>
      </c>
      <c r="AD252" s="37">
        <f>+IF(GUAYAQUIL[[#This Row],[CODIGO]]="","",GUAYAQUIL[[#This Row],[Stock Actual Unds]]*GUAYAQUIL[[#This Row],[Gramaje]]*GUAYAQUIL[[#This Row],[Conversión]])/1000</f>
        <v>1.7999999999999998E-4</v>
      </c>
    </row>
    <row r="253" spans="1:30">
      <c r="A253" s="24" t="str">
        <f>+IFERROR(IF(GUAYAQUIL[[#This Row],[CODIGO]]="","",VLOOKUP(GUAYAQUIL[[#This Row],[CODIGO]],MAESTRO!$A:$J,10,FALSE)),"")</f>
        <v>MACHACHI</v>
      </c>
      <c r="B253" s="24" t="str">
        <f>+IFERROR(IF(GUAYAQUIL[[#This Row],[CODIGO]]="","",VLOOKUP(GUAYAQUIL[[#This Row],[CODIGO]],MAESTRO!$A:$Q,17,FALSE)),"")</f>
        <v>BEBIDAS LACTEAS</v>
      </c>
      <c r="C253" s="24" t="str">
        <f>+IFERROR(IF(GUAYAQUIL[[#This Row],[CODIGO]]="","",VLOOKUP(GUAYAQUIL[[#This Row],[CODIGO]],MAESTRO!$A:$BA,53,FALSE)),"")</f>
        <v xml:space="preserve">Luis Armendariz                         </v>
      </c>
      <c r="D253" s="24" t="str">
        <f>+IFERROR(IF(GUAYAQUIL[[#This Row],[CODIGO]]="","",VLOOKUP(GUAYAQUIL[[#This Row],[CODIGO]],MAESTRO!$A:$D,4,FALSE)),"")</f>
        <v>YOGURT KIOSKO</v>
      </c>
      <c r="E253" s="24" t="str">
        <f>+IFERROR(IF(GUAYAQUIL[[#This Row],[CODIGO]]="","",VLOOKUP(GUAYAQUIL[[#This Row],[CODIGO]],MAESTRO!$A:$F,6,FALSE)),"")</f>
        <v>BEBIDA DE YOGURT KIOSKO BOTELLA PERSONAL</v>
      </c>
      <c r="F253" s="42" t="str">
        <f>IF(GUAYAQUIL[[#This Row],[CODIGO]]="","",$K$6)</f>
        <v>GUAYAQUIL</v>
      </c>
      <c r="G253" s="42">
        <f>IF(GUAYAQUIL[[#This Row],[CODIGO]]="","",7711)</f>
        <v>7711</v>
      </c>
      <c r="H253" s="42">
        <f>IF(GUAYAQUIL[[#This Row],[CODIGO]]="","",1001)</f>
        <v>1001</v>
      </c>
      <c r="I253" s="258" t="s">
        <v>501</v>
      </c>
      <c r="J253" s="25" t="str">
        <f>IFERROR((VLOOKUP(GUAYAQUIL[[#This Row],[CODIGO]],MAESTRO!A:B,2,FALSE)),"")</f>
        <v>YOG BBLE KID KK MORA BOT 180G</v>
      </c>
      <c r="K253" s="35">
        <v>648</v>
      </c>
      <c r="L253" s="38">
        <f>+IFERROR(IF(GUAYAQUIL[[#This Row],[CODIGO]]="","",VLOOKUP(GUAYAQUIL[[#This Row],[CODIGO]],MAESTRO!$A:$BF,58,FALSE)),"")</f>
        <v>1</v>
      </c>
      <c r="M253" s="27">
        <f>+IFERROR(IF(GUAYAQUIL[[#This Row],[CODIGO]]="","",VLOOKUP(GUAYAQUIL[[#This Row],[CODIGO]],MAESTRO!A:N,14,FALSE)),"")</f>
        <v>0.18</v>
      </c>
      <c r="N253" s="28">
        <f>+IFERROR(IF(GUAYAQUIL[[#This Row],[CODIGO]]="","",VLOOKUP(GUAYAQUIL[[#This Row],[CODIGO]],MAESTRO!A:P,16,FALSE)),"")</f>
        <v>45</v>
      </c>
      <c r="O253" s="29">
        <v>45617</v>
      </c>
      <c r="P253" s="72" t="str">
        <f t="shared" si="15"/>
        <v>jueves</v>
      </c>
      <c r="Q253" s="29">
        <f>IFERROR(IF(GUAYAQUIL[[#This Row],[CODIGO]]="","",IF(GUAYAQUIL[[#This Row],[Fecha Cad]]="","",(GUAYAQUIL[[#This Row],[Fecha Cad]]-GUAYAQUIL[[#This Row],[VIDA UTIL (Días)]]))+1),"")</f>
        <v>45609</v>
      </c>
      <c r="R253" s="29">
        <v>45653</v>
      </c>
      <c r="S253" s="30">
        <f t="shared" ca="1" si="16"/>
        <v>29</v>
      </c>
      <c r="T253" s="31">
        <f t="shared" ca="1" si="17"/>
        <v>0.64444444444444449</v>
      </c>
      <c r="U253" s="286">
        <v>542</v>
      </c>
      <c r="V253" s="261">
        <f>+IFERROR(IF(GUAYAQUIL[[#This Row],[CODIGO]]="","",GUAYAQUIL[[#This Row],[Stock Actual Unds]]*GUAYAQUIL[[#This Row],[Gramaje]]*GUAYAQUIL[[#This Row],[Conversión]]),"")</f>
        <v>97.56</v>
      </c>
      <c r="W253" s="270">
        <f t="shared" si="18"/>
        <v>8</v>
      </c>
      <c r="X253" s="32">
        <f t="shared" si="19"/>
        <v>0.82222222222222219</v>
      </c>
      <c r="Y253" s="236">
        <f>IFERROR(VLOOKUP(GUAYAQUIL[[#This Row],[CODIGO]],MAESTRO!A:BI,21,FALSE),0)</f>
        <v>0.32335000000000003</v>
      </c>
      <c r="Z253" s="237">
        <f>+IFERROR(IF(GUAYAQUIL[[#This Row],[CODIGO]]="","",GUAYAQUIL[[#This Row],[COSTO UNIT base]]*GUAYAQUIL[[#This Row],[Conversión]]),"")</f>
        <v>0.32335000000000003</v>
      </c>
      <c r="AA253" s="236">
        <f>+IFERROR(IF(GUAYAQUIL[[#This Row],[CODIGO]]="","",GUAYAQUIL[[#This Row],[COSTO UNIT Conv]]*GUAYAQUIL[[#This Row],[Stock Actual Kgs]]),"")</f>
        <v>31.546026000000005</v>
      </c>
      <c r="AB253" s="33">
        <f ca="1">+IFERROR(IF(GUAYAQUIL[[#This Row],[CODIGO]]="","",$J$3-O253),"")</f>
        <v>7</v>
      </c>
      <c r="AC253" s="34" t="str">
        <f ca="1">IF(GUAYAQUIL[[#This Row],[CODIGO]]="","",IF(S253&lt;=0,"CADUCADO",IF(AND(S253&gt;0,S253&lt;=21),"FECHA CORTA",IF(AND(S253&gt;=22,S253&lt;=26),"PROXIMOS FECHA CORTA", "VIGENTE"))))</f>
        <v>VIGENTE</v>
      </c>
      <c r="AD253" s="37">
        <f>+IF(GUAYAQUIL[[#This Row],[CODIGO]]="","",GUAYAQUIL[[#This Row],[Stock Actual Unds]]*GUAYAQUIL[[#This Row],[Gramaje]]*GUAYAQUIL[[#This Row],[Conversión]])/1000</f>
        <v>9.7560000000000008E-2</v>
      </c>
    </row>
    <row r="254" spans="1:30">
      <c r="A254" s="24" t="str">
        <f>+IFERROR(IF(GUAYAQUIL[[#This Row],[CODIGO]]="","",VLOOKUP(GUAYAQUIL[[#This Row],[CODIGO]],MAESTRO!$A:$J,10,FALSE)),"")</f>
        <v>SAN GABRIEL</v>
      </c>
      <c r="B254" s="24" t="str">
        <f>+IFERROR(IF(GUAYAQUIL[[#This Row],[CODIGO]]="","",VLOOKUP(GUAYAQUIL[[#This Row],[CODIGO]],MAESTRO!$A:$Q,17,FALSE)),"")</f>
        <v>QUESOS Y GRASAS</v>
      </c>
      <c r="C254" s="24" t="str">
        <f>+IFERROR(IF(GUAYAQUIL[[#This Row],[CODIGO]]="","",VLOOKUP(GUAYAQUIL[[#This Row],[CODIGO]],MAESTRO!$A:$BA,53,FALSE)),"")</f>
        <v xml:space="preserve">Esteban Montenegro                      </v>
      </c>
      <c r="D254" s="24" t="str">
        <f>+IFERROR(IF(GUAYAQUIL[[#This Row],[CODIGO]]="","",VLOOKUP(GUAYAQUIL[[#This Row],[CODIGO]],MAESTRO!$A:$D,4,FALSE)),"")</f>
        <v>QUESO FUNDIDO</v>
      </c>
      <c r="E254" s="24" t="str">
        <f>+IFERROR(IF(GUAYAQUIL[[#This Row],[CODIGO]]="","",VLOOKUP(GUAYAQUIL[[#This Row],[CODIGO]],MAESTRO!$A:$F,6,FALSE)),"")</f>
        <v>QUESO FUNDIDO</v>
      </c>
      <c r="F254" s="42" t="str">
        <f>IF(GUAYAQUIL[[#This Row],[CODIGO]]="","",$K$6)</f>
        <v>GUAYAQUIL</v>
      </c>
      <c r="G254" s="42">
        <f>IF(GUAYAQUIL[[#This Row],[CODIGO]]="","",7711)</f>
        <v>7711</v>
      </c>
      <c r="H254" s="42">
        <f>IF(GUAYAQUIL[[#This Row],[CODIGO]]="","",1001)</f>
        <v>1001</v>
      </c>
      <c r="I254" s="257" t="s">
        <v>4678</v>
      </c>
      <c r="J254" s="25" t="str">
        <f>IFERROR((VLOOKUP(GUAYAQUIL[[#This Row],[CODIGO]],MAESTRO!A:B,2,FALSE)),"")</f>
        <v>Q ESPAR MOZZ KIOSKO DOYP 200G</v>
      </c>
      <c r="K254" s="26">
        <v>210</v>
      </c>
      <c r="L254" s="38">
        <f>+IFERROR(IF(GUAYAQUIL[[#This Row],[CODIGO]]="","",VLOOKUP(GUAYAQUIL[[#This Row],[CODIGO]],MAESTRO!$A:$BF,58,FALSE)),"")</f>
        <v>1</v>
      </c>
      <c r="M254" s="27">
        <f>+IFERROR(IF(GUAYAQUIL[[#This Row],[CODIGO]]="","",VLOOKUP(GUAYAQUIL[[#This Row],[CODIGO]],MAESTRO!A:N,14,FALSE)),"")</f>
        <v>0.2</v>
      </c>
      <c r="N254" s="28">
        <f>+IFERROR(IF(GUAYAQUIL[[#This Row],[CODIGO]]="","",VLOOKUP(GUAYAQUIL[[#This Row],[CODIGO]],MAESTRO!A:P,16,FALSE)),"")</f>
        <v>90</v>
      </c>
      <c r="O254" s="29">
        <v>45611</v>
      </c>
      <c r="P254" s="72" t="str">
        <f t="shared" si="15"/>
        <v>viernes</v>
      </c>
      <c r="Q254" s="29">
        <f>IFERROR(IF(GUAYAQUIL[[#This Row],[CODIGO]]="","",IF(GUAYAQUIL[[#This Row],[Fecha Cad]]="","",(GUAYAQUIL[[#This Row],[Fecha Cad]]-GUAYAQUIL[[#This Row],[VIDA UTIL (Días)]]))+1),"")</f>
        <v>45603</v>
      </c>
      <c r="R254" s="29">
        <v>45692</v>
      </c>
      <c r="S254" s="30">
        <f t="shared" ca="1" si="16"/>
        <v>68</v>
      </c>
      <c r="T254" s="31">
        <f t="shared" ca="1" si="17"/>
        <v>0.75555555555555554</v>
      </c>
      <c r="U254" s="286">
        <v>198</v>
      </c>
      <c r="V254" s="260">
        <f>+IFERROR(IF(GUAYAQUIL[[#This Row],[CODIGO]]="","",GUAYAQUIL[[#This Row],[Stock Actual Unds]]*GUAYAQUIL[[#This Row],[Gramaje]]*GUAYAQUIL[[#This Row],[Conversión]]),"")</f>
        <v>39.6</v>
      </c>
      <c r="W254" s="270">
        <f t="shared" si="18"/>
        <v>8</v>
      </c>
      <c r="X254" s="32">
        <f t="shared" si="19"/>
        <v>0.91111111111111109</v>
      </c>
      <c r="Y254" s="236">
        <f>IFERROR(VLOOKUP(GUAYAQUIL[[#This Row],[CODIGO]],MAESTRO!A:BI,21,FALSE),0)</f>
        <v>0.37625999999999998</v>
      </c>
      <c r="Z254" s="237">
        <f>+IFERROR(IF(GUAYAQUIL[[#This Row],[CODIGO]]="","",GUAYAQUIL[[#This Row],[COSTO UNIT base]]*GUAYAQUIL[[#This Row],[Conversión]]),"")</f>
        <v>0.37625999999999998</v>
      </c>
      <c r="AA254" s="236">
        <f>+IFERROR(IF(GUAYAQUIL[[#This Row],[CODIGO]]="","",GUAYAQUIL[[#This Row],[COSTO UNIT Conv]]*GUAYAQUIL[[#This Row],[Stock Actual Kgs]]),"")</f>
        <v>14.899896</v>
      </c>
      <c r="AB254" s="33">
        <f ca="1">+IFERROR(IF(GUAYAQUIL[[#This Row],[CODIGO]]="","",$J$3-O254),"")</f>
        <v>13</v>
      </c>
      <c r="AC254" s="34" t="str">
        <f ca="1">IF(GUAYAQUIL[[#This Row],[CODIGO]]="","",IF(S254&lt;=0,"CADUCADO",IF(AND(S254&gt;0,S254&lt;=21),"FECHA CORTA",IF(AND(S254&gt;=22,S254&lt;=26),"PROXIMOS FECHA CORTA", "VIGENTE"))))</f>
        <v>VIGENTE</v>
      </c>
      <c r="AD254" s="37">
        <f>+IF(GUAYAQUIL[[#This Row],[CODIGO]]="","",GUAYAQUIL[[#This Row],[Stock Actual Unds]]*GUAYAQUIL[[#This Row],[Gramaje]]*GUAYAQUIL[[#This Row],[Conversión]])/1000</f>
        <v>3.9600000000000003E-2</v>
      </c>
    </row>
    <row r="255" spans="1:30">
      <c r="A255" s="24" t="str">
        <f>+IFERROR(IF(GUAYAQUIL[[#This Row],[CODIGO]]="","",VLOOKUP(GUAYAQUIL[[#This Row],[CODIGO]],MAESTRO!$A:$J,10,FALSE)),"")</f>
        <v>SAN GABRIEL</v>
      </c>
      <c r="B255" s="24" t="str">
        <f>+IFERROR(IF(GUAYAQUIL[[#This Row],[CODIGO]]="","",VLOOKUP(GUAYAQUIL[[#This Row],[CODIGO]],MAESTRO!$A:$Q,17,FALSE)),"")</f>
        <v>QUESOS Y GRASAS</v>
      </c>
      <c r="C255" s="24" t="str">
        <f>+IFERROR(IF(GUAYAQUIL[[#This Row],[CODIGO]]="","",VLOOKUP(GUAYAQUIL[[#This Row],[CODIGO]],MAESTRO!$A:$BA,53,FALSE)),"")</f>
        <v xml:space="preserve">Esteban Montenegro                      </v>
      </c>
      <c r="D255" s="24" t="str">
        <f>+IFERROR(IF(GUAYAQUIL[[#This Row],[CODIGO]]="","",VLOOKUP(GUAYAQUIL[[#This Row],[CODIGO]],MAESTRO!$A:$D,4,FALSE)),"")</f>
        <v>QUESO FUNDIDO</v>
      </c>
      <c r="E255" s="24" t="str">
        <f>+IFERROR(IF(GUAYAQUIL[[#This Row],[CODIGO]]="","",VLOOKUP(GUAYAQUIL[[#This Row],[CODIGO]],MAESTRO!$A:$F,6,FALSE)),"")</f>
        <v>QUESO FUNDIDO</v>
      </c>
      <c r="F255" s="42" t="str">
        <f>IF(GUAYAQUIL[[#This Row],[CODIGO]]="","",$K$6)</f>
        <v>GUAYAQUIL</v>
      </c>
      <c r="G255" s="42">
        <f>IF(GUAYAQUIL[[#This Row],[CODIGO]]="","",7711)</f>
        <v>7711</v>
      </c>
      <c r="H255" s="42">
        <f>IF(GUAYAQUIL[[#This Row],[CODIGO]]="","",1001)</f>
        <v>1001</v>
      </c>
      <c r="I255" s="257" t="s">
        <v>4678</v>
      </c>
      <c r="J255" s="25" t="str">
        <f>IFERROR((VLOOKUP(GUAYAQUIL[[#This Row],[CODIGO]],MAESTRO!A:B,2,FALSE)),"")</f>
        <v>Q ESPAR MOZZ KIOSKO DOYP 200G</v>
      </c>
      <c r="K255" s="26">
        <v>70</v>
      </c>
      <c r="L255" s="38">
        <f>+IFERROR(IF(GUAYAQUIL[[#This Row],[CODIGO]]="","",VLOOKUP(GUAYAQUIL[[#This Row],[CODIGO]],MAESTRO!$A:$BF,58,FALSE)),"")</f>
        <v>1</v>
      </c>
      <c r="M255" s="27">
        <f>+IFERROR(IF(GUAYAQUIL[[#This Row],[CODIGO]]="","",VLOOKUP(GUAYAQUIL[[#This Row],[CODIGO]],MAESTRO!A:N,14,FALSE)),"")</f>
        <v>0.2</v>
      </c>
      <c r="N255" s="28">
        <f>+IFERROR(IF(GUAYAQUIL[[#This Row],[CODIGO]]="","",VLOOKUP(GUAYAQUIL[[#This Row],[CODIGO]],MAESTRO!A:P,16,FALSE)),"")</f>
        <v>90</v>
      </c>
      <c r="O255" s="29">
        <v>45610</v>
      </c>
      <c r="P255" s="72" t="str">
        <f t="shared" si="15"/>
        <v>jueves</v>
      </c>
      <c r="Q255" s="29">
        <f>IFERROR(IF(GUAYAQUIL[[#This Row],[CODIGO]]="","",IF(GUAYAQUIL[[#This Row],[Fecha Cad]]="","",(GUAYAQUIL[[#This Row],[Fecha Cad]]-GUAYAQUIL[[#This Row],[VIDA UTIL (Días)]]))+1),"")</f>
        <v>45589</v>
      </c>
      <c r="R255" s="29">
        <v>45678</v>
      </c>
      <c r="S255" s="30">
        <f t="shared" ca="1" si="16"/>
        <v>54</v>
      </c>
      <c r="T255" s="31">
        <f t="shared" ca="1" si="17"/>
        <v>0.6</v>
      </c>
      <c r="U255" s="286">
        <v>58</v>
      </c>
      <c r="V255" s="260">
        <f>+IFERROR(IF(GUAYAQUIL[[#This Row],[CODIGO]]="","",GUAYAQUIL[[#This Row],[Stock Actual Unds]]*GUAYAQUIL[[#This Row],[Gramaje]]*GUAYAQUIL[[#This Row],[Conversión]]),"")</f>
        <v>11.600000000000001</v>
      </c>
      <c r="W255" s="270">
        <f t="shared" si="18"/>
        <v>21</v>
      </c>
      <c r="X255" s="32">
        <f t="shared" si="19"/>
        <v>0.76666666666666661</v>
      </c>
      <c r="Y255" s="236">
        <f>IFERROR(VLOOKUP(GUAYAQUIL[[#This Row],[CODIGO]],MAESTRO!A:BI,21,FALSE),0)</f>
        <v>0.37625999999999998</v>
      </c>
      <c r="Z255" s="237">
        <f>+IFERROR(IF(GUAYAQUIL[[#This Row],[CODIGO]]="","",GUAYAQUIL[[#This Row],[COSTO UNIT base]]*GUAYAQUIL[[#This Row],[Conversión]]),"")</f>
        <v>0.37625999999999998</v>
      </c>
      <c r="AA255" s="236">
        <f>+IFERROR(IF(GUAYAQUIL[[#This Row],[CODIGO]]="","",GUAYAQUIL[[#This Row],[COSTO UNIT Conv]]*GUAYAQUIL[[#This Row],[Stock Actual Kgs]]),"")</f>
        <v>4.3646160000000007</v>
      </c>
      <c r="AB255" s="33">
        <f ca="1">+IFERROR(IF(GUAYAQUIL[[#This Row],[CODIGO]]="","",$J$3-O255),"")</f>
        <v>14</v>
      </c>
      <c r="AC255" s="34" t="str">
        <f ca="1">IF(GUAYAQUIL[[#This Row],[CODIGO]]="","",IF(S255&lt;=0,"CADUCADO",IF(AND(S255&gt;0,S255&lt;=21),"FECHA CORTA",IF(AND(S255&gt;=22,S255&lt;=26),"PROXIMOS FECHA CORTA", "VIGENTE"))))</f>
        <v>VIGENTE</v>
      </c>
      <c r="AD255" s="37">
        <f>+IF(GUAYAQUIL[[#This Row],[CODIGO]]="","",GUAYAQUIL[[#This Row],[Stock Actual Unds]]*GUAYAQUIL[[#This Row],[Gramaje]]*GUAYAQUIL[[#This Row],[Conversión]])/1000</f>
        <v>1.1600000000000001E-2</v>
      </c>
    </row>
    <row r="256" spans="1:30">
      <c r="A256" s="24" t="str">
        <f>+IFERROR(IF(GUAYAQUIL[[#This Row],[CODIGO]]="","",VLOOKUP(GUAYAQUIL[[#This Row],[CODIGO]],MAESTRO!$A:$J,10,FALSE)),"")</f>
        <v>SAN GABRIEL</v>
      </c>
      <c r="B256" s="24" t="str">
        <f>+IFERROR(IF(GUAYAQUIL[[#This Row],[CODIGO]]="","",VLOOKUP(GUAYAQUIL[[#This Row],[CODIGO]],MAESTRO!$A:$Q,17,FALSE)),"")</f>
        <v>QUESOS Y GRASAS</v>
      </c>
      <c r="C256" s="24" t="str">
        <f>+IFERROR(IF(GUAYAQUIL[[#This Row],[CODIGO]]="","",VLOOKUP(GUAYAQUIL[[#This Row],[CODIGO]],MAESTRO!$A:$BA,53,FALSE)),"")</f>
        <v xml:space="preserve">Esteban Montenegro                      </v>
      </c>
      <c r="D256" s="24" t="str">
        <f>+IFERROR(IF(GUAYAQUIL[[#This Row],[CODIGO]]="","",VLOOKUP(GUAYAQUIL[[#This Row],[CODIGO]],MAESTRO!$A:$D,4,FALSE)),"")</f>
        <v>QUESO FUNDIDO</v>
      </c>
      <c r="E256" s="24" t="str">
        <f>+IFERROR(IF(GUAYAQUIL[[#This Row],[CODIGO]]="","",VLOOKUP(GUAYAQUIL[[#This Row],[CODIGO]],MAESTRO!$A:$F,6,FALSE)),"")</f>
        <v>QUESO FUNDIDO</v>
      </c>
      <c r="F256" s="42" t="str">
        <f>IF(GUAYAQUIL[[#This Row],[CODIGO]]="","",$K$6)</f>
        <v>GUAYAQUIL</v>
      </c>
      <c r="G256" s="42">
        <f>IF(GUAYAQUIL[[#This Row],[CODIGO]]="","",7711)</f>
        <v>7711</v>
      </c>
      <c r="H256" s="42">
        <f>IF(GUAYAQUIL[[#This Row],[CODIGO]]="","",1001)</f>
        <v>1001</v>
      </c>
      <c r="I256" s="258" t="s">
        <v>4678</v>
      </c>
      <c r="J256" s="25" t="str">
        <f>IFERROR((VLOOKUP(GUAYAQUIL[[#This Row],[CODIGO]],MAESTRO!A:B,2,FALSE)),"")</f>
        <v>Q ESPAR MOZZ KIOSKO DOYP 200G</v>
      </c>
      <c r="K256" s="35">
        <v>70</v>
      </c>
      <c r="L256" s="38">
        <f>+IFERROR(IF(GUAYAQUIL[[#This Row],[CODIGO]]="","",VLOOKUP(GUAYAQUIL[[#This Row],[CODIGO]],MAESTRO!$A:$BF,58,FALSE)),"")</f>
        <v>1</v>
      </c>
      <c r="M256" s="27">
        <f>+IFERROR(IF(GUAYAQUIL[[#This Row],[CODIGO]]="","",VLOOKUP(GUAYAQUIL[[#This Row],[CODIGO]],MAESTRO!A:N,14,FALSE)),"")</f>
        <v>0.2</v>
      </c>
      <c r="N256" s="28">
        <f>+IFERROR(IF(GUAYAQUIL[[#This Row],[CODIGO]]="","",VLOOKUP(GUAYAQUIL[[#This Row],[CODIGO]],MAESTRO!A:P,16,FALSE)),"")</f>
        <v>90</v>
      </c>
      <c r="O256" s="29">
        <v>45615</v>
      </c>
      <c r="P256" s="72" t="str">
        <f t="shared" si="15"/>
        <v>martes</v>
      </c>
      <c r="Q256" s="29">
        <f>IFERROR(IF(GUAYAQUIL[[#This Row],[CODIGO]]="","",IF(GUAYAQUIL[[#This Row],[Fecha Cad]]="","",(GUAYAQUIL[[#This Row],[Fecha Cad]]-GUAYAQUIL[[#This Row],[VIDA UTIL (Días)]]))+1),"")</f>
        <v>45603</v>
      </c>
      <c r="R256" s="29">
        <v>45692</v>
      </c>
      <c r="S256" s="30">
        <f t="shared" ca="1" si="16"/>
        <v>68</v>
      </c>
      <c r="T256" s="31">
        <f t="shared" ca="1" si="17"/>
        <v>0.75555555555555554</v>
      </c>
      <c r="U256" s="286">
        <v>70</v>
      </c>
      <c r="V256" s="261">
        <f>+IFERROR(IF(GUAYAQUIL[[#This Row],[CODIGO]]="","",GUAYAQUIL[[#This Row],[Stock Actual Unds]]*GUAYAQUIL[[#This Row],[Gramaje]]*GUAYAQUIL[[#This Row],[Conversión]]),"")</f>
        <v>14</v>
      </c>
      <c r="W256" s="270">
        <f t="shared" si="18"/>
        <v>12</v>
      </c>
      <c r="X256" s="32">
        <f t="shared" si="19"/>
        <v>0.8666666666666667</v>
      </c>
      <c r="Y256" s="236">
        <f>IFERROR(VLOOKUP(GUAYAQUIL[[#This Row],[CODIGO]],MAESTRO!A:BI,21,FALSE),0)</f>
        <v>0.37625999999999998</v>
      </c>
      <c r="Z256" s="237">
        <f>+IFERROR(IF(GUAYAQUIL[[#This Row],[CODIGO]]="","",GUAYAQUIL[[#This Row],[COSTO UNIT base]]*GUAYAQUIL[[#This Row],[Conversión]]),"")</f>
        <v>0.37625999999999998</v>
      </c>
      <c r="AA256" s="236">
        <f>+IFERROR(IF(GUAYAQUIL[[#This Row],[CODIGO]]="","",GUAYAQUIL[[#This Row],[COSTO UNIT Conv]]*GUAYAQUIL[[#This Row],[Stock Actual Kgs]]),"")</f>
        <v>5.2676400000000001</v>
      </c>
      <c r="AB256" s="33">
        <f ca="1">+IFERROR(IF(GUAYAQUIL[[#This Row],[CODIGO]]="","",$J$3-O256),"")</f>
        <v>9</v>
      </c>
      <c r="AC256" s="34" t="str">
        <f ca="1">IF(GUAYAQUIL[[#This Row],[CODIGO]]="","",IF(S256&lt;=0,"CADUCADO",IF(AND(S256&gt;0,S256&lt;=21),"FECHA CORTA",IF(AND(S256&gt;=22,S256&lt;=26),"PROXIMOS FECHA CORTA", "VIGENTE"))))</f>
        <v>VIGENTE</v>
      </c>
      <c r="AD256" s="37">
        <f>+IF(GUAYAQUIL[[#This Row],[CODIGO]]="","",GUAYAQUIL[[#This Row],[Stock Actual Unds]]*GUAYAQUIL[[#This Row],[Gramaje]]*GUAYAQUIL[[#This Row],[Conversión]])/1000</f>
        <v>1.4E-2</v>
      </c>
    </row>
    <row r="257" spans="1:30">
      <c r="A257" s="24" t="str">
        <f>+IFERROR(IF(GUAYAQUIL[[#This Row],[CODIGO]]="","",VLOOKUP(GUAYAQUIL[[#This Row],[CODIGO]],MAESTRO!$A:$J,10,FALSE)),"")</f>
        <v>SAN GABRIEL</v>
      </c>
      <c r="B257" s="24" t="str">
        <f>+IFERROR(IF(GUAYAQUIL[[#This Row],[CODIGO]]="","",VLOOKUP(GUAYAQUIL[[#This Row],[CODIGO]],MAESTRO!$A:$Q,17,FALSE)),"")</f>
        <v>QUESOS Y GRASAS</v>
      </c>
      <c r="C257" s="24" t="str">
        <f>+IFERROR(IF(GUAYAQUIL[[#This Row],[CODIGO]]="","",VLOOKUP(GUAYAQUIL[[#This Row],[CODIGO]],MAESTRO!$A:$BA,53,FALSE)),"")</f>
        <v xml:space="preserve">Esteban Montenegro                      </v>
      </c>
      <c r="D257" s="24" t="str">
        <f>+IFERROR(IF(GUAYAQUIL[[#This Row],[CODIGO]]="","",VLOOKUP(GUAYAQUIL[[#This Row],[CODIGO]],MAESTRO!$A:$D,4,FALSE)),"")</f>
        <v>QUESO FUNDIDO</v>
      </c>
      <c r="E257" s="24" t="str">
        <f>+IFERROR(IF(GUAYAQUIL[[#This Row],[CODIGO]]="","",VLOOKUP(GUAYAQUIL[[#This Row],[CODIGO]],MAESTRO!$A:$F,6,FALSE)),"")</f>
        <v>QUESO FUNDIDO</v>
      </c>
      <c r="F257" s="42" t="str">
        <f>IF(GUAYAQUIL[[#This Row],[CODIGO]]="","",$K$6)</f>
        <v>GUAYAQUIL</v>
      </c>
      <c r="G257" s="209">
        <f>IF(GUAYAQUIL[[#This Row],[CODIGO]]="","",7711)</f>
        <v>7711</v>
      </c>
      <c r="H257" s="209">
        <f>IF(GUAYAQUIL[[#This Row],[CODIGO]]="","",1001)</f>
        <v>1001</v>
      </c>
      <c r="I257" s="258" t="s">
        <v>4678</v>
      </c>
      <c r="J257" s="25" t="str">
        <f>IFERROR((VLOOKUP(GUAYAQUIL[[#This Row],[CODIGO]],MAESTRO!A:B,2,FALSE)),"")</f>
        <v>Q ESPAR MOZZ KIOSKO DOYP 200G</v>
      </c>
      <c r="K257" s="35">
        <v>70</v>
      </c>
      <c r="L257" s="38">
        <f>+IFERROR(IF(GUAYAQUIL[[#This Row],[CODIGO]]="","",VLOOKUP(GUAYAQUIL[[#This Row],[CODIGO]],MAESTRO!$A:$BF,58,FALSE)),"")</f>
        <v>1</v>
      </c>
      <c r="M257" s="27">
        <f>+IFERROR(IF(GUAYAQUIL[[#This Row],[CODIGO]]="","",VLOOKUP(GUAYAQUIL[[#This Row],[CODIGO]],MAESTRO!A:N,14,FALSE)),"")</f>
        <v>0.2</v>
      </c>
      <c r="N257" s="28">
        <f>+IFERROR(IF(GUAYAQUIL[[#This Row],[CODIGO]]="","",VLOOKUP(GUAYAQUIL[[#This Row],[CODIGO]],MAESTRO!A:P,16,FALSE)),"")</f>
        <v>90</v>
      </c>
      <c r="O257" s="29">
        <v>45616</v>
      </c>
      <c r="P257" s="72" t="str">
        <f t="shared" si="15"/>
        <v>miércoles</v>
      </c>
      <c r="Q257" s="29">
        <f>IFERROR(IF(GUAYAQUIL[[#This Row],[CODIGO]]="","",IF(GUAYAQUIL[[#This Row],[Fecha Cad]]="","",(GUAYAQUIL[[#This Row],[Fecha Cad]]-GUAYAQUIL[[#This Row],[VIDA UTIL (Días)]]))+1),"")</f>
        <v>45603</v>
      </c>
      <c r="R257" s="29">
        <v>45692</v>
      </c>
      <c r="S257" s="30">
        <f t="shared" ca="1" si="16"/>
        <v>68</v>
      </c>
      <c r="T257" s="31">
        <f t="shared" ca="1" si="17"/>
        <v>0.75555555555555554</v>
      </c>
      <c r="U257" s="286">
        <v>70</v>
      </c>
      <c r="V257" s="261">
        <f>+IFERROR(IF(GUAYAQUIL[[#This Row],[CODIGO]]="","",GUAYAQUIL[[#This Row],[Stock Actual Unds]]*GUAYAQUIL[[#This Row],[Gramaje]]*GUAYAQUIL[[#This Row],[Conversión]]),"")</f>
        <v>14</v>
      </c>
      <c r="W257" s="270">
        <f t="shared" si="18"/>
        <v>13</v>
      </c>
      <c r="X257" s="32">
        <f t="shared" si="19"/>
        <v>0.85555555555555562</v>
      </c>
      <c r="Y257" s="236">
        <f>IFERROR(VLOOKUP(GUAYAQUIL[[#This Row],[CODIGO]],MAESTRO!A:BI,21,FALSE),0)</f>
        <v>0.37625999999999998</v>
      </c>
      <c r="Z257" s="237">
        <f>+IFERROR(IF(GUAYAQUIL[[#This Row],[CODIGO]]="","",GUAYAQUIL[[#This Row],[COSTO UNIT base]]*GUAYAQUIL[[#This Row],[Conversión]]),"")</f>
        <v>0.37625999999999998</v>
      </c>
      <c r="AA257" s="236">
        <f>+IFERROR(IF(GUAYAQUIL[[#This Row],[CODIGO]]="","",GUAYAQUIL[[#This Row],[COSTO UNIT Conv]]*GUAYAQUIL[[#This Row],[Stock Actual Kgs]]),"")</f>
        <v>5.2676400000000001</v>
      </c>
      <c r="AB257" s="33">
        <f ca="1">+IFERROR(IF(GUAYAQUIL[[#This Row],[CODIGO]]="","",$J$3-O257),"")</f>
        <v>8</v>
      </c>
      <c r="AC257" s="34" t="str">
        <f ca="1">IF(GUAYAQUIL[[#This Row],[CODIGO]]="","",IF(S257&lt;=0,"CADUCADO",IF(AND(S257&gt;0,S257&lt;=21),"FECHA CORTA",IF(AND(S257&gt;=22,S257&lt;=26),"PROXIMOS FECHA CORTA", "VIGENTE"))))</f>
        <v>VIGENTE</v>
      </c>
      <c r="AD257" s="37">
        <f>+IF(GUAYAQUIL[[#This Row],[CODIGO]]="","",GUAYAQUIL[[#This Row],[Stock Actual Unds]]*GUAYAQUIL[[#This Row],[Gramaje]]*GUAYAQUIL[[#This Row],[Conversión]])/1000</f>
        <v>1.4E-2</v>
      </c>
    </row>
    <row r="258" spans="1:30">
      <c r="A258" s="24" t="str">
        <f>+IFERROR(IF(GUAYAQUIL[[#This Row],[CODIGO]]="","",VLOOKUP(GUAYAQUIL[[#This Row],[CODIGO]],MAESTRO!$A:$J,10,FALSE)),"")</f>
        <v>SAN GABRIEL</v>
      </c>
      <c r="B258" s="24" t="str">
        <f>+IFERROR(IF(GUAYAQUIL[[#This Row],[CODIGO]]="","",VLOOKUP(GUAYAQUIL[[#This Row],[CODIGO]],MAESTRO!$A:$Q,17,FALSE)),"")</f>
        <v>QUESOS Y GRASAS</v>
      </c>
      <c r="C258" s="24" t="str">
        <f>+IFERROR(IF(GUAYAQUIL[[#This Row],[CODIGO]]="","",VLOOKUP(GUAYAQUIL[[#This Row],[CODIGO]],MAESTRO!$A:$BA,53,FALSE)),"")</f>
        <v xml:space="preserve">Esteban Montenegro                      </v>
      </c>
      <c r="D258" s="24" t="str">
        <f>+IFERROR(IF(GUAYAQUIL[[#This Row],[CODIGO]]="","",VLOOKUP(GUAYAQUIL[[#This Row],[CODIGO]],MAESTRO!$A:$D,4,FALSE)),"")</f>
        <v>QUESO SEMIMADURO KIOSKO</v>
      </c>
      <c r="E258" s="24" t="str">
        <f>+IFERROR(IF(GUAYAQUIL[[#This Row],[CODIGO]]="","",VLOOKUP(GUAYAQUIL[[#This Row],[CODIGO]],MAESTRO!$A:$F,6,FALSE)),"")</f>
        <v>QUESO JAVIERINO KIOSKO TAJADO</v>
      </c>
      <c r="F258" s="42" t="str">
        <f>IF(GUAYAQUIL[[#This Row],[CODIGO]]="","",$K$6)</f>
        <v>GUAYAQUIL</v>
      </c>
      <c r="G258" s="42">
        <f>IF(GUAYAQUIL[[#This Row],[CODIGO]]="","",7711)</f>
        <v>7711</v>
      </c>
      <c r="H258" s="42">
        <f>IF(GUAYAQUIL[[#This Row],[CODIGO]]="","",1001)</f>
        <v>1001</v>
      </c>
      <c r="I258" s="258" t="s">
        <v>2214</v>
      </c>
      <c r="J258" s="25" t="str">
        <f>IFERROR((VLOOKUP(GUAYAQUIL[[#This Row],[CODIGO]],MAESTRO!A:B,2,FALSE)),"")</f>
        <v>Q JAVIER KIOSKO 20 LONJ 300G</v>
      </c>
      <c r="K258" s="35">
        <v>2080</v>
      </c>
      <c r="L258" s="38">
        <f>+IFERROR(IF(GUAYAQUIL[[#This Row],[CODIGO]]="","",VLOOKUP(GUAYAQUIL[[#This Row],[CODIGO]],MAESTRO!$A:$BF,58,FALSE)),"")</f>
        <v>1</v>
      </c>
      <c r="M258" s="27">
        <f>+IFERROR(IF(GUAYAQUIL[[#This Row],[CODIGO]]="","",VLOOKUP(GUAYAQUIL[[#This Row],[CODIGO]],MAESTRO!A:N,14,FALSE)),"")</f>
        <v>0.3</v>
      </c>
      <c r="N258" s="28">
        <f>+IFERROR(IF(GUAYAQUIL[[#This Row],[CODIGO]]="","",VLOOKUP(GUAYAQUIL[[#This Row],[CODIGO]],MAESTRO!A:P,16,FALSE)),"")</f>
        <v>90</v>
      </c>
      <c r="O258" s="29">
        <v>45616</v>
      </c>
      <c r="P258" s="72" t="str">
        <f t="shared" si="15"/>
        <v>miércoles</v>
      </c>
      <c r="Q258" s="29">
        <f>IFERROR(IF(GUAYAQUIL[[#This Row],[CODIGO]]="","",IF(GUAYAQUIL[[#This Row],[Fecha Cad]]="","",(GUAYAQUIL[[#This Row],[Fecha Cad]]-GUAYAQUIL[[#This Row],[VIDA UTIL (Días)]]))+1),"")</f>
        <v>45615</v>
      </c>
      <c r="R258" s="29">
        <v>45704</v>
      </c>
      <c r="S258" s="30">
        <f t="shared" ca="1" si="16"/>
        <v>80</v>
      </c>
      <c r="T258" s="31">
        <f t="shared" ca="1" si="17"/>
        <v>0.88888888888888884</v>
      </c>
      <c r="U258" s="286">
        <v>1122</v>
      </c>
      <c r="V258" s="261">
        <f>+IFERROR(IF(GUAYAQUIL[[#This Row],[CODIGO]]="","",GUAYAQUIL[[#This Row],[Stock Actual Unds]]*GUAYAQUIL[[#This Row],[Gramaje]]*GUAYAQUIL[[#This Row],[Conversión]]),"")</f>
        <v>336.59999999999997</v>
      </c>
      <c r="W258" s="270">
        <f t="shared" si="18"/>
        <v>1</v>
      </c>
      <c r="X258" s="32">
        <f t="shared" si="19"/>
        <v>0.98888888888888893</v>
      </c>
      <c r="Y258" s="236">
        <f>IFERROR(VLOOKUP(GUAYAQUIL[[#This Row],[CODIGO]],MAESTRO!A:BI,21,FALSE),0)</f>
        <v>2.4084500000000002</v>
      </c>
      <c r="Z258" s="237">
        <f>+IFERROR(IF(GUAYAQUIL[[#This Row],[CODIGO]]="","",GUAYAQUIL[[#This Row],[COSTO UNIT base]]*GUAYAQUIL[[#This Row],[Conversión]]),"")</f>
        <v>2.4084500000000002</v>
      </c>
      <c r="AA258" s="236">
        <f>+IFERROR(IF(GUAYAQUIL[[#This Row],[CODIGO]]="","",GUAYAQUIL[[#This Row],[COSTO UNIT Conv]]*GUAYAQUIL[[#This Row],[Stock Actual Kgs]]),"")</f>
        <v>810.68426999999997</v>
      </c>
      <c r="AB258" s="33">
        <f ca="1">+IFERROR(IF(GUAYAQUIL[[#This Row],[CODIGO]]="","",$J$3-O258),"")</f>
        <v>8</v>
      </c>
      <c r="AC258" s="34" t="str">
        <f ca="1">IF(GUAYAQUIL[[#This Row],[CODIGO]]="","",IF(S258&lt;=0,"CADUCADO",IF(AND(S258&gt;0,S258&lt;=21),"FECHA CORTA",IF(AND(S258&gt;=22,S258&lt;=26),"PROXIMOS FECHA CORTA", "VIGENTE"))))</f>
        <v>VIGENTE</v>
      </c>
      <c r="AD258" s="37">
        <f>+IF(GUAYAQUIL[[#This Row],[CODIGO]]="","",GUAYAQUIL[[#This Row],[Stock Actual Unds]]*GUAYAQUIL[[#This Row],[Gramaje]]*GUAYAQUIL[[#This Row],[Conversión]])/1000</f>
        <v>0.33659999999999995</v>
      </c>
    </row>
    <row r="259" spans="1:30">
      <c r="A259" s="24" t="str">
        <f>+IFERROR(IF(GUAYAQUIL[[#This Row],[CODIGO]]="","",VLOOKUP(GUAYAQUIL[[#This Row],[CODIGO]],MAESTRO!$A:$J,10,FALSE)),"")</f>
        <v>SAN GABRIEL</v>
      </c>
      <c r="B259" s="24" t="str">
        <f>+IFERROR(IF(GUAYAQUIL[[#This Row],[CODIGO]]="","",VLOOKUP(GUAYAQUIL[[#This Row],[CODIGO]],MAESTRO!$A:$Q,17,FALSE)),"")</f>
        <v>QUESOS Y GRASAS</v>
      </c>
      <c r="C259" s="24" t="str">
        <f>+IFERROR(IF(GUAYAQUIL[[#This Row],[CODIGO]]="","",VLOOKUP(GUAYAQUIL[[#This Row],[CODIGO]],MAESTRO!$A:$BA,53,FALSE)),"")</f>
        <v xml:space="preserve">Esteban Montenegro                      </v>
      </c>
      <c r="D259" s="24" t="str">
        <f>+IFERROR(IF(GUAYAQUIL[[#This Row],[CODIGO]]="","",VLOOKUP(GUAYAQUIL[[#This Row],[CODIGO]],MAESTRO!$A:$D,4,FALSE)),"")</f>
        <v>QUESO SEMIMADURO KIOSKO</v>
      </c>
      <c r="E259" s="24" t="str">
        <f>+IFERROR(IF(GUAYAQUIL[[#This Row],[CODIGO]]="","",VLOOKUP(GUAYAQUIL[[#This Row],[CODIGO]],MAESTRO!$A:$F,6,FALSE)),"")</f>
        <v>QUESO JAVIERINO KIOSKO TAJADO</v>
      </c>
      <c r="F259" s="42" t="str">
        <f>IF(GUAYAQUIL[[#This Row],[CODIGO]]="","",$K$6)</f>
        <v>GUAYAQUIL</v>
      </c>
      <c r="G259" s="209">
        <f>IF(GUAYAQUIL[[#This Row],[CODIGO]]="","",7711)</f>
        <v>7711</v>
      </c>
      <c r="H259" s="209">
        <f>IF(GUAYAQUIL[[#This Row],[CODIGO]]="","",1001)</f>
        <v>1001</v>
      </c>
      <c r="I259" s="257" t="s">
        <v>2214</v>
      </c>
      <c r="J259" s="25" t="str">
        <f>IFERROR((VLOOKUP(GUAYAQUIL[[#This Row],[CODIGO]],MAESTRO!A:B,2,FALSE)),"")</f>
        <v>Q JAVIER KIOSKO 20 LONJ 300G</v>
      </c>
      <c r="K259" s="26">
        <v>75</v>
      </c>
      <c r="L259" s="38">
        <f>+IFERROR(IF(GUAYAQUIL[[#This Row],[CODIGO]]="","",VLOOKUP(GUAYAQUIL[[#This Row],[CODIGO]],MAESTRO!$A:$BF,58,FALSE)),"")</f>
        <v>1</v>
      </c>
      <c r="M259" s="27">
        <f>+IFERROR(IF(GUAYAQUIL[[#This Row],[CODIGO]]="","",VLOOKUP(GUAYAQUIL[[#This Row],[CODIGO]],MAESTRO!A:N,14,FALSE)),"")</f>
        <v>0.3</v>
      </c>
      <c r="N259" s="28">
        <f>+IFERROR(IF(GUAYAQUIL[[#This Row],[CODIGO]]="","",VLOOKUP(GUAYAQUIL[[#This Row],[CODIGO]],MAESTRO!A:P,16,FALSE)),"")</f>
        <v>90</v>
      </c>
      <c r="O259" s="29">
        <v>45617</v>
      </c>
      <c r="P259" s="72" t="str">
        <f t="shared" si="15"/>
        <v>jueves</v>
      </c>
      <c r="Q259" s="29">
        <f>IFERROR(IF(GUAYAQUIL[[#This Row],[CODIGO]]="","",IF(GUAYAQUIL[[#This Row],[Fecha Cad]]="","",(GUAYAQUIL[[#This Row],[Fecha Cad]]-GUAYAQUIL[[#This Row],[VIDA UTIL (Días)]]))+1),"")</f>
        <v>45615</v>
      </c>
      <c r="R259" s="29">
        <v>45704</v>
      </c>
      <c r="S259" s="30">
        <f t="shared" ca="1" si="16"/>
        <v>80</v>
      </c>
      <c r="T259" s="31">
        <f t="shared" ca="1" si="17"/>
        <v>0.88888888888888884</v>
      </c>
      <c r="U259" s="286">
        <v>75</v>
      </c>
      <c r="V259" s="260">
        <f>+IFERROR(IF(GUAYAQUIL[[#This Row],[CODIGO]]="","",GUAYAQUIL[[#This Row],[Stock Actual Unds]]*GUAYAQUIL[[#This Row],[Gramaje]]*GUAYAQUIL[[#This Row],[Conversión]]),"")</f>
        <v>22.5</v>
      </c>
      <c r="W259" s="270">
        <f t="shared" si="18"/>
        <v>2</v>
      </c>
      <c r="X259" s="32">
        <f t="shared" si="19"/>
        <v>0.97777777777777775</v>
      </c>
      <c r="Y259" s="236">
        <f>IFERROR(VLOOKUP(GUAYAQUIL[[#This Row],[CODIGO]],MAESTRO!A:BI,21,FALSE),0)</f>
        <v>2.4084500000000002</v>
      </c>
      <c r="Z259" s="237">
        <f>+IFERROR(IF(GUAYAQUIL[[#This Row],[CODIGO]]="","",GUAYAQUIL[[#This Row],[COSTO UNIT base]]*GUAYAQUIL[[#This Row],[Conversión]]),"")</f>
        <v>2.4084500000000002</v>
      </c>
      <c r="AA259" s="236">
        <f>+IFERROR(IF(GUAYAQUIL[[#This Row],[CODIGO]]="","",GUAYAQUIL[[#This Row],[COSTO UNIT Conv]]*GUAYAQUIL[[#This Row],[Stock Actual Kgs]]),"")</f>
        <v>54.190125000000002</v>
      </c>
      <c r="AB259" s="33">
        <f ca="1">+IFERROR(IF(GUAYAQUIL[[#This Row],[CODIGO]]="","",$J$3-O259),"")</f>
        <v>7</v>
      </c>
      <c r="AC259" s="34" t="str">
        <f ca="1">IF(GUAYAQUIL[[#This Row],[CODIGO]]="","",IF(S259&lt;=0,"CADUCADO",IF(AND(S259&gt;0,S259&lt;=21),"FECHA CORTA",IF(AND(S259&gt;=22,S259&lt;=26),"PROXIMOS FECHA CORTA", "VIGENTE"))))</f>
        <v>VIGENTE</v>
      </c>
      <c r="AD259" s="37">
        <f>+IF(GUAYAQUIL[[#This Row],[CODIGO]]="","",GUAYAQUIL[[#This Row],[Stock Actual Unds]]*GUAYAQUIL[[#This Row],[Gramaje]]*GUAYAQUIL[[#This Row],[Conversión]])/1000</f>
        <v>2.2499999999999999E-2</v>
      </c>
    </row>
    <row r="260" spans="1:30">
      <c r="A260" s="42" t="str">
        <f>+IFERROR(IF(GUAYAQUIL[[#This Row],[CODIGO]]="","",VLOOKUP(GUAYAQUIL[[#This Row],[CODIGO]],MAESTRO!$A:$J,10,FALSE)),"")</f>
        <v>SAN GABRIEL</v>
      </c>
      <c r="B260" s="42" t="str">
        <f>+IFERROR(IF(GUAYAQUIL[[#This Row],[CODIGO]]="","",VLOOKUP(GUAYAQUIL[[#This Row],[CODIGO]],MAESTRO!$A:$Q,17,FALSE)),"")</f>
        <v>QUESOS Y GRASAS</v>
      </c>
      <c r="C260" s="42" t="str">
        <f>+IFERROR(IF(GUAYAQUIL[[#This Row],[CODIGO]]="","",VLOOKUP(GUAYAQUIL[[#This Row],[CODIGO]],MAESTRO!$A:$BA,53,FALSE)),"")</f>
        <v xml:space="preserve">Esteban Montenegro                      </v>
      </c>
      <c r="D260" s="42" t="str">
        <f>+IFERROR(IF(GUAYAQUIL[[#This Row],[CODIGO]]="","",VLOOKUP(GUAYAQUIL[[#This Row],[CODIGO]],MAESTRO!$A:$D,4,FALSE)),"")</f>
        <v>QUESO SEMIMADURO KIOSKO</v>
      </c>
      <c r="E260" s="42" t="str">
        <f>+IFERROR(IF(GUAYAQUIL[[#This Row],[CODIGO]]="","",VLOOKUP(GUAYAQUIL[[#This Row],[CODIGO]],MAESTRO!$A:$F,6,FALSE)),"")</f>
        <v>QUESO SEMIMADURO HIERBAS KIOSKO BLOQUE</v>
      </c>
      <c r="F260" s="42" t="str">
        <f>IF(GUAYAQUIL[[#This Row],[CODIGO]]="","",$K$6)</f>
        <v>GUAYAQUIL</v>
      </c>
      <c r="G260" s="42">
        <f>IF(GUAYAQUIL[[#This Row],[CODIGO]]="","",7711)</f>
        <v>7711</v>
      </c>
      <c r="H260" s="42">
        <f>IF(GUAYAQUIL[[#This Row],[CODIGO]]="","",1001)</f>
        <v>1001</v>
      </c>
      <c r="I260" s="258" t="s">
        <v>736</v>
      </c>
      <c r="J260" s="25" t="str">
        <f>IFERROR((VLOOKUP(GUAYAQUIL[[#This Row],[CODIGO]],MAESTRO!A:B,2,FALSE)),"")</f>
        <v>Q HIERBAS KIOSKO AL PESO</v>
      </c>
      <c r="K260" s="35">
        <v>10</v>
      </c>
      <c r="L260" s="205">
        <f>+IFERROR(IF(GUAYAQUIL[[#This Row],[CODIGO]]="","",VLOOKUP(GUAYAQUIL[[#This Row],[CODIGO]],MAESTRO!$A:$BF,58,FALSE)),"")</f>
        <v>2.7</v>
      </c>
      <c r="M260" s="27">
        <f>+IFERROR(IF(GUAYAQUIL[[#This Row],[CODIGO]]="","",VLOOKUP(GUAYAQUIL[[#This Row],[CODIGO]],MAESTRO!A:N,14,FALSE)),"")</f>
        <v>1</v>
      </c>
      <c r="N260" s="290">
        <f>+IFERROR(IF(GUAYAQUIL[[#This Row],[CODIGO]]="","",VLOOKUP(GUAYAQUIL[[#This Row],[CODIGO]],MAESTRO!A:P,16,FALSE)),"")</f>
        <v>90</v>
      </c>
      <c r="O260" s="45">
        <v>45610</v>
      </c>
      <c r="P260" s="292" t="str">
        <f t="shared" si="15"/>
        <v>jueves</v>
      </c>
      <c r="Q260" s="278">
        <f>IFERROR(IF(GUAYAQUIL[[#This Row],[CODIGO]]="","",IF(GUAYAQUIL[[#This Row],[Fecha Cad]]="","",(GUAYAQUIL[[#This Row],[Fecha Cad]]-GUAYAQUIL[[#This Row],[VIDA UTIL (Días)]]))+1),"")</f>
        <v>45609</v>
      </c>
      <c r="R260" s="45">
        <v>45698</v>
      </c>
      <c r="S260" s="30">
        <f t="shared" ca="1" si="16"/>
        <v>74</v>
      </c>
      <c r="T260" s="294">
        <f t="shared" ca="1" si="17"/>
        <v>0.82222222222222219</v>
      </c>
      <c r="U260" s="286">
        <v>8</v>
      </c>
      <c r="V260" s="262">
        <f>+IFERROR(IF(GUAYAQUIL[[#This Row],[CODIGO]]="","",GUAYAQUIL[[#This Row],[Stock Actual Unds]]*GUAYAQUIL[[#This Row],[Gramaje]]*GUAYAQUIL[[#This Row],[Conversión]]),"")</f>
        <v>21.6</v>
      </c>
      <c r="W260" s="299">
        <f t="shared" si="18"/>
        <v>1</v>
      </c>
      <c r="X260" s="44">
        <f t="shared" si="19"/>
        <v>0.98888888888888893</v>
      </c>
      <c r="Y260" s="236">
        <f>IFERROR(VLOOKUP(GUAYAQUIL[[#This Row],[CODIGO]],MAESTRO!A:BI,21,FALSE),0)</f>
        <v>7.1118300000000003</v>
      </c>
      <c r="Z260" s="237">
        <f>+IFERROR(IF(GUAYAQUIL[[#This Row],[CODIGO]]="","",GUAYAQUIL[[#This Row],[COSTO UNIT base]]*GUAYAQUIL[[#This Row],[Conversión]]),"")</f>
        <v>19.201941000000001</v>
      </c>
      <c r="AA260" s="236">
        <f>+IFERROR(IF(GUAYAQUIL[[#This Row],[CODIGO]]="","",GUAYAQUIL[[#This Row],[COSTO UNIT Conv]]*GUAYAQUIL[[#This Row],[Stock Actual Kgs]]),"")</f>
        <v>414.76192560000004</v>
      </c>
      <c r="AB260" s="180">
        <f ca="1">+IFERROR(IF(GUAYAQUIL[[#This Row],[CODIGO]]="","",$J$3-O260),"")</f>
        <v>14</v>
      </c>
      <c r="AC260" s="35" t="str">
        <f ca="1">IF(GUAYAQUIL[[#This Row],[CODIGO]]="","",IF(S260&lt;=0,"CADUCADO",IF(AND(S260&gt;0,S260&lt;=21),"FECHA CORTA",IF(AND(S260&gt;=22,S260&lt;=26),"PROXIMOS FECHA CORTA", "VIGENTE"))))</f>
        <v>VIGENTE</v>
      </c>
      <c r="AD260" s="37">
        <f>+IF(GUAYAQUIL[[#This Row],[CODIGO]]="","",GUAYAQUIL[[#This Row],[Stock Actual Unds]]*GUAYAQUIL[[#This Row],[Gramaje]]*GUAYAQUIL[[#This Row],[Conversión]])/1000</f>
        <v>2.1600000000000001E-2</v>
      </c>
    </row>
    <row r="261" spans="1:30">
      <c r="A261" s="42" t="str">
        <f>+IFERROR(IF(GUAYAQUIL[[#This Row],[CODIGO]]="","",VLOOKUP(GUAYAQUIL[[#This Row],[CODIGO]],MAESTRO!$A:$J,10,FALSE)),"")</f>
        <v>SAN GABRIEL</v>
      </c>
      <c r="B261" s="42" t="str">
        <f>+IFERROR(IF(GUAYAQUIL[[#This Row],[CODIGO]]="","",VLOOKUP(GUAYAQUIL[[#This Row],[CODIGO]],MAESTRO!$A:$Q,17,FALSE)),"")</f>
        <v>QUESOS Y GRASAS</v>
      </c>
      <c r="C261" s="42" t="str">
        <f>+IFERROR(IF(GUAYAQUIL[[#This Row],[CODIGO]]="","",VLOOKUP(GUAYAQUIL[[#This Row],[CODIGO]],MAESTRO!$A:$BA,53,FALSE)),"")</f>
        <v xml:space="preserve">Esteban Montenegro                      </v>
      </c>
      <c r="D261" s="42" t="str">
        <f>+IFERROR(IF(GUAYAQUIL[[#This Row],[CODIGO]]="","",VLOOKUP(GUAYAQUIL[[#This Row],[CODIGO]],MAESTRO!$A:$D,4,FALSE)),"")</f>
        <v>QUESO SEMIMADURO KIOSKO</v>
      </c>
      <c r="E261" s="42" t="str">
        <f>+IFERROR(IF(GUAYAQUIL[[#This Row],[CODIGO]]="","",VLOOKUP(GUAYAQUIL[[#This Row],[CODIGO]],MAESTRO!$A:$F,6,FALSE)),"")</f>
        <v>QUESO SEMIMADURO HIERBAS KIOSKO BLOQUE</v>
      </c>
      <c r="F261" s="42" t="str">
        <f>IF(GUAYAQUIL[[#This Row],[CODIGO]]="","",$K$6)</f>
        <v>GUAYAQUIL</v>
      </c>
      <c r="G261" s="209">
        <f>IF(GUAYAQUIL[[#This Row],[CODIGO]]="","",7711)</f>
        <v>7711</v>
      </c>
      <c r="H261" s="209">
        <f>IF(GUAYAQUIL[[#This Row],[CODIGO]]="","",1001)</f>
        <v>1001</v>
      </c>
      <c r="I261" s="258" t="s">
        <v>736</v>
      </c>
      <c r="J261" s="25" t="str">
        <f>IFERROR((VLOOKUP(GUAYAQUIL[[#This Row],[CODIGO]],MAESTRO!A:B,2,FALSE)),"")</f>
        <v>Q HIERBAS KIOSKO AL PESO</v>
      </c>
      <c r="K261" s="35">
        <v>10</v>
      </c>
      <c r="L261" s="205">
        <f>+IFERROR(IF(GUAYAQUIL[[#This Row],[CODIGO]]="","",VLOOKUP(GUAYAQUIL[[#This Row],[CODIGO]],MAESTRO!$A:$BF,58,FALSE)),"")</f>
        <v>2.7</v>
      </c>
      <c r="M261" s="27">
        <f>+IFERROR(IF(GUAYAQUIL[[#This Row],[CODIGO]]="","",VLOOKUP(GUAYAQUIL[[#This Row],[CODIGO]],MAESTRO!A:N,14,FALSE)),"")</f>
        <v>1</v>
      </c>
      <c r="N261" s="290">
        <f>+IFERROR(IF(GUAYAQUIL[[#This Row],[CODIGO]]="","",VLOOKUP(GUAYAQUIL[[#This Row],[CODIGO]],MAESTRO!A:P,16,FALSE)),"")</f>
        <v>90</v>
      </c>
      <c r="O261" s="45">
        <v>45616</v>
      </c>
      <c r="P261" s="292" t="str">
        <f t="shared" si="15"/>
        <v>miércoles</v>
      </c>
      <c r="Q261" s="278">
        <f>IFERROR(IF(GUAYAQUIL[[#This Row],[CODIGO]]="","",IF(GUAYAQUIL[[#This Row],[Fecha Cad]]="","",(GUAYAQUIL[[#This Row],[Fecha Cad]]-GUAYAQUIL[[#This Row],[VIDA UTIL (Días)]]))+1),"")</f>
        <v>45609</v>
      </c>
      <c r="R261" s="45">
        <v>45698</v>
      </c>
      <c r="S261" s="30">
        <f t="shared" ca="1" si="16"/>
        <v>74</v>
      </c>
      <c r="T261" s="294">
        <f t="shared" ca="1" si="17"/>
        <v>0.82222222222222219</v>
      </c>
      <c r="U261" s="286">
        <v>10</v>
      </c>
      <c r="V261" s="262">
        <f>+IFERROR(IF(GUAYAQUIL[[#This Row],[CODIGO]]="","",GUAYAQUIL[[#This Row],[Stock Actual Unds]]*GUAYAQUIL[[#This Row],[Gramaje]]*GUAYAQUIL[[#This Row],[Conversión]]),"")</f>
        <v>27</v>
      </c>
      <c r="W261" s="299">
        <f t="shared" si="18"/>
        <v>7</v>
      </c>
      <c r="X261" s="44">
        <f t="shared" si="19"/>
        <v>0.92222222222222228</v>
      </c>
      <c r="Y261" s="236">
        <f>IFERROR(VLOOKUP(GUAYAQUIL[[#This Row],[CODIGO]],MAESTRO!A:BI,21,FALSE),0)</f>
        <v>7.1118300000000003</v>
      </c>
      <c r="Z261" s="237">
        <f>+IFERROR(IF(GUAYAQUIL[[#This Row],[CODIGO]]="","",GUAYAQUIL[[#This Row],[COSTO UNIT base]]*GUAYAQUIL[[#This Row],[Conversión]]),"")</f>
        <v>19.201941000000001</v>
      </c>
      <c r="AA261" s="236">
        <f>+IFERROR(IF(GUAYAQUIL[[#This Row],[CODIGO]]="","",GUAYAQUIL[[#This Row],[COSTO UNIT Conv]]*GUAYAQUIL[[#This Row],[Stock Actual Kgs]]),"")</f>
        <v>518.45240699999999</v>
      </c>
      <c r="AB261" s="180">
        <f ca="1">+IFERROR(IF(GUAYAQUIL[[#This Row],[CODIGO]]="","",$J$3-O261),"")</f>
        <v>8</v>
      </c>
      <c r="AC261" s="35" t="str">
        <f ca="1">IF(GUAYAQUIL[[#This Row],[CODIGO]]="","",IF(S261&lt;=0,"CADUCADO",IF(AND(S261&gt;0,S261&lt;=21),"FECHA CORTA",IF(AND(S261&gt;=22,S261&lt;=26),"PROXIMOS FECHA CORTA", "VIGENTE"))))</f>
        <v>VIGENTE</v>
      </c>
      <c r="AD261" s="37">
        <f>+IF(GUAYAQUIL[[#This Row],[CODIGO]]="","",GUAYAQUIL[[#This Row],[Stock Actual Unds]]*GUAYAQUIL[[#This Row],[Gramaje]]*GUAYAQUIL[[#This Row],[Conversión]])/1000</f>
        <v>2.7E-2</v>
      </c>
    </row>
    <row r="262" spans="1:30">
      <c r="A262" s="24" t="str">
        <f>+IFERROR(IF(GUAYAQUIL[[#This Row],[CODIGO]]="","",VLOOKUP(GUAYAQUIL[[#This Row],[CODIGO]],MAESTRO!$A:$J,10,FALSE)),"")</f>
        <v>SAN GABRIEL</v>
      </c>
      <c r="B262" s="24" t="str">
        <f>+IFERROR(IF(GUAYAQUIL[[#This Row],[CODIGO]]="","",VLOOKUP(GUAYAQUIL[[#This Row],[CODIGO]],MAESTRO!$A:$Q,17,FALSE)),"")</f>
        <v>QUESOS Y GRASAS</v>
      </c>
      <c r="C262" s="24" t="str">
        <f>+IFERROR(IF(GUAYAQUIL[[#This Row],[CODIGO]]="","",VLOOKUP(GUAYAQUIL[[#This Row],[CODIGO]],MAESTRO!$A:$BA,53,FALSE)),"")</f>
        <v xml:space="preserve">Esteban Montenegro                      </v>
      </c>
      <c r="D262" s="24" t="str">
        <f>+IFERROR(IF(GUAYAQUIL[[#This Row],[CODIGO]]="","",VLOOKUP(GUAYAQUIL[[#This Row],[CODIGO]],MAESTRO!$A:$D,4,FALSE)),"")</f>
        <v>QUESO SEMIMADURO KIOSKO</v>
      </c>
      <c r="E262" s="24" t="str">
        <f>+IFERROR(IF(GUAYAQUIL[[#This Row],[CODIGO]]="","",VLOOKUP(GUAYAQUIL[[#This Row],[CODIGO]],MAESTRO!$A:$F,6,FALSE)),"")</f>
        <v>QUESO SEMIMADURO HIERBAS KIOSKO BLOQUE</v>
      </c>
      <c r="F262" s="42" t="str">
        <f>IF(GUAYAQUIL[[#This Row],[CODIGO]]="","",$K$6)</f>
        <v>GUAYAQUIL</v>
      </c>
      <c r="G262" s="42">
        <f>IF(GUAYAQUIL[[#This Row],[CODIGO]]="","",7711)</f>
        <v>7711</v>
      </c>
      <c r="H262" s="42">
        <f>IF(GUAYAQUIL[[#This Row],[CODIGO]]="","",1001)</f>
        <v>1001</v>
      </c>
      <c r="I262" s="257" t="s">
        <v>736</v>
      </c>
      <c r="J262" s="25" t="str">
        <f>IFERROR((VLOOKUP(GUAYAQUIL[[#This Row],[CODIGO]],MAESTRO!A:B,2,FALSE)),"")</f>
        <v>Q HIERBAS KIOSKO AL PESO</v>
      </c>
      <c r="K262" s="26">
        <v>10</v>
      </c>
      <c r="L262" s="38">
        <f>+IFERROR(IF(GUAYAQUIL[[#This Row],[CODIGO]]="","",VLOOKUP(GUAYAQUIL[[#This Row],[CODIGO]],MAESTRO!$A:$BF,58,FALSE)),"")</f>
        <v>2.7</v>
      </c>
      <c r="M262" s="27">
        <f>+IFERROR(IF(GUAYAQUIL[[#This Row],[CODIGO]]="","",VLOOKUP(GUAYAQUIL[[#This Row],[CODIGO]],MAESTRO!A:N,14,FALSE)),"")</f>
        <v>1</v>
      </c>
      <c r="N262" s="28">
        <f>+IFERROR(IF(GUAYAQUIL[[#This Row],[CODIGO]]="","",VLOOKUP(GUAYAQUIL[[#This Row],[CODIGO]],MAESTRO!A:P,16,FALSE)),"")</f>
        <v>90</v>
      </c>
      <c r="O262" s="29">
        <v>45617</v>
      </c>
      <c r="P262" s="72" t="str">
        <f t="shared" si="15"/>
        <v>jueves</v>
      </c>
      <c r="Q262" s="29">
        <f>IFERROR(IF(GUAYAQUIL[[#This Row],[CODIGO]]="","",IF(GUAYAQUIL[[#This Row],[Fecha Cad]]="","",(GUAYAQUIL[[#This Row],[Fecha Cad]]-GUAYAQUIL[[#This Row],[VIDA UTIL (Días)]]))+1),"")</f>
        <v>45609</v>
      </c>
      <c r="R262" s="29">
        <v>45698</v>
      </c>
      <c r="S262" s="30">
        <f t="shared" ca="1" si="16"/>
        <v>74</v>
      </c>
      <c r="T262" s="31">
        <f t="shared" ca="1" si="17"/>
        <v>0.82222222222222219</v>
      </c>
      <c r="U262" s="286">
        <v>10</v>
      </c>
      <c r="V262" s="260">
        <f>+IFERROR(IF(GUAYAQUIL[[#This Row],[CODIGO]]="","",GUAYAQUIL[[#This Row],[Stock Actual Unds]]*GUAYAQUIL[[#This Row],[Gramaje]]*GUAYAQUIL[[#This Row],[Conversión]]),"")</f>
        <v>27</v>
      </c>
      <c r="W262" s="270">
        <f t="shared" si="18"/>
        <v>8</v>
      </c>
      <c r="X262" s="32">
        <f t="shared" si="19"/>
        <v>0.91111111111111109</v>
      </c>
      <c r="Y262" s="236">
        <f>IFERROR(VLOOKUP(GUAYAQUIL[[#This Row],[CODIGO]],MAESTRO!A:BI,21,FALSE),0)</f>
        <v>7.1118300000000003</v>
      </c>
      <c r="Z262" s="237">
        <f>+IFERROR(IF(GUAYAQUIL[[#This Row],[CODIGO]]="","",GUAYAQUIL[[#This Row],[COSTO UNIT base]]*GUAYAQUIL[[#This Row],[Conversión]]),"")</f>
        <v>19.201941000000001</v>
      </c>
      <c r="AA262" s="236">
        <f>+IFERROR(IF(GUAYAQUIL[[#This Row],[CODIGO]]="","",GUAYAQUIL[[#This Row],[COSTO UNIT Conv]]*GUAYAQUIL[[#This Row],[Stock Actual Kgs]]),"")</f>
        <v>518.45240699999999</v>
      </c>
      <c r="AB262" s="33">
        <f ca="1">+IFERROR(IF(GUAYAQUIL[[#This Row],[CODIGO]]="","",$J$3-O262),"")</f>
        <v>7</v>
      </c>
      <c r="AC262" s="34" t="str">
        <f ca="1">IF(GUAYAQUIL[[#This Row],[CODIGO]]="","",IF(S262&lt;=0,"CADUCADO",IF(AND(S262&gt;0,S262&lt;=21),"FECHA CORTA",IF(AND(S262&gt;=22,S262&lt;=26),"PROXIMOS FECHA CORTA", "VIGENTE"))))</f>
        <v>VIGENTE</v>
      </c>
      <c r="AD262" s="37">
        <f>+IF(GUAYAQUIL[[#This Row],[CODIGO]]="","",GUAYAQUIL[[#This Row],[Stock Actual Unds]]*GUAYAQUIL[[#This Row],[Gramaje]]*GUAYAQUIL[[#This Row],[Conversión]])/1000</f>
        <v>2.7E-2</v>
      </c>
    </row>
    <row r="263" spans="1:30">
      <c r="A263" s="24" t="str">
        <f>+IFERROR(IF(GUAYAQUIL[[#This Row],[CODIGO]]="","",VLOOKUP(GUAYAQUIL[[#This Row],[CODIGO]],MAESTRO!$A:$J,10,FALSE)),"")</f>
        <v>SAN GABRIEL</v>
      </c>
      <c r="B263" s="24" t="str">
        <f>+IFERROR(IF(GUAYAQUIL[[#This Row],[CODIGO]]="","",VLOOKUP(GUAYAQUIL[[#This Row],[CODIGO]],MAESTRO!$A:$Q,17,FALSE)),"")</f>
        <v>POSTRES</v>
      </c>
      <c r="C263" s="24" t="str">
        <f>+IFERROR(IF(GUAYAQUIL[[#This Row],[CODIGO]]="","",VLOOKUP(GUAYAQUIL[[#This Row],[CODIGO]],MAESTRO!$A:$BA,53,FALSE)),"")</f>
        <v xml:space="preserve">Luis Armendariz                         </v>
      </c>
      <c r="D263" s="24" t="str">
        <f>+IFERROR(IF(GUAYAQUIL[[#This Row],[CODIGO]]="","",VLOOKUP(GUAYAQUIL[[#This Row],[CODIGO]],MAESTRO!$A:$D,4,FALSE)),"")</f>
        <v>DULCE LECHE KIOSCO</v>
      </c>
      <c r="E263" s="24" t="str">
        <f>+IFERROR(IF(GUAYAQUIL[[#This Row],[CODIGO]]="","",VLOOKUP(GUAYAQUIL[[#This Row],[CODIGO]],MAESTRO!$A:$F,6,FALSE)),"")</f>
        <v>DULCE DE LECHE KIOSCO FAMILIAR</v>
      </c>
      <c r="F263" s="42" t="str">
        <f>IF(GUAYAQUIL[[#This Row],[CODIGO]]="","",$K$6)</f>
        <v>GUAYAQUIL</v>
      </c>
      <c r="G263" s="209">
        <f>IF(GUAYAQUIL[[#This Row],[CODIGO]]="","",7711)</f>
        <v>7711</v>
      </c>
      <c r="H263" s="209">
        <f>IF(GUAYAQUIL[[#This Row],[CODIGO]]="","",1001)</f>
        <v>1001</v>
      </c>
      <c r="I263" s="257" t="s">
        <v>4516</v>
      </c>
      <c r="J263" s="25" t="str">
        <f>IFERROR((VLOOKUP(GUAYAQUIL[[#This Row],[CODIGO]],MAESTRO!A:B,2,FALSE)),"")</f>
        <v>DULCE LCH KIOSKO VASO 250G</v>
      </c>
      <c r="K263" s="26">
        <v>324</v>
      </c>
      <c r="L263" s="38">
        <f>+IFERROR(IF(GUAYAQUIL[[#This Row],[CODIGO]]="","",VLOOKUP(GUAYAQUIL[[#This Row],[CODIGO]],MAESTRO!$A:$BF,58,FALSE)),"")</f>
        <v>1</v>
      </c>
      <c r="M263" s="27">
        <f>+IFERROR(IF(GUAYAQUIL[[#This Row],[CODIGO]]="","",VLOOKUP(GUAYAQUIL[[#This Row],[CODIGO]],MAESTRO!A:N,14,FALSE)),"")</f>
        <v>0.25</v>
      </c>
      <c r="N263" s="28">
        <f>+IFERROR(IF(GUAYAQUIL[[#This Row],[CODIGO]]="","",VLOOKUP(GUAYAQUIL[[#This Row],[CODIGO]],MAESTRO!A:P,16,FALSE)),"")</f>
        <v>180</v>
      </c>
      <c r="O263" s="29">
        <v>45609</v>
      </c>
      <c r="P263" s="72" t="str">
        <f t="shared" si="15"/>
        <v>miércoles</v>
      </c>
      <c r="Q263" s="29">
        <f>IFERROR(IF(GUAYAQUIL[[#This Row],[CODIGO]]="","",IF(GUAYAQUIL[[#This Row],[Fecha Cad]]="","",(GUAYAQUIL[[#This Row],[Fecha Cad]]-GUAYAQUIL[[#This Row],[VIDA UTIL (Días)]]))+1),"")</f>
        <v>45604</v>
      </c>
      <c r="R263" s="29">
        <v>45783</v>
      </c>
      <c r="S263" s="30">
        <f t="shared" ca="1" si="16"/>
        <v>159</v>
      </c>
      <c r="T263" s="31">
        <f t="shared" ca="1" si="17"/>
        <v>0.8833333333333333</v>
      </c>
      <c r="U263" s="286">
        <v>1</v>
      </c>
      <c r="V263" s="260">
        <f>+IFERROR(IF(GUAYAQUIL[[#This Row],[CODIGO]]="","",GUAYAQUIL[[#This Row],[Stock Actual Unds]]*GUAYAQUIL[[#This Row],[Gramaje]]*GUAYAQUIL[[#This Row],[Conversión]]),"")</f>
        <v>0.25</v>
      </c>
      <c r="W263" s="270">
        <f t="shared" si="18"/>
        <v>5</v>
      </c>
      <c r="X263" s="32">
        <f t="shared" si="19"/>
        <v>0.97222222222222221</v>
      </c>
      <c r="Y263" s="236">
        <f>IFERROR(VLOOKUP(GUAYAQUIL[[#This Row],[CODIGO]],MAESTRO!A:BI,21,FALSE),0)</f>
        <v>0.69541500000000001</v>
      </c>
      <c r="Z263" s="237">
        <f>+IFERROR(IF(GUAYAQUIL[[#This Row],[CODIGO]]="","",GUAYAQUIL[[#This Row],[COSTO UNIT base]]*GUAYAQUIL[[#This Row],[Conversión]]),"")</f>
        <v>0.69541500000000001</v>
      </c>
      <c r="AA263" s="236">
        <f>+IFERROR(IF(GUAYAQUIL[[#This Row],[CODIGO]]="","",GUAYAQUIL[[#This Row],[COSTO UNIT Conv]]*GUAYAQUIL[[#This Row],[Stock Actual Kgs]]),"")</f>
        <v>0.17385375</v>
      </c>
      <c r="AB263" s="33">
        <f ca="1">+IFERROR(IF(GUAYAQUIL[[#This Row],[CODIGO]]="","",$J$3-O263),"")</f>
        <v>15</v>
      </c>
      <c r="AC263" s="34" t="str">
        <f ca="1">IF(GUAYAQUIL[[#This Row],[CODIGO]]="","",IF(S263&lt;=0,"CADUCADO",IF(AND(S263&gt;0,S263&lt;=21),"FECHA CORTA",IF(AND(S263&gt;=22,S263&lt;=26),"PROXIMOS FECHA CORTA", "VIGENTE"))))</f>
        <v>VIGENTE</v>
      </c>
      <c r="AD263" s="37">
        <f>+IF(GUAYAQUIL[[#This Row],[CODIGO]]="","",GUAYAQUIL[[#This Row],[Stock Actual Unds]]*GUAYAQUIL[[#This Row],[Gramaje]]*GUAYAQUIL[[#This Row],[Conversión]])/1000</f>
        <v>2.5000000000000001E-4</v>
      </c>
    </row>
    <row r="264" spans="1:30">
      <c r="A264" s="24" t="str">
        <f>+IFERROR(IF(GUAYAQUIL[[#This Row],[CODIGO]]="","",VLOOKUP(GUAYAQUIL[[#This Row],[CODIGO]],MAESTRO!$A:$J,10,FALSE)),"")</f>
        <v>SAN GABRIEL</v>
      </c>
      <c r="B264" s="24" t="str">
        <f>+IFERROR(IF(GUAYAQUIL[[#This Row],[CODIGO]]="","",VLOOKUP(GUAYAQUIL[[#This Row],[CODIGO]],MAESTRO!$A:$Q,17,FALSE)),"")</f>
        <v>POSTRES</v>
      </c>
      <c r="C264" s="24" t="str">
        <f>+IFERROR(IF(GUAYAQUIL[[#This Row],[CODIGO]]="","",VLOOKUP(GUAYAQUIL[[#This Row],[CODIGO]],MAESTRO!$A:$BA,53,FALSE)),"")</f>
        <v xml:space="preserve">Luis Armendariz                         </v>
      </c>
      <c r="D264" s="24" t="str">
        <f>+IFERROR(IF(GUAYAQUIL[[#This Row],[CODIGO]]="","",VLOOKUP(GUAYAQUIL[[#This Row],[CODIGO]],MAESTRO!$A:$D,4,FALSE)),"")</f>
        <v>DULCE LECHE KIOSCO</v>
      </c>
      <c r="E264" s="24" t="str">
        <f>+IFERROR(IF(GUAYAQUIL[[#This Row],[CODIGO]]="","",VLOOKUP(GUAYAQUIL[[#This Row],[CODIGO]],MAESTRO!$A:$F,6,FALSE)),"")</f>
        <v>DULCE DE LECHE KIOSCO FAMILIAR</v>
      </c>
      <c r="F264" s="42" t="str">
        <f>IF(GUAYAQUIL[[#This Row],[CODIGO]]="","",$K$6)</f>
        <v>GUAYAQUIL</v>
      </c>
      <c r="G264" s="42">
        <f>IF(GUAYAQUIL[[#This Row],[CODIGO]]="","",7711)</f>
        <v>7711</v>
      </c>
      <c r="H264" s="42">
        <f>IF(GUAYAQUIL[[#This Row],[CODIGO]]="","",1001)</f>
        <v>1001</v>
      </c>
      <c r="I264" s="258" t="s">
        <v>4516</v>
      </c>
      <c r="J264" s="25" t="str">
        <f>IFERROR((VLOOKUP(GUAYAQUIL[[#This Row],[CODIGO]],MAESTRO!A:B,2,FALSE)),"")</f>
        <v>DULCE LCH KIOSKO VASO 250G</v>
      </c>
      <c r="K264" s="35">
        <v>324</v>
      </c>
      <c r="L264" s="38">
        <f>+IFERROR(IF(GUAYAQUIL[[#This Row],[CODIGO]]="","",VLOOKUP(GUAYAQUIL[[#This Row],[CODIGO]],MAESTRO!$A:$BF,58,FALSE)),"")</f>
        <v>1</v>
      </c>
      <c r="M264" s="27">
        <f>+IFERROR(IF(GUAYAQUIL[[#This Row],[CODIGO]]="","",VLOOKUP(GUAYAQUIL[[#This Row],[CODIGO]],MAESTRO!A:N,14,FALSE)),"")</f>
        <v>0.25</v>
      </c>
      <c r="N264" s="28">
        <f>+IFERROR(IF(GUAYAQUIL[[#This Row],[CODIGO]]="","",VLOOKUP(GUAYAQUIL[[#This Row],[CODIGO]],MAESTRO!A:P,16,FALSE)),"")</f>
        <v>180</v>
      </c>
      <c r="O264" s="29">
        <v>45615</v>
      </c>
      <c r="P264" s="72" t="str">
        <f t="shared" ref="P264:P327" si="20">+IF(R264="","",TEXT(O264,"dddd"))</f>
        <v>martes</v>
      </c>
      <c r="Q264" s="29">
        <f>IFERROR(IF(GUAYAQUIL[[#This Row],[CODIGO]]="","",IF(GUAYAQUIL[[#This Row],[Fecha Cad]]="","",(GUAYAQUIL[[#This Row],[Fecha Cad]]-GUAYAQUIL[[#This Row],[VIDA UTIL (Días)]]))+1),"")</f>
        <v>45604</v>
      </c>
      <c r="R264" s="29">
        <v>45783</v>
      </c>
      <c r="S264" s="30">
        <f t="shared" ref="S264:S327" ca="1" si="21">+IFERROR(IF(R264="","",R264-$J$3),0)</f>
        <v>159</v>
      </c>
      <c r="T264" s="31">
        <f t="shared" ref="T264:T327" ca="1" si="22">IFERROR(IF(8="","",S264/N264),0)</f>
        <v>0.8833333333333333</v>
      </c>
      <c r="U264" s="286">
        <v>324</v>
      </c>
      <c r="V264" s="261">
        <f>+IFERROR(IF(GUAYAQUIL[[#This Row],[CODIGO]]="","",GUAYAQUIL[[#This Row],[Stock Actual Unds]]*GUAYAQUIL[[#This Row],[Gramaje]]*GUAYAQUIL[[#This Row],[Conversión]]),"")</f>
        <v>81</v>
      </c>
      <c r="W264" s="270">
        <f t="shared" ref="W264:W327" si="23">IFERROR(O264-Q264,0)</f>
        <v>11</v>
      </c>
      <c r="X264" s="32">
        <f t="shared" ref="X264:X327" si="24">IF(I264="","",1-(W264/N264))</f>
        <v>0.93888888888888888</v>
      </c>
      <c r="Y264" s="236">
        <f>IFERROR(VLOOKUP(GUAYAQUIL[[#This Row],[CODIGO]],MAESTRO!A:BI,21,FALSE),0)</f>
        <v>0.69541500000000001</v>
      </c>
      <c r="Z264" s="237">
        <f>+IFERROR(IF(GUAYAQUIL[[#This Row],[CODIGO]]="","",GUAYAQUIL[[#This Row],[COSTO UNIT base]]*GUAYAQUIL[[#This Row],[Conversión]]),"")</f>
        <v>0.69541500000000001</v>
      </c>
      <c r="AA264" s="236">
        <f>+IFERROR(IF(GUAYAQUIL[[#This Row],[CODIGO]]="","",GUAYAQUIL[[#This Row],[COSTO UNIT Conv]]*GUAYAQUIL[[#This Row],[Stock Actual Kgs]]),"")</f>
        <v>56.328614999999999</v>
      </c>
      <c r="AB264" s="33">
        <f ca="1">+IFERROR(IF(GUAYAQUIL[[#This Row],[CODIGO]]="","",$J$3-O264),"")</f>
        <v>9</v>
      </c>
      <c r="AC264" s="34" t="str">
        <f ca="1">IF(GUAYAQUIL[[#This Row],[CODIGO]]="","",IF(S264&lt;=0,"CADUCADO",IF(AND(S264&gt;0,S264&lt;=21),"FECHA CORTA",IF(AND(S264&gt;=22,S264&lt;=26),"PROXIMOS FECHA CORTA", "VIGENTE"))))</f>
        <v>VIGENTE</v>
      </c>
      <c r="AD264" s="37">
        <f>+IF(GUAYAQUIL[[#This Row],[CODIGO]]="","",GUAYAQUIL[[#This Row],[Stock Actual Unds]]*GUAYAQUIL[[#This Row],[Gramaje]]*GUAYAQUIL[[#This Row],[Conversión]])/1000</f>
        <v>8.1000000000000003E-2</v>
      </c>
    </row>
    <row r="265" spans="1:30">
      <c r="A265" s="24" t="str">
        <f>+IFERROR(IF(GUAYAQUIL[[#This Row],[CODIGO]]="","",VLOOKUP(GUAYAQUIL[[#This Row],[CODIGO]],MAESTRO!$A:$J,10,FALSE)),"")</f>
        <v>SAN GABRIEL</v>
      </c>
      <c r="B265" s="24" t="str">
        <f>+IFERROR(IF(GUAYAQUIL[[#This Row],[CODIGO]]="","",VLOOKUP(GUAYAQUIL[[#This Row],[CODIGO]],MAESTRO!$A:$Q,17,FALSE)),"")</f>
        <v>POSTRES</v>
      </c>
      <c r="C265" s="24" t="str">
        <f>+IFERROR(IF(GUAYAQUIL[[#This Row],[CODIGO]]="","",VLOOKUP(GUAYAQUIL[[#This Row],[CODIGO]],MAESTRO!$A:$BA,53,FALSE)),"")</f>
        <v xml:space="preserve">Luis Armendariz                         </v>
      </c>
      <c r="D265" s="24" t="str">
        <f>+IFERROR(IF(GUAYAQUIL[[#This Row],[CODIGO]]="","",VLOOKUP(GUAYAQUIL[[#This Row],[CODIGO]],MAESTRO!$A:$D,4,FALSE)),"")</f>
        <v>DULCE LECHE KIOSCO</v>
      </c>
      <c r="E265" s="24" t="str">
        <f>+IFERROR(IF(GUAYAQUIL[[#This Row],[CODIGO]]="","",VLOOKUP(GUAYAQUIL[[#This Row],[CODIGO]],MAESTRO!$A:$F,6,FALSE)),"")</f>
        <v>DULCE DE LECHE KIOSCO FAMILIAR</v>
      </c>
      <c r="F265" s="42" t="str">
        <f>IF(GUAYAQUIL[[#This Row],[CODIGO]]="","",$K$6)</f>
        <v>GUAYAQUIL</v>
      </c>
      <c r="G265" s="209">
        <f>IF(GUAYAQUIL[[#This Row],[CODIGO]]="","",7711)</f>
        <v>7711</v>
      </c>
      <c r="H265" s="209">
        <f>IF(GUAYAQUIL[[#This Row],[CODIGO]]="","",1001)</f>
        <v>1001</v>
      </c>
      <c r="I265" s="257" t="s">
        <v>4516</v>
      </c>
      <c r="J265" s="25" t="str">
        <f>IFERROR((VLOOKUP(GUAYAQUIL[[#This Row],[CODIGO]],MAESTRO!A:B,2,FALSE)),"")</f>
        <v>DULCE LCH KIOSKO VASO 250G</v>
      </c>
      <c r="K265" s="26">
        <v>2052</v>
      </c>
      <c r="L265" s="38">
        <f>+IFERROR(IF(GUAYAQUIL[[#This Row],[CODIGO]]="","",VLOOKUP(GUAYAQUIL[[#This Row],[CODIGO]],MAESTRO!$A:$BF,58,FALSE)),"")</f>
        <v>1</v>
      </c>
      <c r="M265" s="27">
        <f>+IFERROR(IF(GUAYAQUIL[[#This Row],[CODIGO]]="","",VLOOKUP(GUAYAQUIL[[#This Row],[CODIGO]],MAESTRO!A:N,14,FALSE)),"")</f>
        <v>0.25</v>
      </c>
      <c r="N265" s="28">
        <f>+IFERROR(IF(GUAYAQUIL[[#This Row],[CODIGO]]="","",VLOOKUP(GUAYAQUIL[[#This Row],[CODIGO]],MAESTRO!A:P,16,FALSE)),"")</f>
        <v>180</v>
      </c>
      <c r="O265" s="29">
        <v>45615</v>
      </c>
      <c r="P265" s="72" t="str">
        <f t="shared" si="20"/>
        <v>martes</v>
      </c>
      <c r="Q265" s="29">
        <f>IFERROR(IF(GUAYAQUIL[[#This Row],[CODIGO]]="","",IF(GUAYAQUIL[[#This Row],[Fecha Cad]]="","",(GUAYAQUIL[[#This Row],[Fecha Cad]]-GUAYAQUIL[[#This Row],[VIDA UTIL (Días)]]))+1),"")</f>
        <v>45589</v>
      </c>
      <c r="R265" s="29">
        <v>45768</v>
      </c>
      <c r="S265" s="30">
        <f t="shared" ca="1" si="21"/>
        <v>144</v>
      </c>
      <c r="T265" s="31">
        <f t="shared" ca="1" si="22"/>
        <v>0.8</v>
      </c>
      <c r="U265" s="286">
        <v>1369</v>
      </c>
      <c r="V265" s="260">
        <f>+IFERROR(IF(GUAYAQUIL[[#This Row],[CODIGO]]="","",GUAYAQUIL[[#This Row],[Stock Actual Unds]]*GUAYAQUIL[[#This Row],[Gramaje]]*GUAYAQUIL[[#This Row],[Conversión]]),"")</f>
        <v>342.25</v>
      </c>
      <c r="W265" s="270">
        <f t="shared" si="23"/>
        <v>26</v>
      </c>
      <c r="X265" s="32">
        <f t="shared" si="24"/>
        <v>0.85555555555555562</v>
      </c>
      <c r="Y265" s="236">
        <f>IFERROR(VLOOKUP(GUAYAQUIL[[#This Row],[CODIGO]],MAESTRO!A:BI,21,FALSE),0)</f>
        <v>0.69541500000000001</v>
      </c>
      <c r="Z265" s="237">
        <f>+IFERROR(IF(GUAYAQUIL[[#This Row],[CODIGO]]="","",GUAYAQUIL[[#This Row],[COSTO UNIT base]]*GUAYAQUIL[[#This Row],[Conversión]]),"")</f>
        <v>0.69541500000000001</v>
      </c>
      <c r="AA265" s="236">
        <f>+IFERROR(IF(GUAYAQUIL[[#This Row],[CODIGO]]="","",GUAYAQUIL[[#This Row],[COSTO UNIT Conv]]*GUAYAQUIL[[#This Row],[Stock Actual Kgs]]),"")</f>
        <v>238.00578375000001</v>
      </c>
      <c r="AB265" s="33">
        <f ca="1">+IFERROR(IF(GUAYAQUIL[[#This Row],[CODIGO]]="","",$J$3-O265),"")</f>
        <v>9</v>
      </c>
      <c r="AC265" s="34" t="str">
        <f ca="1">IF(GUAYAQUIL[[#This Row],[CODIGO]]="","",IF(S265&lt;=0,"CADUCADO",IF(AND(S265&gt;0,S265&lt;=21),"FECHA CORTA",IF(AND(S265&gt;=22,S265&lt;=26),"PROXIMOS FECHA CORTA", "VIGENTE"))))</f>
        <v>VIGENTE</v>
      </c>
      <c r="AD265" s="37">
        <f>+IF(GUAYAQUIL[[#This Row],[CODIGO]]="","",GUAYAQUIL[[#This Row],[Stock Actual Unds]]*GUAYAQUIL[[#This Row],[Gramaje]]*GUAYAQUIL[[#This Row],[Conversión]])/1000</f>
        <v>0.34225</v>
      </c>
    </row>
    <row r="266" spans="1:30">
      <c r="A266" s="24" t="str">
        <f>+IFERROR(IF(GUAYAQUIL[[#This Row],[CODIGO]]="","",VLOOKUP(GUAYAQUIL[[#This Row],[CODIGO]],MAESTRO!$A:$J,10,FALSE)),"")</f>
        <v>SAN GABRIEL</v>
      </c>
      <c r="B266" s="24" t="str">
        <f>+IFERROR(IF(GUAYAQUIL[[#This Row],[CODIGO]]="","",VLOOKUP(GUAYAQUIL[[#This Row],[CODIGO]],MAESTRO!$A:$Q,17,FALSE)),"")</f>
        <v>POSTRES</v>
      </c>
      <c r="C266" s="24" t="str">
        <f>+IFERROR(IF(GUAYAQUIL[[#This Row],[CODIGO]]="","",VLOOKUP(GUAYAQUIL[[#This Row],[CODIGO]],MAESTRO!$A:$BA,53,FALSE)),"")</f>
        <v xml:space="preserve">Luis Armendariz                         </v>
      </c>
      <c r="D266" s="24" t="str">
        <f>+IFERROR(IF(GUAYAQUIL[[#This Row],[CODIGO]]="","",VLOOKUP(GUAYAQUIL[[#This Row],[CODIGO]],MAESTRO!$A:$D,4,FALSE)),"")</f>
        <v>DULCE LECHE KIOSCO</v>
      </c>
      <c r="E266" s="24" t="str">
        <f>+IFERROR(IF(GUAYAQUIL[[#This Row],[CODIGO]]="","",VLOOKUP(GUAYAQUIL[[#This Row],[CODIGO]],MAESTRO!$A:$F,6,FALSE)),"")</f>
        <v>DULCE DE LECHE KIOSCO FAMILIAR</v>
      </c>
      <c r="F266" s="42" t="str">
        <f>IF(GUAYAQUIL[[#This Row],[CODIGO]]="","",$K$6)</f>
        <v>GUAYAQUIL</v>
      </c>
      <c r="G266" s="42">
        <f>IF(GUAYAQUIL[[#This Row],[CODIGO]]="","",7711)</f>
        <v>7711</v>
      </c>
      <c r="H266" s="42">
        <f>IF(GUAYAQUIL[[#This Row],[CODIGO]]="","",1001)</f>
        <v>1001</v>
      </c>
      <c r="I266" s="258" t="s">
        <v>4516</v>
      </c>
      <c r="J266" s="25" t="str">
        <f>IFERROR((VLOOKUP(GUAYAQUIL[[#This Row],[CODIGO]],MAESTRO!A:B,2,FALSE)),"")</f>
        <v>DULCE LCH KIOSKO VASO 250G</v>
      </c>
      <c r="K266" s="35">
        <v>4212</v>
      </c>
      <c r="L266" s="38">
        <f>+IFERROR(IF(GUAYAQUIL[[#This Row],[CODIGO]]="","",VLOOKUP(GUAYAQUIL[[#This Row],[CODIGO]],MAESTRO!$A:$BF,58,FALSE)),"")</f>
        <v>1</v>
      </c>
      <c r="M266" s="27">
        <f>+IFERROR(IF(GUAYAQUIL[[#This Row],[CODIGO]]="","",VLOOKUP(GUAYAQUIL[[#This Row],[CODIGO]],MAESTRO!A:N,14,FALSE)),"")</f>
        <v>0.25</v>
      </c>
      <c r="N266" s="28">
        <f>+IFERROR(IF(GUAYAQUIL[[#This Row],[CODIGO]]="","",VLOOKUP(GUAYAQUIL[[#This Row],[CODIGO]],MAESTRO!A:P,16,FALSE)),"")</f>
        <v>180</v>
      </c>
      <c r="O266" s="29">
        <v>45617</v>
      </c>
      <c r="P266" s="72" t="str">
        <f t="shared" si="20"/>
        <v>jueves</v>
      </c>
      <c r="Q266" s="29">
        <f>IFERROR(IF(GUAYAQUIL[[#This Row],[CODIGO]]="","",IF(GUAYAQUIL[[#This Row],[Fecha Cad]]="","",(GUAYAQUIL[[#This Row],[Fecha Cad]]-GUAYAQUIL[[#This Row],[VIDA UTIL (Días)]]))+1),"")</f>
        <v>45616</v>
      </c>
      <c r="R266" s="29">
        <v>45795</v>
      </c>
      <c r="S266" s="30">
        <f t="shared" ca="1" si="21"/>
        <v>171</v>
      </c>
      <c r="T266" s="31">
        <f t="shared" ca="1" si="22"/>
        <v>0.95</v>
      </c>
      <c r="U266" s="286">
        <v>4212</v>
      </c>
      <c r="V266" s="261">
        <f>+IFERROR(IF(GUAYAQUIL[[#This Row],[CODIGO]]="","",GUAYAQUIL[[#This Row],[Stock Actual Unds]]*GUAYAQUIL[[#This Row],[Gramaje]]*GUAYAQUIL[[#This Row],[Conversión]]),"")</f>
        <v>1053</v>
      </c>
      <c r="W266" s="270">
        <f t="shared" si="23"/>
        <v>1</v>
      </c>
      <c r="X266" s="32">
        <f t="shared" si="24"/>
        <v>0.99444444444444446</v>
      </c>
      <c r="Y266" s="236">
        <f>IFERROR(VLOOKUP(GUAYAQUIL[[#This Row],[CODIGO]],MAESTRO!A:BI,21,FALSE),0)</f>
        <v>0.69541500000000001</v>
      </c>
      <c r="Z266" s="237">
        <f>+IFERROR(IF(GUAYAQUIL[[#This Row],[CODIGO]]="","",GUAYAQUIL[[#This Row],[COSTO UNIT base]]*GUAYAQUIL[[#This Row],[Conversión]]),"")</f>
        <v>0.69541500000000001</v>
      </c>
      <c r="AA266" s="236">
        <f>+IFERROR(IF(GUAYAQUIL[[#This Row],[CODIGO]]="","",GUAYAQUIL[[#This Row],[COSTO UNIT Conv]]*GUAYAQUIL[[#This Row],[Stock Actual Kgs]]),"")</f>
        <v>732.27199500000006</v>
      </c>
      <c r="AB266" s="33">
        <f ca="1">+IFERROR(IF(GUAYAQUIL[[#This Row],[CODIGO]]="","",$J$3-O266),"")</f>
        <v>7</v>
      </c>
      <c r="AC266" s="34" t="str">
        <f ca="1">IF(GUAYAQUIL[[#This Row],[CODIGO]]="","",IF(S266&lt;=0,"CADUCADO",IF(AND(S266&gt;0,S266&lt;=21),"FECHA CORTA",IF(AND(S266&gt;=22,S266&lt;=26),"PROXIMOS FECHA CORTA", "VIGENTE"))))</f>
        <v>VIGENTE</v>
      </c>
      <c r="AD266" s="37">
        <f>+IF(GUAYAQUIL[[#This Row],[CODIGO]]="","",GUAYAQUIL[[#This Row],[Stock Actual Unds]]*GUAYAQUIL[[#This Row],[Gramaje]]*GUAYAQUIL[[#This Row],[Conversión]])/1000</f>
        <v>1.0529999999999999</v>
      </c>
    </row>
    <row r="267" spans="1:30">
      <c r="A267" s="24" t="str">
        <f>+IFERROR(IF(GUAYAQUIL[[#This Row],[CODIGO]]="","",VLOOKUP(GUAYAQUIL[[#This Row],[CODIGO]],MAESTRO!$A:$J,10,FALSE)),"")</f>
        <v>SAN GABRIEL</v>
      </c>
      <c r="B267" s="24" t="str">
        <f>+IFERROR(IF(GUAYAQUIL[[#This Row],[CODIGO]]="","",VLOOKUP(GUAYAQUIL[[#This Row],[CODIGO]],MAESTRO!$A:$Q,17,FALSE)),"")</f>
        <v>POSTRES</v>
      </c>
      <c r="C267" s="24" t="str">
        <f>+IFERROR(IF(GUAYAQUIL[[#This Row],[CODIGO]]="","",VLOOKUP(GUAYAQUIL[[#This Row],[CODIGO]],MAESTRO!$A:$BA,53,FALSE)),"")</f>
        <v xml:space="preserve">Luis Armendariz                         </v>
      </c>
      <c r="D267" s="24" t="str">
        <f>+IFERROR(IF(GUAYAQUIL[[#This Row],[CODIGO]]="","",VLOOKUP(GUAYAQUIL[[#This Row],[CODIGO]],MAESTRO!$A:$D,4,FALSE)),"")</f>
        <v>AREQUIPE ALPINA</v>
      </c>
      <c r="E267" s="24" t="str">
        <f>+IFERROR(IF(GUAYAQUIL[[#This Row],[CODIGO]]="","",VLOOKUP(GUAYAQUIL[[#This Row],[CODIGO]],MAESTRO!$A:$F,6,FALSE)),"")</f>
        <v>AREQUIPE ALPINA</v>
      </c>
      <c r="F267" s="42" t="str">
        <f>IF(GUAYAQUIL[[#This Row],[CODIGO]]="","",$K$6)</f>
        <v>GUAYAQUIL</v>
      </c>
      <c r="G267" s="209">
        <f>IF(GUAYAQUIL[[#This Row],[CODIGO]]="","",7711)</f>
        <v>7711</v>
      </c>
      <c r="H267" s="209">
        <f>IF(GUAYAQUIL[[#This Row],[CODIGO]]="","",1001)</f>
        <v>1001</v>
      </c>
      <c r="I267" s="258" t="s">
        <v>675</v>
      </c>
      <c r="J267" s="25" t="str">
        <f>IFERROR((VLOOKUP(GUAYAQUIL[[#This Row],[CODIGO]],MAESTRO!A:B,2,FALSE)),"")</f>
        <v>AREQUIPE VASO 250G ECU</v>
      </c>
      <c r="K267" s="35">
        <v>0</v>
      </c>
      <c r="L267" s="38">
        <f>+IFERROR(IF(GUAYAQUIL[[#This Row],[CODIGO]]="","",VLOOKUP(GUAYAQUIL[[#This Row],[CODIGO]],MAESTRO!$A:$BF,58,FALSE)),"")</f>
        <v>1</v>
      </c>
      <c r="M267" s="27">
        <f>+IFERROR(IF(GUAYAQUIL[[#This Row],[CODIGO]]="","",VLOOKUP(GUAYAQUIL[[#This Row],[CODIGO]],MAESTRO!A:N,14,FALSE)),"")</f>
        <v>0.25</v>
      </c>
      <c r="N267" s="28">
        <f>+IFERROR(IF(GUAYAQUIL[[#This Row],[CODIGO]]="","",VLOOKUP(GUAYAQUIL[[#This Row],[CODIGO]],MAESTRO!A:P,16,FALSE)),"")</f>
        <v>180</v>
      </c>
      <c r="O267" s="29">
        <v>45580</v>
      </c>
      <c r="P267" s="72" t="str">
        <f t="shared" si="20"/>
        <v>martes</v>
      </c>
      <c r="Q267" s="29">
        <f>IFERROR(IF(GUAYAQUIL[[#This Row],[CODIGO]]="","",IF(GUAYAQUIL[[#This Row],[Fecha Cad]]="","",(GUAYAQUIL[[#This Row],[Fecha Cad]]-GUAYAQUIL[[#This Row],[VIDA UTIL (Días)]]))+1),"")</f>
        <v>45580</v>
      </c>
      <c r="R267" s="29">
        <v>45759</v>
      </c>
      <c r="S267" s="30">
        <f t="shared" ca="1" si="21"/>
        <v>135</v>
      </c>
      <c r="T267" s="31">
        <f t="shared" ca="1" si="22"/>
        <v>0.75</v>
      </c>
      <c r="U267" s="286">
        <v>7</v>
      </c>
      <c r="V267" s="261">
        <f>+IFERROR(IF(GUAYAQUIL[[#This Row],[CODIGO]]="","",GUAYAQUIL[[#This Row],[Stock Actual Unds]]*GUAYAQUIL[[#This Row],[Gramaje]]*GUAYAQUIL[[#This Row],[Conversión]]),"")</f>
        <v>1.75</v>
      </c>
      <c r="W267" s="270">
        <f t="shared" si="23"/>
        <v>0</v>
      </c>
      <c r="X267" s="32">
        <f t="shared" si="24"/>
        <v>1</v>
      </c>
      <c r="Y267" s="236">
        <f>IFERROR(VLOOKUP(GUAYAQUIL[[#This Row],[CODIGO]],MAESTRO!A:BI,21,FALSE),0)</f>
        <v>0.78529499999999997</v>
      </c>
      <c r="Z267" s="237">
        <f>+IFERROR(IF(GUAYAQUIL[[#This Row],[CODIGO]]="","",GUAYAQUIL[[#This Row],[COSTO UNIT base]]*GUAYAQUIL[[#This Row],[Conversión]]),"")</f>
        <v>0.78529499999999997</v>
      </c>
      <c r="AA267" s="236">
        <f>+IFERROR(IF(GUAYAQUIL[[#This Row],[CODIGO]]="","",GUAYAQUIL[[#This Row],[COSTO UNIT Conv]]*GUAYAQUIL[[#This Row],[Stock Actual Kgs]]),"")</f>
        <v>1.37426625</v>
      </c>
      <c r="AB267" s="33">
        <f ca="1">+IFERROR(IF(GUAYAQUIL[[#This Row],[CODIGO]]="","",$J$3-O267),"")</f>
        <v>44</v>
      </c>
      <c r="AC267" s="34" t="str">
        <f ca="1">IF(GUAYAQUIL[[#This Row],[CODIGO]]="","",IF(S267&lt;=0,"CADUCADO",IF(AND(S267&gt;0,S267&lt;=21),"FECHA CORTA",IF(AND(S267&gt;=22,S267&lt;=26),"PROXIMOS FECHA CORTA", "VIGENTE"))))</f>
        <v>VIGENTE</v>
      </c>
      <c r="AD267" s="37">
        <f>+IF(GUAYAQUIL[[#This Row],[CODIGO]]="","",GUAYAQUIL[[#This Row],[Stock Actual Unds]]*GUAYAQUIL[[#This Row],[Gramaje]]*GUAYAQUIL[[#This Row],[Conversión]])/1000</f>
        <v>1.75E-3</v>
      </c>
    </row>
    <row r="268" spans="1:30">
      <c r="A268" s="42" t="str">
        <f>+IFERROR(IF(GUAYAQUIL[[#This Row],[CODIGO]]="","",VLOOKUP(GUAYAQUIL[[#This Row],[CODIGO]],MAESTRO!$A:$J,10,FALSE)),"")</f>
        <v>SAN GABRIEL</v>
      </c>
      <c r="B268" s="42" t="str">
        <f>+IFERROR(IF(GUAYAQUIL[[#This Row],[CODIGO]]="","",VLOOKUP(GUAYAQUIL[[#This Row],[CODIGO]],MAESTRO!$A:$Q,17,FALSE)),"")</f>
        <v>POSTRES</v>
      </c>
      <c r="C268" s="42" t="str">
        <f>+IFERROR(IF(GUAYAQUIL[[#This Row],[CODIGO]]="","",VLOOKUP(GUAYAQUIL[[#This Row],[CODIGO]],MAESTRO!$A:$BA,53,FALSE)),"")</f>
        <v xml:space="preserve">Luis Armendariz                         </v>
      </c>
      <c r="D268" s="42" t="str">
        <f>+IFERROR(IF(GUAYAQUIL[[#This Row],[CODIGO]]="","",VLOOKUP(GUAYAQUIL[[#This Row],[CODIGO]],MAESTRO!$A:$D,4,FALSE)),"")</f>
        <v>AREQUIPE ALPINA</v>
      </c>
      <c r="E268" s="42" t="str">
        <f>+IFERROR(IF(GUAYAQUIL[[#This Row],[CODIGO]]="","",VLOOKUP(GUAYAQUIL[[#This Row],[CODIGO]],MAESTRO!$A:$F,6,FALSE)),"")</f>
        <v>AREQUIPE ALPINA</v>
      </c>
      <c r="F268" s="42" t="str">
        <f>IF(GUAYAQUIL[[#This Row],[CODIGO]]="","",$K$6)</f>
        <v>GUAYAQUIL</v>
      </c>
      <c r="G268" s="42">
        <f>IF(GUAYAQUIL[[#This Row],[CODIGO]]="","",7711)</f>
        <v>7711</v>
      </c>
      <c r="H268" s="42">
        <f>IF(GUAYAQUIL[[#This Row],[CODIGO]]="","",1001)</f>
        <v>1001</v>
      </c>
      <c r="I268" s="258" t="s">
        <v>675</v>
      </c>
      <c r="J268" s="25" t="str">
        <f>IFERROR((VLOOKUP(GUAYAQUIL[[#This Row],[CODIGO]],MAESTRO!A:B,2,FALSE)),"")</f>
        <v>AREQUIPE VASO 250G ECU</v>
      </c>
      <c r="K268" s="35">
        <v>324</v>
      </c>
      <c r="L268" s="205">
        <f>+IFERROR(IF(GUAYAQUIL[[#This Row],[CODIGO]]="","",VLOOKUP(GUAYAQUIL[[#This Row],[CODIGO]],MAESTRO!$A:$BF,58,FALSE)),"")</f>
        <v>1</v>
      </c>
      <c r="M268" s="27">
        <f>+IFERROR(IF(GUAYAQUIL[[#This Row],[CODIGO]]="","",VLOOKUP(GUAYAQUIL[[#This Row],[CODIGO]],MAESTRO!A:N,14,FALSE)),"")</f>
        <v>0.25</v>
      </c>
      <c r="N268" s="290">
        <f>+IFERROR(IF(GUAYAQUIL[[#This Row],[CODIGO]]="","",VLOOKUP(GUAYAQUIL[[#This Row],[CODIGO]],MAESTRO!A:P,16,FALSE)),"")</f>
        <v>180</v>
      </c>
      <c r="O268" s="45">
        <v>45589</v>
      </c>
      <c r="P268" s="292" t="str">
        <f t="shared" si="20"/>
        <v>jueves</v>
      </c>
      <c r="Q268" s="278">
        <f>IFERROR(IF(GUAYAQUIL[[#This Row],[CODIGO]]="","",IF(GUAYAQUIL[[#This Row],[Fecha Cad]]="","",(GUAYAQUIL[[#This Row],[Fecha Cad]]-GUAYAQUIL[[#This Row],[VIDA UTIL (Días)]]))+1),"")</f>
        <v>45583</v>
      </c>
      <c r="R268" s="45">
        <v>45762</v>
      </c>
      <c r="S268" s="30">
        <f t="shared" ca="1" si="21"/>
        <v>138</v>
      </c>
      <c r="T268" s="294">
        <f t="shared" ca="1" si="22"/>
        <v>0.76666666666666672</v>
      </c>
      <c r="U268" s="295">
        <v>146</v>
      </c>
      <c r="V268" s="262">
        <f>+IFERROR(IF(GUAYAQUIL[[#This Row],[CODIGO]]="","",GUAYAQUIL[[#This Row],[Stock Actual Unds]]*GUAYAQUIL[[#This Row],[Gramaje]]*GUAYAQUIL[[#This Row],[Conversión]]),"")</f>
        <v>36.5</v>
      </c>
      <c r="W268" s="299">
        <f t="shared" si="23"/>
        <v>6</v>
      </c>
      <c r="X268" s="44">
        <f t="shared" si="24"/>
        <v>0.96666666666666667</v>
      </c>
      <c r="Y268" s="236">
        <f>IFERROR(VLOOKUP(GUAYAQUIL[[#This Row],[CODIGO]],MAESTRO!A:BI,21,FALSE),0)</f>
        <v>0.78529499999999997</v>
      </c>
      <c r="Z268" s="237">
        <f>+IFERROR(IF(GUAYAQUIL[[#This Row],[CODIGO]]="","",GUAYAQUIL[[#This Row],[COSTO UNIT base]]*GUAYAQUIL[[#This Row],[Conversión]]),"")</f>
        <v>0.78529499999999997</v>
      </c>
      <c r="AA268" s="236">
        <f>+IFERROR(IF(GUAYAQUIL[[#This Row],[CODIGO]]="","",GUAYAQUIL[[#This Row],[COSTO UNIT Conv]]*GUAYAQUIL[[#This Row],[Stock Actual Kgs]]),"")</f>
        <v>28.6632675</v>
      </c>
      <c r="AB268" s="180">
        <f ca="1">+IFERROR(IF(GUAYAQUIL[[#This Row],[CODIGO]]="","",$J$3-O268),"")</f>
        <v>35</v>
      </c>
      <c r="AC268" s="35" t="str">
        <f ca="1">IF(GUAYAQUIL[[#This Row],[CODIGO]]="","",IF(S268&lt;=0,"CADUCADO",IF(AND(S268&gt;0,S268&lt;=21),"FECHA CORTA",IF(AND(S268&gt;=22,S268&lt;=26),"PROXIMOS FECHA CORTA", "VIGENTE"))))</f>
        <v>VIGENTE</v>
      </c>
      <c r="AD268" s="37">
        <f>+IF(GUAYAQUIL[[#This Row],[CODIGO]]="","",GUAYAQUIL[[#This Row],[Stock Actual Unds]]*GUAYAQUIL[[#This Row],[Gramaje]]*GUAYAQUIL[[#This Row],[Conversión]])/1000</f>
        <v>3.6499999999999998E-2</v>
      </c>
    </row>
    <row r="269" spans="1:30">
      <c r="A269" s="42" t="str">
        <f>+IFERROR(IF(GUAYAQUIL[[#This Row],[CODIGO]]="","",VLOOKUP(GUAYAQUIL[[#This Row],[CODIGO]],MAESTRO!$A:$J,10,FALSE)),"")</f>
        <v>SAN GABRIEL</v>
      </c>
      <c r="B269" s="42" t="str">
        <f>+IFERROR(IF(GUAYAQUIL[[#This Row],[CODIGO]]="","",VLOOKUP(GUAYAQUIL[[#This Row],[CODIGO]],MAESTRO!$A:$Q,17,FALSE)),"")</f>
        <v>POSTRES</v>
      </c>
      <c r="C269" s="42" t="str">
        <f>+IFERROR(IF(GUAYAQUIL[[#This Row],[CODIGO]]="","",VLOOKUP(GUAYAQUIL[[#This Row],[CODIGO]],MAESTRO!$A:$BA,53,FALSE)),"")</f>
        <v xml:space="preserve">Luis Armendariz                         </v>
      </c>
      <c r="D269" s="42" t="str">
        <f>+IFERROR(IF(GUAYAQUIL[[#This Row],[CODIGO]]="","",VLOOKUP(GUAYAQUIL[[#This Row],[CODIGO]],MAESTRO!$A:$D,4,FALSE)),"")</f>
        <v>AREQUIPE ALPINA</v>
      </c>
      <c r="E269" s="42" t="str">
        <f>+IFERROR(IF(GUAYAQUIL[[#This Row],[CODIGO]]="","",VLOOKUP(GUAYAQUIL[[#This Row],[CODIGO]],MAESTRO!$A:$F,6,FALSE)),"")</f>
        <v>AREQUIPE ALPINA</v>
      </c>
      <c r="F269" s="42" t="str">
        <f>IF(GUAYAQUIL[[#This Row],[CODIGO]]="","",$K$6)</f>
        <v>GUAYAQUIL</v>
      </c>
      <c r="G269" s="42">
        <f>IF(GUAYAQUIL[[#This Row],[CODIGO]]="","",7711)</f>
        <v>7711</v>
      </c>
      <c r="H269" s="42">
        <f>IF(GUAYAQUIL[[#This Row],[CODIGO]]="","",1001)</f>
        <v>1001</v>
      </c>
      <c r="I269" s="258" t="s">
        <v>675</v>
      </c>
      <c r="J269" s="25" t="str">
        <f>IFERROR((VLOOKUP(GUAYAQUIL[[#This Row],[CODIGO]],MAESTRO!A:B,2,FALSE)),"")</f>
        <v>AREQUIPE VASO 250G ECU</v>
      </c>
      <c r="K269" s="35">
        <v>972</v>
      </c>
      <c r="L269" s="205">
        <f>+IFERROR(IF(GUAYAQUIL[[#This Row],[CODIGO]]="","",VLOOKUP(GUAYAQUIL[[#This Row],[CODIGO]],MAESTRO!$A:$BF,58,FALSE)),"")</f>
        <v>1</v>
      </c>
      <c r="M269" s="27">
        <f>+IFERROR(IF(GUAYAQUIL[[#This Row],[CODIGO]]="","",VLOOKUP(GUAYAQUIL[[#This Row],[CODIGO]],MAESTRO!A:N,14,FALSE)),"")</f>
        <v>0.25</v>
      </c>
      <c r="N269" s="290">
        <f>+IFERROR(IF(GUAYAQUIL[[#This Row],[CODIGO]]="","",VLOOKUP(GUAYAQUIL[[#This Row],[CODIGO]],MAESTRO!A:P,16,FALSE)),"")</f>
        <v>180</v>
      </c>
      <c r="O269" s="45">
        <v>45591</v>
      </c>
      <c r="P269" s="292" t="str">
        <f t="shared" si="20"/>
        <v>sábado</v>
      </c>
      <c r="Q269" s="278">
        <f>IFERROR(IF(GUAYAQUIL[[#This Row],[CODIGO]]="","",IF(GUAYAQUIL[[#This Row],[Fecha Cad]]="","",(GUAYAQUIL[[#This Row],[Fecha Cad]]-GUAYAQUIL[[#This Row],[VIDA UTIL (Días)]]))+1),"")</f>
        <v>45588</v>
      </c>
      <c r="R269" s="45">
        <v>45767</v>
      </c>
      <c r="S269" s="30">
        <f t="shared" ca="1" si="21"/>
        <v>143</v>
      </c>
      <c r="T269" s="294">
        <f t="shared" ca="1" si="22"/>
        <v>0.7944444444444444</v>
      </c>
      <c r="U269" s="295">
        <v>3</v>
      </c>
      <c r="V269" s="262">
        <f>+IFERROR(IF(GUAYAQUIL[[#This Row],[CODIGO]]="","",GUAYAQUIL[[#This Row],[Stock Actual Unds]]*GUAYAQUIL[[#This Row],[Gramaje]]*GUAYAQUIL[[#This Row],[Conversión]]),"")</f>
        <v>0.75</v>
      </c>
      <c r="W269" s="299">
        <f t="shared" si="23"/>
        <v>3</v>
      </c>
      <c r="X269" s="44">
        <f t="shared" si="24"/>
        <v>0.98333333333333328</v>
      </c>
      <c r="Y269" s="236">
        <f>IFERROR(VLOOKUP(GUAYAQUIL[[#This Row],[CODIGO]],MAESTRO!A:BI,21,FALSE),0)</f>
        <v>0.78529499999999997</v>
      </c>
      <c r="Z269" s="237">
        <f>+IFERROR(IF(GUAYAQUIL[[#This Row],[CODIGO]]="","",GUAYAQUIL[[#This Row],[COSTO UNIT base]]*GUAYAQUIL[[#This Row],[Conversión]]),"")</f>
        <v>0.78529499999999997</v>
      </c>
      <c r="AA269" s="236">
        <f>+IFERROR(IF(GUAYAQUIL[[#This Row],[CODIGO]]="","",GUAYAQUIL[[#This Row],[COSTO UNIT Conv]]*GUAYAQUIL[[#This Row],[Stock Actual Kgs]]),"")</f>
        <v>0.58897124999999995</v>
      </c>
      <c r="AB269" s="180">
        <f ca="1">+IFERROR(IF(GUAYAQUIL[[#This Row],[CODIGO]]="","",$J$3-O269),"")</f>
        <v>33</v>
      </c>
      <c r="AC269" s="35" t="str">
        <f ca="1">IF(GUAYAQUIL[[#This Row],[CODIGO]]="","",IF(S269&lt;=0,"CADUCADO",IF(AND(S269&gt;0,S269&lt;=21),"FECHA CORTA",IF(AND(S269&gt;=22,S269&lt;=26),"PROXIMOS FECHA CORTA", "VIGENTE"))))</f>
        <v>VIGENTE</v>
      </c>
      <c r="AD269" s="37">
        <f>+IF(GUAYAQUIL[[#This Row],[CODIGO]]="","",GUAYAQUIL[[#This Row],[Stock Actual Unds]]*GUAYAQUIL[[#This Row],[Gramaje]]*GUAYAQUIL[[#This Row],[Conversión]])/1000</f>
        <v>7.5000000000000002E-4</v>
      </c>
    </row>
    <row r="270" spans="1:30">
      <c r="A270" s="24" t="str">
        <f>+IFERROR(IF(GUAYAQUIL[[#This Row],[CODIGO]]="","",VLOOKUP(GUAYAQUIL[[#This Row],[CODIGO]],MAESTRO!$A:$J,10,FALSE)),"")</f>
        <v>SAN GABRIEL</v>
      </c>
      <c r="B270" s="24" t="str">
        <f>+IFERROR(IF(GUAYAQUIL[[#This Row],[CODIGO]]="","",VLOOKUP(GUAYAQUIL[[#This Row],[CODIGO]],MAESTRO!$A:$Q,17,FALSE)),"")</f>
        <v>POSTRES</v>
      </c>
      <c r="C270" s="24" t="str">
        <f>+IFERROR(IF(GUAYAQUIL[[#This Row],[CODIGO]]="","",VLOOKUP(GUAYAQUIL[[#This Row],[CODIGO]],MAESTRO!$A:$BA,53,FALSE)),"")</f>
        <v xml:space="preserve">Luis Armendariz                         </v>
      </c>
      <c r="D270" s="24" t="str">
        <f>+IFERROR(IF(GUAYAQUIL[[#This Row],[CODIGO]]="","",VLOOKUP(GUAYAQUIL[[#This Row],[CODIGO]],MAESTRO!$A:$D,4,FALSE)),"")</f>
        <v>AREQUIPE ALPINA</v>
      </c>
      <c r="E270" s="24" t="str">
        <f>+IFERROR(IF(GUAYAQUIL[[#This Row],[CODIGO]]="","",VLOOKUP(GUAYAQUIL[[#This Row],[CODIGO]],MAESTRO!$A:$F,6,FALSE)),"")</f>
        <v>AREQUIPE ALPINA</v>
      </c>
      <c r="F270" s="42" t="str">
        <f>IF(GUAYAQUIL[[#This Row],[CODIGO]]="","",$K$6)</f>
        <v>GUAYAQUIL</v>
      </c>
      <c r="G270" s="42">
        <f>IF(GUAYAQUIL[[#This Row],[CODIGO]]="","",7711)</f>
        <v>7711</v>
      </c>
      <c r="H270" s="42">
        <f>IF(GUAYAQUIL[[#This Row],[CODIGO]]="","",1001)</f>
        <v>1001</v>
      </c>
      <c r="I270" s="258" t="s">
        <v>675</v>
      </c>
      <c r="J270" s="25" t="str">
        <f>IFERROR((VLOOKUP(GUAYAQUIL[[#This Row],[CODIGO]],MAESTRO!A:B,2,FALSE)),"")</f>
        <v>AREQUIPE VASO 250G ECU</v>
      </c>
      <c r="K270" s="35">
        <v>1512</v>
      </c>
      <c r="L270" s="38">
        <f>+IFERROR(IF(GUAYAQUIL[[#This Row],[CODIGO]]="","",VLOOKUP(GUAYAQUIL[[#This Row],[CODIGO]],MAESTRO!$A:$BF,58,FALSE)),"")</f>
        <v>1</v>
      </c>
      <c r="M270" s="27">
        <f>+IFERROR(IF(GUAYAQUIL[[#This Row],[CODIGO]]="","",VLOOKUP(GUAYAQUIL[[#This Row],[CODIGO]],MAESTRO!A:N,14,FALSE)),"")</f>
        <v>0.25</v>
      </c>
      <c r="N270" s="28">
        <f>+IFERROR(IF(GUAYAQUIL[[#This Row],[CODIGO]]="","",VLOOKUP(GUAYAQUIL[[#This Row],[CODIGO]],MAESTRO!A:P,16,FALSE)),"")</f>
        <v>180</v>
      </c>
      <c r="O270" s="45">
        <v>45602</v>
      </c>
      <c r="P270" s="72" t="str">
        <f t="shared" si="20"/>
        <v>miércoles</v>
      </c>
      <c r="Q270" s="29">
        <f>IFERROR(IF(GUAYAQUIL[[#This Row],[CODIGO]]="","",IF(GUAYAQUIL[[#This Row],[Fecha Cad]]="","",(GUAYAQUIL[[#This Row],[Fecha Cad]]-GUAYAQUIL[[#This Row],[VIDA UTIL (Días)]]))+1),"")</f>
        <v>45577</v>
      </c>
      <c r="R270" s="45">
        <v>45756</v>
      </c>
      <c r="S270" s="30">
        <f t="shared" ca="1" si="21"/>
        <v>132</v>
      </c>
      <c r="T270" s="31">
        <f t="shared" ca="1" si="22"/>
        <v>0.73333333333333328</v>
      </c>
      <c r="U270" s="286">
        <v>4</v>
      </c>
      <c r="V270" s="262">
        <f>+IFERROR(IF(GUAYAQUIL[[#This Row],[CODIGO]]="","",GUAYAQUIL[[#This Row],[Stock Actual Unds]]*GUAYAQUIL[[#This Row],[Gramaje]]*GUAYAQUIL[[#This Row],[Conversión]]),"")</f>
        <v>1</v>
      </c>
      <c r="W270" s="270">
        <f t="shared" si="23"/>
        <v>25</v>
      </c>
      <c r="X270" s="32">
        <f t="shared" si="24"/>
        <v>0.86111111111111116</v>
      </c>
      <c r="Y270" s="236">
        <f>IFERROR(VLOOKUP(GUAYAQUIL[[#This Row],[CODIGO]],MAESTRO!A:BI,21,FALSE),0)</f>
        <v>0.78529499999999997</v>
      </c>
      <c r="Z270" s="237">
        <f>+IFERROR(IF(GUAYAQUIL[[#This Row],[CODIGO]]="","",GUAYAQUIL[[#This Row],[COSTO UNIT base]]*GUAYAQUIL[[#This Row],[Conversión]]),"")</f>
        <v>0.78529499999999997</v>
      </c>
      <c r="AA270" s="236">
        <f>+IFERROR(IF(GUAYAQUIL[[#This Row],[CODIGO]]="","",GUAYAQUIL[[#This Row],[COSTO UNIT Conv]]*GUAYAQUIL[[#This Row],[Stock Actual Kgs]]),"")</f>
        <v>0.78529499999999997</v>
      </c>
      <c r="AB270" s="33">
        <f ca="1">+IFERROR(IF(GUAYAQUIL[[#This Row],[CODIGO]]="","",$J$3-O270),"")</f>
        <v>22</v>
      </c>
      <c r="AC270" s="34" t="str">
        <f ca="1">IF(GUAYAQUIL[[#This Row],[CODIGO]]="","",IF(S270&lt;=0,"CADUCADO",IF(AND(S270&gt;0,S270&lt;=21),"FECHA CORTA",IF(AND(S270&gt;=22,S270&lt;=26),"PROXIMOS FECHA CORTA", "VIGENTE"))))</f>
        <v>VIGENTE</v>
      </c>
      <c r="AD270" s="37">
        <f>+IF(GUAYAQUIL[[#This Row],[CODIGO]]="","",GUAYAQUIL[[#This Row],[Stock Actual Unds]]*GUAYAQUIL[[#This Row],[Gramaje]]*GUAYAQUIL[[#This Row],[Conversión]])/1000</f>
        <v>1E-3</v>
      </c>
    </row>
    <row r="271" spans="1:30">
      <c r="A271" s="24" t="str">
        <f>+IFERROR(IF(GUAYAQUIL[[#This Row],[CODIGO]]="","",VLOOKUP(GUAYAQUIL[[#This Row],[CODIGO]],MAESTRO!$A:$J,10,FALSE)),"")</f>
        <v>SAN GABRIEL</v>
      </c>
      <c r="B271" s="24" t="str">
        <f>+IFERROR(IF(GUAYAQUIL[[#This Row],[CODIGO]]="","",VLOOKUP(GUAYAQUIL[[#This Row],[CODIGO]],MAESTRO!$A:$Q,17,FALSE)),"")</f>
        <v>POSTRES</v>
      </c>
      <c r="C271" s="24" t="str">
        <f>+IFERROR(IF(GUAYAQUIL[[#This Row],[CODIGO]]="","",VLOOKUP(GUAYAQUIL[[#This Row],[CODIGO]],MAESTRO!$A:$BA,53,FALSE)),"")</f>
        <v xml:space="preserve">Luis Armendariz                         </v>
      </c>
      <c r="D271" s="24" t="str">
        <f>+IFERROR(IF(GUAYAQUIL[[#This Row],[CODIGO]]="","",VLOOKUP(GUAYAQUIL[[#This Row],[CODIGO]],MAESTRO!$A:$D,4,FALSE)),"")</f>
        <v>AREQUIPE ALPINA</v>
      </c>
      <c r="E271" s="24" t="str">
        <f>+IFERROR(IF(GUAYAQUIL[[#This Row],[CODIGO]]="","",VLOOKUP(GUAYAQUIL[[#This Row],[CODIGO]],MAESTRO!$A:$F,6,FALSE)),"")</f>
        <v>AREQUIPE ALPINA</v>
      </c>
      <c r="F271" s="42" t="str">
        <f>IF(GUAYAQUIL[[#This Row],[CODIGO]]="","",$K$6)</f>
        <v>GUAYAQUIL</v>
      </c>
      <c r="G271" s="209">
        <f>IF(GUAYAQUIL[[#This Row],[CODIGO]]="","",7711)</f>
        <v>7711</v>
      </c>
      <c r="H271" s="209">
        <f>IF(GUAYAQUIL[[#This Row],[CODIGO]]="","",1001)</f>
        <v>1001</v>
      </c>
      <c r="I271" s="257" t="s">
        <v>675</v>
      </c>
      <c r="J271" s="25" t="str">
        <f>IFERROR((VLOOKUP(GUAYAQUIL[[#This Row],[CODIGO]],MAESTRO!A:B,2,FALSE)),"")</f>
        <v>AREQUIPE VASO 250G ECU</v>
      </c>
      <c r="K271" s="26">
        <v>1026</v>
      </c>
      <c r="L271" s="38">
        <f>+IFERROR(IF(GUAYAQUIL[[#This Row],[CODIGO]]="","",VLOOKUP(GUAYAQUIL[[#This Row],[CODIGO]],MAESTRO!$A:$BF,58,FALSE)),"")</f>
        <v>1</v>
      </c>
      <c r="M271" s="27">
        <f>+IFERROR(IF(GUAYAQUIL[[#This Row],[CODIGO]]="","",VLOOKUP(GUAYAQUIL[[#This Row],[CODIGO]],MAESTRO!A:N,14,FALSE)),"")</f>
        <v>0.25</v>
      </c>
      <c r="N271" s="28">
        <f>+IFERROR(IF(GUAYAQUIL[[#This Row],[CODIGO]]="","",VLOOKUP(GUAYAQUIL[[#This Row],[CODIGO]],MAESTRO!A:P,16,FALSE)),"")</f>
        <v>180</v>
      </c>
      <c r="O271" s="29">
        <v>45611</v>
      </c>
      <c r="P271" s="72" t="str">
        <f t="shared" si="20"/>
        <v>viernes</v>
      </c>
      <c r="Q271" s="29">
        <f>IFERROR(IF(GUAYAQUIL[[#This Row],[CODIGO]]="","",IF(GUAYAQUIL[[#This Row],[Fecha Cad]]="","",(GUAYAQUIL[[#This Row],[Fecha Cad]]-GUAYAQUIL[[#This Row],[VIDA UTIL (Días)]]))+1),"")</f>
        <v>45609</v>
      </c>
      <c r="R271" s="29">
        <v>45788</v>
      </c>
      <c r="S271" s="30">
        <f t="shared" ca="1" si="21"/>
        <v>164</v>
      </c>
      <c r="T271" s="31">
        <f t="shared" ca="1" si="22"/>
        <v>0.91111111111111109</v>
      </c>
      <c r="U271" s="286">
        <v>1026</v>
      </c>
      <c r="V271" s="260">
        <f>+IFERROR(IF(GUAYAQUIL[[#This Row],[CODIGO]]="","",GUAYAQUIL[[#This Row],[Stock Actual Unds]]*GUAYAQUIL[[#This Row],[Gramaje]]*GUAYAQUIL[[#This Row],[Conversión]]),"")</f>
        <v>256.5</v>
      </c>
      <c r="W271" s="270">
        <f t="shared" si="23"/>
        <v>2</v>
      </c>
      <c r="X271" s="32">
        <f t="shared" si="24"/>
        <v>0.98888888888888893</v>
      </c>
      <c r="Y271" s="236">
        <f>IFERROR(VLOOKUP(GUAYAQUIL[[#This Row],[CODIGO]],MAESTRO!A:BI,21,FALSE),0)</f>
        <v>0.78529499999999997</v>
      </c>
      <c r="Z271" s="237">
        <f>+IFERROR(IF(GUAYAQUIL[[#This Row],[CODIGO]]="","",GUAYAQUIL[[#This Row],[COSTO UNIT base]]*GUAYAQUIL[[#This Row],[Conversión]]),"")</f>
        <v>0.78529499999999997</v>
      </c>
      <c r="AA271" s="236">
        <f>+IFERROR(IF(GUAYAQUIL[[#This Row],[CODIGO]]="","",GUAYAQUIL[[#This Row],[COSTO UNIT Conv]]*GUAYAQUIL[[#This Row],[Stock Actual Kgs]]),"")</f>
        <v>201.4281675</v>
      </c>
      <c r="AB271" s="33">
        <f ca="1">+IFERROR(IF(GUAYAQUIL[[#This Row],[CODIGO]]="","",$J$3-O271),"")</f>
        <v>13</v>
      </c>
      <c r="AC271" s="34" t="str">
        <f ca="1">IF(GUAYAQUIL[[#This Row],[CODIGO]]="","",IF(S271&lt;=0,"CADUCADO",IF(AND(S271&gt;0,S271&lt;=21),"FECHA CORTA",IF(AND(S271&gt;=22,S271&lt;=26),"PROXIMOS FECHA CORTA", "VIGENTE"))))</f>
        <v>VIGENTE</v>
      </c>
      <c r="AD271" s="37">
        <f>+IF(GUAYAQUIL[[#This Row],[CODIGO]]="","",GUAYAQUIL[[#This Row],[Stock Actual Unds]]*GUAYAQUIL[[#This Row],[Gramaje]]*GUAYAQUIL[[#This Row],[Conversión]])/1000</f>
        <v>0.25650000000000001</v>
      </c>
    </row>
    <row r="272" spans="1:30">
      <c r="A272" s="24" t="str">
        <f>+IFERROR(IF(GUAYAQUIL[[#This Row],[CODIGO]]="","",VLOOKUP(GUAYAQUIL[[#This Row],[CODIGO]],MAESTRO!$A:$J,10,FALSE)),"")</f>
        <v>SAN GABRIEL</v>
      </c>
      <c r="B272" s="24" t="str">
        <f>+IFERROR(IF(GUAYAQUIL[[#This Row],[CODIGO]]="","",VLOOKUP(GUAYAQUIL[[#This Row],[CODIGO]],MAESTRO!$A:$Q,17,FALSE)),"")</f>
        <v>POSTRES</v>
      </c>
      <c r="C272" s="24" t="str">
        <f>+IFERROR(IF(GUAYAQUIL[[#This Row],[CODIGO]]="","",VLOOKUP(GUAYAQUIL[[#This Row],[CODIGO]],MAESTRO!$A:$BA,53,FALSE)),"")</f>
        <v xml:space="preserve">Luis Armendariz                         </v>
      </c>
      <c r="D272" s="24" t="str">
        <f>+IFERROR(IF(GUAYAQUIL[[#This Row],[CODIGO]]="","",VLOOKUP(GUAYAQUIL[[#This Row],[CODIGO]],MAESTRO!$A:$D,4,FALSE)),"")</f>
        <v>AREQUIPE ALPINA</v>
      </c>
      <c r="E272" s="24" t="str">
        <f>+IFERROR(IF(GUAYAQUIL[[#This Row],[CODIGO]]="","",VLOOKUP(GUAYAQUIL[[#This Row],[CODIGO]],MAESTRO!$A:$F,6,FALSE)),"")</f>
        <v>AREQUIPE ALPINA</v>
      </c>
      <c r="F272" s="42" t="str">
        <f>IF(GUAYAQUIL[[#This Row],[CODIGO]]="","",$K$6)</f>
        <v>GUAYAQUIL</v>
      </c>
      <c r="G272" s="42">
        <f>IF(GUAYAQUIL[[#This Row],[CODIGO]]="","",7711)</f>
        <v>7711</v>
      </c>
      <c r="H272" s="42">
        <f>IF(GUAYAQUIL[[#This Row],[CODIGO]]="","",1001)</f>
        <v>1001</v>
      </c>
      <c r="I272" s="258" t="s">
        <v>675</v>
      </c>
      <c r="J272" s="25" t="str">
        <f>IFERROR((VLOOKUP(GUAYAQUIL[[#This Row],[CODIGO]],MAESTRO!A:B,2,FALSE)),"")</f>
        <v>AREQUIPE VASO 250G ECU</v>
      </c>
      <c r="K272" s="35">
        <v>702</v>
      </c>
      <c r="L272" s="38">
        <f>+IFERROR(IF(GUAYAQUIL[[#This Row],[CODIGO]]="","",VLOOKUP(GUAYAQUIL[[#This Row],[CODIGO]],MAESTRO!$A:$BF,58,FALSE)),"")</f>
        <v>1</v>
      </c>
      <c r="M272" s="27">
        <f>+IFERROR(IF(GUAYAQUIL[[#This Row],[CODIGO]]="","",VLOOKUP(GUAYAQUIL[[#This Row],[CODIGO]],MAESTRO!A:N,14,FALSE)),"")</f>
        <v>0.25</v>
      </c>
      <c r="N272" s="28">
        <f>+IFERROR(IF(GUAYAQUIL[[#This Row],[CODIGO]]="","",VLOOKUP(GUAYAQUIL[[#This Row],[CODIGO]],MAESTRO!A:P,16,FALSE)),"")</f>
        <v>180</v>
      </c>
      <c r="O272" s="29">
        <v>45610</v>
      </c>
      <c r="P272" s="72" t="str">
        <f t="shared" si="20"/>
        <v>jueves</v>
      </c>
      <c r="Q272" s="29">
        <f>IFERROR(IF(GUAYAQUIL[[#This Row],[CODIGO]]="","",IF(GUAYAQUIL[[#This Row],[Fecha Cad]]="","",(GUAYAQUIL[[#This Row],[Fecha Cad]]-GUAYAQUIL[[#This Row],[VIDA UTIL (Días)]]))+1),"")</f>
        <v>45609</v>
      </c>
      <c r="R272" s="29">
        <v>45788</v>
      </c>
      <c r="S272" s="30">
        <f t="shared" ca="1" si="21"/>
        <v>164</v>
      </c>
      <c r="T272" s="31">
        <f t="shared" ca="1" si="22"/>
        <v>0.91111111111111109</v>
      </c>
      <c r="U272" s="286">
        <v>702</v>
      </c>
      <c r="V272" s="262">
        <f>+IFERROR(IF(GUAYAQUIL[[#This Row],[CODIGO]]="","",GUAYAQUIL[[#This Row],[Stock Actual Unds]]*GUAYAQUIL[[#This Row],[Gramaje]]*GUAYAQUIL[[#This Row],[Conversión]]),"")</f>
        <v>175.5</v>
      </c>
      <c r="W272" s="270">
        <f t="shared" si="23"/>
        <v>1</v>
      </c>
      <c r="X272" s="32">
        <f t="shared" si="24"/>
        <v>0.99444444444444446</v>
      </c>
      <c r="Y272" s="236">
        <f>IFERROR(VLOOKUP(GUAYAQUIL[[#This Row],[CODIGO]],MAESTRO!A:BI,21,FALSE),0)</f>
        <v>0.78529499999999997</v>
      </c>
      <c r="Z272" s="237">
        <f>+IFERROR(IF(GUAYAQUIL[[#This Row],[CODIGO]]="","",GUAYAQUIL[[#This Row],[COSTO UNIT base]]*GUAYAQUIL[[#This Row],[Conversión]]),"")</f>
        <v>0.78529499999999997</v>
      </c>
      <c r="AA272" s="236">
        <f>+IFERROR(IF(GUAYAQUIL[[#This Row],[CODIGO]]="","",GUAYAQUIL[[#This Row],[COSTO UNIT Conv]]*GUAYAQUIL[[#This Row],[Stock Actual Kgs]]),"")</f>
        <v>137.81927249999998</v>
      </c>
      <c r="AB272" s="33">
        <f ca="1">+IFERROR(IF(GUAYAQUIL[[#This Row],[CODIGO]]="","",$J$3-O272),"")</f>
        <v>14</v>
      </c>
      <c r="AC272" s="34" t="str">
        <f ca="1">IF(GUAYAQUIL[[#This Row],[CODIGO]]="","",IF(S272&lt;=0,"CADUCADO",IF(AND(S272&gt;0,S272&lt;=21),"FECHA CORTA",IF(AND(S272&gt;=22,S272&lt;=26),"PROXIMOS FECHA CORTA", "VIGENTE"))))</f>
        <v>VIGENTE</v>
      </c>
      <c r="AD272" s="37">
        <f>+IF(GUAYAQUIL[[#This Row],[CODIGO]]="","",GUAYAQUIL[[#This Row],[Stock Actual Unds]]*GUAYAQUIL[[#This Row],[Gramaje]]*GUAYAQUIL[[#This Row],[Conversión]])/1000</f>
        <v>0.17549999999999999</v>
      </c>
    </row>
    <row r="273" spans="1:30">
      <c r="A273" s="24" t="str">
        <f>+IFERROR(IF(GUAYAQUIL[[#This Row],[CODIGO]]="","",VLOOKUP(GUAYAQUIL[[#This Row],[CODIGO]],MAESTRO!$A:$J,10,FALSE)),"")</f>
        <v>SAN GABRIEL</v>
      </c>
      <c r="B273" s="24" t="str">
        <f>+IFERROR(IF(GUAYAQUIL[[#This Row],[CODIGO]]="","",VLOOKUP(GUAYAQUIL[[#This Row],[CODIGO]],MAESTRO!$A:$Q,17,FALSE)),"")</f>
        <v>POSTRES</v>
      </c>
      <c r="C273" s="24" t="str">
        <f>+IFERROR(IF(GUAYAQUIL[[#This Row],[CODIGO]]="","",VLOOKUP(GUAYAQUIL[[#This Row],[CODIGO]],MAESTRO!$A:$BA,53,FALSE)),"")</f>
        <v xml:space="preserve">Luis Armendariz                         </v>
      </c>
      <c r="D273" s="24" t="str">
        <f>+IFERROR(IF(GUAYAQUIL[[#This Row],[CODIGO]]="","",VLOOKUP(GUAYAQUIL[[#This Row],[CODIGO]],MAESTRO!$A:$D,4,FALSE)),"")</f>
        <v>AREQUIPE ALPINA</v>
      </c>
      <c r="E273" s="24" t="str">
        <f>+IFERROR(IF(GUAYAQUIL[[#This Row],[CODIGO]]="","",VLOOKUP(GUAYAQUIL[[#This Row],[CODIGO]],MAESTRO!$A:$F,6,FALSE)),"")</f>
        <v>AREQUIPE ALPINA</v>
      </c>
      <c r="F273" s="42" t="str">
        <f>IF(GUAYAQUIL[[#This Row],[CODIGO]]="","",$K$6)</f>
        <v>GUAYAQUIL</v>
      </c>
      <c r="G273" s="42">
        <f>IF(GUAYAQUIL[[#This Row],[CODIGO]]="","",7711)</f>
        <v>7711</v>
      </c>
      <c r="H273" s="42">
        <f>IF(GUAYAQUIL[[#This Row],[CODIGO]]="","",1001)</f>
        <v>1001</v>
      </c>
      <c r="I273" s="257" t="s">
        <v>675</v>
      </c>
      <c r="J273" s="25" t="str">
        <f>IFERROR((VLOOKUP(GUAYAQUIL[[#This Row],[CODIGO]],MAESTRO!A:B,2,FALSE)),"")</f>
        <v>AREQUIPE VASO 250G ECU</v>
      </c>
      <c r="K273" s="26">
        <v>324</v>
      </c>
      <c r="L273" s="38">
        <f>+IFERROR(IF(GUAYAQUIL[[#This Row],[CODIGO]]="","",VLOOKUP(GUAYAQUIL[[#This Row],[CODIGO]],MAESTRO!$A:$BF,58,FALSE)),"")</f>
        <v>1</v>
      </c>
      <c r="M273" s="27">
        <f>+IFERROR(IF(GUAYAQUIL[[#This Row],[CODIGO]]="","",VLOOKUP(GUAYAQUIL[[#This Row],[CODIGO]],MAESTRO!A:N,14,FALSE)),"")</f>
        <v>0.25</v>
      </c>
      <c r="N273" s="28">
        <f>+IFERROR(IF(GUAYAQUIL[[#This Row],[CODIGO]]="","",VLOOKUP(GUAYAQUIL[[#This Row],[CODIGO]],MAESTRO!A:P,16,FALSE)),"")</f>
        <v>180</v>
      </c>
      <c r="O273" s="29">
        <v>45616</v>
      </c>
      <c r="P273" s="72" t="str">
        <f t="shared" si="20"/>
        <v>miércoles</v>
      </c>
      <c r="Q273" s="29">
        <f>IFERROR(IF(GUAYAQUIL[[#This Row],[CODIGO]]="","",IF(GUAYAQUIL[[#This Row],[Fecha Cad]]="","",(GUAYAQUIL[[#This Row],[Fecha Cad]]-GUAYAQUIL[[#This Row],[VIDA UTIL (Días)]]))+1),"")</f>
        <v>45609</v>
      </c>
      <c r="R273" s="29">
        <v>45788</v>
      </c>
      <c r="S273" s="30">
        <f t="shared" ca="1" si="21"/>
        <v>164</v>
      </c>
      <c r="T273" s="31">
        <f t="shared" ca="1" si="22"/>
        <v>0.91111111111111109</v>
      </c>
      <c r="U273" s="286">
        <v>324</v>
      </c>
      <c r="V273" s="260">
        <f>+IFERROR(IF(GUAYAQUIL[[#This Row],[CODIGO]]="","",GUAYAQUIL[[#This Row],[Stock Actual Unds]]*GUAYAQUIL[[#This Row],[Gramaje]]*GUAYAQUIL[[#This Row],[Conversión]]),"")</f>
        <v>81</v>
      </c>
      <c r="W273" s="270">
        <f t="shared" si="23"/>
        <v>7</v>
      </c>
      <c r="X273" s="32">
        <f t="shared" si="24"/>
        <v>0.96111111111111114</v>
      </c>
      <c r="Y273" s="236">
        <f>IFERROR(VLOOKUP(GUAYAQUIL[[#This Row],[CODIGO]],MAESTRO!A:BI,21,FALSE),0)</f>
        <v>0.78529499999999997</v>
      </c>
      <c r="Z273" s="237">
        <f>+IFERROR(IF(GUAYAQUIL[[#This Row],[CODIGO]]="","",GUAYAQUIL[[#This Row],[COSTO UNIT base]]*GUAYAQUIL[[#This Row],[Conversión]]),"")</f>
        <v>0.78529499999999997</v>
      </c>
      <c r="AA273" s="236">
        <f>+IFERROR(IF(GUAYAQUIL[[#This Row],[CODIGO]]="","",GUAYAQUIL[[#This Row],[COSTO UNIT Conv]]*GUAYAQUIL[[#This Row],[Stock Actual Kgs]]),"")</f>
        <v>63.608894999999997</v>
      </c>
      <c r="AB273" s="33">
        <f ca="1">+IFERROR(IF(GUAYAQUIL[[#This Row],[CODIGO]]="","",$J$3-O273),"")</f>
        <v>8</v>
      </c>
      <c r="AC273" s="34" t="str">
        <f ca="1">IF(GUAYAQUIL[[#This Row],[CODIGO]]="","",IF(S273&lt;=0,"CADUCADO",IF(AND(S273&gt;0,S273&lt;=21),"FECHA CORTA",IF(AND(S273&gt;=22,S273&lt;=26),"PROXIMOS FECHA CORTA", "VIGENTE"))))</f>
        <v>VIGENTE</v>
      </c>
      <c r="AD273" s="37">
        <f>+IF(GUAYAQUIL[[#This Row],[CODIGO]]="","",GUAYAQUIL[[#This Row],[Stock Actual Unds]]*GUAYAQUIL[[#This Row],[Gramaje]]*GUAYAQUIL[[#This Row],[Conversión]])/1000</f>
        <v>8.1000000000000003E-2</v>
      </c>
    </row>
    <row r="274" spans="1:30">
      <c r="A274" s="24" t="str">
        <f>+IFERROR(IF(GUAYAQUIL[[#This Row],[CODIGO]]="","",VLOOKUP(GUAYAQUIL[[#This Row],[CODIGO]],MAESTRO!$A:$J,10,FALSE)),"")</f>
        <v>SAN GABRIEL</v>
      </c>
      <c r="B274" s="24" t="str">
        <f>+IFERROR(IF(GUAYAQUIL[[#This Row],[CODIGO]]="","",VLOOKUP(GUAYAQUIL[[#This Row],[CODIGO]],MAESTRO!$A:$Q,17,FALSE)),"")</f>
        <v>POSTRES</v>
      </c>
      <c r="C274" s="24" t="str">
        <f>+IFERROR(IF(GUAYAQUIL[[#This Row],[CODIGO]]="","",VLOOKUP(GUAYAQUIL[[#This Row],[CODIGO]],MAESTRO!$A:$BA,53,FALSE)),"")</f>
        <v xml:space="preserve">Luis Armendariz                         </v>
      </c>
      <c r="D274" s="24" t="str">
        <f>+IFERROR(IF(GUAYAQUIL[[#This Row],[CODIGO]]="","",VLOOKUP(GUAYAQUIL[[#This Row],[CODIGO]],MAESTRO!$A:$D,4,FALSE)),"")</f>
        <v>AREQUIPE ALPINA</v>
      </c>
      <c r="E274" s="24" t="str">
        <f>+IFERROR(IF(GUAYAQUIL[[#This Row],[CODIGO]]="","",VLOOKUP(GUAYAQUIL[[#This Row],[CODIGO]],MAESTRO!$A:$F,6,FALSE)),"")</f>
        <v>AREQUIPE ALPINA</v>
      </c>
      <c r="F274" s="42" t="str">
        <f>IF(GUAYAQUIL[[#This Row],[CODIGO]]="","",$K$6)</f>
        <v>GUAYAQUIL</v>
      </c>
      <c r="G274" s="42">
        <f>IF(GUAYAQUIL[[#This Row],[CODIGO]]="","",7711)</f>
        <v>7711</v>
      </c>
      <c r="H274" s="42">
        <f>IF(GUAYAQUIL[[#This Row],[CODIGO]]="","",1001)</f>
        <v>1001</v>
      </c>
      <c r="I274" s="258" t="s">
        <v>675</v>
      </c>
      <c r="J274" s="25" t="str">
        <f>IFERROR((VLOOKUP(GUAYAQUIL[[#This Row],[CODIGO]],MAESTRO!A:B,2,FALSE)),"")</f>
        <v>AREQUIPE VASO 250G ECU</v>
      </c>
      <c r="K274" s="35">
        <v>1350</v>
      </c>
      <c r="L274" s="38">
        <f>+IFERROR(IF(GUAYAQUIL[[#This Row],[CODIGO]]="","",VLOOKUP(GUAYAQUIL[[#This Row],[CODIGO]],MAESTRO!$A:$BF,58,FALSE)),"")</f>
        <v>1</v>
      </c>
      <c r="M274" s="27">
        <f>+IFERROR(IF(GUAYAQUIL[[#This Row],[CODIGO]]="","",VLOOKUP(GUAYAQUIL[[#This Row],[CODIGO]],MAESTRO!A:N,14,FALSE)),"")</f>
        <v>0.25</v>
      </c>
      <c r="N274" s="28">
        <f>+IFERROR(IF(GUAYAQUIL[[#This Row],[CODIGO]]="","",VLOOKUP(GUAYAQUIL[[#This Row],[CODIGO]],MAESTRO!A:P,16,FALSE)),"")</f>
        <v>180</v>
      </c>
      <c r="O274" s="29">
        <v>45617</v>
      </c>
      <c r="P274" s="72" t="str">
        <f t="shared" si="20"/>
        <v>jueves</v>
      </c>
      <c r="Q274" s="29">
        <f>IFERROR(IF(GUAYAQUIL[[#This Row],[CODIGO]]="","",IF(GUAYAQUIL[[#This Row],[Fecha Cad]]="","",(GUAYAQUIL[[#This Row],[Fecha Cad]]-GUAYAQUIL[[#This Row],[VIDA UTIL (Días)]]))+1),"")</f>
        <v>45615</v>
      </c>
      <c r="R274" s="29">
        <v>45794</v>
      </c>
      <c r="S274" s="30">
        <f t="shared" ca="1" si="21"/>
        <v>170</v>
      </c>
      <c r="T274" s="31">
        <f t="shared" ca="1" si="22"/>
        <v>0.94444444444444442</v>
      </c>
      <c r="U274" s="286">
        <v>1350</v>
      </c>
      <c r="V274" s="261">
        <f>+IFERROR(IF(GUAYAQUIL[[#This Row],[CODIGO]]="","",GUAYAQUIL[[#This Row],[Stock Actual Unds]]*GUAYAQUIL[[#This Row],[Gramaje]]*GUAYAQUIL[[#This Row],[Conversión]]),"")</f>
        <v>337.5</v>
      </c>
      <c r="W274" s="270">
        <f t="shared" si="23"/>
        <v>2</v>
      </c>
      <c r="X274" s="32">
        <f t="shared" si="24"/>
        <v>0.98888888888888893</v>
      </c>
      <c r="Y274" s="236">
        <f>IFERROR(VLOOKUP(GUAYAQUIL[[#This Row],[CODIGO]],MAESTRO!A:BI,21,FALSE),0)</f>
        <v>0.78529499999999997</v>
      </c>
      <c r="Z274" s="237">
        <f>+IFERROR(IF(GUAYAQUIL[[#This Row],[CODIGO]]="","",GUAYAQUIL[[#This Row],[COSTO UNIT base]]*GUAYAQUIL[[#This Row],[Conversión]]),"")</f>
        <v>0.78529499999999997</v>
      </c>
      <c r="AA274" s="236">
        <f>+IFERROR(IF(GUAYAQUIL[[#This Row],[CODIGO]]="","",GUAYAQUIL[[#This Row],[COSTO UNIT Conv]]*GUAYAQUIL[[#This Row],[Stock Actual Kgs]]),"")</f>
        <v>265.03706249999999</v>
      </c>
      <c r="AB274" s="33">
        <f ca="1">+IFERROR(IF(GUAYAQUIL[[#This Row],[CODIGO]]="","",$J$3-O274),"")</f>
        <v>7</v>
      </c>
      <c r="AC274" s="34" t="str">
        <f ca="1">IF(GUAYAQUIL[[#This Row],[CODIGO]]="","",IF(S274&lt;=0,"CADUCADO",IF(AND(S274&gt;0,S274&lt;=21),"FECHA CORTA",IF(AND(S274&gt;=22,S274&lt;=26),"PROXIMOS FECHA CORTA", "VIGENTE"))))</f>
        <v>VIGENTE</v>
      </c>
      <c r="AD274" s="37">
        <f>+IF(GUAYAQUIL[[#This Row],[CODIGO]]="","",GUAYAQUIL[[#This Row],[Stock Actual Unds]]*GUAYAQUIL[[#This Row],[Gramaje]]*GUAYAQUIL[[#This Row],[Conversión]])/1000</f>
        <v>0.33750000000000002</v>
      </c>
    </row>
    <row r="275" spans="1:30">
      <c r="A275" s="24" t="str">
        <f>+IFERROR(IF(GUAYAQUIL[[#This Row],[CODIGO]]="","",VLOOKUP(GUAYAQUIL[[#This Row],[CODIGO]],MAESTRO!$A:$J,10,FALSE)),"")</f>
        <v>MULTIEMPAQUE</v>
      </c>
      <c r="B275" s="24" t="str">
        <f>+IFERROR(IF(GUAYAQUIL[[#This Row],[CODIGO]]="","",VLOOKUP(GUAYAQUIL[[#This Row],[CODIGO]],MAESTRO!$A:$Q,17,FALSE)),"")</f>
        <v>POSTRES</v>
      </c>
      <c r="C275" s="24" t="str">
        <f>+IFERROR(IF(GUAYAQUIL[[#This Row],[CODIGO]]="","",VLOOKUP(GUAYAQUIL[[#This Row],[CODIGO]],MAESTRO!$A:$BA,53,FALSE)),"")</f>
        <v xml:space="preserve">Luis Armendariz                         </v>
      </c>
      <c r="D275" s="24" t="str">
        <f>+IFERROR(IF(GUAYAQUIL[[#This Row],[CODIGO]]="","",VLOOKUP(GUAYAQUIL[[#This Row],[CODIGO]],MAESTRO!$A:$D,4,FALSE)),"")</f>
        <v>ALPINETTE</v>
      </c>
      <c r="E275" s="24" t="str">
        <f>+IFERROR(IF(GUAYAQUIL[[#This Row],[CODIGO]]="","",VLOOKUP(GUAYAQUIL[[#This Row],[CODIGO]],MAESTRO!$A:$F,6,FALSE)),"")</f>
        <v>ALPINETTE</v>
      </c>
      <c r="F275" s="42" t="str">
        <f>IF(GUAYAQUIL[[#This Row],[CODIGO]]="","",$K$6)</f>
        <v>GUAYAQUIL</v>
      </c>
      <c r="G275" s="209">
        <f>IF(GUAYAQUIL[[#This Row],[CODIGO]]="","",7711)</f>
        <v>7711</v>
      </c>
      <c r="H275" s="209">
        <f>IF(GUAYAQUIL[[#This Row],[CODIGO]]="","",1001)</f>
        <v>1001</v>
      </c>
      <c r="I275" s="258" t="s">
        <v>4045</v>
      </c>
      <c r="J275" s="25" t="str">
        <f>IFERROR((VLOOKUP(GUAYAQUIL[[#This Row],[CODIGO]],MAESTRO!A:B,2,FALSE)),"")</f>
        <v>MPLX4 ALPINETTE MOR 140G</v>
      </c>
      <c r="K275" s="35">
        <v>6</v>
      </c>
      <c r="L275" s="38">
        <f>+IFERROR(IF(GUAYAQUIL[[#This Row],[CODIGO]]="","",VLOOKUP(GUAYAQUIL[[#This Row],[CODIGO]],MAESTRO!$A:$BF,58,FALSE)),"")</f>
        <v>1</v>
      </c>
      <c r="M275" s="27">
        <f>+IFERROR(IF(GUAYAQUIL[[#This Row],[CODIGO]]="","",VLOOKUP(GUAYAQUIL[[#This Row],[CODIGO]],MAESTRO!A:N,14,FALSE)),"")</f>
        <v>0.56000000000000005</v>
      </c>
      <c r="N275" s="28">
        <f>+IFERROR(IF(GUAYAQUIL[[#This Row],[CODIGO]]="","",VLOOKUP(GUAYAQUIL[[#This Row],[CODIGO]],MAESTRO!A:P,16,FALSE)),"")</f>
        <v>60</v>
      </c>
      <c r="O275" s="29">
        <v>45595</v>
      </c>
      <c r="P275" s="72" t="str">
        <f t="shared" si="20"/>
        <v>miércoles</v>
      </c>
      <c r="Q275" s="29">
        <f>IFERROR(IF(GUAYAQUIL[[#This Row],[CODIGO]]="","",IF(GUAYAQUIL[[#This Row],[Fecha Cad]]="","",(GUAYAQUIL[[#This Row],[Fecha Cad]]-GUAYAQUIL[[#This Row],[VIDA UTIL (Días)]]))+1),"")</f>
        <v>45573</v>
      </c>
      <c r="R275" s="29">
        <v>45632</v>
      </c>
      <c r="S275" s="30">
        <f t="shared" ca="1" si="21"/>
        <v>8</v>
      </c>
      <c r="T275" s="31">
        <f t="shared" ca="1" si="22"/>
        <v>0.13333333333333333</v>
      </c>
      <c r="U275" s="286">
        <v>5</v>
      </c>
      <c r="V275" s="261">
        <f>+IFERROR(IF(GUAYAQUIL[[#This Row],[CODIGO]]="","",GUAYAQUIL[[#This Row],[Stock Actual Unds]]*GUAYAQUIL[[#This Row],[Gramaje]]*GUAYAQUIL[[#This Row],[Conversión]]),"")</f>
        <v>2.8000000000000003</v>
      </c>
      <c r="W275" s="270">
        <f t="shared" si="23"/>
        <v>22</v>
      </c>
      <c r="X275" s="32">
        <f t="shared" si="24"/>
        <v>0.6333333333333333</v>
      </c>
      <c r="Y275" s="236">
        <f>IFERROR(VLOOKUP(GUAYAQUIL[[#This Row],[CODIGO]],MAESTRO!A:BI,21,FALSE),0)</f>
        <v>1.9986900000000001</v>
      </c>
      <c r="Z275" s="237">
        <f>+IFERROR(IF(GUAYAQUIL[[#This Row],[CODIGO]]="","",GUAYAQUIL[[#This Row],[COSTO UNIT base]]*GUAYAQUIL[[#This Row],[Conversión]]),"")</f>
        <v>1.9986900000000001</v>
      </c>
      <c r="AA275" s="236">
        <f>+IFERROR(IF(GUAYAQUIL[[#This Row],[CODIGO]]="","",GUAYAQUIL[[#This Row],[COSTO UNIT Conv]]*GUAYAQUIL[[#This Row],[Stock Actual Kgs]]),"")</f>
        <v>5.5963320000000003</v>
      </c>
      <c r="AB275" s="33">
        <f ca="1">+IFERROR(IF(GUAYAQUIL[[#This Row],[CODIGO]]="","",$J$3-O275),"")</f>
        <v>29</v>
      </c>
      <c r="AC275" s="34" t="str">
        <f ca="1">IF(GUAYAQUIL[[#This Row],[CODIGO]]="","",IF(S275&lt;=0,"CADUCADO",IF(AND(S275&gt;0,S275&lt;=21),"FECHA CORTA",IF(AND(S275&gt;=22,S275&lt;=26),"PROXIMOS FECHA CORTA", "VIGENTE"))))</f>
        <v>FECHA CORTA</v>
      </c>
      <c r="AD275" s="37">
        <f>+IF(GUAYAQUIL[[#This Row],[CODIGO]]="","",GUAYAQUIL[[#This Row],[Stock Actual Unds]]*GUAYAQUIL[[#This Row],[Gramaje]]*GUAYAQUIL[[#This Row],[Conversión]])/1000</f>
        <v>2.8000000000000004E-3</v>
      </c>
    </row>
    <row r="276" spans="1:30">
      <c r="A276" s="24" t="str">
        <f>+IFERROR(IF(GUAYAQUIL[[#This Row],[CODIGO]]="","",VLOOKUP(GUAYAQUIL[[#This Row],[CODIGO]],MAESTRO!$A:$J,10,FALSE)),"")</f>
        <v>MULTIEMPAQUE</v>
      </c>
      <c r="B276" s="24" t="str">
        <f>+IFERROR(IF(GUAYAQUIL[[#This Row],[CODIGO]]="","",VLOOKUP(GUAYAQUIL[[#This Row],[CODIGO]],MAESTRO!$A:$Q,17,FALSE)),"")</f>
        <v>POSTRES</v>
      </c>
      <c r="C276" s="24" t="str">
        <f>+IFERROR(IF(GUAYAQUIL[[#This Row],[CODIGO]]="","",VLOOKUP(GUAYAQUIL[[#This Row],[CODIGO]],MAESTRO!$A:$BA,53,FALSE)),"")</f>
        <v xml:space="preserve">Luis Armendariz                         </v>
      </c>
      <c r="D276" s="24" t="str">
        <f>+IFERROR(IF(GUAYAQUIL[[#This Row],[CODIGO]]="","",VLOOKUP(GUAYAQUIL[[#This Row],[CODIGO]],MAESTRO!$A:$D,4,FALSE)),"")</f>
        <v>ALPINETTE</v>
      </c>
      <c r="E276" s="24" t="str">
        <f>+IFERROR(IF(GUAYAQUIL[[#This Row],[CODIGO]]="","",VLOOKUP(GUAYAQUIL[[#This Row],[CODIGO]],MAESTRO!$A:$F,6,FALSE)),"")</f>
        <v>ALPINETTE</v>
      </c>
      <c r="F276" s="42" t="str">
        <f>IF(GUAYAQUIL[[#This Row],[CODIGO]]="","",$K$6)</f>
        <v>GUAYAQUIL</v>
      </c>
      <c r="G276" s="42">
        <f>IF(GUAYAQUIL[[#This Row],[CODIGO]]="","",7711)</f>
        <v>7711</v>
      </c>
      <c r="H276" s="42">
        <f>IF(GUAYAQUIL[[#This Row],[CODIGO]]="","",1001)</f>
        <v>1001</v>
      </c>
      <c r="I276" s="257" t="s">
        <v>4045</v>
      </c>
      <c r="J276" s="25" t="str">
        <f>IFERROR((VLOOKUP(GUAYAQUIL[[#This Row],[CODIGO]],MAESTRO!A:B,2,FALSE)),"")</f>
        <v>MPLX4 ALPINETTE MOR 140G</v>
      </c>
      <c r="K276" s="26">
        <v>36</v>
      </c>
      <c r="L276" s="38">
        <f>+IFERROR(IF(GUAYAQUIL[[#This Row],[CODIGO]]="","",VLOOKUP(GUAYAQUIL[[#This Row],[CODIGO]],MAESTRO!$A:$BF,58,FALSE)),"")</f>
        <v>1</v>
      </c>
      <c r="M276" s="27">
        <f>+IFERROR(IF(GUAYAQUIL[[#This Row],[CODIGO]]="","",VLOOKUP(GUAYAQUIL[[#This Row],[CODIGO]],MAESTRO!A:N,14,FALSE)),"")</f>
        <v>0.56000000000000005</v>
      </c>
      <c r="N276" s="28">
        <f>+IFERROR(IF(GUAYAQUIL[[#This Row],[CODIGO]]="","",VLOOKUP(GUAYAQUIL[[#This Row],[CODIGO]],MAESTRO!A:P,16,FALSE)),"")</f>
        <v>60</v>
      </c>
      <c r="O276" s="29">
        <v>45597</v>
      </c>
      <c r="P276" s="72" t="str">
        <f t="shared" si="20"/>
        <v>viernes</v>
      </c>
      <c r="Q276" s="29">
        <f>IFERROR(IF(GUAYAQUIL[[#This Row],[CODIGO]]="","",IF(GUAYAQUIL[[#This Row],[Fecha Cad]]="","",(GUAYAQUIL[[#This Row],[Fecha Cad]]-GUAYAQUIL[[#This Row],[VIDA UTIL (Días)]]))+1),"")</f>
        <v>45573</v>
      </c>
      <c r="R276" s="29">
        <v>45632</v>
      </c>
      <c r="S276" s="30">
        <f t="shared" ca="1" si="21"/>
        <v>8</v>
      </c>
      <c r="T276" s="31">
        <f t="shared" ca="1" si="22"/>
        <v>0.13333333333333333</v>
      </c>
      <c r="U276" s="286">
        <v>36</v>
      </c>
      <c r="V276" s="260">
        <f>+IFERROR(IF(GUAYAQUIL[[#This Row],[CODIGO]]="","",GUAYAQUIL[[#This Row],[Stock Actual Unds]]*GUAYAQUIL[[#This Row],[Gramaje]]*GUAYAQUIL[[#This Row],[Conversión]]),"")</f>
        <v>20.160000000000004</v>
      </c>
      <c r="W276" s="270">
        <f t="shared" si="23"/>
        <v>24</v>
      </c>
      <c r="X276" s="32">
        <f t="shared" si="24"/>
        <v>0.6</v>
      </c>
      <c r="Y276" s="236">
        <f>IFERROR(VLOOKUP(GUAYAQUIL[[#This Row],[CODIGO]],MAESTRO!A:BI,21,FALSE),0)</f>
        <v>1.9986900000000001</v>
      </c>
      <c r="Z276" s="237">
        <f>+IFERROR(IF(GUAYAQUIL[[#This Row],[CODIGO]]="","",GUAYAQUIL[[#This Row],[COSTO UNIT base]]*GUAYAQUIL[[#This Row],[Conversión]]),"")</f>
        <v>1.9986900000000001</v>
      </c>
      <c r="AA276" s="236">
        <f>+IFERROR(IF(GUAYAQUIL[[#This Row],[CODIGO]]="","",GUAYAQUIL[[#This Row],[COSTO UNIT Conv]]*GUAYAQUIL[[#This Row],[Stock Actual Kgs]]),"")</f>
        <v>40.293590400000006</v>
      </c>
      <c r="AB276" s="33">
        <f ca="1">+IFERROR(IF(GUAYAQUIL[[#This Row],[CODIGO]]="","",$J$3-O276),"")</f>
        <v>27</v>
      </c>
      <c r="AC276" s="34" t="str">
        <f ca="1">IF(GUAYAQUIL[[#This Row],[CODIGO]]="","",IF(S276&lt;=0,"CADUCADO",IF(AND(S276&gt;0,S276&lt;=21),"FECHA CORTA",IF(AND(S276&gt;=22,S276&lt;=26),"PROXIMOS FECHA CORTA", "VIGENTE"))))</f>
        <v>FECHA CORTA</v>
      </c>
      <c r="AD276" s="37">
        <f>+IF(GUAYAQUIL[[#This Row],[CODIGO]]="","",GUAYAQUIL[[#This Row],[Stock Actual Unds]]*GUAYAQUIL[[#This Row],[Gramaje]]*GUAYAQUIL[[#This Row],[Conversión]])/1000</f>
        <v>2.0160000000000004E-2</v>
      </c>
    </row>
    <row r="277" spans="1:30">
      <c r="A277" s="24" t="str">
        <f>+IFERROR(IF(GUAYAQUIL[[#This Row],[CODIGO]]="","",VLOOKUP(GUAYAQUIL[[#This Row],[CODIGO]],MAESTRO!$A:$J,10,FALSE)),"")</f>
        <v>SAN GABRIEL</v>
      </c>
      <c r="B277" s="24" t="str">
        <f>+IFERROR(IF(GUAYAQUIL[[#This Row],[CODIGO]]="","",VLOOKUP(GUAYAQUIL[[#This Row],[CODIGO]],MAESTRO!$A:$Q,17,FALSE)),"")</f>
        <v>QUESOS Y GRASAS</v>
      </c>
      <c r="C277" s="24" t="str">
        <f>+IFERROR(IF(GUAYAQUIL[[#This Row],[CODIGO]]="","",VLOOKUP(GUAYAQUIL[[#This Row],[CODIGO]],MAESTRO!$A:$BA,53,FALSE)),"")</f>
        <v xml:space="preserve">Esteban Montenegro                      </v>
      </c>
      <c r="D277" s="24" t="str">
        <f>+IFERROR(IF(GUAYAQUIL[[#This Row],[CODIGO]]="","",VLOOKUP(GUAYAQUIL[[#This Row],[CODIGO]],MAESTRO!$A:$D,4,FALSE)),"")</f>
        <v>QUESO SEMIMADURO KIOSKO</v>
      </c>
      <c r="E277" s="24" t="str">
        <f>+IFERROR(IF(GUAYAQUIL[[#This Row],[CODIGO]]="","",VLOOKUP(GUAYAQUIL[[#This Row],[CODIGO]],MAESTRO!$A:$F,6,FALSE)),"")</f>
        <v>QUESO GOUDA KIOSKO TAJADO</v>
      </c>
      <c r="F277" s="42" t="str">
        <f>IF(GUAYAQUIL[[#This Row],[CODIGO]]="","",$K$6)</f>
        <v>GUAYAQUIL</v>
      </c>
      <c r="G277" s="42">
        <f>IF(GUAYAQUIL[[#This Row],[CODIGO]]="","",7711)</f>
        <v>7711</v>
      </c>
      <c r="H277" s="42">
        <f>IF(GUAYAQUIL[[#This Row],[CODIGO]]="","",1001)</f>
        <v>1001</v>
      </c>
      <c r="I277" s="258" t="s">
        <v>1119</v>
      </c>
      <c r="J277" s="25" t="str">
        <f>IFERROR((VLOOKUP(GUAYAQUIL[[#This Row],[CODIGO]],MAESTRO!A:B,2,FALSE)),"")</f>
        <v>Q GOUDA KIOSKO LONJ 200G</v>
      </c>
      <c r="K277" s="35">
        <v>120</v>
      </c>
      <c r="L277" s="38">
        <f>+IFERROR(IF(GUAYAQUIL[[#This Row],[CODIGO]]="","",VLOOKUP(GUAYAQUIL[[#This Row],[CODIGO]],MAESTRO!$A:$BF,58,FALSE)),"")</f>
        <v>1</v>
      </c>
      <c r="M277" s="27">
        <f>+IFERROR(IF(GUAYAQUIL[[#This Row],[CODIGO]]="","",VLOOKUP(GUAYAQUIL[[#This Row],[CODIGO]],MAESTRO!A:N,14,FALSE)),"")</f>
        <v>0.2</v>
      </c>
      <c r="N277" s="28">
        <f>+IFERROR(IF(GUAYAQUIL[[#This Row],[CODIGO]]="","",VLOOKUP(GUAYAQUIL[[#This Row],[CODIGO]],MAESTRO!A:P,16,FALSE)),"")</f>
        <v>60</v>
      </c>
      <c r="O277" s="29">
        <v>45597</v>
      </c>
      <c r="P277" s="72" t="str">
        <f t="shared" si="20"/>
        <v>viernes</v>
      </c>
      <c r="Q277" s="29">
        <f>IFERROR(IF(GUAYAQUIL[[#This Row],[CODIGO]]="","",IF(GUAYAQUIL[[#This Row],[Fecha Cad]]="","",(GUAYAQUIL[[#This Row],[Fecha Cad]]-GUAYAQUIL[[#This Row],[VIDA UTIL (Días)]]))+1),"")</f>
        <v>45589</v>
      </c>
      <c r="R277" s="29">
        <v>45648</v>
      </c>
      <c r="S277" s="30">
        <f t="shared" ca="1" si="21"/>
        <v>24</v>
      </c>
      <c r="T277" s="31">
        <f t="shared" ca="1" si="22"/>
        <v>0.4</v>
      </c>
      <c r="U277" s="286">
        <v>60</v>
      </c>
      <c r="V277" s="261">
        <f>+IFERROR(IF(GUAYAQUIL[[#This Row],[CODIGO]]="","",GUAYAQUIL[[#This Row],[Stock Actual Unds]]*GUAYAQUIL[[#This Row],[Gramaje]]*GUAYAQUIL[[#This Row],[Conversión]]),"")</f>
        <v>12</v>
      </c>
      <c r="W277" s="270">
        <f t="shared" si="23"/>
        <v>8</v>
      </c>
      <c r="X277" s="32">
        <f t="shared" si="24"/>
        <v>0.8666666666666667</v>
      </c>
      <c r="Y277" s="236">
        <f>IFERROR(VLOOKUP(GUAYAQUIL[[#This Row],[CODIGO]],MAESTRO!A:BI,21,FALSE),0)</f>
        <v>1.5206200000000001</v>
      </c>
      <c r="Z277" s="237">
        <f>+IFERROR(IF(GUAYAQUIL[[#This Row],[CODIGO]]="","",GUAYAQUIL[[#This Row],[COSTO UNIT base]]*GUAYAQUIL[[#This Row],[Conversión]]),"")</f>
        <v>1.5206200000000001</v>
      </c>
      <c r="AA277" s="236">
        <f>+IFERROR(IF(GUAYAQUIL[[#This Row],[CODIGO]]="","",GUAYAQUIL[[#This Row],[COSTO UNIT Conv]]*GUAYAQUIL[[#This Row],[Stock Actual Kgs]]),"")</f>
        <v>18.247440000000001</v>
      </c>
      <c r="AB277" s="33">
        <f ca="1">+IFERROR(IF(GUAYAQUIL[[#This Row],[CODIGO]]="","",$J$3-O277),"")</f>
        <v>27</v>
      </c>
      <c r="AC277" s="34" t="str">
        <f ca="1">IF(GUAYAQUIL[[#This Row],[CODIGO]]="","",IF(S277&lt;=0,"CADUCADO",IF(AND(S277&gt;0,S277&lt;=21),"FECHA CORTA",IF(AND(S277&gt;=22,S277&lt;=26),"PROXIMOS FECHA CORTA", "VIGENTE"))))</f>
        <v>PROXIMOS FECHA CORTA</v>
      </c>
      <c r="AD277" s="37">
        <f>+IF(GUAYAQUIL[[#This Row],[CODIGO]]="","",GUAYAQUIL[[#This Row],[Stock Actual Unds]]*GUAYAQUIL[[#This Row],[Gramaje]]*GUAYAQUIL[[#This Row],[Conversión]])/1000</f>
        <v>1.2E-2</v>
      </c>
    </row>
    <row r="278" spans="1:30">
      <c r="A278" s="24" t="str">
        <f>+IFERROR(IF(GUAYAQUIL[[#This Row],[CODIGO]]="","",VLOOKUP(GUAYAQUIL[[#This Row],[CODIGO]],MAESTRO!$A:$J,10,FALSE)),"")</f>
        <v>SAN GABRIEL</v>
      </c>
      <c r="B278" s="24" t="str">
        <f>+IFERROR(IF(GUAYAQUIL[[#This Row],[CODIGO]]="","",VLOOKUP(GUAYAQUIL[[#This Row],[CODIGO]],MAESTRO!$A:$Q,17,FALSE)),"")</f>
        <v>QUESOS Y GRASAS</v>
      </c>
      <c r="C278" s="24" t="str">
        <f>+IFERROR(IF(GUAYAQUIL[[#This Row],[CODIGO]]="","",VLOOKUP(GUAYAQUIL[[#This Row],[CODIGO]],MAESTRO!$A:$BA,53,FALSE)),"")</f>
        <v xml:space="preserve">Esteban Montenegro                      </v>
      </c>
      <c r="D278" s="24" t="str">
        <f>+IFERROR(IF(GUAYAQUIL[[#This Row],[CODIGO]]="","",VLOOKUP(GUAYAQUIL[[#This Row],[CODIGO]],MAESTRO!$A:$D,4,FALSE)),"")</f>
        <v>QUESO SEMIMADURO KIOSKO</v>
      </c>
      <c r="E278" s="24" t="str">
        <f>+IFERROR(IF(GUAYAQUIL[[#This Row],[CODIGO]]="","",VLOOKUP(GUAYAQUIL[[#This Row],[CODIGO]],MAESTRO!$A:$F,6,FALSE)),"")</f>
        <v>QUESO GOUDA KIOSKO TAJADO</v>
      </c>
      <c r="F278" s="42" t="str">
        <f>IF(GUAYAQUIL[[#This Row],[CODIGO]]="","",$K$6)</f>
        <v>GUAYAQUIL</v>
      </c>
      <c r="G278" s="42">
        <f>IF(GUAYAQUIL[[#This Row],[CODIGO]]="","",7711)</f>
        <v>7711</v>
      </c>
      <c r="H278" s="42">
        <f>IF(GUAYAQUIL[[#This Row],[CODIGO]]="","",1001)</f>
        <v>1001</v>
      </c>
      <c r="I278" s="258" t="s">
        <v>1119</v>
      </c>
      <c r="J278" s="25" t="str">
        <f>IFERROR((VLOOKUP(GUAYAQUIL[[#This Row],[CODIGO]],MAESTRO!A:B,2,FALSE)),"")</f>
        <v>Q GOUDA KIOSKO LONJ 200G</v>
      </c>
      <c r="K278" s="35">
        <v>104</v>
      </c>
      <c r="L278" s="38">
        <f>+IFERROR(IF(GUAYAQUIL[[#This Row],[CODIGO]]="","",VLOOKUP(GUAYAQUIL[[#This Row],[CODIGO]],MAESTRO!$A:$BF,58,FALSE)),"")</f>
        <v>1</v>
      </c>
      <c r="M278" s="27">
        <f>+IFERROR(IF(GUAYAQUIL[[#This Row],[CODIGO]]="","",VLOOKUP(GUAYAQUIL[[#This Row],[CODIGO]],MAESTRO!A:N,14,FALSE)),"")</f>
        <v>0.2</v>
      </c>
      <c r="N278" s="28">
        <f>+IFERROR(IF(GUAYAQUIL[[#This Row],[CODIGO]]="","",VLOOKUP(GUAYAQUIL[[#This Row],[CODIGO]],MAESTRO!A:P,16,FALSE)),"")</f>
        <v>60</v>
      </c>
      <c r="O278" s="45">
        <v>45611</v>
      </c>
      <c r="P278" s="72" t="str">
        <f t="shared" si="20"/>
        <v>viernes</v>
      </c>
      <c r="Q278" s="29">
        <f>IFERROR(IF(GUAYAQUIL[[#This Row],[CODIGO]]="","",IF(GUAYAQUIL[[#This Row],[Fecha Cad]]="","",(GUAYAQUIL[[#This Row],[Fecha Cad]]-GUAYAQUIL[[#This Row],[VIDA UTIL (Días)]]))+1),"")</f>
        <v>45604</v>
      </c>
      <c r="R278" s="45">
        <v>45663</v>
      </c>
      <c r="S278" s="30">
        <f t="shared" ca="1" si="21"/>
        <v>39</v>
      </c>
      <c r="T278" s="31">
        <f t="shared" ca="1" si="22"/>
        <v>0.65</v>
      </c>
      <c r="U278" s="286">
        <v>41</v>
      </c>
      <c r="V278" s="262">
        <f>+IFERROR(IF(GUAYAQUIL[[#This Row],[CODIGO]]="","",GUAYAQUIL[[#This Row],[Stock Actual Unds]]*GUAYAQUIL[[#This Row],[Gramaje]]*GUAYAQUIL[[#This Row],[Conversión]]),"")</f>
        <v>8.2000000000000011</v>
      </c>
      <c r="W278" s="270">
        <f t="shared" si="23"/>
        <v>7</v>
      </c>
      <c r="X278" s="32">
        <f t="shared" si="24"/>
        <v>0.8833333333333333</v>
      </c>
      <c r="Y278" s="236">
        <f>IFERROR(VLOOKUP(GUAYAQUIL[[#This Row],[CODIGO]],MAESTRO!A:BI,21,FALSE),0)</f>
        <v>1.5206200000000001</v>
      </c>
      <c r="Z278" s="237">
        <f>+IFERROR(IF(GUAYAQUIL[[#This Row],[CODIGO]]="","",GUAYAQUIL[[#This Row],[COSTO UNIT base]]*GUAYAQUIL[[#This Row],[Conversión]]),"")</f>
        <v>1.5206200000000001</v>
      </c>
      <c r="AA278" s="236">
        <f>+IFERROR(IF(GUAYAQUIL[[#This Row],[CODIGO]]="","",GUAYAQUIL[[#This Row],[COSTO UNIT Conv]]*GUAYAQUIL[[#This Row],[Stock Actual Kgs]]),"")</f>
        <v>12.469084000000002</v>
      </c>
      <c r="AB278" s="33">
        <f ca="1">+IFERROR(IF(GUAYAQUIL[[#This Row],[CODIGO]]="","",$J$3-O278),"")</f>
        <v>13</v>
      </c>
      <c r="AC278" s="34" t="str">
        <f ca="1">IF(GUAYAQUIL[[#This Row],[CODIGO]]="","",IF(S278&lt;=0,"CADUCADO",IF(AND(S278&gt;0,S278&lt;=21),"FECHA CORTA",IF(AND(S278&gt;=22,S278&lt;=26),"PROXIMOS FECHA CORTA", "VIGENTE"))))</f>
        <v>VIGENTE</v>
      </c>
      <c r="AD278" s="37">
        <f>+IF(GUAYAQUIL[[#This Row],[CODIGO]]="","",GUAYAQUIL[[#This Row],[Stock Actual Unds]]*GUAYAQUIL[[#This Row],[Gramaje]]*GUAYAQUIL[[#This Row],[Conversión]])/1000</f>
        <v>8.2000000000000007E-3</v>
      </c>
    </row>
    <row r="279" spans="1:30">
      <c r="A279" s="24" t="str">
        <f>+IFERROR(IF(GUAYAQUIL[[#This Row],[CODIGO]]="","",VLOOKUP(GUAYAQUIL[[#This Row],[CODIGO]],MAESTRO!$A:$J,10,FALSE)),"")</f>
        <v>SAN GABRIEL</v>
      </c>
      <c r="B279" s="24" t="str">
        <f>+IFERROR(IF(GUAYAQUIL[[#This Row],[CODIGO]]="","",VLOOKUP(GUAYAQUIL[[#This Row],[CODIGO]],MAESTRO!$A:$Q,17,FALSE)),"")</f>
        <v>QUESOS Y GRASAS</v>
      </c>
      <c r="C279" s="24" t="str">
        <f>+IFERROR(IF(GUAYAQUIL[[#This Row],[CODIGO]]="","",VLOOKUP(GUAYAQUIL[[#This Row],[CODIGO]],MAESTRO!$A:$BA,53,FALSE)),"")</f>
        <v xml:space="preserve">Esteban Montenegro                      </v>
      </c>
      <c r="D279" s="24" t="str">
        <f>+IFERROR(IF(GUAYAQUIL[[#This Row],[CODIGO]]="","",VLOOKUP(GUAYAQUIL[[#This Row],[CODIGO]],MAESTRO!$A:$D,4,FALSE)),"")</f>
        <v>QUESO SEMIMADURO KIOSKO</v>
      </c>
      <c r="E279" s="24" t="str">
        <f>+IFERROR(IF(GUAYAQUIL[[#This Row],[CODIGO]]="","",VLOOKUP(GUAYAQUIL[[#This Row],[CODIGO]],MAESTRO!$A:$F,6,FALSE)),"")</f>
        <v>QUESO GOUDA KIOSKO TAJADO</v>
      </c>
      <c r="F279" s="42" t="str">
        <f>IF(GUAYAQUIL[[#This Row],[CODIGO]]="","",$K$6)</f>
        <v>GUAYAQUIL</v>
      </c>
      <c r="G279" s="42">
        <f>IF(GUAYAQUIL[[#This Row],[CODIGO]]="","",7711)</f>
        <v>7711</v>
      </c>
      <c r="H279" s="42">
        <f>IF(GUAYAQUIL[[#This Row],[CODIGO]]="","",1001)</f>
        <v>1001</v>
      </c>
      <c r="I279" s="258" t="s">
        <v>1119</v>
      </c>
      <c r="J279" s="25" t="str">
        <f>IFERROR((VLOOKUP(GUAYAQUIL[[#This Row],[CODIGO]],MAESTRO!A:B,2,FALSE)),"")</f>
        <v>Q GOUDA KIOSKO LONJ 200G</v>
      </c>
      <c r="K279" s="35">
        <v>16</v>
      </c>
      <c r="L279" s="38">
        <f>+IFERROR(IF(GUAYAQUIL[[#This Row],[CODIGO]]="","",VLOOKUP(GUAYAQUIL[[#This Row],[CODIGO]],MAESTRO!$A:$BF,58,FALSE)),"")</f>
        <v>1</v>
      </c>
      <c r="M279" s="27">
        <f>+IFERROR(IF(GUAYAQUIL[[#This Row],[CODIGO]]="","",VLOOKUP(GUAYAQUIL[[#This Row],[CODIGO]],MAESTRO!A:N,14,FALSE)),"")</f>
        <v>0.2</v>
      </c>
      <c r="N279" s="28">
        <f>+IFERROR(IF(GUAYAQUIL[[#This Row],[CODIGO]]="","",VLOOKUP(GUAYAQUIL[[#This Row],[CODIGO]],MAESTRO!A:P,16,FALSE)),"")</f>
        <v>60</v>
      </c>
      <c r="O279" s="45">
        <v>45611</v>
      </c>
      <c r="P279" s="72" t="str">
        <f t="shared" si="20"/>
        <v>viernes</v>
      </c>
      <c r="Q279" s="29">
        <f>IFERROR(IF(GUAYAQUIL[[#This Row],[CODIGO]]="","",IF(GUAYAQUIL[[#This Row],[Fecha Cad]]="","",(GUAYAQUIL[[#This Row],[Fecha Cad]]-GUAYAQUIL[[#This Row],[VIDA UTIL (Días)]]))+1),"")</f>
        <v>45608</v>
      </c>
      <c r="R279" s="45">
        <v>45667</v>
      </c>
      <c r="S279" s="30">
        <f t="shared" ca="1" si="21"/>
        <v>43</v>
      </c>
      <c r="T279" s="31">
        <f t="shared" ca="1" si="22"/>
        <v>0.71666666666666667</v>
      </c>
      <c r="U279" s="286">
        <v>16</v>
      </c>
      <c r="V279" s="262">
        <f>+IFERROR(IF(GUAYAQUIL[[#This Row],[CODIGO]]="","",GUAYAQUIL[[#This Row],[Stock Actual Unds]]*GUAYAQUIL[[#This Row],[Gramaje]]*GUAYAQUIL[[#This Row],[Conversión]]),"")</f>
        <v>3.2</v>
      </c>
      <c r="W279" s="270">
        <f t="shared" si="23"/>
        <v>3</v>
      </c>
      <c r="X279" s="32">
        <f t="shared" si="24"/>
        <v>0.95</v>
      </c>
      <c r="Y279" s="236">
        <f>IFERROR(VLOOKUP(GUAYAQUIL[[#This Row],[CODIGO]],MAESTRO!A:BI,21,FALSE),0)</f>
        <v>1.5206200000000001</v>
      </c>
      <c r="Z279" s="237">
        <f>+IFERROR(IF(GUAYAQUIL[[#This Row],[CODIGO]]="","",GUAYAQUIL[[#This Row],[COSTO UNIT base]]*GUAYAQUIL[[#This Row],[Conversión]]),"")</f>
        <v>1.5206200000000001</v>
      </c>
      <c r="AA279" s="236">
        <f>+IFERROR(IF(GUAYAQUIL[[#This Row],[CODIGO]]="","",GUAYAQUIL[[#This Row],[COSTO UNIT Conv]]*GUAYAQUIL[[#This Row],[Stock Actual Kgs]]),"")</f>
        <v>4.865984000000001</v>
      </c>
      <c r="AB279" s="33">
        <f ca="1">+IFERROR(IF(GUAYAQUIL[[#This Row],[CODIGO]]="","",$J$3-O279),"")</f>
        <v>13</v>
      </c>
      <c r="AC279" s="34" t="str">
        <f ca="1">IF(GUAYAQUIL[[#This Row],[CODIGO]]="","",IF(S279&lt;=0,"CADUCADO",IF(AND(S279&gt;0,S279&lt;=21),"FECHA CORTA",IF(AND(S279&gt;=22,S279&lt;=26),"PROXIMOS FECHA CORTA", "VIGENTE"))))</f>
        <v>VIGENTE</v>
      </c>
      <c r="AD279" s="37">
        <f>+IF(GUAYAQUIL[[#This Row],[CODIGO]]="","",GUAYAQUIL[[#This Row],[Stock Actual Unds]]*GUAYAQUIL[[#This Row],[Gramaje]]*GUAYAQUIL[[#This Row],[Conversión]])/1000</f>
        <v>3.2000000000000002E-3</v>
      </c>
    </row>
    <row r="280" spans="1:30">
      <c r="A280" s="24" t="str">
        <f>+IFERROR(IF(GUAYAQUIL[[#This Row],[CODIGO]]="","",VLOOKUP(GUAYAQUIL[[#This Row],[CODIGO]],MAESTRO!$A:$J,10,FALSE)),"")</f>
        <v>SAN GABRIEL</v>
      </c>
      <c r="B280" s="24" t="str">
        <f>+IFERROR(IF(GUAYAQUIL[[#This Row],[CODIGO]]="","",VLOOKUP(GUAYAQUIL[[#This Row],[CODIGO]],MAESTRO!$A:$Q,17,FALSE)),"")</f>
        <v>QUESOS Y GRASAS</v>
      </c>
      <c r="C280" s="24" t="str">
        <f>+IFERROR(IF(GUAYAQUIL[[#This Row],[CODIGO]]="","",VLOOKUP(GUAYAQUIL[[#This Row],[CODIGO]],MAESTRO!$A:$BA,53,FALSE)),"")</f>
        <v xml:space="preserve">Esteban Montenegro                      </v>
      </c>
      <c r="D280" s="24" t="str">
        <f>+IFERROR(IF(GUAYAQUIL[[#This Row],[CODIGO]]="","",VLOOKUP(GUAYAQUIL[[#This Row],[CODIGO]],MAESTRO!$A:$D,4,FALSE)),"")</f>
        <v>QUESO SEMIMADURO KIOSKO</v>
      </c>
      <c r="E280" s="24" t="str">
        <f>+IFERROR(IF(GUAYAQUIL[[#This Row],[CODIGO]]="","",VLOOKUP(GUAYAQUIL[[#This Row],[CODIGO]],MAESTRO!$A:$F,6,FALSE)),"")</f>
        <v>QUESO GOUDA KIOSKO TAJADO</v>
      </c>
      <c r="F280" s="42" t="str">
        <f>IF(GUAYAQUIL[[#This Row],[CODIGO]]="","",$K$6)</f>
        <v>GUAYAQUIL</v>
      </c>
      <c r="G280" s="42">
        <f>IF(GUAYAQUIL[[#This Row],[CODIGO]]="","",7711)</f>
        <v>7711</v>
      </c>
      <c r="H280" s="42">
        <f>IF(GUAYAQUIL[[#This Row],[CODIGO]]="","",1001)</f>
        <v>1001</v>
      </c>
      <c r="I280" s="258" t="s">
        <v>1119</v>
      </c>
      <c r="J280" s="25" t="str">
        <f>IFERROR((VLOOKUP(GUAYAQUIL[[#This Row],[CODIGO]],MAESTRO!A:B,2,FALSE)),"")</f>
        <v>Q GOUDA KIOSKO LONJ 200G</v>
      </c>
      <c r="K280" s="35">
        <v>120</v>
      </c>
      <c r="L280" s="38">
        <f>+IFERROR(IF(GUAYAQUIL[[#This Row],[CODIGO]]="","",VLOOKUP(GUAYAQUIL[[#This Row],[CODIGO]],MAESTRO!$A:$BF,58,FALSE)),"")</f>
        <v>1</v>
      </c>
      <c r="M280" s="27">
        <f>+IFERROR(IF(GUAYAQUIL[[#This Row],[CODIGO]]="","",VLOOKUP(GUAYAQUIL[[#This Row],[CODIGO]],MAESTRO!A:N,14,FALSE)),"")</f>
        <v>0.2</v>
      </c>
      <c r="N280" s="28">
        <f>+IFERROR(IF(GUAYAQUIL[[#This Row],[CODIGO]]="","",VLOOKUP(GUAYAQUIL[[#This Row],[CODIGO]],MAESTRO!A:P,16,FALSE)),"")</f>
        <v>60</v>
      </c>
      <c r="O280" s="45">
        <v>45617</v>
      </c>
      <c r="P280" s="72" t="str">
        <f t="shared" si="20"/>
        <v>jueves</v>
      </c>
      <c r="Q280" s="29">
        <f>IFERROR(IF(GUAYAQUIL[[#This Row],[CODIGO]]="","",IF(GUAYAQUIL[[#This Row],[Fecha Cad]]="","",(GUAYAQUIL[[#This Row],[Fecha Cad]]-GUAYAQUIL[[#This Row],[VIDA UTIL (Días)]]))+1),"")</f>
        <v>45608</v>
      </c>
      <c r="R280" s="45">
        <v>45667</v>
      </c>
      <c r="S280" s="30">
        <f t="shared" ca="1" si="21"/>
        <v>43</v>
      </c>
      <c r="T280" s="31">
        <f t="shared" ca="1" si="22"/>
        <v>0.71666666666666667</v>
      </c>
      <c r="U280" s="286">
        <v>120</v>
      </c>
      <c r="V280" s="262">
        <f>+IFERROR(IF(GUAYAQUIL[[#This Row],[CODIGO]]="","",GUAYAQUIL[[#This Row],[Stock Actual Unds]]*GUAYAQUIL[[#This Row],[Gramaje]]*GUAYAQUIL[[#This Row],[Conversión]]),"")</f>
        <v>24</v>
      </c>
      <c r="W280" s="270">
        <f t="shared" si="23"/>
        <v>9</v>
      </c>
      <c r="X280" s="32">
        <f t="shared" si="24"/>
        <v>0.85</v>
      </c>
      <c r="Y280" s="236">
        <f>IFERROR(VLOOKUP(GUAYAQUIL[[#This Row],[CODIGO]],MAESTRO!A:BI,21,FALSE),0)</f>
        <v>1.5206200000000001</v>
      </c>
      <c r="Z280" s="237">
        <f>+IFERROR(IF(GUAYAQUIL[[#This Row],[CODIGO]]="","",GUAYAQUIL[[#This Row],[COSTO UNIT base]]*GUAYAQUIL[[#This Row],[Conversión]]),"")</f>
        <v>1.5206200000000001</v>
      </c>
      <c r="AA280" s="236">
        <f>+IFERROR(IF(GUAYAQUIL[[#This Row],[CODIGO]]="","",GUAYAQUIL[[#This Row],[COSTO UNIT Conv]]*GUAYAQUIL[[#This Row],[Stock Actual Kgs]]),"")</f>
        <v>36.494880000000002</v>
      </c>
      <c r="AB280" s="33">
        <f ca="1">+IFERROR(IF(GUAYAQUIL[[#This Row],[CODIGO]]="","",$J$3-O280),"")</f>
        <v>7</v>
      </c>
      <c r="AC280" s="34" t="str">
        <f ca="1">IF(GUAYAQUIL[[#This Row],[CODIGO]]="","",IF(S280&lt;=0,"CADUCADO",IF(AND(S280&gt;0,S280&lt;=21),"FECHA CORTA",IF(AND(S280&gt;=22,S280&lt;=26),"PROXIMOS FECHA CORTA", "VIGENTE"))))</f>
        <v>VIGENTE</v>
      </c>
      <c r="AD280" s="37">
        <f>+IF(GUAYAQUIL[[#This Row],[CODIGO]]="","",GUAYAQUIL[[#This Row],[Stock Actual Unds]]*GUAYAQUIL[[#This Row],[Gramaje]]*GUAYAQUIL[[#This Row],[Conversión]])/1000</f>
        <v>2.4E-2</v>
      </c>
    </row>
    <row r="281" spans="1:30">
      <c r="A281" s="24" t="str">
        <f>+IFERROR(IF(GUAYAQUIL[[#This Row],[CODIGO]]="","",VLOOKUP(GUAYAQUIL[[#This Row],[CODIGO]],MAESTRO!$A:$J,10,FALSE)),"")</f>
        <v>MACHACHI</v>
      </c>
      <c r="B281" s="24" t="str">
        <f>+IFERROR(IF(GUAYAQUIL[[#This Row],[CODIGO]]="","",VLOOKUP(GUAYAQUIL[[#This Row],[CODIGO]],MAESTRO!$A:$Q,17,FALSE)),"")</f>
        <v>BEBIDAS LACTEAS</v>
      </c>
      <c r="C281" s="24" t="str">
        <f>+IFERROR(IF(GUAYAQUIL[[#This Row],[CODIGO]]="","",VLOOKUP(GUAYAQUIL[[#This Row],[CODIGO]],MAESTRO!$A:$BA,53,FALSE)),"")</f>
        <v xml:space="preserve">Luis Armendariz                         </v>
      </c>
      <c r="D281" s="24" t="str">
        <f>+IFERROR(IF(GUAYAQUIL[[#This Row],[CODIGO]]="","",VLOOKUP(GUAYAQUIL[[#This Row],[CODIGO]],MAESTRO!$A:$D,4,FALSE)),"")</f>
        <v>BON YURT</v>
      </c>
      <c r="E281" s="24" t="str">
        <f>+IFERROR(IF(GUAYAQUIL[[#This Row],[CODIGO]]="","",VLOOKUP(GUAYAQUIL[[#This Row],[CODIGO]],MAESTRO!$A:$F,6,FALSE)),"")</f>
        <v>BON YURT REGULAR</v>
      </c>
      <c r="F281" s="42" t="str">
        <f>IF(GUAYAQUIL[[#This Row],[CODIGO]]="","",$K$6)</f>
        <v>GUAYAQUIL</v>
      </c>
      <c r="G281" s="42">
        <f>IF(GUAYAQUIL[[#This Row],[CODIGO]]="","",7711)</f>
        <v>7711</v>
      </c>
      <c r="H281" s="42">
        <f>IF(GUAYAQUIL[[#This Row],[CODIGO]]="","",1001)</f>
        <v>1001</v>
      </c>
      <c r="I281" s="258" t="s">
        <v>3070</v>
      </c>
      <c r="J281" s="25" t="str">
        <f>IFERROR((VLOOKUP(GUAYAQUIL[[#This Row],[CODIGO]],MAESTRO!A:B,2,FALSE)),"")</f>
        <v>BY AREQ VASO 165G</v>
      </c>
      <c r="K281" s="35">
        <v>780</v>
      </c>
      <c r="L281" s="38">
        <f>+IFERROR(IF(GUAYAQUIL[[#This Row],[CODIGO]]="","",VLOOKUP(GUAYAQUIL[[#This Row],[CODIGO]],MAESTRO!$A:$BF,58,FALSE)),"")</f>
        <v>1</v>
      </c>
      <c r="M281" s="27">
        <f>+IFERROR(IF(GUAYAQUIL[[#This Row],[CODIGO]]="","",VLOOKUP(GUAYAQUIL[[#This Row],[CODIGO]],MAESTRO!A:N,14,FALSE)),"")</f>
        <v>0.16500000000000001</v>
      </c>
      <c r="N281" s="28">
        <f>+IFERROR(IF(GUAYAQUIL[[#This Row],[CODIGO]]="","",VLOOKUP(GUAYAQUIL[[#This Row],[CODIGO]],MAESTRO!A:P,16,FALSE)),"")</f>
        <v>45</v>
      </c>
      <c r="O281" s="45">
        <v>45601</v>
      </c>
      <c r="P281" s="72" t="str">
        <f t="shared" si="20"/>
        <v>martes</v>
      </c>
      <c r="Q281" s="29">
        <f>IFERROR(IF(GUAYAQUIL[[#This Row],[CODIGO]]="","",IF(GUAYAQUIL[[#This Row],[Fecha Cad]]="","",(GUAYAQUIL[[#This Row],[Fecha Cad]]-GUAYAQUIL[[#This Row],[VIDA UTIL (Días)]]))+1),"")</f>
        <v>45591</v>
      </c>
      <c r="R281" s="45">
        <v>45635</v>
      </c>
      <c r="S281" s="30">
        <f t="shared" ca="1" si="21"/>
        <v>11</v>
      </c>
      <c r="T281" s="31">
        <f t="shared" ca="1" si="22"/>
        <v>0.24444444444444444</v>
      </c>
      <c r="U281" s="286">
        <v>142</v>
      </c>
      <c r="V281" s="262">
        <f>+IFERROR(IF(GUAYAQUIL[[#This Row],[CODIGO]]="","",GUAYAQUIL[[#This Row],[Stock Actual Unds]]*GUAYAQUIL[[#This Row],[Gramaje]]*GUAYAQUIL[[#This Row],[Conversión]]),"")</f>
        <v>23.43</v>
      </c>
      <c r="W281" s="270">
        <f t="shared" si="23"/>
        <v>10</v>
      </c>
      <c r="X281" s="32">
        <f t="shared" si="24"/>
        <v>0.77777777777777779</v>
      </c>
      <c r="Y281" s="236">
        <f>IFERROR(VLOOKUP(GUAYAQUIL[[#This Row],[CODIGO]],MAESTRO!A:BI,21,FALSE),0)</f>
        <v>0.35961500000000002</v>
      </c>
      <c r="Z281" s="237">
        <f>+IFERROR(IF(GUAYAQUIL[[#This Row],[CODIGO]]="","",GUAYAQUIL[[#This Row],[COSTO UNIT base]]*GUAYAQUIL[[#This Row],[Conversión]]),"")</f>
        <v>0.35961500000000002</v>
      </c>
      <c r="AA281" s="236">
        <f>+IFERROR(IF(GUAYAQUIL[[#This Row],[CODIGO]]="","",GUAYAQUIL[[#This Row],[COSTO UNIT Conv]]*GUAYAQUIL[[#This Row],[Stock Actual Kgs]]),"")</f>
        <v>8.4257794500000003</v>
      </c>
      <c r="AB281" s="33">
        <f ca="1">+IFERROR(IF(GUAYAQUIL[[#This Row],[CODIGO]]="","",$J$3-O281),"")</f>
        <v>23</v>
      </c>
      <c r="AC281" s="34" t="str">
        <f ca="1">IF(GUAYAQUIL[[#This Row],[CODIGO]]="","",IF(S281&lt;=0,"CADUCADO",IF(AND(S281&gt;0,S281&lt;=21),"FECHA CORTA",IF(AND(S281&gt;=22,S281&lt;=26),"PROXIMOS FECHA CORTA", "VIGENTE"))))</f>
        <v>FECHA CORTA</v>
      </c>
      <c r="AD281" s="37">
        <f>+IF(GUAYAQUIL[[#This Row],[CODIGO]]="","",GUAYAQUIL[[#This Row],[Stock Actual Unds]]*GUAYAQUIL[[#This Row],[Gramaje]]*GUAYAQUIL[[#This Row],[Conversión]])/1000</f>
        <v>2.3429999999999999E-2</v>
      </c>
    </row>
    <row r="282" spans="1:30">
      <c r="A282" s="24" t="str">
        <f>+IFERROR(IF(GUAYAQUIL[[#This Row],[CODIGO]]="","",VLOOKUP(GUAYAQUIL[[#This Row],[CODIGO]],MAESTRO!$A:$J,10,FALSE)),"")</f>
        <v>MACHACHI</v>
      </c>
      <c r="B282" s="24" t="str">
        <f>+IFERROR(IF(GUAYAQUIL[[#This Row],[CODIGO]]="","",VLOOKUP(GUAYAQUIL[[#This Row],[CODIGO]],MAESTRO!$A:$Q,17,FALSE)),"")</f>
        <v>BEBIDAS LACTEAS</v>
      </c>
      <c r="C282" s="24" t="str">
        <f>+IFERROR(IF(GUAYAQUIL[[#This Row],[CODIGO]]="","",VLOOKUP(GUAYAQUIL[[#This Row],[CODIGO]],MAESTRO!$A:$BA,53,FALSE)),"")</f>
        <v xml:space="preserve">Luis Armendariz                         </v>
      </c>
      <c r="D282" s="24" t="str">
        <f>+IFERROR(IF(GUAYAQUIL[[#This Row],[CODIGO]]="","",VLOOKUP(GUAYAQUIL[[#This Row],[CODIGO]],MAESTRO!$A:$D,4,FALSE)),"")</f>
        <v>BON YURT</v>
      </c>
      <c r="E282" s="24" t="str">
        <f>+IFERROR(IF(GUAYAQUIL[[#This Row],[CODIGO]]="","",VLOOKUP(GUAYAQUIL[[#This Row],[CODIGO]],MAESTRO!$A:$F,6,FALSE)),"")</f>
        <v>BON YURT REGULAR</v>
      </c>
      <c r="F282" s="42" t="str">
        <f>IF(GUAYAQUIL[[#This Row],[CODIGO]]="","",$K$6)</f>
        <v>GUAYAQUIL</v>
      </c>
      <c r="G282" s="42">
        <f>IF(GUAYAQUIL[[#This Row],[CODIGO]]="","",7711)</f>
        <v>7711</v>
      </c>
      <c r="H282" s="42">
        <f>IF(GUAYAQUIL[[#This Row],[CODIGO]]="","",1001)</f>
        <v>1001</v>
      </c>
      <c r="I282" s="258" t="s">
        <v>3070</v>
      </c>
      <c r="J282" s="25" t="str">
        <f>IFERROR((VLOOKUP(GUAYAQUIL[[#This Row],[CODIGO]],MAESTRO!A:B,2,FALSE)),"")</f>
        <v>BY AREQ VASO 165G</v>
      </c>
      <c r="K282" s="35">
        <v>420</v>
      </c>
      <c r="L282" s="38">
        <f>+IFERROR(IF(GUAYAQUIL[[#This Row],[CODIGO]]="","",VLOOKUP(GUAYAQUIL[[#This Row],[CODIGO]],MAESTRO!$A:$BF,58,FALSE)),"")</f>
        <v>1</v>
      </c>
      <c r="M282" s="27">
        <f>+IFERROR(IF(GUAYAQUIL[[#This Row],[CODIGO]]="","",VLOOKUP(GUAYAQUIL[[#This Row],[CODIGO]],MAESTRO!A:N,14,FALSE)),"")</f>
        <v>0.16500000000000001</v>
      </c>
      <c r="N282" s="28">
        <f>+IFERROR(IF(GUAYAQUIL[[#This Row],[CODIGO]]="","",VLOOKUP(GUAYAQUIL[[#This Row],[CODIGO]],MAESTRO!A:P,16,FALSE)),"")</f>
        <v>45</v>
      </c>
      <c r="O282" s="45">
        <v>45603</v>
      </c>
      <c r="P282" s="72" t="str">
        <f t="shared" si="20"/>
        <v>jueves</v>
      </c>
      <c r="Q282" s="29">
        <f>IFERROR(IF(GUAYAQUIL[[#This Row],[CODIGO]]="","",IF(GUAYAQUIL[[#This Row],[Fecha Cad]]="","",(GUAYAQUIL[[#This Row],[Fecha Cad]]-GUAYAQUIL[[#This Row],[VIDA UTIL (Días)]]))+1),"")</f>
        <v>45594</v>
      </c>
      <c r="R282" s="45">
        <v>45638</v>
      </c>
      <c r="S282" s="30">
        <f t="shared" ca="1" si="21"/>
        <v>14</v>
      </c>
      <c r="T282" s="31">
        <f t="shared" ca="1" si="22"/>
        <v>0.31111111111111112</v>
      </c>
      <c r="U282" s="286">
        <v>84</v>
      </c>
      <c r="V282" s="262">
        <f>+IFERROR(IF(GUAYAQUIL[[#This Row],[CODIGO]]="","",GUAYAQUIL[[#This Row],[Stock Actual Unds]]*GUAYAQUIL[[#This Row],[Gramaje]]*GUAYAQUIL[[#This Row],[Conversión]]),"")</f>
        <v>13.860000000000001</v>
      </c>
      <c r="W282" s="270">
        <f t="shared" si="23"/>
        <v>9</v>
      </c>
      <c r="X282" s="32">
        <f t="shared" si="24"/>
        <v>0.8</v>
      </c>
      <c r="Y282" s="236">
        <f>IFERROR(VLOOKUP(GUAYAQUIL[[#This Row],[CODIGO]],MAESTRO!A:BI,21,FALSE),0)</f>
        <v>0.35961500000000002</v>
      </c>
      <c r="Z282" s="237">
        <f>+IFERROR(IF(GUAYAQUIL[[#This Row],[CODIGO]]="","",GUAYAQUIL[[#This Row],[COSTO UNIT base]]*GUAYAQUIL[[#This Row],[Conversión]]),"")</f>
        <v>0.35961500000000002</v>
      </c>
      <c r="AA282" s="236">
        <f>+IFERROR(IF(GUAYAQUIL[[#This Row],[CODIGO]]="","",GUAYAQUIL[[#This Row],[COSTO UNIT Conv]]*GUAYAQUIL[[#This Row],[Stock Actual Kgs]]),"")</f>
        <v>4.9842639000000011</v>
      </c>
      <c r="AB282" s="33">
        <f ca="1">+IFERROR(IF(GUAYAQUIL[[#This Row],[CODIGO]]="","",$J$3-O282),"")</f>
        <v>21</v>
      </c>
      <c r="AC282" s="34" t="str">
        <f ca="1">IF(GUAYAQUIL[[#This Row],[CODIGO]]="","",IF(S282&lt;=0,"CADUCADO",IF(AND(S282&gt;0,S282&lt;=21),"FECHA CORTA",IF(AND(S282&gt;=22,S282&lt;=26),"PROXIMOS FECHA CORTA", "VIGENTE"))))</f>
        <v>FECHA CORTA</v>
      </c>
      <c r="AD282" s="37">
        <f>+IF(GUAYAQUIL[[#This Row],[CODIGO]]="","",GUAYAQUIL[[#This Row],[Stock Actual Unds]]*GUAYAQUIL[[#This Row],[Gramaje]]*GUAYAQUIL[[#This Row],[Conversión]])/1000</f>
        <v>1.3860000000000001E-2</v>
      </c>
    </row>
    <row r="283" spans="1:30">
      <c r="A283" s="24" t="str">
        <f>+IFERROR(IF(GUAYAQUIL[[#This Row],[CODIGO]]="","",VLOOKUP(GUAYAQUIL[[#This Row],[CODIGO]],MAESTRO!$A:$J,10,FALSE)),"")</f>
        <v>MACHACHI</v>
      </c>
      <c r="B283" s="24" t="str">
        <f>+IFERROR(IF(GUAYAQUIL[[#This Row],[CODIGO]]="","",VLOOKUP(GUAYAQUIL[[#This Row],[CODIGO]],MAESTRO!$A:$Q,17,FALSE)),"")</f>
        <v>BEBIDAS LACTEAS</v>
      </c>
      <c r="C283" s="24" t="str">
        <f>+IFERROR(IF(GUAYAQUIL[[#This Row],[CODIGO]]="","",VLOOKUP(GUAYAQUIL[[#This Row],[CODIGO]],MAESTRO!$A:$BA,53,FALSE)),"")</f>
        <v xml:space="preserve">Luis Armendariz                         </v>
      </c>
      <c r="D283" s="24" t="str">
        <f>+IFERROR(IF(GUAYAQUIL[[#This Row],[CODIGO]]="","",VLOOKUP(GUAYAQUIL[[#This Row],[CODIGO]],MAESTRO!$A:$D,4,FALSE)),"")</f>
        <v>BON YURT</v>
      </c>
      <c r="E283" s="24" t="str">
        <f>+IFERROR(IF(GUAYAQUIL[[#This Row],[CODIGO]]="","",VLOOKUP(GUAYAQUIL[[#This Row],[CODIGO]],MAESTRO!$A:$F,6,FALSE)),"")</f>
        <v>BON YURT REGULAR</v>
      </c>
      <c r="F283" s="42" t="str">
        <f>IF(GUAYAQUIL[[#This Row],[CODIGO]]="","",$K$6)</f>
        <v>GUAYAQUIL</v>
      </c>
      <c r="G283" s="209">
        <f>IF(GUAYAQUIL[[#This Row],[CODIGO]]="","",7711)</f>
        <v>7711</v>
      </c>
      <c r="H283" s="209">
        <f>IF(GUAYAQUIL[[#This Row],[CODIGO]]="","",1001)</f>
        <v>1001</v>
      </c>
      <c r="I283" s="258" t="s">
        <v>3070</v>
      </c>
      <c r="J283" s="25" t="str">
        <f>IFERROR((VLOOKUP(GUAYAQUIL[[#This Row],[CODIGO]],MAESTRO!A:B,2,FALSE)),"")</f>
        <v>BY AREQ VASO 165G</v>
      </c>
      <c r="K283" s="35">
        <v>120</v>
      </c>
      <c r="L283" s="38">
        <f>+IFERROR(IF(GUAYAQUIL[[#This Row],[CODIGO]]="","",VLOOKUP(GUAYAQUIL[[#This Row],[CODIGO]],MAESTRO!$A:$BF,58,FALSE)),"")</f>
        <v>1</v>
      </c>
      <c r="M283" s="27">
        <f>+IFERROR(IF(GUAYAQUIL[[#This Row],[CODIGO]]="","",VLOOKUP(GUAYAQUIL[[#This Row],[CODIGO]],MAESTRO!A:N,14,FALSE)),"")</f>
        <v>0.16500000000000001</v>
      </c>
      <c r="N283" s="28">
        <f>+IFERROR(IF(GUAYAQUIL[[#This Row],[CODIGO]]="","",VLOOKUP(GUAYAQUIL[[#This Row],[CODIGO]],MAESTRO!A:P,16,FALSE)),"")</f>
        <v>45</v>
      </c>
      <c r="O283" s="45">
        <v>45604</v>
      </c>
      <c r="P283" s="72" t="str">
        <f t="shared" si="20"/>
        <v>viernes</v>
      </c>
      <c r="Q283" s="29">
        <f>IFERROR(IF(GUAYAQUIL[[#This Row],[CODIGO]]="","",IF(GUAYAQUIL[[#This Row],[Fecha Cad]]="","",(GUAYAQUIL[[#This Row],[Fecha Cad]]-GUAYAQUIL[[#This Row],[VIDA UTIL (Días)]]))+1),"")</f>
        <v>45594</v>
      </c>
      <c r="R283" s="45">
        <v>45638</v>
      </c>
      <c r="S283" s="30">
        <f t="shared" ca="1" si="21"/>
        <v>14</v>
      </c>
      <c r="T283" s="31">
        <f t="shared" ca="1" si="22"/>
        <v>0.31111111111111112</v>
      </c>
      <c r="U283" s="286">
        <v>120</v>
      </c>
      <c r="V283" s="262">
        <f>+IFERROR(IF(GUAYAQUIL[[#This Row],[CODIGO]]="","",GUAYAQUIL[[#This Row],[Stock Actual Unds]]*GUAYAQUIL[[#This Row],[Gramaje]]*GUAYAQUIL[[#This Row],[Conversión]]),"")</f>
        <v>19.8</v>
      </c>
      <c r="W283" s="270">
        <f t="shared" si="23"/>
        <v>10</v>
      </c>
      <c r="X283" s="32">
        <f t="shared" si="24"/>
        <v>0.77777777777777779</v>
      </c>
      <c r="Y283" s="236">
        <f>IFERROR(VLOOKUP(GUAYAQUIL[[#This Row],[CODIGO]],MAESTRO!A:BI,21,FALSE),0)</f>
        <v>0.35961500000000002</v>
      </c>
      <c r="Z283" s="237">
        <f>+IFERROR(IF(GUAYAQUIL[[#This Row],[CODIGO]]="","",GUAYAQUIL[[#This Row],[COSTO UNIT base]]*GUAYAQUIL[[#This Row],[Conversión]]),"")</f>
        <v>0.35961500000000002</v>
      </c>
      <c r="AA283" s="236">
        <f>+IFERROR(IF(GUAYAQUIL[[#This Row],[CODIGO]]="","",GUAYAQUIL[[#This Row],[COSTO UNIT Conv]]*GUAYAQUIL[[#This Row],[Stock Actual Kgs]]),"")</f>
        <v>7.1203770000000004</v>
      </c>
      <c r="AB283" s="33">
        <f ca="1">+IFERROR(IF(GUAYAQUIL[[#This Row],[CODIGO]]="","",$J$3-O283),"")</f>
        <v>20</v>
      </c>
      <c r="AC283" s="34" t="str">
        <f ca="1">IF(GUAYAQUIL[[#This Row],[CODIGO]]="","",IF(S283&lt;=0,"CADUCADO",IF(AND(S283&gt;0,S283&lt;=21),"FECHA CORTA",IF(AND(S283&gt;=22,S283&lt;=26),"PROXIMOS FECHA CORTA", "VIGENTE"))))</f>
        <v>FECHA CORTA</v>
      </c>
      <c r="AD283" s="37">
        <f>+IF(GUAYAQUIL[[#This Row],[CODIGO]]="","",GUAYAQUIL[[#This Row],[Stock Actual Unds]]*GUAYAQUIL[[#This Row],[Gramaje]]*GUAYAQUIL[[#This Row],[Conversión]])/1000</f>
        <v>1.9800000000000002E-2</v>
      </c>
    </row>
    <row r="284" spans="1:30">
      <c r="A284" s="24" t="str">
        <f>+IFERROR(IF(GUAYAQUIL[[#This Row],[CODIGO]]="","",VLOOKUP(GUAYAQUIL[[#This Row],[CODIGO]],MAESTRO!$A:$J,10,FALSE)),"")</f>
        <v>MACHACHI</v>
      </c>
      <c r="B284" s="24" t="str">
        <f>+IFERROR(IF(GUAYAQUIL[[#This Row],[CODIGO]]="","",VLOOKUP(GUAYAQUIL[[#This Row],[CODIGO]],MAESTRO!$A:$Q,17,FALSE)),"")</f>
        <v>BEBIDAS LACTEAS</v>
      </c>
      <c r="C284" s="24" t="str">
        <f>+IFERROR(IF(GUAYAQUIL[[#This Row],[CODIGO]]="","",VLOOKUP(GUAYAQUIL[[#This Row],[CODIGO]],MAESTRO!$A:$BA,53,FALSE)),"")</f>
        <v xml:space="preserve">Luis Armendariz                         </v>
      </c>
      <c r="D284" s="24" t="str">
        <f>+IFERROR(IF(GUAYAQUIL[[#This Row],[CODIGO]]="","",VLOOKUP(GUAYAQUIL[[#This Row],[CODIGO]],MAESTRO!$A:$D,4,FALSE)),"")</f>
        <v>BON YURT</v>
      </c>
      <c r="E284" s="24" t="str">
        <f>+IFERROR(IF(GUAYAQUIL[[#This Row],[CODIGO]]="","",VLOOKUP(GUAYAQUIL[[#This Row],[CODIGO]],MAESTRO!$A:$F,6,FALSE)),"")</f>
        <v>BON YURT REGULAR</v>
      </c>
      <c r="F284" s="42" t="str">
        <f>IF(GUAYAQUIL[[#This Row],[CODIGO]]="","",$K$6)</f>
        <v>GUAYAQUIL</v>
      </c>
      <c r="G284" s="42">
        <f>IF(GUAYAQUIL[[#This Row],[CODIGO]]="","",7711)</f>
        <v>7711</v>
      </c>
      <c r="H284" s="42">
        <f>IF(GUAYAQUIL[[#This Row],[CODIGO]]="","",1001)</f>
        <v>1001</v>
      </c>
      <c r="I284" s="258" t="s">
        <v>3070</v>
      </c>
      <c r="J284" s="25" t="str">
        <f>IFERROR((VLOOKUP(GUAYAQUIL[[#This Row],[CODIGO]],MAESTRO!A:B,2,FALSE)),"")</f>
        <v>BY AREQ VASO 165G</v>
      </c>
      <c r="K284" s="35">
        <v>600</v>
      </c>
      <c r="L284" s="38">
        <f>+IFERROR(IF(GUAYAQUIL[[#This Row],[CODIGO]]="","",VLOOKUP(GUAYAQUIL[[#This Row],[CODIGO]],MAESTRO!$A:$BF,58,FALSE)),"")</f>
        <v>1</v>
      </c>
      <c r="M284" s="27">
        <f>+IFERROR(IF(GUAYAQUIL[[#This Row],[CODIGO]]="","",VLOOKUP(GUAYAQUIL[[#This Row],[CODIGO]],MAESTRO!A:N,14,FALSE)),"")</f>
        <v>0.16500000000000001</v>
      </c>
      <c r="N284" s="28">
        <f>+IFERROR(IF(GUAYAQUIL[[#This Row],[CODIGO]]="","",VLOOKUP(GUAYAQUIL[[#This Row],[CODIGO]],MAESTRO!A:P,16,FALSE)),"")</f>
        <v>45</v>
      </c>
      <c r="O284" s="45">
        <v>45605</v>
      </c>
      <c r="P284" s="72" t="str">
        <f t="shared" si="20"/>
        <v>sábado</v>
      </c>
      <c r="Q284" s="29">
        <f>IFERROR(IF(GUAYAQUIL[[#This Row],[CODIGO]]="","",IF(GUAYAQUIL[[#This Row],[Fecha Cad]]="","",(GUAYAQUIL[[#This Row],[Fecha Cad]]-GUAYAQUIL[[#This Row],[VIDA UTIL (Días)]]))+1),"")</f>
        <v>45594</v>
      </c>
      <c r="R284" s="45">
        <v>45638</v>
      </c>
      <c r="S284" s="30">
        <f t="shared" ca="1" si="21"/>
        <v>14</v>
      </c>
      <c r="T284" s="31">
        <f t="shared" ca="1" si="22"/>
        <v>0.31111111111111112</v>
      </c>
      <c r="U284" s="286">
        <v>600</v>
      </c>
      <c r="V284" s="262">
        <f>+IFERROR(IF(GUAYAQUIL[[#This Row],[CODIGO]]="","",GUAYAQUIL[[#This Row],[Stock Actual Unds]]*GUAYAQUIL[[#This Row],[Gramaje]]*GUAYAQUIL[[#This Row],[Conversión]]),"")</f>
        <v>99</v>
      </c>
      <c r="W284" s="270">
        <f t="shared" si="23"/>
        <v>11</v>
      </c>
      <c r="X284" s="32">
        <f t="shared" si="24"/>
        <v>0.75555555555555554</v>
      </c>
      <c r="Y284" s="236">
        <f>IFERROR(VLOOKUP(GUAYAQUIL[[#This Row],[CODIGO]],MAESTRO!A:BI,21,FALSE),0)</f>
        <v>0.35961500000000002</v>
      </c>
      <c r="Z284" s="237">
        <f>+IFERROR(IF(GUAYAQUIL[[#This Row],[CODIGO]]="","",GUAYAQUIL[[#This Row],[COSTO UNIT base]]*GUAYAQUIL[[#This Row],[Conversión]]),"")</f>
        <v>0.35961500000000002</v>
      </c>
      <c r="AA284" s="236">
        <f>+IFERROR(IF(GUAYAQUIL[[#This Row],[CODIGO]]="","",GUAYAQUIL[[#This Row],[COSTO UNIT Conv]]*GUAYAQUIL[[#This Row],[Stock Actual Kgs]]),"")</f>
        <v>35.601885000000003</v>
      </c>
      <c r="AB284" s="33">
        <f ca="1">+IFERROR(IF(GUAYAQUIL[[#This Row],[CODIGO]]="","",$J$3-O284),"")</f>
        <v>19</v>
      </c>
      <c r="AC284" s="34" t="str">
        <f ca="1">IF(GUAYAQUIL[[#This Row],[CODIGO]]="","",IF(S284&lt;=0,"CADUCADO",IF(AND(S284&gt;0,S284&lt;=21),"FECHA CORTA",IF(AND(S284&gt;=22,S284&lt;=26),"PROXIMOS FECHA CORTA", "VIGENTE"))))</f>
        <v>FECHA CORTA</v>
      </c>
      <c r="AD284" s="37">
        <f>+IF(GUAYAQUIL[[#This Row],[CODIGO]]="","",GUAYAQUIL[[#This Row],[Stock Actual Unds]]*GUAYAQUIL[[#This Row],[Gramaje]]*GUAYAQUIL[[#This Row],[Conversión]])/1000</f>
        <v>9.9000000000000005E-2</v>
      </c>
    </row>
    <row r="285" spans="1:30">
      <c r="A285" s="24" t="str">
        <f>+IFERROR(IF(GUAYAQUIL[[#This Row],[CODIGO]]="","",VLOOKUP(GUAYAQUIL[[#This Row],[CODIGO]],MAESTRO!$A:$J,10,FALSE)),"")</f>
        <v>MACHACHI</v>
      </c>
      <c r="B285" s="24" t="str">
        <f>+IFERROR(IF(GUAYAQUIL[[#This Row],[CODIGO]]="","",VLOOKUP(GUAYAQUIL[[#This Row],[CODIGO]],MAESTRO!$A:$Q,17,FALSE)),"")</f>
        <v>BEBIDAS LACTEAS</v>
      </c>
      <c r="C285" s="24" t="str">
        <f>+IFERROR(IF(GUAYAQUIL[[#This Row],[CODIGO]]="","",VLOOKUP(GUAYAQUIL[[#This Row],[CODIGO]],MAESTRO!$A:$BA,53,FALSE)),"")</f>
        <v xml:space="preserve">Luis Armendariz                         </v>
      </c>
      <c r="D285" s="24" t="str">
        <f>+IFERROR(IF(GUAYAQUIL[[#This Row],[CODIGO]]="","",VLOOKUP(GUAYAQUIL[[#This Row],[CODIGO]],MAESTRO!$A:$D,4,FALSE)),"")</f>
        <v>BON YURT</v>
      </c>
      <c r="E285" s="24" t="str">
        <f>+IFERROR(IF(GUAYAQUIL[[#This Row],[CODIGO]]="","",VLOOKUP(GUAYAQUIL[[#This Row],[CODIGO]],MAESTRO!$A:$F,6,FALSE)),"")</f>
        <v>BON YURT REGULAR</v>
      </c>
      <c r="F285" s="42" t="str">
        <f>IF(GUAYAQUIL[[#This Row],[CODIGO]]="","",$K$6)</f>
        <v>GUAYAQUIL</v>
      </c>
      <c r="G285" s="209">
        <f>IF(GUAYAQUIL[[#This Row],[CODIGO]]="","",7711)</f>
        <v>7711</v>
      </c>
      <c r="H285" s="209">
        <f>IF(GUAYAQUIL[[#This Row],[CODIGO]]="","",1001)</f>
        <v>1001</v>
      </c>
      <c r="I285" s="258" t="s">
        <v>3070</v>
      </c>
      <c r="J285" s="25" t="str">
        <f>IFERROR((VLOOKUP(GUAYAQUIL[[#This Row],[CODIGO]],MAESTRO!A:B,2,FALSE)),"")</f>
        <v>BY AREQ VASO 165G</v>
      </c>
      <c r="K285" s="35">
        <v>300</v>
      </c>
      <c r="L285" s="38">
        <f>+IFERROR(IF(GUAYAQUIL[[#This Row],[CODIGO]]="","",VLOOKUP(GUAYAQUIL[[#This Row],[CODIGO]],MAESTRO!$A:$BF,58,FALSE)),"")</f>
        <v>1</v>
      </c>
      <c r="M285" s="27">
        <f>+IFERROR(IF(GUAYAQUIL[[#This Row],[CODIGO]]="","",VLOOKUP(GUAYAQUIL[[#This Row],[CODIGO]],MAESTRO!A:N,14,FALSE)),"")</f>
        <v>0.16500000000000001</v>
      </c>
      <c r="N285" s="28">
        <f>+IFERROR(IF(GUAYAQUIL[[#This Row],[CODIGO]]="","",VLOOKUP(GUAYAQUIL[[#This Row],[CODIGO]],MAESTRO!A:P,16,FALSE)),"")</f>
        <v>45</v>
      </c>
      <c r="O285" s="45">
        <v>45609</v>
      </c>
      <c r="P285" s="72" t="str">
        <f t="shared" si="20"/>
        <v>miércoles</v>
      </c>
      <c r="Q285" s="29">
        <f>IFERROR(IF(GUAYAQUIL[[#This Row],[CODIGO]]="","",IF(GUAYAQUIL[[#This Row],[Fecha Cad]]="","",(GUAYAQUIL[[#This Row],[Fecha Cad]]-GUAYAQUIL[[#This Row],[VIDA UTIL (Días)]]))+1),"")</f>
        <v>45597</v>
      </c>
      <c r="R285" s="45">
        <v>45641</v>
      </c>
      <c r="S285" s="30">
        <f t="shared" ca="1" si="21"/>
        <v>17</v>
      </c>
      <c r="T285" s="31">
        <f t="shared" ca="1" si="22"/>
        <v>0.37777777777777777</v>
      </c>
      <c r="U285" s="286">
        <v>102</v>
      </c>
      <c r="V285" s="262">
        <f>+IFERROR(IF(GUAYAQUIL[[#This Row],[CODIGO]]="","",GUAYAQUIL[[#This Row],[Stock Actual Unds]]*GUAYAQUIL[[#This Row],[Gramaje]]*GUAYAQUIL[[#This Row],[Conversión]]),"")</f>
        <v>16.830000000000002</v>
      </c>
      <c r="W285" s="270">
        <f t="shared" si="23"/>
        <v>12</v>
      </c>
      <c r="X285" s="32">
        <f t="shared" si="24"/>
        <v>0.73333333333333339</v>
      </c>
      <c r="Y285" s="236">
        <f>IFERROR(VLOOKUP(GUAYAQUIL[[#This Row],[CODIGO]],MAESTRO!A:BI,21,FALSE),0)</f>
        <v>0.35961500000000002</v>
      </c>
      <c r="Z285" s="237">
        <f>+IFERROR(IF(GUAYAQUIL[[#This Row],[CODIGO]]="","",GUAYAQUIL[[#This Row],[COSTO UNIT base]]*GUAYAQUIL[[#This Row],[Conversión]]),"")</f>
        <v>0.35961500000000002</v>
      </c>
      <c r="AA285" s="236">
        <f>+IFERROR(IF(GUAYAQUIL[[#This Row],[CODIGO]]="","",GUAYAQUIL[[#This Row],[COSTO UNIT Conv]]*GUAYAQUIL[[#This Row],[Stock Actual Kgs]]),"")</f>
        <v>6.0523204500000007</v>
      </c>
      <c r="AB285" s="33">
        <f ca="1">+IFERROR(IF(GUAYAQUIL[[#This Row],[CODIGO]]="","",$J$3-O285),"")</f>
        <v>15</v>
      </c>
      <c r="AC285" s="34" t="str">
        <f ca="1">IF(GUAYAQUIL[[#This Row],[CODIGO]]="","",IF(S285&lt;=0,"CADUCADO",IF(AND(S285&gt;0,S285&lt;=21),"FECHA CORTA",IF(AND(S285&gt;=22,S285&lt;=26),"PROXIMOS FECHA CORTA", "VIGENTE"))))</f>
        <v>FECHA CORTA</v>
      </c>
      <c r="AD285" s="37">
        <f>+IF(GUAYAQUIL[[#This Row],[CODIGO]]="","",GUAYAQUIL[[#This Row],[Stock Actual Unds]]*GUAYAQUIL[[#This Row],[Gramaje]]*GUAYAQUIL[[#This Row],[Conversión]])/1000</f>
        <v>1.6830000000000001E-2</v>
      </c>
    </row>
    <row r="286" spans="1:30">
      <c r="A286" s="24" t="str">
        <f>+IFERROR(IF(GUAYAQUIL[[#This Row],[CODIGO]]="","",VLOOKUP(GUAYAQUIL[[#This Row],[CODIGO]],MAESTRO!$A:$J,10,FALSE)),"")</f>
        <v>MACHACHI</v>
      </c>
      <c r="B286" s="24" t="str">
        <f>+IFERROR(IF(GUAYAQUIL[[#This Row],[CODIGO]]="","",VLOOKUP(GUAYAQUIL[[#This Row],[CODIGO]],MAESTRO!$A:$Q,17,FALSE)),"")</f>
        <v>BEBIDAS LACTEAS</v>
      </c>
      <c r="C286" s="24" t="str">
        <f>+IFERROR(IF(GUAYAQUIL[[#This Row],[CODIGO]]="","",VLOOKUP(GUAYAQUIL[[#This Row],[CODIGO]],MAESTRO!$A:$BA,53,FALSE)),"")</f>
        <v xml:space="preserve">Luis Armendariz                         </v>
      </c>
      <c r="D286" s="24" t="str">
        <f>+IFERROR(IF(GUAYAQUIL[[#This Row],[CODIGO]]="","",VLOOKUP(GUAYAQUIL[[#This Row],[CODIGO]],MAESTRO!$A:$D,4,FALSE)),"")</f>
        <v>BON YURT</v>
      </c>
      <c r="E286" s="24" t="str">
        <f>+IFERROR(IF(GUAYAQUIL[[#This Row],[CODIGO]]="","",VLOOKUP(GUAYAQUIL[[#This Row],[CODIGO]],MAESTRO!$A:$F,6,FALSE)),"")</f>
        <v>BON YURT REGULAR</v>
      </c>
      <c r="F286" s="42" t="str">
        <f>IF(GUAYAQUIL[[#This Row],[CODIGO]]="","",$K$6)</f>
        <v>GUAYAQUIL</v>
      </c>
      <c r="G286" s="42">
        <f>IF(GUAYAQUIL[[#This Row],[CODIGO]]="","",7711)</f>
        <v>7711</v>
      </c>
      <c r="H286" s="42">
        <f>IF(GUAYAQUIL[[#This Row],[CODIGO]]="","",1001)</f>
        <v>1001</v>
      </c>
      <c r="I286" s="258" t="s">
        <v>3070</v>
      </c>
      <c r="J286" s="25" t="str">
        <f>IFERROR((VLOOKUP(GUAYAQUIL[[#This Row],[CODIGO]],MAESTRO!A:B,2,FALSE)),"")</f>
        <v>BY AREQ VASO 165G</v>
      </c>
      <c r="K286" s="35">
        <v>180</v>
      </c>
      <c r="L286" s="38">
        <f>+IFERROR(IF(GUAYAQUIL[[#This Row],[CODIGO]]="","",VLOOKUP(GUAYAQUIL[[#This Row],[CODIGO]],MAESTRO!$A:$BF,58,FALSE)),"")</f>
        <v>1</v>
      </c>
      <c r="M286" s="27">
        <f>+IFERROR(IF(GUAYAQUIL[[#This Row],[CODIGO]]="","",VLOOKUP(GUAYAQUIL[[#This Row],[CODIGO]],MAESTRO!A:N,14,FALSE)),"")</f>
        <v>0.16500000000000001</v>
      </c>
      <c r="N286" s="28">
        <f>+IFERROR(IF(GUAYAQUIL[[#This Row],[CODIGO]]="","",VLOOKUP(GUAYAQUIL[[#This Row],[CODIGO]],MAESTRO!A:P,16,FALSE)),"")</f>
        <v>45</v>
      </c>
      <c r="O286" s="45">
        <v>45616</v>
      </c>
      <c r="P286" s="72" t="str">
        <f t="shared" si="20"/>
        <v>miércoles</v>
      </c>
      <c r="Q286" s="29">
        <f>IFERROR(IF(GUAYAQUIL[[#This Row],[CODIGO]]="","",IF(GUAYAQUIL[[#This Row],[Fecha Cad]]="","",(GUAYAQUIL[[#This Row],[Fecha Cad]]-GUAYAQUIL[[#This Row],[VIDA UTIL (Días)]]))+1),"")</f>
        <v>45608</v>
      </c>
      <c r="R286" s="45">
        <v>45652</v>
      </c>
      <c r="S286" s="30">
        <f t="shared" ca="1" si="21"/>
        <v>28</v>
      </c>
      <c r="T286" s="31">
        <f t="shared" ca="1" si="22"/>
        <v>0.62222222222222223</v>
      </c>
      <c r="U286" s="286">
        <v>168</v>
      </c>
      <c r="V286" s="262">
        <f>+IFERROR(IF(GUAYAQUIL[[#This Row],[CODIGO]]="","",GUAYAQUIL[[#This Row],[Stock Actual Unds]]*GUAYAQUIL[[#This Row],[Gramaje]]*GUAYAQUIL[[#This Row],[Conversión]]),"")</f>
        <v>27.720000000000002</v>
      </c>
      <c r="W286" s="270">
        <f t="shared" si="23"/>
        <v>8</v>
      </c>
      <c r="X286" s="32">
        <f t="shared" si="24"/>
        <v>0.82222222222222219</v>
      </c>
      <c r="Y286" s="236">
        <f>IFERROR(VLOOKUP(GUAYAQUIL[[#This Row],[CODIGO]],MAESTRO!A:BI,21,FALSE),0)</f>
        <v>0.35961500000000002</v>
      </c>
      <c r="Z286" s="237">
        <f>+IFERROR(IF(GUAYAQUIL[[#This Row],[CODIGO]]="","",GUAYAQUIL[[#This Row],[COSTO UNIT base]]*GUAYAQUIL[[#This Row],[Conversión]]),"")</f>
        <v>0.35961500000000002</v>
      </c>
      <c r="AA286" s="236">
        <f>+IFERROR(IF(GUAYAQUIL[[#This Row],[CODIGO]]="","",GUAYAQUIL[[#This Row],[COSTO UNIT Conv]]*GUAYAQUIL[[#This Row],[Stock Actual Kgs]]),"")</f>
        <v>9.9685278000000022</v>
      </c>
      <c r="AB286" s="33">
        <f ca="1">+IFERROR(IF(GUAYAQUIL[[#This Row],[CODIGO]]="","",$J$3-O286),"")</f>
        <v>8</v>
      </c>
      <c r="AC286" s="34" t="str">
        <f ca="1">IF(GUAYAQUIL[[#This Row],[CODIGO]]="","",IF(S286&lt;=0,"CADUCADO",IF(AND(S286&gt;0,S286&lt;=21),"FECHA CORTA",IF(AND(S286&gt;=22,S286&lt;=26),"PROXIMOS FECHA CORTA", "VIGENTE"))))</f>
        <v>VIGENTE</v>
      </c>
      <c r="AD286" s="37">
        <f>+IF(GUAYAQUIL[[#This Row],[CODIGO]]="","",GUAYAQUIL[[#This Row],[Stock Actual Unds]]*GUAYAQUIL[[#This Row],[Gramaje]]*GUAYAQUIL[[#This Row],[Conversión]])/1000</f>
        <v>2.7720000000000002E-2</v>
      </c>
    </row>
    <row r="287" spans="1:30">
      <c r="A287" s="24" t="str">
        <f>+IFERROR(IF(GUAYAQUIL[[#This Row],[CODIGO]]="","",VLOOKUP(GUAYAQUIL[[#This Row],[CODIGO]],MAESTRO!$A:$J,10,FALSE)),"")</f>
        <v>SAN GABRIEL</v>
      </c>
      <c r="B287" s="24" t="str">
        <f>+IFERROR(IF(GUAYAQUIL[[#This Row],[CODIGO]]="","",VLOOKUP(GUAYAQUIL[[#This Row],[CODIGO]],MAESTRO!$A:$Q,17,FALSE)),"")</f>
        <v>QUESOS Y GRASAS</v>
      </c>
      <c r="C287" s="24" t="str">
        <f>+IFERROR(IF(GUAYAQUIL[[#This Row],[CODIGO]]="","",VLOOKUP(GUAYAQUIL[[#This Row],[CODIGO]],MAESTRO!$A:$BA,53,FALSE)),"")</f>
        <v xml:space="preserve">Esteban Montenegro                      </v>
      </c>
      <c r="D287" s="24" t="str">
        <f>+IFERROR(IF(GUAYAQUIL[[#This Row],[CODIGO]]="","",VLOOKUP(GUAYAQUIL[[#This Row],[CODIGO]],MAESTRO!$A:$D,4,FALSE)),"")</f>
        <v>QUESO SEMIMADURO KIOSKO</v>
      </c>
      <c r="E287" s="24" t="str">
        <f>+IFERROR(IF(GUAYAQUIL[[#This Row],[CODIGO]]="","",VLOOKUP(GUAYAQUIL[[#This Row],[CODIGO]],MAESTRO!$A:$F,6,FALSE)),"")</f>
        <v>QUESO SANDUCHE KIOSKO TAJADO</v>
      </c>
      <c r="F287" s="42" t="str">
        <f>IF(GUAYAQUIL[[#This Row],[CODIGO]]="","",$K$6)</f>
        <v>GUAYAQUIL</v>
      </c>
      <c r="G287" s="42">
        <f>IF(GUAYAQUIL[[#This Row],[CODIGO]]="","",7711)</f>
        <v>7711</v>
      </c>
      <c r="H287" s="42">
        <f>IF(GUAYAQUIL[[#This Row],[CODIGO]]="","",1001)</f>
        <v>1001</v>
      </c>
      <c r="I287" s="258" t="s">
        <v>1548</v>
      </c>
      <c r="J287" s="25" t="str">
        <f>IFERROR((VLOOKUP(GUAYAQUIL[[#This Row],[CODIGO]],MAESTRO!A:B,2,FALSE)),"")</f>
        <v>QUESO SANDUCHE KIOSKO 75G</v>
      </c>
      <c r="K287" s="35">
        <v>240</v>
      </c>
      <c r="L287" s="38">
        <f>+IFERROR(IF(GUAYAQUIL[[#This Row],[CODIGO]]="","",VLOOKUP(GUAYAQUIL[[#This Row],[CODIGO]],MAESTRO!$A:$BF,58,FALSE)),"")</f>
        <v>1</v>
      </c>
      <c r="M287" s="27">
        <f>+IFERROR(IF(GUAYAQUIL[[#This Row],[CODIGO]]="","",VLOOKUP(GUAYAQUIL[[#This Row],[CODIGO]],MAESTRO!A:N,14,FALSE)),"")</f>
        <v>7.4999999999999997E-2</v>
      </c>
      <c r="N287" s="28">
        <f>+IFERROR(IF(GUAYAQUIL[[#This Row],[CODIGO]]="","",VLOOKUP(GUAYAQUIL[[#This Row],[CODIGO]],MAESTRO!A:P,16,FALSE)),"")</f>
        <v>90</v>
      </c>
      <c r="O287" s="45">
        <v>45608</v>
      </c>
      <c r="P287" s="72" t="str">
        <f t="shared" si="20"/>
        <v>martes</v>
      </c>
      <c r="Q287" s="29">
        <f>IFERROR(IF(GUAYAQUIL[[#This Row],[CODIGO]]="","",IF(GUAYAQUIL[[#This Row],[Fecha Cad]]="","",(GUAYAQUIL[[#This Row],[Fecha Cad]]-GUAYAQUIL[[#This Row],[VIDA UTIL (Días)]]))+1),"")</f>
        <v>45602</v>
      </c>
      <c r="R287" s="45">
        <v>45691</v>
      </c>
      <c r="S287" s="30">
        <f t="shared" ca="1" si="21"/>
        <v>67</v>
      </c>
      <c r="T287" s="31">
        <f t="shared" ca="1" si="22"/>
        <v>0.74444444444444446</v>
      </c>
      <c r="U287" s="286">
        <v>5</v>
      </c>
      <c r="V287" s="262">
        <f>+IFERROR(IF(GUAYAQUIL[[#This Row],[CODIGO]]="","",GUAYAQUIL[[#This Row],[Stock Actual Unds]]*GUAYAQUIL[[#This Row],[Gramaje]]*GUAYAQUIL[[#This Row],[Conversión]]),"")</f>
        <v>0.375</v>
      </c>
      <c r="W287" s="270">
        <f t="shared" si="23"/>
        <v>6</v>
      </c>
      <c r="X287" s="32">
        <f t="shared" si="24"/>
        <v>0.93333333333333335</v>
      </c>
      <c r="Y287" s="236">
        <f>IFERROR(VLOOKUP(GUAYAQUIL[[#This Row],[CODIGO]],MAESTRO!A:BI,21,FALSE),0)</f>
        <v>0.62080000000000002</v>
      </c>
      <c r="Z287" s="237">
        <f>+IFERROR(IF(GUAYAQUIL[[#This Row],[CODIGO]]="","",GUAYAQUIL[[#This Row],[COSTO UNIT base]]*GUAYAQUIL[[#This Row],[Conversión]]),"")</f>
        <v>0.62080000000000002</v>
      </c>
      <c r="AA287" s="236">
        <f>+IFERROR(IF(GUAYAQUIL[[#This Row],[CODIGO]]="","",GUAYAQUIL[[#This Row],[COSTO UNIT Conv]]*GUAYAQUIL[[#This Row],[Stock Actual Kgs]]),"")</f>
        <v>0.23280000000000001</v>
      </c>
      <c r="AB287" s="33">
        <f ca="1">+IFERROR(IF(GUAYAQUIL[[#This Row],[CODIGO]]="","",$J$3-O287),"")</f>
        <v>16</v>
      </c>
      <c r="AC287" s="34" t="str">
        <f ca="1">IF(GUAYAQUIL[[#This Row],[CODIGO]]="","",IF(S287&lt;=0,"CADUCADO",IF(AND(S287&gt;0,S287&lt;=21),"FECHA CORTA",IF(AND(S287&gt;=22,S287&lt;=26),"PROXIMOS FECHA CORTA", "VIGENTE"))))</f>
        <v>VIGENTE</v>
      </c>
      <c r="AD287" s="37">
        <f>+IF(GUAYAQUIL[[#This Row],[CODIGO]]="","",GUAYAQUIL[[#This Row],[Stock Actual Unds]]*GUAYAQUIL[[#This Row],[Gramaje]]*GUAYAQUIL[[#This Row],[Conversión]])/1000</f>
        <v>3.7500000000000001E-4</v>
      </c>
    </row>
    <row r="288" spans="1:30">
      <c r="A288" s="24" t="str">
        <f>+IFERROR(IF(GUAYAQUIL[[#This Row],[CODIGO]]="","",VLOOKUP(GUAYAQUIL[[#This Row],[CODIGO]],MAESTRO!$A:$J,10,FALSE)),"")</f>
        <v>SAN GABRIEL</v>
      </c>
      <c r="B288" s="24" t="str">
        <f>+IFERROR(IF(GUAYAQUIL[[#This Row],[CODIGO]]="","",VLOOKUP(GUAYAQUIL[[#This Row],[CODIGO]],MAESTRO!$A:$Q,17,FALSE)),"")</f>
        <v>QUESOS Y GRASAS</v>
      </c>
      <c r="C288" s="24" t="str">
        <f>+IFERROR(IF(GUAYAQUIL[[#This Row],[CODIGO]]="","",VLOOKUP(GUAYAQUIL[[#This Row],[CODIGO]],MAESTRO!$A:$BA,53,FALSE)),"")</f>
        <v xml:space="preserve">Esteban Montenegro                      </v>
      </c>
      <c r="D288" s="24" t="str">
        <f>+IFERROR(IF(GUAYAQUIL[[#This Row],[CODIGO]]="","",VLOOKUP(GUAYAQUIL[[#This Row],[CODIGO]],MAESTRO!$A:$D,4,FALSE)),"")</f>
        <v>QUESO SEMIMADURO KIOSKO</v>
      </c>
      <c r="E288" s="24" t="str">
        <f>+IFERROR(IF(GUAYAQUIL[[#This Row],[CODIGO]]="","",VLOOKUP(GUAYAQUIL[[#This Row],[CODIGO]],MAESTRO!$A:$F,6,FALSE)),"")</f>
        <v>QUESO SANDUCHE KIOSKO TAJADO</v>
      </c>
      <c r="F288" s="42" t="str">
        <f>IF(GUAYAQUIL[[#This Row],[CODIGO]]="","",$K$6)</f>
        <v>GUAYAQUIL</v>
      </c>
      <c r="G288" s="42">
        <f>IF(GUAYAQUIL[[#This Row],[CODIGO]]="","",7711)</f>
        <v>7711</v>
      </c>
      <c r="H288" s="42">
        <f>IF(GUAYAQUIL[[#This Row],[CODIGO]]="","",1001)</f>
        <v>1001</v>
      </c>
      <c r="I288" s="258" t="s">
        <v>1548</v>
      </c>
      <c r="J288" s="25" t="str">
        <f>IFERROR((VLOOKUP(GUAYAQUIL[[#This Row],[CODIGO]],MAESTRO!A:B,2,FALSE)),"")</f>
        <v>QUESO SANDUCHE KIOSKO 75G</v>
      </c>
      <c r="K288" s="35">
        <v>240</v>
      </c>
      <c r="L288" s="38">
        <f>+IFERROR(IF(GUAYAQUIL[[#This Row],[CODIGO]]="","",VLOOKUP(GUAYAQUIL[[#This Row],[CODIGO]],MAESTRO!$A:$BF,58,FALSE)),"")</f>
        <v>1</v>
      </c>
      <c r="M288" s="27">
        <f>+IFERROR(IF(GUAYAQUIL[[#This Row],[CODIGO]]="","",VLOOKUP(GUAYAQUIL[[#This Row],[CODIGO]],MAESTRO!A:N,14,FALSE)),"")</f>
        <v>7.4999999999999997E-2</v>
      </c>
      <c r="N288" s="28">
        <f>+IFERROR(IF(GUAYAQUIL[[#This Row],[CODIGO]]="","",VLOOKUP(GUAYAQUIL[[#This Row],[CODIGO]],MAESTRO!A:P,16,FALSE)),"")</f>
        <v>90</v>
      </c>
      <c r="O288" s="45">
        <v>45610</v>
      </c>
      <c r="P288" s="72" t="str">
        <f t="shared" si="20"/>
        <v>jueves</v>
      </c>
      <c r="Q288" s="29">
        <f>IFERROR(IF(GUAYAQUIL[[#This Row],[CODIGO]]="","",IF(GUAYAQUIL[[#This Row],[Fecha Cad]]="","",(GUAYAQUIL[[#This Row],[Fecha Cad]]-GUAYAQUIL[[#This Row],[VIDA UTIL (Días)]]))+1),"")</f>
        <v>45604</v>
      </c>
      <c r="R288" s="45">
        <v>45693</v>
      </c>
      <c r="S288" s="30">
        <f t="shared" ca="1" si="21"/>
        <v>69</v>
      </c>
      <c r="T288" s="31">
        <f t="shared" ca="1" si="22"/>
        <v>0.76666666666666672</v>
      </c>
      <c r="U288" s="286">
        <v>139</v>
      </c>
      <c r="V288" s="262">
        <f>+IFERROR(IF(GUAYAQUIL[[#This Row],[CODIGO]]="","",GUAYAQUIL[[#This Row],[Stock Actual Unds]]*GUAYAQUIL[[#This Row],[Gramaje]]*GUAYAQUIL[[#This Row],[Conversión]]),"")</f>
        <v>10.424999999999999</v>
      </c>
      <c r="W288" s="270">
        <f t="shared" si="23"/>
        <v>6</v>
      </c>
      <c r="X288" s="32">
        <f t="shared" si="24"/>
        <v>0.93333333333333335</v>
      </c>
      <c r="Y288" s="236">
        <f>IFERROR(VLOOKUP(GUAYAQUIL[[#This Row],[CODIGO]],MAESTRO!A:BI,21,FALSE),0)</f>
        <v>0.62080000000000002</v>
      </c>
      <c r="Z288" s="237">
        <f>+IFERROR(IF(GUAYAQUIL[[#This Row],[CODIGO]]="","",GUAYAQUIL[[#This Row],[COSTO UNIT base]]*GUAYAQUIL[[#This Row],[Conversión]]),"")</f>
        <v>0.62080000000000002</v>
      </c>
      <c r="AA288" s="236">
        <f>+IFERROR(IF(GUAYAQUIL[[#This Row],[CODIGO]]="","",GUAYAQUIL[[#This Row],[COSTO UNIT Conv]]*GUAYAQUIL[[#This Row],[Stock Actual Kgs]]),"")</f>
        <v>6.4718399999999994</v>
      </c>
      <c r="AB288" s="33">
        <f ca="1">+IFERROR(IF(GUAYAQUIL[[#This Row],[CODIGO]]="","",$J$3-O288),"")</f>
        <v>14</v>
      </c>
      <c r="AC288" s="34" t="str">
        <f ca="1">IF(GUAYAQUIL[[#This Row],[CODIGO]]="","",IF(S288&lt;=0,"CADUCADO",IF(AND(S288&gt;0,S288&lt;=21),"FECHA CORTA",IF(AND(S288&gt;=22,S288&lt;=26),"PROXIMOS FECHA CORTA", "VIGENTE"))))</f>
        <v>VIGENTE</v>
      </c>
      <c r="AD288" s="37">
        <f>+IF(GUAYAQUIL[[#This Row],[CODIGO]]="","",GUAYAQUIL[[#This Row],[Stock Actual Unds]]*GUAYAQUIL[[#This Row],[Gramaje]]*GUAYAQUIL[[#This Row],[Conversión]])/1000</f>
        <v>1.0424999999999999E-2</v>
      </c>
    </row>
    <row r="289" spans="1:30">
      <c r="A289" s="24" t="str">
        <f>+IFERROR(IF(GUAYAQUIL[[#This Row],[CODIGO]]="","",VLOOKUP(GUAYAQUIL[[#This Row],[CODIGO]],MAESTRO!$A:$J,10,FALSE)),"")</f>
        <v>SAN GABRIEL</v>
      </c>
      <c r="B289" s="24" t="str">
        <f>+IFERROR(IF(GUAYAQUIL[[#This Row],[CODIGO]]="","",VLOOKUP(GUAYAQUIL[[#This Row],[CODIGO]],MAESTRO!$A:$Q,17,FALSE)),"")</f>
        <v>QUESOS Y GRASAS</v>
      </c>
      <c r="C289" s="24" t="str">
        <f>+IFERROR(IF(GUAYAQUIL[[#This Row],[CODIGO]]="","",VLOOKUP(GUAYAQUIL[[#This Row],[CODIGO]],MAESTRO!$A:$BA,53,FALSE)),"")</f>
        <v xml:space="preserve">Esteban Montenegro                      </v>
      </c>
      <c r="D289" s="24" t="str">
        <f>+IFERROR(IF(GUAYAQUIL[[#This Row],[CODIGO]]="","",VLOOKUP(GUAYAQUIL[[#This Row],[CODIGO]],MAESTRO!$A:$D,4,FALSE)),"")</f>
        <v>QUESO SEMIMADURO KIOSKO</v>
      </c>
      <c r="E289" s="24" t="str">
        <f>+IFERROR(IF(GUAYAQUIL[[#This Row],[CODIGO]]="","",VLOOKUP(GUAYAQUIL[[#This Row],[CODIGO]],MAESTRO!$A:$F,6,FALSE)),"")</f>
        <v>QUESO SANDUCHE KIOSKO TAJADO</v>
      </c>
      <c r="F289" s="42" t="str">
        <f>IF(GUAYAQUIL[[#This Row],[CODIGO]]="","",$K$6)</f>
        <v>GUAYAQUIL</v>
      </c>
      <c r="G289" s="209">
        <f>IF(GUAYAQUIL[[#This Row],[CODIGO]]="","",7711)</f>
        <v>7711</v>
      </c>
      <c r="H289" s="209">
        <f>IF(GUAYAQUIL[[#This Row],[CODIGO]]="","",1001)</f>
        <v>1001</v>
      </c>
      <c r="I289" s="258" t="s">
        <v>1548</v>
      </c>
      <c r="J289" s="25" t="str">
        <f>IFERROR((VLOOKUP(GUAYAQUIL[[#This Row],[CODIGO]],MAESTRO!A:B,2,FALSE)),"")</f>
        <v>QUESO SANDUCHE KIOSKO 75G</v>
      </c>
      <c r="K289" s="35">
        <v>240</v>
      </c>
      <c r="L289" s="38">
        <f>+IFERROR(IF(GUAYAQUIL[[#This Row],[CODIGO]]="","",VLOOKUP(GUAYAQUIL[[#This Row],[CODIGO]],MAESTRO!$A:$BF,58,FALSE)),"")</f>
        <v>1</v>
      </c>
      <c r="M289" s="27">
        <f>+IFERROR(IF(GUAYAQUIL[[#This Row],[CODIGO]]="","",VLOOKUP(GUAYAQUIL[[#This Row],[CODIGO]],MAESTRO!A:N,14,FALSE)),"")</f>
        <v>7.4999999999999997E-2</v>
      </c>
      <c r="N289" s="28">
        <f>+IFERROR(IF(GUAYAQUIL[[#This Row],[CODIGO]]="","",VLOOKUP(GUAYAQUIL[[#This Row],[CODIGO]],MAESTRO!A:P,16,FALSE)),"")</f>
        <v>90</v>
      </c>
      <c r="O289" s="45">
        <v>45615</v>
      </c>
      <c r="P289" s="72" t="str">
        <f t="shared" si="20"/>
        <v>martes</v>
      </c>
      <c r="Q289" s="29">
        <f>IFERROR(IF(GUAYAQUIL[[#This Row],[CODIGO]]="","",IF(GUAYAQUIL[[#This Row],[Fecha Cad]]="","",(GUAYAQUIL[[#This Row],[Fecha Cad]]-GUAYAQUIL[[#This Row],[VIDA UTIL (Días)]]))+1),"")</f>
        <v>45610</v>
      </c>
      <c r="R289" s="45">
        <v>45699</v>
      </c>
      <c r="S289" s="30">
        <f t="shared" ca="1" si="21"/>
        <v>75</v>
      </c>
      <c r="T289" s="31">
        <f t="shared" ca="1" si="22"/>
        <v>0.83333333333333337</v>
      </c>
      <c r="U289" s="286">
        <v>240</v>
      </c>
      <c r="V289" s="262">
        <f>+IFERROR(IF(GUAYAQUIL[[#This Row],[CODIGO]]="","",GUAYAQUIL[[#This Row],[Stock Actual Unds]]*GUAYAQUIL[[#This Row],[Gramaje]]*GUAYAQUIL[[#This Row],[Conversión]]),"")</f>
        <v>18</v>
      </c>
      <c r="W289" s="270">
        <f t="shared" si="23"/>
        <v>5</v>
      </c>
      <c r="X289" s="32">
        <f t="shared" si="24"/>
        <v>0.94444444444444442</v>
      </c>
      <c r="Y289" s="236">
        <f>IFERROR(VLOOKUP(GUAYAQUIL[[#This Row],[CODIGO]],MAESTRO!A:BI,21,FALSE),0)</f>
        <v>0.62080000000000002</v>
      </c>
      <c r="Z289" s="237">
        <f>+IFERROR(IF(GUAYAQUIL[[#This Row],[CODIGO]]="","",GUAYAQUIL[[#This Row],[COSTO UNIT base]]*GUAYAQUIL[[#This Row],[Conversión]]),"")</f>
        <v>0.62080000000000002</v>
      </c>
      <c r="AA289" s="236">
        <f>+IFERROR(IF(GUAYAQUIL[[#This Row],[CODIGO]]="","",GUAYAQUIL[[#This Row],[COSTO UNIT Conv]]*GUAYAQUIL[[#This Row],[Stock Actual Kgs]]),"")</f>
        <v>11.1744</v>
      </c>
      <c r="AB289" s="33">
        <f ca="1">+IFERROR(IF(GUAYAQUIL[[#This Row],[CODIGO]]="","",$J$3-O289),"")</f>
        <v>9</v>
      </c>
      <c r="AC289" s="34" t="str">
        <f ca="1">IF(GUAYAQUIL[[#This Row],[CODIGO]]="","",IF(S289&lt;=0,"CADUCADO",IF(AND(S289&gt;0,S289&lt;=21),"FECHA CORTA",IF(AND(S289&gt;=22,S289&lt;=26),"PROXIMOS FECHA CORTA", "VIGENTE"))))</f>
        <v>VIGENTE</v>
      </c>
      <c r="AD289" s="37">
        <f>+IF(GUAYAQUIL[[#This Row],[CODIGO]]="","",GUAYAQUIL[[#This Row],[Stock Actual Unds]]*GUAYAQUIL[[#This Row],[Gramaje]]*GUAYAQUIL[[#This Row],[Conversión]])/1000</f>
        <v>1.7999999999999999E-2</v>
      </c>
    </row>
    <row r="290" spans="1:30">
      <c r="A290" s="24" t="str">
        <f>+IFERROR(IF(GUAYAQUIL[[#This Row],[CODIGO]]="","",VLOOKUP(GUAYAQUIL[[#This Row],[CODIGO]],MAESTRO!$A:$J,10,FALSE)),"")</f>
        <v>SAN GABRIEL</v>
      </c>
      <c r="B290" s="24" t="str">
        <f>+IFERROR(IF(GUAYAQUIL[[#This Row],[CODIGO]]="","",VLOOKUP(GUAYAQUIL[[#This Row],[CODIGO]],MAESTRO!$A:$Q,17,FALSE)),"")</f>
        <v>QUESOS Y GRASAS</v>
      </c>
      <c r="C290" s="24" t="str">
        <f>+IFERROR(IF(GUAYAQUIL[[#This Row],[CODIGO]]="","",VLOOKUP(GUAYAQUIL[[#This Row],[CODIGO]],MAESTRO!$A:$BA,53,FALSE)),"")</f>
        <v xml:space="preserve">Esteban Montenegro                      </v>
      </c>
      <c r="D290" s="24" t="str">
        <f>+IFERROR(IF(GUAYAQUIL[[#This Row],[CODIGO]]="","",VLOOKUP(GUAYAQUIL[[#This Row],[CODIGO]],MAESTRO!$A:$D,4,FALSE)),"")</f>
        <v>QUESO SEMIMADURO KIOSKO</v>
      </c>
      <c r="E290" s="24" t="str">
        <f>+IFERROR(IF(GUAYAQUIL[[#This Row],[CODIGO]]="","",VLOOKUP(GUAYAQUIL[[#This Row],[CODIGO]],MAESTRO!$A:$F,6,FALSE)),"")</f>
        <v>QUESO SANDUCHE KIOSKO TAJADO</v>
      </c>
      <c r="F290" s="42" t="str">
        <f>IF(GUAYAQUIL[[#This Row],[CODIGO]]="","",$K$6)</f>
        <v>GUAYAQUIL</v>
      </c>
      <c r="G290" s="42">
        <f>IF(GUAYAQUIL[[#This Row],[CODIGO]]="","",7711)</f>
        <v>7711</v>
      </c>
      <c r="H290" s="42">
        <f>IF(GUAYAQUIL[[#This Row],[CODIGO]]="","",1001)</f>
        <v>1001</v>
      </c>
      <c r="I290" s="258" t="s">
        <v>1548</v>
      </c>
      <c r="J290" s="25" t="str">
        <f>IFERROR((VLOOKUP(GUAYAQUIL[[#This Row],[CODIGO]],MAESTRO!A:B,2,FALSE)),"")</f>
        <v>QUESO SANDUCHE KIOSKO 75G</v>
      </c>
      <c r="K290" s="35">
        <v>240</v>
      </c>
      <c r="L290" s="38">
        <f>+IFERROR(IF(GUAYAQUIL[[#This Row],[CODIGO]]="","",VLOOKUP(GUAYAQUIL[[#This Row],[CODIGO]],MAESTRO!$A:$BF,58,FALSE)),"")</f>
        <v>1</v>
      </c>
      <c r="M290" s="27">
        <f>+IFERROR(IF(GUAYAQUIL[[#This Row],[CODIGO]]="","",VLOOKUP(GUAYAQUIL[[#This Row],[CODIGO]],MAESTRO!A:N,14,FALSE)),"")</f>
        <v>7.4999999999999997E-2</v>
      </c>
      <c r="N290" s="28">
        <f>+IFERROR(IF(GUAYAQUIL[[#This Row],[CODIGO]]="","",VLOOKUP(GUAYAQUIL[[#This Row],[CODIGO]],MAESTRO!A:P,16,FALSE)),"")</f>
        <v>90</v>
      </c>
      <c r="O290" s="29">
        <v>45617</v>
      </c>
      <c r="P290" s="72" t="str">
        <f t="shared" si="20"/>
        <v>jueves</v>
      </c>
      <c r="Q290" s="29">
        <f>IFERROR(IF(GUAYAQUIL[[#This Row],[CODIGO]]="","",IF(GUAYAQUIL[[#This Row],[Fecha Cad]]="","",(GUAYAQUIL[[#This Row],[Fecha Cad]]-GUAYAQUIL[[#This Row],[VIDA UTIL (Días)]]))+1),"")</f>
        <v>45610</v>
      </c>
      <c r="R290" s="29">
        <v>45699</v>
      </c>
      <c r="S290" s="30">
        <f t="shared" ca="1" si="21"/>
        <v>75</v>
      </c>
      <c r="T290" s="31">
        <f t="shared" ca="1" si="22"/>
        <v>0.83333333333333337</v>
      </c>
      <c r="U290" s="286">
        <v>240</v>
      </c>
      <c r="V290" s="261">
        <f>+IFERROR(IF(GUAYAQUIL[[#This Row],[CODIGO]]="","",GUAYAQUIL[[#This Row],[Stock Actual Unds]]*GUAYAQUIL[[#This Row],[Gramaje]]*GUAYAQUIL[[#This Row],[Conversión]]),"")</f>
        <v>18</v>
      </c>
      <c r="W290" s="270">
        <f t="shared" si="23"/>
        <v>7</v>
      </c>
      <c r="X290" s="32">
        <f t="shared" si="24"/>
        <v>0.92222222222222228</v>
      </c>
      <c r="Y290" s="236">
        <f>IFERROR(VLOOKUP(GUAYAQUIL[[#This Row],[CODIGO]],MAESTRO!A:BI,21,FALSE),0)</f>
        <v>0.62080000000000002</v>
      </c>
      <c r="Z290" s="237">
        <f>+IFERROR(IF(GUAYAQUIL[[#This Row],[CODIGO]]="","",GUAYAQUIL[[#This Row],[COSTO UNIT base]]*GUAYAQUIL[[#This Row],[Conversión]]),"")</f>
        <v>0.62080000000000002</v>
      </c>
      <c r="AA290" s="236">
        <f>+IFERROR(IF(GUAYAQUIL[[#This Row],[CODIGO]]="","",GUAYAQUIL[[#This Row],[COSTO UNIT Conv]]*GUAYAQUIL[[#This Row],[Stock Actual Kgs]]),"")</f>
        <v>11.1744</v>
      </c>
      <c r="AB290" s="33">
        <f ca="1">+IFERROR(IF(GUAYAQUIL[[#This Row],[CODIGO]]="","",$J$3-O290),"")</f>
        <v>7</v>
      </c>
      <c r="AC290" s="34" t="str">
        <f ca="1">IF(GUAYAQUIL[[#This Row],[CODIGO]]="","",IF(S290&lt;=0,"CADUCADO",IF(AND(S290&gt;0,S290&lt;=21),"FECHA CORTA",IF(AND(S290&gt;=22,S290&lt;=26),"PROXIMOS FECHA CORTA", "VIGENTE"))))</f>
        <v>VIGENTE</v>
      </c>
      <c r="AD290" s="37">
        <f>+IF(GUAYAQUIL[[#This Row],[CODIGO]]="","",GUAYAQUIL[[#This Row],[Stock Actual Unds]]*GUAYAQUIL[[#This Row],[Gramaje]]*GUAYAQUIL[[#This Row],[Conversión]])/1000</f>
        <v>1.7999999999999999E-2</v>
      </c>
    </row>
    <row r="291" spans="1:30">
      <c r="A291" s="24" t="str">
        <f>+IFERROR(IF(GUAYAQUIL[[#This Row],[CODIGO]]="","",VLOOKUP(GUAYAQUIL[[#This Row],[CODIGO]],MAESTRO!$A:$J,10,FALSE)),"")</f>
        <v>MACHACHI</v>
      </c>
      <c r="B291" s="24" t="str">
        <f>+IFERROR(IF(GUAYAQUIL[[#This Row],[CODIGO]]="","",VLOOKUP(GUAYAQUIL[[#This Row],[CODIGO]],MAESTRO!$A:$Q,17,FALSE)),"")</f>
        <v>BEBIDAS LACTEAS</v>
      </c>
      <c r="C291" s="24" t="str">
        <f>+IFERROR(IF(GUAYAQUIL[[#This Row],[CODIGO]]="","",VLOOKUP(GUAYAQUIL[[#This Row],[CODIGO]],MAESTRO!$A:$BA,53,FALSE)),"")</f>
        <v xml:space="preserve">Luis Armendariz                         </v>
      </c>
      <c r="D291" s="24" t="str">
        <f>+IFERROR(IF(GUAYAQUIL[[#This Row],[CODIGO]]="","",VLOOKUP(GUAYAQUIL[[#This Row],[CODIGO]],MAESTRO!$A:$D,4,FALSE)),"")</f>
        <v>YOGURT KIOSKO</v>
      </c>
      <c r="E291" s="24" t="str">
        <f>+IFERROR(IF(GUAYAQUIL[[#This Row],[CODIGO]]="","",VLOOKUP(GUAYAQUIL[[#This Row],[CODIGO]],MAESTRO!$A:$F,6,FALSE)),"")</f>
        <v>GRIEGO SABORIZADO</v>
      </c>
      <c r="F291" s="42" t="str">
        <f>IF(GUAYAQUIL[[#This Row],[CODIGO]]="","",$K$6)</f>
        <v>GUAYAQUIL</v>
      </c>
      <c r="G291" s="209">
        <f>IF(GUAYAQUIL[[#This Row],[CODIGO]]="","",7711)</f>
        <v>7711</v>
      </c>
      <c r="H291" s="209">
        <f>IF(GUAYAQUIL[[#This Row],[CODIGO]]="","",1001)</f>
        <v>1001</v>
      </c>
      <c r="I291" s="258" t="s">
        <v>968</v>
      </c>
      <c r="J291" s="25" t="str">
        <f>IFERROR((VLOOKUP(GUAYAQUIL[[#This Row],[CODIGO]],MAESTRO!A:B,2,FALSE)),"")</f>
        <v>GRIEG KIOSKO FRUT ROJ 400</v>
      </c>
      <c r="K291" s="35">
        <v>40</v>
      </c>
      <c r="L291" s="38">
        <f>+IFERROR(IF(GUAYAQUIL[[#This Row],[CODIGO]]="","",VLOOKUP(GUAYAQUIL[[#This Row],[CODIGO]],MAESTRO!$A:$BF,58,FALSE)),"")</f>
        <v>1</v>
      </c>
      <c r="M291" s="27">
        <f>+IFERROR(IF(GUAYAQUIL[[#This Row],[CODIGO]]="","",VLOOKUP(GUAYAQUIL[[#This Row],[CODIGO]],MAESTRO!A:N,14,FALSE)),"")</f>
        <v>0.4</v>
      </c>
      <c r="N291" s="28">
        <f>+IFERROR(IF(GUAYAQUIL[[#This Row],[CODIGO]]="","",VLOOKUP(GUAYAQUIL[[#This Row],[CODIGO]],MAESTRO!A:P,16,FALSE)),"")</f>
        <v>45</v>
      </c>
      <c r="O291" s="29">
        <v>45612</v>
      </c>
      <c r="P291" s="72" t="str">
        <f t="shared" si="20"/>
        <v>sábado</v>
      </c>
      <c r="Q291" s="29">
        <f>IFERROR(IF(GUAYAQUIL[[#This Row],[CODIGO]]="","",IF(GUAYAQUIL[[#This Row],[Fecha Cad]]="","",(GUAYAQUIL[[#This Row],[Fecha Cad]]-GUAYAQUIL[[#This Row],[VIDA UTIL (Días)]]))+1),"")</f>
        <v>45611</v>
      </c>
      <c r="R291" s="29">
        <v>45655</v>
      </c>
      <c r="S291" s="30">
        <f t="shared" ca="1" si="21"/>
        <v>31</v>
      </c>
      <c r="T291" s="31">
        <f t="shared" ca="1" si="22"/>
        <v>0.68888888888888888</v>
      </c>
      <c r="U291" s="286">
        <v>40</v>
      </c>
      <c r="V291" s="261">
        <f>+IFERROR(IF(GUAYAQUIL[[#This Row],[CODIGO]]="","",GUAYAQUIL[[#This Row],[Stock Actual Unds]]*GUAYAQUIL[[#This Row],[Gramaje]]*GUAYAQUIL[[#This Row],[Conversión]]),"")</f>
        <v>16</v>
      </c>
      <c r="W291" s="270">
        <f t="shared" si="23"/>
        <v>1</v>
      </c>
      <c r="X291" s="32">
        <f t="shared" si="24"/>
        <v>0.97777777777777775</v>
      </c>
      <c r="Y291" s="236">
        <f>IFERROR(VLOOKUP(GUAYAQUIL[[#This Row],[CODIGO]],MAESTRO!A:BI,21,FALSE),0)</f>
        <v>0.96938500000000005</v>
      </c>
      <c r="Z291" s="237">
        <f>+IFERROR(IF(GUAYAQUIL[[#This Row],[CODIGO]]="","",GUAYAQUIL[[#This Row],[COSTO UNIT base]]*GUAYAQUIL[[#This Row],[Conversión]]),"")</f>
        <v>0.96938500000000005</v>
      </c>
      <c r="AA291" s="236">
        <f>+IFERROR(IF(GUAYAQUIL[[#This Row],[CODIGO]]="","",GUAYAQUIL[[#This Row],[COSTO UNIT Conv]]*GUAYAQUIL[[#This Row],[Stock Actual Kgs]]),"")</f>
        <v>15.510160000000001</v>
      </c>
      <c r="AB291" s="33">
        <f ca="1">+IFERROR(IF(GUAYAQUIL[[#This Row],[CODIGO]]="","",$J$3-O291),"")</f>
        <v>12</v>
      </c>
      <c r="AC291" s="34" t="str">
        <f ca="1">IF(GUAYAQUIL[[#This Row],[CODIGO]]="","",IF(S291&lt;=0,"CADUCADO",IF(AND(S291&gt;0,S291&lt;=21),"FECHA CORTA",IF(AND(S291&gt;=22,S291&lt;=26),"PROXIMOS FECHA CORTA", "VIGENTE"))))</f>
        <v>VIGENTE</v>
      </c>
      <c r="AD291" s="37">
        <f>+IF(GUAYAQUIL[[#This Row],[CODIGO]]="","",GUAYAQUIL[[#This Row],[Stock Actual Unds]]*GUAYAQUIL[[#This Row],[Gramaje]]*GUAYAQUIL[[#This Row],[Conversión]])/1000</f>
        <v>1.6E-2</v>
      </c>
    </row>
    <row r="292" spans="1:30">
      <c r="A292" s="24" t="str">
        <f>+IFERROR(IF(GUAYAQUIL[[#This Row],[CODIGO]]="","",VLOOKUP(GUAYAQUIL[[#This Row],[CODIGO]],MAESTRO!$A:$J,10,FALSE)),"")</f>
        <v>MACHACHI</v>
      </c>
      <c r="B292" s="24" t="str">
        <f>+IFERROR(IF(GUAYAQUIL[[#This Row],[CODIGO]]="","",VLOOKUP(GUAYAQUIL[[#This Row],[CODIGO]],MAESTRO!$A:$Q,17,FALSE)),"")</f>
        <v>BEBIDAS LACTEAS</v>
      </c>
      <c r="C292" s="24" t="str">
        <f>+IFERROR(IF(GUAYAQUIL[[#This Row],[CODIGO]]="","",VLOOKUP(GUAYAQUIL[[#This Row],[CODIGO]],MAESTRO!$A:$BA,53,FALSE)),"")</f>
        <v xml:space="preserve">Luis Armendariz                         </v>
      </c>
      <c r="D292" s="24" t="str">
        <f>+IFERROR(IF(GUAYAQUIL[[#This Row],[CODIGO]]="","",VLOOKUP(GUAYAQUIL[[#This Row],[CODIGO]],MAESTRO!$A:$D,4,FALSE)),"")</f>
        <v>YOGURT KIOSKO</v>
      </c>
      <c r="E292" s="24" t="str">
        <f>+IFERROR(IF(GUAYAQUIL[[#This Row],[CODIGO]]="","",VLOOKUP(GUAYAQUIL[[#This Row],[CODIGO]],MAESTRO!$A:$F,6,FALSE)),"")</f>
        <v>GRIEGO SABORIZADO</v>
      </c>
      <c r="F292" s="42" t="str">
        <f>IF(GUAYAQUIL[[#This Row],[CODIGO]]="","",$K$6)</f>
        <v>GUAYAQUIL</v>
      </c>
      <c r="G292" s="42">
        <f>IF(GUAYAQUIL[[#This Row],[CODIGO]]="","",7711)</f>
        <v>7711</v>
      </c>
      <c r="H292" s="42">
        <f>IF(GUAYAQUIL[[#This Row],[CODIGO]]="","",1001)</f>
        <v>1001</v>
      </c>
      <c r="I292" s="257" t="s">
        <v>968</v>
      </c>
      <c r="J292" s="25" t="str">
        <f>IFERROR((VLOOKUP(GUAYAQUIL[[#This Row],[CODIGO]],MAESTRO!A:B,2,FALSE)),"")</f>
        <v>GRIEG KIOSKO FRUT ROJ 400</v>
      </c>
      <c r="K292" s="26">
        <v>40</v>
      </c>
      <c r="L292" s="38">
        <f>+IFERROR(IF(GUAYAQUIL[[#This Row],[CODIGO]]="","",VLOOKUP(GUAYAQUIL[[#This Row],[CODIGO]],MAESTRO!$A:$BF,58,FALSE)),"")</f>
        <v>1</v>
      </c>
      <c r="M292" s="27">
        <f>+IFERROR(IF(GUAYAQUIL[[#This Row],[CODIGO]]="","",VLOOKUP(GUAYAQUIL[[#This Row],[CODIGO]],MAESTRO!A:N,14,FALSE)),"")</f>
        <v>0.4</v>
      </c>
      <c r="N292" s="28">
        <f>+IFERROR(IF(GUAYAQUIL[[#This Row],[CODIGO]]="","",VLOOKUP(GUAYAQUIL[[#This Row],[CODIGO]],MAESTRO!A:P,16,FALSE)),"")</f>
        <v>45</v>
      </c>
      <c r="O292" s="29">
        <v>45611</v>
      </c>
      <c r="P292" s="72" t="str">
        <f t="shared" si="20"/>
        <v>viernes</v>
      </c>
      <c r="Q292" s="29">
        <f>IFERROR(IF(GUAYAQUIL[[#This Row],[CODIGO]]="","",IF(GUAYAQUIL[[#This Row],[Fecha Cad]]="","",(GUAYAQUIL[[#This Row],[Fecha Cad]]-GUAYAQUIL[[#This Row],[VIDA UTIL (Días)]]))+1),"")</f>
        <v>45602</v>
      </c>
      <c r="R292" s="29">
        <v>45646</v>
      </c>
      <c r="S292" s="30">
        <f t="shared" ca="1" si="21"/>
        <v>22</v>
      </c>
      <c r="T292" s="31">
        <f t="shared" ca="1" si="22"/>
        <v>0.48888888888888887</v>
      </c>
      <c r="U292" s="286">
        <v>15</v>
      </c>
      <c r="V292" s="260">
        <f>+IFERROR(IF(GUAYAQUIL[[#This Row],[CODIGO]]="","",GUAYAQUIL[[#This Row],[Stock Actual Unds]]*GUAYAQUIL[[#This Row],[Gramaje]]*GUAYAQUIL[[#This Row],[Conversión]]),"")</f>
        <v>6</v>
      </c>
      <c r="W292" s="270">
        <f t="shared" si="23"/>
        <v>9</v>
      </c>
      <c r="X292" s="32">
        <f t="shared" si="24"/>
        <v>0.8</v>
      </c>
      <c r="Y292" s="236">
        <f>IFERROR(VLOOKUP(GUAYAQUIL[[#This Row],[CODIGO]],MAESTRO!A:BI,21,FALSE),0)</f>
        <v>0.96938500000000005</v>
      </c>
      <c r="Z292" s="237">
        <f>+IFERROR(IF(GUAYAQUIL[[#This Row],[CODIGO]]="","",GUAYAQUIL[[#This Row],[COSTO UNIT base]]*GUAYAQUIL[[#This Row],[Conversión]]),"")</f>
        <v>0.96938500000000005</v>
      </c>
      <c r="AA292" s="236">
        <f>+IFERROR(IF(GUAYAQUIL[[#This Row],[CODIGO]]="","",GUAYAQUIL[[#This Row],[COSTO UNIT Conv]]*GUAYAQUIL[[#This Row],[Stock Actual Kgs]]),"")</f>
        <v>5.8163100000000005</v>
      </c>
      <c r="AB292" s="33">
        <f ca="1">+IFERROR(IF(GUAYAQUIL[[#This Row],[CODIGO]]="","",$J$3-O292),"")</f>
        <v>13</v>
      </c>
      <c r="AC292" s="34" t="str">
        <f ca="1">IF(GUAYAQUIL[[#This Row],[CODIGO]]="","",IF(S292&lt;=0,"CADUCADO",IF(AND(S292&gt;0,S292&lt;=21),"FECHA CORTA",IF(AND(S292&gt;=22,S292&lt;=26),"PROXIMOS FECHA CORTA", "VIGENTE"))))</f>
        <v>PROXIMOS FECHA CORTA</v>
      </c>
      <c r="AD292" s="37">
        <f>+IF(GUAYAQUIL[[#This Row],[CODIGO]]="","",GUAYAQUIL[[#This Row],[Stock Actual Unds]]*GUAYAQUIL[[#This Row],[Gramaje]]*GUAYAQUIL[[#This Row],[Conversión]])/1000</f>
        <v>6.0000000000000001E-3</v>
      </c>
    </row>
    <row r="293" spans="1:30">
      <c r="A293" s="24" t="str">
        <f>+IFERROR(IF(GUAYAQUIL[[#This Row],[CODIGO]]="","",VLOOKUP(GUAYAQUIL[[#This Row],[CODIGO]],MAESTRO!$A:$J,10,FALSE)),"")</f>
        <v>MAQUILA</v>
      </c>
      <c r="B293" s="24" t="str">
        <f>+IFERROR(IF(GUAYAQUIL[[#This Row],[CODIGO]]="","",VLOOKUP(GUAYAQUIL[[#This Row],[CODIGO]],MAESTRO!$A:$Q,17,FALSE)),"")</f>
        <v>QUESOS Y GRASAS</v>
      </c>
      <c r="C293" s="24" t="str">
        <f>+IFERROR(IF(GUAYAQUIL[[#This Row],[CODIGO]]="","",VLOOKUP(GUAYAQUIL[[#This Row],[CODIGO]],MAESTRO!$A:$BA,53,FALSE)),"")</f>
        <v xml:space="preserve">Esteban Montenegro                      </v>
      </c>
      <c r="D293" s="24" t="str">
        <f>+IFERROR(IF(GUAYAQUIL[[#This Row],[CODIGO]]="","",VLOOKUP(GUAYAQUIL[[#This Row],[CODIGO]],MAESTRO!$A:$D,4,FALSE)),"")</f>
        <v>CREMA DE LECHE</v>
      </c>
      <c r="E293" s="24" t="str">
        <f>+IFERROR(IF(GUAYAQUIL[[#This Row],[CODIGO]]="","",VLOOKUP(GUAYAQUIL[[#This Row],[CODIGO]],MAESTRO!$A:$F,6,FALSE)),"")</f>
        <v>CREMA DE LECHE BOLSA</v>
      </c>
      <c r="F293" s="42" t="str">
        <f>IF(GUAYAQUIL[[#This Row],[CODIGO]]="","",$K$6)</f>
        <v>GUAYAQUIL</v>
      </c>
      <c r="G293" s="42">
        <f>IF(GUAYAQUIL[[#This Row],[CODIGO]]="","",7711)</f>
        <v>7711</v>
      </c>
      <c r="H293" s="42">
        <f>IF(GUAYAQUIL[[#This Row],[CODIGO]]="","",1001)</f>
        <v>1001</v>
      </c>
      <c r="I293" s="257" t="s">
        <v>3511</v>
      </c>
      <c r="J293" s="25" t="str">
        <f>IFERROR((VLOOKUP(GUAYAQUIL[[#This Row],[CODIGO]],MAESTRO!A:B,2,FALSE)),"")</f>
        <v>CREMA DE LECHE ALPINA 200G</v>
      </c>
      <c r="K293" s="26">
        <v>2800</v>
      </c>
      <c r="L293" s="38">
        <f>+IFERROR(IF(GUAYAQUIL[[#This Row],[CODIGO]]="","",VLOOKUP(GUAYAQUIL[[#This Row],[CODIGO]],MAESTRO!$A:$BF,58,FALSE)),"")</f>
        <v>1</v>
      </c>
      <c r="M293" s="27">
        <f>+IFERROR(IF(GUAYAQUIL[[#This Row],[CODIGO]]="","",VLOOKUP(GUAYAQUIL[[#This Row],[CODIGO]],MAESTRO!A:N,14,FALSE)),"")</f>
        <v>0.2</v>
      </c>
      <c r="N293" s="28">
        <f>+IFERROR(IF(GUAYAQUIL[[#This Row],[CODIGO]]="","",VLOOKUP(GUAYAQUIL[[#This Row],[CODIGO]],MAESTRO!A:P,16,FALSE)),"")</f>
        <v>70</v>
      </c>
      <c r="O293" s="29">
        <v>45605</v>
      </c>
      <c r="P293" s="72" t="str">
        <f t="shared" si="20"/>
        <v>sábado</v>
      </c>
      <c r="Q293" s="29">
        <f>IFERROR(IF(GUAYAQUIL[[#This Row],[CODIGO]]="","",IF(GUAYAQUIL[[#This Row],[Fecha Cad]]="","",(GUAYAQUIL[[#This Row],[Fecha Cad]]-GUAYAQUIL[[#This Row],[VIDA UTIL (Días)]]))+1),"")</f>
        <v>45589</v>
      </c>
      <c r="R293" s="29">
        <v>45658</v>
      </c>
      <c r="S293" s="30">
        <f t="shared" ca="1" si="21"/>
        <v>34</v>
      </c>
      <c r="T293" s="31">
        <f t="shared" ca="1" si="22"/>
        <v>0.48571428571428571</v>
      </c>
      <c r="U293" s="286">
        <v>2</v>
      </c>
      <c r="V293" s="260">
        <f>+IFERROR(IF(GUAYAQUIL[[#This Row],[CODIGO]]="","",GUAYAQUIL[[#This Row],[Stock Actual Unds]]*GUAYAQUIL[[#This Row],[Gramaje]]*GUAYAQUIL[[#This Row],[Conversión]]),"")</f>
        <v>0.4</v>
      </c>
      <c r="W293" s="270">
        <f t="shared" si="23"/>
        <v>16</v>
      </c>
      <c r="X293" s="32">
        <f t="shared" si="24"/>
        <v>0.77142857142857146</v>
      </c>
      <c r="Y293" s="236">
        <f>IFERROR(VLOOKUP(GUAYAQUIL[[#This Row],[CODIGO]],MAESTRO!A:BI,21,FALSE),0)</f>
        <v>0.59135000000000004</v>
      </c>
      <c r="Z293" s="237">
        <f>+IFERROR(IF(GUAYAQUIL[[#This Row],[CODIGO]]="","",GUAYAQUIL[[#This Row],[COSTO UNIT base]]*GUAYAQUIL[[#This Row],[Conversión]]),"")</f>
        <v>0.59135000000000004</v>
      </c>
      <c r="AA293" s="236">
        <f>+IFERROR(IF(GUAYAQUIL[[#This Row],[CODIGO]]="","",GUAYAQUIL[[#This Row],[COSTO UNIT Conv]]*GUAYAQUIL[[#This Row],[Stock Actual Kgs]]),"")</f>
        <v>0.23654000000000003</v>
      </c>
      <c r="AB293" s="33">
        <f ca="1">+IFERROR(IF(GUAYAQUIL[[#This Row],[CODIGO]]="","",$J$3-O293),"")</f>
        <v>19</v>
      </c>
      <c r="AC293" s="34" t="str">
        <f ca="1">IF(GUAYAQUIL[[#This Row],[CODIGO]]="","",IF(S293&lt;=0,"CADUCADO",IF(AND(S293&gt;0,S293&lt;=21),"FECHA CORTA",IF(AND(S293&gt;=22,S293&lt;=26),"PROXIMOS FECHA CORTA", "VIGENTE"))))</f>
        <v>VIGENTE</v>
      </c>
      <c r="AD293" s="37">
        <f>+IF(GUAYAQUIL[[#This Row],[CODIGO]]="","",GUAYAQUIL[[#This Row],[Stock Actual Unds]]*GUAYAQUIL[[#This Row],[Gramaje]]*GUAYAQUIL[[#This Row],[Conversión]])/1000</f>
        <v>4.0000000000000002E-4</v>
      </c>
    </row>
    <row r="294" spans="1:30">
      <c r="A294" s="24" t="str">
        <f>+IFERROR(IF(GUAYAQUIL[[#This Row],[CODIGO]]="","",VLOOKUP(GUAYAQUIL[[#This Row],[CODIGO]],MAESTRO!$A:$J,10,FALSE)),"")</f>
        <v>MAQUILA</v>
      </c>
      <c r="B294" s="24" t="str">
        <f>+IFERROR(IF(GUAYAQUIL[[#This Row],[CODIGO]]="","",VLOOKUP(GUAYAQUIL[[#This Row],[CODIGO]],MAESTRO!$A:$Q,17,FALSE)),"")</f>
        <v>QUESOS Y GRASAS</v>
      </c>
      <c r="C294" s="24" t="str">
        <f>+IFERROR(IF(GUAYAQUIL[[#This Row],[CODIGO]]="","",VLOOKUP(GUAYAQUIL[[#This Row],[CODIGO]],MAESTRO!$A:$BA,53,FALSE)),"")</f>
        <v xml:space="preserve">Esteban Montenegro                      </v>
      </c>
      <c r="D294" s="24" t="str">
        <f>+IFERROR(IF(GUAYAQUIL[[#This Row],[CODIGO]]="","",VLOOKUP(GUAYAQUIL[[#This Row],[CODIGO]],MAESTRO!$A:$D,4,FALSE)),"")</f>
        <v>CREMA DE LECHE</v>
      </c>
      <c r="E294" s="24" t="str">
        <f>+IFERROR(IF(GUAYAQUIL[[#This Row],[CODIGO]]="","",VLOOKUP(GUAYAQUIL[[#This Row],[CODIGO]],MAESTRO!$A:$F,6,FALSE)),"")</f>
        <v>CREMA DE LECHE BOLSA</v>
      </c>
      <c r="F294" s="42" t="str">
        <f>IF(GUAYAQUIL[[#This Row],[CODIGO]]="","",$K$6)</f>
        <v>GUAYAQUIL</v>
      </c>
      <c r="G294" s="42">
        <f>IF(GUAYAQUIL[[#This Row],[CODIGO]]="","",7711)</f>
        <v>7711</v>
      </c>
      <c r="H294" s="42">
        <f>IF(GUAYAQUIL[[#This Row],[CODIGO]]="","",1001)</f>
        <v>1001</v>
      </c>
      <c r="I294" s="257" t="s">
        <v>3511</v>
      </c>
      <c r="J294" s="25" t="str">
        <f>IFERROR((VLOOKUP(GUAYAQUIL[[#This Row],[CODIGO]],MAESTRO!A:B,2,FALSE)),"")</f>
        <v>CREMA DE LECHE ALPINA 200G</v>
      </c>
      <c r="K294" s="26">
        <v>2800</v>
      </c>
      <c r="L294" s="38">
        <f>+IFERROR(IF(GUAYAQUIL[[#This Row],[CODIGO]]="","",VLOOKUP(GUAYAQUIL[[#This Row],[CODIGO]],MAESTRO!$A:$BF,58,FALSE)),"")</f>
        <v>1</v>
      </c>
      <c r="M294" s="27">
        <f>+IFERROR(IF(GUAYAQUIL[[#This Row],[CODIGO]]="","",VLOOKUP(GUAYAQUIL[[#This Row],[CODIGO]],MAESTRO!A:N,14,FALSE)),"")</f>
        <v>0.2</v>
      </c>
      <c r="N294" s="28">
        <f>+IFERROR(IF(GUAYAQUIL[[#This Row],[CODIGO]]="","",VLOOKUP(GUAYAQUIL[[#This Row],[CODIGO]],MAESTRO!A:P,16,FALSE)),"")</f>
        <v>70</v>
      </c>
      <c r="O294" s="29">
        <v>45608</v>
      </c>
      <c r="P294" s="72" t="str">
        <f t="shared" si="20"/>
        <v>martes</v>
      </c>
      <c r="Q294" s="29">
        <f>IFERROR(IF(GUAYAQUIL[[#This Row],[CODIGO]]="","",IF(GUAYAQUIL[[#This Row],[Fecha Cad]]="","",(GUAYAQUIL[[#This Row],[Fecha Cad]]-GUAYAQUIL[[#This Row],[VIDA UTIL (Días)]]))+1),"")</f>
        <v>45590</v>
      </c>
      <c r="R294" s="29">
        <v>45659</v>
      </c>
      <c r="S294" s="30">
        <f t="shared" ca="1" si="21"/>
        <v>35</v>
      </c>
      <c r="T294" s="31">
        <f t="shared" ca="1" si="22"/>
        <v>0.5</v>
      </c>
      <c r="U294" s="286">
        <v>63</v>
      </c>
      <c r="V294" s="260">
        <f>+IFERROR(IF(GUAYAQUIL[[#This Row],[CODIGO]]="","",GUAYAQUIL[[#This Row],[Stock Actual Unds]]*GUAYAQUIL[[#This Row],[Gramaje]]*GUAYAQUIL[[#This Row],[Conversión]]),"")</f>
        <v>12.600000000000001</v>
      </c>
      <c r="W294" s="270">
        <f t="shared" si="23"/>
        <v>18</v>
      </c>
      <c r="X294" s="32">
        <f t="shared" si="24"/>
        <v>0.74285714285714288</v>
      </c>
      <c r="Y294" s="236">
        <f>IFERROR(VLOOKUP(GUAYAQUIL[[#This Row],[CODIGO]],MAESTRO!A:BI,21,FALSE),0)</f>
        <v>0.59135000000000004</v>
      </c>
      <c r="Z294" s="237">
        <f>+IFERROR(IF(GUAYAQUIL[[#This Row],[CODIGO]]="","",GUAYAQUIL[[#This Row],[COSTO UNIT base]]*GUAYAQUIL[[#This Row],[Conversión]]),"")</f>
        <v>0.59135000000000004</v>
      </c>
      <c r="AA294" s="236">
        <f>+IFERROR(IF(GUAYAQUIL[[#This Row],[CODIGO]]="","",GUAYAQUIL[[#This Row],[COSTO UNIT Conv]]*GUAYAQUIL[[#This Row],[Stock Actual Kgs]]),"")</f>
        <v>7.451010000000001</v>
      </c>
      <c r="AB294" s="33">
        <f ca="1">+IFERROR(IF(GUAYAQUIL[[#This Row],[CODIGO]]="","",$J$3-O294),"")</f>
        <v>16</v>
      </c>
      <c r="AC294" s="34" t="str">
        <f ca="1">IF(GUAYAQUIL[[#This Row],[CODIGO]]="","",IF(S294&lt;=0,"CADUCADO",IF(AND(S294&gt;0,S294&lt;=21),"FECHA CORTA",IF(AND(S294&gt;=22,S294&lt;=26),"PROXIMOS FECHA CORTA", "VIGENTE"))))</f>
        <v>VIGENTE</v>
      </c>
      <c r="AD294" s="37">
        <f>+IF(GUAYAQUIL[[#This Row],[CODIGO]]="","",GUAYAQUIL[[#This Row],[Stock Actual Unds]]*GUAYAQUIL[[#This Row],[Gramaje]]*GUAYAQUIL[[#This Row],[Conversión]])/1000</f>
        <v>1.2600000000000002E-2</v>
      </c>
    </row>
    <row r="295" spans="1:30">
      <c r="A295" s="24" t="str">
        <f>+IFERROR(IF(GUAYAQUIL[[#This Row],[CODIGO]]="","",VLOOKUP(GUAYAQUIL[[#This Row],[CODIGO]],MAESTRO!$A:$J,10,FALSE)),"")</f>
        <v>MAQUILA</v>
      </c>
      <c r="B295" s="24" t="str">
        <f>+IFERROR(IF(GUAYAQUIL[[#This Row],[CODIGO]]="","",VLOOKUP(GUAYAQUIL[[#This Row],[CODIGO]],MAESTRO!$A:$Q,17,FALSE)),"")</f>
        <v>QUESOS Y GRASAS</v>
      </c>
      <c r="C295" s="24" t="str">
        <f>+IFERROR(IF(GUAYAQUIL[[#This Row],[CODIGO]]="","",VLOOKUP(GUAYAQUIL[[#This Row],[CODIGO]],MAESTRO!$A:$BA,53,FALSE)),"")</f>
        <v xml:space="preserve">Esteban Montenegro                      </v>
      </c>
      <c r="D295" s="24" t="str">
        <f>+IFERROR(IF(GUAYAQUIL[[#This Row],[CODIGO]]="","",VLOOKUP(GUAYAQUIL[[#This Row],[CODIGO]],MAESTRO!$A:$D,4,FALSE)),"")</f>
        <v>CREMA DE LECHE</v>
      </c>
      <c r="E295" s="24" t="str">
        <f>+IFERROR(IF(GUAYAQUIL[[#This Row],[CODIGO]]="","",VLOOKUP(GUAYAQUIL[[#This Row],[CODIGO]],MAESTRO!$A:$F,6,FALSE)),"")</f>
        <v>CREMA DE LECHE BOLSA</v>
      </c>
      <c r="F295" s="24" t="str">
        <f>IF(GUAYAQUIL[[#This Row],[CODIGO]]="","",$K$6)</f>
        <v>GUAYAQUIL</v>
      </c>
      <c r="G295" s="208">
        <f>IF(GUAYAQUIL[[#This Row],[CODIGO]]="","",7711)</f>
        <v>7711</v>
      </c>
      <c r="H295" s="208">
        <f>IF(GUAYAQUIL[[#This Row],[CODIGO]]="","",1001)</f>
        <v>1001</v>
      </c>
      <c r="I295" s="258" t="s">
        <v>3511</v>
      </c>
      <c r="J295" s="25" t="str">
        <f>IFERROR((VLOOKUP(GUAYAQUIL[[#This Row],[CODIGO]],MAESTRO!A:B,2,FALSE)),"")</f>
        <v>CREMA DE LECHE ALPINA 200G</v>
      </c>
      <c r="K295" s="35">
        <v>1540</v>
      </c>
      <c r="L295" s="38">
        <f>+IFERROR(IF(GUAYAQUIL[[#This Row],[CODIGO]]="","",VLOOKUP(GUAYAQUIL[[#This Row],[CODIGO]],MAESTRO!$A:$BF,58,FALSE)),"")</f>
        <v>1</v>
      </c>
      <c r="M295" s="27">
        <f>+IFERROR(IF(GUAYAQUIL[[#This Row],[CODIGO]]="","",VLOOKUP(GUAYAQUIL[[#This Row],[CODIGO]],MAESTRO!A:N,14,FALSE)),"")</f>
        <v>0.2</v>
      </c>
      <c r="N295" s="28">
        <f>+IFERROR(IF(GUAYAQUIL[[#This Row],[CODIGO]]="","",VLOOKUP(GUAYAQUIL[[#This Row],[CODIGO]],MAESTRO!A:P,16,FALSE)),"")</f>
        <v>70</v>
      </c>
      <c r="O295" s="29">
        <v>45612</v>
      </c>
      <c r="P295" s="72" t="str">
        <f t="shared" si="20"/>
        <v>sábado</v>
      </c>
      <c r="Q295" s="29">
        <f>IFERROR(IF(GUAYAQUIL[[#This Row],[CODIGO]]="","",IF(GUAYAQUIL[[#This Row],[Fecha Cad]]="","",(GUAYAQUIL[[#This Row],[Fecha Cad]]-GUAYAQUIL[[#This Row],[VIDA UTIL (Días)]]))+1),"")</f>
        <v>45598</v>
      </c>
      <c r="R295" s="29">
        <v>45667</v>
      </c>
      <c r="S295" s="30">
        <f t="shared" ca="1" si="21"/>
        <v>43</v>
      </c>
      <c r="T295" s="31">
        <f t="shared" ca="1" si="22"/>
        <v>0.61428571428571432</v>
      </c>
      <c r="U295" s="286">
        <v>1522</v>
      </c>
      <c r="V295" s="261">
        <f>+IFERROR(IF(GUAYAQUIL[[#This Row],[CODIGO]]="","",GUAYAQUIL[[#This Row],[Stock Actual Unds]]*GUAYAQUIL[[#This Row],[Gramaje]]*GUAYAQUIL[[#This Row],[Conversión]]),"")</f>
        <v>304.40000000000003</v>
      </c>
      <c r="W295" s="270">
        <f t="shared" si="23"/>
        <v>14</v>
      </c>
      <c r="X295" s="32">
        <f t="shared" si="24"/>
        <v>0.8</v>
      </c>
      <c r="Y295" s="236">
        <f>IFERROR(VLOOKUP(GUAYAQUIL[[#This Row],[CODIGO]],MAESTRO!A:BI,21,FALSE),0)</f>
        <v>0.59135000000000004</v>
      </c>
      <c r="Z295" s="237">
        <f>+IFERROR(IF(GUAYAQUIL[[#This Row],[CODIGO]]="","",GUAYAQUIL[[#This Row],[COSTO UNIT base]]*GUAYAQUIL[[#This Row],[Conversión]]),"")</f>
        <v>0.59135000000000004</v>
      </c>
      <c r="AA295" s="236">
        <f>+IFERROR(IF(GUAYAQUIL[[#This Row],[CODIGO]]="","",GUAYAQUIL[[#This Row],[COSTO UNIT Conv]]*GUAYAQUIL[[#This Row],[Stock Actual Kgs]]),"")</f>
        <v>180.00694000000004</v>
      </c>
      <c r="AB295" s="33">
        <f ca="1">+IFERROR(IF(GUAYAQUIL[[#This Row],[CODIGO]]="","",$J$3-O295),"")</f>
        <v>12</v>
      </c>
      <c r="AC295" s="34" t="str">
        <f ca="1">IF(GUAYAQUIL[[#This Row],[CODIGO]]="","",IF(S295&lt;=0,"CADUCADO",IF(AND(S295&gt;0,S295&lt;=21),"FECHA CORTA",IF(AND(S295&gt;=22,S295&lt;=26),"PROXIMOS FECHA CORTA", "VIGENTE"))))</f>
        <v>VIGENTE</v>
      </c>
      <c r="AD295" s="37">
        <f>+IF(GUAYAQUIL[[#This Row],[CODIGO]]="","",GUAYAQUIL[[#This Row],[Stock Actual Unds]]*GUAYAQUIL[[#This Row],[Gramaje]]*GUAYAQUIL[[#This Row],[Conversión]])/1000</f>
        <v>0.30440000000000006</v>
      </c>
    </row>
    <row r="296" spans="1:30">
      <c r="A296" s="24" t="str">
        <f>+IFERROR(IF(GUAYAQUIL[[#This Row],[CODIGO]]="","",VLOOKUP(GUAYAQUIL[[#This Row],[CODIGO]],MAESTRO!$A:$J,10,FALSE)),"")</f>
        <v>MAQUILA</v>
      </c>
      <c r="B296" s="24" t="str">
        <f>+IFERROR(IF(GUAYAQUIL[[#This Row],[CODIGO]]="","",VLOOKUP(GUAYAQUIL[[#This Row],[CODIGO]],MAESTRO!$A:$Q,17,FALSE)),"")</f>
        <v>QUESOS Y GRASAS</v>
      </c>
      <c r="C296" s="24" t="str">
        <f>+IFERROR(IF(GUAYAQUIL[[#This Row],[CODIGO]]="","",VLOOKUP(GUAYAQUIL[[#This Row],[CODIGO]],MAESTRO!$A:$BA,53,FALSE)),"")</f>
        <v xml:space="preserve">Esteban Montenegro                      </v>
      </c>
      <c r="D296" s="24" t="str">
        <f>+IFERROR(IF(GUAYAQUIL[[#This Row],[CODIGO]]="","",VLOOKUP(GUAYAQUIL[[#This Row],[CODIGO]],MAESTRO!$A:$D,4,FALSE)),"")</f>
        <v>CREMA DE LECHE</v>
      </c>
      <c r="E296" s="24" t="str">
        <f>+IFERROR(IF(GUAYAQUIL[[#This Row],[CODIGO]]="","",VLOOKUP(GUAYAQUIL[[#This Row],[CODIGO]],MAESTRO!$A:$F,6,FALSE)),"")</f>
        <v>CREMA DE LECHE BOLSA</v>
      </c>
      <c r="F296" s="24" t="str">
        <f>IF(GUAYAQUIL[[#This Row],[CODIGO]]="","",$K$6)</f>
        <v>GUAYAQUIL</v>
      </c>
      <c r="G296" s="24">
        <f>IF(GUAYAQUIL[[#This Row],[CODIGO]]="","",7711)</f>
        <v>7711</v>
      </c>
      <c r="H296" s="24">
        <f>IF(GUAYAQUIL[[#This Row],[CODIGO]]="","",1001)</f>
        <v>1001</v>
      </c>
      <c r="I296" s="257" t="s">
        <v>3511</v>
      </c>
      <c r="J296" s="25" t="str">
        <f>IFERROR((VLOOKUP(GUAYAQUIL[[#This Row],[CODIGO]],MAESTRO!A:B,2,FALSE)),"")</f>
        <v>CREMA DE LECHE ALPINA 200G</v>
      </c>
      <c r="K296" s="26">
        <v>1540</v>
      </c>
      <c r="L296" s="38">
        <f>+IFERROR(IF(GUAYAQUIL[[#This Row],[CODIGO]]="","",VLOOKUP(GUAYAQUIL[[#This Row],[CODIGO]],MAESTRO!$A:$BF,58,FALSE)),"")</f>
        <v>1</v>
      </c>
      <c r="M296" s="27">
        <f>+IFERROR(IF(GUAYAQUIL[[#This Row],[CODIGO]]="","",VLOOKUP(GUAYAQUIL[[#This Row],[CODIGO]],MAESTRO!A:N,14,FALSE)),"")</f>
        <v>0.2</v>
      </c>
      <c r="N296" s="28">
        <f>+IFERROR(IF(GUAYAQUIL[[#This Row],[CODIGO]]="","",VLOOKUP(GUAYAQUIL[[#This Row],[CODIGO]],MAESTRO!A:P,16,FALSE)),"")</f>
        <v>70</v>
      </c>
      <c r="O296" s="29">
        <v>45615</v>
      </c>
      <c r="P296" s="72" t="str">
        <f t="shared" si="20"/>
        <v>martes</v>
      </c>
      <c r="Q296" s="29">
        <f>IFERROR(IF(GUAYAQUIL[[#This Row],[CODIGO]]="","",IF(GUAYAQUIL[[#This Row],[Fecha Cad]]="","",(GUAYAQUIL[[#This Row],[Fecha Cad]]-GUAYAQUIL[[#This Row],[VIDA UTIL (Días)]]))+1),"")</f>
        <v>45598</v>
      </c>
      <c r="R296" s="29">
        <v>45667</v>
      </c>
      <c r="S296" s="30">
        <f t="shared" ca="1" si="21"/>
        <v>43</v>
      </c>
      <c r="T296" s="31">
        <f t="shared" ca="1" si="22"/>
        <v>0.61428571428571432</v>
      </c>
      <c r="U296" s="286">
        <v>1540</v>
      </c>
      <c r="V296" s="260">
        <f>+IFERROR(IF(GUAYAQUIL[[#This Row],[CODIGO]]="","",GUAYAQUIL[[#This Row],[Stock Actual Unds]]*GUAYAQUIL[[#This Row],[Gramaje]]*GUAYAQUIL[[#This Row],[Conversión]]),"")</f>
        <v>308</v>
      </c>
      <c r="W296" s="270">
        <f t="shared" si="23"/>
        <v>17</v>
      </c>
      <c r="X296" s="32">
        <f t="shared" si="24"/>
        <v>0.75714285714285712</v>
      </c>
      <c r="Y296" s="236">
        <f>IFERROR(VLOOKUP(GUAYAQUIL[[#This Row],[CODIGO]],MAESTRO!A:BI,21,FALSE),0)</f>
        <v>0.59135000000000004</v>
      </c>
      <c r="Z296" s="237">
        <f>+IFERROR(IF(GUAYAQUIL[[#This Row],[CODIGO]]="","",GUAYAQUIL[[#This Row],[COSTO UNIT base]]*GUAYAQUIL[[#This Row],[Conversión]]),"")</f>
        <v>0.59135000000000004</v>
      </c>
      <c r="AA296" s="236">
        <f>+IFERROR(IF(GUAYAQUIL[[#This Row],[CODIGO]]="","",GUAYAQUIL[[#This Row],[COSTO UNIT Conv]]*GUAYAQUIL[[#This Row],[Stock Actual Kgs]]),"")</f>
        <v>182.13580000000002</v>
      </c>
      <c r="AB296" s="33">
        <f ca="1">+IFERROR(IF(GUAYAQUIL[[#This Row],[CODIGO]]="","",$J$3-O296),"")</f>
        <v>9</v>
      </c>
      <c r="AC296" s="34" t="str">
        <f ca="1">IF(GUAYAQUIL[[#This Row],[CODIGO]]="","",IF(S296&lt;=0,"CADUCADO",IF(AND(S296&gt;0,S296&lt;=21),"FECHA CORTA",IF(AND(S296&gt;=22,S296&lt;=26),"PROXIMOS FECHA CORTA", "VIGENTE"))))</f>
        <v>VIGENTE</v>
      </c>
      <c r="AD296" s="37">
        <f>+IF(GUAYAQUIL[[#This Row],[CODIGO]]="","",GUAYAQUIL[[#This Row],[Stock Actual Unds]]*GUAYAQUIL[[#This Row],[Gramaje]]*GUAYAQUIL[[#This Row],[Conversión]])/1000</f>
        <v>0.308</v>
      </c>
    </row>
    <row r="297" spans="1:30">
      <c r="A297" s="24" t="str">
        <f>+IFERROR(IF(GUAYAQUIL[[#This Row],[CODIGO]]="","",VLOOKUP(GUAYAQUIL[[#This Row],[CODIGO]],MAESTRO!$A:$J,10,FALSE)),"")</f>
        <v>MAQUILA</v>
      </c>
      <c r="B297" s="24" t="str">
        <f>+IFERROR(IF(GUAYAQUIL[[#This Row],[CODIGO]]="","",VLOOKUP(GUAYAQUIL[[#This Row],[CODIGO]],MAESTRO!$A:$Q,17,FALSE)),"")</f>
        <v>QUESOS Y GRASAS</v>
      </c>
      <c r="C297" s="24" t="str">
        <f>+IFERROR(IF(GUAYAQUIL[[#This Row],[CODIGO]]="","",VLOOKUP(GUAYAQUIL[[#This Row],[CODIGO]],MAESTRO!$A:$BA,53,FALSE)),"")</f>
        <v xml:space="preserve">Esteban Montenegro                      </v>
      </c>
      <c r="D297" s="24" t="str">
        <f>+IFERROR(IF(GUAYAQUIL[[#This Row],[CODIGO]]="","",VLOOKUP(GUAYAQUIL[[#This Row],[CODIGO]],MAESTRO!$A:$D,4,FALSE)),"")</f>
        <v>CREMA DE LECHE</v>
      </c>
      <c r="E297" s="24" t="str">
        <f>+IFERROR(IF(GUAYAQUIL[[#This Row],[CODIGO]]="","",VLOOKUP(GUAYAQUIL[[#This Row],[CODIGO]],MAESTRO!$A:$F,6,FALSE)),"")</f>
        <v>CREMA DE LECHE BOLSA</v>
      </c>
      <c r="F297" s="24" t="str">
        <f>IF(GUAYAQUIL[[#This Row],[CODIGO]]="","",$K$6)</f>
        <v>GUAYAQUIL</v>
      </c>
      <c r="G297" s="208">
        <f>IF(GUAYAQUIL[[#This Row],[CODIGO]]="","",7711)</f>
        <v>7711</v>
      </c>
      <c r="H297" s="208">
        <f>IF(GUAYAQUIL[[#This Row],[CODIGO]]="","",1001)</f>
        <v>1001</v>
      </c>
      <c r="I297" s="258" t="s">
        <v>3511</v>
      </c>
      <c r="J297" s="25" t="str">
        <f>IFERROR((VLOOKUP(GUAYAQUIL[[#This Row],[CODIGO]],MAESTRO!A:B,2,FALSE)),"")</f>
        <v>CREMA DE LECHE ALPINA 200G</v>
      </c>
      <c r="K297" s="35">
        <v>1540</v>
      </c>
      <c r="L297" s="38">
        <f>+IFERROR(IF(GUAYAQUIL[[#This Row],[CODIGO]]="","",VLOOKUP(GUAYAQUIL[[#This Row],[CODIGO]],MAESTRO!$A:$BF,58,FALSE)),"")</f>
        <v>1</v>
      </c>
      <c r="M297" s="27">
        <f>+IFERROR(IF(GUAYAQUIL[[#This Row],[CODIGO]]="","",VLOOKUP(GUAYAQUIL[[#This Row],[CODIGO]],MAESTRO!A:N,14,FALSE)),"")</f>
        <v>0.2</v>
      </c>
      <c r="N297" s="28">
        <f>+IFERROR(IF(GUAYAQUIL[[#This Row],[CODIGO]]="","",VLOOKUP(GUAYAQUIL[[#This Row],[CODIGO]],MAESTRO!A:P,16,FALSE)),"")</f>
        <v>70</v>
      </c>
      <c r="O297" s="29">
        <v>45616</v>
      </c>
      <c r="P297" s="72" t="str">
        <f t="shared" si="20"/>
        <v>miércoles</v>
      </c>
      <c r="Q297" s="29">
        <f>IFERROR(IF(GUAYAQUIL[[#This Row],[CODIGO]]="","",IF(GUAYAQUIL[[#This Row],[Fecha Cad]]="","",(GUAYAQUIL[[#This Row],[Fecha Cad]]-GUAYAQUIL[[#This Row],[VIDA UTIL (Días)]]))+1),"")</f>
        <v>45598</v>
      </c>
      <c r="R297" s="29">
        <v>45667</v>
      </c>
      <c r="S297" s="30">
        <f t="shared" ca="1" si="21"/>
        <v>43</v>
      </c>
      <c r="T297" s="31">
        <f t="shared" ca="1" si="22"/>
        <v>0.61428571428571432</v>
      </c>
      <c r="U297" s="286">
        <v>1540</v>
      </c>
      <c r="V297" s="261">
        <f>+IFERROR(IF(GUAYAQUIL[[#This Row],[CODIGO]]="","",GUAYAQUIL[[#This Row],[Stock Actual Unds]]*GUAYAQUIL[[#This Row],[Gramaje]]*GUAYAQUIL[[#This Row],[Conversión]]),"")</f>
        <v>308</v>
      </c>
      <c r="W297" s="270">
        <f t="shared" si="23"/>
        <v>18</v>
      </c>
      <c r="X297" s="32">
        <f t="shared" si="24"/>
        <v>0.74285714285714288</v>
      </c>
      <c r="Y297" s="236">
        <f>IFERROR(VLOOKUP(GUAYAQUIL[[#This Row],[CODIGO]],MAESTRO!A:BI,21,FALSE),0)</f>
        <v>0.59135000000000004</v>
      </c>
      <c r="Z297" s="237">
        <f>+IFERROR(IF(GUAYAQUIL[[#This Row],[CODIGO]]="","",GUAYAQUIL[[#This Row],[COSTO UNIT base]]*GUAYAQUIL[[#This Row],[Conversión]]),"")</f>
        <v>0.59135000000000004</v>
      </c>
      <c r="AA297" s="236">
        <f>+IFERROR(IF(GUAYAQUIL[[#This Row],[CODIGO]]="","",GUAYAQUIL[[#This Row],[COSTO UNIT Conv]]*GUAYAQUIL[[#This Row],[Stock Actual Kgs]]),"")</f>
        <v>182.13580000000002</v>
      </c>
      <c r="AB297" s="33">
        <f ca="1">+IFERROR(IF(GUAYAQUIL[[#This Row],[CODIGO]]="","",$J$3-O297),"")</f>
        <v>8</v>
      </c>
      <c r="AC297" s="34" t="str">
        <f ca="1">IF(GUAYAQUIL[[#This Row],[CODIGO]]="","",IF(S297&lt;=0,"CADUCADO",IF(AND(S297&gt;0,S297&lt;=21),"FECHA CORTA",IF(AND(S297&gt;=22,S297&lt;=26),"PROXIMOS FECHA CORTA", "VIGENTE"))))</f>
        <v>VIGENTE</v>
      </c>
      <c r="AD297" s="37">
        <f>+IF(GUAYAQUIL[[#This Row],[CODIGO]]="","",GUAYAQUIL[[#This Row],[Stock Actual Unds]]*GUAYAQUIL[[#This Row],[Gramaje]]*GUAYAQUIL[[#This Row],[Conversión]])/1000</f>
        <v>0.308</v>
      </c>
    </row>
    <row r="298" spans="1:30">
      <c r="A298" s="24" t="str">
        <f>+IFERROR(IF(GUAYAQUIL[[#This Row],[CODIGO]]="","",VLOOKUP(GUAYAQUIL[[#This Row],[CODIGO]],MAESTRO!$A:$J,10,FALSE)),"")</f>
        <v>MAQUILA</v>
      </c>
      <c r="B298" s="24" t="str">
        <f>+IFERROR(IF(GUAYAQUIL[[#This Row],[CODIGO]]="","",VLOOKUP(GUAYAQUIL[[#This Row],[CODIGO]],MAESTRO!$A:$Q,17,FALSE)),"")</f>
        <v>QUESOS Y GRASAS</v>
      </c>
      <c r="C298" s="24" t="str">
        <f>+IFERROR(IF(GUAYAQUIL[[#This Row],[CODIGO]]="","",VLOOKUP(GUAYAQUIL[[#This Row],[CODIGO]],MAESTRO!$A:$BA,53,FALSE)),"")</f>
        <v xml:space="preserve">Esteban Montenegro                      </v>
      </c>
      <c r="D298" s="24" t="str">
        <f>+IFERROR(IF(GUAYAQUIL[[#This Row],[CODIGO]]="","",VLOOKUP(GUAYAQUIL[[#This Row],[CODIGO]],MAESTRO!$A:$D,4,FALSE)),"")</f>
        <v>CREMA DE LECHE</v>
      </c>
      <c r="E298" s="24" t="str">
        <f>+IFERROR(IF(GUAYAQUIL[[#This Row],[CODIGO]]="","",VLOOKUP(GUAYAQUIL[[#This Row],[CODIGO]],MAESTRO!$A:$F,6,FALSE)),"")</f>
        <v>CREMA DE LECHE BOLSA</v>
      </c>
      <c r="F298" s="42" t="str">
        <f>IF(GUAYAQUIL[[#This Row],[CODIGO]]="","",$K$6)</f>
        <v>GUAYAQUIL</v>
      </c>
      <c r="G298" s="42">
        <f>IF(GUAYAQUIL[[#This Row],[CODIGO]]="","",7711)</f>
        <v>7711</v>
      </c>
      <c r="H298" s="42">
        <f>IF(GUAYAQUIL[[#This Row],[CODIGO]]="","",1001)</f>
        <v>1001</v>
      </c>
      <c r="I298" s="258" t="s">
        <v>3511</v>
      </c>
      <c r="J298" s="25" t="str">
        <f>IFERROR((VLOOKUP(GUAYAQUIL[[#This Row],[CODIGO]],MAESTRO!A:B,2,FALSE)),"")</f>
        <v>CREMA DE LECHE ALPINA 200G</v>
      </c>
      <c r="K298" s="35">
        <v>0</v>
      </c>
      <c r="L298" s="38">
        <f>+IFERROR(IF(GUAYAQUIL[[#This Row],[CODIGO]]="","",VLOOKUP(GUAYAQUIL[[#This Row],[CODIGO]],MAESTRO!$A:$BF,58,FALSE)),"")</f>
        <v>1</v>
      </c>
      <c r="M298" s="27">
        <f>+IFERROR(IF(GUAYAQUIL[[#This Row],[CODIGO]]="","",VLOOKUP(GUAYAQUIL[[#This Row],[CODIGO]],MAESTRO!A:N,14,FALSE)),"")</f>
        <v>0.2</v>
      </c>
      <c r="N298" s="28">
        <f>+IFERROR(IF(GUAYAQUIL[[#This Row],[CODIGO]]="","",VLOOKUP(GUAYAQUIL[[#This Row],[CODIGO]],MAESTRO!A:P,16,FALSE)),"")</f>
        <v>70</v>
      </c>
      <c r="O298" s="29">
        <v>45621</v>
      </c>
      <c r="P298" s="72" t="str">
        <f t="shared" si="20"/>
        <v>lunes</v>
      </c>
      <c r="Q298" s="29">
        <f>IFERROR(IF(GUAYAQUIL[[#This Row],[CODIGO]]="","",IF(GUAYAQUIL[[#This Row],[Fecha Cad]]="","",(GUAYAQUIL[[#This Row],[Fecha Cad]]-GUAYAQUIL[[#This Row],[VIDA UTIL (Días)]]))+1),"")</f>
        <v>45621</v>
      </c>
      <c r="R298" s="29">
        <v>45690</v>
      </c>
      <c r="S298" s="30">
        <f t="shared" ca="1" si="21"/>
        <v>66</v>
      </c>
      <c r="T298" s="31">
        <f t="shared" ca="1" si="22"/>
        <v>0.94285714285714284</v>
      </c>
      <c r="U298" s="286">
        <v>2</v>
      </c>
      <c r="V298" s="261">
        <f>+IFERROR(IF(GUAYAQUIL[[#This Row],[CODIGO]]="","",GUAYAQUIL[[#This Row],[Stock Actual Unds]]*GUAYAQUIL[[#This Row],[Gramaje]]*GUAYAQUIL[[#This Row],[Conversión]]),"")</f>
        <v>0.4</v>
      </c>
      <c r="W298" s="270">
        <f t="shared" si="23"/>
        <v>0</v>
      </c>
      <c r="X298" s="32">
        <f t="shared" si="24"/>
        <v>1</v>
      </c>
      <c r="Y298" s="236">
        <f>IFERROR(VLOOKUP(GUAYAQUIL[[#This Row],[CODIGO]],MAESTRO!A:BI,21,FALSE),0)</f>
        <v>0.59135000000000004</v>
      </c>
      <c r="Z298" s="237">
        <f>+IFERROR(IF(GUAYAQUIL[[#This Row],[CODIGO]]="","",GUAYAQUIL[[#This Row],[COSTO UNIT base]]*GUAYAQUIL[[#This Row],[Conversión]]),"")</f>
        <v>0.59135000000000004</v>
      </c>
      <c r="AA298" s="236">
        <f>+IFERROR(IF(GUAYAQUIL[[#This Row],[CODIGO]]="","",GUAYAQUIL[[#This Row],[COSTO UNIT Conv]]*GUAYAQUIL[[#This Row],[Stock Actual Kgs]]),"")</f>
        <v>0.23654000000000003</v>
      </c>
      <c r="AB298" s="33">
        <f ca="1">+IFERROR(IF(GUAYAQUIL[[#This Row],[CODIGO]]="","",$J$3-O298),"")</f>
        <v>3</v>
      </c>
      <c r="AC298" s="34" t="str">
        <f ca="1">IF(GUAYAQUIL[[#This Row],[CODIGO]]="","",IF(S298&lt;=0,"CADUCADO",IF(AND(S298&gt;0,S298&lt;=21),"FECHA CORTA",IF(AND(S298&gt;=22,S298&lt;=26),"PROXIMOS FECHA CORTA", "VIGENTE"))))</f>
        <v>VIGENTE</v>
      </c>
      <c r="AD298" s="37">
        <f>+IF(GUAYAQUIL[[#This Row],[CODIGO]]="","",GUAYAQUIL[[#This Row],[Stock Actual Unds]]*GUAYAQUIL[[#This Row],[Gramaje]]*GUAYAQUIL[[#This Row],[Conversión]])/1000</f>
        <v>4.0000000000000002E-4</v>
      </c>
    </row>
    <row r="299" spans="1:30">
      <c r="A299" s="24" t="str">
        <f>+IFERROR(IF(GUAYAQUIL[[#This Row],[CODIGO]]="","",VLOOKUP(GUAYAQUIL[[#This Row],[CODIGO]],MAESTRO!$A:$J,10,FALSE)),"")</f>
        <v>SAN GABRIEL</v>
      </c>
      <c r="B299" s="24" t="str">
        <f>+IFERROR(IF(GUAYAQUIL[[#This Row],[CODIGO]]="","",VLOOKUP(GUAYAQUIL[[#This Row],[CODIGO]],MAESTRO!$A:$Q,17,FALSE)),"")</f>
        <v>QUESOS Y GRASAS</v>
      </c>
      <c r="C299" s="24" t="str">
        <f>+IFERROR(IF(GUAYAQUIL[[#This Row],[CODIGO]]="","",VLOOKUP(GUAYAQUIL[[#This Row],[CODIGO]],MAESTRO!$A:$BA,53,FALSE)),"")</f>
        <v xml:space="preserve">Esteban Montenegro                      </v>
      </c>
      <c r="D299" s="24" t="str">
        <f>+IFERROR(IF(GUAYAQUIL[[#This Row],[CODIGO]]="","",VLOOKUP(GUAYAQUIL[[#This Row],[CODIGO]],MAESTRO!$A:$D,4,FALSE)),"")</f>
        <v>QUESO SEMIMADURO KIOSKO</v>
      </c>
      <c r="E299" s="24" t="str">
        <f>+IFERROR(IF(GUAYAQUIL[[#This Row],[CODIGO]]="","",VLOOKUP(GUAYAQUIL[[#This Row],[CODIGO]],MAESTRO!$A:$F,6,FALSE)),"")</f>
        <v>QUESO PROVOLONE KIOSKO BLOQUE</v>
      </c>
      <c r="F299" s="42" t="str">
        <f>IF(GUAYAQUIL[[#This Row],[CODIGO]]="","",$K$6)</f>
        <v>GUAYAQUIL</v>
      </c>
      <c r="G299" s="209">
        <f>IF(GUAYAQUIL[[#This Row],[CODIGO]]="","",7711)</f>
        <v>7711</v>
      </c>
      <c r="H299" s="209">
        <f>IF(GUAYAQUIL[[#This Row],[CODIGO]]="","",1001)</f>
        <v>1001</v>
      </c>
      <c r="I299" s="258" t="s">
        <v>3514</v>
      </c>
      <c r="J299" s="25" t="str">
        <f>IFERROR((VLOOKUP(GUAYAQUIL[[#This Row],[CODIGO]],MAESTRO!A:B,2,FALSE)),"")</f>
        <v>Q PROVO AHUM KIOSKO BLOQ 260G</v>
      </c>
      <c r="K299" s="35">
        <v>75</v>
      </c>
      <c r="L299" s="38">
        <f>+IFERROR(IF(GUAYAQUIL[[#This Row],[CODIGO]]="","",VLOOKUP(GUAYAQUIL[[#This Row],[CODIGO]],MAESTRO!$A:$BF,58,FALSE)),"")</f>
        <v>1</v>
      </c>
      <c r="M299" s="27">
        <f>+IFERROR(IF(GUAYAQUIL[[#This Row],[CODIGO]]="","",VLOOKUP(GUAYAQUIL[[#This Row],[CODIGO]],MAESTRO!A:N,14,FALSE)),"")</f>
        <v>0.26</v>
      </c>
      <c r="N299" s="28">
        <f>+IFERROR(IF(GUAYAQUIL[[#This Row],[CODIGO]]="","",VLOOKUP(GUAYAQUIL[[#This Row],[CODIGO]],MAESTRO!A:P,16,FALSE)),"")</f>
        <v>60</v>
      </c>
      <c r="O299" s="29">
        <v>45611</v>
      </c>
      <c r="P299" s="72" t="str">
        <f t="shared" si="20"/>
        <v>viernes</v>
      </c>
      <c r="Q299" s="29">
        <f>IFERROR(IF(GUAYAQUIL[[#This Row],[CODIGO]]="","",IF(GUAYAQUIL[[#This Row],[Fecha Cad]]="","",(GUAYAQUIL[[#This Row],[Fecha Cad]]-GUAYAQUIL[[#This Row],[VIDA UTIL (Días)]]))+1),"")</f>
        <v>45603</v>
      </c>
      <c r="R299" s="29">
        <v>45662</v>
      </c>
      <c r="S299" s="30">
        <f t="shared" ca="1" si="21"/>
        <v>38</v>
      </c>
      <c r="T299" s="31">
        <f t="shared" ca="1" si="22"/>
        <v>0.6333333333333333</v>
      </c>
      <c r="U299" s="286">
        <v>6</v>
      </c>
      <c r="V299" s="261">
        <f>+IFERROR(IF(GUAYAQUIL[[#This Row],[CODIGO]]="","",GUAYAQUIL[[#This Row],[Stock Actual Unds]]*GUAYAQUIL[[#This Row],[Gramaje]]*GUAYAQUIL[[#This Row],[Conversión]]),"")</f>
        <v>1.56</v>
      </c>
      <c r="W299" s="270">
        <f t="shared" si="23"/>
        <v>8</v>
      </c>
      <c r="X299" s="32">
        <f t="shared" si="24"/>
        <v>0.8666666666666667</v>
      </c>
      <c r="Y299" s="236">
        <f>IFERROR(VLOOKUP(GUAYAQUIL[[#This Row],[CODIGO]],MAESTRO!A:BI,21,FALSE),0)</f>
        <v>2.0346349999999997</v>
      </c>
      <c r="Z299" s="237">
        <f>+IFERROR(IF(GUAYAQUIL[[#This Row],[CODIGO]]="","",GUAYAQUIL[[#This Row],[COSTO UNIT base]]*GUAYAQUIL[[#This Row],[Conversión]]),"")</f>
        <v>2.0346349999999997</v>
      </c>
      <c r="AA299" s="236">
        <f>+IFERROR(IF(GUAYAQUIL[[#This Row],[CODIGO]]="","",GUAYAQUIL[[#This Row],[COSTO UNIT Conv]]*GUAYAQUIL[[#This Row],[Stock Actual Kgs]]),"")</f>
        <v>3.1740305999999996</v>
      </c>
      <c r="AB299" s="33">
        <f ca="1">+IFERROR(IF(GUAYAQUIL[[#This Row],[CODIGO]]="","",$J$3-O299),"")</f>
        <v>13</v>
      </c>
      <c r="AC299" s="34" t="str">
        <f ca="1">IF(GUAYAQUIL[[#This Row],[CODIGO]]="","",IF(S299&lt;=0,"CADUCADO",IF(AND(S299&gt;0,S299&lt;=21),"FECHA CORTA",IF(AND(S299&gt;=22,S299&lt;=26),"PROXIMOS FECHA CORTA", "VIGENTE"))))</f>
        <v>VIGENTE</v>
      </c>
      <c r="AD299" s="37">
        <f>+IF(GUAYAQUIL[[#This Row],[CODIGO]]="","",GUAYAQUIL[[#This Row],[Stock Actual Unds]]*GUAYAQUIL[[#This Row],[Gramaje]]*GUAYAQUIL[[#This Row],[Conversión]])/1000</f>
        <v>1.56E-3</v>
      </c>
    </row>
    <row r="300" spans="1:30">
      <c r="A300" s="24" t="str">
        <f>+IFERROR(IF(GUAYAQUIL[[#This Row],[CODIGO]]="","",VLOOKUP(GUAYAQUIL[[#This Row],[CODIGO]],MAESTRO!$A:$J,10,FALSE)),"")</f>
        <v>SAN GABRIEL</v>
      </c>
      <c r="B300" s="24" t="str">
        <f>+IFERROR(IF(GUAYAQUIL[[#This Row],[CODIGO]]="","",VLOOKUP(GUAYAQUIL[[#This Row],[CODIGO]],MAESTRO!$A:$Q,17,FALSE)),"")</f>
        <v>QUESOS Y GRASAS</v>
      </c>
      <c r="C300" s="24" t="str">
        <f>+IFERROR(IF(GUAYAQUIL[[#This Row],[CODIGO]]="","",VLOOKUP(GUAYAQUIL[[#This Row],[CODIGO]],MAESTRO!$A:$BA,53,FALSE)),"")</f>
        <v xml:space="preserve">Esteban Montenegro                      </v>
      </c>
      <c r="D300" s="24" t="str">
        <f>+IFERROR(IF(GUAYAQUIL[[#This Row],[CODIGO]]="","",VLOOKUP(GUAYAQUIL[[#This Row],[CODIGO]],MAESTRO!$A:$D,4,FALSE)),"")</f>
        <v>QUESO SEMIMADURO KIOSKO</v>
      </c>
      <c r="E300" s="24" t="str">
        <f>+IFERROR(IF(GUAYAQUIL[[#This Row],[CODIGO]]="","",VLOOKUP(GUAYAQUIL[[#This Row],[CODIGO]],MAESTRO!$A:$F,6,FALSE)),"")</f>
        <v>QUESO PROVOLONE KIOSKO BLOQUE</v>
      </c>
      <c r="F300" s="42" t="str">
        <f>IF(GUAYAQUIL[[#This Row],[CODIGO]]="","",$K$6)</f>
        <v>GUAYAQUIL</v>
      </c>
      <c r="G300" s="42">
        <f>IF(GUAYAQUIL[[#This Row],[CODIGO]]="","",7711)</f>
        <v>7711</v>
      </c>
      <c r="H300" s="42">
        <f>IF(GUAYAQUIL[[#This Row],[CODIGO]]="","",1001)</f>
        <v>1001</v>
      </c>
      <c r="I300" s="258" t="s">
        <v>3514</v>
      </c>
      <c r="J300" s="25" t="str">
        <f>IFERROR((VLOOKUP(GUAYAQUIL[[#This Row],[CODIGO]],MAESTRO!A:B,2,FALSE)),"")</f>
        <v>Q PROVO AHUM KIOSKO BLOQ 260G</v>
      </c>
      <c r="K300" s="35">
        <v>75</v>
      </c>
      <c r="L300" s="38">
        <f>+IFERROR(IF(GUAYAQUIL[[#This Row],[CODIGO]]="","",VLOOKUP(GUAYAQUIL[[#This Row],[CODIGO]],MAESTRO!$A:$BF,58,FALSE)),"")</f>
        <v>1</v>
      </c>
      <c r="M300" s="27">
        <f>+IFERROR(IF(GUAYAQUIL[[#This Row],[CODIGO]]="","",VLOOKUP(GUAYAQUIL[[#This Row],[CODIGO]],MAESTRO!A:N,14,FALSE)),"")</f>
        <v>0.26</v>
      </c>
      <c r="N300" s="28">
        <f>+IFERROR(IF(GUAYAQUIL[[#This Row],[CODIGO]]="","",VLOOKUP(GUAYAQUIL[[#This Row],[CODIGO]],MAESTRO!A:P,16,FALSE)),"")</f>
        <v>60</v>
      </c>
      <c r="O300" s="29">
        <v>45615</v>
      </c>
      <c r="P300" s="72" t="str">
        <f t="shared" si="20"/>
        <v>martes</v>
      </c>
      <c r="Q300" s="29">
        <f>IFERROR(IF(GUAYAQUIL[[#This Row],[CODIGO]]="","",IF(GUAYAQUIL[[#This Row],[Fecha Cad]]="","",(GUAYAQUIL[[#This Row],[Fecha Cad]]-GUAYAQUIL[[#This Row],[VIDA UTIL (Días)]]))+1),"")</f>
        <v>45603</v>
      </c>
      <c r="R300" s="29">
        <v>45662</v>
      </c>
      <c r="S300" s="30">
        <f t="shared" ca="1" si="21"/>
        <v>38</v>
      </c>
      <c r="T300" s="31">
        <f t="shared" ca="1" si="22"/>
        <v>0.6333333333333333</v>
      </c>
      <c r="U300" s="286">
        <v>75</v>
      </c>
      <c r="V300" s="261">
        <f>+IFERROR(IF(GUAYAQUIL[[#This Row],[CODIGO]]="","",GUAYAQUIL[[#This Row],[Stock Actual Unds]]*GUAYAQUIL[[#This Row],[Gramaje]]*GUAYAQUIL[[#This Row],[Conversión]]),"")</f>
        <v>19.5</v>
      </c>
      <c r="W300" s="270">
        <f t="shared" si="23"/>
        <v>12</v>
      </c>
      <c r="X300" s="32">
        <f t="shared" si="24"/>
        <v>0.8</v>
      </c>
      <c r="Y300" s="236">
        <f>IFERROR(VLOOKUP(GUAYAQUIL[[#This Row],[CODIGO]],MAESTRO!A:BI,21,FALSE),0)</f>
        <v>2.0346349999999997</v>
      </c>
      <c r="Z300" s="237">
        <f>+IFERROR(IF(GUAYAQUIL[[#This Row],[CODIGO]]="","",GUAYAQUIL[[#This Row],[COSTO UNIT base]]*GUAYAQUIL[[#This Row],[Conversión]]),"")</f>
        <v>2.0346349999999997</v>
      </c>
      <c r="AA300" s="236">
        <f>+IFERROR(IF(GUAYAQUIL[[#This Row],[CODIGO]]="","",GUAYAQUIL[[#This Row],[COSTO UNIT Conv]]*GUAYAQUIL[[#This Row],[Stock Actual Kgs]]),"")</f>
        <v>39.675382499999998</v>
      </c>
      <c r="AB300" s="33">
        <f ca="1">+IFERROR(IF(GUAYAQUIL[[#This Row],[CODIGO]]="","",$J$3-O300),"")</f>
        <v>9</v>
      </c>
      <c r="AC300" s="34" t="str">
        <f ca="1">IF(GUAYAQUIL[[#This Row],[CODIGO]]="","",IF(S300&lt;=0,"CADUCADO",IF(AND(S300&gt;0,S300&lt;=21),"FECHA CORTA",IF(AND(S300&gt;=22,S300&lt;=26),"PROXIMOS FECHA CORTA", "VIGENTE"))))</f>
        <v>VIGENTE</v>
      </c>
      <c r="AD300" s="37">
        <f>+IF(GUAYAQUIL[[#This Row],[CODIGO]]="","",GUAYAQUIL[[#This Row],[Stock Actual Unds]]*GUAYAQUIL[[#This Row],[Gramaje]]*GUAYAQUIL[[#This Row],[Conversión]])/1000</f>
        <v>1.95E-2</v>
      </c>
    </row>
    <row r="301" spans="1:30">
      <c r="A301" s="24" t="str">
        <f>+IFERROR(IF(GUAYAQUIL[[#This Row],[CODIGO]]="","",VLOOKUP(GUAYAQUIL[[#This Row],[CODIGO]],MAESTRO!$A:$J,10,FALSE)),"")</f>
        <v>SAN GABRIEL</v>
      </c>
      <c r="B301" s="24" t="str">
        <f>+IFERROR(IF(GUAYAQUIL[[#This Row],[CODIGO]]="","",VLOOKUP(GUAYAQUIL[[#This Row],[CODIGO]],MAESTRO!$A:$Q,17,FALSE)),"")</f>
        <v>QUESOS Y GRASAS</v>
      </c>
      <c r="C301" s="24" t="str">
        <f>+IFERROR(IF(GUAYAQUIL[[#This Row],[CODIGO]]="","",VLOOKUP(GUAYAQUIL[[#This Row],[CODIGO]],MAESTRO!$A:$BA,53,FALSE)),"")</f>
        <v xml:space="preserve">Esteban Montenegro                      </v>
      </c>
      <c r="D301" s="24" t="str">
        <f>+IFERROR(IF(GUAYAQUIL[[#This Row],[CODIGO]]="","",VLOOKUP(GUAYAQUIL[[#This Row],[CODIGO]],MAESTRO!$A:$D,4,FALSE)),"")</f>
        <v>QUESO SEMIMADURO KIOSKO</v>
      </c>
      <c r="E301" s="24" t="str">
        <f>+IFERROR(IF(GUAYAQUIL[[#This Row],[CODIGO]]="","",VLOOKUP(GUAYAQUIL[[#This Row],[CODIGO]],MAESTRO!$A:$F,6,FALSE)),"")</f>
        <v>QUESO PROVOLONE KIOSKO BLOQUE</v>
      </c>
      <c r="F301" s="42" t="str">
        <f>IF(GUAYAQUIL[[#This Row],[CODIGO]]="","",$K$6)</f>
        <v>GUAYAQUIL</v>
      </c>
      <c r="G301" s="209">
        <f>IF(GUAYAQUIL[[#This Row],[CODIGO]]="","",7711)</f>
        <v>7711</v>
      </c>
      <c r="H301" s="209">
        <f>IF(GUAYAQUIL[[#This Row],[CODIGO]]="","",1001)</f>
        <v>1001</v>
      </c>
      <c r="I301" s="258" t="s">
        <v>3514</v>
      </c>
      <c r="J301" s="25" t="str">
        <f>IFERROR((VLOOKUP(GUAYAQUIL[[#This Row],[CODIGO]],MAESTRO!A:B,2,FALSE)),"")</f>
        <v>Q PROVO AHUM KIOSKO BLOQ 260G</v>
      </c>
      <c r="K301" s="35">
        <v>30</v>
      </c>
      <c r="L301" s="38">
        <f>+IFERROR(IF(GUAYAQUIL[[#This Row],[CODIGO]]="","",VLOOKUP(GUAYAQUIL[[#This Row],[CODIGO]],MAESTRO!$A:$BF,58,FALSE)),"")</f>
        <v>1</v>
      </c>
      <c r="M301" s="27">
        <f>+IFERROR(IF(GUAYAQUIL[[#This Row],[CODIGO]]="","",VLOOKUP(GUAYAQUIL[[#This Row],[CODIGO]],MAESTRO!A:N,14,FALSE)),"")</f>
        <v>0.26</v>
      </c>
      <c r="N301" s="28">
        <f>+IFERROR(IF(GUAYAQUIL[[#This Row],[CODIGO]]="","",VLOOKUP(GUAYAQUIL[[#This Row],[CODIGO]],MAESTRO!A:P,16,FALSE)),"")</f>
        <v>60</v>
      </c>
      <c r="O301" s="29">
        <v>45616</v>
      </c>
      <c r="P301" s="72" t="str">
        <f t="shared" si="20"/>
        <v>miércoles</v>
      </c>
      <c r="Q301" s="29">
        <f>IFERROR(IF(GUAYAQUIL[[#This Row],[CODIGO]]="","",IF(GUAYAQUIL[[#This Row],[Fecha Cad]]="","",(GUAYAQUIL[[#This Row],[Fecha Cad]]-GUAYAQUIL[[#This Row],[VIDA UTIL (Días)]]))+1),"")</f>
        <v>45611</v>
      </c>
      <c r="R301" s="29">
        <v>45670</v>
      </c>
      <c r="S301" s="30">
        <f t="shared" ca="1" si="21"/>
        <v>46</v>
      </c>
      <c r="T301" s="31">
        <f t="shared" ca="1" si="22"/>
        <v>0.76666666666666672</v>
      </c>
      <c r="U301" s="286">
        <v>30</v>
      </c>
      <c r="V301" s="261">
        <f>+IFERROR(IF(GUAYAQUIL[[#This Row],[CODIGO]]="","",GUAYAQUIL[[#This Row],[Stock Actual Unds]]*GUAYAQUIL[[#This Row],[Gramaje]]*GUAYAQUIL[[#This Row],[Conversión]]),"")</f>
        <v>7.8000000000000007</v>
      </c>
      <c r="W301" s="270">
        <f t="shared" si="23"/>
        <v>5</v>
      </c>
      <c r="X301" s="32">
        <f t="shared" si="24"/>
        <v>0.91666666666666663</v>
      </c>
      <c r="Y301" s="236">
        <f>IFERROR(VLOOKUP(GUAYAQUIL[[#This Row],[CODIGO]],MAESTRO!A:BI,21,FALSE),0)</f>
        <v>2.0346349999999997</v>
      </c>
      <c r="Z301" s="237">
        <f>+IFERROR(IF(GUAYAQUIL[[#This Row],[CODIGO]]="","",GUAYAQUIL[[#This Row],[COSTO UNIT base]]*GUAYAQUIL[[#This Row],[Conversión]]),"")</f>
        <v>2.0346349999999997</v>
      </c>
      <c r="AA301" s="236">
        <f>+IFERROR(IF(GUAYAQUIL[[#This Row],[CODIGO]]="","",GUAYAQUIL[[#This Row],[COSTO UNIT Conv]]*GUAYAQUIL[[#This Row],[Stock Actual Kgs]]),"")</f>
        <v>15.870153</v>
      </c>
      <c r="AB301" s="33">
        <f ca="1">+IFERROR(IF(GUAYAQUIL[[#This Row],[CODIGO]]="","",$J$3-O301),"")</f>
        <v>8</v>
      </c>
      <c r="AC301" s="34" t="str">
        <f ca="1">IF(GUAYAQUIL[[#This Row],[CODIGO]]="","",IF(S301&lt;=0,"CADUCADO",IF(AND(S301&gt;0,S301&lt;=21),"FECHA CORTA",IF(AND(S301&gt;=22,S301&lt;=26),"PROXIMOS FECHA CORTA", "VIGENTE"))))</f>
        <v>VIGENTE</v>
      </c>
      <c r="AD301" s="37">
        <f>+IF(GUAYAQUIL[[#This Row],[CODIGO]]="","",GUAYAQUIL[[#This Row],[Stock Actual Unds]]*GUAYAQUIL[[#This Row],[Gramaje]]*GUAYAQUIL[[#This Row],[Conversión]])/1000</f>
        <v>7.8000000000000005E-3</v>
      </c>
    </row>
    <row r="302" spans="1:30">
      <c r="A302" s="24" t="str">
        <f>+IFERROR(IF(GUAYAQUIL[[#This Row],[CODIGO]]="","",VLOOKUP(GUAYAQUIL[[#This Row],[CODIGO]],MAESTRO!$A:$J,10,FALSE)),"")</f>
        <v>SAN GABRIEL</v>
      </c>
      <c r="B302" s="24" t="str">
        <f>+IFERROR(IF(GUAYAQUIL[[#This Row],[CODIGO]]="","",VLOOKUP(GUAYAQUIL[[#This Row],[CODIGO]],MAESTRO!$A:$Q,17,FALSE)),"")</f>
        <v>QUESOS Y GRASAS</v>
      </c>
      <c r="C302" s="24" t="str">
        <f>+IFERROR(IF(GUAYAQUIL[[#This Row],[CODIGO]]="","",VLOOKUP(GUAYAQUIL[[#This Row],[CODIGO]],MAESTRO!$A:$BA,53,FALSE)),"")</f>
        <v xml:space="preserve">Esteban Montenegro                      </v>
      </c>
      <c r="D302" s="24" t="str">
        <f>+IFERROR(IF(GUAYAQUIL[[#This Row],[CODIGO]]="","",VLOOKUP(GUAYAQUIL[[#This Row],[CODIGO]],MAESTRO!$A:$D,4,FALSE)),"")</f>
        <v>QUESO SEMIMADURO KIOSKO</v>
      </c>
      <c r="E302" s="24" t="str">
        <f>+IFERROR(IF(GUAYAQUIL[[#This Row],[CODIGO]]="","",VLOOKUP(GUAYAQUIL[[#This Row],[CODIGO]],MAESTRO!$A:$F,6,FALSE)),"")</f>
        <v>QUESO PROVOLONE KIOSKO BLOQUE</v>
      </c>
      <c r="F302" s="42" t="str">
        <f>IF(GUAYAQUIL[[#This Row],[CODIGO]]="","",$K$6)</f>
        <v>GUAYAQUIL</v>
      </c>
      <c r="G302" s="42">
        <f>IF(GUAYAQUIL[[#This Row],[CODIGO]]="","",7711)</f>
        <v>7711</v>
      </c>
      <c r="H302" s="42">
        <f>IF(GUAYAQUIL[[#This Row],[CODIGO]]="","",1001)</f>
        <v>1001</v>
      </c>
      <c r="I302" s="258" t="s">
        <v>3514</v>
      </c>
      <c r="J302" s="25" t="str">
        <f>IFERROR((VLOOKUP(GUAYAQUIL[[#This Row],[CODIGO]],MAESTRO!A:B,2,FALSE)),"")</f>
        <v>Q PROVO AHUM KIOSKO BLOQ 260G</v>
      </c>
      <c r="K302" s="35">
        <v>35</v>
      </c>
      <c r="L302" s="38">
        <f>+IFERROR(IF(GUAYAQUIL[[#This Row],[CODIGO]]="","",VLOOKUP(GUAYAQUIL[[#This Row],[CODIGO]],MAESTRO!$A:$BF,58,FALSE)),"")</f>
        <v>1</v>
      </c>
      <c r="M302" s="27">
        <f>+IFERROR(IF(GUAYAQUIL[[#This Row],[CODIGO]]="","",VLOOKUP(GUAYAQUIL[[#This Row],[CODIGO]],MAESTRO!A:N,14,FALSE)),"")</f>
        <v>0.26</v>
      </c>
      <c r="N302" s="28">
        <f>+IFERROR(IF(GUAYAQUIL[[#This Row],[CODIGO]]="","",VLOOKUP(GUAYAQUIL[[#This Row],[CODIGO]],MAESTRO!A:P,16,FALSE)),"")</f>
        <v>60</v>
      </c>
      <c r="O302" s="29">
        <v>45617</v>
      </c>
      <c r="P302" s="72" t="str">
        <f t="shared" si="20"/>
        <v>jueves</v>
      </c>
      <c r="Q302" s="29">
        <f>IFERROR(IF(GUAYAQUIL[[#This Row],[CODIGO]]="","",IF(GUAYAQUIL[[#This Row],[Fecha Cad]]="","",(GUAYAQUIL[[#This Row],[Fecha Cad]]-GUAYAQUIL[[#This Row],[VIDA UTIL (Días)]]))+1),"")</f>
        <v>45611</v>
      </c>
      <c r="R302" s="29">
        <v>45670</v>
      </c>
      <c r="S302" s="30">
        <f t="shared" ca="1" si="21"/>
        <v>46</v>
      </c>
      <c r="T302" s="31">
        <f t="shared" ca="1" si="22"/>
        <v>0.76666666666666672</v>
      </c>
      <c r="U302" s="286">
        <v>35</v>
      </c>
      <c r="V302" s="261">
        <f>+IFERROR(IF(GUAYAQUIL[[#This Row],[CODIGO]]="","",GUAYAQUIL[[#This Row],[Stock Actual Unds]]*GUAYAQUIL[[#This Row],[Gramaje]]*GUAYAQUIL[[#This Row],[Conversión]]),"")</f>
        <v>9.1</v>
      </c>
      <c r="W302" s="270">
        <f t="shared" si="23"/>
        <v>6</v>
      </c>
      <c r="X302" s="32">
        <f t="shared" si="24"/>
        <v>0.9</v>
      </c>
      <c r="Y302" s="236">
        <f>IFERROR(VLOOKUP(GUAYAQUIL[[#This Row],[CODIGO]],MAESTRO!A:BI,21,FALSE),0)</f>
        <v>2.0346349999999997</v>
      </c>
      <c r="Z302" s="237">
        <f>+IFERROR(IF(GUAYAQUIL[[#This Row],[CODIGO]]="","",GUAYAQUIL[[#This Row],[COSTO UNIT base]]*GUAYAQUIL[[#This Row],[Conversión]]),"")</f>
        <v>2.0346349999999997</v>
      </c>
      <c r="AA302" s="236">
        <f>+IFERROR(IF(GUAYAQUIL[[#This Row],[CODIGO]]="","",GUAYAQUIL[[#This Row],[COSTO UNIT Conv]]*GUAYAQUIL[[#This Row],[Stock Actual Kgs]]),"")</f>
        <v>18.515178499999998</v>
      </c>
      <c r="AB302" s="33">
        <f ca="1">+IFERROR(IF(GUAYAQUIL[[#This Row],[CODIGO]]="","",$J$3-O302),"")</f>
        <v>7</v>
      </c>
      <c r="AC302" s="34" t="str">
        <f ca="1">IF(GUAYAQUIL[[#This Row],[CODIGO]]="","",IF(S302&lt;=0,"CADUCADO",IF(AND(S302&gt;0,S302&lt;=21),"FECHA CORTA",IF(AND(S302&gt;=22,S302&lt;=26),"PROXIMOS FECHA CORTA", "VIGENTE"))))</f>
        <v>VIGENTE</v>
      </c>
      <c r="AD302" s="37">
        <f>+IF(GUAYAQUIL[[#This Row],[CODIGO]]="","",GUAYAQUIL[[#This Row],[Stock Actual Unds]]*GUAYAQUIL[[#This Row],[Gramaje]]*GUAYAQUIL[[#This Row],[Conversión]])/1000</f>
        <v>9.1000000000000004E-3</v>
      </c>
    </row>
    <row r="303" spans="1:30">
      <c r="A303" s="24" t="str">
        <f>+IFERROR(IF(GUAYAQUIL[[#This Row],[CODIGO]]="","",VLOOKUP(GUAYAQUIL[[#This Row],[CODIGO]],MAESTRO!$A:$J,10,FALSE)),"")</f>
        <v>MACHACHI</v>
      </c>
      <c r="B303" s="24" t="str">
        <f>+IFERROR(IF(GUAYAQUIL[[#This Row],[CODIGO]]="","",VLOOKUP(GUAYAQUIL[[#This Row],[CODIGO]],MAESTRO!$A:$Q,17,FALSE)),"")</f>
        <v>BEBIDAS LACTEAS</v>
      </c>
      <c r="C303" s="24" t="str">
        <f>+IFERROR(IF(GUAYAQUIL[[#This Row],[CODIGO]]="","",VLOOKUP(GUAYAQUIL[[#This Row],[CODIGO]],MAESTRO!$A:$BA,53,FALSE)),"")</f>
        <v xml:space="preserve">Luis Armendariz                         </v>
      </c>
      <c r="D303" s="24" t="str">
        <f>+IFERROR(IF(GUAYAQUIL[[#This Row],[CODIGO]]="","",VLOOKUP(GUAYAQUIL[[#This Row],[CODIGO]],MAESTRO!$A:$D,4,FALSE)),"")</f>
        <v>YOGURT KIOSKO</v>
      </c>
      <c r="E303" s="24" t="str">
        <f>+IFERROR(IF(GUAYAQUIL[[#This Row],[CODIGO]]="","",VLOOKUP(GUAYAQUIL[[#This Row],[CODIGO]],MAESTRO!$A:$F,6,FALSE)),"")</f>
        <v>BEBIDA DE YOGURT KIOSKO BOTELLA PERSONAL</v>
      </c>
      <c r="F303" s="42" t="str">
        <f>IF(GUAYAQUIL[[#This Row],[CODIGO]]="","",$K$6)</f>
        <v>GUAYAQUIL</v>
      </c>
      <c r="G303" s="209">
        <f>IF(GUAYAQUIL[[#This Row],[CODIGO]]="","",7711)</f>
        <v>7711</v>
      </c>
      <c r="H303" s="209">
        <f>IF(GUAYAQUIL[[#This Row],[CODIGO]]="","",1001)</f>
        <v>1001</v>
      </c>
      <c r="I303" s="258" t="s">
        <v>497</v>
      </c>
      <c r="J303" s="25" t="str">
        <f>IFERROR((VLOOKUP(GUAYAQUIL[[#This Row],[CODIGO]],MAESTRO!A:B,2,FALSE)),"")</f>
        <v>YOG BBLE KID KK MORA BOT 120G</v>
      </c>
      <c r="K303" s="35">
        <v>182</v>
      </c>
      <c r="L303" s="38">
        <f>+IFERROR(IF(GUAYAQUIL[[#This Row],[CODIGO]]="","",VLOOKUP(GUAYAQUIL[[#This Row],[CODIGO]],MAESTRO!$A:$BF,58,FALSE)),"")</f>
        <v>1</v>
      </c>
      <c r="M303" s="27">
        <f>+IFERROR(IF(GUAYAQUIL[[#This Row],[CODIGO]]="","",VLOOKUP(GUAYAQUIL[[#This Row],[CODIGO]],MAESTRO!A:N,14,FALSE)),"")</f>
        <v>0.12</v>
      </c>
      <c r="N303" s="28">
        <f>+IFERROR(IF(GUAYAQUIL[[#This Row],[CODIGO]]="","",VLOOKUP(GUAYAQUIL[[#This Row],[CODIGO]],MAESTRO!A:P,16,FALSE)),"")</f>
        <v>45</v>
      </c>
      <c r="O303" s="29">
        <v>45605</v>
      </c>
      <c r="P303" s="72" t="str">
        <f t="shared" si="20"/>
        <v>sábado</v>
      </c>
      <c r="Q303" s="29">
        <f>IFERROR(IF(GUAYAQUIL[[#This Row],[CODIGO]]="","",IF(GUAYAQUIL[[#This Row],[Fecha Cad]]="","",(GUAYAQUIL[[#This Row],[Fecha Cad]]-GUAYAQUIL[[#This Row],[VIDA UTIL (Días)]]))+1),"")</f>
        <v>45596</v>
      </c>
      <c r="R303" s="29">
        <v>45640</v>
      </c>
      <c r="S303" s="30">
        <f t="shared" ca="1" si="21"/>
        <v>16</v>
      </c>
      <c r="T303" s="31">
        <f t="shared" ca="1" si="22"/>
        <v>0.35555555555555557</v>
      </c>
      <c r="U303" s="286">
        <v>2</v>
      </c>
      <c r="V303" s="261">
        <f>+IFERROR(IF(GUAYAQUIL[[#This Row],[CODIGO]]="","",GUAYAQUIL[[#This Row],[Stock Actual Unds]]*GUAYAQUIL[[#This Row],[Gramaje]]*GUAYAQUIL[[#This Row],[Conversión]]),"")</f>
        <v>0.24</v>
      </c>
      <c r="W303" s="270">
        <f t="shared" si="23"/>
        <v>9</v>
      </c>
      <c r="X303" s="32">
        <f t="shared" si="24"/>
        <v>0.8</v>
      </c>
      <c r="Y303" s="236">
        <f>IFERROR(VLOOKUP(GUAYAQUIL[[#This Row],[CODIGO]],MAESTRO!A:BI,21,FALSE),0)</f>
        <v>0.25665499999999997</v>
      </c>
      <c r="Z303" s="237">
        <f>+IFERROR(IF(GUAYAQUIL[[#This Row],[CODIGO]]="","",GUAYAQUIL[[#This Row],[COSTO UNIT base]]*GUAYAQUIL[[#This Row],[Conversión]]),"")</f>
        <v>0.25665499999999997</v>
      </c>
      <c r="AA303" s="236">
        <f>+IFERROR(IF(GUAYAQUIL[[#This Row],[CODIGO]]="","",GUAYAQUIL[[#This Row],[COSTO UNIT Conv]]*GUAYAQUIL[[#This Row],[Stock Actual Kgs]]),"")</f>
        <v>6.1597199999999991E-2</v>
      </c>
      <c r="AB303" s="33">
        <f ca="1">+IFERROR(IF(GUAYAQUIL[[#This Row],[CODIGO]]="","",$J$3-O303),"")</f>
        <v>19</v>
      </c>
      <c r="AC303" s="34" t="str">
        <f ca="1">IF(GUAYAQUIL[[#This Row],[CODIGO]]="","",IF(S303&lt;=0,"CADUCADO",IF(AND(S303&gt;0,S303&lt;=21),"FECHA CORTA",IF(AND(S303&gt;=22,S303&lt;=26),"PROXIMOS FECHA CORTA", "VIGENTE"))))</f>
        <v>FECHA CORTA</v>
      </c>
      <c r="AD303" s="37">
        <f>+IF(GUAYAQUIL[[#This Row],[CODIGO]]="","",GUAYAQUIL[[#This Row],[Stock Actual Unds]]*GUAYAQUIL[[#This Row],[Gramaje]]*GUAYAQUIL[[#This Row],[Conversión]])/1000</f>
        <v>2.3999999999999998E-4</v>
      </c>
    </row>
    <row r="304" spans="1:30">
      <c r="A304" s="24" t="str">
        <f>+IFERROR(IF(GUAYAQUIL[[#This Row],[CODIGO]]="","",VLOOKUP(GUAYAQUIL[[#This Row],[CODIGO]],MAESTRO!$A:$J,10,FALSE)),"")</f>
        <v>MACHACHI</v>
      </c>
      <c r="B304" s="24" t="str">
        <f>+IFERROR(IF(GUAYAQUIL[[#This Row],[CODIGO]]="","",VLOOKUP(GUAYAQUIL[[#This Row],[CODIGO]],MAESTRO!$A:$Q,17,FALSE)),"")</f>
        <v>BEBIDAS LACTEAS</v>
      </c>
      <c r="C304" s="24" t="str">
        <f>+IFERROR(IF(GUAYAQUIL[[#This Row],[CODIGO]]="","",VLOOKUP(GUAYAQUIL[[#This Row],[CODIGO]],MAESTRO!$A:$BA,53,FALSE)),"")</f>
        <v xml:space="preserve">Luis Armendariz                         </v>
      </c>
      <c r="D304" s="24" t="str">
        <f>+IFERROR(IF(GUAYAQUIL[[#This Row],[CODIGO]]="","",VLOOKUP(GUAYAQUIL[[#This Row],[CODIGO]],MAESTRO!$A:$D,4,FALSE)),"")</f>
        <v>YOGURT KIOSKO</v>
      </c>
      <c r="E304" s="24" t="str">
        <f>+IFERROR(IF(GUAYAQUIL[[#This Row],[CODIGO]]="","",VLOOKUP(GUAYAQUIL[[#This Row],[CODIGO]],MAESTRO!$A:$F,6,FALSE)),"")</f>
        <v>BEBIDA DE YOGURT KIOSKO BOTELLA PERSONAL</v>
      </c>
      <c r="F304" s="42" t="str">
        <f>IF(GUAYAQUIL[[#This Row],[CODIGO]]="","",$K$6)</f>
        <v>GUAYAQUIL</v>
      </c>
      <c r="G304" s="42">
        <f>IF(GUAYAQUIL[[#This Row],[CODIGO]]="","",7711)</f>
        <v>7711</v>
      </c>
      <c r="H304" s="42">
        <f>IF(GUAYAQUIL[[#This Row],[CODIGO]]="","",1001)</f>
        <v>1001</v>
      </c>
      <c r="I304" s="258" t="s">
        <v>497</v>
      </c>
      <c r="J304" s="25" t="str">
        <f>IFERROR((VLOOKUP(GUAYAQUIL[[#This Row],[CODIGO]],MAESTRO!A:B,2,FALSE)),"")</f>
        <v>YOG BBLE KID KK MORA BOT 120G</v>
      </c>
      <c r="K304" s="35">
        <v>182</v>
      </c>
      <c r="L304" s="38">
        <f>+IFERROR(IF(GUAYAQUIL[[#This Row],[CODIGO]]="","",VLOOKUP(GUAYAQUIL[[#This Row],[CODIGO]],MAESTRO!$A:$BF,58,FALSE)),"")</f>
        <v>1</v>
      </c>
      <c r="M304" s="27">
        <f>+IFERROR(IF(GUAYAQUIL[[#This Row],[CODIGO]]="","",VLOOKUP(GUAYAQUIL[[#This Row],[CODIGO]],MAESTRO!A:N,14,FALSE)),"")</f>
        <v>0.12</v>
      </c>
      <c r="N304" s="28">
        <f>+IFERROR(IF(GUAYAQUIL[[#This Row],[CODIGO]]="","",VLOOKUP(GUAYAQUIL[[#This Row],[CODIGO]],MAESTRO!A:P,16,FALSE)),"")</f>
        <v>45</v>
      </c>
      <c r="O304" s="29">
        <v>45611</v>
      </c>
      <c r="P304" s="72" t="str">
        <f t="shared" si="20"/>
        <v>viernes</v>
      </c>
      <c r="Q304" s="29">
        <f>IFERROR(IF(GUAYAQUIL[[#This Row],[CODIGO]]="","",IF(GUAYAQUIL[[#This Row],[Fecha Cad]]="","",(GUAYAQUIL[[#This Row],[Fecha Cad]]-GUAYAQUIL[[#This Row],[VIDA UTIL (Días)]]))+1),"")</f>
        <v>45609</v>
      </c>
      <c r="R304" s="29">
        <v>45653</v>
      </c>
      <c r="S304" s="30">
        <f t="shared" ca="1" si="21"/>
        <v>29</v>
      </c>
      <c r="T304" s="31">
        <f t="shared" ca="1" si="22"/>
        <v>0.64444444444444449</v>
      </c>
      <c r="U304" s="286">
        <v>182</v>
      </c>
      <c r="V304" s="262">
        <f>+IFERROR(IF(GUAYAQUIL[[#This Row],[CODIGO]]="","",GUAYAQUIL[[#This Row],[Stock Actual Unds]]*GUAYAQUIL[[#This Row],[Gramaje]]*GUAYAQUIL[[#This Row],[Conversión]]),"")</f>
        <v>21.84</v>
      </c>
      <c r="W304" s="270">
        <f t="shared" si="23"/>
        <v>2</v>
      </c>
      <c r="X304" s="32">
        <f t="shared" si="24"/>
        <v>0.9555555555555556</v>
      </c>
      <c r="Y304" s="236">
        <f>IFERROR(VLOOKUP(GUAYAQUIL[[#This Row],[CODIGO]],MAESTRO!A:BI,21,FALSE),0)</f>
        <v>0.25665499999999997</v>
      </c>
      <c r="Z304" s="237">
        <f>+IFERROR(IF(GUAYAQUIL[[#This Row],[CODIGO]]="","",GUAYAQUIL[[#This Row],[COSTO UNIT base]]*GUAYAQUIL[[#This Row],[Conversión]]),"")</f>
        <v>0.25665499999999997</v>
      </c>
      <c r="AA304" s="236">
        <f>+IFERROR(IF(GUAYAQUIL[[#This Row],[CODIGO]]="","",GUAYAQUIL[[#This Row],[COSTO UNIT Conv]]*GUAYAQUIL[[#This Row],[Stock Actual Kgs]]),"")</f>
        <v>5.6053451999999995</v>
      </c>
      <c r="AB304" s="33">
        <f ca="1">+IFERROR(IF(GUAYAQUIL[[#This Row],[CODIGO]]="","",$J$3-O304),"")</f>
        <v>13</v>
      </c>
      <c r="AC304" s="34" t="str">
        <f ca="1">IF(GUAYAQUIL[[#This Row],[CODIGO]]="","",IF(S304&lt;=0,"CADUCADO",IF(AND(S304&gt;0,S304&lt;=21),"FECHA CORTA",IF(AND(S304&gt;=22,S304&lt;=26),"PROXIMOS FECHA CORTA", "VIGENTE"))))</f>
        <v>VIGENTE</v>
      </c>
      <c r="AD304" s="37">
        <f>+IF(GUAYAQUIL[[#This Row],[CODIGO]]="","",GUAYAQUIL[[#This Row],[Stock Actual Unds]]*GUAYAQUIL[[#This Row],[Gramaje]]*GUAYAQUIL[[#This Row],[Conversión]])/1000</f>
        <v>2.1839999999999998E-2</v>
      </c>
    </row>
    <row r="305" spans="1:30">
      <c r="A305" s="24" t="str">
        <f>+IFERROR(IF(GUAYAQUIL[[#This Row],[CODIGO]]="","",VLOOKUP(GUAYAQUIL[[#This Row],[CODIGO]],MAESTRO!$A:$J,10,FALSE)),"")</f>
        <v>MACHACHI</v>
      </c>
      <c r="B305" s="24" t="str">
        <f>+IFERROR(IF(GUAYAQUIL[[#This Row],[CODIGO]]="","",VLOOKUP(GUAYAQUIL[[#This Row],[CODIGO]],MAESTRO!$A:$Q,17,FALSE)),"")</f>
        <v>BEBIDAS LACTEAS</v>
      </c>
      <c r="C305" s="24" t="str">
        <f>+IFERROR(IF(GUAYAQUIL[[#This Row],[CODIGO]]="","",VLOOKUP(GUAYAQUIL[[#This Row],[CODIGO]],MAESTRO!$A:$BA,53,FALSE)),"")</f>
        <v xml:space="preserve">Luis Armendariz                         </v>
      </c>
      <c r="D305" s="24" t="str">
        <f>+IFERROR(IF(GUAYAQUIL[[#This Row],[CODIGO]]="","",VLOOKUP(GUAYAQUIL[[#This Row],[CODIGO]],MAESTRO!$A:$D,4,FALSE)),"")</f>
        <v>YOGURT KIOSKO</v>
      </c>
      <c r="E305" s="24" t="str">
        <f>+IFERROR(IF(GUAYAQUIL[[#This Row],[CODIGO]]="","",VLOOKUP(GUAYAQUIL[[#This Row],[CODIGO]],MAESTRO!$A:$F,6,FALSE)),"")</f>
        <v>BEBIDA DE YOGURT KIOSKO BOTELLA PERSONAL</v>
      </c>
      <c r="F305" s="42" t="str">
        <f>IF(GUAYAQUIL[[#This Row],[CODIGO]]="","",$K$6)</f>
        <v>GUAYAQUIL</v>
      </c>
      <c r="G305" s="42">
        <f>IF(GUAYAQUIL[[#This Row],[CODIGO]]="","",7711)</f>
        <v>7711</v>
      </c>
      <c r="H305" s="42">
        <f>IF(GUAYAQUIL[[#This Row],[CODIGO]]="","",1001)</f>
        <v>1001</v>
      </c>
      <c r="I305" s="258" t="s">
        <v>497</v>
      </c>
      <c r="J305" s="25" t="str">
        <f>IFERROR((VLOOKUP(GUAYAQUIL[[#This Row],[CODIGO]],MAESTRO!A:B,2,FALSE)),"")</f>
        <v>YOG BBLE KID KK MORA BOT 120G</v>
      </c>
      <c r="K305" s="35">
        <v>182</v>
      </c>
      <c r="L305" s="38">
        <f>+IFERROR(IF(GUAYAQUIL[[#This Row],[CODIGO]]="","",VLOOKUP(GUAYAQUIL[[#This Row],[CODIGO]],MAESTRO!$A:$BF,58,FALSE)),"")</f>
        <v>1</v>
      </c>
      <c r="M305" s="27">
        <f>+IFERROR(IF(GUAYAQUIL[[#This Row],[CODIGO]]="","",VLOOKUP(GUAYAQUIL[[#This Row],[CODIGO]],MAESTRO!A:N,14,FALSE)),"")</f>
        <v>0.12</v>
      </c>
      <c r="N305" s="28">
        <f>+IFERROR(IF(GUAYAQUIL[[#This Row],[CODIGO]]="","",VLOOKUP(GUAYAQUIL[[#This Row],[CODIGO]],MAESTRO!A:P,16,FALSE)),"")</f>
        <v>45</v>
      </c>
      <c r="O305" s="29">
        <v>45610</v>
      </c>
      <c r="P305" s="72" t="str">
        <f t="shared" si="20"/>
        <v>jueves</v>
      </c>
      <c r="Q305" s="29">
        <f>IFERROR(IF(GUAYAQUIL[[#This Row],[CODIGO]]="","",IF(GUAYAQUIL[[#This Row],[Fecha Cad]]="","",(GUAYAQUIL[[#This Row],[Fecha Cad]]-GUAYAQUIL[[#This Row],[VIDA UTIL (Días)]]))+1),"")</f>
        <v>45602</v>
      </c>
      <c r="R305" s="29">
        <v>45646</v>
      </c>
      <c r="S305" s="30">
        <f t="shared" ca="1" si="21"/>
        <v>22</v>
      </c>
      <c r="T305" s="31">
        <f t="shared" ca="1" si="22"/>
        <v>0.48888888888888887</v>
      </c>
      <c r="U305" s="286">
        <v>76</v>
      </c>
      <c r="V305" s="262">
        <f>+IFERROR(IF(GUAYAQUIL[[#This Row],[CODIGO]]="","",GUAYAQUIL[[#This Row],[Stock Actual Unds]]*GUAYAQUIL[[#This Row],[Gramaje]]*GUAYAQUIL[[#This Row],[Conversión]]),"")</f>
        <v>9.1199999999999992</v>
      </c>
      <c r="W305" s="270">
        <f t="shared" si="23"/>
        <v>8</v>
      </c>
      <c r="X305" s="32">
        <f t="shared" si="24"/>
        <v>0.82222222222222219</v>
      </c>
      <c r="Y305" s="236">
        <f>IFERROR(VLOOKUP(GUAYAQUIL[[#This Row],[CODIGO]],MAESTRO!A:BI,21,FALSE),0)</f>
        <v>0.25665499999999997</v>
      </c>
      <c r="Z305" s="237">
        <f>+IFERROR(IF(GUAYAQUIL[[#This Row],[CODIGO]]="","",GUAYAQUIL[[#This Row],[COSTO UNIT base]]*GUAYAQUIL[[#This Row],[Conversión]]),"")</f>
        <v>0.25665499999999997</v>
      </c>
      <c r="AA305" s="236">
        <f>+IFERROR(IF(GUAYAQUIL[[#This Row],[CODIGO]]="","",GUAYAQUIL[[#This Row],[COSTO UNIT Conv]]*GUAYAQUIL[[#This Row],[Stock Actual Kgs]]),"")</f>
        <v>2.3406935999999994</v>
      </c>
      <c r="AB305" s="33">
        <f ca="1">+IFERROR(IF(GUAYAQUIL[[#This Row],[CODIGO]]="","",$J$3-O305),"")</f>
        <v>14</v>
      </c>
      <c r="AC305" s="34" t="str">
        <f ca="1">IF(GUAYAQUIL[[#This Row],[CODIGO]]="","",IF(S305&lt;=0,"CADUCADO",IF(AND(S305&gt;0,S305&lt;=21),"FECHA CORTA",IF(AND(S305&gt;=22,S305&lt;=26),"PROXIMOS FECHA CORTA", "VIGENTE"))))</f>
        <v>PROXIMOS FECHA CORTA</v>
      </c>
      <c r="AD305" s="37">
        <f>+IF(GUAYAQUIL[[#This Row],[CODIGO]]="","",GUAYAQUIL[[#This Row],[Stock Actual Unds]]*GUAYAQUIL[[#This Row],[Gramaje]]*GUAYAQUIL[[#This Row],[Conversión]])/1000</f>
        <v>9.1199999999999996E-3</v>
      </c>
    </row>
    <row r="306" spans="1:30">
      <c r="A306" s="24" t="str">
        <f>+IFERROR(IF(GUAYAQUIL[[#This Row],[CODIGO]]="","",VLOOKUP(GUAYAQUIL[[#This Row],[CODIGO]],MAESTRO!$A:$J,10,FALSE)),"")</f>
        <v>MACHACHI</v>
      </c>
      <c r="B306" s="24" t="str">
        <f>+IFERROR(IF(GUAYAQUIL[[#This Row],[CODIGO]]="","",VLOOKUP(GUAYAQUIL[[#This Row],[CODIGO]],MAESTRO!$A:$Q,17,FALSE)),"")</f>
        <v>BEBIDAS LACTEAS</v>
      </c>
      <c r="C306" s="24" t="str">
        <f>+IFERROR(IF(GUAYAQUIL[[#This Row],[CODIGO]]="","",VLOOKUP(GUAYAQUIL[[#This Row],[CODIGO]],MAESTRO!$A:$BA,53,FALSE)),"")</f>
        <v xml:space="preserve">Luis Armendariz                         </v>
      </c>
      <c r="D306" s="24" t="str">
        <f>+IFERROR(IF(GUAYAQUIL[[#This Row],[CODIGO]]="","",VLOOKUP(GUAYAQUIL[[#This Row],[CODIGO]],MAESTRO!$A:$D,4,FALSE)),"")</f>
        <v>YOGURT KIOSKO</v>
      </c>
      <c r="E306" s="24" t="str">
        <f>+IFERROR(IF(GUAYAQUIL[[#This Row],[CODIGO]]="","",VLOOKUP(GUAYAQUIL[[#This Row],[CODIGO]],MAESTRO!$A:$F,6,FALSE)),"")</f>
        <v>BEBIDA DE YOGURT KIOSKO BOTELLA PERSONAL</v>
      </c>
      <c r="F306" s="42" t="str">
        <f>IF(GUAYAQUIL[[#This Row],[CODIGO]]="","",$K$6)</f>
        <v>GUAYAQUIL</v>
      </c>
      <c r="G306" s="42">
        <f>IF(GUAYAQUIL[[#This Row],[CODIGO]]="","",7711)</f>
        <v>7711</v>
      </c>
      <c r="H306" s="42">
        <f>IF(GUAYAQUIL[[#This Row],[CODIGO]]="","",1001)</f>
        <v>1001</v>
      </c>
      <c r="I306" s="258" t="s">
        <v>497</v>
      </c>
      <c r="J306" s="25" t="str">
        <f>IFERROR((VLOOKUP(GUAYAQUIL[[#This Row],[CODIGO]],MAESTRO!A:B,2,FALSE)),"")</f>
        <v>YOG BBLE KID KK MORA BOT 120G</v>
      </c>
      <c r="K306" s="35">
        <v>182</v>
      </c>
      <c r="L306" s="38">
        <f>+IFERROR(IF(GUAYAQUIL[[#This Row],[CODIGO]]="","",VLOOKUP(GUAYAQUIL[[#This Row],[CODIGO]],MAESTRO!$A:$BF,58,FALSE)),"")</f>
        <v>1</v>
      </c>
      <c r="M306" s="27">
        <f>+IFERROR(IF(GUAYAQUIL[[#This Row],[CODIGO]]="","",VLOOKUP(GUAYAQUIL[[#This Row],[CODIGO]],MAESTRO!A:N,14,FALSE)),"")</f>
        <v>0.12</v>
      </c>
      <c r="N306" s="28">
        <f>+IFERROR(IF(GUAYAQUIL[[#This Row],[CODIGO]]="","",VLOOKUP(GUAYAQUIL[[#This Row],[CODIGO]],MAESTRO!A:P,16,FALSE)),"")</f>
        <v>45</v>
      </c>
      <c r="O306" s="29">
        <v>45616</v>
      </c>
      <c r="P306" s="72" t="str">
        <f t="shared" si="20"/>
        <v>miércoles</v>
      </c>
      <c r="Q306" s="29">
        <f>IFERROR(IF(GUAYAQUIL[[#This Row],[CODIGO]]="","",IF(GUAYAQUIL[[#This Row],[Fecha Cad]]="","",(GUAYAQUIL[[#This Row],[Fecha Cad]]-GUAYAQUIL[[#This Row],[VIDA UTIL (Días)]]))+1),"")</f>
        <v>45610</v>
      </c>
      <c r="R306" s="29">
        <v>45654</v>
      </c>
      <c r="S306" s="30">
        <f t="shared" ca="1" si="21"/>
        <v>30</v>
      </c>
      <c r="T306" s="31">
        <f t="shared" ca="1" si="22"/>
        <v>0.66666666666666663</v>
      </c>
      <c r="U306" s="286">
        <v>0</v>
      </c>
      <c r="V306" s="262">
        <f>+IFERROR(IF(GUAYAQUIL[[#This Row],[CODIGO]]="","",GUAYAQUIL[[#This Row],[Stock Actual Unds]]*GUAYAQUIL[[#This Row],[Gramaje]]*GUAYAQUIL[[#This Row],[Conversión]]),"")</f>
        <v>0</v>
      </c>
      <c r="W306" s="270">
        <f t="shared" si="23"/>
        <v>6</v>
      </c>
      <c r="X306" s="32">
        <f t="shared" si="24"/>
        <v>0.8666666666666667</v>
      </c>
      <c r="Y306" s="236">
        <f>IFERROR(VLOOKUP(GUAYAQUIL[[#This Row],[CODIGO]],MAESTRO!A:BI,21,FALSE),0)</f>
        <v>0.25665499999999997</v>
      </c>
      <c r="Z306" s="237">
        <f>+IFERROR(IF(GUAYAQUIL[[#This Row],[CODIGO]]="","",GUAYAQUIL[[#This Row],[COSTO UNIT base]]*GUAYAQUIL[[#This Row],[Conversión]]),"")</f>
        <v>0.25665499999999997</v>
      </c>
      <c r="AA306" s="236">
        <f>+IFERROR(IF(GUAYAQUIL[[#This Row],[CODIGO]]="","",GUAYAQUIL[[#This Row],[COSTO UNIT Conv]]*GUAYAQUIL[[#This Row],[Stock Actual Kgs]]),"")</f>
        <v>0</v>
      </c>
      <c r="AB306" s="33">
        <f ca="1">+IFERROR(IF(GUAYAQUIL[[#This Row],[CODIGO]]="","",$J$3-O306),"")</f>
        <v>8</v>
      </c>
      <c r="AC306" s="34" t="str">
        <f ca="1">IF(GUAYAQUIL[[#This Row],[CODIGO]]="","",IF(S306&lt;=0,"CADUCADO",IF(AND(S306&gt;0,S306&lt;=21),"FECHA CORTA",IF(AND(S306&gt;=22,S306&lt;=26),"PROXIMOS FECHA CORTA", "VIGENTE"))))</f>
        <v>VIGENTE</v>
      </c>
      <c r="AD306" s="37">
        <f>+IF(GUAYAQUIL[[#This Row],[CODIGO]]="","",GUAYAQUIL[[#This Row],[Stock Actual Unds]]*GUAYAQUIL[[#This Row],[Gramaje]]*GUAYAQUIL[[#This Row],[Conversión]])/1000</f>
        <v>0</v>
      </c>
    </row>
    <row r="307" spans="1:30">
      <c r="A307" s="24" t="str">
        <f>+IFERROR(IF(GUAYAQUIL[[#This Row],[CODIGO]]="","",VLOOKUP(GUAYAQUIL[[#This Row],[CODIGO]],MAESTRO!$A:$J,10,FALSE)),"")</f>
        <v>MACHACHI</v>
      </c>
      <c r="B307" s="24" t="str">
        <f>+IFERROR(IF(GUAYAQUIL[[#This Row],[CODIGO]]="","",VLOOKUP(GUAYAQUIL[[#This Row],[CODIGO]],MAESTRO!$A:$Q,17,FALSE)),"")</f>
        <v>BEBIDAS LACTEAS</v>
      </c>
      <c r="C307" s="24" t="str">
        <f>+IFERROR(IF(GUAYAQUIL[[#This Row],[CODIGO]]="","",VLOOKUP(GUAYAQUIL[[#This Row],[CODIGO]],MAESTRO!$A:$BA,53,FALSE)),"")</f>
        <v xml:space="preserve">Luis Armendariz                         </v>
      </c>
      <c r="D307" s="24" t="str">
        <f>+IFERROR(IF(GUAYAQUIL[[#This Row],[CODIGO]]="","",VLOOKUP(GUAYAQUIL[[#This Row],[CODIGO]],MAESTRO!$A:$D,4,FALSE)),"")</f>
        <v>YOGURT KIOSKO</v>
      </c>
      <c r="E307" s="24" t="str">
        <f>+IFERROR(IF(GUAYAQUIL[[#This Row],[CODIGO]]="","",VLOOKUP(GUAYAQUIL[[#This Row],[CODIGO]],MAESTRO!$A:$F,6,FALSE)),"")</f>
        <v>BEBIDA DE YOGURT KIOSKO BOTELLA PERSONAL</v>
      </c>
      <c r="F307" s="42" t="str">
        <f>IF(GUAYAQUIL[[#This Row],[CODIGO]]="","",$K$6)</f>
        <v>GUAYAQUIL</v>
      </c>
      <c r="G307" s="209">
        <f>IF(GUAYAQUIL[[#This Row],[CODIGO]]="","",7711)</f>
        <v>7711</v>
      </c>
      <c r="H307" s="209">
        <f>IF(GUAYAQUIL[[#This Row],[CODIGO]]="","",1001)</f>
        <v>1001</v>
      </c>
      <c r="I307" s="258" t="s">
        <v>497</v>
      </c>
      <c r="J307" s="25" t="str">
        <f>IFERROR((VLOOKUP(GUAYAQUIL[[#This Row],[CODIGO]],MAESTRO!A:B,2,FALSE)),"")</f>
        <v>YOG BBLE KID KK MORA BOT 120G</v>
      </c>
      <c r="K307" s="35">
        <v>182</v>
      </c>
      <c r="L307" s="38">
        <f>+IFERROR(IF(GUAYAQUIL[[#This Row],[CODIGO]]="","",VLOOKUP(GUAYAQUIL[[#This Row],[CODIGO]],MAESTRO!$A:$BF,58,FALSE)),"")</f>
        <v>1</v>
      </c>
      <c r="M307" s="27">
        <f>+IFERROR(IF(GUAYAQUIL[[#This Row],[CODIGO]]="","",VLOOKUP(GUAYAQUIL[[#This Row],[CODIGO]],MAESTRO!A:N,14,FALSE)),"")</f>
        <v>0.12</v>
      </c>
      <c r="N307" s="28">
        <f>+IFERROR(IF(GUAYAQUIL[[#This Row],[CODIGO]]="","",VLOOKUP(GUAYAQUIL[[#This Row],[CODIGO]],MAESTRO!A:P,16,FALSE)),"")</f>
        <v>45</v>
      </c>
      <c r="O307" s="29">
        <v>45617</v>
      </c>
      <c r="P307" s="72" t="str">
        <f t="shared" si="20"/>
        <v>jueves</v>
      </c>
      <c r="Q307" s="29">
        <f>IFERROR(IF(GUAYAQUIL[[#This Row],[CODIGO]]="","",IF(GUAYAQUIL[[#This Row],[Fecha Cad]]="","",(GUAYAQUIL[[#This Row],[Fecha Cad]]-GUAYAQUIL[[#This Row],[VIDA UTIL (Días)]]))+1),"")</f>
        <v>45610</v>
      </c>
      <c r="R307" s="29">
        <v>45654</v>
      </c>
      <c r="S307" s="30">
        <f t="shared" ca="1" si="21"/>
        <v>30</v>
      </c>
      <c r="T307" s="31">
        <f t="shared" ca="1" si="22"/>
        <v>0.66666666666666663</v>
      </c>
      <c r="U307" s="286">
        <v>182</v>
      </c>
      <c r="V307" s="262">
        <f>+IFERROR(IF(GUAYAQUIL[[#This Row],[CODIGO]]="","",GUAYAQUIL[[#This Row],[Stock Actual Unds]]*GUAYAQUIL[[#This Row],[Gramaje]]*GUAYAQUIL[[#This Row],[Conversión]]),"")</f>
        <v>21.84</v>
      </c>
      <c r="W307" s="270">
        <f t="shared" si="23"/>
        <v>7</v>
      </c>
      <c r="X307" s="32">
        <f t="shared" si="24"/>
        <v>0.84444444444444444</v>
      </c>
      <c r="Y307" s="236">
        <f>IFERROR(VLOOKUP(GUAYAQUIL[[#This Row],[CODIGO]],MAESTRO!A:BI,21,FALSE),0)</f>
        <v>0.25665499999999997</v>
      </c>
      <c r="Z307" s="237">
        <f>+IFERROR(IF(GUAYAQUIL[[#This Row],[CODIGO]]="","",GUAYAQUIL[[#This Row],[COSTO UNIT base]]*GUAYAQUIL[[#This Row],[Conversión]]),"")</f>
        <v>0.25665499999999997</v>
      </c>
      <c r="AA307" s="236">
        <f>+IFERROR(IF(GUAYAQUIL[[#This Row],[CODIGO]]="","",GUAYAQUIL[[#This Row],[COSTO UNIT Conv]]*GUAYAQUIL[[#This Row],[Stock Actual Kgs]]),"")</f>
        <v>5.6053451999999995</v>
      </c>
      <c r="AB307" s="33">
        <f ca="1">+IFERROR(IF(GUAYAQUIL[[#This Row],[CODIGO]]="","",$J$3-O307),"")</f>
        <v>7</v>
      </c>
      <c r="AC307" s="34" t="str">
        <f ca="1">IF(GUAYAQUIL[[#This Row],[CODIGO]]="","",IF(S307&lt;=0,"CADUCADO",IF(AND(S307&gt;0,S307&lt;=21),"FECHA CORTA",IF(AND(S307&gt;=22,S307&lt;=26),"PROXIMOS FECHA CORTA", "VIGENTE"))))</f>
        <v>VIGENTE</v>
      </c>
      <c r="AD307" s="37">
        <f>+IF(GUAYAQUIL[[#This Row],[CODIGO]]="","",GUAYAQUIL[[#This Row],[Stock Actual Unds]]*GUAYAQUIL[[#This Row],[Gramaje]]*GUAYAQUIL[[#This Row],[Conversión]])/1000</f>
        <v>2.1839999999999998E-2</v>
      </c>
    </row>
    <row r="308" spans="1:30">
      <c r="A308" s="24" t="str">
        <f>+IFERROR(IF(GUAYAQUIL[[#This Row],[CODIGO]]="","",VLOOKUP(GUAYAQUIL[[#This Row],[CODIGO]],MAESTRO!$A:$J,10,FALSE)),"")</f>
        <v>MULTIEMPAQUE_SG</v>
      </c>
      <c r="B308" s="24" t="str">
        <f>+IFERROR(IF(GUAYAQUIL[[#This Row],[CODIGO]]="","",VLOOKUP(GUAYAQUIL[[#This Row],[CODIGO]],MAESTRO!$A:$Q,17,FALSE)),"")</f>
        <v>POSTRES</v>
      </c>
      <c r="C308" s="24" t="str">
        <f>+IFERROR(IF(GUAYAQUIL[[#This Row],[CODIGO]]="","",VLOOKUP(GUAYAQUIL[[#This Row],[CODIGO]],MAESTRO!$A:$BA,53,FALSE)),"")</f>
        <v xml:space="preserve">Luis Armendariz                         </v>
      </c>
      <c r="D308" s="24" t="str">
        <f>+IFERROR(IF(GUAYAQUIL[[#This Row],[CODIGO]]="","",VLOOKUP(GUAYAQUIL[[#This Row],[CODIGO]],MAESTRO!$A:$D,4,FALSE)),"")</f>
        <v>AREQUIPE ALPINA</v>
      </c>
      <c r="E308" s="24" t="str">
        <f>+IFERROR(IF(GUAYAQUIL[[#This Row],[CODIGO]]="","",VLOOKUP(GUAYAQUIL[[#This Row],[CODIGO]],MAESTRO!$A:$F,6,FALSE)),"")</f>
        <v>AREQUIPE ALPINA</v>
      </c>
      <c r="F308" s="42" t="str">
        <f>IF(GUAYAQUIL[[#This Row],[CODIGO]]="","",$K$6)</f>
        <v>GUAYAQUIL</v>
      </c>
      <c r="G308" s="42">
        <f>IF(GUAYAQUIL[[#This Row],[CODIGO]]="","",7711)</f>
        <v>7711</v>
      </c>
      <c r="H308" s="42">
        <f>IF(GUAYAQUIL[[#This Row],[CODIGO]]="","",1001)</f>
        <v>1001</v>
      </c>
      <c r="I308" s="258" t="s">
        <v>859</v>
      </c>
      <c r="J308" s="25" t="str">
        <f>IFERROR((VLOOKUP(GUAYAQUIL[[#This Row],[CODIGO]],MAESTRO!A:B,2,FALSE)),"")</f>
        <v>MPLX18 AREQUIPE VASO 50G</v>
      </c>
      <c r="K308" s="35">
        <v>15</v>
      </c>
      <c r="L308" s="38">
        <f>+IFERROR(IF(GUAYAQUIL[[#This Row],[CODIGO]]="","",VLOOKUP(GUAYAQUIL[[#This Row],[CODIGO]],MAESTRO!$A:$BF,58,FALSE)),"")</f>
        <v>1</v>
      </c>
      <c r="M308" s="27">
        <f>+IFERROR(IF(GUAYAQUIL[[#This Row],[CODIGO]]="","",VLOOKUP(GUAYAQUIL[[#This Row],[CODIGO]],MAESTRO!A:N,14,FALSE)),"")</f>
        <v>0.9</v>
      </c>
      <c r="N308" s="28">
        <f>+IFERROR(IF(GUAYAQUIL[[#This Row],[CODIGO]]="","",VLOOKUP(GUAYAQUIL[[#This Row],[CODIGO]],MAESTRO!A:P,16,FALSE)),"")</f>
        <v>180</v>
      </c>
      <c r="O308" s="29">
        <v>45605</v>
      </c>
      <c r="P308" s="72" t="str">
        <f t="shared" si="20"/>
        <v>sábado</v>
      </c>
      <c r="Q308" s="29">
        <f>IFERROR(IF(GUAYAQUIL[[#This Row],[CODIGO]]="","",IF(GUAYAQUIL[[#This Row],[Fecha Cad]]="","",(GUAYAQUIL[[#This Row],[Fecha Cad]]-GUAYAQUIL[[#This Row],[VIDA UTIL (Días)]]))+1),"")</f>
        <v>45597</v>
      </c>
      <c r="R308" s="29">
        <v>45776</v>
      </c>
      <c r="S308" s="30">
        <f t="shared" ca="1" si="21"/>
        <v>152</v>
      </c>
      <c r="T308" s="31">
        <f t="shared" ca="1" si="22"/>
        <v>0.84444444444444444</v>
      </c>
      <c r="U308" s="286">
        <v>7</v>
      </c>
      <c r="V308" s="262">
        <f>+IFERROR(IF(GUAYAQUIL[[#This Row],[CODIGO]]="","",GUAYAQUIL[[#This Row],[Stock Actual Unds]]*GUAYAQUIL[[#This Row],[Gramaje]]*GUAYAQUIL[[#This Row],[Conversión]]),"")</f>
        <v>6.3</v>
      </c>
      <c r="W308" s="270">
        <f t="shared" si="23"/>
        <v>8</v>
      </c>
      <c r="X308" s="32">
        <f t="shared" si="24"/>
        <v>0.9555555555555556</v>
      </c>
      <c r="Y308" s="236">
        <f>IFERROR(VLOOKUP(GUAYAQUIL[[#This Row],[CODIGO]],MAESTRO!A:BI,21,FALSE),0)</f>
        <v>3.7820849999999999</v>
      </c>
      <c r="Z308" s="237">
        <f>+IFERROR(IF(GUAYAQUIL[[#This Row],[CODIGO]]="","",GUAYAQUIL[[#This Row],[COSTO UNIT base]]*GUAYAQUIL[[#This Row],[Conversión]]),"")</f>
        <v>3.7820849999999999</v>
      </c>
      <c r="AA308" s="236">
        <f>+IFERROR(IF(GUAYAQUIL[[#This Row],[CODIGO]]="","",GUAYAQUIL[[#This Row],[COSTO UNIT Conv]]*GUAYAQUIL[[#This Row],[Stock Actual Kgs]]),"")</f>
        <v>23.827135499999997</v>
      </c>
      <c r="AB308" s="33">
        <f ca="1">+IFERROR(IF(GUAYAQUIL[[#This Row],[CODIGO]]="","",$J$3-O308),"")</f>
        <v>19</v>
      </c>
      <c r="AC308" s="34" t="str">
        <f ca="1">IF(GUAYAQUIL[[#This Row],[CODIGO]]="","",IF(S308&lt;=0,"CADUCADO",IF(AND(S308&gt;0,S308&lt;=21),"FECHA CORTA",IF(AND(S308&gt;=22,S308&lt;=26),"PROXIMOS FECHA CORTA", "VIGENTE"))))</f>
        <v>VIGENTE</v>
      </c>
      <c r="AD308" s="37">
        <f>+IF(GUAYAQUIL[[#This Row],[CODIGO]]="","",GUAYAQUIL[[#This Row],[Stock Actual Unds]]*GUAYAQUIL[[#This Row],[Gramaje]]*GUAYAQUIL[[#This Row],[Conversión]])/1000</f>
        <v>6.3E-3</v>
      </c>
    </row>
    <row r="309" spans="1:30">
      <c r="A309" s="24" t="str">
        <f>+IFERROR(IF(GUAYAQUIL[[#This Row],[CODIGO]]="","",VLOOKUP(GUAYAQUIL[[#This Row],[CODIGO]],MAESTRO!$A:$J,10,FALSE)),"")</f>
        <v>MULTIEMPAQUE_SG</v>
      </c>
      <c r="B309" s="24" t="str">
        <f>+IFERROR(IF(GUAYAQUIL[[#This Row],[CODIGO]]="","",VLOOKUP(GUAYAQUIL[[#This Row],[CODIGO]],MAESTRO!$A:$Q,17,FALSE)),"")</f>
        <v>POSTRES</v>
      </c>
      <c r="C309" s="24" t="str">
        <f>+IFERROR(IF(GUAYAQUIL[[#This Row],[CODIGO]]="","",VLOOKUP(GUAYAQUIL[[#This Row],[CODIGO]],MAESTRO!$A:$BA,53,FALSE)),"")</f>
        <v xml:space="preserve">Luis Armendariz                         </v>
      </c>
      <c r="D309" s="24" t="str">
        <f>+IFERROR(IF(GUAYAQUIL[[#This Row],[CODIGO]]="","",VLOOKUP(GUAYAQUIL[[#This Row],[CODIGO]],MAESTRO!$A:$D,4,FALSE)),"")</f>
        <v>AREQUIPE ALPINA</v>
      </c>
      <c r="E309" s="24" t="str">
        <f>+IFERROR(IF(GUAYAQUIL[[#This Row],[CODIGO]]="","",VLOOKUP(GUAYAQUIL[[#This Row],[CODIGO]],MAESTRO!$A:$F,6,FALSE)),"")</f>
        <v>AREQUIPE ALPINA</v>
      </c>
      <c r="F309" s="42" t="str">
        <f>IF(GUAYAQUIL[[#This Row],[CODIGO]]="","",$K$6)</f>
        <v>GUAYAQUIL</v>
      </c>
      <c r="G309" s="209">
        <f>IF(GUAYAQUIL[[#This Row],[CODIGO]]="","",7711)</f>
        <v>7711</v>
      </c>
      <c r="H309" s="209">
        <f>IF(GUAYAQUIL[[#This Row],[CODIGO]]="","",1001)</f>
        <v>1001</v>
      </c>
      <c r="I309" s="258" t="s">
        <v>859</v>
      </c>
      <c r="J309" s="25" t="str">
        <f>IFERROR((VLOOKUP(GUAYAQUIL[[#This Row],[CODIGO]],MAESTRO!A:B,2,FALSE)),"")</f>
        <v>MPLX18 AREQUIPE VASO 50G</v>
      </c>
      <c r="K309" s="35">
        <v>15</v>
      </c>
      <c r="L309" s="38">
        <f>+IFERROR(IF(GUAYAQUIL[[#This Row],[CODIGO]]="","",VLOOKUP(GUAYAQUIL[[#This Row],[CODIGO]],MAESTRO!$A:$BF,58,FALSE)),"")</f>
        <v>1</v>
      </c>
      <c r="M309" s="27">
        <f>+IFERROR(IF(GUAYAQUIL[[#This Row],[CODIGO]]="","",VLOOKUP(GUAYAQUIL[[#This Row],[CODIGO]],MAESTRO!A:N,14,FALSE)),"")</f>
        <v>0.9</v>
      </c>
      <c r="N309" s="28">
        <f>+IFERROR(IF(GUAYAQUIL[[#This Row],[CODIGO]]="","",VLOOKUP(GUAYAQUIL[[#This Row],[CODIGO]],MAESTRO!A:P,16,FALSE)),"")</f>
        <v>180</v>
      </c>
      <c r="O309" s="29">
        <v>45612</v>
      </c>
      <c r="P309" s="72" t="str">
        <f t="shared" si="20"/>
        <v>sábado</v>
      </c>
      <c r="Q309" s="29">
        <f>IFERROR(IF(GUAYAQUIL[[#This Row],[CODIGO]]="","",IF(GUAYAQUIL[[#This Row],[Fecha Cad]]="","",(GUAYAQUIL[[#This Row],[Fecha Cad]]-GUAYAQUIL[[#This Row],[VIDA UTIL (Días)]]))+1),"")</f>
        <v>45597</v>
      </c>
      <c r="R309" s="29">
        <v>45776</v>
      </c>
      <c r="S309" s="30">
        <f t="shared" ca="1" si="21"/>
        <v>152</v>
      </c>
      <c r="T309" s="31">
        <f t="shared" ca="1" si="22"/>
        <v>0.84444444444444444</v>
      </c>
      <c r="U309" s="286">
        <v>15</v>
      </c>
      <c r="V309" s="261">
        <f>+IFERROR(IF(GUAYAQUIL[[#This Row],[CODIGO]]="","",GUAYAQUIL[[#This Row],[Stock Actual Unds]]*GUAYAQUIL[[#This Row],[Gramaje]]*GUAYAQUIL[[#This Row],[Conversión]]),"")</f>
        <v>13.5</v>
      </c>
      <c r="W309" s="270">
        <f t="shared" si="23"/>
        <v>15</v>
      </c>
      <c r="X309" s="32">
        <f t="shared" si="24"/>
        <v>0.91666666666666663</v>
      </c>
      <c r="Y309" s="236">
        <f>IFERROR(VLOOKUP(GUAYAQUIL[[#This Row],[CODIGO]],MAESTRO!A:BI,21,FALSE),0)</f>
        <v>3.7820849999999999</v>
      </c>
      <c r="Z309" s="237">
        <f>+IFERROR(IF(GUAYAQUIL[[#This Row],[CODIGO]]="","",GUAYAQUIL[[#This Row],[COSTO UNIT base]]*GUAYAQUIL[[#This Row],[Conversión]]),"")</f>
        <v>3.7820849999999999</v>
      </c>
      <c r="AA309" s="236">
        <f>+IFERROR(IF(GUAYAQUIL[[#This Row],[CODIGO]]="","",GUAYAQUIL[[#This Row],[COSTO UNIT Conv]]*GUAYAQUIL[[#This Row],[Stock Actual Kgs]]),"")</f>
        <v>51.058147499999997</v>
      </c>
      <c r="AB309" s="33">
        <f ca="1">+IFERROR(IF(GUAYAQUIL[[#This Row],[CODIGO]]="","",$J$3-O309),"")</f>
        <v>12</v>
      </c>
      <c r="AC309" s="34" t="str">
        <f ca="1">IF(GUAYAQUIL[[#This Row],[CODIGO]]="","",IF(S309&lt;=0,"CADUCADO",IF(AND(S309&gt;0,S309&lt;=21),"FECHA CORTA",IF(AND(S309&gt;=22,S309&lt;=26),"PROXIMOS FECHA CORTA", "VIGENTE"))))</f>
        <v>VIGENTE</v>
      </c>
      <c r="AD309" s="37">
        <f>+IF(GUAYAQUIL[[#This Row],[CODIGO]]="","",GUAYAQUIL[[#This Row],[Stock Actual Unds]]*GUAYAQUIL[[#This Row],[Gramaje]]*GUAYAQUIL[[#This Row],[Conversión]])/1000</f>
        <v>1.35E-2</v>
      </c>
    </row>
    <row r="310" spans="1:30">
      <c r="A310" s="24" t="str">
        <f>+IFERROR(IF(GUAYAQUIL[[#This Row],[CODIGO]]="","",VLOOKUP(GUAYAQUIL[[#This Row],[CODIGO]],MAESTRO!$A:$J,10,FALSE)),"")</f>
        <v>MACHACHI</v>
      </c>
      <c r="B310" s="24" t="str">
        <f>+IFERROR(IF(GUAYAQUIL[[#This Row],[CODIGO]]="","",VLOOKUP(GUAYAQUIL[[#This Row],[CODIGO]],MAESTRO!$A:$Q,17,FALSE)),"")</f>
        <v>BEBIDAS LACTEAS</v>
      </c>
      <c r="C310" s="24" t="str">
        <f>+IFERROR(IF(GUAYAQUIL[[#This Row],[CODIGO]]="","",VLOOKUP(GUAYAQUIL[[#This Row],[CODIGO]],MAESTRO!$A:$BA,53,FALSE)),"")</f>
        <v xml:space="preserve">Luis Armendariz                         </v>
      </c>
      <c r="D310" s="24" t="str">
        <f>+IFERROR(IF(GUAYAQUIL[[#This Row],[CODIGO]]="","",VLOOKUP(GUAYAQUIL[[#This Row],[CODIGO]],MAESTRO!$A:$D,4,FALSE)),"")</f>
        <v>BON YURT</v>
      </c>
      <c r="E310" s="24" t="str">
        <f>+IFERROR(IF(GUAYAQUIL[[#This Row],[CODIGO]]="","",VLOOKUP(GUAYAQUIL[[#This Row],[CODIGO]],MAESTRO!$A:$F,6,FALSE)),"")</f>
        <v>BON YURT MINI</v>
      </c>
      <c r="F310" s="42" t="str">
        <f>IF(GUAYAQUIL[[#This Row],[CODIGO]]="","",$K$6)</f>
        <v>GUAYAQUIL</v>
      </c>
      <c r="G310" s="42">
        <f>IF(GUAYAQUIL[[#This Row],[CODIGO]]="","",7711)</f>
        <v>7711</v>
      </c>
      <c r="H310" s="42">
        <f>IF(GUAYAQUIL[[#This Row],[CODIGO]]="","",1001)</f>
        <v>1001</v>
      </c>
      <c r="I310" s="258" t="s">
        <v>1760</v>
      </c>
      <c r="J310" s="25" t="str">
        <f>IFERROR((VLOOKUP(GUAYAQUIL[[#This Row],[CODIGO]],MAESTRO!A:B,2,FALSE)),"")</f>
        <v>BY MINI GOMITAS 127G</v>
      </c>
      <c r="K310" s="35">
        <v>1380</v>
      </c>
      <c r="L310" s="38">
        <f>+IFERROR(IF(GUAYAQUIL[[#This Row],[CODIGO]]="","",VLOOKUP(GUAYAQUIL[[#This Row],[CODIGO]],MAESTRO!$A:$BF,58,FALSE)),"")</f>
        <v>1</v>
      </c>
      <c r="M310" s="27">
        <f>+IFERROR(IF(GUAYAQUIL[[#This Row],[CODIGO]]="","",VLOOKUP(GUAYAQUIL[[#This Row],[CODIGO]],MAESTRO!A:N,14,FALSE)),"")</f>
        <v>0.127</v>
      </c>
      <c r="N310" s="28">
        <f>+IFERROR(IF(GUAYAQUIL[[#This Row],[CODIGO]]="","",VLOOKUP(GUAYAQUIL[[#This Row],[CODIGO]],MAESTRO!A:P,16,FALSE)),"")</f>
        <v>45</v>
      </c>
      <c r="O310" s="29">
        <v>45596</v>
      </c>
      <c r="P310" s="72" t="str">
        <f t="shared" si="20"/>
        <v>jueves</v>
      </c>
      <c r="Q310" s="29">
        <f>IFERROR(IF(GUAYAQUIL[[#This Row],[CODIGO]]="","",IF(GUAYAQUIL[[#This Row],[Fecha Cad]]="","",(GUAYAQUIL[[#This Row],[Fecha Cad]]-GUAYAQUIL[[#This Row],[VIDA UTIL (Días)]]))+1),"")</f>
        <v>45584</v>
      </c>
      <c r="R310" s="29">
        <v>45628</v>
      </c>
      <c r="S310" s="30">
        <f t="shared" ca="1" si="21"/>
        <v>4</v>
      </c>
      <c r="T310" s="31">
        <f t="shared" ca="1" si="22"/>
        <v>8.8888888888888892E-2</v>
      </c>
      <c r="U310" s="286">
        <v>16</v>
      </c>
      <c r="V310" s="261">
        <f>+IFERROR(IF(GUAYAQUIL[[#This Row],[CODIGO]]="","",GUAYAQUIL[[#This Row],[Stock Actual Unds]]*GUAYAQUIL[[#This Row],[Gramaje]]*GUAYAQUIL[[#This Row],[Conversión]]),"")</f>
        <v>2.032</v>
      </c>
      <c r="W310" s="270">
        <f t="shared" si="23"/>
        <v>12</v>
      </c>
      <c r="X310" s="32">
        <f t="shared" si="24"/>
        <v>0.73333333333333339</v>
      </c>
      <c r="Y310" s="236">
        <f>IFERROR(VLOOKUP(GUAYAQUIL[[#This Row],[CODIGO]],MAESTRO!A:BI,21,FALSE),0)</f>
        <v>0.34782999999999997</v>
      </c>
      <c r="Z310" s="237">
        <f>+IFERROR(IF(GUAYAQUIL[[#This Row],[CODIGO]]="","",GUAYAQUIL[[#This Row],[COSTO UNIT base]]*GUAYAQUIL[[#This Row],[Conversión]]),"")</f>
        <v>0.34782999999999997</v>
      </c>
      <c r="AA310" s="236">
        <f>+IFERROR(IF(GUAYAQUIL[[#This Row],[CODIGO]]="","",GUAYAQUIL[[#This Row],[COSTO UNIT Conv]]*GUAYAQUIL[[#This Row],[Stock Actual Kgs]]),"")</f>
        <v>0.70679055999999996</v>
      </c>
      <c r="AB310" s="33">
        <f ca="1">+IFERROR(IF(GUAYAQUIL[[#This Row],[CODIGO]]="","",$J$3-O310),"")</f>
        <v>28</v>
      </c>
      <c r="AC310" s="34" t="str">
        <f ca="1">IF(GUAYAQUIL[[#This Row],[CODIGO]]="","",IF(S310&lt;=0,"CADUCADO",IF(AND(S310&gt;0,S310&lt;=21),"FECHA CORTA",IF(AND(S310&gt;=22,S310&lt;=26),"PROXIMOS FECHA CORTA", "VIGENTE"))))</f>
        <v>FECHA CORTA</v>
      </c>
      <c r="AD310" s="37">
        <f>+IF(GUAYAQUIL[[#This Row],[CODIGO]]="","",GUAYAQUIL[[#This Row],[Stock Actual Unds]]*GUAYAQUIL[[#This Row],[Gramaje]]*GUAYAQUIL[[#This Row],[Conversión]])/1000</f>
        <v>2.032E-3</v>
      </c>
    </row>
    <row r="311" spans="1:30">
      <c r="A311" s="24" t="str">
        <f>+IFERROR(IF(GUAYAQUIL[[#This Row],[CODIGO]]="","",VLOOKUP(GUAYAQUIL[[#This Row],[CODIGO]],MAESTRO!$A:$J,10,FALSE)),"")</f>
        <v>MACHACHI</v>
      </c>
      <c r="B311" s="24" t="str">
        <f>+IFERROR(IF(GUAYAQUIL[[#This Row],[CODIGO]]="","",VLOOKUP(GUAYAQUIL[[#This Row],[CODIGO]],MAESTRO!$A:$Q,17,FALSE)),"")</f>
        <v>BEBIDAS LACTEAS</v>
      </c>
      <c r="C311" s="24" t="str">
        <f>+IFERROR(IF(GUAYAQUIL[[#This Row],[CODIGO]]="","",VLOOKUP(GUAYAQUIL[[#This Row],[CODIGO]],MAESTRO!$A:$BA,53,FALSE)),"")</f>
        <v xml:space="preserve">Luis Armendariz                         </v>
      </c>
      <c r="D311" s="24" t="str">
        <f>+IFERROR(IF(GUAYAQUIL[[#This Row],[CODIGO]]="","",VLOOKUP(GUAYAQUIL[[#This Row],[CODIGO]],MAESTRO!$A:$D,4,FALSE)),"")</f>
        <v>BON YURT</v>
      </c>
      <c r="E311" s="24" t="str">
        <f>+IFERROR(IF(GUAYAQUIL[[#This Row],[CODIGO]]="","",VLOOKUP(GUAYAQUIL[[#This Row],[CODIGO]],MAESTRO!$A:$F,6,FALSE)),"")</f>
        <v>BON YURT MINI</v>
      </c>
      <c r="F311" s="42" t="str">
        <f>IF(GUAYAQUIL[[#This Row],[CODIGO]]="","",$K$6)</f>
        <v>GUAYAQUIL</v>
      </c>
      <c r="G311" s="209">
        <f>IF(GUAYAQUIL[[#This Row],[CODIGO]]="","",7711)</f>
        <v>7711</v>
      </c>
      <c r="H311" s="209">
        <f>IF(GUAYAQUIL[[#This Row],[CODIGO]]="","",1001)</f>
        <v>1001</v>
      </c>
      <c r="I311" s="258" t="s">
        <v>1760</v>
      </c>
      <c r="J311" s="25" t="str">
        <f>IFERROR((VLOOKUP(GUAYAQUIL[[#This Row],[CODIGO]],MAESTRO!A:B,2,FALSE)),"")</f>
        <v>BY MINI GOMITAS 127G</v>
      </c>
      <c r="K311" s="35">
        <v>1800</v>
      </c>
      <c r="L311" s="38">
        <f>+IFERROR(IF(GUAYAQUIL[[#This Row],[CODIGO]]="","",VLOOKUP(GUAYAQUIL[[#This Row],[CODIGO]],MAESTRO!$A:$BF,58,FALSE)),"")</f>
        <v>1</v>
      </c>
      <c r="M311" s="27">
        <f>+IFERROR(IF(GUAYAQUIL[[#This Row],[CODIGO]]="","",VLOOKUP(GUAYAQUIL[[#This Row],[CODIGO]],MAESTRO!A:N,14,FALSE)),"")</f>
        <v>0.127</v>
      </c>
      <c r="N311" s="28">
        <f>+IFERROR(IF(GUAYAQUIL[[#This Row],[CODIGO]]="","",VLOOKUP(GUAYAQUIL[[#This Row],[CODIGO]],MAESTRO!A:P,16,FALSE)),"")</f>
        <v>45</v>
      </c>
      <c r="O311" s="29">
        <v>45604</v>
      </c>
      <c r="P311" s="72" t="str">
        <f t="shared" si="20"/>
        <v>viernes</v>
      </c>
      <c r="Q311" s="29">
        <f>IFERROR(IF(GUAYAQUIL[[#This Row],[CODIGO]]="","",IF(GUAYAQUIL[[#This Row],[Fecha Cad]]="","",(GUAYAQUIL[[#This Row],[Fecha Cad]]-GUAYAQUIL[[#This Row],[VIDA UTIL (Días)]]))+1),"")</f>
        <v>45597</v>
      </c>
      <c r="R311" s="29">
        <v>45641</v>
      </c>
      <c r="S311" s="30">
        <f t="shared" ca="1" si="21"/>
        <v>17</v>
      </c>
      <c r="T311" s="31">
        <f t="shared" ca="1" si="22"/>
        <v>0.37777777777777777</v>
      </c>
      <c r="U311" s="286">
        <v>34</v>
      </c>
      <c r="V311" s="261">
        <f>+IFERROR(IF(GUAYAQUIL[[#This Row],[CODIGO]]="","",GUAYAQUIL[[#This Row],[Stock Actual Unds]]*GUAYAQUIL[[#This Row],[Gramaje]]*GUAYAQUIL[[#This Row],[Conversión]]),"")</f>
        <v>4.3179999999999996</v>
      </c>
      <c r="W311" s="270">
        <f t="shared" si="23"/>
        <v>7</v>
      </c>
      <c r="X311" s="32">
        <f t="shared" si="24"/>
        <v>0.84444444444444444</v>
      </c>
      <c r="Y311" s="236">
        <f>IFERROR(VLOOKUP(GUAYAQUIL[[#This Row],[CODIGO]],MAESTRO!A:BI,21,FALSE),0)</f>
        <v>0.34782999999999997</v>
      </c>
      <c r="Z311" s="237">
        <f>+IFERROR(IF(GUAYAQUIL[[#This Row],[CODIGO]]="","",GUAYAQUIL[[#This Row],[COSTO UNIT base]]*GUAYAQUIL[[#This Row],[Conversión]]),"")</f>
        <v>0.34782999999999997</v>
      </c>
      <c r="AA311" s="236">
        <f>+IFERROR(IF(GUAYAQUIL[[#This Row],[CODIGO]]="","",GUAYAQUIL[[#This Row],[COSTO UNIT Conv]]*GUAYAQUIL[[#This Row],[Stock Actual Kgs]]),"")</f>
        <v>1.5019299399999997</v>
      </c>
      <c r="AB311" s="33">
        <f ca="1">+IFERROR(IF(GUAYAQUIL[[#This Row],[CODIGO]]="","",$J$3-O311),"")</f>
        <v>20</v>
      </c>
      <c r="AC311" s="34" t="str">
        <f ca="1">IF(GUAYAQUIL[[#This Row],[CODIGO]]="","",IF(S311&lt;=0,"CADUCADO",IF(AND(S311&gt;0,S311&lt;=21),"FECHA CORTA",IF(AND(S311&gt;=22,S311&lt;=26),"PROXIMOS FECHA CORTA", "VIGENTE"))))</f>
        <v>FECHA CORTA</v>
      </c>
      <c r="AD311" s="37">
        <f>+IF(GUAYAQUIL[[#This Row],[CODIGO]]="","",GUAYAQUIL[[#This Row],[Stock Actual Unds]]*GUAYAQUIL[[#This Row],[Gramaje]]*GUAYAQUIL[[#This Row],[Conversión]])/1000</f>
        <v>4.3179999999999998E-3</v>
      </c>
    </row>
    <row r="312" spans="1:30">
      <c r="A312" s="24" t="str">
        <f>+IFERROR(IF(GUAYAQUIL[[#This Row],[CODIGO]]="","",VLOOKUP(GUAYAQUIL[[#This Row],[CODIGO]],MAESTRO!$A:$J,10,FALSE)),"")</f>
        <v>MACHACHI</v>
      </c>
      <c r="B312" s="24" t="str">
        <f>+IFERROR(IF(GUAYAQUIL[[#This Row],[CODIGO]]="","",VLOOKUP(GUAYAQUIL[[#This Row],[CODIGO]],MAESTRO!$A:$Q,17,FALSE)),"")</f>
        <v>BEBIDAS LACTEAS</v>
      </c>
      <c r="C312" s="24" t="str">
        <f>+IFERROR(IF(GUAYAQUIL[[#This Row],[CODIGO]]="","",VLOOKUP(GUAYAQUIL[[#This Row],[CODIGO]],MAESTRO!$A:$BA,53,FALSE)),"")</f>
        <v xml:space="preserve">Luis Armendariz                         </v>
      </c>
      <c r="D312" s="24" t="str">
        <f>+IFERROR(IF(GUAYAQUIL[[#This Row],[CODIGO]]="","",VLOOKUP(GUAYAQUIL[[#This Row],[CODIGO]],MAESTRO!$A:$D,4,FALSE)),"")</f>
        <v>BON YURT</v>
      </c>
      <c r="E312" s="24" t="str">
        <f>+IFERROR(IF(GUAYAQUIL[[#This Row],[CODIGO]]="","",VLOOKUP(GUAYAQUIL[[#This Row],[CODIGO]],MAESTRO!$A:$F,6,FALSE)),"")</f>
        <v>BON YURT MINI</v>
      </c>
      <c r="F312" s="42" t="str">
        <f>IF(GUAYAQUIL[[#This Row],[CODIGO]]="","",$K$6)</f>
        <v>GUAYAQUIL</v>
      </c>
      <c r="G312" s="42">
        <f>IF(GUAYAQUIL[[#This Row],[CODIGO]]="","",7711)</f>
        <v>7711</v>
      </c>
      <c r="H312" s="42">
        <f>IF(GUAYAQUIL[[#This Row],[CODIGO]]="","",1001)</f>
        <v>1001</v>
      </c>
      <c r="I312" s="258" t="s">
        <v>1760</v>
      </c>
      <c r="J312" s="25" t="str">
        <f>IFERROR((VLOOKUP(GUAYAQUIL[[#This Row],[CODIGO]],MAESTRO!A:B,2,FALSE)),"")</f>
        <v>BY MINI GOMITAS 127G</v>
      </c>
      <c r="K312" s="35">
        <v>600</v>
      </c>
      <c r="L312" s="38">
        <f>+IFERROR(IF(GUAYAQUIL[[#This Row],[CODIGO]]="","",VLOOKUP(GUAYAQUIL[[#This Row],[CODIGO]],MAESTRO!$A:$BF,58,FALSE)),"")</f>
        <v>1</v>
      </c>
      <c r="M312" s="27">
        <f>+IFERROR(IF(GUAYAQUIL[[#This Row],[CODIGO]]="","",VLOOKUP(GUAYAQUIL[[#This Row],[CODIGO]],MAESTRO!A:N,14,FALSE)),"")</f>
        <v>0.127</v>
      </c>
      <c r="N312" s="28">
        <f>+IFERROR(IF(GUAYAQUIL[[#This Row],[CODIGO]]="","",VLOOKUP(GUAYAQUIL[[#This Row],[CODIGO]],MAESTRO!A:P,16,FALSE)),"")</f>
        <v>45</v>
      </c>
      <c r="O312" s="29">
        <v>45605</v>
      </c>
      <c r="P312" s="72" t="str">
        <f t="shared" si="20"/>
        <v>sábado</v>
      </c>
      <c r="Q312" s="29">
        <f>IFERROR(IF(GUAYAQUIL[[#This Row],[CODIGO]]="","",IF(GUAYAQUIL[[#This Row],[Fecha Cad]]="","",(GUAYAQUIL[[#This Row],[Fecha Cad]]-GUAYAQUIL[[#This Row],[VIDA UTIL (Días)]]))+1),"")</f>
        <v>45597</v>
      </c>
      <c r="R312" s="29">
        <v>45641</v>
      </c>
      <c r="S312" s="30">
        <f t="shared" ca="1" si="21"/>
        <v>17</v>
      </c>
      <c r="T312" s="31">
        <f t="shared" ca="1" si="22"/>
        <v>0.37777777777777777</v>
      </c>
      <c r="U312" s="286">
        <v>600</v>
      </c>
      <c r="V312" s="261">
        <f>+IFERROR(IF(GUAYAQUIL[[#This Row],[CODIGO]]="","",GUAYAQUIL[[#This Row],[Stock Actual Unds]]*GUAYAQUIL[[#This Row],[Gramaje]]*GUAYAQUIL[[#This Row],[Conversión]]),"")</f>
        <v>76.2</v>
      </c>
      <c r="W312" s="270">
        <f t="shared" si="23"/>
        <v>8</v>
      </c>
      <c r="X312" s="32">
        <f t="shared" si="24"/>
        <v>0.82222222222222219</v>
      </c>
      <c r="Y312" s="236">
        <f>IFERROR(VLOOKUP(GUAYAQUIL[[#This Row],[CODIGO]],MAESTRO!A:BI,21,FALSE),0)</f>
        <v>0.34782999999999997</v>
      </c>
      <c r="Z312" s="237">
        <f>+IFERROR(IF(GUAYAQUIL[[#This Row],[CODIGO]]="","",GUAYAQUIL[[#This Row],[COSTO UNIT base]]*GUAYAQUIL[[#This Row],[Conversión]]),"")</f>
        <v>0.34782999999999997</v>
      </c>
      <c r="AA312" s="236">
        <f>+IFERROR(IF(GUAYAQUIL[[#This Row],[CODIGO]]="","",GUAYAQUIL[[#This Row],[COSTO UNIT Conv]]*GUAYAQUIL[[#This Row],[Stock Actual Kgs]]),"")</f>
        <v>26.504645999999997</v>
      </c>
      <c r="AB312" s="33">
        <f ca="1">+IFERROR(IF(GUAYAQUIL[[#This Row],[CODIGO]]="","",$J$3-O312),"")</f>
        <v>19</v>
      </c>
      <c r="AC312" s="34" t="str">
        <f ca="1">IF(GUAYAQUIL[[#This Row],[CODIGO]]="","",IF(S312&lt;=0,"CADUCADO",IF(AND(S312&gt;0,S312&lt;=21),"FECHA CORTA",IF(AND(S312&gt;=22,S312&lt;=26),"PROXIMOS FECHA CORTA", "VIGENTE"))))</f>
        <v>FECHA CORTA</v>
      </c>
      <c r="AD312" s="37">
        <f>+IF(GUAYAQUIL[[#This Row],[CODIGO]]="","",GUAYAQUIL[[#This Row],[Stock Actual Unds]]*GUAYAQUIL[[#This Row],[Gramaje]]*GUAYAQUIL[[#This Row],[Conversión]])/1000</f>
        <v>7.6200000000000004E-2</v>
      </c>
    </row>
    <row r="313" spans="1:30">
      <c r="A313" s="24" t="str">
        <f>+IFERROR(IF(GUAYAQUIL[[#This Row],[CODIGO]]="","",VLOOKUP(GUAYAQUIL[[#This Row],[CODIGO]],MAESTRO!$A:$J,10,FALSE)),"")</f>
        <v>MACHACHI</v>
      </c>
      <c r="B313" s="24" t="str">
        <f>+IFERROR(IF(GUAYAQUIL[[#This Row],[CODIGO]]="","",VLOOKUP(GUAYAQUIL[[#This Row],[CODIGO]],MAESTRO!$A:$Q,17,FALSE)),"")</f>
        <v>BEBIDAS LACTEAS</v>
      </c>
      <c r="C313" s="24" t="str">
        <f>+IFERROR(IF(GUAYAQUIL[[#This Row],[CODIGO]]="","",VLOOKUP(GUAYAQUIL[[#This Row],[CODIGO]],MAESTRO!$A:$BA,53,FALSE)),"")</f>
        <v xml:space="preserve">Luis Armendariz                         </v>
      </c>
      <c r="D313" s="24" t="str">
        <f>+IFERROR(IF(GUAYAQUIL[[#This Row],[CODIGO]]="","",VLOOKUP(GUAYAQUIL[[#This Row],[CODIGO]],MAESTRO!$A:$D,4,FALSE)),"")</f>
        <v>BON YURT</v>
      </c>
      <c r="E313" s="24" t="str">
        <f>+IFERROR(IF(GUAYAQUIL[[#This Row],[CODIGO]]="","",VLOOKUP(GUAYAQUIL[[#This Row],[CODIGO]],MAESTRO!$A:$F,6,FALSE)),"")</f>
        <v>BON YURT MINI</v>
      </c>
      <c r="F313" s="42" t="str">
        <f>IF(GUAYAQUIL[[#This Row],[CODIGO]]="","",$K$6)</f>
        <v>GUAYAQUIL</v>
      </c>
      <c r="G313" s="209">
        <f>IF(GUAYAQUIL[[#This Row],[CODIGO]]="","",7711)</f>
        <v>7711</v>
      </c>
      <c r="H313" s="209">
        <f>IF(GUAYAQUIL[[#This Row],[CODIGO]]="","",1001)</f>
        <v>1001</v>
      </c>
      <c r="I313" s="258" t="s">
        <v>1760</v>
      </c>
      <c r="J313" s="25" t="str">
        <f>IFERROR((VLOOKUP(GUAYAQUIL[[#This Row],[CODIGO]],MAESTRO!A:B,2,FALSE)),"")</f>
        <v>BY MINI GOMITAS 127G</v>
      </c>
      <c r="K313" s="35">
        <v>720</v>
      </c>
      <c r="L313" s="38">
        <f>+IFERROR(IF(GUAYAQUIL[[#This Row],[CODIGO]]="","",VLOOKUP(GUAYAQUIL[[#This Row],[CODIGO]],MAESTRO!$A:$BF,58,FALSE)),"")</f>
        <v>1</v>
      </c>
      <c r="M313" s="27">
        <f>+IFERROR(IF(GUAYAQUIL[[#This Row],[CODIGO]]="","",VLOOKUP(GUAYAQUIL[[#This Row],[CODIGO]],MAESTRO!A:N,14,FALSE)),"")</f>
        <v>0.127</v>
      </c>
      <c r="N313" s="28">
        <f>+IFERROR(IF(GUAYAQUIL[[#This Row],[CODIGO]]="","",VLOOKUP(GUAYAQUIL[[#This Row],[CODIGO]],MAESTRO!A:P,16,FALSE)),"")</f>
        <v>45</v>
      </c>
      <c r="O313" s="29">
        <v>45609</v>
      </c>
      <c r="P313" s="72" t="str">
        <f t="shared" si="20"/>
        <v>miércoles</v>
      </c>
      <c r="Q313" s="29">
        <f>IFERROR(IF(GUAYAQUIL[[#This Row],[CODIGO]]="","",IF(GUAYAQUIL[[#This Row],[Fecha Cad]]="","",(GUAYAQUIL[[#This Row],[Fecha Cad]]-GUAYAQUIL[[#This Row],[VIDA UTIL (Días)]]))+1),"")</f>
        <v>45597</v>
      </c>
      <c r="R313" s="29">
        <v>45641</v>
      </c>
      <c r="S313" s="30">
        <f t="shared" ca="1" si="21"/>
        <v>17</v>
      </c>
      <c r="T313" s="31">
        <f t="shared" ca="1" si="22"/>
        <v>0.37777777777777777</v>
      </c>
      <c r="U313" s="286">
        <v>720</v>
      </c>
      <c r="V313" s="261">
        <f>+IFERROR(IF(GUAYAQUIL[[#This Row],[CODIGO]]="","",GUAYAQUIL[[#This Row],[Stock Actual Unds]]*GUAYAQUIL[[#This Row],[Gramaje]]*GUAYAQUIL[[#This Row],[Conversión]]),"")</f>
        <v>91.44</v>
      </c>
      <c r="W313" s="270">
        <f t="shared" si="23"/>
        <v>12</v>
      </c>
      <c r="X313" s="32">
        <f t="shared" si="24"/>
        <v>0.73333333333333339</v>
      </c>
      <c r="Y313" s="236">
        <f>IFERROR(VLOOKUP(GUAYAQUIL[[#This Row],[CODIGO]],MAESTRO!A:BI,21,FALSE),0)</f>
        <v>0.34782999999999997</v>
      </c>
      <c r="Z313" s="237">
        <f>+IFERROR(IF(GUAYAQUIL[[#This Row],[CODIGO]]="","",GUAYAQUIL[[#This Row],[COSTO UNIT base]]*GUAYAQUIL[[#This Row],[Conversión]]),"")</f>
        <v>0.34782999999999997</v>
      </c>
      <c r="AA313" s="236">
        <f>+IFERROR(IF(GUAYAQUIL[[#This Row],[CODIGO]]="","",GUAYAQUIL[[#This Row],[COSTO UNIT Conv]]*GUAYAQUIL[[#This Row],[Stock Actual Kgs]]),"")</f>
        <v>31.805575199999996</v>
      </c>
      <c r="AB313" s="33">
        <f ca="1">+IFERROR(IF(GUAYAQUIL[[#This Row],[CODIGO]]="","",$J$3-O313),"")</f>
        <v>15</v>
      </c>
      <c r="AC313" s="34" t="str">
        <f ca="1">IF(GUAYAQUIL[[#This Row],[CODIGO]]="","",IF(S313&lt;=0,"CADUCADO",IF(AND(S313&gt;0,S313&lt;=21),"FECHA CORTA",IF(AND(S313&gt;=22,S313&lt;=26),"PROXIMOS FECHA CORTA", "VIGENTE"))))</f>
        <v>FECHA CORTA</v>
      </c>
      <c r="AD313" s="37">
        <f>+IF(GUAYAQUIL[[#This Row],[CODIGO]]="","",GUAYAQUIL[[#This Row],[Stock Actual Unds]]*GUAYAQUIL[[#This Row],[Gramaje]]*GUAYAQUIL[[#This Row],[Conversión]])/1000</f>
        <v>9.1439999999999994E-2</v>
      </c>
    </row>
    <row r="314" spans="1:30">
      <c r="A314" s="24" t="str">
        <f>+IFERROR(IF(GUAYAQUIL[[#This Row],[CODIGO]]="","",VLOOKUP(GUAYAQUIL[[#This Row],[CODIGO]],MAESTRO!$A:$J,10,FALSE)),"")</f>
        <v>MACHACHI</v>
      </c>
      <c r="B314" s="24" t="str">
        <f>+IFERROR(IF(GUAYAQUIL[[#This Row],[CODIGO]]="","",VLOOKUP(GUAYAQUIL[[#This Row],[CODIGO]],MAESTRO!$A:$Q,17,FALSE)),"")</f>
        <v>BEBIDAS LACTEAS</v>
      </c>
      <c r="C314" s="24" t="str">
        <f>+IFERROR(IF(GUAYAQUIL[[#This Row],[CODIGO]]="","",VLOOKUP(GUAYAQUIL[[#This Row],[CODIGO]],MAESTRO!$A:$BA,53,FALSE)),"")</f>
        <v xml:space="preserve">Luis Armendariz                         </v>
      </c>
      <c r="D314" s="24" t="str">
        <f>+IFERROR(IF(GUAYAQUIL[[#This Row],[CODIGO]]="","",VLOOKUP(GUAYAQUIL[[#This Row],[CODIGO]],MAESTRO!$A:$D,4,FALSE)),"")</f>
        <v>BON YURT</v>
      </c>
      <c r="E314" s="24" t="str">
        <f>+IFERROR(IF(GUAYAQUIL[[#This Row],[CODIGO]]="","",VLOOKUP(GUAYAQUIL[[#This Row],[CODIGO]],MAESTRO!$A:$F,6,FALSE)),"")</f>
        <v>BON YURT MINI</v>
      </c>
      <c r="F314" s="42" t="str">
        <f>IF(GUAYAQUIL[[#This Row],[CODIGO]]="","",$K$6)</f>
        <v>GUAYAQUIL</v>
      </c>
      <c r="G314" s="42">
        <f>IF(GUAYAQUIL[[#This Row],[CODIGO]]="","",7711)</f>
        <v>7711</v>
      </c>
      <c r="H314" s="42">
        <f>IF(GUAYAQUIL[[#This Row],[CODIGO]]="","",1001)</f>
        <v>1001</v>
      </c>
      <c r="I314" s="258" t="s">
        <v>1760</v>
      </c>
      <c r="J314" s="25" t="str">
        <f>IFERROR((VLOOKUP(GUAYAQUIL[[#This Row],[CODIGO]],MAESTRO!A:B,2,FALSE)),"")</f>
        <v>BY MINI GOMITAS 127G</v>
      </c>
      <c r="K314" s="35">
        <v>1200</v>
      </c>
      <c r="L314" s="38">
        <f>+IFERROR(IF(GUAYAQUIL[[#This Row],[CODIGO]]="","",VLOOKUP(GUAYAQUIL[[#This Row],[CODIGO]],MAESTRO!$A:$BF,58,FALSE)),"")</f>
        <v>1</v>
      </c>
      <c r="M314" s="27">
        <f>+IFERROR(IF(GUAYAQUIL[[#This Row],[CODIGO]]="","",VLOOKUP(GUAYAQUIL[[#This Row],[CODIGO]],MAESTRO!A:N,14,FALSE)),"")</f>
        <v>0.127</v>
      </c>
      <c r="N314" s="28">
        <f>+IFERROR(IF(GUAYAQUIL[[#This Row],[CODIGO]]="","",VLOOKUP(GUAYAQUIL[[#This Row],[CODIGO]],MAESTRO!A:P,16,FALSE)),"")</f>
        <v>45</v>
      </c>
      <c r="O314" s="29">
        <v>45610</v>
      </c>
      <c r="P314" s="72" t="str">
        <f t="shared" si="20"/>
        <v>jueves</v>
      </c>
      <c r="Q314" s="29">
        <f>IFERROR(IF(GUAYAQUIL[[#This Row],[CODIGO]]="","",IF(GUAYAQUIL[[#This Row],[Fecha Cad]]="","",(GUAYAQUIL[[#This Row],[Fecha Cad]]-GUAYAQUIL[[#This Row],[VIDA UTIL (Días)]]))+1),"")</f>
        <v>45610</v>
      </c>
      <c r="R314" s="29">
        <v>45654</v>
      </c>
      <c r="S314" s="30">
        <f t="shared" ca="1" si="21"/>
        <v>30</v>
      </c>
      <c r="T314" s="31">
        <f t="shared" ca="1" si="22"/>
        <v>0.66666666666666663</v>
      </c>
      <c r="U314" s="286">
        <v>536</v>
      </c>
      <c r="V314" s="261">
        <f>+IFERROR(IF(GUAYAQUIL[[#This Row],[CODIGO]]="","",GUAYAQUIL[[#This Row],[Stock Actual Unds]]*GUAYAQUIL[[#This Row],[Gramaje]]*GUAYAQUIL[[#This Row],[Conversión]]),"")</f>
        <v>68.072000000000003</v>
      </c>
      <c r="W314" s="270">
        <f t="shared" si="23"/>
        <v>0</v>
      </c>
      <c r="X314" s="32">
        <f t="shared" si="24"/>
        <v>1</v>
      </c>
      <c r="Y314" s="236">
        <f>IFERROR(VLOOKUP(GUAYAQUIL[[#This Row],[CODIGO]],MAESTRO!A:BI,21,FALSE),0)</f>
        <v>0.34782999999999997</v>
      </c>
      <c r="Z314" s="237">
        <f>+IFERROR(IF(GUAYAQUIL[[#This Row],[CODIGO]]="","",GUAYAQUIL[[#This Row],[COSTO UNIT base]]*GUAYAQUIL[[#This Row],[Conversión]]),"")</f>
        <v>0.34782999999999997</v>
      </c>
      <c r="AA314" s="236">
        <f>+IFERROR(IF(GUAYAQUIL[[#This Row],[CODIGO]]="","",GUAYAQUIL[[#This Row],[COSTO UNIT Conv]]*GUAYAQUIL[[#This Row],[Stock Actual Kgs]]),"")</f>
        <v>23.677483759999998</v>
      </c>
      <c r="AB314" s="33">
        <f ca="1">+IFERROR(IF(GUAYAQUIL[[#This Row],[CODIGO]]="","",$J$3-O314),"")</f>
        <v>14</v>
      </c>
      <c r="AC314" s="34" t="str">
        <f ca="1">IF(GUAYAQUIL[[#This Row],[CODIGO]]="","",IF(S314&lt;=0,"CADUCADO",IF(AND(S314&gt;0,S314&lt;=21),"FECHA CORTA",IF(AND(S314&gt;=22,S314&lt;=26),"PROXIMOS FECHA CORTA", "VIGENTE"))))</f>
        <v>VIGENTE</v>
      </c>
      <c r="AD314" s="37">
        <f>+IF(GUAYAQUIL[[#This Row],[CODIGO]]="","",GUAYAQUIL[[#This Row],[Stock Actual Unds]]*GUAYAQUIL[[#This Row],[Gramaje]]*GUAYAQUIL[[#This Row],[Conversión]])/1000</f>
        <v>6.8072000000000008E-2</v>
      </c>
    </row>
    <row r="315" spans="1:30">
      <c r="A315" s="24" t="str">
        <f>+IFERROR(IF(GUAYAQUIL[[#This Row],[CODIGO]]="","",VLOOKUP(GUAYAQUIL[[#This Row],[CODIGO]],MAESTRO!$A:$J,10,FALSE)),"")</f>
        <v>MACHACHI</v>
      </c>
      <c r="B315" s="24" t="str">
        <f>+IFERROR(IF(GUAYAQUIL[[#This Row],[CODIGO]]="","",VLOOKUP(GUAYAQUIL[[#This Row],[CODIGO]],MAESTRO!$A:$Q,17,FALSE)),"")</f>
        <v>BEBIDAS LACTEAS</v>
      </c>
      <c r="C315" s="24" t="str">
        <f>+IFERROR(IF(GUAYAQUIL[[#This Row],[CODIGO]]="","",VLOOKUP(GUAYAQUIL[[#This Row],[CODIGO]],MAESTRO!$A:$BA,53,FALSE)),"")</f>
        <v xml:space="preserve">Luis Armendariz                         </v>
      </c>
      <c r="D315" s="24" t="str">
        <f>+IFERROR(IF(GUAYAQUIL[[#This Row],[CODIGO]]="","",VLOOKUP(GUAYAQUIL[[#This Row],[CODIGO]],MAESTRO!$A:$D,4,FALSE)),"")</f>
        <v>BON YURT</v>
      </c>
      <c r="E315" s="24" t="str">
        <f>+IFERROR(IF(GUAYAQUIL[[#This Row],[CODIGO]]="","",VLOOKUP(GUAYAQUIL[[#This Row],[CODIGO]],MAESTRO!$A:$F,6,FALSE)),"")</f>
        <v>BON YURT MINI</v>
      </c>
      <c r="F315" s="42" t="str">
        <f>IF(GUAYAQUIL[[#This Row],[CODIGO]]="","",$K$6)</f>
        <v>GUAYAQUIL</v>
      </c>
      <c r="G315" s="209">
        <f>IF(GUAYAQUIL[[#This Row],[CODIGO]]="","",7711)</f>
        <v>7711</v>
      </c>
      <c r="H315" s="209">
        <f>IF(GUAYAQUIL[[#This Row],[CODIGO]]="","",1001)</f>
        <v>1001</v>
      </c>
      <c r="I315" s="257" t="s">
        <v>1760</v>
      </c>
      <c r="J315" s="25" t="str">
        <f>IFERROR((VLOOKUP(GUAYAQUIL[[#This Row],[CODIGO]],MAESTRO!A:B,2,FALSE)),"")</f>
        <v>BY MINI GOMITAS 127G</v>
      </c>
      <c r="K315" s="26">
        <v>1020</v>
      </c>
      <c r="L315" s="38">
        <f>+IFERROR(IF(GUAYAQUIL[[#This Row],[CODIGO]]="","",VLOOKUP(GUAYAQUIL[[#This Row],[CODIGO]],MAESTRO!$A:$BF,58,FALSE)),"")</f>
        <v>1</v>
      </c>
      <c r="M315" s="27">
        <f>+IFERROR(IF(GUAYAQUIL[[#This Row],[CODIGO]]="","",VLOOKUP(GUAYAQUIL[[#This Row],[CODIGO]],MAESTRO!A:N,14,FALSE)),"")</f>
        <v>0.127</v>
      </c>
      <c r="N315" s="28">
        <f>+IFERROR(IF(GUAYAQUIL[[#This Row],[CODIGO]]="","",VLOOKUP(GUAYAQUIL[[#This Row],[CODIGO]],MAESTRO!A:P,16,FALSE)),"")</f>
        <v>45</v>
      </c>
      <c r="O315" s="29">
        <v>45617</v>
      </c>
      <c r="P315" s="72" t="str">
        <f t="shared" si="20"/>
        <v>jueves</v>
      </c>
      <c r="Q315" s="29">
        <f>IFERROR(IF(GUAYAQUIL[[#This Row],[CODIGO]]="","",IF(GUAYAQUIL[[#This Row],[Fecha Cad]]="","",(GUAYAQUIL[[#This Row],[Fecha Cad]]-GUAYAQUIL[[#This Row],[VIDA UTIL (Días)]]))+1),"")</f>
        <v>45608</v>
      </c>
      <c r="R315" s="29">
        <v>45652</v>
      </c>
      <c r="S315" s="30">
        <f t="shared" ca="1" si="21"/>
        <v>28</v>
      </c>
      <c r="T315" s="31">
        <f t="shared" ca="1" si="22"/>
        <v>0.62222222222222223</v>
      </c>
      <c r="U315" s="286">
        <v>656</v>
      </c>
      <c r="V315" s="260">
        <f>+IFERROR(IF(GUAYAQUIL[[#This Row],[CODIGO]]="","",GUAYAQUIL[[#This Row],[Stock Actual Unds]]*GUAYAQUIL[[#This Row],[Gramaje]]*GUAYAQUIL[[#This Row],[Conversión]]),"")</f>
        <v>83.311999999999998</v>
      </c>
      <c r="W315" s="270">
        <f t="shared" si="23"/>
        <v>9</v>
      </c>
      <c r="X315" s="32">
        <f t="shared" si="24"/>
        <v>0.8</v>
      </c>
      <c r="Y315" s="236">
        <f>IFERROR(VLOOKUP(GUAYAQUIL[[#This Row],[CODIGO]],MAESTRO!A:BI,21,FALSE),0)</f>
        <v>0.34782999999999997</v>
      </c>
      <c r="Z315" s="237">
        <f>+IFERROR(IF(GUAYAQUIL[[#This Row],[CODIGO]]="","",GUAYAQUIL[[#This Row],[COSTO UNIT base]]*GUAYAQUIL[[#This Row],[Conversión]]),"")</f>
        <v>0.34782999999999997</v>
      </c>
      <c r="AA315" s="236">
        <f>+IFERROR(IF(GUAYAQUIL[[#This Row],[CODIGO]]="","",GUAYAQUIL[[#This Row],[COSTO UNIT Conv]]*GUAYAQUIL[[#This Row],[Stock Actual Kgs]]),"")</f>
        <v>28.978412959999996</v>
      </c>
      <c r="AB315" s="33">
        <f ca="1">+IFERROR(IF(GUAYAQUIL[[#This Row],[CODIGO]]="","",$J$3-O315),"")</f>
        <v>7</v>
      </c>
      <c r="AC315" s="34" t="str">
        <f ca="1">IF(GUAYAQUIL[[#This Row],[CODIGO]]="","",IF(S315&lt;=0,"CADUCADO",IF(AND(S315&gt;0,S315&lt;=21),"FECHA CORTA",IF(AND(S315&gt;=22,S315&lt;=26),"PROXIMOS FECHA CORTA", "VIGENTE"))))</f>
        <v>VIGENTE</v>
      </c>
      <c r="AD315" s="37">
        <f>+IF(GUAYAQUIL[[#This Row],[CODIGO]]="","",GUAYAQUIL[[#This Row],[Stock Actual Unds]]*GUAYAQUIL[[#This Row],[Gramaje]]*GUAYAQUIL[[#This Row],[Conversión]])/1000</f>
        <v>8.3311999999999997E-2</v>
      </c>
    </row>
    <row r="316" spans="1:30">
      <c r="A316" s="24" t="str">
        <f>+IFERROR(IF(GUAYAQUIL[[#This Row],[CODIGO]]="","",VLOOKUP(GUAYAQUIL[[#This Row],[CODIGO]],MAESTRO!$A:$J,10,FALSE)),"")</f>
        <v>SAN GABRIEL</v>
      </c>
      <c r="B316" s="24" t="str">
        <f>+IFERROR(IF(GUAYAQUIL[[#This Row],[CODIGO]]="","",VLOOKUP(GUAYAQUIL[[#This Row],[CODIGO]],MAESTRO!$A:$Q,17,FALSE)),"")</f>
        <v>POSTRES</v>
      </c>
      <c r="C316" s="24" t="str">
        <f>+IFERROR(IF(GUAYAQUIL[[#This Row],[CODIGO]]="","",VLOOKUP(GUAYAQUIL[[#This Row],[CODIGO]],MAESTRO!$A:$BA,53,FALSE)),"")</f>
        <v xml:space="preserve">Luis Armendariz                         </v>
      </c>
      <c r="D316" s="24" t="str">
        <f>+IFERROR(IF(GUAYAQUIL[[#This Row],[CODIGO]]="","",VLOOKUP(GUAYAQUIL[[#This Row],[CODIGO]],MAESTRO!$A:$D,4,FALSE)),"")</f>
        <v>DULCE LECHE KIOSCO</v>
      </c>
      <c r="E316" s="24" t="str">
        <f>+IFERROR(IF(GUAYAQUIL[[#This Row],[CODIGO]]="","",VLOOKUP(GUAYAQUIL[[#This Row],[CODIGO]],MAESTRO!$A:$F,6,FALSE)),"")</f>
        <v>DULCE DE LECHE KIOSCO FAMILIAR</v>
      </c>
      <c r="F316" s="42" t="str">
        <f>IF(GUAYAQUIL[[#This Row],[CODIGO]]="","",$K$6)</f>
        <v>GUAYAQUIL</v>
      </c>
      <c r="G316" s="42">
        <f>IF(GUAYAQUIL[[#This Row],[CODIGO]]="","",7711)</f>
        <v>7711</v>
      </c>
      <c r="H316" s="42">
        <f>IF(GUAYAQUIL[[#This Row],[CODIGO]]="","",1001)</f>
        <v>1001</v>
      </c>
      <c r="I316" s="257" t="s">
        <v>2880</v>
      </c>
      <c r="J316" s="25" t="str">
        <f>IFERROR((VLOOKUP(GUAYAQUIL[[#This Row],[CODIGO]],MAESTRO!A:B,2,FALSE)),"")</f>
        <v>DULCE DE LECHE KIOSKO DOYPACK 100G</v>
      </c>
      <c r="K316" s="26">
        <v>224</v>
      </c>
      <c r="L316" s="38">
        <f>+IFERROR(IF(GUAYAQUIL[[#This Row],[CODIGO]]="","",VLOOKUP(GUAYAQUIL[[#This Row],[CODIGO]],MAESTRO!$A:$BF,58,FALSE)),"")</f>
        <v>1</v>
      </c>
      <c r="M316" s="27">
        <f>+IFERROR(IF(GUAYAQUIL[[#This Row],[CODIGO]]="","",VLOOKUP(GUAYAQUIL[[#This Row],[CODIGO]],MAESTRO!A:N,14,FALSE)),"")</f>
        <v>0.1</v>
      </c>
      <c r="N316" s="28">
        <f>+IFERROR(IF(GUAYAQUIL[[#This Row],[CODIGO]]="","",VLOOKUP(GUAYAQUIL[[#This Row],[CODIGO]],MAESTRO!A:P,16,FALSE)),"")</f>
        <v>180</v>
      </c>
      <c r="O316" s="29">
        <v>45611</v>
      </c>
      <c r="P316" s="72" t="str">
        <f t="shared" si="20"/>
        <v>viernes</v>
      </c>
      <c r="Q316" s="29">
        <f>IFERROR(IF(GUAYAQUIL[[#This Row],[CODIGO]]="","",IF(GUAYAQUIL[[#This Row],[Fecha Cad]]="","",(GUAYAQUIL[[#This Row],[Fecha Cad]]-GUAYAQUIL[[#This Row],[VIDA UTIL (Días)]]))+1),"")</f>
        <v>45604</v>
      </c>
      <c r="R316" s="29">
        <v>45783</v>
      </c>
      <c r="S316" s="30">
        <f t="shared" ca="1" si="21"/>
        <v>159</v>
      </c>
      <c r="T316" s="31">
        <f t="shared" ca="1" si="22"/>
        <v>0.8833333333333333</v>
      </c>
      <c r="U316" s="286">
        <v>137</v>
      </c>
      <c r="V316" s="260">
        <f>+IFERROR(IF(GUAYAQUIL[[#This Row],[CODIGO]]="","",GUAYAQUIL[[#This Row],[Stock Actual Unds]]*GUAYAQUIL[[#This Row],[Gramaje]]*GUAYAQUIL[[#This Row],[Conversión]]),"")</f>
        <v>13.700000000000001</v>
      </c>
      <c r="W316" s="270">
        <f t="shared" si="23"/>
        <v>7</v>
      </c>
      <c r="X316" s="32">
        <f t="shared" si="24"/>
        <v>0.96111111111111114</v>
      </c>
      <c r="Y316" s="236">
        <f>IFERROR(VLOOKUP(GUAYAQUIL[[#This Row],[CODIGO]],MAESTRO!A:BI,21,FALSE),0)</f>
        <v>0.28448000000000001</v>
      </c>
      <c r="Z316" s="237">
        <f>+IFERROR(IF(GUAYAQUIL[[#This Row],[CODIGO]]="","",GUAYAQUIL[[#This Row],[COSTO UNIT base]]*GUAYAQUIL[[#This Row],[Conversión]]),"")</f>
        <v>0.28448000000000001</v>
      </c>
      <c r="AA316" s="236">
        <f>+IFERROR(IF(GUAYAQUIL[[#This Row],[CODIGO]]="","",GUAYAQUIL[[#This Row],[COSTO UNIT Conv]]*GUAYAQUIL[[#This Row],[Stock Actual Kgs]]),"")</f>
        <v>3.8973760000000004</v>
      </c>
      <c r="AB316" s="33">
        <f ca="1">+IFERROR(IF(GUAYAQUIL[[#This Row],[CODIGO]]="","",$J$3-O316),"")</f>
        <v>13</v>
      </c>
      <c r="AC316" s="34" t="str">
        <f ca="1">IF(GUAYAQUIL[[#This Row],[CODIGO]]="","",IF(S316&lt;=0,"CADUCADO",IF(AND(S316&gt;0,S316&lt;=21),"FECHA CORTA",IF(AND(S316&gt;=22,S316&lt;=26),"PROXIMOS FECHA CORTA", "VIGENTE"))))</f>
        <v>VIGENTE</v>
      </c>
      <c r="AD316" s="37">
        <f>+IF(GUAYAQUIL[[#This Row],[CODIGO]]="","",GUAYAQUIL[[#This Row],[Stock Actual Unds]]*GUAYAQUIL[[#This Row],[Gramaje]]*GUAYAQUIL[[#This Row],[Conversión]])/1000</f>
        <v>1.37E-2</v>
      </c>
    </row>
    <row r="317" spans="1:30">
      <c r="A317" s="24" t="str">
        <f>+IFERROR(IF(GUAYAQUIL[[#This Row],[CODIGO]]="","",VLOOKUP(GUAYAQUIL[[#This Row],[CODIGO]],MAESTRO!$A:$J,10,FALSE)),"")</f>
        <v>SAN GABRIEL</v>
      </c>
      <c r="B317" s="24" t="str">
        <f>+IFERROR(IF(GUAYAQUIL[[#This Row],[CODIGO]]="","",VLOOKUP(GUAYAQUIL[[#This Row],[CODIGO]],MAESTRO!$A:$Q,17,FALSE)),"")</f>
        <v>POSTRES</v>
      </c>
      <c r="C317" s="24" t="str">
        <f>+IFERROR(IF(GUAYAQUIL[[#This Row],[CODIGO]]="","",VLOOKUP(GUAYAQUIL[[#This Row],[CODIGO]],MAESTRO!$A:$BA,53,FALSE)),"")</f>
        <v xml:space="preserve">Luis Armendariz                         </v>
      </c>
      <c r="D317" s="24" t="str">
        <f>+IFERROR(IF(GUAYAQUIL[[#This Row],[CODIGO]]="","",VLOOKUP(GUAYAQUIL[[#This Row],[CODIGO]],MAESTRO!$A:$D,4,FALSE)),"")</f>
        <v>DULCE LECHE KIOSCO</v>
      </c>
      <c r="E317" s="24" t="str">
        <f>+IFERROR(IF(GUAYAQUIL[[#This Row],[CODIGO]]="","",VLOOKUP(GUAYAQUIL[[#This Row],[CODIGO]],MAESTRO!$A:$F,6,FALSE)),"")</f>
        <v>DULCE DE LECHE KIOSCO FAMILIAR</v>
      </c>
      <c r="F317" s="42" t="str">
        <f>IF(GUAYAQUIL[[#This Row],[CODIGO]]="","",$K$6)</f>
        <v>GUAYAQUIL</v>
      </c>
      <c r="G317" s="209">
        <f>IF(GUAYAQUIL[[#This Row],[CODIGO]]="","",7711)</f>
        <v>7711</v>
      </c>
      <c r="H317" s="209">
        <f>IF(GUAYAQUIL[[#This Row],[CODIGO]]="","",1001)</f>
        <v>1001</v>
      </c>
      <c r="I317" s="257" t="s">
        <v>2880</v>
      </c>
      <c r="J317" s="25" t="str">
        <f>IFERROR((VLOOKUP(GUAYAQUIL[[#This Row],[CODIGO]],MAESTRO!A:B,2,FALSE)),"")</f>
        <v>DULCE DE LECHE KIOSKO DOYPACK 100G</v>
      </c>
      <c r="K317" s="26">
        <v>224</v>
      </c>
      <c r="L317" s="38">
        <f>+IFERROR(IF(GUAYAQUIL[[#This Row],[CODIGO]]="","",VLOOKUP(GUAYAQUIL[[#This Row],[CODIGO]],MAESTRO!$A:$BF,58,FALSE)),"")</f>
        <v>1</v>
      </c>
      <c r="M317" s="27">
        <f>+IFERROR(IF(GUAYAQUIL[[#This Row],[CODIGO]]="","",VLOOKUP(GUAYAQUIL[[#This Row],[CODIGO]],MAESTRO!A:N,14,FALSE)),"")</f>
        <v>0.1</v>
      </c>
      <c r="N317" s="28">
        <f>+IFERROR(IF(GUAYAQUIL[[#This Row],[CODIGO]]="","",VLOOKUP(GUAYAQUIL[[#This Row],[CODIGO]],MAESTRO!A:P,16,FALSE)),"")</f>
        <v>180</v>
      </c>
      <c r="O317" s="29">
        <v>45615</v>
      </c>
      <c r="P317" s="72" t="str">
        <f t="shared" si="20"/>
        <v>martes</v>
      </c>
      <c r="Q317" s="29">
        <f>IFERROR(IF(GUAYAQUIL[[#This Row],[CODIGO]]="","",IF(GUAYAQUIL[[#This Row],[Fecha Cad]]="","",(GUAYAQUIL[[#This Row],[Fecha Cad]]-GUAYAQUIL[[#This Row],[VIDA UTIL (Días)]]))+1),"")</f>
        <v>45604</v>
      </c>
      <c r="R317" s="29">
        <v>45783</v>
      </c>
      <c r="S317" s="30">
        <f t="shared" ca="1" si="21"/>
        <v>159</v>
      </c>
      <c r="T317" s="31">
        <f t="shared" ca="1" si="22"/>
        <v>0.8833333333333333</v>
      </c>
      <c r="U317" s="286">
        <v>224</v>
      </c>
      <c r="V317" s="260">
        <f>+IFERROR(IF(GUAYAQUIL[[#This Row],[CODIGO]]="","",GUAYAQUIL[[#This Row],[Stock Actual Unds]]*GUAYAQUIL[[#This Row],[Gramaje]]*GUAYAQUIL[[#This Row],[Conversión]]),"")</f>
        <v>22.400000000000002</v>
      </c>
      <c r="W317" s="270">
        <f t="shared" si="23"/>
        <v>11</v>
      </c>
      <c r="X317" s="32">
        <f t="shared" si="24"/>
        <v>0.93888888888888888</v>
      </c>
      <c r="Y317" s="236">
        <f>IFERROR(VLOOKUP(GUAYAQUIL[[#This Row],[CODIGO]],MAESTRO!A:BI,21,FALSE),0)</f>
        <v>0.28448000000000001</v>
      </c>
      <c r="Z317" s="237">
        <f>+IFERROR(IF(GUAYAQUIL[[#This Row],[CODIGO]]="","",GUAYAQUIL[[#This Row],[COSTO UNIT base]]*GUAYAQUIL[[#This Row],[Conversión]]),"")</f>
        <v>0.28448000000000001</v>
      </c>
      <c r="AA317" s="236">
        <f>+IFERROR(IF(GUAYAQUIL[[#This Row],[CODIGO]]="","",GUAYAQUIL[[#This Row],[COSTO UNIT Conv]]*GUAYAQUIL[[#This Row],[Stock Actual Kgs]]),"")</f>
        <v>6.3723520000000011</v>
      </c>
      <c r="AB317" s="33">
        <f ca="1">+IFERROR(IF(GUAYAQUIL[[#This Row],[CODIGO]]="","",$J$3-O317),"")</f>
        <v>9</v>
      </c>
      <c r="AC317" s="34" t="str">
        <f ca="1">IF(GUAYAQUIL[[#This Row],[CODIGO]]="","",IF(S317&lt;=0,"CADUCADO",IF(AND(S317&gt;0,S317&lt;=21),"FECHA CORTA",IF(AND(S317&gt;=22,S317&lt;=26),"PROXIMOS FECHA CORTA", "VIGENTE"))))</f>
        <v>VIGENTE</v>
      </c>
      <c r="AD317" s="37">
        <f>+IF(GUAYAQUIL[[#This Row],[CODIGO]]="","",GUAYAQUIL[[#This Row],[Stock Actual Unds]]*GUAYAQUIL[[#This Row],[Gramaje]]*GUAYAQUIL[[#This Row],[Conversión]])/1000</f>
        <v>2.2400000000000003E-2</v>
      </c>
    </row>
    <row r="318" spans="1:30">
      <c r="A318" s="24" t="str">
        <f>+IFERROR(IF(GUAYAQUIL[[#This Row],[CODIGO]]="","",VLOOKUP(GUAYAQUIL[[#This Row],[CODIGO]],MAESTRO!$A:$J,10,FALSE)),"")</f>
        <v>SAN GABRIEL</v>
      </c>
      <c r="B318" s="24" t="str">
        <f>+IFERROR(IF(GUAYAQUIL[[#This Row],[CODIGO]]="","",VLOOKUP(GUAYAQUIL[[#This Row],[CODIGO]],MAESTRO!$A:$Q,17,FALSE)),"")</f>
        <v>POSTRES</v>
      </c>
      <c r="C318" s="24" t="str">
        <f>+IFERROR(IF(GUAYAQUIL[[#This Row],[CODIGO]]="","",VLOOKUP(GUAYAQUIL[[#This Row],[CODIGO]],MAESTRO!$A:$BA,53,FALSE)),"")</f>
        <v xml:space="preserve">Luis Armendariz                         </v>
      </c>
      <c r="D318" s="24" t="str">
        <f>+IFERROR(IF(GUAYAQUIL[[#This Row],[CODIGO]]="","",VLOOKUP(GUAYAQUIL[[#This Row],[CODIGO]],MAESTRO!$A:$D,4,FALSE)),"")</f>
        <v>DULCE LECHE KIOSCO</v>
      </c>
      <c r="E318" s="24" t="str">
        <f>+IFERROR(IF(GUAYAQUIL[[#This Row],[CODIGO]]="","",VLOOKUP(GUAYAQUIL[[#This Row],[CODIGO]],MAESTRO!$A:$F,6,FALSE)),"")</f>
        <v>DULCE DE LECHE KIOSCO FAMILIAR</v>
      </c>
      <c r="F318" s="42" t="str">
        <f>IF(GUAYAQUIL[[#This Row],[CODIGO]]="","",$K$6)</f>
        <v>GUAYAQUIL</v>
      </c>
      <c r="G318" s="42">
        <f>IF(GUAYAQUIL[[#This Row],[CODIGO]]="","",7711)</f>
        <v>7711</v>
      </c>
      <c r="H318" s="42">
        <f>IF(GUAYAQUIL[[#This Row],[CODIGO]]="","",1001)</f>
        <v>1001</v>
      </c>
      <c r="I318" s="258" t="s">
        <v>2880</v>
      </c>
      <c r="J318" s="25" t="str">
        <f>IFERROR((VLOOKUP(GUAYAQUIL[[#This Row],[CODIGO]],MAESTRO!A:B,2,FALSE)),"")</f>
        <v>DULCE DE LECHE KIOSKO DOYPACK 100G</v>
      </c>
      <c r="K318" s="35">
        <v>112</v>
      </c>
      <c r="L318" s="38">
        <f>+IFERROR(IF(GUAYAQUIL[[#This Row],[CODIGO]]="","",VLOOKUP(GUAYAQUIL[[#This Row],[CODIGO]],MAESTRO!$A:$BF,58,FALSE)),"")</f>
        <v>1</v>
      </c>
      <c r="M318" s="27">
        <f>+IFERROR(IF(GUAYAQUIL[[#This Row],[CODIGO]]="","",VLOOKUP(GUAYAQUIL[[#This Row],[CODIGO]],MAESTRO!A:N,14,FALSE)),"")</f>
        <v>0.1</v>
      </c>
      <c r="N318" s="28">
        <f>+IFERROR(IF(GUAYAQUIL[[#This Row],[CODIGO]]="","",VLOOKUP(GUAYAQUIL[[#This Row],[CODIGO]],MAESTRO!A:P,16,FALSE)),"")</f>
        <v>180</v>
      </c>
      <c r="O318" s="29">
        <v>45616</v>
      </c>
      <c r="P318" s="72" t="str">
        <f t="shared" si="20"/>
        <v>miércoles</v>
      </c>
      <c r="Q318" s="29">
        <f>IFERROR(IF(GUAYAQUIL[[#This Row],[CODIGO]]="","",IF(GUAYAQUIL[[#This Row],[Fecha Cad]]="","",(GUAYAQUIL[[#This Row],[Fecha Cad]]-GUAYAQUIL[[#This Row],[VIDA UTIL (Días)]]))+1),"")</f>
        <v>45611</v>
      </c>
      <c r="R318" s="29">
        <v>45790</v>
      </c>
      <c r="S318" s="30">
        <f t="shared" ca="1" si="21"/>
        <v>166</v>
      </c>
      <c r="T318" s="31">
        <f t="shared" ca="1" si="22"/>
        <v>0.92222222222222228</v>
      </c>
      <c r="U318" s="286">
        <v>112</v>
      </c>
      <c r="V318" s="261">
        <f>+IFERROR(IF(GUAYAQUIL[[#This Row],[CODIGO]]="","",GUAYAQUIL[[#This Row],[Stock Actual Unds]]*GUAYAQUIL[[#This Row],[Gramaje]]*GUAYAQUIL[[#This Row],[Conversión]]),"")</f>
        <v>11.200000000000001</v>
      </c>
      <c r="W318" s="270">
        <f t="shared" si="23"/>
        <v>5</v>
      </c>
      <c r="X318" s="32">
        <f t="shared" si="24"/>
        <v>0.97222222222222221</v>
      </c>
      <c r="Y318" s="236">
        <f>IFERROR(VLOOKUP(GUAYAQUIL[[#This Row],[CODIGO]],MAESTRO!A:BI,21,FALSE),0)</f>
        <v>0.28448000000000001</v>
      </c>
      <c r="Z318" s="237">
        <f>+IFERROR(IF(GUAYAQUIL[[#This Row],[CODIGO]]="","",GUAYAQUIL[[#This Row],[COSTO UNIT base]]*GUAYAQUIL[[#This Row],[Conversión]]),"")</f>
        <v>0.28448000000000001</v>
      </c>
      <c r="AA318" s="236">
        <f>+IFERROR(IF(GUAYAQUIL[[#This Row],[CODIGO]]="","",GUAYAQUIL[[#This Row],[COSTO UNIT Conv]]*GUAYAQUIL[[#This Row],[Stock Actual Kgs]]),"")</f>
        <v>3.1861760000000006</v>
      </c>
      <c r="AB318" s="33">
        <f ca="1">+IFERROR(IF(GUAYAQUIL[[#This Row],[CODIGO]]="","",$J$3-O318),"")</f>
        <v>8</v>
      </c>
      <c r="AC318" s="34" t="str">
        <f ca="1">IF(GUAYAQUIL[[#This Row],[CODIGO]]="","",IF(S318&lt;=0,"CADUCADO",IF(AND(S318&gt;0,S318&lt;=21),"FECHA CORTA",IF(AND(S318&gt;=22,S318&lt;=26),"PROXIMOS FECHA CORTA", "VIGENTE"))))</f>
        <v>VIGENTE</v>
      </c>
      <c r="AD318" s="37">
        <f>+IF(GUAYAQUIL[[#This Row],[CODIGO]]="","",GUAYAQUIL[[#This Row],[Stock Actual Unds]]*GUAYAQUIL[[#This Row],[Gramaje]]*GUAYAQUIL[[#This Row],[Conversión]])/1000</f>
        <v>1.1200000000000002E-2</v>
      </c>
    </row>
    <row r="319" spans="1:30">
      <c r="A319" s="24" t="str">
        <f>+IFERROR(IF(GUAYAQUIL[[#This Row],[CODIGO]]="","",VLOOKUP(GUAYAQUIL[[#This Row],[CODIGO]],MAESTRO!$A:$J,10,FALSE)),"")</f>
        <v>SAN GABRIEL</v>
      </c>
      <c r="B319" s="24" t="str">
        <f>+IFERROR(IF(GUAYAQUIL[[#This Row],[CODIGO]]="","",VLOOKUP(GUAYAQUIL[[#This Row],[CODIGO]],MAESTRO!$A:$Q,17,FALSE)),"")</f>
        <v>QUESOS Y GRASAS</v>
      </c>
      <c r="C319" s="24" t="str">
        <f>+IFERROR(IF(GUAYAQUIL[[#This Row],[CODIGO]]="","",VLOOKUP(GUAYAQUIL[[#This Row],[CODIGO]],MAESTRO!$A:$BA,53,FALSE)),"")</f>
        <v xml:space="preserve">Esteban Montenegro                      </v>
      </c>
      <c r="D319" s="24" t="str">
        <f>+IFERROR(IF(GUAYAQUIL[[#This Row],[CODIGO]]="","",VLOOKUP(GUAYAQUIL[[#This Row],[CODIGO]],MAESTRO!$A:$D,4,FALSE)),"")</f>
        <v>QUESO MOZARELLA KIOSKO</v>
      </c>
      <c r="E319" s="24" t="str">
        <f>+IFERROR(IF(GUAYAQUIL[[#This Row],[CODIGO]]="","",VLOOKUP(GUAYAQUIL[[#This Row],[CODIGO]],MAESTRO!$A:$F,6,FALSE)),"")</f>
        <v>QUESO MOZARELLA KIOSKO BLOQUE</v>
      </c>
      <c r="F319" s="42" t="str">
        <f>IF(GUAYAQUIL[[#This Row],[CODIGO]]="","",$K$6)</f>
        <v>GUAYAQUIL</v>
      </c>
      <c r="G319" s="42">
        <f>IF(GUAYAQUIL[[#This Row],[CODIGO]]="","",7711)</f>
        <v>7711</v>
      </c>
      <c r="H319" s="42">
        <f>IF(GUAYAQUIL[[#This Row],[CODIGO]]="","",1001)</f>
        <v>1001</v>
      </c>
      <c r="I319" s="257" t="s">
        <v>3966</v>
      </c>
      <c r="J319" s="25" t="str">
        <f>IFERROR((VLOOKUP(GUAYAQUIL[[#This Row],[CODIGO]],MAESTRO!A:B,2,FALSE)),"")</f>
        <v>Q MOZZARELLA DESLACTOSADO 500 GR</v>
      </c>
      <c r="K319" s="26">
        <v>270</v>
      </c>
      <c r="L319" s="38">
        <f>+IFERROR(IF(GUAYAQUIL[[#This Row],[CODIGO]]="","",VLOOKUP(GUAYAQUIL[[#This Row],[CODIGO]],MAESTRO!$A:$BF,58,FALSE)),"")</f>
        <v>1</v>
      </c>
      <c r="M319" s="27">
        <f>+IFERROR(IF(GUAYAQUIL[[#This Row],[CODIGO]]="","",VLOOKUP(GUAYAQUIL[[#This Row],[CODIGO]],MAESTRO!A:N,14,FALSE)),"")</f>
        <v>0.5</v>
      </c>
      <c r="N319" s="28">
        <f>+IFERROR(IF(GUAYAQUIL[[#This Row],[CODIGO]]="","",VLOOKUP(GUAYAQUIL[[#This Row],[CODIGO]],MAESTRO!A:P,16,FALSE)),"")</f>
        <v>40</v>
      </c>
      <c r="O319" s="29">
        <v>45615</v>
      </c>
      <c r="P319" s="72" t="str">
        <f t="shared" si="20"/>
        <v>martes</v>
      </c>
      <c r="Q319" s="29">
        <f>IFERROR(IF(GUAYAQUIL[[#This Row],[CODIGO]]="","",IF(GUAYAQUIL[[#This Row],[Fecha Cad]]="","",(GUAYAQUIL[[#This Row],[Fecha Cad]]-GUAYAQUIL[[#This Row],[VIDA UTIL (Días)]]))+1),"")</f>
        <v>45611</v>
      </c>
      <c r="R319" s="29">
        <v>45650</v>
      </c>
      <c r="S319" s="30">
        <f t="shared" ca="1" si="21"/>
        <v>26</v>
      </c>
      <c r="T319" s="31">
        <f t="shared" ca="1" si="22"/>
        <v>0.65</v>
      </c>
      <c r="U319" s="286">
        <v>125</v>
      </c>
      <c r="V319" s="260">
        <f>+IFERROR(IF(GUAYAQUIL[[#This Row],[CODIGO]]="","",GUAYAQUIL[[#This Row],[Stock Actual Unds]]*GUAYAQUIL[[#This Row],[Gramaje]]*GUAYAQUIL[[#This Row],[Conversión]]),"")</f>
        <v>62.5</v>
      </c>
      <c r="W319" s="270">
        <f t="shared" si="23"/>
        <v>4</v>
      </c>
      <c r="X319" s="32">
        <f t="shared" si="24"/>
        <v>0.9</v>
      </c>
      <c r="Y319" s="236">
        <f>IFERROR(VLOOKUP(GUAYAQUIL[[#This Row],[CODIGO]],MAESTRO!A:BI,21,FALSE),0)</f>
        <v>2.3460700000000001</v>
      </c>
      <c r="Z319" s="237">
        <f>+IFERROR(IF(GUAYAQUIL[[#This Row],[CODIGO]]="","",GUAYAQUIL[[#This Row],[COSTO UNIT base]]*GUAYAQUIL[[#This Row],[Conversión]]),"")</f>
        <v>2.3460700000000001</v>
      </c>
      <c r="AA319" s="236">
        <f>+IFERROR(IF(GUAYAQUIL[[#This Row],[CODIGO]]="","",GUAYAQUIL[[#This Row],[COSTO UNIT Conv]]*GUAYAQUIL[[#This Row],[Stock Actual Kgs]]),"")</f>
        <v>146.62937500000001</v>
      </c>
      <c r="AB319" s="33">
        <f ca="1">+IFERROR(IF(GUAYAQUIL[[#This Row],[CODIGO]]="","",$J$3-O319),"")</f>
        <v>9</v>
      </c>
      <c r="AC319" s="34" t="str">
        <f ca="1">IF(GUAYAQUIL[[#This Row],[CODIGO]]="","",IF(S319&lt;=0,"CADUCADO",IF(AND(S319&gt;0,S319&lt;=21),"FECHA CORTA",IF(AND(S319&gt;=22,S319&lt;=26),"PROXIMOS FECHA CORTA", "VIGENTE"))))</f>
        <v>PROXIMOS FECHA CORTA</v>
      </c>
      <c r="AD319" s="37">
        <f>+IF(GUAYAQUIL[[#This Row],[CODIGO]]="","",GUAYAQUIL[[#This Row],[Stock Actual Unds]]*GUAYAQUIL[[#This Row],[Gramaje]]*GUAYAQUIL[[#This Row],[Conversión]])/1000</f>
        <v>6.25E-2</v>
      </c>
    </row>
    <row r="320" spans="1:30">
      <c r="A320" s="24" t="str">
        <f>+IFERROR(IF(GUAYAQUIL[[#This Row],[CODIGO]]="","",VLOOKUP(GUAYAQUIL[[#This Row],[CODIGO]],MAESTRO!$A:$J,10,FALSE)),"")</f>
        <v>SAN GABRIEL</v>
      </c>
      <c r="B320" s="24" t="str">
        <f>+IFERROR(IF(GUAYAQUIL[[#This Row],[CODIGO]]="","",VLOOKUP(GUAYAQUIL[[#This Row],[CODIGO]],MAESTRO!$A:$Q,17,FALSE)),"")</f>
        <v>QUESOS Y GRASAS</v>
      </c>
      <c r="C320" s="24" t="str">
        <f>+IFERROR(IF(GUAYAQUIL[[#This Row],[CODIGO]]="","",VLOOKUP(GUAYAQUIL[[#This Row],[CODIGO]],MAESTRO!$A:$BA,53,FALSE)),"")</f>
        <v xml:space="preserve">Esteban Montenegro                      </v>
      </c>
      <c r="D320" s="24" t="str">
        <f>+IFERROR(IF(GUAYAQUIL[[#This Row],[CODIGO]]="","",VLOOKUP(GUAYAQUIL[[#This Row],[CODIGO]],MAESTRO!$A:$D,4,FALSE)),"")</f>
        <v>QUESO MOZARELLA KIOSKO</v>
      </c>
      <c r="E320" s="24" t="str">
        <f>+IFERROR(IF(GUAYAQUIL[[#This Row],[CODIGO]]="","",VLOOKUP(GUAYAQUIL[[#This Row],[CODIGO]],MAESTRO!$A:$F,6,FALSE)),"")</f>
        <v>QUESO MOZARELLA LIGHT KIOSKO BLOQUE</v>
      </c>
      <c r="F320" s="42" t="str">
        <f>IF(GUAYAQUIL[[#This Row],[CODIGO]]="","",$K$6)</f>
        <v>GUAYAQUIL</v>
      </c>
      <c r="G320" s="42">
        <f>IF(GUAYAQUIL[[#This Row],[CODIGO]]="","",7711)</f>
        <v>7711</v>
      </c>
      <c r="H320" s="42">
        <f>IF(GUAYAQUIL[[#This Row],[CODIGO]]="","",1001)</f>
        <v>1001</v>
      </c>
      <c r="I320" s="257" t="s">
        <v>984</v>
      </c>
      <c r="J320" s="25" t="str">
        <f>IFERROR((VLOOKUP(GUAYAQUIL[[#This Row],[CODIGO]],MAESTRO!A:B,2,FALSE)),"")</f>
        <v>Q MOZAR LGHT KIOSKO BLOQ 200G</v>
      </c>
      <c r="K320" s="26">
        <v>1080</v>
      </c>
      <c r="L320" s="38">
        <f>+IFERROR(IF(GUAYAQUIL[[#This Row],[CODIGO]]="","",VLOOKUP(GUAYAQUIL[[#This Row],[CODIGO]],MAESTRO!$A:$BF,58,FALSE)),"")</f>
        <v>1</v>
      </c>
      <c r="M320" s="27">
        <f>+IFERROR(IF(GUAYAQUIL[[#This Row],[CODIGO]]="","",VLOOKUP(GUAYAQUIL[[#This Row],[CODIGO]],MAESTRO!A:N,14,FALSE)),"")</f>
        <v>0.2</v>
      </c>
      <c r="N320" s="28">
        <f>+IFERROR(IF(GUAYAQUIL[[#This Row],[CODIGO]]="","",VLOOKUP(GUAYAQUIL[[#This Row],[CODIGO]],MAESTRO!A:P,16,FALSE)),"")</f>
        <v>40</v>
      </c>
      <c r="O320" s="29">
        <v>45608</v>
      </c>
      <c r="P320" s="72" t="str">
        <f t="shared" si="20"/>
        <v>martes</v>
      </c>
      <c r="Q320" s="29">
        <f>IFERROR(IF(GUAYAQUIL[[#This Row],[CODIGO]]="","",IF(GUAYAQUIL[[#This Row],[Fecha Cad]]="","",(GUAYAQUIL[[#This Row],[Fecha Cad]]-GUAYAQUIL[[#This Row],[VIDA UTIL (Días)]]))+1),"")</f>
        <v>45601</v>
      </c>
      <c r="R320" s="29">
        <v>45640</v>
      </c>
      <c r="S320" s="30">
        <f t="shared" ca="1" si="21"/>
        <v>16</v>
      </c>
      <c r="T320" s="31">
        <f t="shared" ca="1" si="22"/>
        <v>0.4</v>
      </c>
      <c r="U320" s="286">
        <v>1</v>
      </c>
      <c r="V320" s="260">
        <f>+IFERROR(IF(GUAYAQUIL[[#This Row],[CODIGO]]="","",GUAYAQUIL[[#This Row],[Stock Actual Unds]]*GUAYAQUIL[[#This Row],[Gramaje]]*GUAYAQUIL[[#This Row],[Conversión]]),"")</f>
        <v>0.2</v>
      </c>
      <c r="W320" s="270">
        <f t="shared" si="23"/>
        <v>7</v>
      </c>
      <c r="X320" s="32">
        <f t="shared" si="24"/>
        <v>0.82499999999999996</v>
      </c>
      <c r="Y320" s="236">
        <f>IFERROR(VLOOKUP(GUAYAQUIL[[#This Row],[CODIGO]],MAESTRO!A:BI,21,FALSE),0)</f>
        <v>1.11269</v>
      </c>
      <c r="Z320" s="237">
        <f>+IFERROR(IF(GUAYAQUIL[[#This Row],[CODIGO]]="","",GUAYAQUIL[[#This Row],[COSTO UNIT base]]*GUAYAQUIL[[#This Row],[Conversión]]),"")</f>
        <v>1.11269</v>
      </c>
      <c r="AA320" s="236">
        <f>+IFERROR(IF(GUAYAQUIL[[#This Row],[CODIGO]]="","",GUAYAQUIL[[#This Row],[COSTO UNIT Conv]]*GUAYAQUIL[[#This Row],[Stock Actual Kgs]]),"")</f>
        <v>0.22253800000000001</v>
      </c>
      <c r="AB320" s="33">
        <f ca="1">+IFERROR(IF(GUAYAQUIL[[#This Row],[CODIGO]]="","",$J$3-O320),"")</f>
        <v>16</v>
      </c>
      <c r="AC320" s="34" t="str">
        <f ca="1">IF(GUAYAQUIL[[#This Row],[CODIGO]]="","",IF(S320&lt;=0,"CADUCADO",IF(AND(S320&gt;0,S320&lt;=21),"FECHA CORTA",IF(AND(S320&gt;=22,S320&lt;=26),"PROXIMOS FECHA CORTA", "VIGENTE"))))</f>
        <v>FECHA CORTA</v>
      </c>
      <c r="AD320" s="37">
        <f>+IF(GUAYAQUIL[[#This Row],[CODIGO]]="","",GUAYAQUIL[[#This Row],[Stock Actual Unds]]*GUAYAQUIL[[#This Row],[Gramaje]]*GUAYAQUIL[[#This Row],[Conversión]])/1000</f>
        <v>2.0000000000000001E-4</v>
      </c>
    </row>
    <row r="321" spans="1:30">
      <c r="A321" s="24" t="str">
        <f>+IFERROR(IF(GUAYAQUIL[[#This Row],[CODIGO]]="","",VLOOKUP(GUAYAQUIL[[#This Row],[CODIGO]],MAESTRO!$A:$J,10,FALSE)),"")</f>
        <v>SAN GABRIEL</v>
      </c>
      <c r="B321" s="24" t="str">
        <f>+IFERROR(IF(GUAYAQUIL[[#This Row],[CODIGO]]="","",VLOOKUP(GUAYAQUIL[[#This Row],[CODIGO]],MAESTRO!$A:$Q,17,FALSE)),"")</f>
        <v>QUESOS Y GRASAS</v>
      </c>
      <c r="C321" s="24" t="str">
        <f>+IFERROR(IF(GUAYAQUIL[[#This Row],[CODIGO]]="","",VLOOKUP(GUAYAQUIL[[#This Row],[CODIGO]],MAESTRO!$A:$BA,53,FALSE)),"")</f>
        <v xml:space="preserve">Esteban Montenegro                      </v>
      </c>
      <c r="D321" s="24" t="str">
        <f>+IFERROR(IF(GUAYAQUIL[[#This Row],[CODIGO]]="","",VLOOKUP(GUAYAQUIL[[#This Row],[CODIGO]],MAESTRO!$A:$D,4,FALSE)),"")</f>
        <v>QUESO MOZARELLA KIOSKO</v>
      </c>
      <c r="E321" s="24" t="str">
        <f>+IFERROR(IF(GUAYAQUIL[[#This Row],[CODIGO]]="","",VLOOKUP(GUAYAQUIL[[#This Row],[CODIGO]],MAESTRO!$A:$F,6,FALSE)),"")</f>
        <v>QUESO MOZARELLA LIGHT KIOSKO BLOQUE</v>
      </c>
      <c r="F321" s="42" t="str">
        <f>IF(GUAYAQUIL[[#This Row],[CODIGO]]="","",$K$6)</f>
        <v>GUAYAQUIL</v>
      </c>
      <c r="G321" s="42">
        <f>IF(GUAYAQUIL[[#This Row],[CODIGO]]="","",7711)</f>
        <v>7711</v>
      </c>
      <c r="H321" s="42">
        <f>IF(GUAYAQUIL[[#This Row],[CODIGO]]="","",1001)</f>
        <v>1001</v>
      </c>
      <c r="I321" s="258" t="s">
        <v>984</v>
      </c>
      <c r="J321" s="25" t="str">
        <f>IFERROR((VLOOKUP(GUAYAQUIL[[#This Row],[CODIGO]],MAESTRO!A:B,2,FALSE)),"")</f>
        <v>Q MOZAR LGHT KIOSKO BLOQ 200G</v>
      </c>
      <c r="K321" s="35">
        <v>720</v>
      </c>
      <c r="L321" s="38">
        <f>+IFERROR(IF(GUAYAQUIL[[#This Row],[CODIGO]]="","",VLOOKUP(GUAYAQUIL[[#This Row],[CODIGO]],MAESTRO!$A:$BF,58,FALSE)),"")</f>
        <v>1</v>
      </c>
      <c r="M321" s="27">
        <f>+IFERROR(IF(GUAYAQUIL[[#This Row],[CODIGO]]="","",VLOOKUP(GUAYAQUIL[[#This Row],[CODIGO]],MAESTRO!A:N,14,FALSE)),"")</f>
        <v>0.2</v>
      </c>
      <c r="N321" s="28">
        <f>+IFERROR(IF(GUAYAQUIL[[#This Row],[CODIGO]]="","",VLOOKUP(GUAYAQUIL[[#This Row],[CODIGO]],MAESTRO!A:P,16,FALSE)),"")</f>
        <v>40</v>
      </c>
      <c r="O321" s="29">
        <v>45611</v>
      </c>
      <c r="P321" s="72" t="str">
        <f t="shared" si="20"/>
        <v>viernes</v>
      </c>
      <c r="Q321" s="29">
        <f>IFERROR(IF(GUAYAQUIL[[#This Row],[CODIGO]]="","",IF(GUAYAQUIL[[#This Row],[Fecha Cad]]="","",(GUAYAQUIL[[#This Row],[Fecha Cad]]-GUAYAQUIL[[#This Row],[VIDA UTIL (Días)]]))+1),"")</f>
        <v>45608</v>
      </c>
      <c r="R321" s="29">
        <v>45647</v>
      </c>
      <c r="S321" s="30">
        <f t="shared" ca="1" si="21"/>
        <v>23</v>
      </c>
      <c r="T321" s="31">
        <f t="shared" ca="1" si="22"/>
        <v>0.57499999999999996</v>
      </c>
      <c r="U321" s="286">
        <v>40</v>
      </c>
      <c r="V321" s="261">
        <f>+IFERROR(IF(GUAYAQUIL[[#This Row],[CODIGO]]="","",GUAYAQUIL[[#This Row],[Stock Actual Unds]]*GUAYAQUIL[[#This Row],[Gramaje]]*GUAYAQUIL[[#This Row],[Conversión]]),"")</f>
        <v>8</v>
      </c>
      <c r="W321" s="270">
        <f t="shared" si="23"/>
        <v>3</v>
      </c>
      <c r="X321" s="32">
        <f t="shared" si="24"/>
        <v>0.92500000000000004</v>
      </c>
      <c r="Y321" s="236">
        <f>IFERROR(VLOOKUP(GUAYAQUIL[[#This Row],[CODIGO]],MAESTRO!A:BI,21,FALSE),0)</f>
        <v>1.11269</v>
      </c>
      <c r="Z321" s="237">
        <f>+IFERROR(IF(GUAYAQUIL[[#This Row],[CODIGO]]="","",GUAYAQUIL[[#This Row],[COSTO UNIT base]]*GUAYAQUIL[[#This Row],[Conversión]]),"")</f>
        <v>1.11269</v>
      </c>
      <c r="AA321" s="236">
        <f>+IFERROR(IF(GUAYAQUIL[[#This Row],[CODIGO]]="","",GUAYAQUIL[[#This Row],[COSTO UNIT Conv]]*GUAYAQUIL[[#This Row],[Stock Actual Kgs]]),"")</f>
        <v>8.9015199999999997</v>
      </c>
      <c r="AB321" s="33">
        <f ca="1">+IFERROR(IF(GUAYAQUIL[[#This Row],[CODIGO]]="","",$J$3-O321),"")</f>
        <v>13</v>
      </c>
      <c r="AC321" s="34" t="str">
        <f ca="1">IF(GUAYAQUIL[[#This Row],[CODIGO]]="","",IF(S321&lt;=0,"CADUCADO",IF(AND(S321&gt;0,S321&lt;=21),"FECHA CORTA",IF(AND(S321&gt;=22,S321&lt;=26),"PROXIMOS FECHA CORTA", "VIGENTE"))))</f>
        <v>PROXIMOS FECHA CORTA</v>
      </c>
      <c r="AD321" s="37">
        <f>+IF(GUAYAQUIL[[#This Row],[CODIGO]]="","",GUAYAQUIL[[#This Row],[Stock Actual Unds]]*GUAYAQUIL[[#This Row],[Gramaje]]*GUAYAQUIL[[#This Row],[Conversión]])/1000</f>
        <v>8.0000000000000002E-3</v>
      </c>
    </row>
    <row r="322" spans="1:30">
      <c r="A322" s="24" t="str">
        <f>+IFERROR(IF(GUAYAQUIL[[#This Row],[CODIGO]]="","",VLOOKUP(GUAYAQUIL[[#This Row],[CODIGO]],MAESTRO!$A:$J,10,FALSE)),"")</f>
        <v>SAN GABRIEL</v>
      </c>
      <c r="B322" s="24" t="str">
        <f>+IFERROR(IF(GUAYAQUIL[[#This Row],[CODIGO]]="","",VLOOKUP(GUAYAQUIL[[#This Row],[CODIGO]],MAESTRO!$A:$Q,17,FALSE)),"")</f>
        <v>QUESOS Y GRASAS</v>
      </c>
      <c r="C322" s="24" t="str">
        <f>+IFERROR(IF(GUAYAQUIL[[#This Row],[CODIGO]]="","",VLOOKUP(GUAYAQUIL[[#This Row],[CODIGO]],MAESTRO!$A:$BA,53,FALSE)),"")</f>
        <v xml:space="preserve">Esteban Montenegro                      </v>
      </c>
      <c r="D322" s="24" t="str">
        <f>+IFERROR(IF(GUAYAQUIL[[#This Row],[CODIGO]]="","",VLOOKUP(GUAYAQUIL[[#This Row],[CODIGO]],MAESTRO!$A:$D,4,FALSE)),"")</f>
        <v>QUESO MOZARELLA KIOSKO</v>
      </c>
      <c r="E322" s="24" t="str">
        <f>+IFERROR(IF(GUAYAQUIL[[#This Row],[CODIGO]]="","",VLOOKUP(GUAYAQUIL[[#This Row],[CODIGO]],MAESTRO!$A:$F,6,FALSE)),"")</f>
        <v>QUESO MOZARELLA LIGHT KIOSKO BLOQUE</v>
      </c>
      <c r="F322" s="42" t="str">
        <f>IF(GUAYAQUIL[[#This Row],[CODIGO]]="","",$K$6)</f>
        <v>GUAYAQUIL</v>
      </c>
      <c r="G322" s="42">
        <f>IF(GUAYAQUIL[[#This Row],[CODIGO]]="","",7711)</f>
        <v>7711</v>
      </c>
      <c r="H322" s="42">
        <f>IF(GUAYAQUIL[[#This Row],[CODIGO]]="","",1001)</f>
        <v>1001</v>
      </c>
      <c r="I322" s="257" t="s">
        <v>984</v>
      </c>
      <c r="J322" s="25" t="str">
        <f>IFERROR((VLOOKUP(GUAYAQUIL[[#This Row],[CODIGO]],MAESTRO!A:B,2,FALSE)),"")</f>
        <v>Q MOZAR LGHT KIOSKO BLOQ 200G</v>
      </c>
      <c r="K322" s="26">
        <v>720</v>
      </c>
      <c r="L322" s="38">
        <f>+IFERROR(IF(GUAYAQUIL[[#This Row],[CODIGO]]="","",VLOOKUP(GUAYAQUIL[[#This Row],[CODIGO]],MAESTRO!$A:$BF,58,FALSE)),"")</f>
        <v>1</v>
      </c>
      <c r="M322" s="27">
        <f>+IFERROR(IF(GUAYAQUIL[[#This Row],[CODIGO]]="","",VLOOKUP(GUAYAQUIL[[#This Row],[CODIGO]],MAESTRO!A:N,14,FALSE)),"")</f>
        <v>0.2</v>
      </c>
      <c r="N322" s="28">
        <f>+IFERROR(IF(GUAYAQUIL[[#This Row],[CODIGO]]="","",VLOOKUP(GUAYAQUIL[[#This Row],[CODIGO]],MAESTRO!A:P,16,FALSE)),"")</f>
        <v>40</v>
      </c>
      <c r="O322" s="29">
        <v>45615</v>
      </c>
      <c r="P322" s="72" t="str">
        <f t="shared" si="20"/>
        <v>martes</v>
      </c>
      <c r="Q322" s="29">
        <f>IFERROR(IF(GUAYAQUIL[[#This Row],[CODIGO]]="","",IF(GUAYAQUIL[[#This Row],[Fecha Cad]]="","",(GUAYAQUIL[[#This Row],[Fecha Cad]]-GUAYAQUIL[[#This Row],[VIDA UTIL (Días)]]))+1),"")</f>
        <v>45609</v>
      </c>
      <c r="R322" s="29">
        <v>45648</v>
      </c>
      <c r="S322" s="30">
        <f t="shared" ca="1" si="21"/>
        <v>24</v>
      </c>
      <c r="T322" s="31">
        <f t="shared" ca="1" si="22"/>
        <v>0.6</v>
      </c>
      <c r="U322" s="286">
        <v>720</v>
      </c>
      <c r="V322" s="263">
        <f>+IFERROR(IF(GUAYAQUIL[[#This Row],[CODIGO]]="","",GUAYAQUIL[[#This Row],[Stock Actual Unds]]*GUAYAQUIL[[#This Row],[Gramaje]]*GUAYAQUIL[[#This Row],[Conversión]]),"")</f>
        <v>144</v>
      </c>
      <c r="W322" s="270">
        <f t="shared" si="23"/>
        <v>6</v>
      </c>
      <c r="X322" s="32">
        <f t="shared" si="24"/>
        <v>0.85</v>
      </c>
      <c r="Y322" s="236">
        <f>IFERROR(VLOOKUP(GUAYAQUIL[[#This Row],[CODIGO]],MAESTRO!A:BI,21,FALSE),0)</f>
        <v>1.11269</v>
      </c>
      <c r="Z322" s="237">
        <f>+IFERROR(IF(GUAYAQUIL[[#This Row],[CODIGO]]="","",GUAYAQUIL[[#This Row],[COSTO UNIT base]]*GUAYAQUIL[[#This Row],[Conversión]]),"")</f>
        <v>1.11269</v>
      </c>
      <c r="AA322" s="236">
        <f>+IFERROR(IF(GUAYAQUIL[[#This Row],[CODIGO]]="","",GUAYAQUIL[[#This Row],[COSTO UNIT Conv]]*GUAYAQUIL[[#This Row],[Stock Actual Kgs]]),"")</f>
        <v>160.22736</v>
      </c>
      <c r="AB322" s="33">
        <f ca="1">+IFERROR(IF(GUAYAQUIL[[#This Row],[CODIGO]]="","",$J$3-O322),"")</f>
        <v>9</v>
      </c>
      <c r="AC322" s="34" t="str">
        <f ca="1">IF(GUAYAQUIL[[#This Row],[CODIGO]]="","",IF(S322&lt;=0,"CADUCADO",IF(AND(S322&gt;0,S322&lt;=21),"FECHA CORTA",IF(AND(S322&gt;=22,S322&lt;=26),"PROXIMOS FECHA CORTA", "VIGENTE"))))</f>
        <v>PROXIMOS FECHA CORTA</v>
      </c>
      <c r="AD322" s="37">
        <f>+IF(GUAYAQUIL[[#This Row],[CODIGO]]="","",GUAYAQUIL[[#This Row],[Stock Actual Unds]]*GUAYAQUIL[[#This Row],[Gramaje]]*GUAYAQUIL[[#This Row],[Conversión]])/1000</f>
        <v>0.14399999999999999</v>
      </c>
    </row>
    <row r="323" spans="1:30">
      <c r="A323" s="24" t="str">
        <f>+IFERROR(IF(GUAYAQUIL[[#This Row],[CODIGO]]="","",VLOOKUP(GUAYAQUIL[[#This Row],[CODIGO]],MAESTRO!$A:$J,10,FALSE)),"")</f>
        <v>SAN GABRIEL</v>
      </c>
      <c r="B323" s="24" t="str">
        <f>+IFERROR(IF(GUAYAQUIL[[#This Row],[CODIGO]]="","",VLOOKUP(GUAYAQUIL[[#This Row],[CODIGO]],MAESTRO!$A:$Q,17,FALSE)),"")</f>
        <v>QUESOS Y GRASAS</v>
      </c>
      <c r="C323" s="24" t="str">
        <f>+IFERROR(IF(GUAYAQUIL[[#This Row],[CODIGO]]="","",VLOOKUP(GUAYAQUIL[[#This Row],[CODIGO]],MAESTRO!$A:$BA,53,FALSE)),"")</f>
        <v xml:space="preserve">Esteban Montenegro                      </v>
      </c>
      <c r="D323" s="24" t="str">
        <f>+IFERROR(IF(GUAYAQUIL[[#This Row],[CODIGO]]="","",VLOOKUP(GUAYAQUIL[[#This Row],[CODIGO]],MAESTRO!$A:$D,4,FALSE)),"")</f>
        <v>QUESO MOZARELLA KIOSKO</v>
      </c>
      <c r="E323" s="24" t="str">
        <f>+IFERROR(IF(GUAYAQUIL[[#This Row],[CODIGO]]="","",VLOOKUP(GUAYAQUIL[[#This Row],[CODIGO]],MAESTRO!$A:$F,6,FALSE)),"")</f>
        <v>QUESO MOZARELLA LIGHT KIOSKO BLOQUE</v>
      </c>
      <c r="F323" s="42" t="str">
        <f>IF(GUAYAQUIL[[#This Row],[CODIGO]]="","",$K$6)</f>
        <v>GUAYAQUIL</v>
      </c>
      <c r="G323" s="42">
        <f>IF(GUAYAQUIL[[#This Row],[CODIGO]]="","",7711)</f>
        <v>7711</v>
      </c>
      <c r="H323" s="42">
        <f>IF(GUAYAQUIL[[#This Row],[CODIGO]]="","",1001)</f>
        <v>1001</v>
      </c>
      <c r="I323" s="257" t="s">
        <v>984</v>
      </c>
      <c r="J323" s="25" t="str">
        <f>IFERROR((VLOOKUP(GUAYAQUIL[[#This Row],[CODIGO]],MAESTRO!A:B,2,FALSE)),"")</f>
        <v>Q MOZAR LGHT KIOSKO BLOQ 200G</v>
      </c>
      <c r="K323" s="26">
        <v>360</v>
      </c>
      <c r="L323" s="38">
        <f>+IFERROR(IF(GUAYAQUIL[[#This Row],[CODIGO]]="","",VLOOKUP(GUAYAQUIL[[#This Row],[CODIGO]],MAESTRO!$A:$BF,58,FALSE)),"")</f>
        <v>1</v>
      </c>
      <c r="M323" s="27">
        <f>+IFERROR(IF(GUAYAQUIL[[#This Row],[CODIGO]]="","",VLOOKUP(GUAYAQUIL[[#This Row],[CODIGO]],MAESTRO!A:N,14,FALSE)),"")</f>
        <v>0.2</v>
      </c>
      <c r="N323" s="28">
        <f>+IFERROR(IF(GUAYAQUIL[[#This Row],[CODIGO]]="","",VLOOKUP(GUAYAQUIL[[#This Row],[CODIGO]],MAESTRO!A:P,16,FALSE)),"")</f>
        <v>40</v>
      </c>
      <c r="O323" s="29">
        <v>45616</v>
      </c>
      <c r="P323" s="72" t="str">
        <f t="shared" si="20"/>
        <v>miércoles</v>
      </c>
      <c r="Q323" s="29">
        <f>IFERROR(IF(GUAYAQUIL[[#This Row],[CODIGO]]="","",IF(GUAYAQUIL[[#This Row],[Fecha Cad]]="","",(GUAYAQUIL[[#This Row],[Fecha Cad]]-GUAYAQUIL[[#This Row],[VIDA UTIL (Días)]]))+1),"")</f>
        <v>45611</v>
      </c>
      <c r="R323" s="29">
        <v>45650</v>
      </c>
      <c r="S323" s="30">
        <f t="shared" ca="1" si="21"/>
        <v>26</v>
      </c>
      <c r="T323" s="31">
        <f t="shared" ca="1" si="22"/>
        <v>0.65</v>
      </c>
      <c r="U323" s="286">
        <v>360</v>
      </c>
      <c r="V323" s="263">
        <f>+IFERROR(IF(GUAYAQUIL[[#This Row],[CODIGO]]="","",GUAYAQUIL[[#This Row],[Stock Actual Unds]]*GUAYAQUIL[[#This Row],[Gramaje]]*GUAYAQUIL[[#This Row],[Conversión]]),"")</f>
        <v>72</v>
      </c>
      <c r="W323" s="270">
        <f t="shared" si="23"/>
        <v>5</v>
      </c>
      <c r="X323" s="32">
        <f t="shared" si="24"/>
        <v>0.875</v>
      </c>
      <c r="Y323" s="236">
        <f>IFERROR(VLOOKUP(GUAYAQUIL[[#This Row],[CODIGO]],MAESTRO!A:BI,21,FALSE),0)</f>
        <v>1.11269</v>
      </c>
      <c r="Z323" s="237">
        <f>+IFERROR(IF(GUAYAQUIL[[#This Row],[CODIGO]]="","",GUAYAQUIL[[#This Row],[COSTO UNIT base]]*GUAYAQUIL[[#This Row],[Conversión]]),"")</f>
        <v>1.11269</v>
      </c>
      <c r="AA323" s="236">
        <f>+IFERROR(IF(GUAYAQUIL[[#This Row],[CODIGO]]="","",GUAYAQUIL[[#This Row],[COSTO UNIT Conv]]*GUAYAQUIL[[#This Row],[Stock Actual Kgs]]),"")</f>
        <v>80.113680000000002</v>
      </c>
      <c r="AB323" s="33">
        <f ca="1">+IFERROR(IF(GUAYAQUIL[[#This Row],[CODIGO]]="","",$J$3-O323),"")</f>
        <v>8</v>
      </c>
      <c r="AC323" s="34" t="str">
        <f ca="1">IF(GUAYAQUIL[[#This Row],[CODIGO]]="","",IF(S323&lt;=0,"CADUCADO",IF(AND(S323&gt;0,S323&lt;=21),"FECHA CORTA",IF(AND(S323&gt;=22,S323&lt;=26),"PROXIMOS FECHA CORTA", "VIGENTE"))))</f>
        <v>PROXIMOS FECHA CORTA</v>
      </c>
      <c r="AD323" s="37">
        <f>+IF(GUAYAQUIL[[#This Row],[CODIGO]]="","",GUAYAQUIL[[#This Row],[Stock Actual Unds]]*GUAYAQUIL[[#This Row],[Gramaje]]*GUAYAQUIL[[#This Row],[Conversión]])/1000</f>
        <v>7.1999999999999995E-2</v>
      </c>
    </row>
    <row r="324" spans="1:30">
      <c r="A324" s="24" t="str">
        <f>+IFERROR(IF(GUAYAQUIL[[#This Row],[CODIGO]]="","",VLOOKUP(GUAYAQUIL[[#This Row],[CODIGO]],MAESTRO!$A:$J,10,FALSE)),"")</f>
        <v>SAN GABRIEL</v>
      </c>
      <c r="B324" s="24" t="str">
        <f>+IFERROR(IF(GUAYAQUIL[[#This Row],[CODIGO]]="","",VLOOKUP(GUAYAQUIL[[#This Row],[CODIGO]],MAESTRO!$A:$Q,17,FALSE)),"")</f>
        <v>QUESOS Y GRASAS</v>
      </c>
      <c r="C324" s="24" t="str">
        <f>+IFERROR(IF(GUAYAQUIL[[#This Row],[CODIGO]]="","",VLOOKUP(GUAYAQUIL[[#This Row],[CODIGO]],MAESTRO!$A:$BA,53,FALSE)),"")</f>
        <v xml:space="preserve">Esteban Montenegro                      </v>
      </c>
      <c r="D324" s="24" t="str">
        <f>+IFERROR(IF(GUAYAQUIL[[#This Row],[CODIGO]]="","",VLOOKUP(GUAYAQUIL[[#This Row],[CODIGO]],MAESTRO!$A:$D,4,FALSE)),"")</f>
        <v>QUESO MOZARELLA KIOSKO</v>
      </c>
      <c r="E324" s="24" t="str">
        <f>+IFERROR(IF(GUAYAQUIL[[#This Row],[CODIGO]]="","",VLOOKUP(GUAYAQUIL[[#This Row],[CODIGO]],MAESTRO!$A:$F,6,FALSE)),"")</f>
        <v>QUESO MOZARELLA LIGHT KIOSKO BLOQUE</v>
      </c>
      <c r="F324" s="42" t="str">
        <f>IF(GUAYAQUIL[[#This Row],[CODIGO]]="","",$K$6)</f>
        <v>GUAYAQUIL</v>
      </c>
      <c r="G324" s="42">
        <f>IF(GUAYAQUIL[[#This Row],[CODIGO]]="","",7711)</f>
        <v>7711</v>
      </c>
      <c r="H324" s="42">
        <f>IF(GUAYAQUIL[[#This Row],[CODIGO]]="","",1001)</f>
        <v>1001</v>
      </c>
      <c r="I324" s="258" t="s">
        <v>984</v>
      </c>
      <c r="J324" s="25" t="str">
        <f>IFERROR((VLOOKUP(GUAYAQUIL[[#This Row],[CODIGO]],MAESTRO!A:B,2,FALSE)),"")</f>
        <v>Q MOZAR LGHT KIOSKO BLOQ 200G</v>
      </c>
      <c r="K324" s="35">
        <v>360</v>
      </c>
      <c r="L324" s="38">
        <f>+IFERROR(IF(GUAYAQUIL[[#This Row],[CODIGO]]="","",VLOOKUP(GUAYAQUIL[[#This Row],[CODIGO]],MAESTRO!$A:$BF,58,FALSE)),"")</f>
        <v>1</v>
      </c>
      <c r="M324" s="27">
        <f>+IFERROR(IF(GUAYAQUIL[[#This Row],[CODIGO]]="","",VLOOKUP(GUAYAQUIL[[#This Row],[CODIGO]],MAESTRO!A:N,14,FALSE)),"")</f>
        <v>0.2</v>
      </c>
      <c r="N324" s="28">
        <f>+IFERROR(IF(GUAYAQUIL[[#This Row],[CODIGO]]="","",VLOOKUP(GUAYAQUIL[[#This Row],[CODIGO]],MAESTRO!A:P,16,FALSE)),"")</f>
        <v>40</v>
      </c>
      <c r="O324" s="29">
        <v>45617</v>
      </c>
      <c r="P324" s="72" t="str">
        <f t="shared" si="20"/>
        <v>jueves</v>
      </c>
      <c r="Q324" s="29">
        <f>IFERROR(IF(GUAYAQUIL[[#This Row],[CODIGO]]="","",IF(GUAYAQUIL[[#This Row],[Fecha Cad]]="","",(GUAYAQUIL[[#This Row],[Fecha Cad]]-GUAYAQUIL[[#This Row],[VIDA UTIL (Días)]]))+1),"")</f>
        <v>45611</v>
      </c>
      <c r="R324" s="29">
        <v>45650</v>
      </c>
      <c r="S324" s="30">
        <f t="shared" ca="1" si="21"/>
        <v>26</v>
      </c>
      <c r="T324" s="31">
        <f t="shared" ca="1" si="22"/>
        <v>0.65</v>
      </c>
      <c r="U324" s="286">
        <v>360</v>
      </c>
      <c r="V324" s="264">
        <f>+IFERROR(IF(GUAYAQUIL[[#This Row],[CODIGO]]="","",GUAYAQUIL[[#This Row],[Stock Actual Unds]]*GUAYAQUIL[[#This Row],[Gramaje]]*GUAYAQUIL[[#This Row],[Conversión]]),"")</f>
        <v>72</v>
      </c>
      <c r="W324" s="270">
        <f t="shared" si="23"/>
        <v>6</v>
      </c>
      <c r="X324" s="32">
        <f t="shared" si="24"/>
        <v>0.85</v>
      </c>
      <c r="Y324" s="236">
        <f>IFERROR(VLOOKUP(GUAYAQUIL[[#This Row],[CODIGO]],MAESTRO!A:BI,21,FALSE),0)</f>
        <v>1.11269</v>
      </c>
      <c r="Z324" s="237">
        <f>+IFERROR(IF(GUAYAQUIL[[#This Row],[CODIGO]]="","",GUAYAQUIL[[#This Row],[COSTO UNIT base]]*GUAYAQUIL[[#This Row],[Conversión]]),"")</f>
        <v>1.11269</v>
      </c>
      <c r="AA324" s="236">
        <f>+IFERROR(IF(GUAYAQUIL[[#This Row],[CODIGO]]="","",GUAYAQUIL[[#This Row],[COSTO UNIT Conv]]*GUAYAQUIL[[#This Row],[Stock Actual Kgs]]),"")</f>
        <v>80.113680000000002</v>
      </c>
      <c r="AB324" s="33">
        <f ca="1">+IFERROR(IF(GUAYAQUIL[[#This Row],[CODIGO]]="","",$J$3-O324),"")</f>
        <v>7</v>
      </c>
      <c r="AC324" s="34" t="str">
        <f ca="1">IF(GUAYAQUIL[[#This Row],[CODIGO]]="","",IF(S324&lt;=0,"CADUCADO",IF(AND(S324&gt;0,S324&lt;=21),"FECHA CORTA",IF(AND(S324&gt;=22,S324&lt;=26),"PROXIMOS FECHA CORTA", "VIGENTE"))))</f>
        <v>PROXIMOS FECHA CORTA</v>
      </c>
      <c r="AD324" s="37">
        <f>+IF(GUAYAQUIL[[#This Row],[CODIGO]]="","",GUAYAQUIL[[#This Row],[Stock Actual Unds]]*GUAYAQUIL[[#This Row],[Gramaje]]*GUAYAQUIL[[#This Row],[Conversión]])/1000</f>
        <v>7.1999999999999995E-2</v>
      </c>
    </row>
    <row r="325" spans="1:30">
      <c r="A325" s="24" t="str">
        <f>+IFERROR(IF(GUAYAQUIL[[#This Row],[CODIGO]]="","",VLOOKUP(GUAYAQUIL[[#This Row],[CODIGO]],MAESTRO!$A:$J,10,FALSE)),"")</f>
        <v>MACHACHI</v>
      </c>
      <c r="B325" s="24" t="str">
        <f>+IFERROR(IF(GUAYAQUIL[[#This Row],[CODIGO]]="","",VLOOKUP(GUAYAQUIL[[#This Row],[CODIGO]],MAESTRO!$A:$Q,17,FALSE)),"")</f>
        <v>BEBIDAS LACTEAS</v>
      </c>
      <c r="C325" s="24" t="str">
        <f>+IFERROR(IF(GUAYAQUIL[[#This Row],[CODIGO]]="","",VLOOKUP(GUAYAQUIL[[#This Row],[CODIGO]],MAESTRO!$A:$BA,53,FALSE)),"")</f>
        <v xml:space="preserve">Luis Armendariz                         </v>
      </c>
      <c r="D325" s="24" t="str">
        <f>+IFERROR(IF(GUAYAQUIL[[#This Row],[CODIGO]]="","",VLOOKUP(GUAYAQUIL[[#This Row],[CODIGO]],MAESTRO!$A:$D,4,FALSE)),"")</f>
        <v>YOGURT KIOSKO</v>
      </c>
      <c r="E325" s="24" t="str">
        <f>+IFERROR(IF(GUAYAQUIL[[#This Row],[CODIGO]]="","",VLOOKUP(GUAYAQUIL[[#This Row],[CODIGO]],MAESTRO!$A:$F,6,FALSE)),"")</f>
        <v>BEBIDA DE YOGURT KIOSKO FUNDA FAMILI</v>
      </c>
      <c r="F325" s="42" t="str">
        <f>IF(GUAYAQUIL[[#This Row],[CODIGO]]="","",$K$6)</f>
        <v>GUAYAQUIL</v>
      </c>
      <c r="G325" s="209">
        <f>IF(GUAYAQUIL[[#This Row],[CODIGO]]="","",7711)</f>
        <v>7711</v>
      </c>
      <c r="H325" s="209">
        <f>IF(GUAYAQUIL[[#This Row],[CODIGO]]="","",1001)</f>
        <v>1001</v>
      </c>
      <c r="I325" s="258" t="s">
        <v>4119</v>
      </c>
      <c r="J325" s="25" t="str">
        <f>IFERROR((VLOOKUP(GUAYAQUIL[[#This Row],[CODIGO]],MAESTRO!A:B,2,FALSE)),"")</f>
        <v>YOG BBLE KIOSKO GNBN 900G</v>
      </c>
      <c r="K325" s="35">
        <v>195</v>
      </c>
      <c r="L325" s="38">
        <f>+IFERROR(IF(GUAYAQUIL[[#This Row],[CODIGO]]="","",VLOOKUP(GUAYAQUIL[[#This Row],[CODIGO]],MAESTRO!$A:$BF,58,FALSE)),"")</f>
        <v>1</v>
      </c>
      <c r="M325" s="27">
        <f>+IFERROR(IF(GUAYAQUIL[[#This Row],[CODIGO]]="","",VLOOKUP(GUAYAQUIL[[#This Row],[CODIGO]],MAESTRO!A:N,14,FALSE)),"")</f>
        <v>0.9</v>
      </c>
      <c r="N325" s="28">
        <f>+IFERROR(IF(GUAYAQUIL[[#This Row],[CODIGO]]="","",VLOOKUP(GUAYAQUIL[[#This Row],[CODIGO]],MAESTRO!A:P,16,FALSE)),"")</f>
        <v>45</v>
      </c>
      <c r="O325" s="29">
        <v>45615</v>
      </c>
      <c r="P325" s="72" t="str">
        <f t="shared" si="20"/>
        <v>martes</v>
      </c>
      <c r="Q325" s="29">
        <f>IFERROR(IF(GUAYAQUIL[[#This Row],[CODIGO]]="","",IF(GUAYAQUIL[[#This Row],[Fecha Cad]]="","",(GUAYAQUIL[[#This Row],[Fecha Cad]]-GUAYAQUIL[[#This Row],[VIDA UTIL (Días)]]))+1),"")</f>
        <v>45611</v>
      </c>
      <c r="R325" s="29">
        <v>45655</v>
      </c>
      <c r="S325" s="30">
        <f t="shared" ca="1" si="21"/>
        <v>31</v>
      </c>
      <c r="T325" s="31">
        <f t="shared" ca="1" si="22"/>
        <v>0.68888888888888888</v>
      </c>
      <c r="U325" s="286">
        <v>85</v>
      </c>
      <c r="V325" s="261">
        <f>+IFERROR(IF(GUAYAQUIL[[#This Row],[CODIGO]]="","",GUAYAQUIL[[#This Row],[Stock Actual Unds]]*GUAYAQUIL[[#This Row],[Gramaje]]*GUAYAQUIL[[#This Row],[Conversión]]),"")</f>
        <v>76.5</v>
      </c>
      <c r="W325" s="270">
        <f t="shared" si="23"/>
        <v>4</v>
      </c>
      <c r="X325" s="32">
        <f t="shared" si="24"/>
        <v>0.91111111111111109</v>
      </c>
      <c r="Y325" s="236">
        <f>IFERROR(VLOOKUP(GUAYAQUIL[[#This Row],[CODIGO]],MAESTRO!A:BI,21,FALSE),0)</f>
        <v>0.64812500000000006</v>
      </c>
      <c r="Z325" s="237">
        <f>+IFERROR(IF(GUAYAQUIL[[#This Row],[CODIGO]]="","",GUAYAQUIL[[#This Row],[COSTO UNIT base]]*GUAYAQUIL[[#This Row],[Conversión]]),"")</f>
        <v>0.64812500000000006</v>
      </c>
      <c r="AA325" s="236">
        <f>+IFERROR(IF(GUAYAQUIL[[#This Row],[CODIGO]]="","",GUAYAQUIL[[#This Row],[COSTO UNIT Conv]]*GUAYAQUIL[[#This Row],[Stock Actual Kgs]]),"")</f>
        <v>49.581562500000004</v>
      </c>
      <c r="AB325" s="33">
        <f ca="1">+IFERROR(IF(GUAYAQUIL[[#This Row],[CODIGO]]="","",$J$3-O325),"")</f>
        <v>9</v>
      </c>
      <c r="AC325" s="34" t="str">
        <f ca="1">IF(GUAYAQUIL[[#This Row],[CODIGO]]="","",IF(S325&lt;=0,"CADUCADO",IF(AND(S325&gt;0,S325&lt;=21),"FECHA CORTA",IF(AND(S325&gt;=22,S325&lt;=26),"PROXIMOS FECHA CORTA", "VIGENTE"))))</f>
        <v>VIGENTE</v>
      </c>
      <c r="AD325" s="37">
        <f>+IF(GUAYAQUIL[[#This Row],[CODIGO]]="","",GUAYAQUIL[[#This Row],[Stock Actual Unds]]*GUAYAQUIL[[#This Row],[Gramaje]]*GUAYAQUIL[[#This Row],[Conversión]])/1000</f>
        <v>7.6499999999999999E-2</v>
      </c>
    </row>
    <row r="326" spans="1:30">
      <c r="A326" s="24" t="str">
        <f>+IFERROR(IF(GUAYAQUIL[[#This Row],[CODIGO]]="","",VLOOKUP(GUAYAQUIL[[#This Row],[CODIGO]],MAESTRO!$A:$J,10,FALSE)),"")</f>
        <v>MACHACHI</v>
      </c>
      <c r="B326" s="24" t="str">
        <f>+IFERROR(IF(GUAYAQUIL[[#This Row],[CODIGO]]="","",VLOOKUP(GUAYAQUIL[[#This Row],[CODIGO]],MAESTRO!$A:$Q,17,FALSE)),"")</f>
        <v>BEBIDAS LACTEAS</v>
      </c>
      <c r="C326" s="24" t="str">
        <f>+IFERROR(IF(GUAYAQUIL[[#This Row],[CODIGO]]="","",VLOOKUP(GUAYAQUIL[[#This Row],[CODIGO]],MAESTRO!$A:$BA,53,FALSE)),"")</f>
        <v xml:space="preserve">Luis Armendariz                         </v>
      </c>
      <c r="D326" s="24" t="str">
        <f>+IFERROR(IF(GUAYAQUIL[[#This Row],[CODIGO]]="","",VLOOKUP(GUAYAQUIL[[#This Row],[CODIGO]],MAESTRO!$A:$D,4,FALSE)),"")</f>
        <v>YOGURT KIOSKO</v>
      </c>
      <c r="E326" s="24" t="str">
        <f>+IFERROR(IF(GUAYAQUIL[[#This Row],[CODIGO]]="","",VLOOKUP(GUAYAQUIL[[#This Row],[CODIGO]],MAESTRO!$A:$F,6,FALSE)),"")</f>
        <v>BEBIDA DE YOGURT KIOSKO FUNDA FAMILI</v>
      </c>
      <c r="F326" s="42" t="str">
        <f>IF(GUAYAQUIL[[#This Row],[CODIGO]]="","",$K$6)</f>
        <v>GUAYAQUIL</v>
      </c>
      <c r="G326" s="42">
        <f>IF(GUAYAQUIL[[#This Row],[CODIGO]]="","",7711)</f>
        <v>7711</v>
      </c>
      <c r="H326" s="42">
        <f>IF(GUAYAQUIL[[#This Row],[CODIGO]]="","",1001)</f>
        <v>1001</v>
      </c>
      <c r="I326" s="258" t="s">
        <v>4119</v>
      </c>
      <c r="J326" s="25" t="str">
        <f>IFERROR((VLOOKUP(GUAYAQUIL[[#This Row],[CODIGO]],MAESTRO!A:B,2,FALSE)),"")</f>
        <v>YOG BBLE KIOSKO GNBN 900G</v>
      </c>
      <c r="K326" s="35">
        <v>300</v>
      </c>
      <c r="L326" s="38">
        <f>+IFERROR(IF(GUAYAQUIL[[#This Row],[CODIGO]]="","",VLOOKUP(GUAYAQUIL[[#This Row],[CODIGO]],MAESTRO!$A:$BF,58,FALSE)),"")</f>
        <v>1</v>
      </c>
      <c r="M326" s="27">
        <f>+IFERROR(IF(GUAYAQUIL[[#This Row],[CODIGO]]="","",VLOOKUP(GUAYAQUIL[[#This Row],[CODIGO]],MAESTRO!A:N,14,FALSE)),"")</f>
        <v>0.9</v>
      </c>
      <c r="N326" s="28">
        <f>+IFERROR(IF(GUAYAQUIL[[#This Row],[CODIGO]]="","",VLOOKUP(GUAYAQUIL[[#This Row],[CODIGO]],MAESTRO!A:P,16,FALSE)),"")</f>
        <v>45</v>
      </c>
      <c r="O326" s="29">
        <v>45616</v>
      </c>
      <c r="P326" s="72" t="str">
        <f t="shared" si="20"/>
        <v>miércoles</v>
      </c>
      <c r="Q326" s="29">
        <f>IFERROR(IF(GUAYAQUIL[[#This Row],[CODIGO]]="","",IF(GUAYAQUIL[[#This Row],[Fecha Cad]]="","",(GUAYAQUIL[[#This Row],[Fecha Cad]]-GUAYAQUIL[[#This Row],[VIDA UTIL (Días)]]))+1),"")</f>
        <v>45611</v>
      </c>
      <c r="R326" s="29">
        <v>45655</v>
      </c>
      <c r="S326" s="30">
        <f t="shared" ca="1" si="21"/>
        <v>31</v>
      </c>
      <c r="T326" s="31">
        <f t="shared" ca="1" si="22"/>
        <v>0.68888888888888888</v>
      </c>
      <c r="U326" s="286">
        <v>300</v>
      </c>
      <c r="V326" s="261">
        <f>+IFERROR(IF(GUAYAQUIL[[#This Row],[CODIGO]]="","",GUAYAQUIL[[#This Row],[Stock Actual Unds]]*GUAYAQUIL[[#This Row],[Gramaje]]*GUAYAQUIL[[#This Row],[Conversión]]),"")</f>
        <v>270</v>
      </c>
      <c r="W326" s="270">
        <f t="shared" si="23"/>
        <v>5</v>
      </c>
      <c r="X326" s="32">
        <f t="shared" si="24"/>
        <v>0.88888888888888884</v>
      </c>
      <c r="Y326" s="236">
        <f>IFERROR(VLOOKUP(GUAYAQUIL[[#This Row],[CODIGO]],MAESTRO!A:BI,21,FALSE),0)</f>
        <v>0.64812500000000006</v>
      </c>
      <c r="Z326" s="237">
        <f>+IFERROR(IF(GUAYAQUIL[[#This Row],[CODIGO]]="","",GUAYAQUIL[[#This Row],[COSTO UNIT base]]*GUAYAQUIL[[#This Row],[Conversión]]),"")</f>
        <v>0.64812500000000006</v>
      </c>
      <c r="AA326" s="236">
        <f>+IFERROR(IF(GUAYAQUIL[[#This Row],[CODIGO]]="","",GUAYAQUIL[[#This Row],[COSTO UNIT Conv]]*GUAYAQUIL[[#This Row],[Stock Actual Kgs]]),"")</f>
        <v>174.99375000000001</v>
      </c>
      <c r="AB326" s="33">
        <f ca="1">+IFERROR(IF(GUAYAQUIL[[#This Row],[CODIGO]]="","",$J$3-O326),"")</f>
        <v>8</v>
      </c>
      <c r="AC326" s="34" t="str">
        <f ca="1">IF(GUAYAQUIL[[#This Row],[CODIGO]]="","",IF(S326&lt;=0,"CADUCADO",IF(AND(S326&gt;0,S326&lt;=21),"FECHA CORTA",IF(AND(S326&gt;=22,S326&lt;=26),"PROXIMOS FECHA CORTA", "VIGENTE"))))</f>
        <v>VIGENTE</v>
      </c>
      <c r="AD326" s="37">
        <f>+IF(GUAYAQUIL[[#This Row],[CODIGO]]="","",GUAYAQUIL[[#This Row],[Stock Actual Unds]]*GUAYAQUIL[[#This Row],[Gramaje]]*GUAYAQUIL[[#This Row],[Conversión]])/1000</f>
        <v>0.27</v>
      </c>
    </row>
    <row r="327" spans="1:30">
      <c r="A327" s="24" t="str">
        <f>+IFERROR(IF(GUAYAQUIL[[#This Row],[CODIGO]]="","",VLOOKUP(GUAYAQUIL[[#This Row],[CODIGO]],MAESTRO!$A:$J,10,FALSE)),"")</f>
        <v>MACHACHI</v>
      </c>
      <c r="B327" s="24" t="str">
        <f>+IFERROR(IF(GUAYAQUIL[[#This Row],[CODIGO]]="","",VLOOKUP(GUAYAQUIL[[#This Row],[CODIGO]],MAESTRO!$A:$Q,17,FALSE)),"")</f>
        <v>BEBIDAS LACTEAS</v>
      </c>
      <c r="C327" s="24" t="str">
        <f>+IFERROR(IF(GUAYAQUIL[[#This Row],[CODIGO]]="","",VLOOKUP(GUAYAQUIL[[#This Row],[CODIGO]],MAESTRO!$A:$BA,53,FALSE)),"")</f>
        <v xml:space="preserve">Luis Armendariz                         </v>
      </c>
      <c r="D327" s="24" t="str">
        <f>+IFERROR(IF(GUAYAQUIL[[#This Row],[CODIGO]]="","",VLOOKUP(GUAYAQUIL[[#This Row],[CODIGO]],MAESTRO!$A:$D,4,FALSE)),"")</f>
        <v>REGENERIS</v>
      </c>
      <c r="E327" s="24" t="str">
        <f>+IFERROR(IF(GUAYAQUIL[[#This Row],[CODIGO]]="","",VLOOKUP(GUAYAQUIL[[#This Row],[CODIGO]],MAESTRO!$A:$F,6,FALSE)),"")</f>
        <v>REGENERIS BEBIBLE BOTELLA FAMILIAR</v>
      </c>
      <c r="F327" s="42" t="str">
        <f>IF(GUAYAQUIL[[#This Row],[CODIGO]]="","",$K$6)</f>
        <v>GUAYAQUIL</v>
      </c>
      <c r="G327" s="209">
        <f>IF(GUAYAQUIL[[#This Row],[CODIGO]]="","",7711)</f>
        <v>7711</v>
      </c>
      <c r="H327" s="209">
        <f>IF(GUAYAQUIL[[#This Row],[CODIGO]]="","",1001)</f>
        <v>1001</v>
      </c>
      <c r="I327" s="257" t="s">
        <v>4279</v>
      </c>
      <c r="J327" s="25" t="str">
        <f>IFERROR((VLOOKUP(GUAYAQUIL[[#This Row],[CODIGO]],MAESTRO!A:B,2,FALSE)),"")</f>
        <v>RGN BBLE DZNO BOT 1750G</v>
      </c>
      <c r="K327" s="26">
        <v>36</v>
      </c>
      <c r="L327" s="38">
        <f>+IFERROR(IF(GUAYAQUIL[[#This Row],[CODIGO]]="","",VLOOKUP(GUAYAQUIL[[#This Row],[CODIGO]],MAESTRO!$A:$BF,58,FALSE)),"")</f>
        <v>1</v>
      </c>
      <c r="M327" s="27">
        <f>+IFERROR(IF(GUAYAQUIL[[#This Row],[CODIGO]]="","",VLOOKUP(GUAYAQUIL[[#This Row],[CODIGO]],MAESTRO!A:N,14,FALSE)),"")</f>
        <v>1.75</v>
      </c>
      <c r="N327" s="28">
        <f>+IFERROR(IF(GUAYAQUIL[[#This Row],[CODIGO]]="","",VLOOKUP(GUAYAQUIL[[#This Row],[CODIGO]],MAESTRO!A:P,16,FALSE)),"")</f>
        <v>45</v>
      </c>
      <c r="O327" s="29">
        <v>45595</v>
      </c>
      <c r="P327" s="72" t="str">
        <f t="shared" si="20"/>
        <v>miércoles</v>
      </c>
      <c r="Q327" s="29">
        <f>IFERROR(IF(GUAYAQUIL[[#This Row],[CODIGO]]="","",IF(GUAYAQUIL[[#This Row],[Fecha Cad]]="","",(GUAYAQUIL[[#This Row],[Fecha Cad]]-GUAYAQUIL[[#This Row],[VIDA UTIL (Días)]]))+1),"")</f>
        <v>45588</v>
      </c>
      <c r="R327" s="29">
        <v>45632</v>
      </c>
      <c r="S327" s="30">
        <f t="shared" ca="1" si="21"/>
        <v>8</v>
      </c>
      <c r="T327" s="31">
        <f t="shared" ca="1" si="22"/>
        <v>0.17777777777777778</v>
      </c>
      <c r="U327" s="286">
        <v>29</v>
      </c>
      <c r="V327" s="260">
        <f>+IFERROR(IF(GUAYAQUIL[[#This Row],[CODIGO]]="","",GUAYAQUIL[[#This Row],[Stock Actual Unds]]*GUAYAQUIL[[#This Row],[Gramaje]]*GUAYAQUIL[[#This Row],[Conversión]]),"")</f>
        <v>50.75</v>
      </c>
      <c r="W327" s="270">
        <f t="shared" si="23"/>
        <v>7</v>
      </c>
      <c r="X327" s="32">
        <f t="shared" si="24"/>
        <v>0.84444444444444444</v>
      </c>
      <c r="Y327" s="236">
        <f>IFERROR(VLOOKUP(GUAYAQUIL[[#This Row],[CODIGO]],MAESTRO!A:BI,21,FALSE),0)</f>
        <v>2.3115999999999999</v>
      </c>
      <c r="Z327" s="237">
        <f>+IFERROR(IF(GUAYAQUIL[[#This Row],[CODIGO]]="","",GUAYAQUIL[[#This Row],[COSTO UNIT base]]*GUAYAQUIL[[#This Row],[Conversión]]),"")</f>
        <v>2.3115999999999999</v>
      </c>
      <c r="AA327" s="236">
        <f>+IFERROR(IF(GUAYAQUIL[[#This Row],[CODIGO]]="","",GUAYAQUIL[[#This Row],[COSTO UNIT Conv]]*GUAYAQUIL[[#This Row],[Stock Actual Kgs]]),"")</f>
        <v>117.3137</v>
      </c>
      <c r="AB327" s="33">
        <f ca="1">+IFERROR(IF(GUAYAQUIL[[#This Row],[CODIGO]]="","",$J$3-O327),"")</f>
        <v>29</v>
      </c>
      <c r="AC327" s="34" t="str">
        <f ca="1">IF(GUAYAQUIL[[#This Row],[CODIGO]]="","",IF(S327&lt;=0,"CADUCADO",IF(AND(S327&gt;0,S327&lt;=21),"FECHA CORTA",IF(AND(S327&gt;=22,S327&lt;=26),"PROXIMOS FECHA CORTA", "VIGENTE"))))</f>
        <v>FECHA CORTA</v>
      </c>
      <c r="AD327" s="37">
        <f>+IF(GUAYAQUIL[[#This Row],[CODIGO]]="","",GUAYAQUIL[[#This Row],[Stock Actual Unds]]*GUAYAQUIL[[#This Row],[Gramaje]]*GUAYAQUIL[[#This Row],[Conversión]])/1000</f>
        <v>5.0750000000000003E-2</v>
      </c>
    </row>
    <row r="328" spans="1:30">
      <c r="A328" s="24" t="str">
        <f>+IFERROR(IF(GUAYAQUIL[[#This Row],[CODIGO]]="","",VLOOKUP(GUAYAQUIL[[#This Row],[CODIGO]],MAESTRO!$A:$J,10,FALSE)),"")</f>
        <v>MACHACHI</v>
      </c>
      <c r="B328" s="24" t="str">
        <f>+IFERROR(IF(GUAYAQUIL[[#This Row],[CODIGO]]="","",VLOOKUP(GUAYAQUIL[[#This Row],[CODIGO]],MAESTRO!$A:$Q,17,FALSE)),"")</f>
        <v>BEBIDAS LACTEAS</v>
      </c>
      <c r="C328" s="24" t="str">
        <f>+IFERROR(IF(GUAYAQUIL[[#This Row],[CODIGO]]="","",VLOOKUP(GUAYAQUIL[[#This Row],[CODIGO]],MAESTRO!$A:$BA,53,FALSE)),"")</f>
        <v xml:space="preserve">Luis Armendariz                         </v>
      </c>
      <c r="D328" s="24" t="str">
        <f>+IFERROR(IF(GUAYAQUIL[[#This Row],[CODIGO]]="","",VLOOKUP(GUAYAQUIL[[#This Row],[CODIGO]],MAESTRO!$A:$D,4,FALSE)),"")</f>
        <v>REGENERIS</v>
      </c>
      <c r="E328" s="24" t="str">
        <f>+IFERROR(IF(GUAYAQUIL[[#This Row],[CODIGO]]="","",VLOOKUP(GUAYAQUIL[[#This Row],[CODIGO]],MAESTRO!$A:$F,6,FALSE)),"")</f>
        <v>REGENERIS BEBIBLE BOTELLA FAMILIAR</v>
      </c>
      <c r="F328" s="42" t="str">
        <f>IF(GUAYAQUIL[[#This Row],[CODIGO]]="","",$K$6)</f>
        <v>GUAYAQUIL</v>
      </c>
      <c r="G328" s="42">
        <f>IF(GUAYAQUIL[[#This Row],[CODIGO]]="","",7711)</f>
        <v>7711</v>
      </c>
      <c r="H328" s="42">
        <f>IF(GUAYAQUIL[[#This Row],[CODIGO]]="","",1001)</f>
        <v>1001</v>
      </c>
      <c r="I328" s="257" t="s">
        <v>4279</v>
      </c>
      <c r="J328" s="25" t="str">
        <f>IFERROR((VLOOKUP(GUAYAQUIL[[#This Row],[CODIGO]],MAESTRO!A:B,2,FALSE)),"")</f>
        <v>RGN BBLE DZNO BOT 1750G</v>
      </c>
      <c r="K328" s="26">
        <v>12</v>
      </c>
      <c r="L328" s="38">
        <f>+IFERROR(IF(GUAYAQUIL[[#This Row],[CODIGO]]="","",VLOOKUP(GUAYAQUIL[[#This Row],[CODIGO]],MAESTRO!$A:$BF,58,FALSE)),"")</f>
        <v>1</v>
      </c>
      <c r="M328" s="27">
        <f>+IFERROR(IF(GUAYAQUIL[[#This Row],[CODIGO]]="","",VLOOKUP(GUAYAQUIL[[#This Row],[CODIGO]],MAESTRO!A:N,14,FALSE)),"")</f>
        <v>1.75</v>
      </c>
      <c r="N328" s="28">
        <f>+IFERROR(IF(GUAYAQUIL[[#This Row],[CODIGO]]="","",VLOOKUP(GUAYAQUIL[[#This Row],[CODIGO]],MAESTRO!A:P,16,FALSE)),"")</f>
        <v>45</v>
      </c>
      <c r="O328" s="29">
        <v>45596</v>
      </c>
      <c r="P328" s="72" t="str">
        <f t="shared" ref="P328:P391" si="25">+IF(R328="","",TEXT(O328,"dddd"))</f>
        <v>jueves</v>
      </c>
      <c r="Q328" s="29">
        <f>IFERROR(IF(GUAYAQUIL[[#This Row],[CODIGO]]="","",IF(GUAYAQUIL[[#This Row],[Fecha Cad]]="","",(GUAYAQUIL[[#This Row],[Fecha Cad]]-GUAYAQUIL[[#This Row],[VIDA UTIL (Días)]]))+1),"")</f>
        <v>45588</v>
      </c>
      <c r="R328" s="29">
        <v>45632</v>
      </c>
      <c r="S328" s="30">
        <f t="shared" ref="S328:S391" ca="1" si="26">+IFERROR(IF(R328="","",R328-$J$3),0)</f>
        <v>8</v>
      </c>
      <c r="T328" s="31">
        <f t="shared" ref="T328:T391" ca="1" si="27">IFERROR(IF(8="","",S328/N328),0)</f>
        <v>0.17777777777777778</v>
      </c>
      <c r="U328" s="286">
        <v>12</v>
      </c>
      <c r="V328" s="260">
        <f>+IFERROR(IF(GUAYAQUIL[[#This Row],[CODIGO]]="","",GUAYAQUIL[[#This Row],[Stock Actual Unds]]*GUAYAQUIL[[#This Row],[Gramaje]]*GUAYAQUIL[[#This Row],[Conversión]]),"")</f>
        <v>21</v>
      </c>
      <c r="W328" s="270">
        <f t="shared" ref="W328:W391" si="28">IFERROR(O328-Q328,0)</f>
        <v>8</v>
      </c>
      <c r="X328" s="32">
        <f t="shared" ref="X328:X391" si="29">IF(I328="","",1-(W328/N328))</f>
        <v>0.82222222222222219</v>
      </c>
      <c r="Y328" s="236">
        <f>IFERROR(VLOOKUP(GUAYAQUIL[[#This Row],[CODIGO]],MAESTRO!A:BI,21,FALSE),0)</f>
        <v>2.3115999999999999</v>
      </c>
      <c r="Z328" s="237">
        <f>+IFERROR(IF(GUAYAQUIL[[#This Row],[CODIGO]]="","",GUAYAQUIL[[#This Row],[COSTO UNIT base]]*GUAYAQUIL[[#This Row],[Conversión]]),"")</f>
        <v>2.3115999999999999</v>
      </c>
      <c r="AA328" s="236">
        <f>+IFERROR(IF(GUAYAQUIL[[#This Row],[CODIGO]]="","",GUAYAQUIL[[#This Row],[COSTO UNIT Conv]]*GUAYAQUIL[[#This Row],[Stock Actual Kgs]]),"")</f>
        <v>48.543599999999998</v>
      </c>
      <c r="AB328" s="33">
        <f ca="1">+IFERROR(IF(GUAYAQUIL[[#This Row],[CODIGO]]="","",$J$3-O328),"")</f>
        <v>28</v>
      </c>
      <c r="AC328" s="34" t="str">
        <f ca="1">IF(GUAYAQUIL[[#This Row],[CODIGO]]="","",IF(S328&lt;=0,"CADUCADO",IF(AND(S328&gt;0,S328&lt;=21),"FECHA CORTA",IF(AND(S328&gt;=22,S328&lt;=26),"PROXIMOS FECHA CORTA", "VIGENTE"))))</f>
        <v>FECHA CORTA</v>
      </c>
      <c r="AD328" s="37">
        <f>+IF(GUAYAQUIL[[#This Row],[CODIGO]]="","",GUAYAQUIL[[#This Row],[Stock Actual Unds]]*GUAYAQUIL[[#This Row],[Gramaje]]*GUAYAQUIL[[#This Row],[Conversión]])/1000</f>
        <v>2.1000000000000001E-2</v>
      </c>
    </row>
    <row r="329" spans="1:30">
      <c r="A329" s="24" t="str">
        <f>+IFERROR(IF(GUAYAQUIL[[#This Row],[CODIGO]]="","",VLOOKUP(GUAYAQUIL[[#This Row],[CODIGO]],MAESTRO!$A:$J,10,FALSE)),"")</f>
        <v>MACHACHI</v>
      </c>
      <c r="B329" s="24" t="str">
        <f>+IFERROR(IF(GUAYAQUIL[[#This Row],[CODIGO]]="","",VLOOKUP(GUAYAQUIL[[#This Row],[CODIGO]],MAESTRO!$A:$Q,17,FALSE)),"")</f>
        <v>BEBIDAS LACTEAS</v>
      </c>
      <c r="C329" s="24" t="str">
        <f>+IFERROR(IF(GUAYAQUIL[[#This Row],[CODIGO]]="","",VLOOKUP(GUAYAQUIL[[#This Row],[CODIGO]],MAESTRO!$A:$BA,53,FALSE)),"")</f>
        <v xml:space="preserve">Luis Armendariz                         </v>
      </c>
      <c r="D329" s="24" t="str">
        <f>+IFERROR(IF(GUAYAQUIL[[#This Row],[CODIGO]]="","",VLOOKUP(GUAYAQUIL[[#This Row],[CODIGO]],MAESTRO!$A:$D,4,FALSE)),"")</f>
        <v>REGENERIS</v>
      </c>
      <c r="E329" s="24" t="str">
        <f>+IFERROR(IF(GUAYAQUIL[[#This Row],[CODIGO]]="","",VLOOKUP(GUAYAQUIL[[#This Row],[CODIGO]],MAESTRO!$A:$F,6,FALSE)),"")</f>
        <v>REGENERIS BEBIBLE BOTELLA FAMILIAR</v>
      </c>
      <c r="F329" s="42" t="str">
        <f>IF(GUAYAQUIL[[#This Row],[CODIGO]]="","",$K$6)</f>
        <v>GUAYAQUIL</v>
      </c>
      <c r="G329" s="42">
        <f>IF(GUAYAQUIL[[#This Row],[CODIGO]]="","",7711)</f>
        <v>7711</v>
      </c>
      <c r="H329" s="42">
        <f>IF(GUAYAQUIL[[#This Row],[CODIGO]]="","",1001)</f>
        <v>1001</v>
      </c>
      <c r="I329" s="257" t="s">
        <v>4279</v>
      </c>
      <c r="J329" s="25" t="str">
        <f>IFERROR((VLOOKUP(GUAYAQUIL[[#This Row],[CODIGO]],MAESTRO!A:B,2,FALSE)),"")</f>
        <v>RGN BBLE DZNO BOT 1750G</v>
      </c>
      <c r="K329" s="26">
        <v>12</v>
      </c>
      <c r="L329" s="38">
        <f>+IFERROR(IF(GUAYAQUIL[[#This Row],[CODIGO]]="","",VLOOKUP(GUAYAQUIL[[#This Row],[CODIGO]],MAESTRO!$A:$BF,58,FALSE)),"")</f>
        <v>1</v>
      </c>
      <c r="M329" s="27">
        <f>+IFERROR(IF(GUAYAQUIL[[#This Row],[CODIGO]]="","",VLOOKUP(GUAYAQUIL[[#This Row],[CODIGO]],MAESTRO!A:N,14,FALSE)),"")</f>
        <v>1.75</v>
      </c>
      <c r="N329" s="28">
        <f>+IFERROR(IF(GUAYAQUIL[[#This Row],[CODIGO]]="","",VLOOKUP(GUAYAQUIL[[#This Row],[CODIGO]],MAESTRO!A:P,16,FALSE)),"")</f>
        <v>45</v>
      </c>
      <c r="O329" s="29">
        <v>45597</v>
      </c>
      <c r="P329" s="72" t="str">
        <f t="shared" si="25"/>
        <v>viernes</v>
      </c>
      <c r="Q329" s="29">
        <f>IFERROR(IF(GUAYAQUIL[[#This Row],[CODIGO]]="","",IF(GUAYAQUIL[[#This Row],[Fecha Cad]]="","",(GUAYAQUIL[[#This Row],[Fecha Cad]]-GUAYAQUIL[[#This Row],[VIDA UTIL (Días)]]))+1),"")</f>
        <v>45588</v>
      </c>
      <c r="R329" s="29">
        <v>45632</v>
      </c>
      <c r="S329" s="30">
        <f t="shared" ca="1" si="26"/>
        <v>8</v>
      </c>
      <c r="T329" s="31">
        <f t="shared" ca="1" si="27"/>
        <v>0.17777777777777778</v>
      </c>
      <c r="U329" s="286">
        <v>12</v>
      </c>
      <c r="V329" s="260">
        <f>+IFERROR(IF(GUAYAQUIL[[#This Row],[CODIGO]]="","",GUAYAQUIL[[#This Row],[Stock Actual Unds]]*GUAYAQUIL[[#This Row],[Gramaje]]*GUAYAQUIL[[#This Row],[Conversión]]),"")</f>
        <v>21</v>
      </c>
      <c r="W329" s="270">
        <f t="shared" si="28"/>
        <v>9</v>
      </c>
      <c r="X329" s="32">
        <f t="shared" si="29"/>
        <v>0.8</v>
      </c>
      <c r="Y329" s="236">
        <f>IFERROR(VLOOKUP(GUAYAQUIL[[#This Row],[CODIGO]],MAESTRO!A:BI,21,FALSE),0)</f>
        <v>2.3115999999999999</v>
      </c>
      <c r="Z329" s="237">
        <f>+IFERROR(IF(GUAYAQUIL[[#This Row],[CODIGO]]="","",GUAYAQUIL[[#This Row],[COSTO UNIT base]]*GUAYAQUIL[[#This Row],[Conversión]]),"")</f>
        <v>2.3115999999999999</v>
      </c>
      <c r="AA329" s="236">
        <f>+IFERROR(IF(GUAYAQUIL[[#This Row],[CODIGO]]="","",GUAYAQUIL[[#This Row],[COSTO UNIT Conv]]*GUAYAQUIL[[#This Row],[Stock Actual Kgs]]),"")</f>
        <v>48.543599999999998</v>
      </c>
      <c r="AB329" s="33">
        <f ca="1">+IFERROR(IF(GUAYAQUIL[[#This Row],[CODIGO]]="","",$J$3-O329),"")</f>
        <v>27</v>
      </c>
      <c r="AC329" s="34" t="str">
        <f ca="1">IF(GUAYAQUIL[[#This Row],[CODIGO]]="","",IF(S329&lt;=0,"CADUCADO",IF(AND(S329&gt;0,S329&lt;=21),"FECHA CORTA",IF(AND(S329&gt;=22,S329&lt;=26),"PROXIMOS FECHA CORTA", "VIGENTE"))))</f>
        <v>FECHA CORTA</v>
      </c>
      <c r="AD329" s="37">
        <f>+IF(GUAYAQUIL[[#This Row],[CODIGO]]="","",GUAYAQUIL[[#This Row],[Stock Actual Unds]]*GUAYAQUIL[[#This Row],[Gramaje]]*GUAYAQUIL[[#This Row],[Conversión]])/1000</f>
        <v>2.1000000000000001E-2</v>
      </c>
    </row>
    <row r="330" spans="1:30">
      <c r="A330" s="24" t="str">
        <f>+IFERROR(IF(GUAYAQUIL[[#This Row],[CODIGO]]="","",VLOOKUP(GUAYAQUIL[[#This Row],[CODIGO]],MAESTRO!$A:$J,10,FALSE)),"")</f>
        <v>MACHACHI</v>
      </c>
      <c r="B330" s="24" t="str">
        <f>+IFERROR(IF(GUAYAQUIL[[#This Row],[CODIGO]]="","",VLOOKUP(GUAYAQUIL[[#This Row],[CODIGO]],MAESTRO!$A:$Q,17,FALSE)),"")</f>
        <v>BEBIDAS LACTEAS</v>
      </c>
      <c r="C330" s="24" t="str">
        <f>+IFERROR(IF(GUAYAQUIL[[#This Row],[CODIGO]]="","",VLOOKUP(GUAYAQUIL[[#This Row],[CODIGO]],MAESTRO!$A:$BA,53,FALSE)),"")</f>
        <v xml:space="preserve">Luis Armendariz                         </v>
      </c>
      <c r="D330" s="24" t="str">
        <f>+IFERROR(IF(GUAYAQUIL[[#This Row],[CODIGO]]="","",VLOOKUP(GUAYAQUIL[[#This Row],[CODIGO]],MAESTRO!$A:$D,4,FALSE)),"")</f>
        <v>REGENERIS</v>
      </c>
      <c r="E330" s="24" t="str">
        <f>+IFERROR(IF(GUAYAQUIL[[#This Row],[CODIGO]]="","",VLOOKUP(GUAYAQUIL[[#This Row],[CODIGO]],MAESTRO!$A:$F,6,FALSE)),"")</f>
        <v>REGENERIS BEBIBLE BOTELLA FAMILIAR</v>
      </c>
      <c r="F330" s="42" t="str">
        <f>IF(GUAYAQUIL[[#This Row],[CODIGO]]="","",$K$6)</f>
        <v>GUAYAQUIL</v>
      </c>
      <c r="G330" s="42">
        <f>IF(GUAYAQUIL[[#This Row],[CODIGO]]="","",7711)</f>
        <v>7711</v>
      </c>
      <c r="H330" s="42">
        <f>IF(GUAYAQUIL[[#This Row],[CODIGO]]="","",1001)</f>
        <v>1001</v>
      </c>
      <c r="I330" s="258" t="s">
        <v>4279</v>
      </c>
      <c r="J330" s="25" t="str">
        <f>IFERROR((VLOOKUP(GUAYAQUIL[[#This Row],[CODIGO]],MAESTRO!A:B,2,FALSE)),"")</f>
        <v>RGN BBLE DZNO BOT 1750G</v>
      </c>
      <c r="K330" s="35">
        <v>24</v>
      </c>
      <c r="L330" s="38">
        <f>+IFERROR(IF(GUAYAQUIL[[#This Row],[CODIGO]]="","",VLOOKUP(GUAYAQUIL[[#This Row],[CODIGO]],MAESTRO!$A:$BF,58,FALSE)),"")</f>
        <v>1</v>
      </c>
      <c r="M330" s="27">
        <f>+IFERROR(IF(GUAYAQUIL[[#This Row],[CODIGO]]="","",VLOOKUP(GUAYAQUIL[[#This Row],[CODIGO]],MAESTRO!A:N,14,FALSE)),"")</f>
        <v>1.75</v>
      </c>
      <c r="N330" s="28">
        <f>+IFERROR(IF(GUAYAQUIL[[#This Row],[CODIGO]]="","",VLOOKUP(GUAYAQUIL[[#This Row],[CODIGO]],MAESTRO!A:P,16,FALSE)),"")</f>
        <v>45</v>
      </c>
      <c r="O330" s="45">
        <v>45612</v>
      </c>
      <c r="P330" s="72" t="str">
        <f t="shared" si="25"/>
        <v>sábado</v>
      </c>
      <c r="Q330" s="29">
        <f>IFERROR(IF(GUAYAQUIL[[#This Row],[CODIGO]]="","",IF(GUAYAQUIL[[#This Row],[Fecha Cad]]="","",(GUAYAQUIL[[#This Row],[Fecha Cad]]-GUAYAQUIL[[#This Row],[VIDA UTIL (Días)]]))+1),"")</f>
        <v>45611</v>
      </c>
      <c r="R330" s="45">
        <v>45655</v>
      </c>
      <c r="S330" s="30">
        <f t="shared" ca="1" si="26"/>
        <v>31</v>
      </c>
      <c r="T330" s="31">
        <f t="shared" ca="1" si="27"/>
        <v>0.68888888888888888</v>
      </c>
      <c r="U330" s="286">
        <v>14</v>
      </c>
      <c r="V330" s="262">
        <f>+IFERROR(IF(GUAYAQUIL[[#This Row],[CODIGO]]="","",GUAYAQUIL[[#This Row],[Stock Actual Unds]]*GUAYAQUIL[[#This Row],[Gramaje]]*GUAYAQUIL[[#This Row],[Conversión]]),"")</f>
        <v>24.5</v>
      </c>
      <c r="W330" s="270">
        <f t="shared" si="28"/>
        <v>1</v>
      </c>
      <c r="X330" s="32">
        <f t="shared" si="29"/>
        <v>0.97777777777777775</v>
      </c>
      <c r="Y330" s="236">
        <f>IFERROR(VLOOKUP(GUAYAQUIL[[#This Row],[CODIGO]],MAESTRO!A:BI,21,FALSE),0)</f>
        <v>2.3115999999999999</v>
      </c>
      <c r="Z330" s="237">
        <f>+IFERROR(IF(GUAYAQUIL[[#This Row],[CODIGO]]="","",GUAYAQUIL[[#This Row],[COSTO UNIT base]]*GUAYAQUIL[[#This Row],[Conversión]]),"")</f>
        <v>2.3115999999999999</v>
      </c>
      <c r="AA330" s="236">
        <f>+IFERROR(IF(GUAYAQUIL[[#This Row],[CODIGO]]="","",GUAYAQUIL[[#This Row],[COSTO UNIT Conv]]*GUAYAQUIL[[#This Row],[Stock Actual Kgs]]),"")</f>
        <v>56.6342</v>
      </c>
      <c r="AB330" s="33">
        <f ca="1">+IFERROR(IF(GUAYAQUIL[[#This Row],[CODIGO]]="","",$J$3-O330),"")</f>
        <v>12</v>
      </c>
      <c r="AC330" s="34" t="str">
        <f ca="1">IF(GUAYAQUIL[[#This Row],[CODIGO]]="","",IF(S330&lt;=0,"CADUCADO",IF(AND(S330&gt;0,S330&lt;=21),"FECHA CORTA",IF(AND(S330&gt;=22,S330&lt;=26),"PROXIMOS FECHA CORTA", "VIGENTE"))))</f>
        <v>VIGENTE</v>
      </c>
      <c r="AD330" s="37">
        <f>+IF(GUAYAQUIL[[#This Row],[CODIGO]]="","",GUAYAQUIL[[#This Row],[Stock Actual Unds]]*GUAYAQUIL[[#This Row],[Gramaje]]*GUAYAQUIL[[#This Row],[Conversión]])/1000</f>
        <v>2.4500000000000001E-2</v>
      </c>
    </row>
    <row r="331" spans="1:30">
      <c r="A331" s="24" t="str">
        <f>+IFERROR(IF(GUAYAQUIL[[#This Row],[CODIGO]]="","",VLOOKUP(GUAYAQUIL[[#This Row],[CODIGO]],MAESTRO!$A:$J,10,FALSE)),"")</f>
        <v>MACHACHI</v>
      </c>
      <c r="B331" s="24" t="str">
        <f>+IFERROR(IF(GUAYAQUIL[[#This Row],[CODIGO]]="","",VLOOKUP(GUAYAQUIL[[#This Row],[CODIGO]],MAESTRO!$A:$Q,17,FALSE)),"")</f>
        <v>BEBIDAS LACTEAS</v>
      </c>
      <c r="C331" s="24" t="str">
        <f>+IFERROR(IF(GUAYAQUIL[[#This Row],[CODIGO]]="","",VLOOKUP(GUAYAQUIL[[#This Row],[CODIGO]],MAESTRO!$A:$BA,53,FALSE)),"")</f>
        <v xml:space="preserve">Luis Armendariz                         </v>
      </c>
      <c r="D331" s="24" t="str">
        <f>+IFERROR(IF(GUAYAQUIL[[#This Row],[CODIGO]]="","",VLOOKUP(GUAYAQUIL[[#This Row],[CODIGO]],MAESTRO!$A:$D,4,FALSE)),"")</f>
        <v>REGENERIS</v>
      </c>
      <c r="E331" s="24" t="str">
        <f>+IFERROR(IF(GUAYAQUIL[[#This Row],[CODIGO]]="","",VLOOKUP(GUAYAQUIL[[#This Row],[CODIGO]],MAESTRO!$A:$F,6,FALSE)),"")</f>
        <v>REGENERIS BEBIBLE BOTELLA FAMILIAR</v>
      </c>
      <c r="F331" s="42" t="str">
        <f>IF(GUAYAQUIL[[#This Row],[CODIGO]]="","",$K$6)</f>
        <v>GUAYAQUIL</v>
      </c>
      <c r="G331" s="209">
        <f>IF(GUAYAQUIL[[#This Row],[CODIGO]]="","",7711)</f>
        <v>7711</v>
      </c>
      <c r="H331" s="209">
        <f>IF(GUAYAQUIL[[#This Row],[CODIGO]]="","",1001)</f>
        <v>1001</v>
      </c>
      <c r="I331" s="258" t="s">
        <v>4279</v>
      </c>
      <c r="J331" s="25" t="str">
        <f>IFERROR((VLOOKUP(GUAYAQUIL[[#This Row],[CODIGO]],MAESTRO!A:B,2,FALSE)),"")</f>
        <v>RGN BBLE DZNO BOT 1750G</v>
      </c>
      <c r="K331" s="35">
        <v>36</v>
      </c>
      <c r="L331" s="38">
        <f>+IFERROR(IF(GUAYAQUIL[[#This Row],[CODIGO]]="","",VLOOKUP(GUAYAQUIL[[#This Row],[CODIGO]],MAESTRO!$A:$BF,58,FALSE)),"")</f>
        <v>1</v>
      </c>
      <c r="M331" s="27">
        <f>+IFERROR(IF(GUAYAQUIL[[#This Row],[CODIGO]]="","",VLOOKUP(GUAYAQUIL[[#This Row],[CODIGO]],MAESTRO!A:N,14,FALSE)),"")</f>
        <v>1.75</v>
      </c>
      <c r="N331" s="28">
        <f>+IFERROR(IF(GUAYAQUIL[[#This Row],[CODIGO]]="","",VLOOKUP(GUAYAQUIL[[#This Row],[CODIGO]],MAESTRO!A:P,16,FALSE)),"")</f>
        <v>45</v>
      </c>
      <c r="O331" s="45">
        <v>45616</v>
      </c>
      <c r="P331" s="72" t="str">
        <f t="shared" si="25"/>
        <v>miércoles</v>
      </c>
      <c r="Q331" s="29">
        <f>IFERROR(IF(GUAYAQUIL[[#This Row],[CODIGO]]="","",IF(GUAYAQUIL[[#This Row],[Fecha Cad]]="","",(GUAYAQUIL[[#This Row],[Fecha Cad]]-GUAYAQUIL[[#This Row],[VIDA UTIL (Días)]]))+1),"")</f>
        <v>45611</v>
      </c>
      <c r="R331" s="45">
        <v>45655</v>
      </c>
      <c r="S331" s="30">
        <f t="shared" ca="1" si="26"/>
        <v>31</v>
      </c>
      <c r="T331" s="31">
        <f t="shared" ca="1" si="27"/>
        <v>0.68888888888888888</v>
      </c>
      <c r="U331" s="286">
        <v>36</v>
      </c>
      <c r="V331" s="262">
        <f>+IFERROR(IF(GUAYAQUIL[[#This Row],[CODIGO]]="","",GUAYAQUIL[[#This Row],[Stock Actual Unds]]*GUAYAQUIL[[#This Row],[Gramaje]]*GUAYAQUIL[[#This Row],[Conversión]]),"")</f>
        <v>63</v>
      </c>
      <c r="W331" s="270">
        <f t="shared" si="28"/>
        <v>5</v>
      </c>
      <c r="X331" s="32">
        <f t="shared" si="29"/>
        <v>0.88888888888888884</v>
      </c>
      <c r="Y331" s="236">
        <f>IFERROR(VLOOKUP(GUAYAQUIL[[#This Row],[CODIGO]],MAESTRO!A:BI,21,FALSE),0)</f>
        <v>2.3115999999999999</v>
      </c>
      <c r="Z331" s="237">
        <f>+IFERROR(IF(GUAYAQUIL[[#This Row],[CODIGO]]="","",GUAYAQUIL[[#This Row],[COSTO UNIT base]]*GUAYAQUIL[[#This Row],[Conversión]]),"")</f>
        <v>2.3115999999999999</v>
      </c>
      <c r="AA331" s="236">
        <f>+IFERROR(IF(GUAYAQUIL[[#This Row],[CODIGO]]="","",GUAYAQUIL[[#This Row],[COSTO UNIT Conv]]*GUAYAQUIL[[#This Row],[Stock Actual Kgs]]),"")</f>
        <v>145.63079999999999</v>
      </c>
      <c r="AB331" s="33">
        <f ca="1">+IFERROR(IF(GUAYAQUIL[[#This Row],[CODIGO]]="","",$J$3-O331),"")</f>
        <v>8</v>
      </c>
      <c r="AC331" s="34" t="str">
        <f ca="1">IF(GUAYAQUIL[[#This Row],[CODIGO]]="","",IF(S331&lt;=0,"CADUCADO",IF(AND(S331&gt;0,S331&lt;=21),"FECHA CORTA",IF(AND(S331&gt;=22,S331&lt;=26),"PROXIMOS FECHA CORTA", "VIGENTE"))))</f>
        <v>VIGENTE</v>
      </c>
      <c r="AD331" s="37">
        <f>+IF(GUAYAQUIL[[#This Row],[CODIGO]]="","",GUAYAQUIL[[#This Row],[Stock Actual Unds]]*GUAYAQUIL[[#This Row],[Gramaje]]*GUAYAQUIL[[#This Row],[Conversión]])/1000</f>
        <v>6.3E-2</v>
      </c>
    </row>
    <row r="332" spans="1:30">
      <c r="A332" s="24" t="str">
        <f>+IFERROR(IF(GUAYAQUIL[[#This Row],[CODIGO]]="","",VLOOKUP(GUAYAQUIL[[#This Row],[CODIGO]],MAESTRO!$A:$J,10,FALSE)),"")</f>
        <v>SAN GABRIEL</v>
      </c>
      <c r="B332" s="24" t="str">
        <f>+IFERROR(IF(GUAYAQUIL[[#This Row],[CODIGO]]="","",VLOOKUP(GUAYAQUIL[[#This Row],[CODIGO]],MAESTRO!$A:$Q,17,FALSE)),"")</f>
        <v>QUESOS Y GRASAS</v>
      </c>
      <c r="C332" s="24" t="str">
        <f>+IFERROR(IF(GUAYAQUIL[[#This Row],[CODIGO]]="","",VLOOKUP(GUAYAQUIL[[#This Row],[CODIGO]],MAESTRO!$A:$BA,53,FALSE)),"")</f>
        <v xml:space="preserve">Esteban Montenegro                      </v>
      </c>
      <c r="D332" s="24" t="str">
        <f>+IFERROR(IF(GUAYAQUIL[[#This Row],[CODIGO]]="","",VLOOKUP(GUAYAQUIL[[#This Row],[CODIGO]],MAESTRO!$A:$D,4,FALSE)),"")</f>
        <v>QUESO FRESCO KIOSKO</v>
      </c>
      <c r="E332" s="24" t="str">
        <f>+IFERROR(IF(GUAYAQUIL[[#This Row],[CODIGO]]="","",VLOOKUP(GUAYAQUIL[[#This Row],[CODIGO]],MAESTRO!$A:$F,6,FALSE)),"")</f>
        <v>QUESO FRESCO KIOSKO BLOQUE</v>
      </c>
      <c r="F332" s="42" t="str">
        <f>IF(GUAYAQUIL[[#This Row],[CODIGO]]="","",$K$6)</f>
        <v>GUAYAQUIL</v>
      </c>
      <c r="G332" s="42">
        <f>IF(GUAYAQUIL[[#This Row],[CODIGO]]="","",7711)</f>
        <v>7711</v>
      </c>
      <c r="H332" s="42">
        <f>IF(GUAYAQUIL[[#This Row],[CODIGO]]="","",1001)</f>
        <v>1001</v>
      </c>
      <c r="I332" s="258" t="s">
        <v>2408</v>
      </c>
      <c r="J332" s="25" t="str">
        <f>IFERROR((VLOOKUP(GUAYAQUIL[[#This Row],[CODIGO]],MAESTRO!A:B,2,FALSE)),"")</f>
        <v>Q FRES CRIOL KIOSKO AL PESO</v>
      </c>
      <c r="K332" s="35">
        <v>144</v>
      </c>
      <c r="L332" s="38">
        <f>+IFERROR(IF(GUAYAQUIL[[#This Row],[CODIGO]]="","",VLOOKUP(GUAYAQUIL[[#This Row],[CODIGO]],MAESTRO!$A:$BF,58,FALSE)),"")</f>
        <v>3</v>
      </c>
      <c r="M332" s="27">
        <f>+IFERROR(IF(GUAYAQUIL[[#This Row],[CODIGO]]="","",VLOOKUP(GUAYAQUIL[[#This Row],[CODIGO]],MAESTRO!A:N,14,FALSE)),"")</f>
        <v>3</v>
      </c>
      <c r="N332" s="28">
        <f>+IFERROR(IF(GUAYAQUIL[[#This Row],[CODIGO]]="","",VLOOKUP(GUAYAQUIL[[#This Row],[CODIGO]],MAESTRO!A:P,16,FALSE)),"")</f>
        <v>40</v>
      </c>
      <c r="O332" s="45">
        <v>45610</v>
      </c>
      <c r="P332" s="72" t="str">
        <f t="shared" si="25"/>
        <v>jueves</v>
      </c>
      <c r="Q332" s="29">
        <f>IFERROR(IF(GUAYAQUIL[[#This Row],[CODIGO]]="","",IF(GUAYAQUIL[[#This Row],[Fecha Cad]]="","",(GUAYAQUIL[[#This Row],[Fecha Cad]]-GUAYAQUIL[[#This Row],[VIDA UTIL (Días)]]))+1),"")</f>
        <v>45605</v>
      </c>
      <c r="R332" s="45">
        <v>45644</v>
      </c>
      <c r="S332" s="30">
        <f t="shared" ca="1" si="26"/>
        <v>20</v>
      </c>
      <c r="T332" s="31">
        <f t="shared" ca="1" si="27"/>
        <v>0.5</v>
      </c>
      <c r="U332" s="286">
        <v>63</v>
      </c>
      <c r="V332" s="265">
        <f>+IFERROR(IF(GUAYAQUIL[[#This Row],[CODIGO]]="","",GUAYAQUIL[[#This Row],[Stock Actual Unds]]*GUAYAQUIL[[#This Row],[Gramaje]]*GUAYAQUIL[[#This Row],[Conversión]]),"")</f>
        <v>567</v>
      </c>
      <c r="W332" s="270">
        <f t="shared" si="28"/>
        <v>5</v>
      </c>
      <c r="X332" s="32">
        <f t="shared" si="29"/>
        <v>0.875</v>
      </c>
      <c r="Y332" s="236">
        <f>IFERROR(VLOOKUP(GUAYAQUIL[[#This Row],[CODIGO]],MAESTRO!A:BI,21,FALSE),0)</f>
        <v>4.8676950000000003</v>
      </c>
      <c r="Z332" s="237">
        <f>+IFERROR(IF(GUAYAQUIL[[#This Row],[CODIGO]]="","",GUAYAQUIL[[#This Row],[COSTO UNIT base]]*GUAYAQUIL[[#This Row],[Conversión]]),"")</f>
        <v>14.603085</v>
      </c>
      <c r="AA332" s="236">
        <f>+IFERROR(IF(GUAYAQUIL[[#This Row],[CODIGO]]="","",GUAYAQUIL[[#This Row],[COSTO UNIT Conv]]*GUAYAQUIL[[#This Row],[Stock Actual Kgs]]),"")</f>
        <v>8279.9491949999992</v>
      </c>
      <c r="AB332" s="33">
        <f ca="1">+IFERROR(IF(GUAYAQUIL[[#This Row],[CODIGO]]="","",$J$3-O332),"")</f>
        <v>14</v>
      </c>
      <c r="AC332" s="34" t="str">
        <f ca="1">IF(GUAYAQUIL[[#This Row],[CODIGO]]="","",IF(S332&lt;=0,"CADUCADO",IF(AND(S332&gt;0,S332&lt;=21),"FECHA CORTA",IF(AND(S332&gt;=22,S332&lt;=26),"PROXIMOS FECHA CORTA", "VIGENTE"))))</f>
        <v>FECHA CORTA</v>
      </c>
      <c r="AD332" s="37">
        <f>+IF(GUAYAQUIL[[#This Row],[CODIGO]]="","",GUAYAQUIL[[#This Row],[Stock Actual Unds]]*GUAYAQUIL[[#This Row],[Gramaje]]*GUAYAQUIL[[#This Row],[Conversión]])/1000</f>
        <v>0.56699999999999995</v>
      </c>
    </row>
    <row r="333" spans="1:30">
      <c r="A333" s="24" t="str">
        <f>+IFERROR(IF(GUAYAQUIL[[#This Row],[CODIGO]]="","",VLOOKUP(GUAYAQUIL[[#This Row],[CODIGO]],MAESTRO!$A:$J,10,FALSE)),"")</f>
        <v>SAN GABRIEL</v>
      </c>
      <c r="B333" s="24" t="str">
        <f>+IFERROR(IF(GUAYAQUIL[[#This Row],[CODIGO]]="","",VLOOKUP(GUAYAQUIL[[#This Row],[CODIGO]],MAESTRO!$A:$Q,17,FALSE)),"")</f>
        <v>QUESOS Y GRASAS</v>
      </c>
      <c r="C333" s="24" t="str">
        <f>+IFERROR(IF(GUAYAQUIL[[#This Row],[CODIGO]]="","",VLOOKUP(GUAYAQUIL[[#This Row],[CODIGO]],MAESTRO!$A:$BA,53,FALSE)),"")</f>
        <v xml:space="preserve">Esteban Montenegro                      </v>
      </c>
      <c r="D333" s="24" t="str">
        <f>+IFERROR(IF(GUAYAQUIL[[#This Row],[CODIGO]]="","",VLOOKUP(GUAYAQUIL[[#This Row],[CODIGO]],MAESTRO!$A:$D,4,FALSE)),"")</f>
        <v>QUESO FRESCO KIOSKO</v>
      </c>
      <c r="E333" s="24" t="str">
        <f>+IFERROR(IF(GUAYAQUIL[[#This Row],[CODIGO]]="","",VLOOKUP(GUAYAQUIL[[#This Row],[CODIGO]],MAESTRO!$A:$F,6,FALSE)),"")</f>
        <v>QUESO FRESCO KIOSKO BLOQUE</v>
      </c>
      <c r="F333" s="42" t="str">
        <f>IF(GUAYAQUIL[[#This Row],[CODIGO]]="","",$K$6)</f>
        <v>GUAYAQUIL</v>
      </c>
      <c r="G333" s="42">
        <f>IF(GUAYAQUIL[[#This Row],[CODIGO]]="","",7711)</f>
        <v>7711</v>
      </c>
      <c r="H333" s="42">
        <f>IF(GUAYAQUIL[[#This Row],[CODIGO]]="","",1001)</f>
        <v>1001</v>
      </c>
      <c r="I333" s="258" t="s">
        <v>2408</v>
      </c>
      <c r="J333" s="25" t="str">
        <f>IFERROR((VLOOKUP(GUAYAQUIL[[#This Row],[CODIGO]],MAESTRO!A:B,2,FALSE)),"")</f>
        <v>Q FRES CRIOL KIOSKO AL PESO</v>
      </c>
      <c r="K333" s="35">
        <v>156</v>
      </c>
      <c r="L333" s="38">
        <f>+IFERROR(IF(GUAYAQUIL[[#This Row],[CODIGO]]="","",VLOOKUP(GUAYAQUIL[[#This Row],[CODIGO]],MAESTRO!$A:$BF,58,FALSE)),"")</f>
        <v>3</v>
      </c>
      <c r="M333" s="27">
        <f>+IFERROR(IF(GUAYAQUIL[[#This Row],[CODIGO]]="","",VLOOKUP(GUAYAQUIL[[#This Row],[CODIGO]],MAESTRO!A:N,14,FALSE)),"")</f>
        <v>3</v>
      </c>
      <c r="N333" s="28">
        <f>+IFERROR(IF(GUAYAQUIL[[#This Row],[CODIGO]]="","",VLOOKUP(GUAYAQUIL[[#This Row],[CODIGO]],MAESTRO!A:P,16,FALSE)),"")</f>
        <v>40</v>
      </c>
      <c r="O333" s="45">
        <v>45615</v>
      </c>
      <c r="P333" s="72" t="str">
        <f t="shared" si="25"/>
        <v>martes</v>
      </c>
      <c r="Q333" s="29">
        <f>IFERROR(IF(GUAYAQUIL[[#This Row],[CODIGO]]="","",IF(GUAYAQUIL[[#This Row],[Fecha Cad]]="","",(GUAYAQUIL[[#This Row],[Fecha Cad]]-GUAYAQUIL[[#This Row],[VIDA UTIL (Días)]]))+1),"")</f>
        <v>45610</v>
      </c>
      <c r="R333" s="45">
        <v>45649</v>
      </c>
      <c r="S333" s="30">
        <f t="shared" ca="1" si="26"/>
        <v>25</v>
      </c>
      <c r="T333" s="31">
        <f t="shared" ca="1" si="27"/>
        <v>0.625</v>
      </c>
      <c r="U333" s="286">
        <v>156</v>
      </c>
      <c r="V333" s="265">
        <f>+IFERROR(IF(GUAYAQUIL[[#This Row],[CODIGO]]="","",GUAYAQUIL[[#This Row],[Stock Actual Unds]]*GUAYAQUIL[[#This Row],[Gramaje]]*GUAYAQUIL[[#This Row],[Conversión]]),"")</f>
        <v>1404</v>
      </c>
      <c r="W333" s="270">
        <f t="shared" si="28"/>
        <v>5</v>
      </c>
      <c r="X333" s="32">
        <f t="shared" si="29"/>
        <v>0.875</v>
      </c>
      <c r="Y333" s="236">
        <f>IFERROR(VLOOKUP(GUAYAQUIL[[#This Row],[CODIGO]],MAESTRO!A:BI,21,FALSE),0)</f>
        <v>4.8676950000000003</v>
      </c>
      <c r="Z333" s="237">
        <f>+IFERROR(IF(GUAYAQUIL[[#This Row],[CODIGO]]="","",GUAYAQUIL[[#This Row],[COSTO UNIT base]]*GUAYAQUIL[[#This Row],[Conversión]]),"")</f>
        <v>14.603085</v>
      </c>
      <c r="AA333" s="236">
        <f>+IFERROR(IF(GUAYAQUIL[[#This Row],[CODIGO]]="","",GUAYAQUIL[[#This Row],[COSTO UNIT Conv]]*GUAYAQUIL[[#This Row],[Stock Actual Kgs]]),"")</f>
        <v>20502.731339999998</v>
      </c>
      <c r="AB333" s="33">
        <f ca="1">+IFERROR(IF(GUAYAQUIL[[#This Row],[CODIGO]]="","",$J$3-O333),"")</f>
        <v>9</v>
      </c>
      <c r="AC333" s="34" t="str">
        <f ca="1">IF(GUAYAQUIL[[#This Row],[CODIGO]]="","",IF(S333&lt;=0,"CADUCADO",IF(AND(S333&gt;0,S333&lt;=21),"FECHA CORTA",IF(AND(S333&gt;=22,S333&lt;=26),"PROXIMOS FECHA CORTA", "VIGENTE"))))</f>
        <v>PROXIMOS FECHA CORTA</v>
      </c>
      <c r="AD333" s="37">
        <f>+IF(GUAYAQUIL[[#This Row],[CODIGO]]="","",GUAYAQUIL[[#This Row],[Stock Actual Unds]]*GUAYAQUIL[[#This Row],[Gramaje]]*GUAYAQUIL[[#This Row],[Conversión]])/1000</f>
        <v>1.4039999999999999</v>
      </c>
    </row>
    <row r="334" spans="1:30">
      <c r="A334" s="24" t="str">
        <f>+IFERROR(IF(GUAYAQUIL[[#This Row],[CODIGO]]="","",VLOOKUP(GUAYAQUIL[[#This Row],[CODIGO]],MAESTRO!$A:$J,10,FALSE)),"")</f>
        <v>SAN GABRIEL</v>
      </c>
      <c r="B334" s="24" t="str">
        <f>+IFERROR(IF(GUAYAQUIL[[#This Row],[CODIGO]]="","",VLOOKUP(GUAYAQUIL[[#This Row],[CODIGO]],MAESTRO!$A:$Q,17,FALSE)),"")</f>
        <v>QUESOS Y GRASAS</v>
      </c>
      <c r="C334" s="24" t="str">
        <f>+IFERROR(IF(GUAYAQUIL[[#This Row],[CODIGO]]="","",VLOOKUP(GUAYAQUIL[[#This Row],[CODIGO]],MAESTRO!$A:$BA,53,FALSE)),"")</f>
        <v xml:space="preserve">Esteban Montenegro                      </v>
      </c>
      <c r="D334" s="24" t="str">
        <f>+IFERROR(IF(GUAYAQUIL[[#This Row],[CODIGO]]="","",VLOOKUP(GUAYAQUIL[[#This Row],[CODIGO]],MAESTRO!$A:$D,4,FALSE)),"")</f>
        <v>QUESO FRESCO KIOSKO</v>
      </c>
      <c r="E334" s="24" t="str">
        <f>+IFERROR(IF(GUAYAQUIL[[#This Row],[CODIGO]]="","",VLOOKUP(GUAYAQUIL[[#This Row],[CODIGO]],MAESTRO!$A:$F,6,FALSE)),"")</f>
        <v>QUESO FRESCO KIOSKO BLOQUE</v>
      </c>
      <c r="F334" s="42" t="str">
        <f>IF(GUAYAQUIL[[#This Row],[CODIGO]]="","",$K$6)</f>
        <v>GUAYAQUIL</v>
      </c>
      <c r="G334" s="42">
        <f>IF(GUAYAQUIL[[#This Row],[CODIGO]]="","",7711)</f>
        <v>7711</v>
      </c>
      <c r="H334" s="42">
        <f>IF(GUAYAQUIL[[#This Row],[CODIGO]]="","",1001)</f>
        <v>1001</v>
      </c>
      <c r="I334" s="258" t="s">
        <v>2408</v>
      </c>
      <c r="J334" s="25" t="str">
        <f>IFERROR((VLOOKUP(GUAYAQUIL[[#This Row],[CODIGO]],MAESTRO!A:B,2,FALSE)),"")</f>
        <v>Q FRES CRIOL KIOSKO AL PESO</v>
      </c>
      <c r="K334" s="35">
        <v>54</v>
      </c>
      <c r="L334" s="38">
        <f>+IFERROR(IF(GUAYAQUIL[[#This Row],[CODIGO]]="","",VLOOKUP(GUAYAQUIL[[#This Row],[CODIGO]],MAESTRO!$A:$BF,58,FALSE)),"")</f>
        <v>3</v>
      </c>
      <c r="M334" s="27">
        <f>+IFERROR(IF(GUAYAQUIL[[#This Row],[CODIGO]]="","",VLOOKUP(GUAYAQUIL[[#This Row],[CODIGO]],MAESTRO!A:N,14,FALSE)),"")</f>
        <v>3</v>
      </c>
      <c r="N334" s="28">
        <f>+IFERROR(IF(GUAYAQUIL[[#This Row],[CODIGO]]="","",VLOOKUP(GUAYAQUIL[[#This Row],[CODIGO]],MAESTRO!A:P,16,FALSE)),"")</f>
        <v>40</v>
      </c>
      <c r="O334" s="45">
        <v>45615</v>
      </c>
      <c r="P334" s="72" t="str">
        <f t="shared" si="25"/>
        <v>martes</v>
      </c>
      <c r="Q334" s="29">
        <f>IFERROR(IF(GUAYAQUIL[[#This Row],[CODIGO]]="","",IF(GUAYAQUIL[[#This Row],[Fecha Cad]]="","",(GUAYAQUIL[[#This Row],[Fecha Cad]]-GUAYAQUIL[[#This Row],[VIDA UTIL (Días)]]))+1),"")</f>
        <v>45615</v>
      </c>
      <c r="R334" s="45">
        <v>45654</v>
      </c>
      <c r="S334" s="30">
        <f t="shared" ca="1" si="26"/>
        <v>30</v>
      </c>
      <c r="T334" s="31">
        <f t="shared" ca="1" si="27"/>
        <v>0.75</v>
      </c>
      <c r="U334" s="286">
        <v>54</v>
      </c>
      <c r="V334" s="265">
        <f>+IFERROR(IF(GUAYAQUIL[[#This Row],[CODIGO]]="","",GUAYAQUIL[[#This Row],[Stock Actual Unds]]*GUAYAQUIL[[#This Row],[Gramaje]]*GUAYAQUIL[[#This Row],[Conversión]]),"")</f>
        <v>486</v>
      </c>
      <c r="W334" s="270">
        <f t="shared" si="28"/>
        <v>0</v>
      </c>
      <c r="X334" s="32">
        <f t="shared" si="29"/>
        <v>1</v>
      </c>
      <c r="Y334" s="236">
        <f>IFERROR(VLOOKUP(GUAYAQUIL[[#This Row],[CODIGO]],MAESTRO!A:BI,21,FALSE),0)</f>
        <v>4.8676950000000003</v>
      </c>
      <c r="Z334" s="237">
        <f>+IFERROR(IF(GUAYAQUIL[[#This Row],[CODIGO]]="","",GUAYAQUIL[[#This Row],[COSTO UNIT base]]*GUAYAQUIL[[#This Row],[Conversión]]),"")</f>
        <v>14.603085</v>
      </c>
      <c r="AA334" s="236">
        <f>+IFERROR(IF(GUAYAQUIL[[#This Row],[CODIGO]]="","",GUAYAQUIL[[#This Row],[COSTO UNIT Conv]]*GUAYAQUIL[[#This Row],[Stock Actual Kgs]]),"")</f>
        <v>7097.0993099999996</v>
      </c>
      <c r="AB334" s="33">
        <f ca="1">+IFERROR(IF(GUAYAQUIL[[#This Row],[CODIGO]]="","",$J$3-O334),"")</f>
        <v>9</v>
      </c>
      <c r="AC334" s="34" t="str">
        <f ca="1">IF(GUAYAQUIL[[#This Row],[CODIGO]]="","",IF(S334&lt;=0,"CADUCADO",IF(AND(S334&gt;0,S334&lt;=21),"FECHA CORTA",IF(AND(S334&gt;=22,S334&lt;=26),"PROXIMOS FECHA CORTA", "VIGENTE"))))</f>
        <v>VIGENTE</v>
      </c>
      <c r="AD334" s="37">
        <f>+IF(GUAYAQUIL[[#This Row],[CODIGO]]="","",GUAYAQUIL[[#This Row],[Stock Actual Unds]]*GUAYAQUIL[[#This Row],[Gramaje]]*GUAYAQUIL[[#This Row],[Conversión]])/1000</f>
        <v>0.48599999999999999</v>
      </c>
    </row>
    <row r="335" spans="1:30">
      <c r="A335" s="24" t="str">
        <f>+IFERROR(IF(GUAYAQUIL[[#This Row],[CODIGO]]="","",VLOOKUP(GUAYAQUIL[[#This Row],[CODIGO]],MAESTRO!$A:$J,10,FALSE)),"")</f>
        <v>SAN GABRIEL</v>
      </c>
      <c r="B335" s="24" t="str">
        <f>+IFERROR(IF(GUAYAQUIL[[#This Row],[CODIGO]]="","",VLOOKUP(GUAYAQUIL[[#This Row],[CODIGO]],MAESTRO!$A:$Q,17,FALSE)),"")</f>
        <v>QUESOS Y GRASAS</v>
      </c>
      <c r="C335" s="24" t="str">
        <f>+IFERROR(IF(GUAYAQUIL[[#This Row],[CODIGO]]="","",VLOOKUP(GUAYAQUIL[[#This Row],[CODIGO]],MAESTRO!$A:$BA,53,FALSE)),"")</f>
        <v xml:space="preserve">Esteban Montenegro                      </v>
      </c>
      <c r="D335" s="24" t="str">
        <f>+IFERROR(IF(GUAYAQUIL[[#This Row],[CODIGO]]="","",VLOOKUP(GUAYAQUIL[[#This Row],[CODIGO]],MAESTRO!$A:$D,4,FALSE)),"")</f>
        <v>QUESO FRESCO KIOSKO</v>
      </c>
      <c r="E335" s="24" t="str">
        <f>+IFERROR(IF(GUAYAQUIL[[#This Row],[CODIGO]]="","",VLOOKUP(GUAYAQUIL[[#This Row],[CODIGO]],MAESTRO!$A:$F,6,FALSE)),"")</f>
        <v>QUESO FRESCO KIOSKO BLOQUE</v>
      </c>
      <c r="F335" s="42" t="str">
        <f>IF(GUAYAQUIL[[#This Row],[CODIGO]]="","",$K$6)</f>
        <v>GUAYAQUIL</v>
      </c>
      <c r="G335" s="42">
        <f>IF(GUAYAQUIL[[#This Row],[CODIGO]]="","",7711)</f>
        <v>7711</v>
      </c>
      <c r="H335" s="42">
        <f>IF(GUAYAQUIL[[#This Row],[CODIGO]]="","",1001)</f>
        <v>1001</v>
      </c>
      <c r="I335" s="258" t="s">
        <v>2408</v>
      </c>
      <c r="J335" s="25" t="str">
        <f>IFERROR((VLOOKUP(GUAYAQUIL[[#This Row],[CODIGO]],MAESTRO!A:B,2,FALSE)),"")</f>
        <v>Q FRES CRIOL KIOSKO AL PESO</v>
      </c>
      <c r="K335" s="35">
        <v>438</v>
      </c>
      <c r="L335" s="38">
        <f>+IFERROR(IF(GUAYAQUIL[[#This Row],[CODIGO]]="","",VLOOKUP(GUAYAQUIL[[#This Row],[CODIGO]],MAESTRO!$A:$BF,58,FALSE)),"")</f>
        <v>3</v>
      </c>
      <c r="M335" s="27">
        <f>+IFERROR(IF(GUAYAQUIL[[#This Row],[CODIGO]]="","",VLOOKUP(GUAYAQUIL[[#This Row],[CODIGO]],MAESTRO!A:N,14,FALSE)),"")</f>
        <v>3</v>
      </c>
      <c r="N335" s="28">
        <f>+IFERROR(IF(GUAYAQUIL[[#This Row],[CODIGO]]="","",VLOOKUP(GUAYAQUIL[[#This Row],[CODIGO]],MAESTRO!A:P,16,FALSE)),"")</f>
        <v>40</v>
      </c>
      <c r="O335" s="45">
        <v>45617</v>
      </c>
      <c r="P335" s="72" t="str">
        <f t="shared" si="25"/>
        <v>jueves</v>
      </c>
      <c r="Q335" s="29">
        <f>IFERROR(IF(GUAYAQUIL[[#This Row],[CODIGO]]="","",IF(GUAYAQUIL[[#This Row],[Fecha Cad]]="","",(GUAYAQUIL[[#This Row],[Fecha Cad]]-GUAYAQUIL[[#This Row],[VIDA UTIL (Días)]]))+1),"")</f>
        <v>45615</v>
      </c>
      <c r="R335" s="45">
        <v>45654</v>
      </c>
      <c r="S335" s="30">
        <f t="shared" ca="1" si="26"/>
        <v>30</v>
      </c>
      <c r="T335" s="31">
        <f t="shared" ca="1" si="27"/>
        <v>0.75</v>
      </c>
      <c r="U335" s="286">
        <v>438</v>
      </c>
      <c r="V335" s="265">
        <f>+IFERROR(IF(GUAYAQUIL[[#This Row],[CODIGO]]="","",GUAYAQUIL[[#This Row],[Stock Actual Unds]]*GUAYAQUIL[[#This Row],[Gramaje]]*GUAYAQUIL[[#This Row],[Conversión]]),"")</f>
        <v>3942</v>
      </c>
      <c r="W335" s="270">
        <f t="shared" si="28"/>
        <v>2</v>
      </c>
      <c r="X335" s="32">
        <f t="shared" si="29"/>
        <v>0.95</v>
      </c>
      <c r="Y335" s="236">
        <f>IFERROR(VLOOKUP(GUAYAQUIL[[#This Row],[CODIGO]],MAESTRO!A:BI,21,FALSE),0)</f>
        <v>4.8676950000000003</v>
      </c>
      <c r="Z335" s="237">
        <f>+IFERROR(IF(GUAYAQUIL[[#This Row],[CODIGO]]="","",GUAYAQUIL[[#This Row],[COSTO UNIT base]]*GUAYAQUIL[[#This Row],[Conversión]]),"")</f>
        <v>14.603085</v>
      </c>
      <c r="AA335" s="236">
        <f>+IFERROR(IF(GUAYAQUIL[[#This Row],[CODIGO]]="","",GUAYAQUIL[[#This Row],[COSTO UNIT Conv]]*GUAYAQUIL[[#This Row],[Stock Actual Kgs]]),"")</f>
        <v>57565.361069999999</v>
      </c>
      <c r="AB335" s="33">
        <f ca="1">+IFERROR(IF(GUAYAQUIL[[#This Row],[CODIGO]]="","",$J$3-O335),"")</f>
        <v>7</v>
      </c>
      <c r="AC335" s="34" t="str">
        <f ca="1">IF(GUAYAQUIL[[#This Row],[CODIGO]]="","",IF(S335&lt;=0,"CADUCADO",IF(AND(S335&gt;0,S335&lt;=21),"FECHA CORTA",IF(AND(S335&gt;=22,S335&lt;=26),"PROXIMOS FECHA CORTA", "VIGENTE"))))</f>
        <v>VIGENTE</v>
      </c>
      <c r="AD335" s="37">
        <f>+IF(GUAYAQUIL[[#This Row],[CODIGO]]="","",GUAYAQUIL[[#This Row],[Stock Actual Unds]]*GUAYAQUIL[[#This Row],[Gramaje]]*GUAYAQUIL[[#This Row],[Conversión]])/1000</f>
        <v>3.9420000000000002</v>
      </c>
    </row>
    <row r="336" spans="1:30">
      <c r="A336" s="24" t="str">
        <f>+IFERROR(IF(GUAYAQUIL[[#This Row],[CODIGO]]="","",VLOOKUP(GUAYAQUIL[[#This Row],[CODIGO]],MAESTRO!$A:$J,10,FALSE)),"")</f>
        <v>MACHACHI</v>
      </c>
      <c r="B336" s="24" t="str">
        <f>+IFERROR(IF(GUAYAQUIL[[#This Row],[CODIGO]]="","",VLOOKUP(GUAYAQUIL[[#This Row],[CODIGO]],MAESTRO!$A:$Q,17,FALSE)),"")</f>
        <v>BEBIDAS LACTEAS</v>
      </c>
      <c r="C336" s="24" t="str">
        <f>+IFERROR(IF(GUAYAQUIL[[#This Row],[CODIGO]]="","",VLOOKUP(GUAYAQUIL[[#This Row],[CODIGO]],MAESTRO!$A:$BA,53,FALSE)),"")</f>
        <v xml:space="preserve">Luis Armendariz                         </v>
      </c>
      <c r="D336" s="24" t="str">
        <f>+IFERROR(IF(GUAYAQUIL[[#This Row],[CODIGO]]="","",VLOOKUP(GUAYAQUIL[[#This Row],[CODIGO]],MAESTRO!$A:$D,4,FALSE)),"")</f>
        <v>KUMIS ALPINA</v>
      </c>
      <c r="E336" s="24" t="str">
        <f>+IFERROR(IF(GUAYAQUIL[[#This Row],[CODIGO]]="","",VLOOKUP(GUAYAQUIL[[#This Row],[CODIGO]],MAESTRO!$A:$F,6,FALSE)),"")</f>
        <v>KUMIS BOTELLA FAMILIAR</v>
      </c>
      <c r="F336" s="42" t="str">
        <f>IF(GUAYAQUIL[[#This Row],[CODIGO]]="","",$K$6)</f>
        <v>GUAYAQUIL</v>
      </c>
      <c r="G336" s="42">
        <f>IF(GUAYAQUIL[[#This Row],[CODIGO]]="","",7711)</f>
        <v>7711</v>
      </c>
      <c r="H336" s="42">
        <f>IF(GUAYAQUIL[[#This Row],[CODIGO]]="","",1001)</f>
        <v>1001</v>
      </c>
      <c r="I336" s="258" t="s">
        <v>1749</v>
      </c>
      <c r="J336" s="25" t="str">
        <f>IFERROR((VLOOKUP(GUAYAQUIL[[#This Row],[CODIGO]],MAESTRO!A:B,2,FALSE)),"")</f>
        <v>KUMIS ORIG BOT 1000G ECU</v>
      </c>
      <c r="K336" s="35">
        <v>54</v>
      </c>
      <c r="L336" s="38">
        <f>+IFERROR(IF(GUAYAQUIL[[#This Row],[CODIGO]]="","",VLOOKUP(GUAYAQUIL[[#This Row],[CODIGO]],MAESTRO!$A:$BF,58,FALSE)),"")</f>
        <v>1</v>
      </c>
      <c r="M336" s="27">
        <f>+IFERROR(IF(GUAYAQUIL[[#This Row],[CODIGO]]="","",VLOOKUP(GUAYAQUIL[[#This Row],[CODIGO]],MAESTRO!A:N,14,FALSE)),"")</f>
        <v>1</v>
      </c>
      <c r="N336" s="28">
        <f>+IFERROR(IF(GUAYAQUIL[[#This Row],[CODIGO]]="","",VLOOKUP(GUAYAQUIL[[#This Row],[CODIGO]],MAESTRO!A:P,16,FALSE)),"")</f>
        <v>45</v>
      </c>
      <c r="O336" s="45">
        <v>45594</v>
      </c>
      <c r="P336" s="72" t="str">
        <f t="shared" si="25"/>
        <v>martes</v>
      </c>
      <c r="Q336" s="29">
        <f>IFERROR(IF(GUAYAQUIL[[#This Row],[CODIGO]]="","",IF(GUAYAQUIL[[#This Row],[Fecha Cad]]="","",(GUAYAQUIL[[#This Row],[Fecha Cad]]-GUAYAQUIL[[#This Row],[VIDA UTIL (Días)]]))+1),"")</f>
        <v>45590</v>
      </c>
      <c r="R336" s="45">
        <v>45634</v>
      </c>
      <c r="S336" s="30">
        <f t="shared" ca="1" si="26"/>
        <v>10</v>
      </c>
      <c r="T336" s="31">
        <f t="shared" ca="1" si="27"/>
        <v>0.22222222222222221</v>
      </c>
      <c r="U336" s="286">
        <v>35</v>
      </c>
      <c r="V336" s="265">
        <f>+IFERROR(IF(GUAYAQUIL[[#This Row],[CODIGO]]="","",GUAYAQUIL[[#This Row],[Stock Actual Unds]]*GUAYAQUIL[[#This Row],[Gramaje]]*GUAYAQUIL[[#This Row],[Conversión]]),"")</f>
        <v>35</v>
      </c>
      <c r="W336" s="270">
        <f t="shared" si="28"/>
        <v>4</v>
      </c>
      <c r="X336" s="32">
        <f t="shared" si="29"/>
        <v>0.91111111111111109</v>
      </c>
      <c r="Y336" s="236">
        <f>IFERROR(VLOOKUP(GUAYAQUIL[[#This Row],[CODIGO]],MAESTRO!A:BI,21,FALSE),0)</f>
        <v>1.14123</v>
      </c>
      <c r="Z336" s="237">
        <f>+IFERROR(IF(GUAYAQUIL[[#This Row],[CODIGO]]="","",GUAYAQUIL[[#This Row],[COSTO UNIT base]]*GUAYAQUIL[[#This Row],[Conversión]]),"")</f>
        <v>1.14123</v>
      </c>
      <c r="AA336" s="236">
        <f>+IFERROR(IF(GUAYAQUIL[[#This Row],[CODIGO]]="","",GUAYAQUIL[[#This Row],[COSTO UNIT Conv]]*GUAYAQUIL[[#This Row],[Stock Actual Kgs]]),"")</f>
        <v>39.943049999999999</v>
      </c>
      <c r="AB336" s="33">
        <f ca="1">+IFERROR(IF(GUAYAQUIL[[#This Row],[CODIGO]]="","",$J$3-O336),"")</f>
        <v>30</v>
      </c>
      <c r="AC336" s="34" t="str">
        <f ca="1">IF(GUAYAQUIL[[#This Row],[CODIGO]]="","",IF(S336&lt;=0,"CADUCADO",IF(AND(S336&gt;0,S336&lt;=21),"FECHA CORTA",IF(AND(S336&gt;=22,S336&lt;=26),"PROXIMOS FECHA CORTA", "VIGENTE"))))</f>
        <v>FECHA CORTA</v>
      </c>
      <c r="AD336" s="37">
        <f>+IF(GUAYAQUIL[[#This Row],[CODIGO]]="","",GUAYAQUIL[[#This Row],[Stock Actual Unds]]*GUAYAQUIL[[#This Row],[Gramaje]]*GUAYAQUIL[[#This Row],[Conversión]])/1000</f>
        <v>3.5000000000000003E-2</v>
      </c>
    </row>
    <row r="337" spans="1:30">
      <c r="A337" s="24" t="str">
        <f>+IFERROR(IF(GUAYAQUIL[[#This Row],[CODIGO]]="","",VLOOKUP(GUAYAQUIL[[#This Row],[CODIGO]],MAESTRO!$A:$J,10,FALSE)),"")</f>
        <v>MACHACHI</v>
      </c>
      <c r="B337" s="24" t="str">
        <f>+IFERROR(IF(GUAYAQUIL[[#This Row],[CODIGO]]="","",VLOOKUP(GUAYAQUIL[[#This Row],[CODIGO]],MAESTRO!$A:$Q,17,FALSE)),"")</f>
        <v>BEBIDAS LACTEAS</v>
      </c>
      <c r="C337" s="24" t="str">
        <f>+IFERROR(IF(GUAYAQUIL[[#This Row],[CODIGO]]="","",VLOOKUP(GUAYAQUIL[[#This Row],[CODIGO]],MAESTRO!$A:$BA,53,FALSE)),"")</f>
        <v xml:space="preserve">Luis Armendariz                         </v>
      </c>
      <c r="D337" s="24" t="str">
        <f>+IFERROR(IF(GUAYAQUIL[[#This Row],[CODIGO]]="","",VLOOKUP(GUAYAQUIL[[#This Row],[CODIGO]],MAESTRO!$A:$D,4,FALSE)),"")</f>
        <v>KUMIS ALPINA</v>
      </c>
      <c r="E337" s="24" t="str">
        <f>+IFERROR(IF(GUAYAQUIL[[#This Row],[CODIGO]]="","",VLOOKUP(GUAYAQUIL[[#This Row],[CODIGO]],MAESTRO!$A:$F,6,FALSE)),"")</f>
        <v>KUMIS BOTELLA FAMILIAR</v>
      </c>
      <c r="F337" s="42" t="str">
        <f>IF(GUAYAQUIL[[#This Row],[CODIGO]]="","",$K$6)</f>
        <v>GUAYAQUIL</v>
      </c>
      <c r="G337" s="42">
        <f>IF(GUAYAQUIL[[#This Row],[CODIGO]]="","",7711)</f>
        <v>7711</v>
      </c>
      <c r="H337" s="42">
        <f>IF(GUAYAQUIL[[#This Row],[CODIGO]]="","",1001)</f>
        <v>1001</v>
      </c>
      <c r="I337" s="258" t="s">
        <v>1749</v>
      </c>
      <c r="J337" s="25" t="str">
        <f>IFERROR((VLOOKUP(GUAYAQUIL[[#This Row],[CODIGO]],MAESTRO!A:B,2,FALSE)),"")</f>
        <v>KUMIS ORIG BOT 1000G ECU</v>
      </c>
      <c r="K337" s="35">
        <v>18</v>
      </c>
      <c r="L337" s="38">
        <f>+IFERROR(IF(GUAYAQUIL[[#This Row],[CODIGO]]="","",VLOOKUP(GUAYAQUIL[[#This Row],[CODIGO]],MAESTRO!$A:$BF,58,FALSE)),"")</f>
        <v>1</v>
      </c>
      <c r="M337" s="27">
        <f>+IFERROR(IF(GUAYAQUIL[[#This Row],[CODIGO]]="","",VLOOKUP(GUAYAQUIL[[#This Row],[CODIGO]],MAESTRO!A:N,14,FALSE)),"")</f>
        <v>1</v>
      </c>
      <c r="N337" s="28">
        <f>+IFERROR(IF(GUAYAQUIL[[#This Row],[CODIGO]]="","",VLOOKUP(GUAYAQUIL[[#This Row],[CODIGO]],MAESTRO!A:P,16,FALSE)),"")</f>
        <v>45</v>
      </c>
      <c r="O337" s="45">
        <v>45595</v>
      </c>
      <c r="P337" s="72" t="str">
        <f t="shared" si="25"/>
        <v>miércoles</v>
      </c>
      <c r="Q337" s="29">
        <f>IFERROR(IF(GUAYAQUIL[[#This Row],[CODIGO]]="","",IF(GUAYAQUIL[[#This Row],[Fecha Cad]]="","",(GUAYAQUIL[[#This Row],[Fecha Cad]]-GUAYAQUIL[[#This Row],[VIDA UTIL (Días)]]))+1),"")</f>
        <v>45590</v>
      </c>
      <c r="R337" s="45">
        <v>45634</v>
      </c>
      <c r="S337" s="30">
        <f t="shared" ca="1" si="26"/>
        <v>10</v>
      </c>
      <c r="T337" s="31">
        <f t="shared" ca="1" si="27"/>
        <v>0.22222222222222221</v>
      </c>
      <c r="U337" s="286">
        <v>18</v>
      </c>
      <c r="V337" s="265">
        <f>+IFERROR(IF(GUAYAQUIL[[#This Row],[CODIGO]]="","",GUAYAQUIL[[#This Row],[Stock Actual Unds]]*GUAYAQUIL[[#This Row],[Gramaje]]*GUAYAQUIL[[#This Row],[Conversión]]),"")</f>
        <v>18</v>
      </c>
      <c r="W337" s="270">
        <f t="shared" si="28"/>
        <v>5</v>
      </c>
      <c r="X337" s="32">
        <f t="shared" si="29"/>
        <v>0.88888888888888884</v>
      </c>
      <c r="Y337" s="236">
        <f>IFERROR(VLOOKUP(GUAYAQUIL[[#This Row],[CODIGO]],MAESTRO!A:BI,21,FALSE),0)</f>
        <v>1.14123</v>
      </c>
      <c r="Z337" s="237">
        <f>+IFERROR(IF(GUAYAQUIL[[#This Row],[CODIGO]]="","",GUAYAQUIL[[#This Row],[COSTO UNIT base]]*GUAYAQUIL[[#This Row],[Conversión]]),"")</f>
        <v>1.14123</v>
      </c>
      <c r="AA337" s="236">
        <f>+IFERROR(IF(GUAYAQUIL[[#This Row],[CODIGO]]="","",GUAYAQUIL[[#This Row],[COSTO UNIT Conv]]*GUAYAQUIL[[#This Row],[Stock Actual Kgs]]),"")</f>
        <v>20.54214</v>
      </c>
      <c r="AB337" s="33">
        <f ca="1">+IFERROR(IF(GUAYAQUIL[[#This Row],[CODIGO]]="","",$J$3-O337),"")</f>
        <v>29</v>
      </c>
      <c r="AC337" s="34" t="str">
        <f ca="1">IF(GUAYAQUIL[[#This Row],[CODIGO]]="","",IF(S337&lt;=0,"CADUCADO",IF(AND(S337&gt;0,S337&lt;=21),"FECHA CORTA",IF(AND(S337&gt;=22,S337&lt;=26),"PROXIMOS FECHA CORTA", "VIGENTE"))))</f>
        <v>FECHA CORTA</v>
      </c>
      <c r="AD337" s="37">
        <f>+IF(GUAYAQUIL[[#This Row],[CODIGO]]="","",GUAYAQUIL[[#This Row],[Stock Actual Unds]]*GUAYAQUIL[[#This Row],[Gramaje]]*GUAYAQUIL[[#This Row],[Conversión]])/1000</f>
        <v>1.7999999999999999E-2</v>
      </c>
    </row>
    <row r="338" spans="1:30">
      <c r="A338" s="24" t="str">
        <f>+IFERROR(IF(GUAYAQUIL[[#This Row],[CODIGO]]="","",VLOOKUP(GUAYAQUIL[[#This Row],[CODIGO]],MAESTRO!$A:$J,10,FALSE)),"")</f>
        <v>MACHACHI</v>
      </c>
      <c r="B338" s="24" t="str">
        <f>+IFERROR(IF(GUAYAQUIL[[#This Row],[CODIGO]]="","",VLOOKUP(GUAYAQUIL[[#This Row],[CODIGO]],MAESTRO!$A:$Q,17,FALSE)),"")</f>
        <v>BEBIDAS LACTEAS</v>
      </c>
      <c r="C338" s="24" t="str">
        <f>+IFERROR(IF(GUAYAQUIL[[#This Row],[CODIGO]]="","",VLOOKUP(GUAYAQUIL[[#This Row],[CODIGO]],MAESTRO!$A:$BA,53,FALSE)),"")</f>
        <v xml:space="preserve">Luis Armendariz                         </v>
      </c>
      <c r="D338" s="24" t="str">
        <f>+IFERROR(IF(GUAYAQUIL[[#This Row],[CODIGO]]="","",VLOOKUP(GUAYAQUIL[[#This Row],[CODIGO]],MAESTRO!$A:$D,4,FALSE)),"")</f>
        <v>KUMIS ALPINA</v>
      </c>
      <c r="E338" s="24" t="str">
        <f>+IFERROR(IF(GUAYAQUIL[[#This Row],[CODIGO]]="","",VLOOKUP(GUAYAQUIL[[#This Row],[CODIGO]],MAESTRO!$A:$F,6,FALSE)),"")</f>
        <v>KUMIS BOTELLA FAMILIAR</v>
      </c>
      <c r="F338" s="42" t="str">
        <f>IF(GUAYAQUIL[[#This Row],[CODIGO]]="","",$K$6)</f>
        <v>GUAYAQUIL</v>
      </c>
      <c r="G338" s="42">
        <f>IF(GUAYAQUIL[[#This Row],[CODIGO]]="","",7711)</f>
        <v>7711</v>
      </c>
      <c r="H338" s="42">
        <f>IF(GUAYAQUIL[[#This Row],[CODIGO]]="","",1001)</f>
        <v>1001</v>
      </c>
      <c r="I338" s="258" t="s">
        <v>1749</v>
      </c>
      <c r="J338" s="25" t="str">
        <f>IFERROR((VLOOKUP(GUAYAQUIL[[#This Row],[CODIGO]],MAESTRO!A:B,2,FALSE)),"")</f>
        <v>KUMIS ORIG BOT 1000G ECU</v>
      </c>
      <c r="K338" s="35">
        <v>18</v>
      </c>
      <c r="L338" s="38">
        <f>+IFERROR(IF(GUAYAQUIL[[#This Row],[CODIGO]]="","",VLOOKUP(GUAYAQUIL[[#This Row],[CODIGO]],MAESTRO!$A:$BF,58,FALSE)),"")</f>
        <v>1</v>
      </c>
      <c r="M338" s="27">
        <f>+IFERROR(IF(GUAYAQUIL[[#This Row],[CODIGO]]="","",VLOOKUP(GUAYAQUIL[[#This Row],[CODIGO]],MAESTRO!A:N,14,FALSE)),"")</f>
        <v>1</v>
      </c>
      <c r="N338" s="28">
        <f>+IFERROR(IF(GUAYAQUIL[[#This Row],[CODIGO]]="","",VLOOKUP(GUAYAQUIL[[#This Row],[CODIGO]],MAESTRO!A:P,16,FALSE)),"")</f>
        <v>45</v>
      </c>
      <c r="O338" s="45">
        <v>45596</v>
      </c>
      <c r="P338" s="72" t="str">
        <f t="shared" si="25"/>
        <v>jueves</v>
      </c>
      <c r="Q338" s="29">
        <f>IFERROR(IF(GUAYAQUIL[[#This Row],[CODIGO]]="","",IF(GUAYAQUIL[[#This Row],[Fecha Cad]]="","",(GUAYAQUIL[[#This Row],[Fecha Cad]]-GUAYAQUIL[[#This Row],[VIDA UTIL (Días)]]))+1),"")</f>
        <v>45590</v>
      </c>
      <c r="R338" s="45">
        <v>45634</v>
      </c>
      <c r="S338" s="30">
        <f t="shared" ca="1" si="26"/>
        <v>10</v>
      </c>
      <c r="T338" s="31">
        <f t="shared" ca="1" si="27"/>
        <v>0.22222222222222221</v>
      </c>
      <c r="U338" s="286">
        <v>18</v>
      </c>
      <c r="V338" s="265">
        <f>+IFERROR(IF(GUAYAQUIL[[#This Row],[CODIGO]]="","",GUAYAQUIL[[#This Row],[Stock Actual Unds]]*GUAYAQUIL[[#This Row],[Gramaje]]*GUAYAQUIL[[#This Row],[Conversión]]),"")</f>
        <v>18</v>
      </c>
      <c r="W338" s="270">
        <f t="shared" si="28"/>
        <v>6</v>
      </c>
      <c r="X338" s="32">
        <f t="shared" si="29"/>
        <v>0.8666666666666667</v>
      </c>
      <c r="Y338" s="236">
        <f>IFERROR(VLOOKUP(GUAYAQUIL[[#This Row],[CODIGO]],MAESTRO!A:BI,21,FALSE),0)</f>
        <v>1.14123</v>
      </c>
      <c r="Z338" s="237">
        <f>+IFERROR(IF(GUAYAQUIL[[#This Row],[CODIGO]]="","",GUAYAQUIL[[#This Row],[COSTO UNIT base]]*GUAYAQUIL[[#This Row],[Conversión]]),"")</f>
        <v>1.14123</v>
      </c>
      <c r="AA338" s="236">
        <f>+IFERROR(IF(GUAYAQUIL[[#This Row],[CODIGO]]="","",GUAYAQUIL[[#This Row],[COSTO UNIT Conv]]*GUAYAQUIL[[#This Row],[Stock Actual Kgs]]),"")</f>
        <v>20.54214</v>
      </c>
      <c r="AB338" s="33">
        <f ca="1">+IFERROR(IF(GUAYAQUIL[[#This Row],[CODIGO]]="","",$J$3-O338),"")</f>
        <v>28</v>
      </c>
      <c r="AC338" s="34" t="str">
        <f ca="1">IF(GUAYAQUIL[[#This Row],[CODIGO]]="","",IF(S338&lt;=0,"CADUCADO",IF(AND(S338&gt;0,S338&lt;=21),"FECHA CORTA",IF(AND(S338&gt;=22,S338&lt;=26),"PROXIMOS FECHA CORTA", "VIGENTE"))))</f>
        <v>FECHA CORTA</v>
      </c>
      <c r="AD338" s="37">
        <f>+IF(GUAYAQUIL[[#This Row],[CODIGO]]="","",GUAYAQUIL[[#This Row],[Stock Actual Unds]]*GUAYAQUIL[[#This Row],[Gramaje]]*GUAYAQUIL[[#This Row],[Conversión]])/1000</f>
        <v>1.7999999999999999E-2</v>
      </c>
    </row>
    <row r="339" spans="1:30">
      <c r="A339" s="24" t="str">
        <f>+IFERROR(IF(GUAYAQUIL[[#This Row],[CODIGO]]="","",VLOOKUP(GUAYAQUIL[[#This Row],[CODIGO]],MAESTRO!$A:$J,10,FALSE)),"")</f>
        <v>MACHACHI</v>
      </c>
      <c r="B339" s="24" t="str">
        <f>+IFERROR(IF(GUAYAQUIL[[#This Row],[CODIGO]]="","",VLOOKUP(GUAYAQUIL[[#This Row],[CODIGO]],MAESTRO!$A:$Q,17,FALSE)),"")</f>
        <v>BEBIDAS LACTEAS</v>
      </c>
      <c r="C339" s="24" t="str">
        <f>+IFERROR(IF(GUAYAQUIL[[#This Row],[CODIGO]]="","",VLOOKUP(GUAYAQUIL[[#This Row],[CODIGO]],MAESTRO!$A:$BA,53,FALSE)),"")</f>
        <v xml:space="preserve">Luis Armendariz                         </v>
      </c>
      <c r="D339" s="24" t="str">
        <f>+IFERROR(IF(GUAYAQUIL[[#This Row],[CODIGO]]="","",VLOOKUP(GUAYAQUIL[[#This Row],[CODIGO]],MAESTRO!$A:$D,4,FALSE)),"")</f>
        <v>KUMIS ALPINA</v>
      </c>
      <c r="E339" s="24" t="str">
        <f>+IFERROR(IF(GUAYAQUIL[[#This Row],[CODIGO]]="","",VLOOKUP(GUAYAQUIL[[#This Row],[CODIGO]],MAESTRO!$A:$F,6,FALSE)),"")</f>
        <v>KUMIS BOTELLA FAMILIAR</v>
      </c>
      <c r="F339" s="42" t="str">
        <f>IF(GUAYAQUIL[[#This Row],[CODIGO]]="","",$K$6)</f>
        <v>GUAYAQUIL</v>
      </c>
      <c r="G339" s="209">
        <f>IF(GUAYAQUIL[[#This Row],[CODIGO]]="","",7711)</f>
        <v>7711</v>
      </c>
      <c r="H339" s="209">
        <f>IF(GUAYAQUIL[[#This Row],[CODIGO]]="","",1001)</f>
        <v>1001</v>
      </c>
      <c r="I339" s="258" t="s">
        <v>1749</v>
      </c>
      <c r="J339" s="25" t="str">
        <f>IFERROR((VLOOKUP(GUAYAQUIL[[#This Row],[CODIGO]],MAESTRO!A:B,2,FALSE)),"")</f>
        <v>KUMIS ORIG BOT 1000G ECU</v>
      </c>
      <c r="K339" s="35">
        <v>18</v>
      </c>
      <c r="L339" s="38">
        <f>+IFERROR(IF(GUAYAQUIL[[#This Row],[CODIGO]]="","",VLOOKUP(GUAYAQUIL[[#This Row],[CODIGO]],MAESTRO!$A:$BF,58,FALSE)),"")</f>
        <v>1</v>
      </c>
      <c r="M339" s="27">
        <f>+IFERROR(IF(GUAYAQUIL[[#This Row],[CODIGO]]="","",VLOOKUP(GUAYAQUIL[[#This Row],[CODIGO]],MAESTRO!A:N,14,FALSE)),"")</f>
        <v>1</v>
      </c>
      <c r="N339" s="28">
        <f>+IFERROR(IF(GUAYAQUIL[[#This Row],[CODIGO]]="","",VLOOKUP(GUAYAQUIL[[#This Row],[CODIGO]],MAESTRO!A:P,16,FALSE)),"")</f>
        <v>45</v>
      </c>
      <c r="O339" s="45">
        <v>45616</v>
      </c>
      <c r="P339" s="72" t="str">
        <f t="shared" si="25"/>
        <v>miércoles</v>
      </c>
      <c r="Q339" s="29">
        <f>IFERROR(IF(GUAYAQUIL[[#This Row],[CODIGO]]="","",IF(GUAYAQUIL[[#This Row],[Fecha Cad]]="","",(GUAYAQUIL[[#This Row],[Fecha Cad]]-GUAYAQUIL[[#This Row],[VIDA UTIL (Días)]]))+1),"")</f>
        <v>45615</v>
      </c>
      <c r="R339" s="45">
        <v>45659</v>
      </c>
      <c r="S339" s="30">
        <f t="shared" ca="1" si="26"/>
        <v>35</v>
      </c>
      <c r="T339" s="31">
        <f t="shared" ca="1" si="27"/>
        <v>0.77777777777777779</v>
      </c>
      <c r="U339" s="286">
        <v>18</v>
      </c>
      <c r="V339" s="265">
        <f>+IFERROR(IF(GUAYAQUIL[[#This Row],[CODIGO]]="","",GUAYAQUIL[[#This Row],[Stock Actual Unds]]*GUAYAQUIL[[#This Row],[Gramaje]]*GUAYAQUIL[[#This Row],[Conversión]]),"")</f>
        <v>18</v>
      </c>
      <c r="W339" s="270">
        <f t="shared" si="28"/>
        <v>1</v>
      </c>
      <c r="X339" s="32">
        <f t="shared" si="29"/>
        <v>0.97777777777777775</v>
      </c>
      <c r="Y339" s="236">
        <f>IFERROR(VLOOKUP(GUAYAQUIL[[#This Row],[CODIGO]],MAESTRO!A:BI,21,FALSE),0)</f>
        <v>1.14123</v>
      </c>
      <c r="Z339" s="237">
        <f>+IFERROR(IF(GUAYAQUIL[[#This Row],[CODIGO]]="","",GUAYAQUIL[[#This Row],[COSTO UNIT base]]*GUAYAQUIL[[#This Row],[Conversión]]),"")</f>
        <v>1.14123</v>
      </c>
      <c r="AA339" s="236">
        <f>+IFERROR(IF(GUAYAQUIL[[#This Row],[CODIGO]]="","",GUAYAQUIL[[#This Row],[COSTO UNIT Conv]]*GUAYAQUIL[[#This Row],[Stock Actual Kgs]]),"")</f>
        <v>20.54214</v>
      </c>
      <c r="AB339" s="33">
        <f ca="1">+IFERROR(IF(GUAYAQUIL[[#This Row],[CODIGO]]="","",$J$3-O339),"")</f>
        <v>8</v>
      </c>
      <c r="AC339" s="34" t="str">
        <f ca="1">IF(GUAYAQUIL[[#This Row],[CODIGO]]="","",IF(S339&lt;=0,"CADUCADO",IF(AND(S339&gt;0,S339&lt;=21),"FECHA CORTA",IF(AND(S339&gt;=22,S339&lt;=26),"PROXIMOS FECHA CORTA", "VIGENTE"))))</f>
        <v>VIGENTE</v>
      </c>
      <c r="AD339" s="37">
        <f>+IF(GUAYAQUIL[[#This Row],[CODIGO]]="","",GUAYAQUIL[[#This Row],[Stock Actual Unds]]*GUAYAQUIL[[#This Row],[Gramaje]]*GUAYAQUIL[[#This Row],[Conversión]])/1000</f>
        <v>1.7999999999999999E-2</v>
      </c>
    </row>
    <row r="340" spans="1:30">
      <c r="A340" s="24" t="str">
        <f>+IFERROR(IF(GUAYAQUIL[[#This Row],[CODIGO]]="","",VLOOKUP(GUAYAQUIL[[#This Row],[CODIGO]],MAESTRO!$A:$J,10,FALSE)),"")</f>
        <v>SAN GABRIEL</v>
      </c>
      <c r="B340" s="24" t="str">
        <f>+IFERROR(IF(GUAYAQUIL[[#This Row],[CODIGO]]="","",VLOOKUP(GUAYAQUIL[[#This Row],[CODIGO]],MAESTRO!$A:$Q,17,FALSE)),"")</f>
        <v>QUESOS Y GRASAS</v>
      </c>
      <c r="C340" s="24" t="str">
        <f>+IFERROR(IF(GUAYAQUIL[[#This Row],[CODIGO]]="","",VLOOKUP(GUAYAQUIL[[#This Row],[CODIGO]],MAESTRO!$A:$BA,53,FALSE)),"")</f>
        <v xml:space="preserve">Esteban Montenegro                      </v>
      </c>
      <c r="D340" s="24" t="str">
        <f>+IFERROR(IF(GUAYAQUIL[[#This Row],[CODIGO]]="","",VLOOKUP(GUAYAQUIL[[#This Row],[CODIGO]],MAESTRO!$A:$D,4,FALSE)),"")</f>
        <v>QUESO SEMIMADURO KIOSKO</v>
      </c>
      <c r="E340" s="24" t="str">
        <f>+IFERROR(IF(GUAYAQUIL[[#This Row],[CODIGO]]="","",VLOOKUP(GUAYAQUIL[[#This Row],[CODIGO]],MAESTRO!$A:$F,6,FALSE)),"")</f>
        <v>QUESO AMERICANO KIOSKO TAJADO</v>
      </c>
      <c r="F340" s="42" t="str">
        <f>IF(GUAYAQUIL[[#This Row],[CODIGO]]="","",$K$6)</f>
        <v>GUAYAQUIL</v>
      </c>
      <c r="G340" s="42">
        <f>IF(GUAYAQUIL[[#This Row],[CODIGO]]="","",7711)</f>
        <v>7711</v>
      </c>
      <c r="H340" s="42">
        <f>IF(GUAYAQUIL[[#This Row],[CODIGO]]="","",1001)</f>
        <v>1001</v>
      </c>
      <c r="I340" s="258" t="s">
        <v>1784</v>
      </c>
      <c r="J340" s="25" t="str">
        <f>IFERROR((VLOOKUP(GUAYAQUIL[[#This Row],[CODIGO]],MAESTRO!A:B,2,FALSE)),"")</f>
        <v>Q AMERIC KIOSKO 5 LONJ 75G</v>
      </c>
      <c r="K340" s="35">
        <v>240</v>
      </c>
      <c r="L340" s="38">
        <f>+IFERROR(IF(GUAYAQUIL[[#This Row],[CODIGO]]="","",VLOOKUP(GUAYAQUIL[[#This Row],[CODIGO]],MAESTRO!$A:$BF,58,FALSE)),"")</f>
        <v>1</v>
      </c>
      <c r="M340" s="27">
        <f>+IFERROR(IF(GUAYAQUIL[[#This Row],[CODIGO]]="","",VLOOKUP(GUAYAQUIL[[#This Row],[CODIGO]],MAESTRO!A:N,14,FALSE)),"")</f>
        <v>7.4999999999999997E-2</v>
      </c>
      <c r="N340" s="28">
        <f>+IFERROR(IF(GUAYAQUIL[[#This Row],[CODIGO]]="","",VLOOKUP(GUAYAQUIL[[#This Row],[CODIGO]],MAESTRO!A:P,16,FALSE)),"")</f>
        <v>60</v>
      </c>
      <c r="O340" s="45">
        <v>45611</v>
      </c>
      <c r="P340" s="72" t="str">
        <f t="shared" si="25"/>
        <v>viernes</v>
      </c>
      <c r="Q340" s="29">
        <f>IFERROR(IF(GUAYAQUIL[[#This Row],[CODIGO]]="","",IF(GUAYAQUIL[[#This Row],[Fecha Cad]]="","",(GUAYAQUIL[[#This Row],[Fecha Cad]]-GUAYAQUIL[[#This Row],[VIDA UTIL (Días)]]))+1),"")</f>
        <v>45608</v>
      </c>
      <c r="R340" s="45">
        <v>45667</v>
      </c>
      <c r="S340" s="30">
        <f t="shared" ca="1" si="26"/>
        <v>43</v>
      </c>
      <c r="T340" s="31">
        <f t="shared" ca="1" si="27"/>
        <v>0.71666666666666667</v>
      </c>
      <c r="U340" s="286">
        <v>192</v>
      </c>
      <c r="V340" s="265">
        <f>+IFERROR(IF(GUAYAQUIL[[#This Row],[CODIGO]]="","",GUAYAQUIL[[#This Row],[Stock Actual Unds]]*GUAYAQUIL[[#This Row],[Gramaje]]*GUAYAQUIL[[#This Row],[Conversión]]),"")</f>
        <v>14.399999999999999</v>
      </c>
      <c r="W340" s="270">
        <f t="shared" si="28"/>
        <v>3</v>
      </c>
      <c r="X340" s="32">
        <f t="shared" si="29"/>
        <v>0.95</v>
      </c>
      <c r="Y340" s="236">
        <f>IFERROR(VLOOKUP(GUAYAQUIL[[#This Row],[CODIGO]],MAESTRO!A:BI,21,FALSE),0)</f>
        <v>0.62094000000000005</v>
      </c>
      <c r="Z340" s="237">
        <f>+IFERROR(IF(GUAYAQUIL[[#This Row],[CODIGO]]="","",GUAYAQUIL[[#This Row],[COSTO UNIT base]]*GUAYAQUIL[[#This Row],[Conversión]]),"")</f>
        <v>0.62094000000000005</v>
      </c>
      <c r="AA340" s="236">
        <f>+IFERROR(IF(GUAYAQUIL[[#This Row],[CODIGO]]="","",GUAYAQUIL[[#This Row],[COSTO UNIT Conv]]*GUAYAQUIL[[#This Row],[Stock Actual Kgs]]),"")</f>
        <v>8.9415359999999993</v>
      </c>
      <c r="AB340" s="33">
        <f ca="1">+IFERROR(IF(GUAYAQUIL[[#This Row],[CODIGO]]="","",$J$3-O340),"")</f>
        <v>13</v>
      </c>
      <c r="AC340" s="34" t="str">
        <f ca="1">IF(GUAYAQUIL[[#This Row],[CODIGO]]="","",IF(S340&lt;=0,"CADUCADO",IF(AND(S340&gt;0,S340&lt;=21),"FECHA CORTA",IF(AND(S340&gt;=22,S340&lt;=26),"PROXIMOS FECHA CORTA", "VIGENTE"))))</f>
        <v>VIGENTE</v>
      </c>
      <c r="AD340" s="37">
        <f>+IF(GUAYAQUIL[[#This Row],[CODIGO]]="","",GUAYAQUIL[[#This Row],[Stock Actual Unds]]*GUAYAQUIL[[#This Row],[Gramaje]]*GUAYAQUIL[[#This Row],[Conversión]])/1000</f>
        <v>1.4399999999999998E-2</v>
      </c>
    </row>
    <row r="341" spans="1:30">
      <c r="A341" s="24" t="str">
        <f>+IFERROR(IF(GUAYAQUIL[[#This Row],[CODIGO]]="","",VLOOKUP(GUAYAQUIL[[#This Row],[CODIGO]],MAESTRO!$A:$J,10,FALSE)),"")</f>
        <v>SAN GABRIEL</v>
      </c>
      <c r="B341" s="24" t="str">
        <f>+IFERROR(IF(GUAYAQUIL[[#This Row],[CODIGO]]="","",VLOOKUP(GUAYAQUIL[[#This Row],[CODIGO]],MAESTRO!$A:$Q,17,FALSE)),"")</f>
        <v>QUESOS Y GRASAS</v>
      </c>
      <c r="C341" s="24" t="str">
        <f>+IFERROR(IF(GUAYAQUIL[[#This Row],[CODIGO]]="","",VLOOKUP(GUAYAQUIL[[#This Row],[CODIGO]],MAESTRO!$A:$BA,53,FALSE)),"")</f>
        <v xml:space="preserve">Esteban Montenegro                      </v>
      </c>
      <c r="D341" s="24" t="str">
        <f>+IFERROR(IF(GUAYAQUIL[[#This Row],[CODIGO]]="","",VLOOKUP(GUAYAQUIL[[#This Row],[CODIGO]],MAESTRO!$A:$D,4,FALSE)),"")</f>
        <v>QUESO SEMIMADURO KIOSKO</v>
      </c>
      <c r="E341" s="24" t="str">
        <f>+IFERROR(IF(GUAYAQUIL[[#This Row],[CODIGO]]="","",VLOOKUP(GUAYAQUIL[[#This Row],[CODIGO]],MAESTRO!$A:$F,6,FALSE)),"")</f>
        <v>QUESO AMERICANO KIOSKO TAJADO</v>
      </c>
      <c r="F341" s="42" t="str">
        <f>IF(GUAYAQUIL[[#This Row],[CODIGO]]="","",$K$6)</f>
        <v>GUAYAQUIL</v>
      </c>
      <c r="G341" s="42">
        <f>IF(GUAYAQUIL[[#This Row],[CODIGO]]="","",7711)</f>
        <v>7711</v>
      </c>
      <c r="H341" s="42">
        <f>IF(GUAYAQUIL[[#This Row],[CODIGO]]="","",1001)</f>
        <v>1001</v>
      </c>
      <c r="I341" s="258" t="s">
        <v>1784</v>
      </c>
      <c r="J341" s="25" t="str">
        <f>IFERROR((VLOOKUP(GUAYAQUIL[[#This Row],[CODIGO]],MAESTRO!A:B,2,FALSE)),"")</f>
        <v>Q AMERIC KIOSKO 5 LONJ 75G</v>
      </c>
      <c r="K341" s="35">
        <v>240</v>
      </c>
      <c r="L341" s="38">
        <f>+IFERROR(IF(GUAYAQUIL[[#This Row],[CODIGO]]="","",VLOOKUP(GUAYAQUIL[[#This Row],[CODIGO]],MAESTRO!$A:$BF,58,FALSE)),"")</f>
        <v>1</v>
      </c>
      <c r="M341" s="27">
        <f>+IFERROR(IF(GUAYAQUIL[[#This Row],[CODIGO]]="","",VLOOKUP(GUAYAQUIL[[#This Row],[CODIGO]],MAESTRO!A:N,14,FALSE)),"")</f>
        <v>7.4999999999999997E-2</v>
      </c>
      <c r="N341" s="28">
        <f>+IFERROR(IF(GUAYAQUIL[[#This Row],[CODIGO]]="","",VLOOKUP(GUAYAQUIL[[#This Row],[CODIGO]],MAESTRO!A:P,16,FALSE)),"")</f>
        <v>60</v>
      </c>
      <c r="O341" s="45">
        <v>45617</v>
      </c>
      <c r="P341" s="72" t="str">
        <f t="shared" si="25"/>
        <v>jueves</v>
      </c>
      <c r="Q341" s="29">
        <f>IFERROR(IF(GUAYAQUIL[[#This Row],[CODIGO]]="","",IF(GUAYAQUIL[[#This Row],[Fecha Cad]]="","",(GUAYAQUIL[[#This Row],[Fecha Cad]]-GUAYAQUIL[[#This Row],[VIDA UTIL (Días)]]))+1),"")</f>
        <v>45609</v>
      </c>
      <c r="R341" s="45">
        <v>45668</v>
      </c>
      <c r="S341" s="30">
        <f t="shared" ca="1" si="26"/>
        <v>44</v>
      </c>
      <c r="T341" s="31">
        <f t="shared" ca="1" si="27"/>
        <v>0.73333333333333328</v>
      </c>
      <c r="U341" s="286">
        <v>240</v>
      </c>
      <c r="V341" s="265">
        <f>+IFERROR(IF(GUAYAQUIL[[#This Row],[CODIGO]]="","",GUAYAQUIL[[#This Row],[Stock Actual Unds]]*GUAYAQUIL[[#This Row],[Gramaje]]*GUAYAQUIL[[#This Row],[Conversión]]),"")</f>
        <v>18</v>
      </c>
      <c r="W341" s="270">
        <f t="shared" si="28"/>
        <v>8</v>
      </c>
      <c r="X341" s="32">
        <f t="shared" si="29"/>
        <v>0.8666666666666667</v>
      </c>
      <c r="Y341" s="236">
        <f>IFERROR(VLOOKUP(GUAYAQUIL[[#This Row],[CODIGO]],MAESTRO!A:BI,21,FALSE),0)</f>
        <v>0.62094000000000005</v>
      </c>
      <c r="Z341" s="237">
        <f>+IFERROR(IF(GUAYAQUIL[[#This Row],[CODIGO]]="","",GUAYAQUIL[[#This Row],[COSTO UNIT base]]*GUAYAQUIL[[#This Row],[Conversión]]),"")</f>
        <v>0.62094000000000005</v>
      </c>
      <c r="AA341" s="236">
        <f>+IFERROR(IF(GUAYAQUIL[[#This Row],[CODIGO]]="","",GUAYAQUIL[[#This Row],[COSTO UNIT Conv]]*GUAYAQUIL[[#This Row],[Stock Actual Kgs]]),"")</f>
        <v>11.176920000000001</v>
      </c>
      <c r="AB341" s="33">
        <f ca="1">+IFERROR(IF(GUAYAQUIL[[#This Row],[CODIGO]]="","",$J$3-O341),"")</f>
        <v>7</v>
      </c>
      <c r="AC341" s="34" t="str">
        <f ca="1">IF(GUAYAQUIL[[#This Row],[CODIGO]]="","",IF(S341&lt;=0,"CADUCADO",IF(AND(S341&gt;0,S341&lt;=21),"FECHA CORTA",IF(AND(S341&gt;=22,S341&lt;=26),"PROXIMOS FECHA CORTA", "VIGENTE"))))</f>
        <v>VIGENTE</v>
      </c>
      <c r="AD341" s="37">
        <f>+IF(GUAYAQUIL[[#This Row],[CODIGO]]="","",GUAYAQUIL[[#This Row],[Stock Actual Unds]]*GUAYAQUIL[[#This Row],[Gramaje]]*GUAYAQUIL[[#This Row],[Conversión]])/1000</f>
        <v>1.7999999999999999E-2</v>
      </c>
    </row>
    <row r="342" spans="1:30">
      <c r="A342" s="24" t="str">
        <f>+IFERROR(IF(GUAYAQUIL[[#This Row],[CODIGO]]="","",VLOOKUP(GUAYAQUIL[[#This Row],[CODIGO]],MAESTRO!$A:$J,10,FALSE)),"")</f>
        <v>SAN GABRIEL</v>
      </c>
      <c r="B342" s="24" t="str">
        <f>+IFERROR(IF(GUAYAQUIL[[#This Row],[CODIGO]]="","",VLOOKUP(GUAYAQUIL[[#This Row],[CODIGO]],MAESTRO!$A:$Q,17,FALSE)),"")</f>
        <v>QUESOS Y GRASAS</v>
      </c>
      <c r="C342" s="24" t="str">
        <f>+IFERROR(IF(GUAYAQUIL[[#This Row],[CODIGO]]="","",VLOOKUP(GUAYAQUIL[[#This Row],[CODIGO]],MAESTRO!$A:$BA,53,FALSE)),"")</f>
        <v xml:space="preserve">Esteban Montenegro                      </v>
      </c>
      <c r="D342" s="24" t="str">
        <f>+IFERROR(IF(GUAYAQUIL[[#This Row],[CODIGO]]="","",VLOOKUP(GUAYAQUIL[[#This Row],[CODIGO]],MAESTRO!$A:$D,4,FALSE)),"")</f>
        <v>QUESO SEMIMADURO KIOSKO</v>
      </c>
      <c r="E342" s="24" t="str">
        <f>+IFERROR(IF(GUAYAQUIL[[#This Row],[CODIGO]]="","",VLOOKUP(GUAYAQUIL[[#This Row],[CODIGO]],MAESTRO!$A:$F,6,FALSE)),"")</f>
        <v>QUESO SEMIMADURO KIOSKO MIX CUBOS</v>
      </c>
      <c r="F342" s="42" t="str">
        <f>IF(GUAYAQUIL[[#This Row],[CODIGO]]="","",$K$6)</f>
        <v>GUAYAQUIL</v>
      </c>
      <c r="G342" s="42">
        <f>IF(GUAYAQUIL[[#This Row],[CODIGO]]="","",7711)</f>
        <v>7711</v>
      </c>
      <c r="H342" s="42">
        <f>IF(GUAYAQUIL[[#This Row],[CODIGO]]="","",1001)</f>
        <v>1001</v>
      </c>
      <c r="I342" s="258" t="s">
        <v>4316</v>
      </c>
      <c r="J342" s="25" t="str">
        <f>IFERROR((VLOOKUP(GUAYAQUIL[[#This Row],[CODIGO]],MAESTRO!A:B,2,FALSE)),"")</f>
        <v>Q MIX GOURMET KIOSKO CUBO BOL 350G</v>
      </c>
      <c r="K342" s="35">
        <v>120</v>
      </c>
      <c r="L342" s="38">
        <f>+IFERROR(IF(GUAYAQUIL[[#This Row],[CODIGO]]="","",VLOOKUP(GUAYAQUIL[[#This Row],[CODIGO]],MAESTRO!$A:$BF,58,FALSE)),"")</f>
        <v>1</v>
      </c>
      <c r="M342" s="27">
        <f>+IFERROR(IF(GUAYAQUIL[[#This Row],[CODIGO]]="","",VLOOKUP(GUAYAQUIL[[#This Row],[CODIGO]],MAESTRO!A:N,14,FALSE)),"")</f>
        <v>0.35</v>
      </c>
      <c r="N342" s="28">
        <f>+IFERROR(IF(GUAYAQUIL[[#This Row],[CODIGO]]="","",VLOOKUP(GUAYAQUIL[[#This Row],[CODIGO]],MAESTRO!A:P,16,FALSE)),"")</f>
        <v>60</v>
      </c>
      <c r="O342" s="45">
        <v>45611</v>
      </c>
      <c r="P342" s="72" t="str">
        <f t="shared" si="25"/>
        <v>viernes</v>
      </c>
      <c r="Q342" s="29">
        <f>IFERROR(IF(GUAYAQUIL[[#This Row],[CODIGO]]="","",IF(GUAYAQUIL[[#This Row],[Fecha Cad]]="","",(GUAYAQUIL[[#This Row],[Fecha Cad]]-GUAYAQUIL[[#This Row],[VIDA UTIL (Días)]]))+1),"")</f>
        <v>45604</v>
      </c>
      <c r="R342" s="45">
        <v>45663</v>
      </c>
      <c r="S342" s="30">
        <f t="shared" ca="1" si="26"/>
        <v>39</v>
      </c>
      <c r="T342" s="31">
        <f t="shared" ca="1" si="27"/>
        <v>0.65</v>
      </c>
      <c r="U342" s="286">
        <v>120</v>
      </c>
      <c r="V342" s="265">
        <f>+IFERROR(IF(GUAYAQUIL[[#This Row],[CODIGO]]="","",GUAYAQUIL[[#This Row],[Stock Actual Unds]]*GUAYAQUIL[[#This Row],[Gramaje]]*GUAYAQUIL[[#This Row],[Conversión]]),"")</f>
        <v>42</v>
      </c>
      <c r="W342" s="270">
        <f t="shared" si="28"/>
        <v>7</v>
      </c>
      <c r="X342" s="32">
        <f t="shared" si="29"/>
        <v>0.8833333333333333</v>
      </c>
      <c r="Y342" s="236">
        <f>IFERROR(VLOOKUP(GUAYAQUIL[[#This Row],[CODIGO]],MAESTRO!A:BI,21,FALSE),0)</f>
        <v>2.30749</v>
      </c>
      <c r="Z342" s="237">
        <f>+IFERROR(IF(GUAYAQUIL[[#This Row],[CODIGO]]="","",GUAYAQUIL[[#This Row],[COSTO UNIT base]]*GUAYAQUIL[[#This Row],[Conversión]]),"")</f>
        <v>2.30749</v>
      </c>
      <c r="AA342" s="236">
        <f>+IFERROR(IF(GUAYAQUIL[[#This Row],[CODIGO]]="","",GUAYAQUIL[[#This Row],[COSTO UNIT Conv]]*GUAYAQUIL[[#This Row],[Stock Actual Kgs]]),"")</f>
        <v>96.914580000000001</v>
      </c>
      <c r="AB342" s="33">
        <f ca="1">+IFERROR(IF(GUAYAQUIL[[#This Row],[CODIGO]]="","",$J$3-O342),"")</f>
        <v>13</v>
      </c>
      <c r="AC342" s="34" t="str">
        <f ca="1">IF(GUAYAQUIL[[#This Row],[CODIGO]]="","",IF(S342&lt;=0,"CADUCADO",IF(AND(S342&gt;0,S342&lt;=21),"FECHA CORTA",IF(AND(S342&gt;=22,S342&lt;=26),"PROXIMOS FECHA CORTA", "VIGENTE"))))</f>
        <v>VIGENTE</v>
      </c>
      <c r="AD342" s="37">
        <f>+IF(GUAYAQUIL[[#This Row],[CODIGO]]="","",GUAYAQUIL[[#This Row],[Stock Actual Unds]]*GUAYAQUIL[[#This Row],[Gramaje]]*GUAYAQUIL[[#This Row],[Conversión]])/1000</f>
        <v>4.2000000000000003E-2</v>
      </c>
    </row>
    <row r="343" spans="1:30">
      <c r="A343" s="24" t="str">
        <f>+IFERROR(IF(GUAYAQUIL[[#This Row],[CODIGO]]="","",VLOOKUP(GUAYAQUIL[[#This Row],[CODIGO]],MAESTRO!$A:$J,10,FALSE)),"")</f>
        <v>SAN GABRIEL</v>
      </c>
      <c r="B343" s="24" t="str">
        <f>+IFERROR(IF(GUAYAQUIL[[#This Row],[CODIGO]]="","",VLOOKUP(GUAYAQUIL[[#This Row],[CODIGO]],MAESTRO!$A:$Q,17,FALSE)),"")</f>
        <v>QUESOS Y GRASAS</v>
      </c>
      <c r="C343" s="24" t="str">
        <f>+IFERROR(IF(GUAYAQUIL[[#This Row],[CODIGO]]="","",VLOOKUP(GUAYAQUIL[[#This Row],[CODIGO]],MAESTRO!$A:$BA,53,FALSE)),"")</f>
        <v xml:space="preserve">Esteban Montenegro                      </v>
      </c>
      <c r="D343" s="24" t="str">
        <f>+IFERROR(IF(GUAYAQUIL[[#This Row],[CODIGO]]="","",VLOOKUP(GUAYAQUIL[[#This Row],[CODIGO]],MAESTRO!$A:$D,4,FALSE)),"")</f>
        <v>QUESO SEMIMADURO KIOSKO</v>
      </c>
      <c r="E343" s="24" t="str">
        <f>+IFERROR(IF(GUAYAQUIL[[#This Row],[CODIGO]]="","",VLOOKUP(GUAYAQUIL[[#This Row],[CODIGO]],MAESTRO!$A:$F,6,FALSE)),"")</f>
        <v>QUESO SEMIMADURO KIOSKO MIX CUBOS</v>
      </c>
      <c r="F343" s="42" t="str">
        <f>IF(GUAYAQUIL[[#This Row],[CODIGO]]="","",$K$6)</f>
        <v>GUAYAQUIL</v>
      </c>
      <c r="G343" s="209">
        <f>IF(GUAYAQUIL[[#This Row],[CODIGO]]="","",7711)</f>
        <v>7711</v>
      </c>
      <c r="H343" s="209">
        <f>IF(GUAYAQUIL[[#This Row],[CODIGO]]="","",1001)</f>
        <v>1001</v>
      </c>
      <c r="I343" s="258" t="s">
        <v>4316</v>
      </c>
      <c r="J343" s="25" t="str">
        <f>IFERROR((VLOOKUP(GUAYAQUIL[[#This Row],[CODIGO]],MAESTRO!A:B,2,FALSE)),"")</f>
        <v>Q MIX GOURMET KIOSKO CUBO BOL 350G</v>
      </c>
      <c r="K343" s="35">
        <v>60</v>
      </c>
      <c r="L343" s="38">
        <f>+IFERROR(IF(GUAYAQUIL[[#This Row],[CODIGO]]="","",VLOOKUP(GUAYAQUIL[[#This Row],[CODIGO]],MAESTRO!$A:$BF,58,FALSE)),"")</f>
        <v>1</v>
      </c>
      <c r="M343" s="27">
        <f>+IFERROR(IF(GUAYAQUIL[[#This Row],[CODIGO]]="","",VLOOKUP(GUAYAQUIL[[#This Row],[CODIGO]],MAESTRO!A:N,14,FALSE)),"")</f>
        <v>0.35</v>
      </c>
      <c r="N343" s="28">
        <f>+IFERROR(IF(GUAYAQUIL[[#This Row],[CODIGO]]="","",VLOOKUP(GUAYAQUIL[[#This Row],[CODIGO]],MAESTRO!A:P,16,FALSE)),"")</f>
        <v>60</v>
      </c>
      <c r="O343" s="29">
        <v>45610</v>
      </c>
      <c r="P343" s="72" t="str">
        <f t="shared" si="25"/>
        <v>jueves</v>
      </c>
      <c r="Q343" s="29">
        <f>IFERROR(IF(GUAYAQUIL[[#This Row],[CODIGO]]="","",IF(GUAYAQUIL[[#This Row],[Fecha Cad]]="","",(GUAYAQUIL[[#This Row],[Fecha Cad]]-GUAYAQUIL[[#This Row],[VIDA UTIL (Días)]]))+1),"")</f>
        <v>45604</v>
      </c>
      <c r="R343" s="29">
        <v>45663</v>
      </c>
      <c r="S343" s="30">
        <f t="shared" ca="1" si="26"/>
        <v>39</v>
      </c>
      <c r="T343" s="31">
        <f t="shared" ca="1" si="27"/>
        <v>0.65</v>
      </c>
      <c r="U343" s="286">
        <v>18</v>
      </c>
      <c r="V343" s="266">
        <f>+IFERROR(IF(GUAYAQUIL[[#This Row],[CODIGO]]="","",GUAYAQUIL[[#This Row],[Stock Actual Unds]]*GUAYAQUIL[[#This Row],[Gramaje]]*GUAYAQUIL[[#This Row],[Conversión]]),"")</f>
        <v>6.3</v>
      </c>
      <c r="W343" s="270">
        <f t="shared" si="28"/>
        <v>6</v>
      </c>
      <c r="X343" s="32">
        <f t="shared" si="29"/>
        <v>0.9</v>
      </c>
      <c r="Y343" s="236">
        <f>IFERROR(VLOOKUP(GUAYAQUIL[[#This Row],[CODIGO]],MAESTRO!A:BI,21,FALSE),0)</f>
        <v>2.30749</v>
      </c>
      <c r="Z343" s="237">
        <f>+IFERROR(IF(GUAYAQUIL[[#This Row],[CODIGO]]="","",GUAYAQUIL[[#This Row],[COSTO UNIT base]]*GUAYAQUIL[[#This Row],[Conversión]]),"")</f>
        <v>2.30749</v>
      </c>
      <c r="AA343" s="236">
        <f>+IFERROR(IF(GUAYAQUIL[[#This Row],[CODIGO]]="","",GUAYAQUIL[[#This Row],[COSTO UNIT Conv]]*GUAYAQUIL[[#This Row],[Stock Actual Kgs]]),"")</f>
        <v>14.537186999999999</v>
      </c>
      <c r="AB343" s="33">
        <f ca="1">+IFERROR(IF(GUAYAQUIL[[#This Row],[CODIGO]]="","",$J$3-O343),"")</f>
        <v>14</v>
      </c>
      <c r="AC343" s="34" t="str">
        <f ca="1">IF(GUAYAQUIL[[#This Row],[CODIGO]]="","",IF(S343&lt;=0,"CADUCADO",IF(AND(S343&gt;0,S343&lt;=21),"FECHA CORTA",IF(AND(S343&gt;=22,S343&lt;=26),"PROXIMOS FECHA CORTA", "VIGENTE"))))</f>
        <v>VIGENTE</v>
      </c>
      <c r="AD343" s="37">
        <f>+IF(GUAYAQUIL[[#This Row],[CODIGO]]="","",GUAYAQUIL[[#This Row],[Stock Actual Unds]]*GUAYAQUIL[[#This Row],[Gramaje]]*GUAYAQUIL[[#This Row],[Conversión]])/1000</f>
        <v>6.3E-3</v>
      </c>
    </row>
    <row r="344" spans="1:30">
      <c r="A344" s="24" t="str">
        <f>+IFERROR(IF(GUAYAQUIL[[#This Row],[CODIGO]]="","",VLOOKUP(GUAYAQUIL[[#This Row],[CODIGO]],MAESTRO!$A:$J,10,FALSE)),"")</f>
        <v>SAN GABRIEL</v>
      </c>
      <c r="B344" s="24" t="str">
        <f>+IFERROR(IF(GUAYAQUIL[[#This Row],[CODIGO]]="","",VLOOKUP(GUAYAQUIL[[#This Row],[CODIGO]],MAESTRO!$A:$Q,17,FALSE)),"")</f>
        <v>QUESOS Y GRASAS</v>
      </c>
      <c r="C344" s="24" t="str">
        <f>+IFERROR(IF(GUAYAQUIL[[#This Row],[CODIGO]]="","",VLOOKUP(GUAYAQUIL[[#This Row],[CODIGO]],MAESTRO!$A:$BA,53,FALSE)),"")</f>
        <v xml:space="preserve">Esteban Montenegro                      </v>
      </c>
      <c r="D344" s="24" t="str">
        <f>+IFERROR(IF(GUAYAQUIL[[#This Row],[CODIGO]]="","",VLOOKUP(GUAYAQUIL[[#This Row],[CODIGO]],MAESTRO!$A:$D,4,FALSE)),"")</f>
        <v>QUESO SEMIMADURO KIOSKO</v>
      </c>
      <c r="E344" s="24" t="str">
        <f>+IFERROR(IF(GUAYAQUIL[[#This Row],[CODIGO]]="","",VLOOKUP(GUAYAQUIL[[#This Row],[CODIGO]],MAESTRO!$A:$F,6,FALSE)),"")</f>
        <v>QUESO SEMIMADURO KIOSKO MIX CUBOS</v>
      </c>
      <c r="F344" s="42" t="str">
        <f>IF(GUAYAQUIL[[#This Row],[CODIGO]]="","",$K$6)</f>
        <v>GUAYAQUIL</v>
      </c>
      <c r="G344" s="42">
        <f>IF(GUAYAQUIL[[#This Row],[CODIGO]]="","",7711)</f>
        <v>7711</v>
      </c>
      <c r="H344" s="42">
        <f>IF(GUAYAQUIL[[#This Row],[CODIGO]]="","",1001)</f>
        <v>1001</v>
      </c>
      <c r="I344" s="258" t="s">
        <v>4316</v>
      </c>
      <c r="J344" s="25" t="str">
        <f>IFERROR((VLOOKUP(GUAYAQUIL[[#This Row],[CODIGO]],MAESTRO!A:B,2,FALSE)),"")</f>
        <v>Q MIX GOURMET KIOSKO CUBO BOL 350G</v>
      </c>
      <c r="K344" s="35">
        <v>60</v>
      </c>
      <c r="L344" s="38">
        <f>+IFERROR(IF(GUAYAQUIL[[#This Row],[CODIGO]]="","",VLOOKUP(GUAYAQUIL[[#This Row],[CODIGO]],MAESTRO!$A:$BF,58,FALSE)),"")</f>
        <v>1</v>
      </c>
      <c r="M344" s="27">
        <f>+IFERROR(IF(GUAYAQUIL[[#This Row],[CODIGO]]="","",VLOOKUP(GUAYAQUIL[[#This Row],[CODIGO]],MAESTRO!A:N,14,FALSE)),"")</f>
        <v>0.35</v>
      </c>
      <c r="N344" s="28">
        <f>+IFERROR(IF(GUAYAQUIL[[#This Row],[CODIGO]]="","",VLOOKUP(GUAYAQUIL[[#This Row],[CODIGO]],MAESTRO!A:P,16,FALSE)),"")</f>
        <v>60</v>
      </c>
      <c r="O344" s="29">
        <v>45615</v>
      </c>
      <c r="P344" s="72" t="str">
        <f t="shared" si="25"/>
        <v>martes</v>
      </c>
      <c r="Q344" s="29">
        <f>IFERROR(IF(GUAYAQUIL[[#This Row],[CODIGO]]="","",IF(GUAYAQUIL[[#This Row],[Fecha Cad]]="","",(GUAYAQUIL[[#This Row],[Fecha Cad]]-GUAYAQUIL[[#This Row],[VIDA UTIL (Días)]]))+1),"")</f>
        <v>45610</v>
      </c>
      <c r="R344" s="29">
        <v>45669</v>
      </c>
      <c r="S344" s="30">
        <f t="shared" ca="1" si="26"/>
        <v>45</v>
      </c>
      <c r="T344" s="31">
        <f t="shared" ca="1" si="27"/>
        <v>0.75</v>
      </c>
      <c r="U344" s="286">
        <v>60</v>
      </c>
      <c r="V344" s="266">
        <f>+IFERROR(IF(GUAYAQUIL[[#This Row],[CODIGO]]="","",GUAYAQUIL[[#This Row],[Stock Actual Unds]]*GUAYAQUIL[[#This Row],[Gramaje]]*GUAYAQUIL[[#This Row],[Conversión]]),"")</f>
        <v>21</v>
      </c>
      <c r="W344" s="270">
        <f t="shared" si="28"/>
        <v>5</v>
      </c>
      <c r="X344" s="32">
        <f t="shared" si="29"/>
        <v>0.91666666666666663</v>
      </c>
      <c r="Y344" s="236">
        <f>IFERROR(VLOOKUP(GUAYAQUIL[[#This Row],[CODIGO]],MAESTRO!A:BI,21,FALSE),0)</f>
        <v>2.30749</v>
      </c>
      <c r="Z344" s="237">
        <f>+IFERROR(IF(GUAYAQUIL[[#This Row],[CODIGO]]="","",GUAYAQUIL[[#This Row],[COSTO UNIT base]]*GUAYAQUIL[[#This Row],[Conversión]]),"")</f>
        <v>2.30749</v>
      </c>
      <c r="AA344" s="236">
        <f>+IFERROR(IF(GUAYAQUIL[[#This Row],[CODIGO]]="","",GUAYAQUIL[[#This Row],[COSTO UNIT Conv]]*GUAYAQUIL[[#This Row],[Stock Actual Kgs]]),"")</f>
        <v>48.45729</v>
      </c>
      <c r="AB344" s="33">
        <f ca="1">+IFERROR(IF(GUAYAQUIL[[#This Row],[CODIGO]]="","",$J$3-O344),"")</f>
        <v>9</v>
      </c>
      <c r="AC344" s="34" t="str">
        <f ca="1">IF(GUAYAQUIL[[#This Row],[CODIGO]]="","",IF(S344&lt;=0,"CADUCADO",IF(AND(S344&gt;0,S344&lt;=21),"FECHA CORTA",IF(AND(S344&gt;=22,S344&lt;=26),"PROXIMOS FECHA CORTA", "VIGENTE"))))</f>
        <v>VIGENTE</v>
      </c>
      <c r="AD344" s="37">
        <f>+IF(GUAYAQUIL[[#This Row],[CODIGO]]="","",GUAYAQUIL[[#This Row],[Stock Actual Unds]]*GUAYAQUIL[[#This Row],[Gramaje]]*GUAYAQUIL[[#This Row],[Conversión]])/1000</f>
        <v>2.1000000000000001E-2</v>
      </c>
    </row>
    <row r="345" spans="1:30">
      <c r="A345" s="24" t="str">
        <f>+IFERROR(IF(GUAYAQUIL[[#This Row],[CODIGO]]="","",VLOOKUP(GUAYAQUIL[[#This Row],[CODIGO]],MAESTRO!$A:$J,10,FALSE)),"")</f>
        <v>SAN GABRIEL</v>
      </c>
      <c r="B345" s="24" t="str">
        <f>+IFERROR(IF(GUAYAQUIL[[#This Row],[CODIGO]]="","",VLOOKUP(GUAYAQUIL[[#This Row],[CODIGO]],MAESTRO!$A:$Q,17,FALSE)),"")</f>
        <v>QUESOS Y GRASAS</v>
      </c>
      <c r="C345" s="24" t="str">
        <f>+IFERROR(IF(GUAYAQUIL[[#This Row],[CODIGO]]="","",VLOOKUP(GUAYAQUIL[[#This Row],[CODIGO]],MAESTRO!$A:$BA,53,FALSE)),"")</f>
        <v xml:space="preserve">Esteban Montenegro                      </v>
      </c>
      <c r="D345" s="24" t="str">
        <f>+IFERROR(IF(GUAYAQUIL[[#This Row],[CODIGO]]="","",VLOOKUP(GUAYAQUIL[[#This Row],[CODIGO]],MAESTRO!$A:$D,4,FALSE)),"")</f>
        <v>QUESO SEMIMADURO KIOSKO</v>
      </c>
      <c r="E345" s="24" t="str">
        <f>+IFERROR(IF(GUAYAQUIL[[#This Row],[CODIGO]]="","",VLOOKUP(GUAYAQUIL[[#This Row],[CODIGO]],MAESTRO!$A:$F,6,FALSE)),"")</f>
        <v>QUESO SEMIMADURO KIOSKO MIX CUBOS</v>
      </c>
      <c r="F345" s="42" t="str">
        <f>IF(GUAYAQUIL[[#This Row],[CODIGO]]="","",$K$6)</f>
        <v>GUAYAQUIL</v>
      </c>
      <c r="G345" s="42">
        <f>IF(GUAYAQUIL[[#This Row],[CODIGO]]="","",7711)</f>
        <v>7711</v>
      </c>
      <c r="H345" s="42">
        <f>IF(GUAYAQUIL[[#This Row],[CODIGO]]="","",1001)</f>
        <v>1001</v>
      </c>
      <c r="I345" s="258" t="s">
        <v>4316</v>
      </c>
      <c r="J345" s="25" t="str">
        <f>IFERROR((VLOOKUP(GUAYAQUIL[[#This Row],[CODIGO]],MAESTRO!A:B,2,FALSE)),"")</f>
        <v>Q MIX GOURMET KIOSKO CUBO BOL 350G</v>
      </c>
      <c r="K345" s="35">
        <v>60</v>
      </c>
      <c r="L345" s="38">
        <f>+IFERROR(IF(GUAYAQUIL[[#This Row],[CODIGO]]="","",VLOOKUP(GUAYAQUIL[[#This Row],[CODIGO]],MAESTRO!$A:$BF,58,FALSE)),"")</f>
        <v>1</v>
      </c>
      <c r="M345" s="27">
        <f>+IFERROR(IF(GUAYAQUIL[[#This Row],[CODIGO]]="","",VLOOKUP(GUAYAQUIL[[#This Row],[CODIGO]],MAESTRO!A:N,14,FALSE)),"")</f>
        <v>0.35</v>
      </c>
      <c r="N345" s="28">
        <f>+IFERROR(IF(GUAYAQUIL[[#This Row],[CODIGO]]="","",VLOOKUP(GUAYAQUIL[[#This Row],[CODIGO]],MAESTRO!A:P,16,FALSE)),"")</f>
        <v>60</v>
      </c>
      <c r="O345" s="29">
        <v>45616</v>
      </c>
      <c r="P345" s="72" t="str">
        <f t="shared" si="25"/>
        <v>miércoles</v>
      </c>
      <c r="Q345" s="29">
        <f>IFERROR(IF(GUAYAQUIL[[#This Row],[CODIGO]]="","",IF(GUAYAQUIL[[#This Row],[Fecha Cad]]="","",(GUAYAQUIL[[#This Row],[Fecha Cad]]-GUAYAQUIL[[#This Row],[VIDA UTIL (Días)]]))+1),"")</f>
        <v>45610</v>
      </c>
      <c r="R345" s="29">
        <v>45669</v>
      </c>
      <c r="S345" s="30">
        <f t="shared" ca="1" si="26"/>
        <v>45</v>
      </c>
      <c r="T345" s="31">
        <f t="shared" ca="1" si="27"/>
        <v>0.75</v>
      </c>
      <c r="U345" s="286">
        <v>60</v>
      </c>
      <c r="V345" s="266">
        <f>+IFERROR(IF(GUAYAQUIL[[#This Row],[CODIGO]]="","",GUAYAQUIL[[#This Row],[Stock Actual Unds]]*GUAYAQUIL[[#This Row],[Gramaje]]*GUAYAQUIL[[#This Row],[Conversión]]),"")</f>
        <v>21</v>
      </c>
      <c r="W345" s="270">
        <f t="shared" si="28"/>
        <v>6</v>
      </c>
      <c r="X345" s="32">
        <f t="shared" si="29"/>
        <v>0.9</v>
      </c>
      <c r="Y345" s="236">
        <f>IFERROR(VLOOKUP(GUAYAQUIL[[#This Row],[CODIGO]],MAESTRO!A:BI,21,FALSE),0)</f>
        <v>2.30749</v>
      </c>
      <c r="Z345" s="237">
        <f>+IFERROR(IF(GUAYAQUIL[[#This Row],[CODIGO]]="","",GUAYAQUIL[[#This Row],[COSTO UNIT base]]*GUAYAQUIL[[#This Row],[Conversión]]),"")</f>
        <v>2.30749</v>
      </c>
      <c r="AA345" s="236">
        <f>+IFERROR(IF(GUAYAQUIL[[#This Row],[CODIGO]]="","",GUAYAQUIL[[#This Row],[COSTO UNIT Conv]]*GUAYAQUIL[[#This Row],[Stock Actual Kgs]]),"")</f>
        <v>48.45729</v>
      </c>
      <c r="AB345" s="33">
        <f ca="1">+IFERROR(IF(GUAYAQUIL[[#This Row],[CODIGO]]="","",$J$3-O345),"")</f>
        <v>8</v>
      </c>
      <c r="AC345" s="34" t="str">
        <f ca="1">IF(GUAYAQUIL[[#This Row],[CODIGO]]="","",IF(S345&lt;=0,"CADUCADO",IF(AND(S345&gt;0,S345&lt;=21),"FECHA CORTA",IF(AND(S345&gt;=22,S345&lt;=26),"PROXIMOS FECHA CORTA", "VIGENTE"))))</f>
        <v>VIGENTE</v>
      </c>
      <c r="AD345" s="37">
        <f>+IF(GUAYAQUIL[[#This Row],[CODIGO]]="","",GUAYAQUIL[[#This Row],[Stock Actual Unds]]*GUAYAQUIL[[#This Row],[Gramaje]]*GUAYAQUIL[[#This Row],[Conversión]])/1000</f>
        <v>2.1000000000000001E-2</v>
      </c>
    </row>
    <row r="346" spans="1:30">
      <c r="A346" s="24" t="str">
        <f>+IFERROR(IF(GUAYAQUIL[[#This Row],[CODIGO]]="","",VLOOKUP(GUAYAQUIL[[#This Row],[CODIGO]],MAESTRO!$A:$J,10,FALSE)),"")</f>
        <v>SAN GABRIEL</v>
      </c>
      <c r="B346" s="24" t="str">
        <f>+IFERROR(IF(GUAYAQUIL[[#This Row],[CODIGO]]="","",VLOOKUP(GUAYAQUIL[[#This Row],[CODIGO]],MAESTRO!$A:$Q,17,FALSE)),"")</f>
        <v>QUESOS Y GRASAS</v>
      </c>
      <c r="C346" s="24" t="str">
        <f>+IFERROR(IF(GUAYAQUIL[[#This Row],[CODIGO]]="","",VLOOKUP(GUAYAQUIL[[#This Row],[CODIGO]],MAESTRO!$A:$BA,53,FALSE)),"")</f>
        <v xml:space="preserve">Esteban Montenegro                      </v>
      </c>
      <c r="D346" s="24" t="str">
        <f>+IFERROR(IF(GUAYAQUIL[[#This Row],[CODIGO]]="","",VLOOKUP(GUAYAQUIL[[#This Row],[CODIGO]],MAESTRO!$A:$D,4,FALSE)),"")</f>
        <v>QUESO SEMIMADURO KIOSKO</v>
      </c>
      <c r="E346" s="24" t="str">
        <f>+IFERROR(IF(GUAYAQUIL[[#This Row],[CODIGO]]="","",VLOOKUP(GUAYAQUIL[[#This Row],[CODIGO]],MAESTRO!$A:$F,6,FALSE)),"")</f>
        <v>QUESO SEMIMADURO KIOSKO MIX CUBOS</v>
      </c>
      <c r="F346" s="42" t="str">
        <f>IF(GUAYAQUIL[[#This Row],[CODIGO]]="","",$K$6)</f>
        <v>GUAYAQUIL</v>
      </c>
      <c r="G346" s="42">
        <f>IF(GUAYAQUIL[[#This Row],[CODIGO]]="","",7711)</f>
        <v>7711</v>
      </c>
      <c r="H346" s="42">
        <f>IF(GUAYAQUIL[[#This Row],[CODIGO]]="","",1001)</f>
        <v>1001</v>
      </c>
      <c r="I346" s="258" t="s">
        <v>4316</v>
      </c>
      <c r="J346" s="25" t="str">
        <f>IFERROR((VLOOKUP(GUAYAQUIL[[#This Row],[CODIGO]],MAESTRO!A:B,2,FALSE)),"")</f>
        <v>Q MIX GOURMET KIOSKO CUBO BOL 350G</v>
      </c>
      <c r="K346" s="35">
        <v>60</v>
      </c>
      <c r="L346" s="38">
        <f>+IFERROR(IF(GUAYAQUIL[[#This Row],[CODIGO]]="","",VLOOKUP(GUAYAQUIL[[#This Row],[CODIGO]],MAESTRO!$A:$BF,58,FALSE)),"")</f>
        <v>1</v>
      </c>
      <c r="M346" s="27">
        <f>+IFERROR(IF(GUAYAQUIL[[#This Row],[CODIGO]]="","",VLOOKUP(GUAYAQUIL[[#This Row],[CODIGO]],MAESTRO!A:N,14,FALSE)),"")</f>
        <v>0.35</v>
      </c>
      <c r="N346" s="28">
        <f>+IFERROR(IF(GUAYAQUIL[[#This Row],[CODIGO]]="","",VLOOKUP(GUAYAQUIL[[#This Row],[CODIGO]],MAESTRO!A:P,16,FALSE)),"")</f>
        <v>60</v>
      </c>
      <c r="O346" s="29">
        <v>45617</v>
      </c>
      <c r="P346" s="72" t="str">
        <f t="shared" si="25"/>
        <v>jueves</v>
      </c>
      <c r="Q346" s="29">
        <f>IFERROR(IF(GUAYAQUIL[[#This Row],[CODIGO]]="","",IF(GUAYAQUIL[[#This Row],[Fecha Cad]]="","",(GUAYAQUIL[[#This Row],[Fecha Cad]]-GUAYAQUIL[[#This Row],[VIDA UTIL (Días)]]))+1),"")</f>
        <v>45611</v>
      </c>
      <c r="R346" s="29">
        <v>45670</v>
      </c>
      <c r="S346" s="30">
        <f t="shared" ca="1" si="26"/>
        <v>46</v>
      </c>
      <c r="T346" s="31">
        <f t="shared" ca="1" si="27"/>
        <v>0.76666666666666672</v>
      </c>
      <c r="U346" s="286">
        <v>60</v>
      </c>
      <c r="V346" s="266">
        <f>+IFERROR(IF(GUAYAQUIL[[#This Row],[CODIGO]]="","",GUAYAQUIL[[#This Row],[Stock Actual Unds]]*GUAYAQUIL[[#This Row],[Gramaje]]*GUAYAQUIL[[#This Row],[Conversión]]),"")</f>
        <v>21</v>
      </c>
      <c r="W346" s="270">
        <f t="shared" si="28"/>
        <v>6</v>
      </c>
      <c r="X346" s="32">
        <f t="shared" si="29"/>
        <v>0.9</v>
      </c>
      <c r="Y346" s="236">
        <f>IFERROR(VLOOKUP(GUAYAQUIL[[#This Row],[CODIGO]],MAESTRO!A:BI,21,FALSE),0)</f>
        <v>2.30749</v>
      </c>
      <c r="Z346" s="237">
        <f>+IFERROR(IF(GUAYAQUIL[[#This Row],[CODIGO]]="","",GUAYAQUIL[[#This Row],[COSTO UNIT base]]*GUAYAQUIL[[#This Row],[Conversión]]),"")</f>
        <v>2.30749</v>
      </c>
      <c r="AA346" s="236">
        <f>+IFERROR(IF(GUAYAQUIL[[#This Row],[CODIGO]]="","",GUAYAQUIL[[#This Row],[COSTO UNIT Conv]]*GUAYAQUIL[[#This Row],[Stock Actual Kgs]]),"")</f>
        <v>48.45729</v>
      </c>
      <c r="AB346" s="33">
        <f ca="1">+IFERROR(IF(GUAYAQUIL[[#This Row],[CODIGO]]="","",$J$3-O346),"")</f>
        <v>7</v>
      </c>
      <c r="AC346" s="34" t="str">
        <f ca="1">IF(GUAYAQUIL[[#This Row],[CODIGO]]="","",IF(S346&lt;=0,"CADUCADO",IF(AND(S346&gt;0,S346&lt;=21),"FECHA CORTA",IF(AND(S346&gt;=22,S346&lt;=26),"PROXIMOS FECHA CORTA", "VIGENTE"))))</f>
        <v>VIGENTE</v>
      </c>
      <c r="AD346" s="37">
        <f>+IF(GUAYAQUIL[[#This Row],[CODIGO]]="","",GUAYAQUIL[[#This Row],[Stock Actual Unds]]*GUAYAQUIL[[#This Row],[Gramaje]]*GUAYAQUIL[[#This Row],[Conversión]])/1000</f>
        <v>2.1000000000000001E-2</v>
      </c>
    </row>
    <row r="347" spans="1:30">
      <c r="A347" s="24" t="str">
        <f>+IFERROR(IF(GUAYAQUIL[[#This Row],[CODIGO]]="","",VLOOKUP(GUAYAQUIL[[#This Row],[CODIGO]],MAESTRO!$A:$J,10,FALSE)),"")</f>
        <v>SAN GABRIEL</v>
      </c>
      <c r="B347" s="24" t="str">
        <f>+IFERROR(IF(GUAYAQUIL[[#This Row],[CODIGO]]="","",VLOOKUP(GUAYAQUIL[[#This Row],[CODIGO]],MAESTRO!$A:$Q,17,FALSE)),"")</f>
        <v>QUESOS Y GRASAS</v>
      </c>
      <c r="C347" s="24" t="str">
        <f>+IFERROR(IF(GUAYAQUIL[[#This Row],[CODIGO]]="","",VLOOKUP(GUAYAQUIL[[#This Row],[CODIGO]],MAESTRO!$A:$BA,53,FALSE)),"")</f>
        <v xml:space="preserve">Esteban Montenegro                      </v>
      </c>
      <c r="D347" s="24" t="str">
        <f>+IFERROR(IF(GUAYAQUIL[[#This Row],[CODIGO]]="","",VLOOKUP(GUAYAQUIL[[#This Row],[CODIGO]],MAESTRO!$A:$D,4,FALSE)),"")</f>
        <v>QUESO SEMIMADURO KIOSKO</v>
      </c>
      <c r="E347" s="24" t="str">
        <f>+IFERROR(IF(GUAYAQUIL[[#This Row],[CODIGO]]="","",VLOOKUP(GUAYAQUIL[[#This Row],[CODIGO]],MAESTRO!$A:$F,6,FALSE)),"")</f>
        <v>QUESO SEMIMADURO KIOSKO MIX CUBOS</v>
      </c>
      <c r="F347" s="42" t="str">
        <f>IF(GUAYAQUIL[[#This Row],[CODIGO]]="","",$K$6)</f>
        <v>GUAYAQUIL</v>
      </c>
      <c r="G347" s="209">
        <f>IF(GUAYAQUIL[[#This Row],[CODIGO]]="","",7711)</f>
        <v>7711</v>
      </c>
      <c r="H347" s="209">
        <f>IF(GUAYAQUIL[[#This Row],[CODIGO]]="","",1001)</f>
        <v>1001</v>
      </c>
      <c r="I347" s="258" t="s">
        <v>4316</v>
      </c>
      <c r="J347" s="25" t="str">
        <f>IFERROR((VLOOKUP(GUAYAQUIL[[#This Row],[CODIGO]],MAESTRO!A:B,2,FALSE)),"")</f>
        <v>Q MIX GOURMET KIOSKO CUBO BOL 350G</v>
      </c>
      <c r="K347" s="35">
        <v>60</v>
      </c>
      <c r="L347" s="38">
        <f>+IFERROR(IF(GUAYAQUIL[[#This Row],[CODIGO]]="","",VLOOKUP(GUAYAQUIL[[#This Row],[CODIGO]],MAESTRO!$A:$BF,58,FALSE)),"")</f>
        <v>1</v>
      </c>
      <c r="M347" s="27">
        <f>+IFERROR(IF(GUAYAQUIL[[#This Row],[CODIGO]]="","",VLOOKUP(GUAYAQUIL[[#This Row],[CODIGO]],MAESTRO!A:N,14,FALSE)),"")</f>
        <v>0.35</v>
      </c>
      <c r="N347" s="28">
        <f>+IFERROR(IF(GUAYAQUIL[[#This Row],[CODIGO]]="","",VLOOKUP(GUAYAQUIL[[#This Row],[CODIGO]],MAESTRO!A:P,16,FALSE)),"")</f>
        <v>60</v>
      </c>
      <c r="O347" s="29">
        <v>45617</v>
      </c>
      <c r="P347" s="72" t="str">
        <f t="shared" si="25"/>
        <v>jueves</v>
      </c>
      <c r="Q347" s="29">
        <f>IFERROR(IF(GUAYAQUIL[[#This Row],[CODIGO]]="","",IF(GUAYAQUIL[[#This Row],[Fecha Cad]]="","",(GUAYAQUIL[[#This Row],[Fecha Cad]]-GUAYAQUIL[[#This Row],[VIDA UTIL (Días)]]))+1),"")</f>
        <v>45610</v>
      </c>
      <c r="R347" s="29">
        <v>45669</v>
      </c>
      <c r="S347" s="30">
        <f t="shared" ca="1" si="26"/>
        <v>45</v>
      </c>
      <c r="T347" s="31">
        <f t="shared" ca="1" si="27"/>
        <v>0.75</v>
      </c>
      <c r="U347" s="286">
        <v>60</v>
      </c>
      <c r="V347" s="266">
        <f>+IFERROR(IF(GUAYAQUIL[[#This Row],[CODIGO]]="","",GUAYAQUIL[[#This Row],[Stock Actual Unds]]*GUAYAQUIL[[#This Row],[Gramaje]]*GUAYAQUIL[[#This Row],[Conversión]]),"")</f>
        <v>21</v>
      </c>
      <c r="W347" s="270">
        <f t="shared" si="28"/>
        <v>7</v>
      </c>
      <c r="X347" s="32">
        <f t="shared" si="29"/>
        <v>0.8833333333333333</v>
      </c>
      <c r="Y347" s="236">
        <f>IFERROR(VLOOKUP(GUAYAQUIL[[#This Row],[CODIGO]],MAESTRO!A:BI,21,FALSE),0)</f>
        <v>2.30749</v>
      </c>
      <c r="Z347" s="237">
        <f>+IFERROR(IF(GUAYAQUIL[[#This Row],[CODIGO]]="","",GUAYAQUIL[[#This Row],[COSTO UNIT base]]*GUAYAQUIL[[#This Row],[Conversión]]),"")</f>
        <v>2.30749</v>
      </c>
      <c r="AA347" s="236">
        <f>+IFERROR(IF(GUAYAQUIL[[#This Row],[CODIGO]]="","",GUAYAQUIL[[#This Row],[COSTO UNIT Conv]]*GUAYAQUIL[[#This Row],[Stock Actual Kgs]]),"")</f>
        <v>48.45729</v>
      </c>
      <c r="AB347" s="33">
        <f ca="1">+IFERROR(IF(GUAYAQUIL[[#This Row],[CODIGO]]="","",$J$3-O347),"")</f>
        <v>7</v>
      </c>
      <c r="AC347" s="34" t="str">
        <f ca="1">IF(GUAYAQUIL[[#This Row],[CODIGO]]="","",IF(S347&lt;=0,"CADUCADO",IF(AND(S347&gt;0,S347&lt;=21),"FECHA CORTA",IF(AND(S347&gt;=22,S347&lt;=26),"PROXIMOS FECHA CORTA", "VIGENTE"))))</f>
        <v>VIGENTE</v>
      </c>
      <c r="AD347" s="37">
        <f>+IF(GUAYAQUIL[[#This Row],[CODIGO]]="","",GUAYAQUIL[[#This Row],[Stock Actual Unds]]*GUAYAQUIL[[#This Row],[Gramaje]]*GUAYAQUIL[[#This Row],[Conversión]])/1000</f>
        <v>2.1000000000000001E-2</v>
      </c>
    </row>
    <row r="348" spans="1:30">
      <c r="A348" s="42" t="str">
        <f>+IFERROR(IF(GUAYAQUIL[[#This Row],[CODIGO]]="","",VLOOKUP(GUAYAQUIL[[#This Row],[CODIGO]],MAESTRO!$A:$J,10,FALSE)),"")</f>
        <v>MACHACHI</v>
      </c>
      <c r="B348" s="42" t="str">
        <f>+IFERROR(IF(GUAYAQUIL[[#This Row],[CODIGO]]="","",VLOOKUP(GUAYAQUIL[[#This Row],[CODIGO]],MAESTRO!$A:$Q,17,FALSE)),"")</f>
        <v>BEBIDAS LACTEAS</v>
      </c>
      <c r="C348" s="42" t="str">
        <f>+IFERROR(IF(GUAYAQUIL[[#This Row],[CODIGO]]="","",VLOOKUP(GUAYAQUIL[[#This Row],[CODIGO]],MAESTRO!$A:$BA,53,FALSE)),"")</f>
        <v xml:space="preserve">Luis Armendariz                         </v>
      </c>
      <c r="D348" s="42" t="str">
        <f>+IFERROR(IF(GUAYAQUIL[[#This Row],[CODIGO]]="","",VLOOKUP(GUAYAQUIL[[#This Row],[CODIGO]],MAESTRO!$A:$D,4,FALSE)),"")</f>
        <v>YOGURT KIOSKO</v>
      </c>
      <c r="E348" s="42" t="str">
        <f>+IFERROR(IF(GUAYAQUIL[[#This Row],[CODIGO]]="","",VLOOKUP(GUAYAQUIL[[#This Row],[CODIGO]],MAESTRO!$A:$F,6,FALSE)),"")</f>
        <v>BEBIDA DE YOGURT KIOSKO FUNDA FAMILI</v>
      </c>
      <c r="F348" s="42" t="str">
        <f>IF(GUAYAQUIL[[#This Row],[CODIGO]]="","",$K$6)</f>
        <v>GUAYAQUIL</v>
      </c>
      <c r="G348" s="42">
        <f>IF(GUAYAQUIL[[#This Row],[CODIGO]]="","",7711)</f>
        <v>7711</v>
      </c>
      <c r="H348" s="42">
        <f>IF(GUAYAQUIL[[#This Row],[CODIGO]]="","",1001)</f>
        <v>1001</v>
      </c>
      <c r="I348" s="258" t="s">
        <v>836</v>
      </c>
      <c r="J348" s="25" t="str">
        <f>IFERROR((VLOOKUP(GUAYAQUIL[[#This Row],[CODIGO]],MAESTRO!A:B,2,FALSE)),"")</f>
        <v>YOG BBLE KIOSKO NATURAL FUN 900G</v>
      </c>
      <c r="K348" s="35">
        <v>675</v>
      </c>
      <c r="L348" s="205">
        <f>+IFERROR(IF(GUAYAQUIL[[#This Row],[CODIGO]]="","",VLOOKUP(GUAYAQUIL[[#This Row],[CODIGO]],MAESTRO!$A:$BF,58,FALSE)),"")</f>
        <v>1</v>
      </c>
      <c r="M348" s="27">
        <f>+IFERROR(IF(GUAYAQUIL[[#This Row],[CODIGO]]="","",VLOOKUP(GUAYAQUIL[[#This Row],[CODIGO]],MAESTRO!A:N,14,FALSE)),"")</f>
        <v>0.9</v>
      </c>
      <c r="N348" s="290">
        <f>+IFERROR(IF(GUAYAQUIL[[#This Row],[CODIGO]]="","",VLOOKUP(GUAYAQUIL[[#This Row],[CODIGO]],MAESTRO!A:P,16,FALSE)),"")</f>
        <v>45</v>
      </c>
      <c r="O348" s="45">
        <v>45604</v>
      </c>
      <c r="P348" s="292" t="str">
        <f t="shared" si="25"/>
        <v>viernes</v>
      </c>
      <c r="Q348" s="278">
        <f>IFERROR(IF(GUAYAQUIL[[#This Row],[CODIGO]]="","",IF(GUAYAQUIL[[#This Row],[Fecha Cad]]="","",(GUAYAQUIL[[#This Row],[Fecha Cad]]-GUAYAQUIL[[#This Row],[VIDA UTIL (Días)]]))+1),"")</f>
        <v>45597</v>
      </c>
      <c r="R348" s="45">
        <v>45641</v>
      </c>
      <c r="S348" s="30">
        <f t="shared" ca="1" si="26"/>
        <v>17</v>
      </c>
      <c r="T348" s="294">
        <f t="shared" ca="1" si="27"/>
        <v>0.37777777777777777</v>
      </c>
      <c r="U348" s="295">
        <v>2</v>
      </c>
      <c r="V348" s="265">
        <f>+IFERROR(IF(GUAYAQUIL[[#This Row],[CODIGO]]="","",GUAYAQUIL[[#This Row],[Stock Actual Unds]]*GUAYAQUIL[[#This Row],[Gramaje]]*GUAYAQUIL[[#This Row],[Conversión]]),"")</f>
        <v>1.8</v>
      </c>
      <c r="W348" s="299">
        <f t="shared" si="28"/>
        <v>7</v>
      </c>
      <c r="X348" s="44">
        <f t="shared" si="29"/>
        <v>0.84444444444444444</v>
      </c>
      <c r="Y348" s="236">
        <f>IFERROR(VLOOKUP(GUAYAQUIL[[#This Row],[CODIGO]],MAESTRO!A:BI,21,FALSE),0)</f>
        <v>0.73647499999999999</v>
      </c>
      <c r="Z348" s="237">
        <f>+IFERROR(IF(GUAYAQUIL[[#This Row],[CODIGO]]="","",GUAYAQUIL[[#This Row],[COSTO UNIT base]]*GUAYAQUIL[[#This Row],[Conversión]]),"")</f>
        <v>0.73647499999999999</v>
      </c>
      <c r="AA348" s="236">
        <f>+IFERROR(IF(GUAYAQUIL[[#This Row],[CODIGO]]="","",GUAYAQUIL[[#This Row],[COSTO UNIT Conv]]*GUAYAQUIL[[#This Row],[Stock Actual Kgs]]),"")</f>
        <v>1.325655</v>
      </c>
      <c r="AB348" s="180">
        <f ca="1">+IFERROR(IF(GUAYAQUIL[[#This Row],[CODIGO]]="","",$J$3-O348),"")</f>
        <v>20</v>
      </c>
      <c r="AC348" s="35" t="str">
        <f ca="1">IF(GUAYAQUIL[[#This Row],[CODIGO]]="","",IF(S348&lt;=0,"CADUCADO",IF(AND(S348&gt;0,S348&lt;=21),"FECHA CORTA",IF(AND(S348&gt;=22,S348&lt;=26),"PROXIMOS FECHA CORTA", "VIGENTE"))))</f>
        <v>FECHA CORTA</v>
      </c>
      <c r="AD348" s="37">
        <f>+IF(GUAYAQUIL[[#This Row],[CODIGO]]="","",GUAYAQUIL[[#This Row],[Stock Actual Unds]]*GUAYAQUIL[[#This Row],[Gramaje]]*GUAYAQUIL[[#This Row],[Conversión]])/1000</f>
        <v>1.8E-3</v>
      </c>
    </row>
    <row r="349" spans="1:30">
      <c r="A349" s="42" t="str">
        <f>+IFERROR(IF(GUAYAQUIL[[#This Row],[CODIGO]]="","",VLOOKUP(GUAYAQUIL[[#This Row],[CODIGO]],MAESTRO!$A:$J,10,FALSE)),"")</f>
        <v>MACHACHI</v>
      </c>
      <c r="B349" s="42" t="str">
        <f>+IFERROR(IF(GUAYAQUIL[[#This Row],[CODIGO]]="","",VLOOKUP(GUAYAQUIL[[#This Row],[CODIGO]],MAESTRO!$A:$Q,17,FALSE)),"")</f>
        <v>BEBIDAS LACTEAS</v>
      </c>
      <c r="C349" s="42" t="str">
        <f>+IFERROR(IF(GUAYAQUIL[[#This Row],[CODIGO]]="","",VLOOKUP(GUAYAQUIL[[#This Row],[CODIGO]],MAESTRO!$A:$BA,53,FALSE)),"")</f>
        <v xml:space="preserve">Luis Armendariz                         </v>
      </c>
      <c r="D349" s="42" t="str">
        <f>+IFERROR(IF(GUAYAQUIL[[#This Row],[CODIGO]]="","",VLOOKUP(GUAYAQUIL[[#This Row],[CODIGO]],MAESTRO!$A:$D,4,FALSE)),"")</f>
        <v>YOGURT KIOSKO</v>
      </c>
      <c r="E349" s="42" t="str">
        <f>+IFERROR(IF(GUAYAQUIL[[#This Row],[CODIGO]]="","",VLOOKUP(GUAYAQUIL[[#This Row],[CODIGO]],MAESTRO!$A:$F,6,FALSE)),"")</f>
        <v>BEBIDA DE YOGURT KIOSKO FUNDA FAMILI</v>
      </c>
      <c r="F349" s="42" t="str">
        <f>IF(GUAYAQUIL[[#This Row],[CODIGO]]="","",$K$6)</f>
        <v>GUAYAQUIL</v>
      </c>
      <c r="G349" s="209">
        <f>IF(GUAYAQUIL[[#This Row],[CODIGO]]="","",7711)</f>
        <v>7711</v>
      </c>
      <c r="H349" s="209">
        <f>IF(GUAYAQUIL[[#This Row],[CODIGO]]="","",1001)</f>
        <v>1001</v>
      </c>
      <c r="I349" s="258" t="s">
        <v>836</v>
      </c>
      <c r="J349" s="25" t="str">
        <f>IFERROR((VLOOKUP(GUAYAQUIL[[#This Row],[CODIGO]],MAESTRO!A:B,2,FALSE)),"")</f>
        <v>YOG BBLE KIOSKO NATURAL FUN 900G</v>
      </c>
      <c r="K349" s="35">
        <v>900</v>
      </c>
      <c r="L349" s="205">
        <f>+IFERROR(IF(GUAYAQUIL[[#This Row],[CODIGO]]="","",VLOOKUP(GUAYAQUIL[[#This Row],[CODIGO]],MAESTRO!$A:$BF,58,FALSE)),"")</f>
        <v>1</v>
      </c>
      <c r="M349" s="27">
        <f>+IFERROR(IF(GUAYAQUIL[[#This Row],[CODIGO]]="","",VLOOKUP(GUAYAQUIL[[#This Row],[CODIGO]],MAESTRO!A:N,14,FALSE)),"")</f>
        <v>0.9</v>
      </c>
      <c r="N349" s="290">
        <f>+IFERROR(IF(GUAYAQUIL[[#This Row],[CODIGO]]="","",VLOOKUP(GUAYAQUIL[[#This Row],[CODIGO]],MAESTRO!A:P,16,FALSE)),"")</f>
        <v>45</v>
      </c>
      <c r="O349" s="45">
        <v>45612</v>
      </c>
      <c r="P349" s="292" t="str">
        <f t="shared" si="25"/>
        <v>sábado</v>
      </c>
      <c r="Q349" s="278">
        <f>IFERROR(IF(GUAYAQUIL[[#This Row],[CODIGO]]="","",IF(GUAYAQUIL[[#This Row],[Fecha Cad]]="","",(GUAYAQUIL[[#This Row],[Fecha Cad]]-GUAYAQUIL[[#This Row],[VIDA UTIL (Días)]]))+1),"")</f>
        <v>45608</v>
      </c>
      <c r="R349" s="45">
        <v>45652</v>
      </c>
      <c r="S349" s="30">
        <f t="shared" ca="1" si="26"/>
        <v>28</v>
      </c>
      <c r="T349" s="294">
        <f t="shared" ca="1" si="27"/>
        <v>0.62222222222222223</v>
      </c>
      <c r="U349" s="295">
        <v>900</v>
      </c>
      <c r="V349" s="265">
        <f>+IFERROR(IF(GUAYAQUIL[[#This Row],[CODIGO]]="","",GUAYAQUIL[[#This Row],[Stock Actual Unds]]*GUAYAQUIL[[#This Row],[Gramaje]]*GUAYAQUIL[[#This Row],[Conversión]]),"")</f>
        <v>810</v>
      </c>
      <c r="W349" s="299">
        <f t="shared" si="28"/>
        <v>4</v>
      </c>
      <c r="X349" s="44">
        <f t="shared" si="29"/>
        <v>0.91111111111111109</v>
      </c>
      <c r="Y349" s="236">
        <f>IFERROR(VLOOKUP(GUAYAQUIL[[#This Row],[CODIGO]],MAESTRO!A:BI,21,FALSE),0)</f>
        <v>0.73647499999999999</v>
      </c>
      <c r="Z349" s="237">
        <f>+IFERROR(IF(GUAYAQUIL[[#This Row],[CODIGO]]="","",GUAYAQUIL[[#This Row],[COSTO UNIT base]]*GUAYAQUIL[[#This Row],[Conversión]]),"")</f>
        <v>0.73647499999999999</v>
      </c>
      <c r="AA349" s="236">
        <f>+IFERROR(IF(GUAYAQUIL[[#This Row],[CODIGO]]="","",GUAYAQUIL[[#This Row],[COSTO UNIT Conv]]*GUAYAQUIL[[#This Row],[Stock Actual Kgs]]),"")</f>
        <v>596.54475000000002</v>
      </c>
      <c r="AB349" s="180">
        <f ca="1">+IFERROR(IF(GUAYAQUIL[[#This Row],[CODIGO]]="","",$J$3-O349),"")</f>
        <v>12</v>
      </c>
      <c r="AC349" s="35" t="str">
        <f ca="1">IF(GUAYAQUIL[[#This Row],[CODIGO]]="","",IF(S349&lt;=0,"CADUCADO",IF(AND(S349&gt;0,S349&lt;=21),"FECHA CORTA",IF(AND(S349&gt;=22,S349&lt;=26),"PROXIMOS FECHA CORTA", "VIGENTE"))))</f>
        <v>VIGENTE</v>
      </c>
      <c r="AD349" s="37">
        <f>+IF(GUAYAQUIL[[#This Row],[CODIGO]]="","",GUAYAQUIL[[#This Row],[Stock Actual Unds]]*GUAYAQUIL[[#This Row],[Gramaje]]*GUAYAQUIL[[#This Row],[Conversión]])/1000</f>
        <v>0.81</v>
      </c>
    </row>
    <row r="350" spans="1:30">
      <c r="A350" s="42" t="str">
        <f>+IFERROR(IF(GUAYAQUIL[[#This Row],[CODIGO]]="","",VLOOKUP(GUAYAQUIL[[#This Row],[CODIGO]],MAESTRO!$A:$J,10,FALSE)),"")</f>
        <v>MACHACHI</v>
      </c>
      <c r="B350" s="42" t="str">
        <f>+IFERROR(IF(GUAYAQUIL[[#This Row],[CODIGO]]="","",VLOOKUP(GUAYAQUIL[[#This Row],[CODIGO]],MAESTRO!$A:$Q,17,FALSE)),"")</f>
        <v>BEBIDAS LACTEAS</v>
      </c>
      <c r="C350" s="42" t="str">
        <f>+IFERROR(IF(GUAYAQUIL[[#This Row],[CODIGO]]="","",VLOOKUP(GUAYAQUIL[[#This Row],[CODIGO]],MAESTRO!$A:$BA,53,FALSE)),"")</f>
        <v xml:space="preserve">Luis Armendariz                         </v>
      </c>
      <c r="D350" s="42" t="str">
        <f>+IFERROR(IF(GUAYAQUIL[[#This Row],[CODIGO]]="","",VLOOKUP(GUAYAQUIL[[#This Row],[CODIGO]],MAESTRO!$A:$D,4,FALSE)),"")</f>
        <v>YOGURT KIOSKO</v>
      </c>
      <c r="E350" s="42" t="str">
        <f>+IFERROR(IF(GUAYAQUIL[[#This Row],[CODIGO]]="","",VLOOKUP(GUAYAQUIL[[#This Row],[CODIGO]],MAESTRO!$A:$F,6,FALSE)),"")</f>
        <v>BEBIDA DE YOGURT KIOSKO FUNDA FAMILI</v>
      </c>
      <c r="F350" s="42" t="str">
        <f>IF(GUAYAQUIL[[#This Row],[CODIGO]]="","",$K$6)</f>
        <v>GUAYAQUIL</v>
      </c>
      <c r="G350" s="42">
        <f>IF(GUAYAQUIL[[#This Row],[CODIGO]]="","",7711)</f>
        <v>7711</v>
      </c>
      <c r="H350" s="42">
        <f>IF(GUAYAQUIL[[#This Row],[CODIGO]]="","",1001)</f>
        <v>1001</v>
      </c>
      <c r="I350" s="258" t="s">
        <v>836</v>
      </c>
      <c r="J350" s="25" t="str">
        <f>IFERROR((VLOOKUP(GUAYAQUIL[[#This Row],[CODIGO]],MAESTRO!A:B,2,FALSE)),"")</f>
        <v>YOG BBLE KIOSKO NATURAL FUN 900G</v>
      </c>
      <c r="K350" s="35">
        <v>675</v>
      </c>
      <c r="L350" s="205">
        <f>+IFERROR(IF(GUAYAQUIL[[#This Row],[CODIGO]]="","",VLOOKUP(GUAYAQUIL[[#This Row],[CODIGO]],MAESTRO!$A:$BF,58,FALSE)),"")</f>
        <v>1</v>
      </c>
      <c r="M350" s="27">
        <f>+IFERROR(IF(GUAYAQUIL[[#This Row],[CODIGO]]="","",VLOOKUP(GUAYAQUIL[[#This Row],[CODIGO]],MAESTRO!A:N,14,FALSE)),"")</f>
        <v>0.9</v>
      </c>
      <c r="N350" s="290">
        <f>+IFERROR(IF(GUAYAQUIL[[#This Row],[CODIGO]]="","",VLOOKUP(GUAYAQUIL[[#This Row],[CODIGO]],MAESTRO!A:P,16,FALSE)),"")</f>
        <v>45</v>
      </c>
      <c r="O350" s="45">
        <v>45611</v>
      </c>
      <c r="P350" s="292" t="str">
        <f t="shared" si="25"/>
        <v>viernes</v>
      </c>
      <c r="Q350" s="278">
        <f>IFERROR(IF(GUAYAQUIL[[#This Row],[CODIGO]]="","",IF(GUAYAQUIL[[#This Row],[Fecha Cad]]="","",(GUAYAQUIL[[#This Row],[Fecha Cad]]-GUAYAQUIL[[#This Row],[VIDA UTIL (Días)]]))+1),"")</f>
        <v>45608</v>
      </c>
      <c r="R350" s="45">
        <v>45652</v>
      </c>
      <c r="S350" s="30">
        <f t="shared" ca="1" si="26"/>
        <v>28</v>
      </c>
      <c r="T350" s="294">
        <f t="shared" ca="1" si="27"/>
        <v>0.62222222222222223</v>
      </c>
      <c r="U350" s="295">
        <v>115</v>
      </c>
      <c r="V350" s="265">
        <f>+IFERROR(IF(GUAYAQUIL[[#This Row],[CODIGO]]="","",GUAYAQUIL[[#This Row],[Stock Actual Unds]]*GUAYAQUIL[[#This Row],[Gramaje]]*GUAYAQUIL[[#This Row],[Conversión]]),"")</f>
        <v>103.5</v>
      </c>
      <c r="W350" s="299">
        <f t="shared" si="28"/>
        <v>3</v>
      </c>
      <c r="X350" s="44">
        <f t="shared" si="29"/>
        <v>0.93333333333333335</v>
      </c>
      <c r="Y350" s="236">
        <f>IFERROR(VLOOKUP(GUAYAQUIL[[#This Row],[CODIGO]],MAESTRO!A:BI,21,FALSE),0)</f>
        <v>0.73647499999999999</v>
      </c>
      <c r="Z350" s="237">
        <f>+IFERROR(IF(GUAYAQUIL[[#This Row],[CODIGO]]="","",GUAYAQUIL[[#This Row],[COSTO UNIT base]]*GUAYAQUIL[[#This Row],[Conversión]]),"")</f>
        <v>0.73647499999999999</v>
      </c>
      <c r="AA350" s="236">
        <f>+IFERROR(IF(GUAYAQUIL[[#This Row],[CODIGO]]="","",GUAYAQUIL[[#This Row],[COSTO UNIT Conv]]*GUAYAQUIL[[#This Row],[Stock Actual Kgs]]),"")</f>
        <v>76.225162499999996</v>
      </c>
      <c r="AB350" s="180">
        <f ca="1">+IFERROR(IF(GUAYAQUIL[[#This Row],[CODIGO]]="","",$J$3-O350),"")</f>
        <v>13</v>
      </c>
      <c r="AC350" s="35" t="str">
        <f ca="1">IF(GUAYAQUIL[[#This Row],[CODIGO]]="","",IF(S350&lt;=0,"CADUCADO",IF(AND(S350&gt;0,S350&lt;=21),"FECHA CORTA",IF(AND(S350&gt;=22,S350&lt;=26),"PROXIMOS FECHA CORTA", "VIGENTE"))))</f>
        <v>VIGENTE</v>
      </c>
      <c r="AD350" s="37">
        <f>+IF(GUAYAQUIL[[#This Row],[CODIGO]]="","",GUAYAQUIL[[#This Row],[Stock Actual Unds]]*GUAYAQUIL[[#This Row],[Gramaje]]*GUAYAQUIL[[#This Row],[Conversión]])/1000</f>
        <v>0.10349999999999999</v>
      </c>
    </row>
    <row r="351" spans="1:30">
      <c r="A351" s="24" t="str">
        <f>+IFERROR(IF(GUAYAQUIL[[#This Row],[CODIGO]]="","",VLOOKUP(GUAYAQUIL[[#This Row],[CODIGO]],MAESTRO!$A:$J,10,FALSE)),"")</f>
        <v>MACHACHI</v>
      </c>
      <c r="B351" s="24" t="str">
        <f>+IFERROR(IF(GUAYAQUIL[[#This Row],[CODIGO]]="","",VLOOKUP(GUAYAQUIL[[#This Row],[CODIGO]],MAESTRO!$A:$Q,17,FALSE)),"")</f>
        <v>BEBIDAS LACTEAS</v>
      </c>
      <c r="C351" s="24" t="str">
        <f>+IFERROR(IF(GUAYAQUIL[[#This Row],[CODIGO]]="","",VLOOKUP(GUAYAQUIL[[#This Row],[CODIGO]],MAESTRO!$A:$BA,53,FALSE)),"")</f>
        <v xml:space="preserve">Luis Armendariz                         </v>
      </c>
      <c r="D351" s="24" t="str">
        <f>+IFERROR(IF(GUAYAQUIL[[#This Row],[CODIGO]]="","",VLOOKUP(GUAYAQUIL[[#This Row],[CODIGO]],MAESTRO!$A:$D,4,FALSE)),"")</f>
        <v>YOGURT KIOSKO</v>
      </c>
      <c r="E351" s="24" t="str">
        <f>+IFERROR(IF(GUAYAQUIL[[#This Row],[CODIGO]]="","",VLOOKUP(GUAYAQUIL[[#This Row],[CODIGO]],MAESTRO!$A:$F,6,FALSE)),"")</f>
        <v>BEBIDA DE YOGURT KIOSKO FUNDA FAMILI</v>
      </c>
      <c r="F351" s="42" t="str">
        <f>IF(GUAYAQUIL[[#This Row],[CODIGO]]="","",$K$6)</f>
        <v>GUAYAQUIL</v>
      </c>
      <c r="G351" s="209">
        <f>IF(GUAYAQUIL[[#This Row],[CODIGO]]="","",7711)</f>
        <v>7711</v>
      </c>
      <c r="H351" s="209">
        <f>IF(GUAYAQUIL[[#This Row],[CODIGO]]="","",1001)</f>
        <v>1001</v>
      </c>
      <c r="I351" s="258" t="s">
        <v>836</v>
      </c>
      <c r="J351" s="25" t="str">
        <f>IFERROR((VLOOKUP(GUAYAQUIL[[#This Row],[CODIGO]],MAESTRO!A:B,2,FALSE)),"")</f>
        <v>YOG BBLE KIOSKO NATURAL FUN 900G</v>
      </c>
      <c r="K351" s="35">
        <v>900</v>
      </c>
      <c r="L351" s="38">
        <f>+IFERROR(IF(GUAYAQUIL[[#This Row],[CODIGO]]="","",VLOOKUP(GUAYAQUIL[[#This Row],[CODIGO]],MAESTRO!$A:$BF,58,FALSE)),"")</f>
        <v>1</v>
      </c>
      <c r="M351" s="27">
        <f>+IFERROR(IF(GUAYAQUIL[[#This Row],[CODIGO]]="","",VLOOKUP(GUAYAQUIL[[#This Row],[CODIGO]],MAESTRO!A:N,14,FALSE)),"")</f>
        <v>0.9</v>
      </c>
      <c r="N351" s="28">
        <f>+IFERROR(IF(GUAYAQUIL[[#This Row],[CODIGO]]="","",VLOOKUP(GUAYAQUIL[[#This Row],[CODIGO]],MAESTRO!A:P,16,FALSE)),"")</f>
        <v>45</v>
      </c>
      <c r="O351" s="45">
        <v>45615</v>
      </c>
      <c r="P351" s="72" t="str">
        <f t="shared" si="25"/>
        <v>martes</v>
      </c>
      <c r="Q351" s="29">
        <f>IFERROR(IF(GUAYAQUIL[[#This Row],[CODIGO]]="","",IF(GUAYAQUIL[[#This Row],[Fecha Cad]]="","",(GUAYAQUIL[[#This Row],[Fecha Cad]]-GUAYAQUIL[[#This Row],[VIDA UTIL (Días)]]))+1),"")</f>
        <v>45610</v>
      </c>
      <c r="R351" s="45">
        <v>45654</v>
      </c>
      <c r="S351" s="30">
        <f t="shared" ca="1" si="26"/>
        <v>30</v>
      </c>
      <c r="T351" s="31">
        <f t="shared" ca="1" si="27"/>
        <v>0.66666666666666663</v>
      </c>
      <c r="U351" s="286">
        <v>900</v>
      </c>
      <c r="V351" s="265">
        <f>+IFERROR(IF(GUAYAQUIL[[#This Row],[CODIGO]]="","",GUAYAQUIL[[#This Row],[Stock Actual Unds]]*GUAYAQUIL[[#This Row],[Gramaje]]*GUAYAQUIL[[#This Row],[Conversión]]),"")</f>
        <v>810</v>
      </c>
      <c r="W351" s="270">
        <f t="shared" si="28"/>
        <v>5</v>
      </c>
      <c r="X351" s="32">
        <f t="shared" si="29"/>
        <v>0.88888888888888884</v>
      </c>
      <c r="Y351" s="236">
        <f>IFERROR(VLOOKUP(GUAYAQUIL[[#This Row],[CODIGO]],MAESTRO!A:BI,21,FALSE),0)</f>
        <v>0.73647499999999999</v>
      </c>
      <c r="Z351" s="237">
        <f>+IFERROR(IF(GUAYAQUIL[[#This Row],[CODIGO]]="","",GUAYAQUIL[[#This Row],[COSTO UNIT base]]*GUAYAQUIL[[#This Row],[Conversión]]),"")</f>
        <v>0.73647499999999999</v>
      </c>
      <c r="AA351" s="236">
        <f>+IFERROR(IF(GUAYAQUIL[[#This Row],[CODIGO]]="","",GUAYAQUIL[[#This Row],[COSTO UNIT Conv]]*GUAYAQUIL[[#This Row],[Stock Actual Kgs]]),"")</f>
        <v>596.54475000000002</v>
      </c>
      <c r="AB351" s="33">
        <f ca="1">+IFERROR(IF(GUAYAQUIL[[#This Row],[CODIGO]]="","",$J$3-O351),"")</f>
        <v>9</v>
      </c>
      <c r="AC351" s="34" t="str">
        <f ca="1">IF(GUAYAQUIL[[#This Row],[CODIGO]]="","",IF(S351&lt;=0,"CADUCADO",IF(AND(S351&gt;0,S351&lt;=21),"FECHA CORTA",IF(AND(S351&gt;=22,S351&lt;=26),"PROXIMOS FECHA CORTA", "VIGENTE"))))</f>
        <v>VIGENTE</v>
      </c>
      <c r="AD351" s="37">
        <f>+IF(GUAYAQUIL[[#This Row],[CODIGO]]="","",GUAYAQUIL[[#This Row],[Stock Actual Unds]]*GUAYAQUIL[[#This Row],[Gramaje]]*GUAYAQUIL[[#This Row],[Conversión]])/1000</f>
        <v>0.81</v>
      </c>
    </row>
    <row r="352" spans="1:30">
      <c r="A352" s="24" t="str">
        <f>+IFERROR(IF(GUAYAQUIL[[#This Row],[CODIGO]]="","",VLOOKUP(GUAYAQUIL[[#This Row],[CODIGO]],MAESTRO!$A:$J,10,FALSE)),"")</f>
        <v>SAN GABRIEL</v>
      </c>
      <c r="B352" s="24" t="str">
        <f>+IFERROR(IF(GUAYAQUIL[[#This Row],[CODIGO]]="","",VLOOKUP(GUAYAQUIL[[#This Row],[CODIGO]],MAESTRO!$A:$Q,17,FALSE)),"")</f>
        <v>QUESOS Y GRASAS</v>
      </c>
      <c r="C352" s="24" t="str">
        <f>+IFERROR(IF(GUAYAQUIL[[#This Row],[CODIGO]]="","",VLOOKUP(GUAYAQUIL[[#This Row],[CODIGO]],MAESTRO!$A:$BA,53,FALSE)),"")</f>
        <v xml:space="preserve">Esteban Montenegro                      </v>
      </c>
      <c r="D352" s="24" t="str">
        <f>+IFERROR(IF(GUAYAQUIL[[#This Row],[CODIGO]]="","",VLOOKUP(GUAYAQUIL[[#This Row],[CODIGO]],MAESTRO!$A:$D,4,FALSE)),"")</f>
        <v>MANTEQUILLA</v>
      </c>
      <c r="E352" s="24" t="str">
        <f>+IFERROR(IF(GUAYAQUIL[[#This Row],[CODIGO]]="","",VLOOKUP(GUAYAQUIL[[#This Row],[CODIGO]],MAESTRO!$A:$F,6,FALSE)),"")</f>
        <v>MANTEQUILLA CON SAL</v>
      </c>
      <c r="F352" s="42" t="str">
        <f>IF(GUAYAQUIL[[#This Row],[CODIGO]]="","",$K$6)</f>
        <v>GUAYAQUIL</v>
      </c>
      <c r="G352" s="42">
        <f>IF(GUAYAQUIL[[#This Row],[CODIGO]]="","",7711)</f>
        <v>7711</v>
      </c>
      <c r="H352" s="42">
        <f>IF(GUAYAQUIL[[#This Row],[CODIGO]]="","",1001)</f>
        <v>1001</v>
      </c>
      <c r="I352" s="258" t="s">
        <v>4419</v>
      </c>
      <c r="J352" s="25" t="str">
        <f>IFERROR((VLOOKUP(GUAYAQUIL[[#This Row],[CODIGO]],MAESTRO!A:B,2,FALSE)),"")</f>
        <v>MANTEQUILLA CON SAL KIOSKO 250G</v>
      </c>
      <c r="K352" s="35">
        <v>192</v>
      </c>
      <c r="L352" s="38">
        <f>+IFERROR(IF(GUAYAQUIL[[#This Row],[CODIGO]]="","",VLOOKUP(GUAYAQUIL[[#This Row],[CODIGO]],MAESTRO!$A:$BF,58,FALSE)),"")</f>
        <v>1</v>
      </c>
      <c r="M352" s="27">
        <f>+IFERROR(IF(GUAYAQUIL[[#This Row],[CODIGO]]="","",VLOOKUP(GUAYAQUIL[[#This Row],[CODIGO]],MAESTRO!A:N,14,FALSE)),"")</f>
        <v>0.25</v>
      </c>
      <c r="N352" s="28">
        <f>+IFERROR(IF(GUAYAQUIL[[#This Row],[CODIGO]]="","",VLOOKUP(GUAYAQUIL[[#This Row],[CODIGO]],MAESTRO!A:P,16,FALSE)),"")</f>
        <v>40</v>
      </c>
      <c r="O352" s="29">
        <v>45611</v>
      </c>
      <c r="P352" s="72" t="str">
        <f t="shared" si="25"/>
        <v>viernes</v>
      </c>
      <c r="Q352" s="29">
        <f>IFERROR(IF(GUAYAQUIL[[#This Row],[CODIGO]]="","",IF(GUAYAQUIL[[#This Row],[Fecha Cad]]="","",(GUAYAQUIL[[#This Row],[Fecha Cad]]-GUAYAQUIL[[#This Row],[VIDA UTIL (Días)]]))+1),"")</f>
        <v>45609</v>
      </c>
      <c r="R352" s="29">
        <v>45648</v>
      </c>
      <c r="S352" s="30">
        <f t="shared" ca="1" si="26"/>
        <v>24</v>
      </c>
      <c r="T352" s="31">
        <f t="shared" ca="1" si="27"/>
        <v>0.6</v>
      </c>
      <c r="U352" s="286">
        <v>83</v>
      </c>
      <c r="V352" s="266">
        <f>+IFERROR(IF(GUAYAQUIL[[#This Row],[CODIGO]]="","",GUAYAQUIL[[#This Row],[Stock Actual Unds]]*GUAYAQUIL[[#This Row],[Gramaje]]*GUAYAQUIL[[#This Row],[Conversión]]),"")</f>
        <v>20.75</v>
      </c>
      <c r="W352" s="270">
        <f t="shared" si="28"/>
        <v>2</v>
      </c>
      <c r="X352" s="32">
        <f t="shared" si="29"/>
        <v>0.95</v>
      </c>
      <c r="Y352" s="236">
        <f>IFERROR(VLOOKUP(GUAYAQUIL[[#This Row],[CODIGO]],MAESTRO!A:BI,21,FALSE),0)</f>
        <v>1.0747450000000001</v>
      </c>
      <c r="Z352" s="237">
        <f>+IFERROR(IF(GUAYAQUIL[[#This Row],[CODIGO]]="","",GUAYAQUIL[[#This Row],[COSTO UNIT base]]*GUAYAQUIL[[#This Row],[Conversión]]),"")</f>
        <v>1.0747450000000001</v>
      </c>
      <c r="AA352" s="236">
        <f>+IFERROR(IF(GUAYAQUIL[[#This Row],[CODIGO]]="","",GUAYAQUIL[[#This Row],[COSTO UNIT Conv]]*GUAYAQUIL[[#This Row],[Stock Actual Kgs]]),"")</f>
        <v>22.300958749999999</v>
      </c>
      <c r="AB352" s="33">
        <f ca="1">+IFERROR(IF(GUAYAQUIL[[#This Row],[CODIGO]]="","",$J$3-O352),"")</f>
        <v>13</v>
      </c>
      <c r="AC352" s="34" t="str">
        <f ca="1">IF(GUAYAQUIL[[#This Row],[CODIGO]]="","",IF(S352&lt;=0,"CADUCADO",IF(AND(S352&gt;0,S352&lt;=21),"FECHA CORTA",IF(AND(S352&gt;=22,S352&lt;=26),"PROXIMOS FECHA CORTA", "VIGENTE"))))</f>
        <v>PROXIMOS FECHA CORTA</v>
      </c>
      <c r="AD352" s="37">
        <f>+IF(GUAYAQUIL[[#This Row],[CODIGO]]="","",GUAYAQUIL[[#This Row],[Stock Actual Unds]]*GUAYAQUIL[[#This Row],[Gramaje]]*GUAYAQUIL[[#This Row],[Conversión]])/1000</f>
        <v>2.0750000000000001E-2</v>
      </c>
    </row>
    <row r="353" spans="1:30">
      <c r="A353" s="24" t="str">
        <f>+IFERROR(IF(GUAYAQUIL[[#This Row],[CODIGO]]="","",VLOOKUP(GUAYAQUIL[[#This Row],[CODIGO]],MAESTRO!$A:$J,10,FALSE)),"")</f>
        <v>SAN GABRIEL</v>
      </c>
      <c r="B353" s="24" t="str">
        <f>+IFERROR(IF(GUAYAQUIL[[#This Row],[CODIGO]]="","",VLOOKUP(GUAYAQUIL[[#This Row],[CODIGO]],MAESTRO!$A:$Q,17,FALSE)),"")</f>
        <v>QUESOS Y GRASAS</v>
      </c>
      <c r="C353" s="24" t="str">
        <f>+IFERROR(IF(GUAYAQUIL[[#This Row],[CODIGO]]="","",VLOOKUP(GUAYAQUIL[[#This Row],[CODIGO]],MAESTRO!$A:$BA,53,FALSE)),"")</f>
        <v xml:space="preserve">Esteban Montenegro                      </v>
      </c>
      <c r="D353" s="24" t="str">
        <f>+IFERROR(IF(GUAYAQUIL[[#This Row],[CODIGO]]="","",VLOOKUP(GUAYAQUIL[[#This Row],[CODIGO]],MAESTRO!$A:$D,4,FALSE)),"")</f>
        <v>MANTEQUILLA</v>
      </c>
      <c r="E353" s="24" t="str">
        <f>+IFERROR(IF(GUAYAQUIL[[#This Row],[CODIGO]]="","",VLOOKUP(GUAYAQUIL[[#This Row],[CODIGO]],MAESTRO!$A:$F,6,FALSE)),"")</f>
        <v>MANTEQUILLA CON SAL</v>
      </c>
      <c r="F353" s="42" t="str">
        <f>IF(GUAYAQUIL[[#This Row],[CODIGO]]="","",$K$6)</f>
        <v>GUAYAQUIL</v>
      </c>
      <c r="G353" s="209">
        <f>IF(GUAYAQUIL[[#This Row],[CODIGO]]="","",7711)</f>
        <v>7711</v>
      </c>
      <c r="H353" s="209">
        <f>IF(GUAYAQUIL[[#This Row],[CODIGO]]="","",1001)</f>
        <v>1001</v>
      </c>
      <c r="I353" s="258" t="s">
        <v>4419</v>
      </c>
      <c r="J353" s="25" t="str">
        <f>IFERROR((VLOOKUP(GUAYAQUIL[[#This Row],[CODIGO]],MAESTRO!A:B,2,FALSE)),"")</f>
        <v>MANTEQUILLA CON SAL KIOSKO 250G</v>
      </c>
      <c r="K353" s="35">
        <v>96</v>
      </c>
      <c r="L353" s="38">
        <f>+IFERROR(IF(GUAYAQUIL[[#This Row],[CODIGO]]="","",VLOOKUP(GUAYAQUIL[[#This Row],[CODIGO]],MAESTRO!$A:$BF,58,FALSE)),"")</f>
        <v>1</v>
      </c>
      <c r="M353" s="27">
        <f>+IFERROR(IF(GUAYAQUIL[[#This Row],[CODIGO]]="","",VLOOKUP(GUAYAQUIL[[#This Row],[CODIGO]],MAESTRO!A:N,14,FALSE)),"")</f>
        <v>0.25</v>
      </c>
      <c r="N353" s="28">
        <f>+IFERROR(IF(GUAYAQUIL[[#This Row],[CODIGO]]="","",VLOOKUP(GUAYAQUIL[[#This Row],[CODIGO]],MAESTRO!A:P,16,FALSE)),"")</f>
        <v>40</v>
      </c>
      <c r="O353" s="29">
        <v>45616</v>
      </c>
      <c r="P353" s="72" t="str">
        <f t="shared" si="25"/>
        <v>miércoles</v>
      </c>
      <c r="Q353" s="29">
        <f>IFERROR(IF(GUAYAQUIL[[#This Row],[CODIGO]]="","",IF(GUAYAQUIL[[#This Row],[Fecha Cad]]="","",(GUAYAQUIL[[#This Row],[Fecha Cad]]-GUAYAQUIL[[#This Row],[VIDA UTIL (Días)]]))+1),"")</f>
        <v>45610</v>
      </c>
      <c r="R353" s="29">
        <v>45649</v>
      </c>
      <c r="S353" s="30">
        <f t="shared" ca="1" si="26"/>
        <v>25</v>
      </c>
      <c r="T353" s="31">
        <f t="shared" ca="1" si="27"/>
        <v>0.625</v>
      </c>
      <c r="U353" s="286">
        <v>96</v>
      </c>
      <c r="V353" s="266">
        <f>+IFERROR(IF(GUAYAQUIL[[#This Row],[CODIGO]]="","",GUAYAQUIL[[#This Row],[Stock Actual Unds]]*GUAYAQUIL[[#This Row],[Gramaje]]*GUAYAQUIL[[#This Row],[Conversión]]),"")</f>
        <v>24</v>
      </c>
      <c r="W353" s="270">
        <f t="shared" si="28"/>
        <v>6</v>
      </c>
      <c r="X353" s="32">
        <f t="shared" si="29"/>
        <v>0.85</v>
      </c>
      <c r="Y353" s="236">
        <f>IFERROR(VLOOKUP(GUAYAQUIL[[#This Row],[CODIGO]],MAESTRO!A:BI,21,FALSE),0)</f>
        <v>1.0747450000000001</v>
      </c>
      <c r="Z353" s="237">
        <f>+IFERROR(IF(GUAYAQUIL[[#This Row],[CODIGO]]="","",GUAYAQUIL[[#This Row],[COSTO UNIT base]]*GUAYAQUIL[[#This Row],[Conversión]]),"")</f>
        <v>1.0747450000000001</v>
      </c>
      <c r="AA353" s="236">
        <f>+IFERROR(IF(GUAYAQUIL[[#This Row],[CODIGO]]="","",GUAYAQUIL[[#This Row],[COSTO UNIT Conv]]*GUAYAQUIL[[#This Row],[Stock Actual Kgs]]),"")</f>
        <v>25.793880000000001</v>
      </c>
      <c r="AB353" s="33">
        <f ca="1">+IFERROR(IF(GUAYAQUIL[[#This Row],[CODIGO]]="","",$J$3-O353),"")</f>
        <v>8</v>
      </c>
      <c r="AC353" s="34" t="str">
        <f ca="1">IF(GUAYAQUIL[[#This Row],[CODIGO]]="","",IF(S353&lt;=0,"CADUCADO",IF(AND(S353&gt;0,S353&lt;=21),"FECHA CORTA",IF(AND(S353&gt;=22,S353&lt;=26),"PROXIMOS FECHA CORTA", "VIGENTE"))))</f>
        <v>PROXIMOS FECHA CORTA</v>
      </c>
      <c r="AD353" s="37">
        <f>+IF(GUAYAQUIL[[#This Row],[CODIGO]]="","",GUAYAQUIL[[#This Row],[Stock Actual Unds]]*GUAYAQUIL[[#This Row],[Gramaje]]*GUAYAQUIL[[#This Row],[Conversión]])/1000</f>
        <v>2.4E-2</v>
      </c>
    </row>
    <row r="354" spans="1:30">
      <c r="A354" s="42" t="str">
        <f>+IFERROR(IF(GUAYAQUIL[[#This Row],[CODIGO]]="","",VLOOKUP(GUAYAQUIL[[#This Row],[CODIGO]],MAESTRO!$A:$J,10,FALSE)),"")</f>
        <v>SAN GABRIEL</v>
      </c>
      <c r="B354" s="42" t="str">
        <f>+IFERROR(IF(GUAYAQUIL[[#This Row],[CODIGO]]="","",VLOOKUP(GUAYAQUIL[[#This Row],[CODIGO]],MAESTRO!$A:$Q,17,FALSE)),"")</f>
        <v>QUESOS Y GRASAS</v>
      </c>
      <c r="C354" s="42" t="str">
        <f>+IFERROR(IF(GUAYAQUIL[[#This Row],[CODIGO]]="","",VLOOKUP(GUAYAQUIL[[#This Row],[CODIGO]],MAESTRO!$A:$BA,53,FALSE)),"")</f>
        <v xml:space="preserve">Esteban Montenegro                      </v>
      </c>
      <c r="D354" s="42" t="str">
        <f>+IFERROR(IF(GUAYAQUIL[[#This Row],[CODIGO]]="","",VLOOKUP(GUAYAQUIL[[#This Row],[CODIGO]],MAESTRO!$A:$D,4,FALSE)),"")</f>
        <v>MANTEQUILLA</v>
      </c>
      <c r="E354" s="42" t="str">
        <f>+IFERROR(IF(GUAYAQUIL[[#This Row],[CODIGO]]="","",VLOOKUP(GUAYAQUIL[[#This Row],[CODIGO]],MAESTRO!$A:$F,6,FALSE)),"")</f>
        <v>MANTEQUILLA CON SAL</v>
      </c>
      <c r="F354" s="42" t="str">
        <f>IF(GUAYAQUIL[[#This Row],[CODIGO]]="","",$K$6)</f>
        <v>GUAYAQUIL</v>
      </c>
      <c r="G354" s="42">
        <f>IF(GUAYAQUIL[[#This Row],[CODIGO]]="","",7711)</f>
        <v>7711</v>
      </c>
      <c r="H354" s="42">
        <f>IF(GUAYAQUIL[[#This Row],[CODIGO]]="","",1001)</f>
        <v>1001</v>
      </c>
      <c r="I354" s="258" t="s">
        <v>4419</v>
      </c>
      <c r="J354" s="25" t="str">
        <f>IFERROR((VLOOKUP(GUAYAQUIL[[#This Row],[CODIGO]],MAESTRO!A:B,2,FALSE)),"")</f>
        <v>MANTEQUILLA CON SAL KIOSKO 250G</v>
      </c>
      <c r="K354" s="35">
        <v>96</v>
      </c>
      <c r="L354" s="205">
        <f>+IFERROR(IF(GUAYAQUIL[[#This Row],[CODIGO]]="","",VLOOKUP(GUAYAQUIL[[#This Row],[CODIGO]],MAESTRO!$A:$BF,58,FALSE)),"")</f>
        <v>1</v>
      </c>
      <c r="M354" s="27">
        <f>+IFERROR(IF(GUAYAQUIL[[#This Row],[CODIGO]]="","",VLOOKUP(GUAYAQUIL[[#This Row],[CODIGO]],MAESTRO!A:N,14,FALSE)),"")</f>
        <v>0.25</v>
      </c>
      <c r="N354" s="290">
        <f>+IFERROR(IF(GUAYAQUIL[[#This Row],[CODIGO]]="","",VLOOKUP(GUAYAQUIL[[#This Row],[CODIGO]],MAESTRO!A:P,16,FALSE)),"")</f>
        <v>40</v>
      </c>
      <c r="O354" s="45">
        <v>45617</v>
      </c>
      <c r="P354" s="292" t="str">
        <f t="shared" si="25"/>
        <v>jueves</v>
      </c>
      <c r="Q354" s="278">
        <f>IFERROR(IF(GUAYAQUIL[[#This Row],[CODIGO]]="","",IF(GUAYAQUIL[[#This Row],[Fecha Cad]]="","",(GUAYAQUIL[[#This Row],[Fecha Cad]]-GUAYAQUIL[[#This Row],[VIDA UTIL (Días)]]))+1),"")</f>
        <v>45615</v>
      </c>
      <c r="R354" s="45">
        <v>45654</v>
      </c>
      <c r="S354" s="30">
        <f t="shared" ca="1" si="26"/>
        <v>30</v>
      </c>
      <c r="T354" s="294">
        <f t="shared" ca="1" si="27"/>
        <v>0.75</v>
      </c>
      <c r="U354" s="286">
        <v>96</v>
      </c>
      <c r="V354" s="265">
        <f>+IFERROR(IF(GUAYAQUIL[[#This Row],[CODIGO]]="","",GUAYAQUIL[[#This Row],[Stock Actual Unds]]*GUAYAQUIL[[#This Row],[Gramaje]]*GUAYAQUIL[[#This Row],[Conversión]]),"")</f>
        <v>24</v>
      </c>
      <c r="W354" s="299">
        <f t="shared" si="28"/>
        <v>2</v>
      </c>
      <c r="X354" s="44">
        <f t="shared" si="29"/>
        <v>0.95</v>
      </c>
      <c r="Y354" s="236">
        <f>IFERROR(VLOOKUP(GUAYAQUIL[[#This Row],[CODIGO]],MAESTRO!A:BI,21,FALSE),0)</f>
        <v>1.0747450000000001</v>
      </c>
      <c r="Z354" s="237">
        <f>+IFERROR(IF(GUAYAQUIL[[#This Row],[CODIGO]]="","",GUAYAQUIL[[#This Row],[COSTO UNIT base]]*GUAYAQUIL[[#This Row],[Conversión]]),"")</f>
        <v>1.0747450000000001</v>
      </c>
      <c r="AA354" s="236">
        <f>+IFERROR(IF(GUAYAQUIL[[#This Row],[CODIGO]]="","",GUAYAQUIL[[#This Row],[COSTO UNIT Conv]]*GUAYAQUIL[[#This Row],[Stock Actual Kgs]]),"")</f>
        <v>25.793880000000001</v>
      </c>
      <c r="AB354" s="180">
        <f ca="1">+IFERROR(IF(GUAYAQUIL[[#This Row],[CODIGO]]="","",$J$3-O354),"")</f>
        <v>7</v>
      </c>
      <c r="AC354" s="35" t="str">
        <f ca="1">IF(GUAYAQUIL[[#This Row],[CODIGO]]="","",IF(S354&lt;=0,"CADUCADO",IF(AND(S354&gt;0,S354&lt;=21),"FECHA CORTA",IF(AND(S354&gt;=22,S354&lt;=26),"PROXIMOS FECHA CORTA", "VIGENTE"))))</f>
        <v>VIGENTE</v>
      </c>
      <c r="AD354" s="37">
        <f>+IF(GUAYAQUIL[[#This Row],[CODIGO]]="","",GUAYAQUIL[[#This Row],[Stock Actual Unds]]*GUAYAQUIL[[#This Row],[Gramaje]]*GUAYAQUIL[[#This Row],[Conversión]])/1000</f>
        <v>2.4E-2</v>
      </c>
    </row>
    <row r="355" spans="1:30">
      <c r="A355" s="42" t="str">
        <f>+IFERROR(IF(GUAYAQUIL[[#This Row],[CODIGO]]="","",VLOOKUP(GUAYAQUIL[[#This Row],[CODIGO]],MAESTRO!$A:$J,10,FALSE)),"")</f>
        <v>MACHACHI</v>
      </c>
      <c r="B355" s="42" t="str">
        <f>+IFERROR(IF(GUAYAQUIL[[#This Row],[CODIGO]]="","",VLOOKUP(GUAYAQUIL[[#This Row],[CODIGO]],MAESTRO!$A:$Q,17,FALSE)),"")</f>
        <v>BEBIDAS LACTEAS</v>
      </c>
      <c r="C355" s="42" t="str">
        <f>+IFERROR(IF(GUAYAQUIL[[#This Row],[CODIGO]]="","",VLOOKUP(GUAYAQUIL[[#This Row],[CODIGO]],MAESTRO!$A:$BA,53,FALSE)),"")</f>
        <v xml:space="preserve">Luis Armendariz                         </v>
      </c>
      <c r="D355" s="42" t="str">
        <f>+IFERROR(IF(GUAYAQUIL[[#This Row],[CODIGO]]="","",VLOOKUP(GUAYAQUIL[[#This Row],[CODIGO]],MAESTRO!$A:$D,4,FALSE)),"")</f>
        <v>YOGURT KIOSKO</v>
      </c>
      <c r="E355" s="42" t="str">
        <f>+IFERROR(IF(GUAYAQUIL[[#This Row],[CODIGO]]="","",VLOOKUP(GUAYAQUIL[[#This Row],[CODIGO]],MAESTRO!$A:$F,6,FALSE)),"")</f>
        <v>GRIEGO SABORIZADO</v>
      </c>
      <c r="F355" s="42" t="str">
        <f>IF(GUAYAQUIL[[#This Row],[CODIGO]]="","",$K$6)</f>
        <v>GUAYAQUIL</v>
      </c>
      <c r="G355" s="42">
        <f>IF(GUAYAQUIL[[#This Row],[CODIGO]]="","",7711)</f>
        <v>7711</v>
      </c>
      <c r="H355" s="42">
        <f>IF(GUAYAQUIL[[#This Row],[CODIGO]]="","",1001)</f>
        <v>1001</v>
      </c>
      <c r="I355" s="258" t="s">
        <v>504</v>
      </c>
      <c r="J355" s="25" t="str">
        <f>IFERROR((VLOOKUP(GUAYAQUIL[[#This Row],[CODIGO]],MAESTRO!A:B,2,FALSE)),"")</f>
        <v>GRIEG KIOSKO MOR Y ARAND 120</v>
      </c>
      <c r="K355" s="35">
        <v>480</v>
      </c>
      <c r="L355" s="205">
        <f>+IFERROR(IF(GUAYAQUIL[[#This Row],[CODIGO]]="","",VLOOKUP(GUAYAQUIL[[#This Row],[CODIGO]],MAESTRO!$A:$BF,58,FALSE)),"")</f>
        <v>1</v>
      </c>
      <c r="M355" s="27">
        <f>+IFERROR(IF(GUAYAQUIL[[#This Row],[CODIGO]]="","",VLOOKUP(GUAYAQUIL[[#This Row],[CODIGO]],MAESTRO!A:N,14,FALSE)),"")</f>
        <v>0.12</v>
      </c>
      <c r="N355" s="290">
        <f>+IFERROR(IF(GUAYAQUIL[[#This Row],[CODIGO]]="","",VLOOKUP(GUAYAQUIL[[#This Row],[CODIGO]],MAESTRO!A:P,16,FALSE)),"")</f>
        <v>45</v>
      </c>
      <c r="O355" s="45">
        <v>45612</v>
      </c>
      <c r="P355" s="292" t="str">
        <f t="shared" si="25"/>
        <v>sábado</v>
      </c>
      <c r="Q355" s="278">
        <f>IFERROR(IF(GUAYAQUIL[[#This Row],[CODIGO]]="","",IF(GUAYAQUIL[[#This Row],[Fecha Cad]]="","",(GUAYAQUIL[[#This Row],[Fecha Cad]]-GUAYAQUIL[[#This Row],[VIDA UTIL (Días)]]))+1),"")</f>
        <v>45611</v>
      </c>
      <c r="R355" s="45">
        <v>45655</v>
      </c>
      <c r="S355" s="30">
        <f t="shared" ca="1" si="26"/>
        <v>31</v>
      </c>
      <c r="T355" s="294">
        <f t="shared" ca="1" si="27"/>
        <v>0.68888888888888888</v>
      </c>
      <c r="U355" s="286">
        <v>38</v>
      </c>
      <c r="V355" s="265">
        <f>+IFERROR(IF(GUAYAQUIL[[#This Row],[CODIGO]]="","",GUAYAQUIL[[#This Row],[Stock Actual Unds]]*GUAYAQUIL[[#This Row],[Gramaje]]*GUAYAQUIL[[#This Row],[Conversión]]),"")</f>
        <v>4.5599999999999996</v>
      </c>
      <c r="W355" s="299">
        <f t="shared" si="28"/>
        <v>1</v>
      </c>
      <c r="X355" s="44">
        <f t="shared" si="29"/>
        <v>0.97777777777777775</v>
      </c>
      <c r="Y355" s="236">
        <f>IFERROR(VLOOKUP(GUAYAQUIL[[#This Row],[CODIGO]],MAESTRO!A:BI,21,FALSE),0)</f>
        <v>0.40076499999999998</v>
      </c>
      <c r="Z355" s="237">
        <f>+IFERROR(IF(GUAYAQUIL[[#This Row],[CODIGO]]="","",GUAYAQUIL[[#This Row],[COSTO UNIT base]]*GUAYAQUIL[[#This Row],[Conversión]]),"")</f>
        <v>0.40076499999999998</v>
      </c>
      <c r="AA355" s="236">
        <f>+IFERROR(IF(GUAYAQUIL[[#This Row],[CODIGO]]="","",GUAYAQUIL[[#This Row],[COSTO UNIT Conv]]*GUAYAQUIL[[#This Row],[Stock Actual Kgs]]),"")</f>
        <v>1.8274883999999998</v>
      </c>
      <c r="AB355" s="180">
        <f ca="1">+IFERROR(IF(GUAYAQUIL[[#This Row],[CODIGO]]="","",$J$3-O355),"")</f>
        <v>12</v>
      </c>
      <c r="AC355" s="35" t="str">
        <f ca="1">IF(GUAYAQUIL[[#This Row],[CODIGO]]="","",IF(S355&lt;=0,"CADUCADO",IF(AND(S355&gt;0,S355&lt;=21),"FECHA CORTA",IF(AND(S355&gt;=22,S355&lt;=26),"PROXIMOS FECHA CORTA", "VIGENTE"))))</f>
        <v>VIGENTE</v>
      </c>
      <c r="AD355" s="37">
        <f>+IF(GUAYAQUIL[[#This Row],[CODIGO]]="","",GUAYAQUIL[[#This Row],[Stock Actual Unds]]*GUAYAQUIL[[#This Row],[Gramaje]]*GUAYAQUIL[[#This Row],[Conversión]])/1000</f>
        <v>4.5599999999999998E-3</v>
      </c>
    </row>
    <row r="356" spans="1:30">
      <c r="A356" s="24" t="str">
        <f>+IFERROR(IF(GUAYAQUIL[[#This Row],[CODIGO]]="","",VLOOKUP(GUAYAQUIL[[#This Row],[CODIGO]],MAESTRO!$A:$J,10,FALSE)),"")</f>
        <v>MULTIEMPAQUE</v>
      </c>
      <c r="B356" s="24" t="str">
        <f>+IFERROR(IF(GUAYAQUIL[[#This Row],[CODIGO]]="","",VLOOKUP(GUAYAQUIL[[#This Row],[CODIGO]],MAESTRO!$A:$Q,17,FALSE)),"")</f>
        <v>BEBIDAS LACTEAS</v>
      </c>
      <c r="C356" s="24" t="str">
        <f>+IFERROR(IF(GUAYAQUIL[[#This Row],[CODIGO]]="","",VLOOKUP(GUAYAQUIL[[#This Row],[CODIGO]],MAESTRO!$A:$BA,53,FALSE)),"")</f>
        <v xml:space="preserve">Luis Armendariz                         </v>
      </c>
      <c r="D356" s="24" t="str">
        <f>+IFERROR(IF(GUAYAQUIL[[#This Row],[CODIGO]]="","",VLOOKUP(GUAYAQUIL[[#This Row],[CODIGO]],MAESTRO!$A:$D,4,FALSE)),"")</f>
        <v>AVENA ALPINA</v>
      </c>
      <c r="E356" s="24" t="str">
        <f>+IFERROR(IF(GUAYAQUIL[[#This Row],[CODIGO]]="","",VLOOKUP(GUAYAQUIL[[#This Row],[CODIGO]],MAESTRO!$A:$F,6,FALSE)),"")</f>
        <v>AVENA VASO</v>
      </c>
      <c r="F356" s="42" t="str">
        <f>IF(GUAYAQUIL[[#This Row],[CODIGO]]="","",$K$6)</f>
        <v>GUAYAQUIL</v>
      </c>
      <c r="G356" s="42">
        <f>IF(GUAYAQUIL[[#This Row],[CODIGO]]="","",7711)</f>
        <v>7711</v>
      </c>
      <c r="H356" s="42">
        <f>IF(GUAYAQUIL[[#This Row],[CODIGO]]="","",1001)</f>
        <v>1001</v>
      </c>
      <c r="I356" s="258" t="s">
        <v>2868</v>
      </c>
      <c r="J356" s="25" t="str">
        <f>IFERROR((VLOOKUP(GUAYAQUIL[[#This Row],[CODIGO]],MAESTRO!A:B,2,FALSE)),"")</f>
        <v>MPLX6 AVENA ORIG VASO 250G</v>
      </c>
      <c r="K356" s="35">
        <v>128</v>
      </c>
      <c r="L356" s="38">
        <f>+IFERROR(IF(GUAYAQUIL[[#This Row],[CODIGO]]="","",VLOOKUP(GUAYAQUIL[[#This Row],[CODIGO]],MAESTRO!$A:$BF,58,FALSE)),"")</f>
        <v>1</v>
      </c>
      <c r="M356" s="27">
        <f>+IFERROR(IF(GUAYAQUIL[[#This Row],[CODIGO]]="","",VLOOKUP(GUAYAQUIL[[#This Row],[CODIGO]],MAESTRO!A:N,14,FALSE)),"")</f>
        <v>1.5</v>
      </c>
      <c r="N356" s="28">
        <f>+IFERROR(IF(GUAYAQUIL[[#This Row],[CODIGO]]="","",VLOOKUP(GUAYAQUIL[[#This Row],[CODIGO]],MAESTRO!A:P,16,FALSE)),"")</f>
        <v>180</v>
      </c>
      <c r="O356" s="29">
        <v>45549</v>
      </c>
      <c r="P356" s="72" t="str">
        <f t="shared" si="25"/>
        <v>sábado</v>
      </c>
      <c r="Q356" s="29">
        <f>IFERROR(IF(GUAYAQUIL[[#This Row],[CODIGO]]="","",IF(GUAYAQUIL[[#This Row],[Fecha Cad]]="","",(GUAYAQUIL[[#This Row],[Fecha Cad]]-GUAYAQUIL[[#This Row],[VIDA UTIL (Días)]]))+1),"")</f>
        <v>45506</v>
      </c>
      <c r="R356" s="45">
        <v>45685</v>
      </c>
      <c r="S356" s="30">
        <f t="shared" ca="1" si="26"/>
        <v>61</v>
      </c>
      <c r="T356" s="31">
        <f t="shared" ca="1" si="27"/>
        <v>0.33888888888888891</v>
      </c>
      <c r="U356" s="286">
        <v>1</v>
      </c>
      <c r="V356" s="265">
        <f>+IFERROR(IF(GUAYAQUIL[[#This Row],[CODIGO]]="","",GUAYAQUIL[[#This Row],[Stock Actual Unds]]*GUAYAQUIL[[#This Row],[Gramaje]]*GUAYAQUIL[[#This Row],[Conversión]]),"")</f>
        <v>1.5</v>
      </c>
      <c r="W356" s="270">
        <f t="shared" si="28"/>
        <v>43</v>
      </c>
      <c r="X356" s="32">
        <f t="shared" si="29"/>
        <v>0.76111111111111107</v>
      </c>
      <c r="Y356" s="236">
        <f>IFERROR(VLOOKUP(GUAYAQUIL[[#This Row],[CODIGO]],MAESTRO!A:BI,21,FALSE),0)</f>
        <v>2.4714</v>
      </c>
      <c r="Z356" s="237">
        <f>+IFERROR(IF(GUAYAQUIL[[#This Row],[CODIGO]]="","",GUAYAQUIL[[#This Row],[COSTO UNIT base]]*GUAYAQUIL[[#This Row],[Conversión]]),"")</f>
        <v>2.4714</v>
      </c>
      <c r="AA356" s="236">
        <f>+IFERROR(IF(GUAYAQUIL[[#This Row],[CODIGO]]="","",GUAYAQUIL[[#This Row],[COSTO UNIT Conv]]*GUAYAQUIL[[#This Row],[Stock Actual Kgs]]),"")</f>
        <v>3.7071000000000001</v>
      </c>
      <c r="AB356" s="33">
        <f ca="1">+IFERROR(IF(GUAYAQUIL[[#This Row],[CODIGO]]="","",$J$3-O356),"")</f>
        <v>75</v>
      </c>
      <c r="AC356" s="34" t="str">
        <f ca="1">IF(GUAYAQUIL[[#This Row],[CODIGO]]="","",IF(S356&lt;=0,"CADUCADO",IF(AND(S356&gt;0,S356&lt;=21),"FECHA CORTA",IF(AND(S356&gt;=22,S356&lt;=26),"PROXIMOS FECHA CORTA", "VIGENTE"))))</f>
        <v>VIGENTE</v>
      </c>
      <c r="AD356" s="37">
        <f>+IF(GUAYAQUIL[[#This Row],[CODIGO]]="","",GUAYAQUIL[[#This Row],[Stock Actual Unds]]*GUAYAQUIL[[#This Row],[Gramaje]]*GUAYAQUIL[[#This Row],[Conversión]])/1000</f>
        <v>1.5E-3</v>
      </c>
    </row>
    <row r="357" spans="1:30">
      <c r="A357" s="24" t="str">
        <f>+IFERROR(IF(GUAYAQUIL[[#This Row],[CODIGO]]="","",VLOOKUP(GUAYAQUIL[[#This Row],[CODIGO]],MAESTRO!$A:$J,10,FALSE)),"")</f>
        <v>MULTIEMPAQUE</v>
      </c>
      <c r="B357" s="24" t="str">
        <f>+IFERROR(IF(GUAYAQUIL[[#This Row],[CODIGO]]="","",VLOOKUP(GUAYAQUIL[[#This Row],[CODIGO]],MAESTRO!$A:$Q,17,FALSE)),"")</f>
        <v>BEBIDAS LACTEAS</v>
      </c>
      <c r="C357" s="24" t="str">
        <f>+IFERROR(IF(GUAYAQUIL[[#This Row],[CODIGO]]="","",VLOOKUP(GUAYAQUIL[[#This Row],[CODIGO]],MAESTRO!$A:$BA,53,FALSE)),"")</f>
        <v xml:space="preserve">Luis Armendariz                         </v>
      </c>
      <c r="D357" s="24" t="str">
        <f>+IFERROR(IF(GUAYAQUIL[[#This Row],[CODIGO]]="","",VLOOKUP(GUAYAQUIL[[#This Row],[CODIGO]],MAESTRO!$A:$D,4,FALSE)),"")</f>
        <v>AVENA ALPINA</v>
      </c>
      <c r="E357" s="24" t="str">
        <f>+IFERROR(IF(GUAYAQUIL[[#This Row],[CODIGO]]="","",VLOOKUP(GUAYAQUIL[[#This Row],[CODIGO]],MAESTRO!$A:$F,6,FALSE)),"")</f>
        <v>AVENA VASO</v>
      </c>
      <c r="F357" s="42" t="str">
        <f>IF(GUAYAQUIL[[#This Row],[CODIGO]]="","",$K$6)</f>
        <v>GUAYAQUIL</v>
      </c>
      <c r="G357" s="209">
        <f>IF(GUAYAQUIL[[#This Row],[CODIGO]]="","",7711)</f>
        <v>7711</v>
      </c>
      <c r="H357" s="209">
        <f>IF(GUAYAQUIL[[#This Row],[CODIGO]]="","",1001)</f>
        <v>1001</v>
      </c>
      <c r="I357" s="258" t="s">
        <v>2868</v>
      </c>
      <c r="J357" s="25" t="str">
        <f>IFERROR((VLOOKUP(GUAYAQUIL[[#This Row],[CODIGO]],MAESTRO!A:B,2,FALSE)),"")</f>
        <v>MPLX6 AVENA ORIG VASO 250G</v>
      </c>
      <c r="K357" s="35">
        <v>120</v>
      </c>
      <c r="L357" s="38">
        <f>+IFERROR(IF(GUAYAQUIL[[#This Row],[CODIGO]]="","",VLOOKUP(GUAYAQUIL[[#This Row],[CODIGO]],MAESTRO!$A:$BF,58,FALSE)),"")</f>
        <v>1</v>
      </c>
      <c r="M357" s="27">
        <f>+IFERROR(IF(GUAYAQUIL[[#This Row],[CODIGO]]="","",VLOOKUP(GUAYAQUIL[[#This Row],[CODIGO]],MAESTRO!A:N,14,FALSE)),"")</f>
        <v>1.5</v>
      </c>
      <c r="N357" s="28">
        <f>+IFERROR(IF(GUAYAQUIL[[#This Row],[CODIGO]]="","",VLOOKUP(GUAYAQUIL[[#This Row],[CODIGO]],MAESTRO!A:P,16,FALSE)),"")</f>
        <v>180</v>
      </c>
      <c r="O357" s="29">
        <v>45608</v>
      </c>
      <c r="P357" s="72" t="str">
        <f t="shared" si="25"/>
        <v>martes</v>
      </c>
      <c r="Q357" s="29">
        <f>IFERROR(IF(GUAYAQUIL[[#This Row],[CODIGO]]="","",IF(GUAYAQUIL[[#This Row],[Fecha Cad]]="","",(GUAYAQUIL[[#This Row],[Fecha Cad]]-GUAYAQUIL[[#This Row],[VIDA UTIL (Días)]]))+1),"")</f>
        <v>45583</v>
      </c>
      <c r="R357" s="29">
        <v>45762</v>
      </c>
      <c r="S357" s="30">
        <f t="shared" ca="1" si="26"/>
        <v>138</v>
      </c>
      <c r="T357" s="31">
        <f t="shared" ca="1" si="27"/>
        <v>0.76666666666666672</v>
      </c>
      <c r="U357" s="286">
        <v>120</v>
      </c>
      <c r="V357" s="266">
        <f>+IFERROR(IF(GUAYAQUIL[[#This Row],[CODIGO]]="","",GUAYAQUIL[[#This Row],[Stock Actual Unds]]*GUAYAQUIL[[#This Row],[Gramaje]]*GUAYAQUIL[[#This Row],[Conversión]]),"")</f>
        <v>180</v>
      </c>
      <c r="W357" s="270">
        <f t="shared" si="28"/>
        <v>25</v>
      </c>
      <c r="X357" s="32">
        <f t="shared" si="29"/>
        <v>0.86111111111111116</v>
      </c>
      <c r="Y357" s="236">
        <f>IFERROR(VLOOKUP(GUAYAQUIL[[#This Row],[CODIGO]],MAESTRO!A:BI,21,FALSE),0)</f>
        <v>2.4714</v>
      </c>
      <c r="Z357" s="237">
        <f>+IFERROR(IF(GUAYAQUIL[[#This Row],[CODIGO]]="","",GUAYAQUIL[[#This Row],[COSTO UNIT base]]*GUAYAQUIL[[#This Row],[Conversión]]),"")</f>
        <v>2.4714</v>
      </c>
      <c r="AA357" s="236">
        <f>+IFERROR(IF(GUAYAQUIL[[#This Row],[CODIGO]]="","",GUAYAQUIL[[#This Row],[COSTO UNIT Conv]]*GUAYAQUIL[[#This Row],[Stock Actual Kgs]]),"")</f>
        <v>444.85200000000003</v>
      </c>
      <c r="AB357" s="33">
        <f ca="1">+IFERROR(IF(GUAYAQUIL[[#This Row],[CODIGO]]="","",$J$3-O357),"")</f>
        <v>16</v>
      </c>
      <c r="AC357" s="34" t="str">
        <f ca="1">IF(GUAYAQUIL[[#This Row],[CODIGO]]="","",IF(S357&lt;=0,"CADUCADO",IF(AND(S357&gt;0,S357&lt;=21),"FECHA CORTA",IF(AND(S357&gt;=22,S357&lt;=26),"PROXIMOS FECHA CORTA", "VIGENTE"))))</f>
        <v>VIGENTE</v>
      </c>
      <c r="AD357" s="37">
        <f>+IF(GUAYAQUIL[[#This Row],[CODIGO]]="","",GUAYAQUIL[[#This Row],[Stock Actual Unds]]*GUAYAQUIL[[#This Row],[Gramaje]]*GUAYAQUIL[[#This Row],[Conversión]])/1000</f>
        <v>0.18</v>
      </c>
    </row>
    <row r="358" spans="1:30">
      <c r="A358" s="24" t="str">
        <f>+IFERROR(IF(GUAYAQUIL[[#This Row],[CODIGO]]="","",VLOOKUP(GUAYAQUIL[[#This Row],[CODIGO]],MAESTRO!$A:$J,10,FALSE)),"")</f>
        <v>MULTIEMPAQUE</v>
      </c>
      <c r="B358" s="24" t="str">
        <f>+IFERROR(IF(GUAYAQUIL[[#This Row],[CODIGO]]="","",VLOOKUP(GUAYAQUIL[[#This Row],[CODIGO]],MAESTRO!$A:$Q,17,FALSE)),"")</f>
        <v>BEBIDAS LACTEAS</v>
      </c>
      <c r="C358" s="24" t="str">
        <f>+IFERROR(IF(GUAYAQUIL[[#This Row],[CODIGO]]="","",VLOOKUP(GUAYAQUIL[[#This Row],[CODIGO]],MAESTRO!$A:$BA,53,FALSE)),"")</f>
        <v xml:space="preserve">Luis Armendariz                         </v>
      </c>
      <c r="D358" s="24" t="str">
        <f>+IFERROR(IF(GUAYAQUIL[[#This Row],[CODIGO]]="","",VLOOKUP(GUAYAQUIL[[#This Row],[CODIGO]],MAESTRO!$A:$D,4,FALSE)),"")</f>
        <v>AVENA ALPINA</v>
      </c>
      <c r="E358" s="24" t="str">
        <f>+IFERROR(IF(GUAYAQUIL[[#This Row],[CODIGO]]="","",VLOOKUP(GUAYAQUIL[[#This Row],[CODIGO]],MAESTRO!$A:$F,6,FALSE)),"")</f>
        <v>AVENA VASO</v>
      </c>
      <c r="F358" s="42" t="str">
        <f>IF(GUAYAQUIL[[#This Row],[CODIGO]]="","",$K$6)</f>
        <v>GUAYAQUIL</v>
      </c>
      <c r="G358" s="42">
        <f>IF(GUAYAQUIL[[#This Row],[CODIGO]]="","",7711)</f>
        <v>7711</v>
      </c>
      <c r="H358" s="42">
        <f>IF(GUAYAQUIL[[#This Row],[CODIGO]]="","",1001)</f>
        <v>1001</v>
      </c>
      <c r="I358" s="258" t="s">
        <v>2868</v>
      </c>
      <c r="J358" s="25" t="str">
        <f>IFERROR((VLOOKUP(GUAYAQUIL[[#This Row],[CODIGO]],MAESTRO!A:B,2,FALSE)),"")</f>
        <v>MPLX6 AVENA ORIG VASO 250G</v>
      </c>
      <c r="K358" s="35">
        <v>40</v>
      </c>
      <c r="L358" s="38">
        <f>+IFERROR(IF(GUAYAQUIL[[#This Row],[CODIGO]]="","",VLOOKUP(GUAYAQUIL[[#This Row],[CODIGO]],MAESTRO!$A:$BF,58,FALSE)),"")</f>
        <v>1</v>
      </c>
      <c r="M358" s="27">
        <f>+IFERROR(IF(GUAYAQUIL[[#This Row],[CODIGO]]="","",VLOOKUP(GUAYAQUIL[[#This Row],[CODIGO]],MAESTRO!A:N,14,FALSE)),"")</f>
        <v>1.5</v>
      </c>
      <c r="N358" s="28">
        <f>+IFERROR(IF(GUAYAQUIL[[#This Row],[CODIGO]]="","",VLOOKUP(GUAYAQUIL[[#This Row],[CODIGO]],MAESTRO!A:P,16,FALSE)),"")</f>
        <v>180</v>
      </c>
      <c r="O358" s="29">
        <v>45609</v>
      </c>
      <c r="P358" s="72" t="str">
        <f t="shared" si="25"/>
        <v>miércoles</v>
      </c>
      <c r="Q358" s="29">
        <f>IFERROR(IF(GUAYAQUIL[[#This Row],[CODIGO]]="","",IF(GUAYAQUIL[[#This Row],[Fecha Cad]]="","",(GUAYAQUIL[[#This Row],[Fecha Cad]]-GUAYAQUIL[[#This Row],[VIDA UTIL (Días)]]))+1),"")</f>
        <v>45583</v>
      </c>
      <c r="R358" s="29">
        <v>45762</v>
      </c>
      <c r="S358" s="30">
        <f t="shared" ca="1" si="26"/>
        <v>138</v>
      </c>
      <c r="T358" s="31">
        <f t="shared" ca="1" si="27"/>
        <v>0.76666666666666672</v>
      </c>
      <c r="U358" s="286">
        <v>40</v>
      </c>
      <c r="V358" s="297">
        <f>+IFERROR(IF(GUAYAQUIL[[#This Row],[CODIGO]]="","",GUAYAQUIL[[#This Row],[Stock Actual Unds]]*GUAYAQUIL[[#This Row],[Gramaje]]*GUAYAQUIL[[#This Row],[Conversión]]),"")</f>
        <v>60</v>
      </c>
      <c r="W358" s="270">
        <f t="shared" si="28"/>
        <v>26</v>
      </c>
      <c r="X358" s="32">
        <f t="shared" si="29"/>
        <v>0.85555555555555562</v>
      </c>
      <c r="Y358" s="236">
        <f>IFERROR(VLOOKUP(GUAYAQUIL[[#This Row],[CODIGO]],MAESTRO!A:BI,21,FALSE),0)</f>
        <v>2.4714</v>
      </c>
      <c r="Z358" s="237">
        <f>+IFERROR(IF(GUAYAQUIL[[#This Row],[CODIGO]]="","",GUAYAQUIL[[#This Row],[COSTO UNIT base]]*GUAYAQUIL[[#This Row],[Conversión]]),"")</f>
        <v>2.4714</v>
      </c>
      <c r="AA358" s="236">
        <f>+IFERROR(IF(GUAYAQUIL[[#This Row],[CODIGO]]="","",GUAYAQUIL[[#This Row],[COSTO UNIT Conv]]*GUAYAQUIL[[#This Row],[Stock Actual Kgs]]),"")</f>
        <v>148.28399999999999</v>
      </c>
      <c r="AB358" s="33">
        <f ca="1">+IFERROR(IF(GUAYAQUIL[[#This Row],[CODIGO]]="","",$J$3-O358),"")</f>
        <v>15</v>
      </c>
      <c r="AC358" s="34" t="str">
        <f ca="1">IF(GUAYAQUIL[[#This Row],[CODIGO]]="","",IF(S358&lt;=0,"CADUCADO",IF(AND(S358&gt;0,S358&lt;=21),"FECHA CORTA",IF(AND(S358&gt;=22,S358&lt;=26),"PROXIMOS FECHA CORTA", "VIGENTE"))))</f>
        <v>VIGENTE</v>
      </c>
      <c r="AD358" s="37">
        <f>+IF(GUAYAQUIL[[#This Row],[CODIGO]]="","",GUAYAQUIL[[#This Row],[Stock Actual Unds]]*GUAYAQUIL[[#This Row],[Gramaje]]*GUAYAQUIL[[#This Row],[Conversión]])/1000</f>
        <v>0.06</v>
      </c>
    </row>
    <row r="359" spans="1:30">
      <c r="A359" s="24" t="str">
        <f>+IFERROR(IF(GUAYAQUIL[[#This Row],[CODIGO]]="","",VLOOKUP(GUAYAQUIL[[#This Row],[CODIGO]],MAESTRO!$A:$J,10,FALSE)),"")</f>
        <v>MULTIEMPAQUE</v>
      </c>
      <c r="B359" s="24" t="str">
        <f>+IFERROR(IF(GUAYAQUIL[[#This Row],[CODIGO]]="","",VLOOKUP(GUAYAQUIL[[#This Row],[CODIGO]],MAESTRO!$A:$Q,17,FALSE)),"")</f>
        <v>BEBIDAS LACTEAS</v>
      </c>
      <c r="C359" s="24" t="str">
        <f>+IFERROR(IF(GUAYAQUIL[[#This Row],[CODIGO]]="","",VLOOKUP(GUAYAQUIL[[#This Row],[CODIGO]],MAESTRO!$A:$BA,53,FALSE)),"")</f>
        <v xml:space="preserve">Luis Armendariz                         </v>
      </c>
      <c r="D359" s="24" t="str">
        <f>+IFERROR(IF(GUAYAQUIL[[#This Row],[CODIGO]]="","",VLOOKUP(GUAYAQUIL[[#This Row],[CODIGO]],MAESTRO!$A:$D,4,FALSE)),"")</f>
        <v>AVENA ALPINA</v>
      </c>
      <c r="E359" s="24" t="str">
        <f>+IFERROR(IF(GUAYAQUIL[[#This Row],[CODIGO]]="","",VLOOKUP(GUAYAQUIL[[#This Row],[CODIGO]],MAESTRO!$A:$F,6,FALSE)),"")</f>
        <v>AVENA VASO</v>
      </c>
      <c r="F359" s="42" t="str">
        <f>IF(GUAYAQUIL[[#This Row],[CODIGO]]="","",$K$6)</f>
        <v>GUAYAQUIL</v>
      </c>
      <c r="G359" s="42">
        <f>IF(GUAYAQUIL[[#This Row],[CODIGO]]="","",7711)</f>
        <v>7711</v>
      </c>
      <c r="H359" s="42">
        <f>IF(GUAYAQUIL[[#This Row],[CODIGO]]="","",1001)</f>
        <v>1001</v>
      </c>
      <c r="I359" s="257" t="s">
        <v>2868</v>
      </c>
      <c r="J359" s="25" t="str">
        <f>IFERROR((VLOOKUP(GUAYAQUIL[[#This Row],[CODIGO]],MAESTRO!A:B,2,FALSE)),"")</f>
        <v>MPLX6 AVENA ORIG VASO 250G</v>
      </c>
      <c r="K359" s="26">
        <v>96</v>
      </c>
      <c r="L359" s="38">
        <f>+IFERROR(IF(GUAYAQUIL[[#This Row],[CODIGO]]="","",VLOOKUP(GUAYAQUIL[[#This Row],[CODIGO]],MAESTRO!$A:$BF,58,FALSE)),"")</f>
        <v>1</v>
      </c>
      <c r="M359" s="27">
        <f>+IFERROR(IF(GUAYAQUIL[[#This Row],[CODIGO]]="","",VLOOKUP(GUAYAQUIL[[#This Row],[CODIGO]],MAESTRO!A:N,14,FALSE)),"")</f>
        <v>1.5</v>
      </c>
      <c r="N359" s="28">
        <f>+IFERROR(IF(GUAYAQUIL[[#This Row],[CODIGO]]="","",VLOOKUP(GUAYAQUIL[[#This Row],[CODIGO]],MAESTRO!A:P,16,FALSE)),"")</f>
        <v>180</v>
      </c>
      <c r="O359" s="29">
        <v>45610</v>
      </c>
      <c r="P359" s="72" t="str">
        <f t="shared" si="25"/>
        <v>jueves</v>
      </c>
      <c r="Q359" s="29">
        <f>IFERROR(IF(GUAYAQUIL[[#This Row],[CODIGO]]="","",IF(GUAYAQUIL[[#This Row],[Fecha Cad]]="","",(GUAYAQUIL[[#This Row],[Fecha Cad]]-GUAYAQUIL[[#This Row],[VIDA UTIL (Días)]]))+1),"")</f>
        <v>45583</v>
      </c>
      <c r="R359" s="29">
        <v>45762</v>
      </c>
      <c r="S359" s="30">
        <f t="shared" ca="1" si="26"/>
        <v>138</v>
      </c>
      <c r="T359" s="31">
        <f t="shared" ca="1" si="27"/>
        <v>0.76666666666666672</v>
      </c>
      <c r="U359" s="286">
        <v>96</v>
      </c>
      <c r="V359" s="267">
        <f>+IFERROR(IF(GUAYAQUIL[[#This Row],[CODIGO]]="","",GUAYAQUIL[[#This Row],[Stock Actual Unds]]*GUAYAQUIL[[#This Row],[Gramaje]]*GUAYAQUIL[[#This Row],[Conversión]]),"")</f>
        <v>144</v>
      </c>
      <c r="W359" s="270">
        <f t="shared" si="28"/>
        <v>27</v>
      </c>
      <c r="X359" s="32">
        <f t="shared" si="29"/>
        <v>0.85</v>
      </c>
      <c r="Y359" s="236">
        <f>IFERROR(VLOOKUP(GUAYAQUIL[[#This Row],[CODIGO]],MAESTRO!A:BI,21,FALSE),0)</f>
        <v>2.4714</v>
      </c>
      <c r="Z359" s="237">
        <f>+IFERROR(IF(GUAYAQUIL[[#This Row],[CODIGO]]="","",GUAYAQUIL[[#This Row],[COSTO UNIT base]]*GUAYAQUIL[[#This Row],[Conversión]]),"")</f>
        <v>2.4714</v>
      </c>
      <c r="AA359" s="236">
        <f>+IFERROR(IF(GUAYAQUIL[[#This Row],[CODIGO]]="","",GUAYAQUIL[[#This Row],[COSTO UNIT Conv]]*GUAYAQUIL[[#This Row],[Stock Actual Kgs]]),"")</f>
        <v>355.88159999999999</v>
      </c>
      <c r="AB359" s="33">
        <f ca="1">+IFERROR(IF(GUAYAQUIL[[#This Row],[CODIGO]]="","",$J$3-O359),"")</f>
        <v>14</v>
      </c>
      <c r="AC359" s="34" t="str">
        <f ca="1">IF(GUAYAQUIL[[#This Row],[CODIGO]]="","",IF(S359&lt;=0,"CADUCADO",IF(AND(S359&gt;0,S359&lt;=21),"FECHA CORTA",IF(AND(S359&gt;=22,S359&lt;=26),"PROXIMOS FECHA CORTA", "VIGENTE"))))</f>
        <v>VIGENTE</v>
      </c>
      <c r="AD359" s="37">
        <f>+IF(GUAYAQUIL[[#This Row],[CODIGO]]="","",GUAYAQUIL[[#This Row],[Stock Actual Unds]]*GUAYAQUIL[[#This Row],[Gramaje]]*GUAYAQUIL[[#This Row],[Conversión]])/1000</f>
        <v>0.14399999999999999</v>
      </c>
    </row>
    <row r="360" spans="1:30">
      <c r="A360" s="24" t="str">
        <f>+IFERROR(IF(GUAYAQUIL[[#This Row],[CODIGO]]="","",VLOOKUP(GUAYAQUIL[[#This Row],[CODIGO]],MAESTRO!$A:$J,10,FALSE)),"")</f>
        <v>MULTIEMPAQUE</v>
      </c>
      <c r="B360" s="24" t="str">
        <f>+IFERROR(IF(GUAYAQUIL[[#This Row],[CODIGO]]="","",VLOOKUP(GUAYAQUIL[[#This Row],[CODIGO]],MAESTRO!$A:$Q,17,FALSE)),"")</f>
        <v>BEBIDAS LACTEAS</v>
      </c>
      <c r="C360" s="24" t="str">
        <f>+IFERROR(IF(GUAYAQUIL[[#This Row],[CODIGO]]="","",VLOOKUP(GUAYAQUIL[[#This Row],[CODIGO]],MAESTRO!$A:$BA,53,FALSE)),"")</f>
        <v xml:space="preserve">Luis Armendariz                         </v>
      </c>
      <c r="D360" s="24" t="str">
        <f>+IFERROR(IF(GUAYAQUIL[[#This Row],[CODIGO]]="","",VLOOKUP(GUAYAQUIL[[#This Row],[CODIGO]],MAESTRO!$A:$D,4,FALSE)),"")</f>
        <v>AVENA ALPINA</v>
      </c>
      <c r="E360" s="24" t="str">
        <f>+IFERROR(IF(GUAYAQUIL[[#This Row],[CODIGO]]="","",VLOOKUP(GUAYAQUIL[[#This Row],[CODIGO]],MAESTRO!$A:$F,6,FALSE)),"")</f>
        <v>AVENA VASO</v>
      </c>
      <c r="F360" s="42" t="str">
        <f>IF(GUAYAQUIL[[#This Row],[CODIGO]]="","",$K$6)</f>
        <v>GUAYAQUIL</v>
      </c>
      <c r="G360" s="42">
        <f>IF(GUAYAQUIL[[#This Row],[CODIGO]]="","",7711)</f>
        <v>7711</v>
      </c>
      <c r="H360" s="42">
        <f>IF(GUAYAQUIL[[#This Row],[CODIGO]]="","",1001)</f>
        <v>1001</v>
      </c>
      <c r="I360" s="258" t="s">
        <v>2868</v>
      </c>
      <c r="J360" s="25" t="str">
        <f>IFERROR((VLOOKUP(GUAYAQUIL[[#This Row],[CODIGO]],MAESTRO!A:B,2,FALSE)),"")</f>
        <v>MPLX6 AVENA ORIG VASO 250G</v>
      </c>
      <c r="K360" s="35">
        <v>120</v>
      </c>
      <c r="L360" s="38">
        <f>+IFERROR(IF(GUAYAQUIL[[#This Row],[CODIGO]]="","",VLOOKUP(GUAYAQUIL[[#This Row],[CODIGO]],MAESTRO!$A:$BF,58,FALSE)),"")</f>
        <v>1</v>
      </c>
      <c r="M360" s="27">
        <f>+IFERROR(IF(GUAYAQUIL[[#This Row],[CODIGO]]="","",VLOOKUP(GUAYAQUIL[[#This Row],[CODIGO]],MAESTRO!A:N,14,FALSE)),"")</f>
        <v>1.5</v>
      </c>
      <c r="N360" s="28">
        <f>+IFERROR(IF(GUAYAQUIL[[#This Row],[CODIGO]]="","",VLOOKUP(GUAYAQUIL[[#This Row],[CODIGO]],MAESTRO!A:P,16,FALSE)),"")</f>
        <v>180</v>
      </c>
      <c r="O360" s="29">
        <v>45616</v>
      </c>
      <c r="P360" s="72" t="str">
        <f t="shared" si="25"/>
        <v>miércoles</v>
      </c>
      <c r="Q360" s="29">
        <f>IFERROR(IF(GUAYAQUIL[[#This Row],[CODIGO]]="","",IF(GUAYAQUIL[[#This Row],[Fecha Cad]]="","",(GUAYAQUIL[[#This Row],[Fecha Cad]]-GUAYAQUIL[[#This Row],[VIDA UTIL (Días)]]))+1),"")</f>
        <v>45596</v>
      </c>
      <c r="R360" s="29">
        <v>45775</v>
      </c>
      <c r="S360" s="30">
        <f t="shared" ca="1" si="26"/>
        <v>151</v>
      </c>
      <c r="T360" s="31">
        <f t="shared" ca="1" si="27"/>
        <v>0.83888888888888891</v>
      </c>
      <c r="U360" s="286">
        <v>32</v>
      </c>
      <c r="V360" s="297">
        <f>+IFERROR(IF(GUAYAQUIL[[#This Row],[CODIGO]]="","",GUAYAQUIL[[#This Row],[Stock Actual Unds]]*GUAYAQUIL[[#This Row],[Gramaje]]*GUAYAQUIL[[#This Row],[Conversión]]),"")</f>
        <v>48</v>
      </c>
      <c r="W360" s="270">
        <f t="shared" si="28"/>
        <v>20</v>
      </c>
      <c r="X360" s="32">
        <f t="shared" si="29"/>
        <v>0.88888888888888884</v>
      </c>
      <c r="Y360" s="236">
        <f>IFERROR(VLOOKUP(GUAYAQUIL[[#This Row],[CODIGO]],MAESTRO!A:BI,21,FALSE),0)</f>
        <v>2.4714</v>
      </c>
      <c r="Z360" s="237">
        <f>+IFERROR(IF(GUAYAQUIL[[#This Row],[CODIGO]]="","",GUAYAQUIL[[#This Row],[COSTO UNIT base]]*GUAYAQUIL[[#This Row],[Conversión]]),"")</f>
        <v>2.4714</v>
      </c>
      <c r="AA360" s="236">
        <f>+IFERROR(IF(GUAYAQUIL[[#This Row],[CODIGO]]="","",GUAYAQUIL[[#This Row],[COSTO UNIT Conv]]*GUAYAQUIL[[#This Row],[Stock Actual Kgs]]),"")</f>
        <v>118.6272</v>
      </c>
      <c r="AB360" s="33">
        <f ca="1">+IFERROR(IF(GUAYAQUIL[[#This Row],[CODIGO]]="","",$J$3-O360),"")</f>
        <v>8</v>
      </c>
      <c r="AC360" s="34" t="str">
        <f ca="1">IF(GUAYAQUIL[[#This Row],[CODIGO]]="","",IF(S360&lt;=0,"CADUCADO",IF(AND(S360&gt;0,S360&lt;=21),"FECHA CORTA",IF(AND(S360&gt;=22,S360&lt;=26),"PROXIMOS FECHA CORTA", "VIGENTE"))))</f>
        <v>VIGENTE</v>
      </c>
      <c r="AD360" s="37">
        <f>+IF(GUAYAQUIL[[#This Row],[CODIGO]]="","",GUAYAQUIL[[#This Row],[Stock Actual Unds]]*GUAYAQUIL[[#This Row],[Gramaje]]*GUAYAQUIL[[#This Row],[Conversión]])/1000</f>
        <v>4.8000000000000001E-2</v>
      </c>
    </row>
    <row r="361" spans="1:30">
      <c r="A361" s="24" t="str">
        <f>+IFERROR(IF(GUAYAQUIL[[#This Row],[CODIGO]]="","",VLOOKUP(GUAYAQUIL[[#This Row],[CODIGO]],MAESTRO!$A:$J,10,FALSE)),"")</f>
        <v>MULTIEMPAQUE</v>
      </c>
      <c r="B361" s="24" t="str">
        <f>+IFERROR(IF(GUAYAQUIL[[#This Row],[CODIGO]]="","",VLOOKUP(GUAYAQUIL[[#This Row],[CODIGO]],MAESTRO!$A:$Q,17,FALSE)),"")</f>
        <v>BEBIDAS LACTEAS</v>
      </c>
      <c r="C361" s="24" t="str">
        <f>+IFERROR(IF(GUAYAQUIL[[#This Row],[CODIGO]]="","",VLOOKUP(GUAYAQUIL[[#This Row],[CODIGO]],MAESTRO!$A:$BA,53,FALSE)),"")</f>
        <v xml:space="preserve">Luis Armendariz                         </v>
      </c>
      <c r="D361" s="24" t="str">
        <f>+IFERROR(IF(GUAYAQUIL[[#This Row],[CODIGO]]="","",VLOOKUP(GUAYAQUIL[[#This Row],[CODIGO]],MAESTRO!$A:$D,4,FALSE)),"")</f>
        <v>AVENA ALPINA</v>
      </c>
      <c r="E361" s="24" t="str">
        <f>+IFERROR(IF(GUAYAQUIL[[#This Row],[CODIGO]]="","",VLOOKUP(GUAYAQUIL[[#This Row],[CODIGO]],MAESTRO!$A:$F,6,FALSE)),"")</f>
        <v>AVENA VASO</v>
      </c>
      <c r="F361" s="42" t="str">
        <f>IF(GUAYAQUIL[[#This Row],[CODIGO]]="","",$K$6)</f>
        <v>GUAYAQUIL</v>
      </c>
      <c r="G361" s="209">
        <f>IF(GUAYAQUIL[[#This Row],[CODIGO]]="","",7711)</f>
        <v>7711</v>
      </c>
      <c r="H361" s="209">
        <f>IF(GUAYAQUIL[[#This Row],[CODIGO]]="","",1001)</f>
        <v>1001</v>
      </c>
      <c r="I361" s="258" t="s">
        <v>2868</v>
      </c>
      <c r="J361" s="25" t="str">
        <f>IFERROR((VLOOKUP(GUAYAQUIL[[#This Row],[CODIGO]],MAESTRO!A:B,2,FALSE)),"")</f>
        <v>MPLX6 AVENA ORIG VASO 250G</v>
      </c>
      <c r="K361" s="35">
        <v>88</v>
      </c>
      <c r="L361" s="38">
        <f>+IFERROR(IF(GUAYAQUIL[[#This Row],[CODIGO]]="","",VLOOKUP(GUAYAQUIL[[#This Row],[CODIGO]],MAESTRO!$A:$BF,58,FALSE)),"")</f>
        <v>1</v>
      </c>
      <c r="M361" s="27">
        <f>+IFERROR(IF(GUAYAQUIL[[#This Row],[CODIGO]]="","",VLOOKUP(GUAYAQUIL[[#This Row],[CODIGO]],MAESTRO!A:N,14,FALSE)),"")</f>
        <v>1.5</v>
      </c>
      <c r="N361" s="28">
        <f>+IFERROR(IF(GUAYAQUIL[[#This Row],[CODIGO]]="","",VLOOKUP(GUAYAQUIL[[#This Row],[CODIGO]],MAESTRO!A:P,16,FALSE)),"")</f>
        <v>180</v>
      </c>
      <c r="O361" s="29">
        <v>45617</v>
      </c>
      <c r="P361" s="72" t="str">
        <f t="shared" si="25"/>
        <v>jueves</v>
      </c>
      <c r="Q361" s="29">
        <f>IFERROR(IF(GUAYAQUIL[[#This Row],[CODIGO]]="","",IF(GUAYAQUIL[[#This Row],[Fecha Cad]]="","",(GUAYAQUIL[[#This Row],[Fecha Cad]]-GUAYAQUIL[[#This Row],[VIDA UTIL (Días)]]))+1),"")</f>
        <v>45596</v>
      </c>
      <c r="R361" s="29">
        <v>45775</v>
      </c>
      <c r="S361" s="30">
        <f t="shared" ca="1" si="26"/>
        <v>151</v>
      </c>
      <c r="T361" s="31">
        <f t="shared" ca="1" si="27"/>
        <v>0.83888888888888891</v>
      </c>
      <c r="U361" s="286">
        <v>88</v>
      </c>
      <c r="V361" s="266">
        <f>+IFERROR(IF(GUAYAQUIL[[#This Row],[CODIGO]]="","",GUAYAQUIL[[#This Row],[Stock Actual Unds]]*GUAYAQUIL[[#This Row],[Gramaje]]*GUAYAQUIL[[#This Row],[Conversión]]),"")</f>
        <v>132</v>
      </c>
      <c r="W361" s="270">
        <f t="shared" si="28"/>
        <v>21</v>
      </c>
      <c r="X361" s="32">
        <f t="shared" si="29"/>
        <v>0.8833333333333333</v>
      </c>
      <c r="Y361" s="236">
        <f>IFERROR(VLOOKUP(GUAYAQUIL[[#This Row],[CODIGO]],MAESTRO!A:BI,21,FALSE),0)</f>
        <v>2.4714</v>
      </c>
      <c r="Z361" s="237">
        <f>+IFERROR(IF(GUAYAQUIL[[#This Row],[CODIGO]]="","",GUAYAQUIL[[#This Row],[COSTO UNIT base]]*GUAYAQUIL[[#This Row],[Conversión]]),"")</f>
        <v>2.4714</v>
      </c>
      <c r="AA361" s="236">
        <f>+IFERROR(IF(GUAYAQUIL[[#This Row],[CODIGO]]="","",GUAYAQUIL[[#This Row],[COSTO UNIT Conv]]*GUAYAQUIL[[#This Row],[Stock Actual Kgs]]),"")</f>
        <v>326.22480000000002</v>
      </c>
      <c r="AB361" s="33">
        <f ca="1">+IFERROR(IF(GUAYAQUIL[[#This Row],[CODIGO]]="","",$J$3-O361),"")</f>
        <v>7</v>
      </c>
      <c r="AC361" s="34" t="str">
        <f ca="1">IF(GUAYAQUIL[[#This Row],[CODIGO]]="","",IF(S361&lt;=0,"CADUCADO",IF(AND(S361&gt;0,S361&lt;=21),"FECHA CORTA",IF(AND(S361&gt;=22,S361&lt;=26),"PROXIMOS FECHA CORTA", "VIGENTE"))))</f>
        <v>VIGENTE</v>
      </c>
      <c r="AD361" s="37">
        <f>+IF(GUAYAQUIL[[#This Row],[CODIGO]]="","",GUAYAQUIL[[#This Row],[Stock Actual Unds]]*GUAYAQUIL[[#This Row],[Gramaje]]*GUAYAQUIL[[#This Row],[Conversión]])/1000</f>
        <v>0.13200000000000001</v>
      </c>
    </row>
    <row r="362" spans="1:30">
      <c r="A362" s="24" t="str">
        <f>+IFERROR(IF(GUAYAQUIL[[#This Row],[CODIGO]]="","",VLOOKUP(GUAYAQUIL[[#This Row],[CODIGO]],MAESTRO!$A:$J,10,FALSE)),"")</f>
        <v>MACHACHI</v>
      </c>
      <c r="B362" s="24" t="str">
        <f>+IFERROR(IF(GUAYAQUIL[[#This Row],[CODIGO]]="","",VLOOKUP(GUAYAQUIL[[#This Row],[CODIGO]],MAESTRO!$A:$Q,17,FALSE)),"")</f>
        <v>BEBIDAS LACTEAS</v>
      </c>
      <c r="C362" s="24" t="str">
        <f>+IFERROR(IF(GUAYAQUIL[[#This Row],[CODIGO]]="","",VLOOKUP(GUAYAQUIL[[#This Row],[CODIGO]],MAESTRO!$A:$BA,53,FALSE)),"")</f>
        <v xml:space="preserve">Luis Armendariz                         </v>
      </c>
      <c r="D362" s="24" t="str">
        <f>+IFERROR(IF(GUAYAQUIL[[#This Row],[CODIGO]]="","",VLOOKUP(GUAYAQUIL[[#This Row],[CODIGO]],MAESTRO!$A:$D,4,FALSE)),"")</f>
        <v>YOGURT FINESSE</v>
      </c>
      <c r="E362" s="24" t="str">
        <f>+IFERROR(IF(GUAYAQUIL[[#This Row],[CODIGO]]="","",VLOOKUP(GUAYAQUIL[[#This Row],[CODIGO]],MAESTRO!$A:$F,6,FALSE)),"")</f>
        <v>YOGURT FINESSE DESLACT BOTELLA FAMILIAR</v>
      </c>
      <c r="F362" s="42" t="str">
        <f>IF(GUAYAQUIL[[#This Row],[CODIGO]]="","",$K$6)</f>
        <v>GUAYAQUIL</v>
      </c>
      <c r="G362" s="42">
        <f>IF(GUAYAQUIL[[#This Row],[CODIGO]]="","",7711)</f>
        <v>7711</v>
      </c>
      <c r="H362" s="42">
        <f>IF(GUAYAQUIL[[#This Row],[CODIGO]]="","",1001)</f>
        <v>1001</v>
      </c>
      <c r="I362" s="258" t="s">
        <v>4308</v>
      </c>
      <c r="J362" s="25" t="str">
        <f>IFERROR((VLOOKUP(GUAYAQUIL[[#This Row],[CODIGO]],MAESTRO!A:B,2,FALSE)),"")</f>
        <v>YOG FNSSE FRTROJ BOT 1670G</v>
      </c>
      <c r="K362" s="35">
        <v>36</v>
      </c>
      <c r="L362" s="38">
        <f>+IFERROR(IF(GUAYAQUIL[[#This Row],[CODIGO]]="","",VLOOKUP(GUAYAQUIL[[#This Row],[CODIGO]],MAESTRO!$A:$BF,58,FALSE)),"")</f>
        <v>1</v>
      </c>
      <c r="M362" s="27">
        <f>+IFERROR(IF(GUAYAQUIL[[#This Row],[CODIGO]]="","",VLOOKUP(GUAYAQUIL[[#This Row],[CODIGO]],MAESTRO!A:N,14,FALSE)),"")</f>
        <v>1.67</v>
      </c>
      <c r="N362" s="28">
        <f>+IFERROR(IF(GUAYAQUIL[[#This Row],[CODIGO]]="","",VLOOKUP(GUAYAQUIL[[#This Row],[CODIGO]],MAESTRO!A:P,16,FALSE)),"")</f>
        <v>45</v>
      </c>
      <c r="O362" s="29">
        <v>45612</v>
      </c>
      <c r="P362" s="72" t="str">
        <f t="shared" si="25"/>
        <v>sábado</v>
      </c>
      <c r="Q362" s="29">
        <f>IFERROR(IF(GUAYAQUIL[[#This Row],[CODIGO]]="","",IF(GUAYAQUIL[[#This Row],[Fecha Cad]]="","",(GUAYAQUIL[[#This Row],[Fecha Cad]]-GUAYAQUIL[[#This Row],[VIDA UTIL (Días)]]))+1),"")</f>
        <v>45609</v>
      </c>
      <c r="R362" s="29">
        <v>45653</v>
      </c>
      <c r="S362" s="30">
        <f t="shared" ca="1" si="26"/>
        <v>29</v>
      </c>
      <c r="T362" s="31">
        <f t="shared" ca="1" si="27"/>
        <v>0.64444444444444449</v>
      </c>
      <c r="U362" s="286">
        <v>0</v>
      </c>
      <c r="V362" s="266">
        <f>+IFERROR(IF(GUAYAQUIL[[#This Row],[CODIGO]]="","",GUAYAQUIL[[#This Row],[Stock Actual Unds]]*GUAYAQUIL[[#This Row],[Gramaje]]*GUAYAQUIL[[#This Row],[Conversión]]),"")</f>
        <v>0</v>
      </c>
      <c r="W362" s="270">
        <f t="shared" si="28"/>
        <v>3</v>
      </c>
      <c r="X362" s="32">
        <f t="shared" si="29"/>
        <v>0.93333333333333335</v>
      </c>
      <c r="Y362" s="236">
        <f>IFERROR(VLOOKUP(GUAYAQUIL[[#This Row],[CODIGO]],MAESTRO!A:BI,21,FALSE),0)</f>
        <v>2.3031100000000002</v>
      </c>
      <c r="Z362" s="237">
        <f>+IFERROR(IF(GUAYAQUIL[[#This Row],[CODIGO]]="","",GUAYAQUIL[[#This Row],[COSTO UNIT base]]*GUAYAQUIL[[#This Row],[Conversión]]),"")</f>
        <v>2.3031100000000002</v>
      </c>
      <c r="AA362" s="236">
        <f>+IFERROR(IF(GUAYAQUIL[[#This Row],[CODIGO]]="","",GUAYAQUIL[[#This Row],[COSTO UNIT Conv]]*GUAYAQUIL[[#This Row],[Stock Actual Kgs]]),"")</f>
        <v>0</v>
      </c>
      <c r="AB362" s="33">
        <f ca="1">+IFERROR(IF(GUAYAQUIL[[#This Row],[CODIGO]]="","",$J$3-O362),"")</f>
        <v>12</v>
      </c>
      <c r="AC362" s="34" t="str">
        <f ca="1">IF(GUAYAQUIL[[#This Row],[CODIGO]]="","",IF(S362&lt;=0,"CADUCADO",IF(AND(S362&gt;0,S362&lt;=21),"FECHA CORTA",IF(AND(S362&gt;=22,S362&lt;=26),"PROXIMOS FECHA CORTA", "VIGENTE"))))</f>
        <v>VIGENTE</v>
      </c>
      <c r="AD362" s="37">
        <f>+IF(GUAYAQUIL[[#This Row],[CODIGO]]="","",GUAYAQUIL[[#This Row],[Stock Actual Unds]]*GUAYAQUIL[[#This Row],[Gramaje]]*GUAYAQUIL[[#This Row],[Conversión]])/1000</f>
        <v>0</v>
      </c>
    </row>
    <row r="363" spans="1:30">
      <c r="A363" s="24" t="str">
        <f>+IFERROR(IF(GUAYAQUIL[[#This Row],[CODIGO]]="","",VLOOKUP(GUAYAQUIL[[#This Row],[CODIGO]],MAESTRO!$A:$J,10,FALSE)),"")</f>
        <v>MACHACHI</v>
      </c>
      <c r="B363" s="24" t="str">
        <f>+IFERROR(IF(GUAYAQUIL[[#This Row],[CODIGO]]="","",VLOOKUP(GUAYAQUIL[[#This Row],[CODIGO]],MAESTRO!$A:$Q,17,FALSE)),"")</f>
        <v>BEBIDAS LACTEAS</v>
      </c>
      <c r="C363" s="24" t="str">
        <f>+IFERROR(IF(GUAYAQUIL[[#This Row],[CODIGO]]="","",VLOOKUP(GUAYAQUIL[[#This Row],[CODIGO]],MAESTRO!$A:$BA,53,FALSE)),"")</f>
        <v xml:space="preserve">Luis Armendariz                         </v>
      </c>
      <c r="D363" s="24" t="str">
        <f>+IFERROR(IF(GUAYAQUIL[[#This Row],[CODIGO]]="","",VLOOKUP(GUAYAQUIL[[#This Row],[CODIGO]],MAESTRO!$A:$D,4,FALSE)),"")</f>
        <v>YOGURT FINESSE</v>
      </c>
      <c r="E363" s="24" t="str">
        <f>+IFERROR(IF(GUAYAQUIL[[#This Row],[CODIGO]]="","",VLOOKUP(GUAYAQUIL[[#This Row],[CODIGO]],MAESTRO!$A:$F,6,FALSE)),"")</f>
        <v>YOGURT FINESSE DESLACT BOTELLA FAMILIAR</v>
      </c>
      <c r="F363" s="42" t="str">
        <f>IF(GUAYAQUIL[[#This Row],[CODIGO]]="","",$K$6)</f>
        <v>GUAYAQUIL</v>
      </c>
      <c r="G363" s="209">
        <f>IF(GUAYAQUIL[[#This Row],[CODIGO]]="","",7711)</f>
        <v>7711</v>
      </c>
      <c r="H363" s="209">
        <f>IF(GUAYAQUIL[[#This Row],[CODIGO]]="","",1001)</f>
        <v>1001</v>
      </c>
      <c r="I363" s="258" t="s">
        <v>4308</v>
      </c>
      <c r="J363" s="25" t="str">
        <f>IFERROR((VLOOKUP(GUAYAQUIL[[#This Row],[CODIGO]],MAESTRO!A:B,2,FALSE)),"")</f>
        <v>YOG FNSSE FRTROJ BOT 1670G</v>
      </c>
      <c r="K363" s="35">
        <v>48</v>
      </c>
      <c r="L363" s="38">
        <f>+IFERROR(IF(GUAYAQUIL[[#This Row],[CODIGO]]="","",VLOOKUP(GUAYAQUIL[[#This Row],[CODIGO]],MAESTRO!$A:$BF,58,FALSE)),"")</f>
        <v>1</v>
      </c>
      <c r="M363" s="27">
        <f>+IFERROR(IF(GUAYAQUIL[[#This Row],[CODIGO]]="","",VLOOKUP(GUAYAQUIL[[#This Row],[CODIGO]],MAESTRO!A:N,14,FALSE)),"")</f>
        <v>1.67</v>
      </c>
      <c r="N363" s="28">
        <f>+IFERROR(IF(GUAYAQUIL[[#This Row],[CODIGO]]="","",VLOOKUP(GUAYAQUIL[[#This Row],[CODIGO]],MAESTRO!A:P,16,FALSE)),"")</f>
        <v>45</v>
      </c>
      <c r="O363" s="45">
        <v>45616</v>
      </c>
      <c r="P363" s="72" t="str">
        <f t="shared" si="25"/>
        <v>miércoles</v>
      </c>
      <c r="Q363" s="29">
        <f>IFERROR(IF(GUAYAQUIL[[#This Row],[CODIGO]]="","",IF(GUAYAQUIL[[#This Row],[Fecha Cad]]="","",(GUAYAQUIL[[#This Row],[Fecha Cad]]-GUAYAQUIL[[#This Row],[VIDA UTIL (Días)]]))+1),"")</f>
        <v>45609</v>
      </c>
      <c r="R363" s="45">
        <v>45653</v>
      </c>
      <c r="S363" s="30">
        <f t="shared" ca="1" si="26"/>
        <v>29</v>
      </c>
      <c r="T363" s="31">
        <f t="shared" ca="1" si="27"/>
        <v>0.64444444444444449</v>
      </c>
      <c r="U363" s="286">
        <v>48</v>
      </c>
      <c r="V363" s="265">
        <f>+IFERROR(IF(GUAYAQUIL[[#This Row],[CODIGO]]="","",GUAYAQUIL[[#This Row],[Stock Actual Unds]]*GUAYAQUIL[[#This Row],[Gramaje]]*GUAYAQUIL[[#This Row],[Conversión]]),"")</f>
        <v>80.16</v>
      </c>
      <c r="W363" s="270">
        <f t="shared" si="28"/>
        <v>7</v>
      </c>
      <c r="X363" s="32">
        <f t="shared" si="29"/>
        <v>0.84444444444444444</v>
      </c>
      <c r="Y363" s="236">
        <f>IFERROR(VLOOKUP(GUAYAQUIL[[#This Row],[CODIGO]],MAESTRO!A:BI,21,FALSE),0)</f>
        <v>2.3031100000000002</v>
      </c>
      <c r="Z363" s="237">
        <f>+IFERROR(IF(GUAYAQUIL[[#This Row],[CODIGO]]="","",GUAYAQUIL[[#This Row],[COSTO UNIT base]]*GUAYAQUIL[[#This Row],[Conversión]]),"")</f>
        <v>2.3031100000000002</v>
      </c>
      <c r="AA363" s="236">
        <f>+IFERROR(IF(GUAYAQUIL[[#This Row],[CODIGO]]="","",GUAYAQUIL[[#This Row],[COSTO UNIT Conv]]*GUAYAQUIL[[#This Row],[Stock Actual Kgs]]),"")</f>
        <v>184.6172976</v>
      </c>
      <c r="AB363" s="33">
        <f ca="1">+IFERROR(IF(GUAYAQUIL[[#This Row],[CODIGO]]="","",$J$3-O363),"")</f>
        <v>8</v>
      </c>
      <c r="AC363" s="34" t="str">
        <f ca="1">IF(GUAYAQUIL[[#This Row],[CODIGO]]="","",IF(S363&lt;=0,"CADUCADO",IF(AND(S363&gt;0,S363&lt;=21),"FECHA CORTA",IF(AND(S363&gt;=22,S363&lt;=26),"PROXIMOS FECHA CORTA", "VIGENTE"))))</f>
        <v>VIGENTE</v>
      </c>
      <c r="AD363" s="37">
        <f>+IF(GUAYAQUIL[[#This Row],[CODIGO]]="","",GUAYAQUIL[[#This Row],[Stock Actual Unds]]*GUAYAQUIL[[#This Row],[Gramaje]]*GUAYAQUIL[[#This Row],[Conversión]])/1000</f>
        <v>8.0159999999999995E-2</v>
      </c>
    </row>
    <row r="364" spans="1:30">
      <c r="A364" s="24" t="str">
        <f>+IFERROR(IF(GUAYAQUIL[[#This Row],[CODIGO]]="","",VLOOKUP(GUAYAQUIL[[#This Row],[CODIGO]],MAESTRO!$A:$J,10,FALSE)),"")</f>
        <v>MACHACHI</v>
      </c>
      <c r="B364" s="24" t="str">
        <f>+IFERROR(IF(GUAYAQUIL[[#This Row],[CODIGO]]="","",VLOOKUP(GUAYAQUIL[[#This Row],[CODIGO]],MAESTRO!$A:$Q,17,FALSE)),"")</f>
        <v>BEBIDAS LACTEAS</v>
      </c>
      <c r="C364" s="24" t="str">
        <f>+IFERROR(IF(GUAYAQUIL[[#This Row],[CODIGO]]="","",VLOOKUP(GUAYAQUIL[[#This Row],[CODIGO]],MAESTRO!$A:$BA,53,FALSE)),"")</f>
        <v xml:space="preserve">Luis Armendariz                         </v>
      </c>
      <c r="D364" s="24" t="str">
        <f>+IFERROR(IF(GUAYAQUIL[[#This Row],[CODIGO]]="","",VLOOKUP(GUAYAQUIL[[#This Row],[CODIGO]],MAESTRO!$A:$D,4,FALSE)),"")</f>
        <v>YOGURT FINESSE</v>
      </c>
      <c r="E364" s="24" t="str">
        <f>+IFERROR(IF(GUAYAQUIL[[#This Row],[CODIGO]]="","",VLOOKUP(GUAYAQUIL[[#This Row],[CODIGO]],MAESTRO!$A:$F,6,FALSE)),"")</f>
        <v>YOGURT FINESSE DESLACT BOTELLA FAMILIAR</v>
      </c>
      <c r="F364" s="42" t="str">
        <f>IF(GUAYAQUIL[[#This Row],[CODIGO]]="","",$K$6)</f>
        <v>GUAYAQUIL</v>
      </c>
      <c r="G364" s="42">
        <f>IF(GUAYAQUIL[[#This Row],[CODIGO]]="","",7711)</f>
        <v>7711</v>
      </c>
      <c r="H364" s="42">
        <f>IF(GUAYAQUIL[[#This Row],[CODIGO]]="","",1001)</f>
        <v>1001</v>
      </c>
      <c r="I364" s="258" t="s">
        <v>4308</v>
      </c>
      <c r="J364" s="25" t="str">
        <f>IFERROR((VLOOKUP(GUAYAQUIL[[#This Row],[CODIGO]],MAESTRO!A:B,2,FALSE)),"")</f>
        <v>YOG FNSSE FRTROJ BOT 1670G</v>
      </c>
      <c r="K364" s="35">
        <v>12</v>
      </c>
      <c r="L364" s="38">
        <f>+IFERROR(IF(GUAYAQUIL[[#This Row],[CODIGO]]="","",VLOOKUP(GUAYAQUIL[[#This Row],[CODIGO]],MAESTRO!$A:$BF,58,FALSE)),"")</f>
        <v>1</v>
      </c>
      <c r="M364" s="27">
        <f>+IFERROR(IF(GUAYAQUIL[[#This Row],[CODIGO]]="","",VLOOKUP(GUAYAQUIL[[#This Row],[CODIGO]],MAESTRO!A:N,14,FALSE)),"")</f>
        <v>1.67</v>
      </c>
      <c r="N364" s="28">
        <f>+IFERROR(IF(GUAYAQUIL[[#This Row],[CODIGO]]="","",VLOOKUP(GUAYAQUIL[[#This Row],[CODIGO]],MAESTRO!A:P,16,FALSE)),"")</f>
        <v>45</v>
      </c>
      <c r="O364" s="29">
        <v>45617</v>
      </c>
      <c r="P364" s="72" t="str">
        <f t="shared" si="25"/>
        <v>jueves</v>
      </c>
      <c r="Q364" s="29">
        <f>IFERROR(IF(GUAYAQUIL[[#This Row],[CODIGO]]="","",IF(GUAYAQUIL[[#This Row],[Fecha Cad]]="","",(GUAYAQUIL[[#This Row],[Fecha Cad]]-GUAYAQUIL[[#This Row],[VIDA UTIL (Días)]]))+1),"")</f>
        <v>45609</v>
      </c>
      <c r="R364" s="29">
        <v>45653</v>
      </c>
      <c r="S364" s="30">
        <f t="shared" ca="1" si="26"/>
        <v>29</v>
      </c>
      <c r="T364" s="31">
        <f t="shared" ca="1" si="27"/>
        <v>0.64444444444444449</v>
      </c>
      <c r="U364" s="286">
        <v>12</v>
      </c>
      <c r="V364" s="266">
        <f>+IFERROR(IF(GUAYAQUIL[[#This Row],[CODIGO]]="","",GUAYAQUIL[[#This Row],[Stock Actual Unds]]*GUAYAQUIL[[#This Row],[Gramaje]]*GUAYAQUIL[[#This Row],[Conversión]]),"")</f>
        <v>20.04</v>
      </c>
      <c r="W364" s="270">
        <f t="shared" si="28"/>
        <v>8</v>
      </c>
      <c r="X364" s="32">
        <f t="shared" si="29"/>
        <v>0.82222222222222219</v>
      </c>
      <c r="Y364" s="236">
        <f>IFERROR(VLOOKUP(GUAYAQUIL[[#This Row],[CODIGO]],MAESTRO!A:BI,21,FALSE),0)</f>
        <v>2.3031100000000002</v>
      </c>
      <c r="Z364" s="237">
        <f>+IFERROR(IF(GUAYAQUIL[[#This Row],[CODIGO]]="","",GUAYAQUIL[[#This Row],[COSTO UNIT base]]*GUAYAQUIL[[#This Row],[Conversión]]),"")</f>
        <v>2.3031100000000002</v>
      </c>
      <c r="AA364" s="236">
        <f>+IFERROR(IF(GUAYAQUIL[[#This Row],[CODIGO]]="","",GUAYAQUIL[[#This Row],[COSTO UNIT Conv]]*GUAYAQUIL[[#This Row],[Stock Actual Kgs]]),"")</f>
        <v>46.1543244</v>
      </c>
      <c r="AB364" s="33">
        <f ca="1">+IFERROR(IF(GUAYAQUIL[[#This Row],[CODIGO]]="","",$J$3-O364),"")</f>
        <v>7</v>
      </c>
      <c r="AC364" s="34" t="str">
        <f ca="1">IF(GUAYAQUIL[[#This Row],[CODIGO]]="","",IF(S364&lt;=0,"CADUCADO",IF(AND(S364&gt;0,S364&lt;=21),"FECHA CORTA",IF(AND(S364&gt;=22,S364&lt;=26),"PROXIMOS FECHA CORTA", "VIGENTE"))))</f>
        <v>VIGENTE</v>
      </c>
      <c r="AD364" s="37">
        <f>+IF(GUAYAQUIL[[#This Row],[CODIGO]]="","",GUAYAQUIL[[#This Row],[Stock Actual Unds]]*GUAYAQUIL[[#This Row],[Gramaje]]*GUAYAQUIL[[#This Row],[Conversión]])/1000</f>
        <v>2.0039999999999999E-2</v>
      </c>
    </row>
    <row r="365" spans="1:30">
      <c r="A365" s="24" t="str">
        <f>+IFERROR(IF(GUAYAQUIL[[#This Row],[CODIGO]]="","",VLOOKUP(GUAYAQUIL[[#This Row],[CODIGO]],MAESTRO!$A:$J,10,FALSE)),"")</f>
        <v>MULTIEMPAQUE_MACH</v>
      </c>
      <c r="B365" s="24" t="str">
        <f>+IFERROR(IF(GUAYAQUIL[[#This Row],[CODIGO]]="","",VLOOKUP(GUAYAQUIL[[#This Row],[CODIGO]],MAESTRO!$A:$Q,17,FALSE)),"")</f>
        <v>BEBIDAS LACTEAS</v>
      </c>
      <c r="C365" s="24" t="str">
        <f>+IFERROR(IF(GUAYAQUIL[[#This Row],[CODIGO]]="","",VLOOKUP(GUAYAQUIL[[#This Row],[CODIGO]],MAESTRO!$A:$BA,53,FALSE)),"")</f>
        <v xml:space="preserve">Luis Armendariz                         </v>
      </c>
      <c r="D365" s="24" t="str">
        <f>+IFERROR(IF(GUAYAQUIL[[#This Row],[CODIGO]]="","",VLOOKUP(GUAYAQUIL[[#This Row],[CODIGO]],MAESTRO!$A:$D,4,FALSE)),"")</f>
        <v>REGENERIS</v>
      </c>
      <c r="E365" s="24" t="str">
        <f>+IFERROR(IF(GUAYAQUIL[[#This Row],[CODIGO]]="","",VLOOKUP(GUAYAQUIL[[#This Row],[CODIGO]],MAESTRO!$A:$F,6,FALSE)),"")</f>
        <v>REGENERIS BEBIBLE BOTELLA PERSONAL</v>
      </c>
      <c r="F365" s="42" t="str">
        <f>IF(GUAYAQUIL[[#This Row],[CODIGO]]="","",$K$6)</f>
        <v>GUAYAQUIL</v>
      </c>
      <c r="G365" s="42">
        <f>IF(GUAYAQUIL[[#This Row],[CODIGO]]="","",7711)</f>
        <v>7711</v>
      </c>
      <c r="H365" s="42">
        <f>IF(GUAYAQUIL[[#This Row],[CODIGO]]="","",1001)</f>
        <v>1001</v>
      </c>
      <c r="I365" s="258" t="s">
        <v>839</v>
      </c>
      <c r="J365" s="25" t="str">
        <f>IFERROR((VLOOKUP(GUAYAQUIL[[#This Row],[CODIGO]],MAESTRO!A:B,2,FALSE)),"")</f>
        <v>MPLX6 RGN BBLE MULTSAB BOT 180G</v>
      </c>
      <c r="K365" s="35">
        <v>48</v>
      </c>
      <c r="L365" s="38">
        <f>+IFERROR(IF(GUAYAQUIL[[#This Row],[CODIGO]]="","",VLOOKUP(GUAYAQUIL[[#This Row],[CODIGO]],MAESTRO!$A:$BF,58,FALSE)),"")</f>
        <v>1</v>
      </c>
      <c r="M365" s="27">
        <f>+IFERROR(IF(GUAYAQUIL[[#This Row],[CODIGO]]="","",VLOOKUP(GUAYAQUIL[[#This Row],[CODIGO]],MAESTRO!A:N,14,FALSE)),"")</f>
        <v>1.08</v>
      </c>
      <c r="N365" s="28">
        <f>+IFERROR(IF(GUAYAQUIL[[#This Row],[CODIGO]]="","",VLOOKUP(GUAYAQUIL[[#This Row],[CODIGO]],MAESTRO!A:P,16,FALSE)),"")</f>
        <v>45</v>
      </c>
      <c r="O365" s="29">
        <v>45612</v>
      </c>
      <c r="P365" s="72" t="str">
        <f t="shared" si="25"/>
        <v>sábado</v>
      </c>
      <c r="Q365" s="29">
        <f>IFERROR(IF(GUAYAQUIL[[#This Row],[CODIGO]]="","",IF(GUAYAQUIL[[#This Row],[Fecha Cad]]="","",(GUAYAQUIL[[#This Row],[Fecha Cad]]-GUAYAQUIL[[#This Row],[VIDA UTIL (Días)]]))+1),"")</f>
        <v>45609</v>
      </c>
      <c r="R365" s="29">
        <v>45653</v>
      </c>
      <c r="S365" s="30">
        <f t="shared" ca="1" si="26"/>
        <v>29</v>
      </c>
      <c r="T365" s="31">
        <f t="shared" ca="1" si="27"/>
        <v>0.64444444444444449</v>
      </c>
      <c r="U365" s="286">
        <v>48</v>
      </c>
      <c r="V365" s="266">
        <f>+IFERROR(IF(GUAYAQUIL[[#This Row],[CODIGO]]="","",GUAYAQUIL[[#This Row],[Stock Actual Unds]]*GUAYAQUIL[[#This Row],[Gramaje]]*GUAYAQUIL[[#This Row],[Conversión]]),"")</f>
        <v>51.84</v>
      </c>
      <c r="W365" s="270">
        <f t="shared" si="28"/>
        <v>3</v>
      </c>
      <c r="X365" s="32">
        <f t="shared" si="29"/>
        <v>0.93333333333333335</v>
      </c>
      <c r="Y365" s="236">
        <f>IFERROR(VLOOKUP(GUAYAQUIL[[#This Row],[CODIGO]],MAESTRO!A:BI,21,FALSE),0)</f>
        <v>1.89862</v>
      </c>
      <c r="Z365" s="237">
        <f>+IFERROR(IF(GUAYAQUIL[[#This Row],[CODIGO]]="","",GUAYAQUIL[[#This Row],[COSTO UNIT base]]*GUAYAQUIL[[#This Row],[Conversión]]),"")</f>
        <v>1.89862</v>
      </c>
      <c r="AA365" s="236">
        <f>+IFERROR(IF(GUAYAQUIL[[#This Row],[CODIGO]]="","",GUAYAQUIL[[#This Row],[COSTO UNIT Conv]]*GUAYAQUIL[[#This Row],[Stock Actual Kgs]]),"")</f>
        <v>98.424460800000006</v>
      </c>
      <c r="AB365" s="33">
        <f ca="1">+IFERROR(IF(GUAYAQUIL[[#This Row],[CODIGO]]="","",$J$3-O365),"")</f>
        <v>12</v>
      </c>
      <c r="AC365" s="34" t="str">
        <f ca="1">IF(GUAYAQUIL[[#This Row],[CODIGO]]="","",IF(S365&lt;=0,"CADUCADO",IF(AND(S365&gt;0,S365&lt;=21),"FECHA CORTA",IF(AND(S365&gt;=22,S365&lt;=26),"PROXIMOS FECHA CORTA", "VIGENTE"))))</f>
        <v>VIGENTE</v>
      </c>
      <c r="AD365" s="37">
        <f>+IF(GUAYAQUIL[[#This Row],[CODIGO]]="","",GUAYAQUIL[[#This Row],[Stock Actual Unds]]*GUAYAQUIL[[#This Row],[Gramaje]]*GUAYAQUIL[[#This Row],[Conversión]])/1000</f>
        <v>5.1840000000000004E-2</v>
      </c>
    </row>
    <row r="366" spans="1:30">
      <c r="A366" s="24" t="str">
        <f>+IFERROR(IF(GUAYAQUIL[[#This Row],[CODIGO]]="","",VLOOKUP(GUAYAQUIL[[#This Row],[CODIGO]],MAESTRO!$A:$J,10,FALSE)),"")</f>
        <v>MULTIEMPAQUE_MACH</v>
      </c>
      <c r="B366" s="24" t="str">
        <f>+IFERROR(IF(GUAYAQUIL[[#This Row],[CODIGO]]="","",VLOOKUP(GUAYAQUIL[[#This Row],[CODIGO]],MAESTRO!$A:$Q,17,FALSE)),"")</f>
        <v>BEBIDAS LACTEAS</v>
      </c>
      <c r="C366" s="24" t="str">
        <f>+IFERROR(IF(GUAYAQUIL[[#This Row],[CODIGO]]="","",VLOOKUP(GUAYAQUIL[[#This Row],[CODIGO]],MAESTRO!$A:$BA,53,FALSE)),"")</f>
        <v xml:space="preserve">Luis Armendariz                         </v>
      </c>
      <c r="D366" s="24" t="str">
        <f>+IFERROR(IF(GUAYAQUIL[[#This Row],[CODIGO]]="","",VLOOKUP(GUAYAQUIL[[#This Row],[CODIGO]],MAESTRO!$A:$D,4,FALSE)),"")</f>
        <v>REGENERIS</v>
      </c>
      <c r="E366" s="24" t="str">
        <f>+IFERROR(IF(GUAYAQUIL[[#This Row],[CODIGO]]="","",VLOOKUP(GUAYAQUIL[[#This Row],[CODIGO]],MAESTRO!$A:$F,6,FALSE)),"")</f>
        <v>REGENERIS BEBIBLE BOTELLA PERSONAL</v>
      </c>
      <c r="F366" s="42" t="str">
        <f>IF(GUAYAQUIL[[#This Row],[CODIGO]]="","",$K$6)</f>
        <v>GUAYAQUIL</v>
      </c>
      <c r="G366" s="42">
        <f>IF(GUAYAQUIL[[#This Row],[CODIGO]]="","",7711)</f>
        <v>7711</v>
      </c>
      <c r="H366" s="42">
        <f>IF(GUAYAQUIL[[#This Row],[CODIGO]]="","",1001)</f>
        <v>1001</v>
      </c>
      <c r="I366" s="258" t="s">
        <v>839</v>
      </c>
      <c r="J366" s="25" t="str">
        <f>IFERROR((VLOOKUP(GUAYAQUIL[[#This Row],[CODIGO]],MAESTRO!A:B,2,FALSE)),"")</f>
        <v>MPLX6 RGN BBLE MULTSAB BOT 180G</v>
      </c>
      <c r="K366" s="35">
        <v>24</v>
      </c>
      <c r="L366" s="38">
        <f>+IFERROR(IF(GUAYAQUIL[[#This Row],[CODIGO]]="","",VLOOKUP(GUAYAQUIL[[#This Row],[CODIGO]],MAESTRO!$A:$BF,58,FALSE)),"")</f>
        <v>1</v>
      </c>
      <c r="M366" s="27">
        <f>+IFERROR(IF(GUAYAQUIL[[#This Row],[CODIGO]]="","",VLOOKUP(GUAYAQUIL[[#This Row],[CODIGO]],MAESTRO!A:N,14,FALSE)),"")</f>
        <v>1.08</v>
      </c>
      <c r="N366" s="28">
        <f>+IFERROR(IF(GUAYAQUIL[[#This Row],[CODIGO]]="","",VLOOKUP(GUAYAQUIL[[#This Row],[CODIGO]],MAESTRO!A:P,16,FALSE)),"")</f>
        <v>45</v>
      </c>
      <c r="O366" s="29">
        <v>45611</v>
      </c>
      <c r="P366" s="72" t="str">
        <f t="shared" si="25"/>
        <v>viernes</v>
      </c>
      <c r="Q366" s="29">
        <f>IFERROR(IF(GUAYAQUIL[[#This Row],[CODIGO]]="","",IF(GUAYAQUIL[[#This Row],[Fecha Cad]]="","",(GUAYAQUIL[[#This Row],[Fecha Cad]]-GUAYAQUIL[[#This Row],[VIDA UTIL (Días)]]))+1),"")</f>
        <v>45609</v>
      </c>
      <c r="R366" s="29">
        <v>45653</v>
      </c>
      <c r="S366" s="30">
        <f t="shared" ca="1" si="26"/>
        <v>29</v>
      </c>
      <c r="T366" s="31">
        <f t="shared" ca="1" si="27"/>
        <v>0.64444444444444449</v>
      </c>
      <c r="U366" s="286">
        <v>24</v>
      </c>
      <c r="V366" s="266">
        <f>+IFERROR(IF(GUAYAQUIL[[#This Row],[CODIGO]]="","",GUAYAQUIL[[#This Row],[Stock Actual Unds]]*GUAYAQUIL[[#This Row],[Gramaje]]*GUAYAQUIL[[#This Row],[Conversión]]),"")</f>
        <v>25.92</v>
      </c>
      <c r="W366" s="270">
        <f t="shared" si="28"/>
        <v>2</v>
      </c>
      <c r="X366" s="32">
        <f t="shared" si="29"/>
        <v>0.9555555555555556</v>
      </c>
      <c r="Y366" s="236">
        <f>IFERROR(VLOOKUP(GUAYAQUIL[[#This Row],[CODIGO]],MAESTRO!A:BI,21,FALSE),0)</f>
        <v>1.89862</v>
      </c>
      <c r="Z366" s="237">
        <f>+IFERROR(IF(GUAYAQUIL[[#This Row],[CODIGO]]="","",GUAYAQUIL[[#This Row],[COSTO UNIT base]]*GUAYAQUIL[[#This Row],[Conversión]]),"")</f>
        <v>1.89862</v>
      </c>
      <c r="AA366" s="236">
        <f>+IFERROR(IF(GUAYAQUIL[[#This Row],[CODIGO]]="","",GUAYAQUIL[[#This Row],[COSTO UNIT Conv]]*GUAYAQUIL[[#This Row],[Stock Actual Kgs]]),"")</f>
        <v>49.212230400000003</v>
      </c>
      <c r="AB366" s="33">
        <f ca="1">+IFERROR(IF(GUAYAQUIL[[#This Row],[CODIGO]]="","",$J$3-O366),"")</f>
        <v>13</v>
      </c>
      <c r="AC366" s="34" t="str">
        <f ca="1">IF(GUAYAQUIL[[#This Row],[CODIGO]]="","",IF(S366&lt;=0,"CADUCADO",IF(AND(S366&gt;0,S366&lt;=21),"FECHA CORTA",IF(AND(S366&gt;=22,S366&lt;=26),"PROXIMOS FECHA CORTA", "VIGENTE"))))</f>
        <v>VIGENTE</v>
      </c>
      <c r="AD366" s="37">
        <f>+IF(GUAYAQUIL[[#This Row],[CODIGO]]="","",GUAYAQUIL[[#This Row],[Stock Actual Unds]]*GUAYAQUIL[[#This Row],[Gramaje]]*GUAYAQUIL[[#This Row],[Conversión]])/1000</f>
        <v>2.5920000000000002E-2</v>
      </c>
    </row>
    <row r="367" spans="1:30">
      <c r="A367" s="24" t="str">
        <f>+IFERROR(IF(GUAYAQUIL[[#This Row],[CODIGO]]="","",VLOOKUP(GUAYAQUIL[[#This Row],[CODIGO]],MAESTRO!$A:$J,10,FALSE)),"")</f>
        <v>MULTIEMPAQUE_MACH</v>
      </c>
      <c r="B367" s="24" t="str">
        <f>+IFERROR(IF(GUAYAQUIL[[#This Row],[CODIGO]]="","",VLOOKUP(GUAYAQUIL[[#This Row],[CODIGO]],MAESTRO!$A:$Q,17,FALSE)),"")</f>
        <v>BEBIDAS LACTEAS</v>
      </c>
      <c r="C367" s="24" t="str">
        <f>+IFERROR(IF(GUAYAQUIL[[#This Row],[CODIGO]]="","",VLOOKUP(GUAYAQUIL[[#This Row],[CODIGO]],MAESTRO!$A:$BA,53,FALSE)),"")</f>
        <v xml:space="preserve">Luis Armendariz                         </v>
      </c>
      <c r="D367" s="24" t="str">
        <f>+IFERROR(IF(GUAYAQUIL[[#This Row],[CODIGO]]="","",VLOOKUP(GUAYAQUIL[[#This Row],[CODIGO]],MAESTRO!$A:$D,4,FALSE)),"")</f>
        <v>REGENERIS</v>
      </c>
      <c r="E367" s="24" t="str">
        <f>+IFERROR(IF(GUAYAQUIL[[#This Row],[CODIGO]]="","",VLOOKUP(GUAYAQUIL[[#This Row],[CODIGO]],MAESTRO!$A:$F,6,FALSE)),"")</f>
        <v>REGENERIS BEBIBLE BOTELLA PERSONAL</v>
      </c>
      <c r="F367" s="42" t="str">
        <f>IF(GUAYAQUIL[[#This Row],[CODIGO]]="","",$K$6)</f>
        <v>GUAYAQUIL</v>
      </c>
      <c r="G367" s="42">
        <f>IF(GUAYAQUIL[[#This Row],[CODIGO]]="","",7711)</f>
        <v>7711</v>
      </c>
      <c r="H367" s="42">
        <f>IF(GUAYAQUIL[[#This Row],[CODIGO]]="","",1001)</f>
        <v>1001</v>
      </c>
      <c r="I367" s="258" t="s">
        <v>839</v>
      </c>
      <c r="J367" s="25" t="str">
        <f>IFERROR((VLOOKUP(GUAYAQUIL[[#This Row],[CODIGO]],MAESTRO!A:B,2,FALSE)),"")</f>
        <v>MPLX6 RGN BBLE MULTSAB BOT 180G</v>
      </c>
      <c r="K367" s="35">
        <v>72</v>
      </c>
      <c r="L367" s="38">
        <f>+IFERROR(IF(GUAYAQUIL[[#This Row],[CODIGO]]="","",VLOOKUP(GUAYAQUIL[[#This Row],[CODIGO]],MAESTRO!$A:$BF,58,FALSE)),"")</f>
        <v>1</v>
      </c>
      <c r="M367" s="27">
        <f>+IFERROR(IF(GUAYAQUIL[[#This Row],[CODIGO]]="","",VLOOKUP(GUAYAQUIL[[#This Row],[CODIGO]],MAESTRO!A:N,14,FALSE)),"")</f>
        <v>1.08</v>
      </c>
      <c r="N367" s="28">
        <f>+IFERROR(IF(GUAYAQUIL[[#This Row],[CODIGO]]="","",VLOOKUP(GUAYAQUIL[[#This Row],[CODIGO]],MAESTRO!A:P,16,FALSE)),"")</f>
        <v>45</v>
      </c>
      <c r="O367" s="29">
        <v>45610</v>
      </c>
      <c r="P367" s="72" t="str">
        <f t="shared" si="25"/>
        <v>jueves</v>
      </c>
      <c r="Q367" s="29">
        <f>IFERROR(IF(GUAYAQUIL[[#This Row],[CODIGO]]="","",IF(GUAYAQUIL[[#This Row],[Fecha Cad]]="","",(GUAYAQUIL[[#This Row],[Fecha Cad]]-GUAYAQUIL[[#This Row],[VIDA UTIL (Días)]]))+1),"")</f>
        <v>45609</v>
      </c>
      <c r="R367" s="29">
        <v>45653</v>
      </c>
      <c r="S367" s="30">
        <f t="shared" ca="1" si="26"/>
        <v>29</v>
      </c>
      <c r="T367" s="31">
        <f t="shared" ca="1" si="27"/>
        <v>0.64444444444444449</v>
      </c>
      <c r="U367" s="286">
        <v>38</v>
      </c>
      <c r="V367" s="266">
        <f>+IFERROR(IF(GUAYAQUIL[[#This Row],[CODIGO]]="","",GUAYAQUIL[[#This Row],[Stock Actual Unds]]*GUAYAQUIL[[#This Row],[Gramaje]]*GUAYAQUIL[[#This Row],[Conversión]]),"")</f>
        <v>41.040000000000006</v>
      </c>
      <c r="W367" s="270">
        <f t="shared" si="28"/>
        <v>1</v>
      </c>
      <c r="X367" s="32">
        <f t="shared" si="29"/>
        <v>0.97777777777777775</v>
      </c>
      <c r="Y367" s="236">
        <f>IFERROR(VLOOKUP(GUAYAQUIL[[#This Row],[CODIGO]],MAESTRO!A:BI,21,FALSE),0)</f>
        <v>1.89862</v>
      </c>
      <c r="Z367" s="237">
        <f>+IFERROR(IF(GUAYAQUIL[[#This Row],[CODIGO]]="","",GUAYAQUIL[[#This Row],[COSTO UNIT base]]*GUAYAQUIL[[#This Row],[Conversión]]),"")</f>
        <v>1.89862</v>
      </c>
      <c r="AA367" s="236">
        <f>+IFERROR(IF(GUAYAQUIL[[#This Row],[CODIGO]]="","",GUAYAQUIL[[#This Row],[COSTO UNIT Conv]]*GUAYAQUIL[[#This Row],[Stock Actual Kgs]]),"")</f>
        <v>77.919364800000011</v>
      </c>
      <c r="AB367" s="33">
        <f ca="1">+IFERROR(IF(GUAYAQUIL[[#This Row],[CODIGO]]="","",$J$3-O367),"")</f>
        <v>14</v>
      </c>
      <c r="AC367" s="34" t="str">
        <f ca="1">IF(GUAYAQUIL[[#This Row],[CODIGO]]="","",IF(S367&lt;=0,"CADUCADO",IF(AND(S367&gt;0,S367&lt;=21),"FECHA CORTA",IF(AND(S367&gt;=22,S367&lt;=26),"PROXIMOS FECHA CORTA", "VIGENTE"))))</f>
        <v>VIGENTE</v>
      </c>
      <c r="AD367" s="37">
        <f>+IF(GUAYAQUIL[[#This Row],[CODIGO]]="","",GUAYAQUIL[[#This Row],[Stock Actual Unds]]*GUAYAQUIL[[#This Row],[Gramaje]]*GUAYAQUIL[[#This Row],[Conversión]])/1000</f>
        <v>4.1040000000000007E-2</v>
      </c>
    </row>
    <row r="368" spans="1:30">
      <c r="A368" s="24" t="str">
        <f>+IFERROR(IF(GUAYAQUIL[[#This Row],[CODIGO]]="","",VLOOKUP(GUAYAQUIL[[#This Row],[CODIGO]],MAESTRO!$A:$J,10,FALSE)),"")</f>
        <v>MULTIEMPAQUE_MACH</v>
      </c>
      <c r="B368" s="24" t="str">
        <f>+IFERROR(IF(GUAYAQUIL[[#This Row],[CODIGO]]="","",VLOOKUP(GUAYAQUIL[[#This Row],[CODIGO]],MAESTRO!$A:$Q,17,FALSE)),"")</f>
        <v>BEBIDAS LACTEAS</v>
      </c>
      <c r="C368" s="24" t="str">
        <f>+IFERROR(IF(GUAYAQUIL[[#This Row],[CODIGO]]="","",VLOOKUP(GUAYAQUIL[[#This Row],[CODIGO]],MAESTRO!$A:$BA,53,FALSE)),"")</f>
        <v xml:space="preserve">Luis Armendariz                         </v>
      </c>
      <c r="D368" s="24" t="str">
        <f>+IFERROR(IF(GUAYAQUIL[[#This Row],[CODIGO]]="","",VLOOKUP(GUAYAQUIL[[#This Row],[CODIGO]],MAESTRO!$A:$D,4,FALSE)),"")</f>
        <v>REGENERIS</v>
      </c>
      <c r="E368" s="24" t="str">
        <f>+IFERROR(IF(GUAYAQUIL[[#This Row],[CODIGO]]="","",VLOOKUP(GUAYAQUIL[[#This Row],[CODIGO]],MAESTRO!$A:$F,6,FALSE)),"")</f>
        <v>REGENERIS BEBIBLE BOTELLA PERSONAL</v>
      </c>
      <c r="F368" s="42" t="str">
        <f>IF(GUAYAQUIL[[#This Row],[CODIGO]]="","",$K$6)</f>
        <v>GUAYAQUIL</v>
      </c>
      <c r="G368" s="42">
        <f>IF(GUAYAQUIL[[#This Row],[CODIGO]]="","",7711)</f>
        <v>7711</v>
      </c>
      <c r="H368" s="42">
        <f>IF(GUAYAQUIL[[#This Row],[CODIGO]]="","",1001)</f>
        <v>1001</v>
      </c>
      <c r="I368" s="258" t="s">
        <v>839</v>
      </c>
      <c r="J368" s="25" t="str">
        <f>IFERROR((VLOOKUP(GUAYAQUIL[[#This Row],[CODIGO]],MAESTRO!A:B,2,FALSE)),"")</f>
        <v>MPLX6 RGN BBLE MULTSAB BOT 180G</v>
      </c>
      <c r="K368" s="35">
        <v>84</v>
      </c>
      <c r="L368" s="38">
        <f>+IFERROR(IF(GUAYAQUIL[[#This Row],[CODIGO]]="","",VLOOKUP(GUAYAQUIL[[#This Row],[CODIGO]],MAESTRO!$A:$BF,58,FALSE)),"")</f>
        <v>1</v>
      </c>
      <c r="M368" s="27">
        <f>+IFERROR(IF(GUAYAQUIL[[#This Row],[CODIGO]]="","",VLOOKUP(GUAYAQUIL[[#This Row],[CODIGO]],MAESTRO!A:N,14,FALSE)),"")</f>
        <v>1.08</v>
      </c>
      <c r="N368" s="28">
        <f>+IFERROR(IF(GUAYAQUIL[[#This Row],[CODIGO]]="","",VLOOKUP(GUAYAQUIL[[#This Row],[CODIGO]],MAESTRO!A:P,16,FALSE)),"")</f>
        <v>45</v>
      </c>
      <c r="O368" s="29">
        <v>45616</v>
      </c>
      <c r="P368" s="72" t="str">
        <f t="shared" si="25"/>
        <v>miércoles</v>
      </c>
      <c r="Q368" s="29">
        <f>IFERROR(IF(GUAYAQUIL[[#This Row],[CODIGO]]="","",IF(GUAYAQUIL[[#This Row],[Fecha Cad]]="","",(GUAYAQUIL[[#This Row],[Fecha Cad]]-GUAYAQUIL[[#This Row],[VIDA UTIL (Días)]]))+1),"")</f>
        <v>45610</v>
      </c>
      <c r="R368" s="29">
        <v>45654</v>
      </c>
      <c r="S368" s="30">
        <f t="shared" ca="1" si="26"/>
        <v>30</v>
      </c>
      <c r="T368" s="31">
        <f t="shared" ca="1" si="27"/>
        <v>0.66666666666666663</v>
      </c>
      <c r="U368" s="286">
        <v>84</v>
      </c>
      <c r="V368" s="266">
        <f>+IFERROR(IF(GUAYAQUIL[[#This Row],[CODIGO]]="","",GUAYAQUIL[[#This Row],[Stock Actual Unds]]*GUAYAQUIL[[#This Row],[Gramaje]]*GUAYAQUIL[[#This Row],[Conversión]]),"")</f>
        <v>90.72</v>
      </c>
      <c r="W368" s="270">
        <f t="shared" si="28"/>
        <v>6</v>
      </c>
      <c r="X368" s="32">
        <f t="shared" si="29"/>
        <v>0.8666666666666667</v>
      </c>
      <c r="Y368" s="236">
        <f>IFERROR(VLOOKUP(GUAYAQUIL[[#This Row],[CODIGO]],MAESTRO!A:BI,21,FALSE),0)</f>
        <v>1.89862</v>
      </c>
      <c r="Z368" s="237">
        <f>+IFERROR(IF(GUAYAQUIL[[#This Row],[CODIGO]]="","",GUAYAQUIL[[#This Row],[COSTO UNIT base]]*GUAYAQUIL[[#This Row],[Conversión]]),"")</f>
        <v>1.89862</v>
      </c>
      <c r="AA368" s="236">
        <f>+IFERROR(IF(GUAYAQUIL[[#This Row],[CODIGO]]="","",GUAYAQUIL[[#This Row],[COSTO UNIT Conv]]*GUAYAQUIL[[#This Row],[Stock Actual Kgs]]),"")</f>
        <v>172.24280640000001</v>
      </c>
      <c r="AB368" s="33">
        <f ca="1">+IFERROR(IF(GUAYAQUIL[[#This Row],[CODIGO]]="","",$J$3-O368),"")</f>
        <v>8</v>
      </c>
      <c r="AC368" s="34" t="str">
        <f ca="1">IF(GUAYAQUIL[[#This Row],[CODIGO]]="","",IF(S368&lt;=0,"CADUCADO",IF(AND(S368&gt;0,S368&lt;=21),"FECHA CORTA",IF(AND(S368&gt;=22,S368&lt;=26),"PROXIMOS FECHA CORTA", "VIGENTE"))))</f>
        <v>VIGENTE</v>
      </c>
      <c r="AD368" s="37">
        <f>+IF(GUAYAQUIL[[#This Row],[CODIGO]]="","",GUAYAQUIL[[#This Row],[Stock Actual Unds]]*GUAYAQUIL[[#This Row],[Gramaje]]*GUAYAQUIL[[#This Row],[Conversión]])/1000</f>
        <v>9.0719999999999995E-2</v>
      </c>
    </row>
    <row r="369" spans="1:30">
      <c r="A369" s="24" t="str">
        <f>+IFERROR(IF(GUAYAQUIL[[#This Row],[CODIGO]]="","",VLOOKUP(GUAYAQUIL[[#This Row],[CODIGO]],MAESTRO!$A:$J,10,FALSE)),"")</f>
        <v>MACHACHI</v>
      </c>
      <c r="B369" s="24" t="str">
        <f>+IFERROR(IF(GUAYAQUIL[[#This Row],[CODIGO]]="","",VLOOKUP(GUAYAQUIL[[#This Row],[CODIGO]],MAESTRO!$A:$Q,17,FALSE)),"")</f>
        <v>BEBIDAS LACTEAS</v>
      </c>
      <c r="C369" s="24" t="str">
        <f>+IFERROR(IF(GUAYAQUIL[[#This Row],[CODIGO]]="","",VLOOKUP(GUAYAQUIL[[#This Row],[CODIGO]],MAESTRO!$A:$BA,53,FALSE)),"")</f>
        <v xml:space="preserve">Luis Armendariz                         </v>
      </c>
      <c r="D369" s="24" t="str">
        <f>+IFERROR(IF(GUAYAQUIL[[#This Row],[CODIGO]]="","",VLOOKUP(GUAYAQUIL[[#This Row],[CODIGO]],MAESTRO!$A:$D,4,FALSE)),"")</f>
        <v>YOGURT KIOSKO</v>
      </c>
      <c r="E369" s="24" t="str">
        <f>+IFERROR(IF(GUAYAQUIL[[#This Row],[CODIGO]]="","",VLOOKUP(GUAYAQUIL[[#This Row],[CODIGO]],MAESTRO!$A:$F,6,FALSE)),"")</f>
        <v>GRIEGO SABORIZADO</v>
      </c>
      <c r="F369" s="42" t="str">
        <f>IF(GUAYAQUIL[[#This Row],[CODIGO]]="","",$K$6)</f>
        <v>GUAYAQUIL</v>
      </c>
      <c r="G369" s="42">
        <f>IF(GUAYAQUIL[[#This Row],[CODIGO]]="","",7711)</f>
        <v>7711</v>
      </c>
      <c r="H369" s="42">
        <f>IF(GUAYAQUIL[[#This Row],[CODIGO]]="","",1001)</f>
        <v>1001</v>
      </c>
      <c r="I369" s="258" t="s">
        <v>694</v>
      </c>
      <c r="J369" s="25" t="str">
        <f>IFERROR((VLOOKUP(GUAYAQUIL[[#This Row],[CODIGO]],MAESTRO!A:B,2,FALSE)),"")</f>
        <v>GRIEG KIOSKO NATURAL 400</v>
      </c>
      <c r="K369" s="35">
        <v>48</v>
      </c>
      <c r="L369" s="38">
        <f>+IFERROR(IF(GUAYAQUIL[[#This Row],[CODIGO]]="","",VLOOKUP(GUAYAQUIL[[#This Row],[CODIGO]],MAESTRO!$A:$BF,58,FALSE)),"")</f>
        <v>1</v>
      </c>
      <c r="M369" s="27">
        <f>+IFERROR(IF(GUAYAQUIL[[#This Row],[CODIGO]]="","",VLOOKUP(GUAYAQUIL[[#This Row],[CODIGO]],MAESTRO!A:N,14,FALSE)),"")</f>
        <v>0.4</v>
      </c>
      <c r="N369" s="28">
        <f>+IFERROR(IF(GUAYAQUIL[[#This Row],[CODIGO]]="","",VLOOKUP(GUAYAQUIL[[#This Row],[CODIGO]],MAESTRO!A:P,16,FALSE)),"")</f>
        <v>45</v>
      </c>
      <c r="O369" s="29">
        <v>45612</v>
      </c>
      <c r="P369" s="72" t="str">
        <f t="shared" si="25"/>
        <v>sábado</v>
      </c>
      <c r="Q369" s="29">
        <f>IFERROR(IF(GUAYAQUIL[[#This Row],[CODIGO]]="","",IF(GUAYAQUIL[[#This Row],[Fecha Cad]]="","",(GUAYAQUIL[[#This Row],[Fecha Cad]]-GUAYAQUIL[[#This Row],[VIDA UTIL (Días)]]))+1),"")</f>
        <v>45611</v>
      </c>
      <c r="R369" s="29">
        <v>45655</v>
      </c>
      <c r="S369" s="30">
        <f t="shared" ca="1" si="26"/>
        <v>31</v>
      </c>
      <c r="T369" s="31">
        <f t="shared" ca="1" si="27"/>
        <v>0.68888888888888888</v>
      </c>
      <c r="U369" s="286">
        <v>37</v>
      </c>
      <c r="V369" s="266">
        <f>+IFERROR(IF(GUAYAQUIL[[#This Row],[CODIGO]]="","",GUAYAQUIL[[#This Row],[Stock Actual Unds]]*GUAYAQUIL[[#This Row],[Gramaje]]*GUAYAQUIL[[#This Row],[Conversión]]),"")</f>
        <v>14.8</v>
      </c>
      <c r="W369" s="270">
        <f t="shared" si="28"/>
        <v>1</v>
      </c>
      <c r="X369" s="32">
        <f t="shared" si="29"/>
        <v>0.97777777777777775</v>
      </c>
      <c r="Y369" s="236">
        <f>IFERROR(VLOOKUP(GUAYAQUIL[[#This Row],[CODIGO]],MAESTRO!A:BI,21,FALSE),0)</f>
        <v>0.79842499999999994</v>
      </c>
      <c r="Z369" s="237">
        <f>+IFERROR(IF(GUAYAQUIL[[#This Row],[CODIGO]]="","",GUAYAQUIL[[#This Row],[COSTO UNIT base]]*GUAYAQUIL[[#This Row],[Conversión]]),"")</f>
        <v>0.79842499999999994</v>
      </c>
      <c r="AA369" s="236">
        <f>+IFERROR(IF(GUAYAQUIL[[#This Row],[CODIGO]]="","",GUAYAQUIL[[#This Row],[COSTO UNIT Conv]]*GUAYAQUIL[[#This Row],[Stock Actual Kgs]]),"")</f>
        <v>11.816689999999999</v>
      </c>
      <c r="AB369" s="33">
        <f ca="1">+IFERROR(IF(GUAYAQUIL[[#This Row],[CODIGO]]="","",$J$3-O369),"")</f>
        <v>12</v>
      </c>
      <c r="AC369" s="34" t="str">
        <f ca="1">IF(GUAYAQUIL[[#This Row],[CODIGO]]="","",IF(S369&lt;=0,"CADUCADO",IF(AND(S369&gt;0,S369&lt;=21),"FECHA CORTA",IF(AND(S369&gt;=22,S369&lt;=26),"PROXIMOS FECHA CORTA", "VIGENTE"))))</f>
        <v>VIGENTE</v>
      </c>
      <c r="AD369" s="37">
        <f>+IF(GUAYAQUIL[[#This Row],[CODIGO]]="","",GUAYAQUIL[[#This Row],[Stock Actual Unds]]*GUAYAQUIL[[#This Row],[Gramaje]]*GUAYAQUIL[[#This Row],[Conversión]])/1000</f>
        <v>1.4800000000000001E-2</v>
      </c>
    </row>
    <row r="370" spans="1:30">
      <c r="A370" s="24" t="str">
        <f>+IFERROR(IF(GUAYAQUIL[[#This Row],[CODIGO]]="","",VLOOKUP(GUAYAQUIL[[#This Row],[CODIGO]],MAESTRO!$A:$J,10,FALSE)),"")</f>
        <v>MACHACHI</v>
      </c>
      <c r="B370" s="24" t="str">
        <f>+IFERROR(IF(GUAYAQUIL[[#This Row],[CODIGO]]="","",VLOOKUP(GUAYAQUIL[[#This Row],[CODIGO]],MAESTRO!$A:$Q,17,FALSE)),"")</f>
        <v>BEBIDAS LACTEAS</v>
      </c>
      <c r="C370" s="24" t="str">
        <f>+IFERROR(IF(GUAYAQUIL[[#This Row],[CODIGO]]="","",VLOOKUP(GUAYAQUIL[[#This Row],[CODIGO]],MAESTRO!$A:$BA,53,FALSE)),"")</f>
        <v xml:space="preserve">Luis Armendariz                         </v>
      </c>
      <c r="D370" s="24" t="str">
        <f>+IFERROR(IF(GUAYAQUIL[[#This Row],[CODIGO]]="","",VLOOKUP(GUAYAQUIL[[#This Row],[CODIGO]],MAESTRO!$A:$D,4,FALSE)),"")</f>
        <v>YOGURT FINESSE</v>
      </c>
      <c r="E370" s="24" t="str">
        <f>+IFERROR(IF(GUAYAQUIL[[#This Row],[CODIGO]]="","",VLOOKUP(GUAYAQUIL[[#This Row],[CODIGO]],MAESTRO!$A:$F,6,FALSE)),"")</f>
        <v>YOGURT FINESSE DESLACT BOTELLA FAMILIAR</v>
      </c>
      <c r="F370" s="42" t="str">
        <f>IF(GUAYAQUIL[[#This Row],[CODIGO]]="","",$K$6)</f>
        <v>GUAYAQUIL</v>
      </c>
      <c r="G370" s="42">
        <f>IF(GUAYAQUIL[[#This Row],[CODIGO]]="","",7711)</f>
        <v>7711</v>
      </c>
      <c r="H370" s="42">
        <f>IF(GUAYAQUIL[[#This Row],[CODIGO]]="","",1001)</f>
        <v>1001</v>
      </c>
      <c r="I370" s="257" t="s">
        <v>4043</v>
      </c>
      <c r="J370" s="25" t="str">
        <f>IFERROR((VLOOKUP(GUAYAQUIL[[#This Row],[CODIGO]],MAESTRO!A:B,2,FALSE)),"")</f>
        <v>YOG FINESSE NATURAL 1650G</v>
      </c>
      <c r="K370" s="26">
        <v>36</v>
      </c>
      <c r="L370" s="38">
        <f>+IFERROR(IF(GUAYAQUIL[[#This Row],[CODIGO]]="","",VLOOKUP(GUAYAQUIL[[#This Row],[CODIGO]],MAESTRO!$A:$BF,58,FALSE)),"")</f>
        <v>1</v>
      </c>
      <c r="M370" s="27">
        <f>+IFERROR(IF(GUAYAQUIL[[#This Row],[CODIGO]]="","",VLOOKUP(GUAYAQUIL[[#This Row],[CODIGO]],MAESTRO!A:N,14,FALSE)),"")</f>
        <v>1.65</v>
      </c>
      <c r="N370" s="28">
        <f>+IFERROR(IF(GUAYAQUIL[[#This Row],[CODIGO]]="","",VLOOKUP(GUAYAQUIL[[#This Row],[CODIGO]],MAESTRO!A:P,16,FALSE)),"")</f>
        <v>45</v>
      </c>
      <c r="O370" s="29">
        <v>45602</v>
      </c>
      <c r="P370" s="72" t="str">
        <f t="shared" si="25"/>
        <v>miércoles</v>
      </c>
      <c r="Q370" s="29">
        <f>IFERROR(IF(GUAYAQUIL[[#This Row],[CODIGO]]="","",IF(GUAYAQUIL[[#This Row],[Fecha Cad]]="","",(GUAYAQUIL[[#This Row],[Fecha Cad]]-GUAYAQUIL[[#This Row],[VIDA UTIL (Días)]]))+1),"")</f>
        <v>45595</v>
      </c>
      <c r="R370" s="29">
        <v>45639</v>
      </c>
      <c r="S370" s="30">
        <f t="shared" ca="1" si="26"/>
        <v>15</v>
      </c>
      <c r="T370" s="31">
        <f t="shared" ca="1" si="27"/>
        <v>0.33333333333333331</v>
      </c>
      <c r="U370" s="286">
        <v>39</v>
      </c>
      <c r="V370" s="267">
        <f>+IFERROR(IF(GUAYAQUIL[[#This Row],[CODIGO]]="","",GUAYAQUIL[[#This Row],[Stock Actual Unds]]*GUAYAQUIL[[#This Row],[Gramaje]]*GUAYAQUIL[[#This Row],[Conversión]]),"")</f>
        <v>64.349999999999994</v>
      </c>
      <c r="W370" s="270">
        <f t="shared" si="28"/>
        <v>7</v>
      </c>
      <c r="X370" s="32">
        <f t="shared" si="29"/>
        <v>0.84444444444444444</v>
      </c>
      <c r="Y370" s="236">
        <f>IFERROR(VLOOKUP(GUAYAQUIL[[#This Row],[CODIGO]],MAESTRO!A:BI,21,FALSE),0)</f>
        <v>1.9335450000000001</v>
      </c>
      <c r="Z370" s="237">
        <f>+IFERROR(IF(GUAYAQUIL[[#This Row],[CODIGO]]="","",GUAYAQUIL[[#This Row],[COSTO UNIT base]]*GUAYAQUIL[[#This Row],[Conversión]]),"")</f>
        <v>1.9335450000000001</v>
      </c>
      <c r="AA370" s="236">
        <f>+IFERROR(IF(GUAYAQUIL[[#This Row],[CODIGO]]="","",GUAYAQUIL[[#This Row],[COSTO UNIT Conv]]*GUAYAQUIL[[#This Row],[Stock Actual Kgs]]),"")</f>
        <v>124.42362075</v>
      </c>
      <c r="AB370" s="33">
        <f ca="1">+IFERROR(IF(GUAYAQUIL[[#This Row],[CODIGO]]="","",$J$3-O370),"")</f>
        <v>22</v>
      </c>
      <c r="AC370" s="34" t="str">
        <f ca="1">IF(GUAYAQUIL[[#This Row],[CODIGO]]="","",IF(S370&lt;=0,"CADUCADO",IF(AND(S370&gt;0,S370&lt;=21),"FECHA CORTA",IF(AND(S370&gt;=22,S370&lt;=26),"PROXIMOS FECHA CORTA", "VIGENTE"))))</f>
        <v>FECHA CORTA</v>
      </c>
      <c r="AD370" s="37">
        <f>+IF(GUAYAQUIL[[#This Row],[CODIGO]]="","",GUAYAQUIL[[#This Row],[Stock Actual Unds]]*GUAYAQUIL[[#This Row],[Gramaje]]*GUAYAQUIL[[#This Row],[Conversión]])/1000</f>
        <v>6.4349999999999991E-2</v>
      </c>
    </row>
    <row r="371" spans="1:30">
      <c r="A371" s="24" t="str">
        <f>+IFERROR(IF(GUAYAQUIL[[#This Row],[CODIGO]]="","",VLOOKUP(GUAYAQUIL[[#This Row],[CODIGO]],MAESTRO!$A:$J,10,FALSE)),"")</f>
        <v>MACHACHI</v>
      </c>
      <c r="B371" s="24" t="str">
        <f>+IFERROR(IF(GUAYAQUIL[[#This Row],[CODIGO]]="","",VLOOKUP(GUAYAQUIL[[#This Row],[CODIGO]],MAESTRO!$A:$Q,17,FALSE)),"")</f>
        <v>BEBIDAS LACTEAS</v>
      </c>
      <c r="C371" s="24" t="str">
        <f>+IFERROR(IF(GUAYAQUIL[[#This Row],[CODIGO]]="","",VLOOKUP(GUAYAQUIL[[#This Row],[CODIGO]],MAESTRO!$A:$BA,53,FALSE)),"")</f>
        <v xml:space="preserve">Luis Armendariz                         </v>
      </c>
      <c r="D371" s="24" t="str">
        <f>+IFERROR(IF(GUAYAQUIL[[#This Row],[CODIGO]]="","",VLOOKUP(GUAYAQUIL[[#This Row],[CODIGO]],MAESTRO!$A:$D,4,FALSE)),"")</f>
        <v>YOGURT FINESSE</v>
      </c>
      <c r="E371" s="24" t="str">
        <f>+IFERROR(IF(GUAYAQUIL[[#This Row],[CODIGO]]="","",VLOOKUP(GUAYAQUIL[[#This Row],[CODIGO]],MAESTRO!$A:$F,6,FALSE)),"")</f>
        <v>YOGURT FINESSE DESLACT BOTELLA FAMILIAR</v>
      </c>
      <c r="F371" s="42" t="str">
        <f>IF(GUAYAQUIL[[#This Row],[CODIGO]]="","",$K$6)</f>
        <v>GUAYAQUIL</v>
      </c>
      <c r="G371" s="209">
        <f>IF(GUAYAQUIL[[#This Row],[CODIGO]]="","",7711)</f>
        <v>7711</v>
      </c>
      <c r="H371" s="209">
        <f>IF(GUAYAQUIL[[#This Row],[CODIGO]]="","",1001)</f>
        <v>1001</v>
      </c>
      <c r="I371" s="258" t="s">
        <v>4043</v>
      </c>
      <c r="J371" s="25" t="str">
        <f>IFERROR((VLOOKUP(GUAYAQUIL[[#This Row],[CODIGO]],MAESTRO!A:B,2,FALSE)),"")</f>
        <v>YOG FINESSE NATURAL 1650G</v>
      </c>
      <c r="K371" s="35">
        <v>12</v>
      </c>
      <c r="L371" s="38">
        <f>+IFERROR(IF(GUAYAQUIL[[#This Row],[CODIGO]]="","",VLOOKUP(GUAYAQUIL[[#This Row],[CODIGO]],MAESTRO!$A:$BF,58,FALSE)),"")</f>
        <v>1</v>
      </c>
      <c r="M371" s="27">
        <f>+IFERROR(IF(GUAYAQUIL[[#This Row],[CODIGO]]="","",VLOOKUP(GUAYAQUIL[[#This Row],[CODIGO]],MAESTRO!A:N,14,FALSE)),"")</f>
        <v>1.65</v>
      </c>
      <c r="N371" s="28">
        <f>+IFERROR(IF(GUAYAQUIL[[#This Row],[CODIGO]]="","",VLOOKUP(GUAYAQUIL[[#This Row],[CODIGO]],MAESTRO!A:P,16,FALSE)),"")</f>
        <v>45</v>
      </c>
      <c r="O371" s="29">
        <v>45604</v>
      </c>
      <c r="P371" s="72" t="str">
        <f t="shared" si="25"/>
        <v>viernes</v>
      </c>
      <c r="Q371" s="29">
        <f>IFERROR(IF(GUAYAQUIL[[#This Row],[CODIGO]]="","",IF(GUAYAQUIL[[#This Row],[Fecha Cad]]="","",(GUAYAQUIL[[#This Row],[Fecha Cad]]-GUAYAQUIL[[#This Row],[VIDA UTIL (Días)]]))+1),"")</f>
        <v>45595</v>
      </c>
      <c r="R371" s="29">
        <v>45639</v>
      </c>
      <c r="S371" s="30">
        <f t="shared" ca="1" si="26"/>
        <v>15</v>
      </c>
      <c r="T371" s="31">
        <f t="shared" ca="1" si="27"/>
        <v>0.33333333333333331</v>
      </c>
      <c r="U371" s="286">
        <v>12</v>
      </c>
      <c r="V371" s="266">
        <f>+IFERROR(IF(GUAYAQUIL[[#This Row],[CODIGO]]="","",GUAYAQUIL[[#This Row],[Stock Actual Unds]]*GUAYAQUIL[[#This Row],[Gramaje]]*GUAYAQUIL[[#This Row],[Conversión]]),"")</f>
        <v>19.799999999999997</v>
      </c>
      <c r="W371" s="270">
        <f t="shared" si="28"/>
        <v>9</v>
      </c>
      <c r="X371" s="32">
        <f t="shared" si="29"/>
        <v>0.8</v>
      </c>
      <c r="Y371" s="236">
        <f>IFERROR(VLOOKUP(GUAYAQUIL[[#This Row],[CODIGO]],MAESTRO!A:BI,21,FALSE),0)</f>
        <v>1.9335450000000001</v>
      </c>
      <c r="Z371" s="237">
        <f>+IFERROR(IF(GUAYAQUIL[[#This Row],[CODIGO]]="","",GUAYAQUIL[[#This Row],[COSTO UNIT base]]*GUAYAQUIL[[#This Row],[Conversión]]),"")</f>
        <v>1.9335450000000001</v>
      </c>
      <c r="AA371" s="236">
        <f>+IFERROR(IF(GUAYAQUIL[[#This Row],[CODIGO]]="","",GUAYAQUIL[[#This Row],[COSTO UNIT Conv]]*GUAYAQUIL[[#This Row],[Stock Actual Kgs]]),"")</f>
        <v>38.284190999999993</v>
      </c>
      <c r="AB371" s="33">
        <f ca="1">+IFERROR(IF(GUAYAQUIL[[#This Row],[CODIGO]]="","",$J$3-O371),"")</f>
        <v>20</v>
      </c>
      <c r="AC371" s="34" t="str">
        <f ca="1">IF(GUAYAQUIL[[#This Row],[CODIGO]]="","",IF(S371&lt;=0,"CADUCADO",IF(AND(S371&gt;0,S371&lt;=21),"FECHA CORTA",IF(AND(S371&gt;=22,S371&lt;=26),"PROXIMOS FECHA CORTA", "VIGENTE"))))</f>
        <v>FECHA CORTA</v>
      </c>
      <c r="AD371" s="37">
        <f>+IF(GUAYAQUIL[[#This Row],[CODIGO]]="","",GUAYAQUIL[[#This Row],[Stock Actual Unds]]*GUAYAQUIL[[#This Row],[Gramaje]]*GUAYAQUIL[[#This Row],[Conversión]])/1000</f>
        <v>1.9799999999999998E-2</v>
      </c>
    </row>
    <row r="372" spans="1:30">
      <c r="A372" s="24" t="str">
        <f>+IFERROR(IF(GUAYAQUIL[[#This Row],[CODIGO]]="","",VLOOKUP(GUAYAQUIL[[#This Row],[CODIGO]],MAESTRO!$A:$J,10,FALSE)),"")</f>
        <v>MULTIEMPAQUE_MACH</v>
      </c>
      <c r="B372" s="24" t="str">
        <f>+IFERROR(IF(GUAYAQUIL[[#This Row],[CODIGO]]="","",VLOOKUP(GUAYAQUIL[[#This Row],[CODIGO]],MAESTRO!$A:$Q,17,FALSE)),"")</f>
        <v>BEBIDAS LACTEAS</v>
      </c>
      <c r="C372" s="24" t="str">
        <f>+IFERROR(IF(GUAYAQUIL[[#This Row],[CODIGO]]="","",VLOOKUP(GUAYAQUIL[[#This Row],[CODIGO]],MAESTRO!$A:$BA,53,FALSE)),"")</f>
        <v xml:space="preserve">Luis Armendariz                         </v>
      </c>
      <c r="D372" s="24" t="str">
        <f>+IFERROR(IF(GUAYAQUIL[[#This Row],[CODIGO]]="","",VLOOKUP(GUAYAQUIL[[#This Row],[CODIGO]],MAESTRO!$A:$D,4,FALSE)),"")</f>
        <v>REGENERIS</v>
      </c>
      <c r="E372" s="24" t="str">
        <f>+IFERROR(IF(GUAYAQUIL[[#This Row],[CODIGO]]="","",VLOOKUP(GUAYAQUIL[[#This Row],[CODIGO]],MAESTRO!$A:$F,6,FALSE)),"")</f>
        <v>REGENERIS BAJO EN GRASA BOTELLA PERSONAL</v>
      </c>
      <c r="F372" s="42" t="str">
        <f>IF(GUAYAQUIL[[#This Row],[CODIGO]]="","",$K$6)</f>
        <v>GUAYAQUIL</v>
      </c>
      <c r="G372" s="42">
        <f>IF(GUAYAQUIL[[#This Row],[CODIGO]]="","",7711)</f>
        <v>7711</v>
      </c>
      <c r="H372" s="42">
        <f>IF(GUAYAQUIL[[#This Row],[CODIGO]]="","",1001)</f>
        <v>1001</v>
      </c>
      <c r="I372" s="258" t="s">
        <v>4146</v>
      </c>
      <c r="J372" s="25" t="str">
        <f>IFERROR((VLOOKUP(GUAYAQUIL[[#This Row],[CODIGO]],MAESTRO!A:B,2,FALSE)),"")</f>
        <v>MPLX4 RGN LGHT FTLLA BOT 180G</v>
      </c>
      <c r="K372" s="35">
        <v>24</v>
      </c>
      <c r="L372" s="38">
        <f>+IFERROR(IF(GUAYAQUIL[[#This Row],[CODIGO]]="","",VLOOKUP(GUAYAQUIL[[#This Row],[CODIGO]],MAESTRO!$A:$BF,58,FALSE)),"")</f>
        <v>1</v>
      </c>
      <c r="M372" s="27">
        <f>+IFERROR(IF(GUAYAQUIL[[#This Row],[CODIGO]]="","",VLOOKUP(GUAYAQUIL[[#This Row],[CODIGO]],MAESTRO!A:N,14,FALSE)),"")</f>
        <v>0.72</v>
      </c>
      <c r="N372" s="28">
        <f>+IFERROR(IF(GUAYAQUIL[[#This Row],[CODIGO]]="","",VLOOKUP(GUAYAQUIL[[#This Row],[CODIGO]],MAESTRO!A:P,16,FALSE)),"")</f>
        <v>45</v>
      </c>
      <c r="O372" s="29">
        <v>45597</v>
      </c>
      <c r="P372" s="72" t="str">
        <f t="shared" si="25"/>
        <v>viernes</v>
      </c>
      <c r="Q372" s="29">
        <f>IFERROR(IF(GUAYAQUIL[[#This Row],[CODIGO]]="","",IF(GUAYAQUIL[[#This Row],[Fecha Cad]]="","",(GUAYAQUIL[[#This Row],[Fecha Cad]]-GUAYAQUIL[[#This Row],[VIDA UTIL (Días)]]))+1),"")</f>
        <v>45590</v>
      </c>
      <c r="R372" s="29">
        <v>45634</v>
      </c>
      <c r="S372" s="30">
        <f t="shared" ca="1" si="26"/>
        <v>10</v>
      </c>
      <c r="T372" s="31">
        <f t="shared" ca="1" si="27"/>
        <v>0.22222222222222221</v>
      </c>
      <c r="U372" s="286">
        <v>12</v>
      </c>
      <c r="V372" s="266">
        <f>+IFERROR(IF(GUAYAQUIL[[#This Row],[CODIGO]]="","",GUAYAQUIL[[#This Row],[Stock Actual Unds]]*GUAYAQUIL[[#This Row],[Gramaje]]*GUAYAQUIL[[#This Row],[Conversión]]),"")</f>
        <v>8.64</v>
      </c>
      <c r="W372" s="270">
        <f t="shared" si="28"/>
        <v>7</v>
      </c>
      <c r="X372" s="32">
        <f t="shared" si="29"/>
        <v>0.84444444444444444</v>
      </c>
      <c r="Y372" s="236">
        <f>IFERROR(VLOOKUP(GUAYAQUIL[[#This Row],[CODIGO]],MAESTRO!A:BI,21,FALSE),0)</f>
        <v>1.235225</v>
      </c>
      <c r="Z372" s="237">
        <f>+IFERROR(IF(GUAYAQUIL[[#This Row],[CODIGO]]="","",GUAYAQUIL[[#This Row],[COSTO UNIT base]]*GUAYAQUIL[[#This Row],[Conversión]]),"")</f>
        <v>1.235225</v>
      </c>
      <c r="AA372" s="236">
        <f>+IFERROR(IF(GUAYAQUIL[[#This Row],[CODIGO]]="","",GUAYAQUIL[[#This Row],[COSTO UNIT Conv]]*GUAYAQUIL[[#This Row],[Stock Actual Kgs]]),"")</f>
        <v>10.672344000000001</v>
      </c>
      <c r="AB372" s="33">
        <f ca="1">+IFERROR(IF(GUAYAQUIL[[#This Row],[CODIGO]]="","",$J$3-O372),"")</f>
        <v>27</v>
      </c>
      <c r="AC372" s="34" t="str">
        <f ca="1">IF(GUAYAQUIL[[#This Row],[CODIGO]]="","",IF(S372&lt;=0,"CADUCADO",IF(AND(S372&gt;0,S372&lt;=21),"FECHA CORTA",IF(AND(S372&gt;=22,S372&lt;=26),"PROXIMOS FECHA CORTA", "VIGENTE"))))</f>
        <v>FECHA CORTA</v>
      </c>
      <c r="AD372" s="37">
        <f>+IF(GUAYAQUIL[[#This Row],[CODIGO]]="","",GUAYAQUIL[[#This Row],[Stock Actual Unds]]*GUAYAQUIL[[#This Row],[Gramaje]]*GUAYAQUIL[[#This Row],[Conversión]])/1000</f>
        <v>8.6400000000000001E-3</v>
      </c>
    </row>
    <row r="373" spans="1:30">
      <c r="A373" s="24" t="str">
        <f>+IFERROR(IF(GUAYAQUIL[[#This Row],[CODIGO]]="","",VLOOKUP(GUAYAQUIL[[#This Row],[CODIGO]],MAESTRO!$A:$J,10,FALSE)),"")</f>
        <v>MACHACHI</v>
      </c>
      <c r="B373" s="24" t="str">
        <f>+IFERROR(IF(GUAYAQUIL[[#This Row],[CODIGO]]="","",VLOOKUP(GUAYAQUIL[[#This Row],[CODIGO]],MAESTRO!$A:$Q,17,FALSE)),"")</f>
        <v>BEBIDAS LACTEAS</v>
      </c>
      <c r="C373" s="24" t="str">
        <f>+IFERROR(IF(GUAYAQUIL[[#This Row],[CODIGO]]="","",VLOOKUP(GUAYAQUIL[[#This Row],[CODIGO]],MAESTRO!$A:$BA,53,FALSE)),"")</f>
        <v xml:space="preserve">Luis Armendariz                         </v>
      </c>
      <c r="D373" s="24" t="str">
        <f>+IFERROR(IF(GUAYAQUIL[[#This Row],[CODIGO]]="","",VLOOKUP(GUAYAQUIL[[#This Row],[CODIGO]],MAESTRO!$A:$D,4,FALSE)),"")</f>
        <v>YOGURT KIOSKO</v>
      </c>
      <c r="E373" s="24" t="str">
        <f>+IFERROR(IF(GUAYAQUIL[[#This Row],[CODIGO]]="","",VLOOKUP(GUAYAQUIL[[#This Row],[CODIGO]],MAESTRO!$A:$F,6,FALSE)),"")</f>
        <v>BEBIDA DE YOGURT KIOSKO BOTELLA FAMILIAR</v>
      </c>
      <c r="F373" s="42" t="str">
        <f>IF(GUAYAQUIL[[#This Row],[CODIGO]]="","",$K$6)</f>
        <v>GUAYAQUIL</v>
      </c>
      <c r="G373" s="209">
        <f>IF(GUAYAQUIL[[#This Row],[CODIGO]]="","",7711)</f>
        <v>7711</v>
      </c>
      <c r="H373" s="209">
        <f>IF(GUAYAQUIL[[#This Row],[CODIGO]]="","",1001)</f>
        <v>1001</v>
      </c>
      <c r="I373" s="258" t="s">
        <v>1728</v>
      </c>
      <c r="J373" s="25" t="str">
        <f>IFERROR((VLOOKUP(GUAYAQUIL[[#This Row],[CODIGO]],MAESTRO!A:B,2,FALSE)),"")</f>
        <v>YOG BBLE KIOSKO NRJLA BOT 950G</v>
      </c>
      <c r="K373" s="35">
        <v>18</v>
      </c>
      <c r="L373" s="38">
        <f>+IFERROR(IF(GUAYAQUIL[[#This Row],[CODIGO]]="","",VLOOKUP(GUAYAQUIL[[#This Row],[CODIGO]],MAESTRO!$A:$BF,58,FALSE)),"")</f>
        <v>1</v>
      </c>
      <c r="M373" s="27">
        <f>+IFERROR(IF(GUAYAQUIL[[#This Row],[CODIGO]]="","",VLOOKUP(GUAYAQUIL[[#This Row],[CODIGO]],MAESTRO!A:N,14,FALSE)),"")</f>
        <v>0.95</v>
      </c>
      <c r="N373" s="28">
        <f>+IFERROR(IF(GUAYAQUIL[[#This Row],[CODIGO]]="","",VLOOKUP(GUAYAQUIL[[#This Row],[CODIGO]],MAESTRO!A:P,16,FALSE)),"")</f>
        <v>45</v>
      </c>
      <c r="O373" s="45">
        <v>45597</v>
      </c>
      <c r="P373" s="72" t="str">
        <f t="shared" si="25"/>
        <v>viernes</v>
      </c>
      <c r="Q373" s="29">
        <f>IFERROR(IF(GUAYAQUIL[[#This Row],[CODIGO]]="","",IF(GUAYAQUIL[[#This Row],[Fecha Cad]]="","",(GUAYAQUIL[[#This Row],[Fecha Cad]]-GUAYAQUIL[[#This Row],[VIDA UTIL (Días)]]))+1),"")</f>
        <v>45590</v>
      </c>
      <c r="R373" s="45">
        <v>45634</v>
      </c>
      <c r="S373" s="30">
        <f t="shared" ca="1" si="26"/>
        <v>10</v>
      </c>
      <c r="T373" s="31">
        <f t="shared" ca="1" si="27"/>
        <v>0.22222222222222221</v>
      </c>
      <c r="U373" s="286">
        <v>10</v>
      </c>
      <c r="V373" s="265">
        <f>+IFERROR(IF(GUAYAQUIL[[#This Row],[CODIGO]]="","",GUAYAQUIL[[#This Row],[Stock Actual Unds]]*GUAYAQUIL[[#This Row],[Gramaje]]*GUAYAQUIL[[#This Row],[Conversión]]),"")</f>
        <v>9.5</v>
      </c>
      <c r="W373" s="270">
        <f t="shared" si="28"/>
        <v>7</v>
      </c>
      <c r="X373" s="32">
        <f t="shared" si="29"/>
        <v>0.84444444444444444</v>
      </c>
      <c r="Y373" s="236">
        <f>IFERROR(VLOOKUP(GUAYAQUIL[[#This Row],[CODIGO]],MAESTRO!A:BI,21,FALSE),0)</f>
        <v>1.09108</v>
      </c>
      <c r="Z373" s="237">
        <f>+IFERROR(IF(GUAYAQUIL[[#This Row],[CODIGO]]="","",GUAYAQUIL[[#This Row],[COSTO UNIT base]]*GUAYAQUIL[[#This Row],[Conversión]]),"")</f>
        <v>1.09108</v>
      </c>
      <c r="AA373" s="236">
        <f>+IFERROR(IF(GUAYAQUIL[[#This Row],[CODIGO]]="","",GUAYAQUIL[[#This Row],[COSTO UNIT Conv]]*GUAYAQUIL[[#This Row],[Stock Actual Kgs]]),"")</f>
        <v>10.365260000000001</v>
      </c>
      <c r="AB373" s="33">
        <f ca="1">+IFERROR(IF(GUAYAQUIL[[#This Row],[CODIGO]]="","",$J$3-O373),"")</f>
        <v>27</v>
      </c>
      <c r="AC373" s="34" t="str">
        <f ca="1">IF(GUAYAQUIL[[#This Row],[CODIGO]]="","",IF(S373&lt;=0,"CADUCADO",IF(AND(S373&gt;0,S373&lt;=21),"FECHA CORTA",IF(AND(S373&gt;=22,S373&lt;=26),"PROXIMOS FECHA CORTA", "VIGENTE"))))</f>
        <v>FECHA CORTA</v>
      </c>
      <c r="AD373" s="37">
        <f>+IF(GUAYAQUIL[[#This Row],[CODIGO]]="","",GUAYAQUIL[[#This Row],[Stock Actual Unds]]*GUAYAQUIL[[#This Row],[Gramaje]]*GUAYAQUIL[[#This Row],[Conversión]])/1000</f>
        <v>9.4999999999999998E-3</v>
      </c>
    </row>
    <row r="374" spans="1:30">
      <c r="A374" s="24" t="str">
        <f>+IFERROR(IF(GUAYAQUIL[[#This Row],[CODIGO]]="","",VLOOKUP(GUAYAQUIL[[#This Row],[CODIGO]],MAESTRO!$A:$J,10,FALSE)),"")</f>
        <v>MACHACHI</v>
      </c>
      <c r="B374" s="24" t="str">
        <f>+IFERROR(IF(GUAYAQUIL[[#This Row],[CODIGO]]="","",VLOOKUP(GUAYAQUIL[[#This Row],[CODIGO]],MAESTRO!$A:$Q,17,FALSE)),"")</f>
        <v>BEBIDAS LACTEAS</v>
      </c>
      <c r="C374" s="24" t="str">
        <f>+IFERROR(IF(GUAYAQUIL[[#This Row],[CODIGO]]="","",VLOOKUP(GUAYAQUIL[[#This Row],[CODIGO]],MAESTRO!$A:$BA,53,FALSE)),"")</f>
        <v xml:space="preserve">Luis Armendariz                         </v>
      </c>
      <c r="D374" s="24" t="str">
        <f>+IFERROR(IF(GUAYAQUIL[[#This Row],[CODIGO]]="","",VLOOKUP(GUAYAQUIL[[#This Row],[CODIGO]],MAESTRO!$A:$D,4,FALSE)),"")</f>
        <v>YOGURT KIOSKO</v>
      </c>
      <c r="E374" s="24" t="str">
        <f>+IFERROR(IF(GUAYAQUIL[[#This Row],[CODIGO]]="","",VLOOKUP(GUAYAQUIL[[#This Row],[CODIGO]],MAESTRO!$A:$F,6,FALSE)),"")</f>
        <v>BEBIDA DE YOGURT KIOSKO BOTELLA FAMILIAR</v>
      </c>
      <c r="F374" s="42" t="str">
        <f>IF(GUAYAQUIL[[#This Row],[CODIGO]]="","",$K$6)</f>
        <v>GUAYAQUIL</v>
      </c>
      <c r="G374" s="42">
        <f>IF(GUAYAQUIL[[#This Row],[CODIGO]]="","",7711)</f>
        <v>7711</v>
      </c>
      <c r="H374" s="42">
        <f>IF(GUAYAQUIL[[#This Row],[CODIGO]]="","",1001)</f>
        <v>1001</v>
      </c>
      <c r="I374" s="258" t="s">
        <v>1728</v>
      </c>
      <c r="J374" s="25" t="str">
        <f>IFERROR((VLOOKUP(GUAYAQUIL[[#This Row],[CODIGO]],MAESTRO!A:B,2,FALSE)),"")</f>
        <v>YOG BBLE KIOSKO NRJLA BOT 950G</v>
      </c>
      <c r="K374" s="35">
        <v>18</v>
      </c>
      <c r="L374" s="38">
        <f>+IFERROR(IF(GUAYAQUIL[[#This Row],[CODIGO]]="","",VLOOKUP(GUAYAQUIL[[#This Row],[CODIGO]],MAESTRO!$A:$BF,58,FALSE)),"")</f>
        <v>1</v>
      </c>
      <c r="M374" s="27">
        <f>+IFERROR(IF(GUAYAQUIL[[#This Row],[CODIGO]]="","",VLOOKUP(GUAYAQUIL[[#This Row],[CODIGO]],MAESTRO!A:N,14,FALSE)),"")</f>
        <v>0.95</v>
      </c>
      <c r="N374" s="28">
        <f>+IFERROR(IF(GUAYAQUIL[[#This Row],[CODIGO]]="","",VLOOKUP(GUAYAQUIL[[#This Row],[CODIGO]],MAESTRO!A:P,16,FALSE)),"")</f>
        <v>45</v>
      </c>
      <c r="O374" s="45">
        <v>45616</v>
      </c>
      <c r="P374" s="72" t="str">
        <f t="shared" si="25"/>
        <v>miércoles</v>
      </c>
      <c r="Q374" s="29">
        <f>IFERROR(IF(GUAYAQUIL[[#This Row],[CODIGO]]="","",IF(GUAYAQUIL[[#This Row],[Fecha Cad]]="","",(GUAYAQUIL[[#This Row],[Fecha Cad]]-GUAYAQUIL[[#This Row],[VIDA UTIL (Días)]]))+1),"")</f>
        <v>45611</v>
      </c>
      <c r="R374" s="45">
        <v>45655</v>
      </c>
      <c r="S374" s="30">
        <f t="shared" ca="1" si="26"/>
        <v>31</v>
      </c>
      <c r="T374" s="31">
        <f t="shared" ca="1" si="27"/>
        <v>0.68888888888888888</v>
      </c>
      <c r="U374" s="286">
        <v>16</v>
      </c>
      <c r="V374" s="265">
        <f>+IFERROR(IF(GUAYAQUIL[[#This Row],[CODIGO]]="","",GUAYAQUIL[[#This Row],[Stock Actual Unds]]*GUAYAQUIL[[#This Row],[Gramaje]]*GUAYAQUIL[[#This Row],[Conversión]]),"")</f>
        <v>15.2</v>
      </c>
      <c r="W374" s="270">
        <f t="shared" si="28"/>
        <v>5</v>
      </c>
      <c r="X374" s="32">
        <f t="shared" si="29"/>
        <v>0.88888888888888884</v>
      </c>
      <c r="Y374" s="236">
        <f>IFERROR(VLOOKUP(GUAYAQUIL[[#This Row],[CODIGO]],MAESTRO!A:BI,21,FALSE),0)</f>
        <v>1.09108</v>
      </c>
      <c r="Z374" s="237">
        <f>+IFERROR(IF(GUAYAQUIL[[#This Row],[CODIGO]]="","",GUAYAQUIL[[#This Row],[COSTO UNIT base]]*GUAYAQUIL[[#This Row],[Conversión]]),"")</f>
        <v>1.09108</v>
      </c>
      <c r="AA374" s="236">
        <f>+IFERROR(IF(GUAYAQUIL[[#This Row],[CODIGO]]="","",GUAYAQUIL[[#This Row],[COSTO UNIT Conv]]*GUAYAQUIL[[#This Row],[Stock Actual Kgs]]),"")</f>
        <v>16.584416000000001</v>
      </c>
      <c r="AB374" s="33">
        <f ca="1">+IFERROR(IF(GUAYAQUIL[[#This Row],[CODIGO]]="","",$J$3-O374),"")</f>
        <v>8</v>
      </c>
      <c r="AC374" s="34" t="str">
        <f ca="1">IF(GUAYAQUIL[[#This Row],[CODIGO]]="","",IF(S374&lt;=0,"CADUCADO",IF(AND(S374&gt;0,S374&lt;=21),"FECHA CORTA",IF(AND(S374&gt;=22,S374&lt;=26),"PROXIMOS FECHA CORTA", "VIGENTE"))))</f>
        <v>VIGENTE</v>
      </c>
      <c r="AD374" s="37">
        <f>+IF(GUAYAQUIL[[#This Row],[CODIGO]]="","",GUAYAQUIL[[#This Row],[Stock Actual Unds]]*GUAYAQUIL[[#This Row],[Gramaje]]*GUAYAQUIL[[#This Row],[Conversión]])/1000</f>
        <v>1.52E-2</v>
      </c>
    </row>
    <row r="375" spans="1:30">
      <c r="A375" s="24" t="str">
        <f>+IFERROR(IF(GUAYAQUIL[[#This Row],[CODIGO]]="","",VLOOKUP(GUAYAQUIL[[#This Row],[CODIGO]],MAESTRO!$A:$J,10,FALSE)),"")</f>
        <v>SAN GABRIEL</v>
      </c>
      <c r="B375" s="24" t="str">
        <f>+IFERROR(IF(GUAYAQUIL[[#This Row],[CODIGO]]="","",VLOOKUP(GUAYAQUIL[[#This Row],[CODIGO]],MAESTRO!$A:$Q,17,FALSE)),"")</f>
        <v>QUESOS Y GRASAS</v>
      </c>
      <c r="C375" s="24" t="str">
        <f>+IFERROR(IF(GUAYAQUIL[[#This Row],[CODIGO]]="","",VLOOKUP(GUAYAQUIL[[#This Row],[CODIGO]],MAESTRO!$A:$BA,53,FALSE)),"")</f>
        <v xml:space="preserve">Esteban Montenegro                      </v>
      </c>
      <c r="D375" s="24" t="str">
        <f>+IFERROR(IF(GUAYAQUIL[[#This Row],[CODIGO]]="","",VLOOKUP(GUAYAQUIL[[#This Row],[CODIGO]],MAESTRO!$A:$D,4,FALSE)),"")</f>
        <v>QUESO FRESCO KIOSKO</v>
      </c>
      <c r="E375" s="24" t="str">
        <f>+IFERROR(IF(GUAYAQUIL[[#This Row],[CODIGO]]="","",VLOOKUP(GUAYAQUIL[[#This Row],[CODIGO]],MAESTRO!$A:$F,6,FALSE)),"")</f>
        <v>QUESO RICOTTA KIOSKO BLOQUE</v>
      </c>
      <c r="F375" s="42" t="str">
        <f>IF(GUAYAQUIL[[#This Row],[CODIGO]]="","",$K$6)</f>
        <v>GUAYAQUIL</v>
      </c>
      <c r="G375" s="42">
        <f>IF(GUAYAQUIL[[#This Row],[CODIGO]]="","",7711)</f>
        <v>7711</v>
      </c>
      <c r="H375" s="42">
        <f>IF(GUAYAQUIL[[#This Row],[CODIGO]]="","",1001)</f>
        <v>1001</v>
      </c>
      <c r="I375" s="258" t="s">
        <v>159</v>
      </c>
      <c r="J375" s="25" t="str">
        <f>IFERROR((VLOOKUP(GUAYAQUIL[[#This Row],[CODIGO]],MAESTRO!A:B,2,FALSE)),"")</f>
        <v>Q RICOTTA KIOSKO BLOQ 450G</v>
      </c>
      <c r="K375" s="35">
        <v>180</v>
      </c>
      <c r="L375" s="38">
        <f>+IFERROR(IF(GUAYAQUIL[[#This Row],[CODIGO]]="","",VLOOKUP(GUAYAQUIL[[#This Row],[CODIGO]],MAESTRO!$A:$BF,58,FALSE)),"")</f>
        <v>1</v>
      </c>
      <c r="M375" s="27">
        <f>+IFERROR(IF(GUAYAQUIL[[#This Row],[CODIGO]]="","",VLOOKUP(GUAYAQUIL[[#This Row],[CODIGO]],MAESTRO!A:N,14,FALSE)),"")</f>
        <v>0.45</v>
      </c>
      <c r="N375" s="28">
        <f>+IFERROR(IF(GUAYAQUIL[[#This Row],[CODIGO]]="","",VLOOKUP(GUAYAQUIL[[#This Row],[CODIGO]],MAESTRO!A:P,16,FALSE)),"")</f>
        <v>35</v>
      </c>
      <c r="O375" s="45">
        <v>45615</v>
      </c>
      <c r="P375" s="72" t="str">
        <f t="shared" si="25"/>
        <v>martes</v>
      </c>
      <c r="Q375" s="29">
        <f>IFERROR(IF(GUAYAQUIL[[#This Row],[CODIGO]]="","",IF(GUAYAQUIL[[#This Row],[Fecha Cad]]="","",(GUAYAQUIL[[#This Row],[Fecha Cad]]-GUAYAQUIL[[#This Row],[VIDA UTIL (Días)]]))+1),"")</f>
        <v>45612</v>
      </c>
      <c r="R375" s="45">
        <v>45646</v>
      </c>
      <c r="S375" s="30">
        <f t="shared" ca="1" si="26"/>
        <v>22</v>
      </c>
      <c r="T375" s="31">
        <f t="shared" ca="1" si="27"/>
        <v>0.62857142857142856</v>
      </c>
      <c r="U375" s="286">
        <v>3</v>
      </c>
      <c r="V375" s="265">
        <f>+IFERROR(IF(GUAYAQUIL[[#This Row],[CODIGO]]="","",GUAYAQUIL[[#This Row],[Stock Actual Unds]]*GUAYAQUIL[[#This Row],[Gramaje]]*GUAYAQUIL[[#This Row],[Conversión]]),"")</f>
        <v>1.35</v>
      </c>
      <c r="W375" s="270">
        <f t="shared" si="28"/>
        <v>3</v>
      </c>
      <c r="X375" s="32">
        <f t="shared" si="29"/>
        <v>0.91428571428571426</v>
      </c>
      <c r="Y375" s="236">
        <f>IFERROR(VLOOKUP(GUAYAQUIL[[#This Row],[CODIGO]],MAESTRO!A:BI,21,FALSE),0)</f>
        <v>1.1964000000000001</v>
      </c>
      <c r="Z375" s="237">
        <f>+IFERROR(IF(GUAYAQUIL[[#This Row],[CODIGO]]="","",GUAYAQUIL[[#This Row],[COSTO UNIT base]]*GUAYAQUIL[[#This Row],[Conversión]]),"")</f>
        <v>1.1964000000000001</v>
      </c>
      <c r="AA375" s="236">
        <f>+IFERROR(IF(GUAYAQUIL[[#This Row],[CODIGO]]="","",GUAYAQUIL[[#This Row],[COSTO UNIT Conv]]*GUAYAQUIL[[#This Row],[Stock Actual Kgs]]),"")</f>
        <v>1.6151400000000002</v>
      </c>
      <c r="AB375" s="33">
        <f ca="1">+IFERROR(IF(GUAYAQUIL[[#This Row],[CODIGO]]="","",$J$3-O375),"")</f>
        <v>9</v>
      </c>
      <c r="AC375" s="34" t="str">
        <f ca="1">IF(GUAYAQUIL[[#This Row],[CODIGO]]="","",IF(S375&lt;=0,"CADUCADO",IF(AND(S375&gt;0,S375&lt;=21),"FECHA CORTA",IF(AND(S375&gt;=22,S375&lt;=26),"PROXIMOS FECHA CORTA", "VIGENTE"))))</f>
        <v>PROXIMOS FECHA CORTA</v>
      </c>
      <c r="AD375" s="37">
        <f>+IF(GUAYAQUIL[[#This Row],[CODIGO]]="","",GUAYAQUIL[[#This Row],[Stock Actual Unds]]*GUAYAQUIL[[#This Row],[Gramaje]]*GUAYAQUIL[[#This Row],[Conversión]])/1000</f>
        <v>1.3500000000000001E-3</v>
      </c>
    </row>
    <row r="376" spans="1:30">
      <c r="A376" s="24" t="str">
        <f>+IFERROR(IF(GUAYAQUIL[[#This Row],[CODIGO]]="","",VLOOKUP(GUAYAQUIL[[#This Row],[CODIGO]],MAESTRO!$A:$J,10,FALSE)),"")</f>
        <v>SAN GABRIEL</v>
      </c>
      <c r="B376" s="24" t="str">
        <f>+IFERROR(IF(GUAYAQUIL[[#This Row],[CODIGO]]="","",VLOOKUP(GUAYAQUIL[[#This Row],[CODIGO]],MAESTRO!$A:$Q,17,FALSE)),"")</f>
        <v>QUESOS Y GRASAS</v>
      </c>
      <c r="C376" s="24" t="str">
        <f>+IFERROR(IF(GUAYAQUIL[[#This Row],[CODIGO]]="","",VLOOKUP(GUAYAQUIL[[#This Row],[CODIGO]],MAESTRO!$A:$BA,53,FALSE)),"")</f>
        <v xml:space="preserve">Esteban Montenegro                      </v>
      </c>
      <c r="D376" s="24" t="str">
        <f>+IFERROR(IF(GUAYAQUIL[[#This Row],[CODIGO]]="","",VLOOKUP(GUAYAQUIL[[#This Row],[CODIGO]],MAESTRO!$A:$D,4,FALSE)),"")</f>
        <v>QUESO FRESCO KIOSKO</v>
      </c>
      <c r="E376" s="24" t="str">
        <f>+IFERROR(IF(GUAYAQUIL[[#This Row],[CODIGO]]="","",VLOOKUP(GUAYAQUIL[[#This Row],[CODIGO]],MAESTRO!$A:$F,6,FALSE)),"")</f>
        <v>QUESO RICOTTA KIOSKO BLOQUE</v>
      </c>
      <c r="F376" s="42" t="str">
        <f>IF(GUAYAQUIL[[#This Row],[CODIGO]]="","",$K$6)</f>
        <v>GUAYAQUIL</v>
      </c>
      <c r="G376" s="42">
        <f>IF(GUAYAQUIL[[#This Row],[CODIGO]]="","",7711)</f>
        <v>7711</v>
      </c>
      <c r="H376" s="42">
        <f>IF(GUAYAQUIL[[#This Row],[CODIGO]]="","",1001)</f>
        <v>1001</v>
      </c>
      <c r="I376" s="258" t="s">
        <v>159</v>
      </c>
      <c r="J376" s="25" t="str">
        <f>IFERROR((VLOOKUP(GUAYAQUIL[[#This Row],[CODIGO]],MAESTRO!A:B,2,FALSE)),"")</f>
        <v>Q RICOTTA KIOSKO BLOQ 450G</v>
      </c>
      <c r="K376" s="35">
        <v>135</v>
      </c>
      <c r="L376" s="38">
        <f>+IFERROR(IF(GUAYAQUIL[[#This Row],[CODIGO]]="","",VLOOKUP(GUAYAQUIL[[#This Row],[CODIGO]],MAESTRO!$A:$BF,58,FALSE)),"")</f>
        <v>1</v>
      </c>
      <c r="M376" s="27">
        <f>+IFERROR(IF(GUAYAQUIL[[#This Row],[CODIGO]]="","",VLOOKUP(GUAYAQUIL[[#This Row],[CODIGO]],MAESTRO!A:N,14,FALSE)),"")</f>
        <v>0.45</v>
      </c>
      <c r="N376" s="28">
        <f>+IFERROR(IF(GUAYAQUIL[[#This Row],[CODIGO]]="","",VLOOKUP(GUAYAQUIL[[#This Row],[CODIGO]],MAESTRO!A:P,16,FALSE)),"")</f>
        <v>35</v>
      </c>
      <c r="O376" s="45">
        <v>45616</v>
      </c>
      <c r="P376" s="72" t="str">
        <f t="shared" si="25"/>
        <v>miércoles</v>
      </c>
      <c r="Q376" s="29">
        <f>IFERROR(IF(GUAYAQUIL[[#This Row],[CODIGO]]="","",IF(GUAYAQUIL[[#This Row],[Fecha Cad]]="","",(GUAYAQUIL[[#This Row],[Fecha Cad]]-GUAYAQUIL[[#This Row],[VIDA UTIL (Días)]]))+1),"")</f>
        <v>45612</v>
      </c>
      <c r="R376" s="45">
        <v>45646</v>
      </c>
      <c r="S376" s="30">
        <f t="shared" ca="1" si="26"/>
        <v>22</v>
      </c>
      <c r="T376" s="31">
        <f t="shared" ca="1" si="27"/>
        <v>0.62857142857142856</v>
      </c>
      <c r="U376" s="286">
        <v>135</v>
      </c>
      <c r="V376" s="265">
        <f>+IFERROR(IF(GUAYAQUIL[[#This Row],[CODIGO]]="","",GUAYAQUIL[[#This Row],[Stock Actual Unds]]*GUAYAQUIL[[#This Row],[Gramaje]]*GUAYAQUIL[[#This Row],[Conversión]]),"")</f>
        <v>60.75</v>
      </c>
      <c r="W376" s="270">
        <f t="shared" si="28"/>
        <v>4</v>
      </c>
      <c r="X376" s="32">
        <f t="shared" si="29"/>
        <v>0.88571428571428568</v>
      </c>
      <c r="Y376" s="236">
        <f>IFERROR(VLOOKUP(GUAYAQUIL[[#This Row],[CODIGO]],MAESTRO!A:BI,21,FALSE),0)</f>
        <v>1.1964000000000001</v>
      </c>
      <c r="Z376" s="237">
        <f>+IFERROR(IF(GUAYAQUIL[[#This Row],[CODIGO]]="","",GUAYAQUIL[[#This Row],[COSTO UNIT base]]*GUAYAQUIL[[#This Row],[Conversión]]),"")</f>
        <v>1.1964000000000001</v>
      </c>
      <c r="AA376" s="236">
        <f>+IFERROR(IF(GUAYAQUIL[[#This Row],[CODIGO]]="","",GUAYAQUIL[[#This Row],[COSTO UNIT Conv]]*GUAYAQUIL[[#This Row],[Stock Actual Kgs]]),"")</f>
        <v>72.681300000000007</v>
      </c>
      <c r="AB376" s="33">
        <f ca="1">+IFERROR(IF(GUAYAQUIL[[#This Row],[CODIGO]]="","",$J$3-O376),"")</f>
        <v>8</v>
      </c>
      <c r="AC376" s="34" t="str">
        <f ca="1">IF(GUAYAQUIL[[#This Row],[CODIGO]]="","",IF(S376&lt;=0,"CADUCADO",IF(AND(S376&gt;0,S376&lt;=21),"FECHA CORTA",IF(AND(S376&gt;=22,S376&lt;=26),"PROXIMOS FECHA CORTA", "VIGENTE"))))</f>
        <v>PROXIMOS FECHA CORTA</v>
      </c>
      <c r="AD376" s="37">
        <f>+IF(GUAYAQUIL[[#This Row],[CODIGO]]="","",GUAYAQUIL[[#This Row],[Stock Actual Unds]]*GUAYAQUIL[[#This Row],[Gramaje]]*GUAYAQUIL[[#This Row],[Conversión]])/1000</f>
        <v>6.0749999999999998E-2</v>
      </c>
    </row>
    <row r="377" spans="1:30">
      <c r="A377" s="24" t="str">
        <f>+IFERROR(IF(GUAYAQUIL[[#This Row],[CODIGO]]="","",VLOOKUP(GUAYAQUIL[[#This Row],[CODIGO]],MAESTRO!$A:$J,10,FALSE)),"")</f>
        <v>SAN GABRIEL</v>
      </c>
      <c r="B377" s="24" t="str">
        <f>+IFERROR(IF(GUAYAQUIL[[#This Row],[CODIGO]]="","",VLOOKUP(GUAYAQUIL[[#This Row],[CODIGO]],MAESTRO!$A:$Q,17,FALSE)),"")</f>
        <v>QUESOS Y GRASAS</v>
      </c>
      <c r="C377" s="24" t="str">
        <f>+IFERROR(IF(GUAYAQUIL[[#This Row],[CODIGO]]="","",VLOOKUP(GUAYAQUIL[[#This Row],[CODIGO]],MAESTRO!$A:$BA,53,FALSE)),"")</f>
        <v xml:space="preserve">Esteban Montenegro                      </v>
      </c>
      <c r="D377" s="24" t="str">
        <f>+IFERROR(IF(GUAYAQUIL[[#This Row],[CODIGO]]="","",VLOOKUP(GUAYAQUIL[[#This Row],[CODIGO]],MAESTRO!$A:$D,4,FALSE)),"")</f>
        <v>QUESO FRESCO KIOSKO</v>
      </c>
      <c r="E377" s="24" t="str">
        <f>+IFERROR(IF(GUAYAQUIL[[#This Row],[CODIGO]]="","",VLOOKUP(GUAYAQUIL[[#This Row],[CODIGO]],MAESTRO!$A:$F,6,FALSE)),"")</f>
        <v>QUESO RICOTTA KIOSKO BLOQUE</v>
      </c>
      <c r="F377" s="42" t="str">
        <f>IF(GUAYAQUIL[[#This Row],[CODIGO]]="","",$K$6)</f>
        <v>GUAYAQUIL</v>
      </c>
      <c r="G377" s="42">
        <f>IF(GUAYAQUIL[[#This Row],[CODIGO]]="","",7711)</f>
        <v>7711</v>
      </c>
      <c r="H377" s="42">
        <f>IF(GUAYAQUIL[[#This Row],[CODIGO]]="","",1001)</f>
        <v>1001</v>
      </c>
      <c r="I377" s="258" t="s">
        <v>159</v>
      </c>
      <c r="J377" s="25" t="str">
        <f>IFERROR((VLOOKUP(GUAYAQUIL[[#This Row],[CODIGO]],MAESTRO!A:B,2,FALSE)),"")</f>
        <v>Q RICOTTA KIOSKO BLOQ 450G</v>
      </c>
      <c r="K377" s="35">
        <v>180</v>
      </c>
      <c r="L377" s="38">
        <f>+IFERROR(IF(GUAYAQUIL[[#This Row],[CODIGO]]="","",VLOOKUP(GUAYAQUIL[[#This Row],[CODIGO]],MAESTRO!$A:$BF,58,FALSE)),"")</f>
        <v>1</v>
      </c>
      <c r="M377" s="27">
        <f>+IFERROR(IF(GUAYAQUIL[[#This Row],[CODIGO]]="","",VLOOKUP(GUAYAQUIL[[#This Row],[CODIGO]],MAESTRO!A:N,14,FALSE)),"")</f>
        <v>0.45</v>
      </c>
      <c r="N377" s="28">
        <f>+IFERROR(IF(GUAYAQUIL[[#This Row],[CODIGO]]="","",VLOOKUP(GUAYAQUIL[[#This Row],[CODIGO]],MAESTRO!A:P,16,FALSE)),"")</f>
        <v>35</v>
      </c>
      <c r="O377" s="45">
        <v>45617</v>
      </c>
      <c r="P377" s="72" t="str">
        <f t="shared" si="25"/>
        <v>jueves</v>
      </c>
      <c r="Q377" s="29">
        <f>IFERROR(IF(GUAYAQUIL[[#This Row],[CODIGO]]="","",IF(GUAYAQUIL[[#This Row],[Fecha Cad]]="","",(GUAYAQUIL[[#This Row],[Fecha Cad]]-GUAYAQUIL[[#This Row],[VIDA UTIL (Días)]]))+1),"")</f>
        <v>45612</v>
      </c>
      <c r="R377" s="45">
        <v>45646</v>
      </c>
      <c r="S377" s="30">
        <f t="shared" ca="1" si="26"/>
        <v>22</v>
      </c>
      <c r="T377" s="31">
        <f t="shared" ca="1" si="27"/>
        <v>0.62857142857142856</v>
      </c>
      <c r="U377" s="286">
        <v>180</v>
      </c>
      <c r="V377" s="265">
        <f>+IFERROR(IF(GUAYAQUIL[[#This Row],[CODIGO]]="","",GUAYAQUIL[[#This Row],[Stock Actual Unds]]*GUAYAQUIL[[#This Row],[Gramaje]]*GUAYAQUIL[[#This Row],[Conversión]]),"")</f>
        <v>81</v>
      </c>
      <c r="W377" s="270">
        <f t="shared" si="28"/>
        <v>5</v>
      </c>
      <c r="X377" s="32">
        <f t="shared" si="29"/>
        <v>0.85714285714285721</v>
      </c>
      <c r="Y377" s="236">
        <f>IFERROR(VLOOKUP(GUAYAQUIL[[#This Row],[CODIGO]],MAESTRO!A:BI,21,FALSE),0)</f>
        <v>1.1964000000000001</v>
      </c>
      <c r="Z377" s="237">
        <f>+IFERROR(IF(GUAYAQUIL[[#This Row],[CODIGO]]="","",GUAYAQUIL[[#This Row],[COSTO UNIT base]]*GUAYAQUIL[[#This Row],[Conversión]]),"")</f>
        <v>1.1964000000000001</v>
      </c>
      <c r="AA377" s="236">
        <f>+IFERROR(IF(GUAYAQUIL[[#This Row],[CODIGO]]="","",GUAYAQUIL[[#This Row],[COSTO UNIT Conv]]*GUAYAQUIL[[#This Row],[Stock Actual Kgs]]),"")</f>
        <v>96.908400000000015</v>
      </c>
      <c r="AB377" s="33">
        <f ca="1">+IFERROR(IF(GUAYAQUIL[[#This Row],[CODIGO]]="","",$J$3-O377),"")</f>
        <v>7</v>
      </c>
      <c r="AC377" s="34" t="str">
        <f ca="1">IF(GUAYAQUIL[[#This Row],[CODIGO]]="","",IF(S377&lt;=0,"CADUCADO",IF(AND(S377&gt;0,S377&lt;=21),"FECHA CORTA",IF(AND(S377&gt;=22,S377&lt;=26),"PROXIMOS FECHA CORTA", "VIGENTE"))))</f>
        <v>PROXIMOS FECHA CORTA</v>
      </c>
      <c r="AD377" s="37">
        <f>+IF(GUAYAQUIL[[#This Row],[CODIGO]]="","",GUAYAQUIL[[#This Row],[Stock Actual Unds]]*GUAYAQUIL[[#This Row],[Gramaje]]*GUAYAQUIL[[#This Row],[Conversión]])/1000</f>
        <v>8.1000000000000003E-2</v>
      </c>
    </row>
    <row r="378" spans="1:30">
      <c r="A378" s="24" t="str">
        <f>+IFERROR(IF(GUAYAQUIL[[#This Row],[CODIGO]]="","",VLOOKUP(GUAYAQUIL[[#This Row],[CODIGO]],MAESTRO!$A:$J,10,FALSE)),"")</f>
        <v>SAN GABRIEL</v>
      </c>
      <c r="B378" s="24" t="str">
        <f>+IFERROR(IF(GUAYAQUIL[[#This Row],[CODIGO]]="","",VLOOKUP(GUAYAQUIL[[#This Row],[CODIGO]],MAESTRO!$A:$Q,17,FALSE)),"")</f>
        <v>QUESOS Y GRASAS</v>
      </c>
      <c r="C378" s="24" t="str">
        <f>+IFERROR(IF(GUAYAQUIL[[#This Row],[CODIGO]]="","",VLOOKUP(GUAYAQUIL[[#This Row],[CODIGO]],MAESTRO!$A:$BA,53,FALSE)),"")</f>
        <v xml:space="preserve">Esteban Montenegro                      </v>
      </c>
      <c r="D378" s="24" t="str">
        <f>+IFERROR(IF(GUAYAQUIL[[#This Row],[CODIGO]]="","",VLOOKUP(GUAYAQUIL[[#This Row],[CODIGO]],MAESTRO!$A:$D,4,FALSE)),"")</f>
        <v>QUESO MOZARELLA KIOSKO</v>
      </c>
      <c r="E378" s="24" t="str">
        <f>+IFERROR(IF(GUAYAQUIL[[#This Row],[CODIGO]]="","",VLOOKUP(GUAYAQUIL[[#This Row],[CODIGO]],MAESTRO!$A:$F,6,FALSE)),"")</f>
        <v>QUESO MOZARELLA KIOSKO BLOQUE</v>
      </c>
      <c r="F378" s="42" t="str">
        <f>IF(GUAYAQUIL[[#This Row],[CODIGO]]="","",$K$6)</f>
        <v>GUAYAQUIL</v>
      </c>
      <c r="G378" s="42">
        <f>IF(GUAYAQUIL[[#This Row],[CODIGO]]="","",7711)</f>
        <v>7711</v>
      </c>
      <c r="H378" s="42">
        <f>IF(GUAYAQUIL[[#This Row],[CODIGO]]="","",1001)</f>
        <v>1001</v>
      </c>
      <c r="I378" s="258" t="s">
        <v>567</v>
      </c>
      <c r="J378" s="25" t="str">
        <f>IFERROR((VLOOKUP(GUAYAQUIL[[#This Row],[CODIGO]],MAESTRO!A:B,2,FALSE)),"")</f>
        <v>Q MOZAR KIOSKO BLOQ 700G</v>
      </c>
      <c r="K378" s="35">
        <v>756</v>
      </c>
      <c r="L378" s="38">
        <f>+IFERROR(IF(GUAYAQUIL[[#This Row],[CODIGO]]="","",VLOOKUP(GUAYAQUIL[[#This Row],[CODIGO]],MAESTRO!$A:$BF,58,FALSE)),"")</f>
        <v>1</v>
      </c>
      <c r="M378" s="27">
        <f>+IFERROR(IF(GUAYAQUIL[[#This Row],[CODIGO]]="","",VLOOKUP(GUAYAQUIL[[#This Row],[CODIGO]],MAESTRO!A:N,14,FALSE)),"")</f>
        <v>0.7</v>
      </c>
      <c r="N378" s="28">
        <f>+IFERROR(IF(GUAYAQUIL[[#This Row],[CODIGO]]="","",VLOOKUP(GUAYAQUIL[[#This Row],[CODIGO]],MAESTRO!A:P,16,FALSE)),"")</f>
        <v>40</v>
      </c>
      <c r="O378" s="29">
        <v>45611</v>
      </c>
      <c r="P378" s="72" t="str">
        <f t="shared" si="25"/>
        <v>viernes</v>
      </c>
      <c r="Q378" s="29">
        <f>IFERROR(IF(GUAYAQUIL[[#This Row],[CODIGO]]="","",IF(GUAYAQUIL[[#This Row],[Fecha Cad]]="","",(GUAYAQUIL[[#This Row],[Fecha Cad]]-GUAYAQUIL[[#This Row],[VIDA UTIL (Días)]]))+1),"")</f>
        <v>45609</v>
      </c>
      <c r="R378" s="29">
        <v>45648</v>
      </c>
      <c r="S378" s="30">
        <f t="shared" ca="1" si="26"/>
        <v>24</v>
      </c>
      <c r="T378" s="31">
        <f t="shared" ca="1" si="27"/>
        <v>0.6</v>
      </c>
      <c r="U378" s="286">
        <v>109</v>
      </c>
      <c r="V378" s="265">
        <f>+IFERROR(IF(GUAYAQUIL[[#This Row],[CODIGO]]="","",GUAYAQUIL[[#This Row],[Stock Actual Unds]]*GUAYAQUIL[[#This Row],[Gramaje]]*GUAYAQUIL[[#This Row],[Conversión]]),"")</f>
        <v>76.3</v>
      </c>
      <c r="W378" s="270">
        <f t="shared" si="28"/>
        <v>2</v>
      </c>
      <c r="X378" s="32">
        <f t="shared" si="29"/>
        <v>0.95</v>
      </c>
      <c r="Y378" s="236">
        <f>IFERROR(VLOOKUP(GUAYAQUIL[[#This Row],[CODIGO]],MAESTRO!A:BI,21,FALSE),0)</f>
        <v>3.26932</v>
      </c>
      <c r="Z378" s="237">
        <f>+IFERROR(IF(GUAYAQUIL[[#This Row],[CODIGO]]="","",GUAYAQUIL[[#This Row],[COSTO UNIT base]]*GUAYAQUIL[[#This Row],[Conversión]]),"")</f>
        <v>3.26932</v>
      </c>
      <c r="AA378" s="236">
        <f>+IFERROR(IF(GUAYAQUIL[[#This Row],[CODIGO]]="","",GUAYAQUIL[[#This Row],[COSTO UNIT Conv]]*GUAYAQUIL[[#This Row],[Stock Actual Kgs]]),"")</f>
        <v>249.449116</v>
      </c>
      <c r="AB378" s="33">
        <f ca="1">+IFERROR(IF(GUAYAQUIL[[#This Row],[CODIGO]]="","",$J$3-O378),"")</f>
        <v>13</v>
      </c>
      <c r="AC378" s="34" t="str">
        <f ca="1">IF(GUAYAQUIL[[#This Row],[CODIGO]]="","",IF(S378&lt;=0,"CADUCADO",IF(AND(S378&gt;0,S378&lt;=21),"FECHA CORTA",IF(AND(S378&gt;=22,S378&lt;=26),"PROXIMOS FECHA CORTA", "VIGENTE"))))</f>
        <v>PROXIMOS FECHA CORTA</v>
      </c>
      <c r="AD378" s="37">
        <f>+IF(GUAYAQUIL[[#This Row],[CODIGO]]="","",GUAYAQUIL[[#This Row],[Stock Actual Unds]]*GUAYAQUIL[[#This Row],[Gramaje]]*GUAYAQUIL[[#This Row],[Conversión]])/1000</f>
        <v>7.6299999999999993E-2</v>
      </c>
    </row>
    <row r="379" spans="1:30">
      <c r="A379" s="24" t="str">
        <f>+IFERROR(IF(GUAYAQUIL[[#This Row],[CODIGO]]="","",VLOOKUP(GUAYAQUIL[[#This Row],[CODIGO]],MAESTRO!$A:$J,10,FALSE)),"")</f>
        <v>SAN GABRIEL</v>
      </c>
      <c r="B379" s="24" t="str">
        <f>+IFERROR(IF(GUAYAQUIL[[#This Row],[CODIGO]]="","",VLOOKUP(GUAYAQUIL[[#This Row],[CODIGO]],MAESTRO!$A:$Q,17,FALSE)),"")</f>
        <v>QUESOS Y GRASAS</v>
      </c>
      <c r="C379" s="24" t="str">
        <f>+IFERROR(IF(GUAYAQUIL[[#This Row],[CODIGO]]="","",VLOOKUP(GUAYAQUIL[[#This Row],[CODIGO]],MAESTRO!$A:$BA,53,FALSE)),"")</f>
        <v xml:space="preserve">Esteban Montenegro                      </v>
      </c>
      <c r="D379" s="24" t="str">
        <f>+IFERROR(IF(GUAYAQUIL[[#This Row],[CODIGO]]="","",VLOOKUP(GUAYAQUIL[[#This Row],[CODIGO]],MAESTRO!$A:$D,4,FALSE)),"")</f>
        <v>QUESO MOZARELLA KIOSKO</v>
      </c>
      <c r="E379" s="24" t="str">
        <f>+IFERROR(IF(GUAYAQUIL[[#This Row],[CODIGO]]="","",VLOOKUP(GUAYAQUIL[[#This Row],[CODIGO]],MAESTRO!$A:$F,6,FALSE)),"")</f>
        <v>QUESO MOZARELLA KIOSKO BLOQUE</v>
      </c>
      <c r="F379" s="42" t="str">
        <f>IF(GUAYAQUIL[[#This Row],[CODIGO]]="","",$K$6)</f>
        <v>GUAYAQUIL</v>
      </c>
      <c r="G379" s="42">
        <f>IF(GUAYAQUIL[[#This Row],[CODIGO]]="","",7711)</f>
        <v>7711</v>
      </c>
      <c r="H379" s="42">
        <f>IF(GUAYAQUIL[[#This Row],[CODIGO]]="","",1001)</f>
        <v>1001</v>
      </c>
      <c r="I379" s="258" t="s">
        <v>567</v>
      </c>
      <c r="J379" s="25" t="str">
        <f>IFERROR((VLOOKUP(GUAYAQUIL[[#This Row],[CODIGO]],MAESTRO!A:B,2,FALSE)),"")</f>
        <v>Q MOZAR KIOSKO BLOQ 700G</v>
      </c>
      <c r="K379" s="35">
        <v>540</v>
      </c>
      <c r="L379" s="38">
        <f>+IFERROR(IF(GUAYAQUIL[[#This Row],[CODIGO]]="","",VLOOKUP(GUAYAQUIL[[#This Row],[CODIGO]],MAESTRO!$A:$BF,58,FALSE)),"")</f>
        <v>1</v>
      </c>
      <c r="M379" s="27">
        <f>+IFERROR(IF(GUAYAQUIL[[#This Row],[CODIGO]]="","",VLOOKUP(GUAYAQUIL[[#This Row],[CODIGO]],MAESTRO!A:N,14,FALSE)),"")</f>
        <v>0.7</v>
      </c>
      <c r="N379" s="28">
        <f>+IFERROR(IF(GUAYAQUIL[[#This Row],[CODIGO]]="","",VLOOKUP(GUAYAQUIL[[#This Row],[CODIGO]],MAESTRO!A:P,16,FALSE)),"")</f>
        <v>40</v>
      </c>
      <c r="O379" s="29">
        <v>45615</v>
      </c>
      <c r="P379" s="72" t="str">
        <f t="shared" si="25"/>
        <v>martes</v>
      </c>
      <c r="Q379" s="29">
        <f>IFERROR(IF(GUAYAQUIL[[#This Row],[CODIGO]]="","",IF(GUAYAQUIL[[#This Row],[Fecha Cad]]="","",(GUAYAQUIL[[#This Row],[Fecha Cad]]-GUAYAQUIL[[#This Row],[VIDA UTIL (Días)]]))+1),"")</f>
        <v>45610</v>
      </c>
      <c r="R379" s="29">
        <v>45649</v>
      </c>
      <c r="S379" s="30">
        <f t="shared" ca="1" si="26"/>
        <v>25</v>
      </c>
      <c r="T379" s="31">
        <f t="shared" ca="1" si="27"/>
        <v>0.625</v>
      </c>
      <c r="U379" s="286">
        <v>540</v>
      </c>
      <c r="V379" s="265">
        <f>+IFERROR(IF(GUAYAQUIL[[#This Row],[CODIGO]]="","",GUAYAQUIL[[#This Row],[Stock Actual Unds]]*GUAYAQUIL[[#This Row],[Gramaje]]*GUAYAQUIL[[#This Row],[Conversión]]),"")</f>
        <v>378</v>
      </c>
      <c r="W379" s="270">
        <f t="shared" si="28"/>
        <v>5</v>
      </c>
      <c r="X379" s="32">
        <f t="shared" si="29"/>
        <v>0.875</v>
      </c>
      <c r="Y379" s="236">
        <f>IFERROR(VLOOKUP(GUAYAQUIL[[#This Row],[CODIGO]],MAESTRO!A:BI,21,FALSE),0)</f>
        <v>3.26932</v>
      </c>
      <c r="Z379" s="237">
        <f>+IFERROR(IF(GUAYAQUIL[[#This Row],[CODIGO]]="","",GUAYAQUIL[[#This Row],[COSTO UNIT base]]*GUAYAQUIL[[#This Row],[Conversión]]),"")</f>
        <v>3.26932</v>
      </c>
      <c r="AA379" s="236">
        <f>+IFERROR(IF(GUAYAQUIL[[#This Row],[CODIGO]]="","",GUAYAQUIL[[#This Row],[COSTO UNIT Conv]]*GUAYAQUIL[[#This Row],[Stock Actual Kgs]]),"")</f>
        <v>1235.80296</v>
      </c>
      <c r="AB379" s="33">
        <f ca="1">+IFERROR(IF(GUAYAQUIL[[#This Row],[CODIGO]]="","",$J$3-O379),"")</f>
        <v>9</v>
      </c>
      <c r="AC379" s="34" t="str">
        <f ca="1">IF(GUAYAQUIL[[#This Row],[CODIGO]]="","",IF(S379&lt;=0,"CADUCADO",IF(AND(S379&gt;0,S379&lt;=21),"FECHA CORTA",IF(AND(S379&gt;=22,S379&lt;=26),"PROXIMOS FECHA CORTA", "VIGENTE"))))</f>
        <v>PROXIMOS FECHA CORTA</v>
      </c>
      <c r="AD379" s="37">
        <f>+IF(GUAYAQUIL[[#This Row],[CODIGO]]="","",GUAYAQUIL[[#This Row],[Stock Actual Unds]]*GUAYAQUIL[[#This Row],[Gramaje]]*GUAYAQUIL[[#This Row],[Conversión]])/1000</f>
        <v>0.378</v>
      </c>
    </row>
    <row r="380" spans="1:30">
      <c r="A380" s="24" t="str">
        <f>+IFERROR(IF(GUAYAQUIL[[#This Row],[CODIGO]]="","",VLOOKUP(GUAYAQUIL[[#This Row],[CODIGO]],MAESTRO!$A:$J,10,FALSE)),"")</f>
        <v>SAN GABRIEL</v>
      </c>
      <c r="B380" s="24" t="str">
        <f>+IFERROR(IF(GUAYAQUIL[[#This Row],[CODIGO]]="","",VLOOKUP(GUAYAQUIL[[#This Row],[CODIGO]],MAESTRO!$A:$Q,17,FALSE)),"")</f>
        <v>QUESOS Y GRASAS</v>
      </c>
      <c r="C380" s="24" t="str">
        <f>+IFERROR(IF(GUAYAQUIL[[#This Row],[CODIGO]]="","",VLOOKUP(GUAYAQUIL[[#This Row],[CODIGO]],MAESTRO!$A:$BA,53,FALSE)),"")</f>
        <v xml:space="preserve">Esteban Montenegro                      </v>
      </c>
      <c r="D380" s="24" t="str">
        <f>+IFERROR(IF(GUAYAQUIL[[#This Row],[CODIGO]]="","",VLOOKUP(GUAYAQUIL[[#This Row],[CODIGO]],MAESTRO!$A:$D,4,FALSE)),"")</f>
        <v>QUESO MOZARELLA KIOSKO</v>
      </c>
      <c r="E380" s="24" t="str">
        <f>+IFERROR(IF(GUAYAQUIL[[#This Row],[CODIGO]]="","",VLOOKUP(GUAYAQUIL[[#This Row],[CODIGO]],MAESTRO!$A:$F,6,FALSE)),"")</f>
        <v>QUESO MOZARELLA KIOSKO BLOQUE</v>
      </c>
      <c r="F380" s="42" t="str">
        <f>IF(GUAYAQUIL[[#This Row],[CODIGO]]="","",$K$6)</f>
        <v>GUAYAQUIL</v>
      </c>
      <c r="G380" s="42">
        <f>IF(GUAYAQUIL[[#This Row],[CODIGO]]="","",7711)</f>
        <v>7711</v>
      </c>
      <c r="H380" s="42">
        <f>IF(GUAYAQUIL[[#This Row],[CODIGO]]="","",1001)</f>
        <v>1001</v>
      </c>
      <c r="I380" s="258" t="s">
        <v>567</v>
      </c>
      <c r="J380" s="25" t="str">
        <f>IFERROR((VLOOKUP(GUAYAQUIL[[#This Row],[CODIGO]],MAESTRO!A:B,2,FALSE)),"")</f>
        <v>Q MOZAR KIOSKO BLOQ 700G</v>
      </c>
      <c r="K380" s="35">
        <v>162</v>
      </c>
      <c r="L380" s="38">
        <f>+IFERROR(IF(GUAYAQUIL[[#This Row],[CODIGO]]="","",VLOOKUP(GUAYAQUIL[[#This Row],[CODIGO]],MAESTRO!$A:$BF,58,FALSE)),"")</f>
        <v>1</v>
      </c>
      <c r="M380" s="27">
        <f>+IFERROR(IF(GUAYAQUIL[[#This Row],[CODIGO]]="","",VLOOKUP(GUAYAQUIL[[#This Row],[CODIGO]],MAESTRO!A:N,14,FALSE)),"")</f>
        <v>0.7</v>
      </c>
      <c r="N380" s="28">
        <f>+IFERROR(IF(GUAYAQUIL[[#This Row],[CODIGO]]="","",VLOOKUP(GUAYAQUIL[[#This Row],[CODIGO]],MAESTRO!A:P,16,FALSE)),"")</f>
        <v>40</v>
      </c>
      <c r="O380" s="29">
        <v>45616</v>
      </c>
      <c r="P380" s="72" t="str">
        <f t="shared" si="25"/>
        <v>miércoles</v>
      </c>
      <c r="Q380" s="29">
        <f>IFERROR(IF(GUAYAQUIL[[#This Row],[CODIGO]]="","",IF(GUAYAQUIL[[#This Row],[Fecha Cad]]="","",(GUAYAQUIL[[#This Row],[Fecha Cad]]-GUAYAQUIL[[#This Row],[VIDA UTIL (Días)]]))+1),"")</f>
        <v>45612</v>
      </c>
      <c r="R380" s="29">
        <v>45651</v>
      </c>
      <c r="S380" s="30">
        <f t="shared" ca="1" si="26"/>
        <v>27</v>
      </c>
      <c r="T380" s="31">
        <f t="shared" ca="1" si="27"/>
        <v>0.67500000000000004</v>
      </c>
      <c r="U380" s="286">
        <v>162</v>
      </c>
      <c r="V380" s="265">
        <f>+IFERROR(IF(GUAYAQUIL[[#This Row],[CODIGO]]="","",GUAYAQUIL[[#This Row],[Stock Actual Unds]]*GUAYAQUIL[[#This Row],[Gramaje]]*GUAYAQUIL[[#This Row],[Conversión]]),"")</f>
        <v>113.39999999999999</v>
      </c>
      <c r="W380" s="270">
        <f t="shared" si="28"/>
        <v>4</v>
      </c>
      <c r="X380" s="32">
        <f t="shared" si="29"/>
        <v>0.9</v>
      </c>
      <c r="Y380" s="236">
        <f>IFERROR(VLOOKUP(GUAYAQUIL[[#This Row],[CODIGO]],MAESTRO!A:BI,21,FALSE),0)</f>
        <v>3.26932</v>
      </c>
      <c r="Z380" s="237">
        <f>+IFERROR(IF(GUAYAQUIL[[#This Row],[CODIGO]]="","",GUAYAQUIL[[#This Row],[COSTO UNIT base]]*GUAYAQUIL[[#This Row],[Conversión]]),"")</f>
        <v>3.26932</v>
      </c>
      <c r="AA380" s="236">
        <f>+IFERROR(IF(GUAYAQUIL[[#This Row],[CODIGO]]="","",GUAYAQUIL[[#This Row],[COSTO UNIT Conv]]*GUAYAQUIL[[#This Row],[Stock Actual Kgs]]),"")</f>
        <v>370.74088799999998</v>
      </c>
      <c r="AB380" s="33">
        <f ca="1">+IFERROR(IF(GUAYAQUIL[[#This Row],[CODIGO]]="","",$J$3-O380),"")</f>
        <v>8</v>
      </c>
      <c r="AC380" s="34" t="str">
        <f ca="1">IF(GUAYAQUIL[[#This Row],[CODIGO]]="","",IF(S380&lt;=0,"CADUCADO",IF(AND(S380&gt;0,S380&lt;=21),"FECHA CORTA",IF(AND(S380&gt;=22,S380&lt;=26),"PROXIMOS FECHA CORTA", "VIGENTE"))))</f>
        <v>VIGENTE</v>
      </c>
      <c r="AD380" s="37">
        <f>+IF(GUAYAQUIL[[#This Row],[CODIGO]]="","",GUAYAQUIL[[#This Row],[Stock Actual Unds]]*GUAYAQUIL[[#This Row],[Gramaje]]*GUAYAQUIL[[#This Row],[Conversión]])/1000</f>
        <v>0.11339999999999999</v>
      </c>
    </row>
    <row r="381" spans="1:30">
      <c r="A381" s="24" t="str">
        <f>+IFERROR(IF(GUAYAQUIL[[#This Row],[CODIGO]]="","",VLOOKUP(GUAYAQUIL[[#This Row],[CODIGO]],MAESTRO!$A:$J,10,FALSE)),"")</f>
        <v>SAN GABRIEL</v>
      </c>
      <c r="B381" s="24" t="str">
        <f>+IFERROR(IF(GUAYAQUIL[[#This Row],[CODIGO]]="","",VLOOKUP(GUAYAQUIL[[#This Row],[CODIGO]],MAESTRO!$A:$Q,17,FALSE)),"")</f>
        <v>QUESOS Y GRASAS</v>
      </c>
      <c r="C381" s="24" t="str">
        <f>+IFERROR(IF(GUAYAQUIL[[#This Row],[CODIGO]]="","",VLOOKUP(GUAYAQUIL[[#This Row],[CODIGO]],MAESTRO!$A:$BA,53,FALSE)),"")</f>
        <v xml:space="preserve">Esteban Montenegro                      </v>
      </c>
      <c r="D381" s="24" t="str">
        <f>+IFERROR(IF(GUAYAQUIL[[#This Row],[CODIGO]]="","",VLOOKUP(GUAYAQUIL[[#This Row],[CODIGO]],MAESTRO!$A:$D,4,FALSE)),"")</f>
        <v>QUESO MOZARELLA KIOSKO</v>
      </c>
      <c r="E381" s="24" t="str">
        <f>+IFERROR(IF(GUAYAQUIL[[#This Row],[CODIGO]]="","",VLOOKUP(GUAYAQUIL[[#This Row],[CODIGO]],MAESTRO!$A:$F,6,FALSE)),"")</f>
        <v>QUESO MOZARELLA KIOSKO BLOQUE</v>
      </c>
      <c r="F381" s="42" t="str">
        <f>IF(GUAYAQUIL[[#This Row],[CODIGO]]="","",$K$6)</f>
        <v>GUAYAQUIL</v>
      </c>
      <c r="G381" s="42">
        <f>IF(GUAYAQUIL[[#This Row],[CODIGO]]="","",7711)</f>
        <v>7711</v>
      </c>
      <c r="H381" s="42">
        <f>IF(GUAYAQUIL[[#This Row],[CODIGO]]="","",1001)</f>
        <v>1001</v>
      </c>
      <c r="I381" s="258" t="s">
        <v>567</v>
      </c>
      <c r="J381" s="25" t="str">
        <f>IFERROR((VLOOKUP(GUAYAQUIL[[#This Row],[CODIGO]],MAESTRO!A:B,2,FALSE)),"")</f>
        <v>Q MOZAR KIOSKO BLOQ 700G</v>
      </c>
      <c r="K381" s="35">
        <v>108</v>
      </c>
      <c r="L381" s="38">
        <f>+IFERROR(IF(GUAYAQUIL[[#This Row],[CODIGO]]="","",VLOOKUP(GUAYAQUIL[[#This Row],[CODIGO]],MAESTRO!$A:$BF,58,FALSE)),"")</f>
        <v>1</v>
      </c>
      <c r="M381" s="27">
        <f>+IFERROR(IF(GUAYAQUIL[[#This Row],[CODIGO]]="","",VLOOKUP(GUAYAQUIL[[#This Row],[CODIGO]],MAESTRO!A:N,14,FALSE)),"")</f>
        <v>0.7</v>
      </c>
      <c r="N381" s="28">
        <f>+IFERROR(IF(GUAYAQUIL[[#This Row],[CODIGO]]="","",VLOOKUP(GUAYAQUIL[[#This Row],[CODIGO]],MAESTRO!A:P,16,FALSE)),"")</f>
        <v>40</v>
      </c>
      <c r="O381" s="29">
        <v>45616</v>
      </c>
      <c r="P381" s="72" t="str">
        <f t="shared" si="25"/>
        <v>miércoles</v>
      </c>
      <c r="Q381" s="29">
        <f>IFERROR(IF(GUAYAQUIL[[#This Row],[CODIGO]]="","",IF(GUAYAQUIL[[#This Row],[Fecha Cad]]="","",(GUAYAQUIL[[#This Row],[Fecha Cad]]-GUAYAQUIL[[#This Row],[VIDA UTIL (Días)]]))+1),"")</f>
        <v>45610</v>
      </c>
      <c r="R381" s="29">
        <v>45649</v>
      </c>
      <c r="S381" s="30">
        <f t="shared" ca="1" si="26"/>
        <v>25</v>
      </c>
      <c r="T381" s="31">
        <f t="shared" ca="1" si="27"/>
        <v>0.625</v>
      </c>
      <c r="U381" s="286">
        <v>108</v>
      </c>
      <c r="V381" s="265">
        <f>+IFERROR(IF(GUAYAQUIL[[#This Row],[CODIGO]]="","",GUAYAQUIL[[#This Row],[Stock Actual Unds]]*GUAYAQUIL[[#This Row],[Gramaje]]*GUAYAQUIL[[#This Row],[Conversión]]),"")</f>
        <v>75.599999999999994</v>
      </c>
      <c r="W381" s="270">
        <f t="shared" si="28"/>
        <v>6</v>
      </c>
      <c r="X381" s="32">
        <f t="shared" si="29"/>
        <v>0.85</v>
      </c>
      <c r="Y381" s="236">
        <f>IFERROR(VLOOKUP(GUAYAQUIL[[#This Row],[CODIGO]],MAESTRO!A:BI,21,FALSE),0)</f>
        <v>3.26932</v>
      </c>
      <c r="Z381" s="237">
        <f>+IFERROR(IF(GUAYAQUIL[[#This Row],[CODIGO]]="","",GUAYAQUIL[[#This Row],[COSTO UNIT base]]*GUAYAQUIL[[#This Row],[Conversión]]),"")</f>
        <v>3.26932</v>
      </c>
      <c r="AA381" s="236">
        <f>+IFERROR(IF(GUAYAQUIL[[#This Row],[CODIGO]]="","",GUAYAQUIL[[#This Row],[COSTO UNIT Conv]]*GUAYAQUIL[[#This Row],[Stock Actual Kgs]]),"")</f>
        <v>247.16059199999998</v>
      </c>
      <c r="AB381" s="33">
        <f ca="1">+IFERROR(IF(GUAYAQUIL[[#This Row],[CODIGO]]="","",$J$3-O381),"")</f>
        <v>8</v>
      </c>
      <c r="AC381" s="34" t="str">
        <f ca="1">IF(GUAYAQUIL[[#This Row],[CODIGO]]="","",IF(S381&lt;=0,"CADUCADO",IF(AND(S381&gt;0,S381&lt;=21),"FECHA CORTA",IF(AND(S381&gt;=22,S381&lt;=26),"PROXIMOS FECHA CORTA", "VIGENTE"))))</f>
        <v>PROXIMOS FECHA CORTA</v>
      </c>
      <c r="AD381" s="37">
        <f>+IF(GUAYAQUIL[[#This Row],[CODIGO]]="","",GUAYAQUIL[[#This Row],[Stock Actual Unds]]*GUAYAQUIL[[#This Row],[Gramaje]]*GUAYAQUIL[[#This Row],[Conversión]])/1000</f>
        <v>7.5600000000000001E-2</v>
      </c>
    </row>
    <row r="382" spans="1:30">
      <c r="A382" s="24" t="str">
        <f>+IFERROR(IF(GUAYAQUIL[[#This Row],[CODIGO]]="","",VLOOKUP(GUAYAQUIL[[#This Row],[CODIGO]],MAESTRO!$A:$J,10,FALSE)),"")</f>
        <v>SAN GABRIEL</v>
      </c>
      <c r="B382" s="24" t="str">
        <f>+IFERROR(IF(GUAYAQUIL[[#This Row],[CODIGO]]="","",VLOOKUP(GUAYAQUIL[[#This Row],[CODIGO]],MAESTRO!$A:$Q,17,FALSE)),"")</f>
        <v>QUESOS Y GRASAS</v>
      </c>
      <c r="C382" s="24" t="str">
        <f>+IFERROR(IF(GUAYAQUIL[[#This Row],[CODIGO]]="","",VLOOKUP(GUAYAQUIL[[#This Row],[CODIGO]],MAESTRO!$A:$BA,53,FALSE)),"")</f>
        <v xml:space="preserve">Esteban Montenegro                      </v>
      </c>
      <c r="D382" s="24" t="str">
        <f>+IFERROR(IF(GUAYAQUIL[[#This Row],[CODIGO]]="","",VLOOKUP(GUAYAQUIL[[#This Row],[CODIGO]],MAESTRO!$A:$D,4,FALSE)),"")</f>
        <v>QUESO MOZARELLA KIOSKO</v>
      </c>
      <c r="E382" s="24" t="str">
        <f>+IFERROR(IF(GUAYAQUIL[[#This Row],[CODIGO]]="","",VLOOKUP(GUAYAQUIL[[#This Row],[CODIGO]],MAESTRO!$A:$F,6,FALSE)),"")</f>
        <v>QUESO MOZARELLA KIOSKO BLOQUE</v>
      </c>
      <c r="F382" s="42" t="str">
        <f>IF(GUAYAQUIL[[#This Row],[CODIGO]]="","",$K$6)</f>
        <v>GUAYAQUIL</v>
      </c>
      <c r="G382" s="42">
        <f>IF(GUAYAQUIL[[#This Row],[CODIGO]]="","",7711)</f>
        <v>7711</v>
      </c>
      <c r="H382" s="42">
        <f>IF(GUAYAQUIL[[#This Row],[CODIGO]]="","",1001)</f>
        <v>1001</v>
      </c>
      <c r="I382" s="258" t="s">
        <v>567</v>
      </c>
      <c r="J382" s="25" t="str">
        <f>IFERROR((VLOOKUP(GUAYAQUIL[[#This Row],[CODIGO]],MAESTRO!A:B,2,FALSE)),"")</f>
        <v>Q MOZAR KIOSKO BLOQ 700G</v>
      </c>
      <c r="K382" s="35">
        <v>378</v>
      </c>
      <c r="L382" s="38">
        <f>+IFERROR(IF(GUAYAQUIL[[#This Row],[CODIGO]]="","",VLOOKUP(GUAYAQUIL[[#This Row],[CODIGO]],MAESTRO!$A:$BF,58,FALSE)),"")</f>
        <v>1</v>
      </c>
      <c r="M382" s="27">
        <f>+IFERROR(IF(GUAYAQUIL[[#This Row],[CODIGO]]="","",VLOOKUP(GUAYAQUIL[[#This Row],[CODIGO]],MAESTRO!A:N,14,FALSE)),"")</f>
        <v>0.7</v>
      </c>
      <c r="N382" s="28">
        <f>+IFERROR(IF(GUAYAQUIL[[#This Row],[CODIGO]]="","",VLOOKUP(GUAYAQUIL[[#This Row],[CODIGO]],MAESTRO!A:P,16,FALSE)),"")</f>
        <v>40</v>
      </c>
      <c r="O382" s="29">
        <v>45617</v>
      </c>
      <c r="P382" s="72" t="str">
        <f t="shared" si="25"/>
        <v>jueves</v>
      </c>
      <c r="Q382" s="29">
        <f>IFERROR(IF(GUAYAQUIL[[#This Row],[CODIGO]]="","",IF(GUAYAQUIL[[#This Row],[Fecha Cad]]="","",(GUAYAQUIL[[#This Row],[Fecha Cad]]-GUAYAQUIL[[#This Row],[VIDA UTIL (Días)]]))+1),"")</f>
        <v>45612</v>
      </c>
      <c r="R382" s="29">
        <v>45651</v>
      </c>
      <c r="S382" s="30">
        <f t="shared" ca="1" si="26"/>
        <v>27</v>
      </c>
      <c r="T382" s="31">
        <f t="shared" ca="1" si="27"/>
        <v>0.67500000000000004</v>
      </c>
      <c r="U382" s="286">
        <v>378</v>
      </c>
      <c r="V382" s="265">
        <f>+IFERROR(IF(GUAYAQUIL[[#This Row],[CODIGO]]="","",GUAYAQUIL[[#This Row],[Stock Actual Unds]]*GUAYAQUIL[[#This Row],[Gramaje]]*GUAYAQUIL[[#This Row],[Conversión]]),"")</f>
        <v>264.59999999999997</v>
      </c>
      <c r="W382" s="270">
        <f t="shared" si="28"/>
        <v>5</v>
      </c>
      <c r="X382" s="32">
        <f t="shared" si="29"/>
        <v>0.875</v>
      </c>
      <c r="Y382" s="236">
        <f>IFERROR(VLOOKUP(GUAYAQUIL[[#This Row],[CODIGO]],MAESTRO!A:BI,21,FALSE),0)</f>
        <v>3.26932</v>
      </c>
      <c r="Z382" s="237">
        <f>+IFERROR(IF(GUAYAQUIL[[#This Row],[CODIGO]]="","",GUAYAQUIL[[#This Row],[COSTO UNIT base]]*GUAYAQUIL[[#This Row],[Conversión]]),"")</f>
        <v>3.26932</v>
      </c>
      <c r="AA382" s="236">
        <f>+IFERROR(IF(GUAYAQUIL[[#This Row],[CODIGO]]="","",GUAYAQUIL[[#This Row],[COSTO UNIT Conv]]*GUAYAQUIL[[#This Row],[Stock Actual Kgs]]),"")</f>
        <v>865.06207199999994</v>
      </c>
      <c r="AB382" s="33">
        <f ca="1">+IFERROR(IF(GUAYAQUIL[[#This Row],[CODIGO]]="","",$J$3-O382),"")</f>
        <v>7</v>
      </c>
      <c r="AC382" s="34" t="str">
        <f ca="1">IF(GUAYAQUIL[[#This Row],[CODIGO]]="","",IF(S382&lt;=0,"CADUCADO",IF(AND(S382&gt;0,S382&lt;=21),"FECHA CORTA",IF(AND(S382&gt;=22,S382&lt;=26),"PROXIMOS FECHA CORTA", "VIGENTE"))))</f>
        <v>VIGENTE</v>
      </c>
      <c r="AD382" s="37">
        <f>+IF(GUAYAQUIL[[#This Row],[CODIGO]]="","",GUAYAQUIL[[#This Row],[Stock Actual Unds]]*GUAYAQUIL[[#This Row],[Gramaje]]*GUAYAQUIL[[#This Row],[Conversión]])/1000</f>
        <v>0.26459999999999995</v>
      </c>
    </row>
    <row r="383" spans="1:30">
      <c r="A383" s="24" t="str">
        <f>+IFERROR(IF(GUAYAQUIL[[#This Row],[CODIGO]]="","",VLOOKUP(GUAYAQUIL[[#This Row],[CODIGO]],MAESTRO!$A:$J,10,FALSE)),"")</f>
        <v>MAQUILA_SG</v>
      </c>
      <c r="B383" s="24" t="str">
        <f>+IFERROR(IF(GUAYAQUIL[[#This Row],[CODIGO]]="","",VLOOKUP(GUAYAQUIL[[#This Row],[CODIGO]],MAESTRO!$A:$Q,17,FALSE)),"")</f>
        <v>POSTRES</v>
      </c>
      <c r="C383" s="24" t="str">
        <f>+IFERROR(IF(GUAYAQUIL[[#This Row],[CODIGO]]="","",VLOOKUP(GUAYAQUIL[[#This Row],[CODIGO]],MAESTRO!$A:$BA,53,FALSE)),"")</f>
        <v xml:space="preserve">Luis Armendariz                         </v>
      </c>
      <c r="D383" s="24" t="str">
        <f>+IFERROR(IF(GUAYAQUIL[[#This Row],[CODIGO]]="","",VLOOKUP(GUAYAQUIL[[#This Row],[CODIGO]],MAESTRO!$A:$D,4,FALSE)),"")</f>
        <v>AREQUIPE ALPINA</v>
      </c>
      <c r="E383" s="24" t="str">
        <f>+IFERROR(IF(GUAYAQUIL[[#This Row],[CODIGO]]="","",VLOOKUP(GUAYAQUIL[[#This Row],[CODIGO]],MAESTRO!$A:$F,6,FALSE)),"")</f>
        <v>AREQUIPE ALPINA</v>
      </c>
      <c r="F383" s="42" t="str">
        <f>IF(GUAYAQUIL[[#This Row],[CODIGO]]="","",$K$6)</f>
        <v>GUAYAQUIL</v>
      </c>
      <c r="G383" s="42">
        <f>IF(GUAYAQUIL[[#This Row],[CODIGO]]="","",7711)</f>
        <v>7711</v>
      </c>
      <c r="H383" s="42">
        <f>IF(GUAYAQUIL[[#This Row],[CODIGO]]="","",1001)</f>
        <v>1001</v>
      </c>
      <c r="I383" s="258" t="s">
        <v>846</v>
      </c>
      <c r="J383" s="25" t="str">
        <f>IFERROR((VLOOKUP(GUAYAQUIL[[#This Row],[CODIGO]],MAESTRO!A:B,2,FALSE)),"")</f>
        <v>AREQUIPE Y PRETZEL STICKS 75 GRAMOS</v>
      </c>
      <c r="K383" s="35">
        <v>132</v>
      </c>
      <c r="L383" s="38">
        <f>+IFERROR(IF(GUAYAQUIL[[#This Row],[CODIGO]]="","",VLOOKUP(GUAYAQUIL[[#This Row],[CODIGO]],MAESTRO!$A:$BF,58,FALSE)),"")</f>
        <v>1</v>
      </c>
      <c r="M383" s="27">
        <f>+IFERROR(IF(GUAYAQUIL[[#This Row],[CODIGO]]="","",VLOOKUP(GUAYAQUIL[[#This Row],[CODIGO]],MAESTRO!A:N,14,FALSE)),"")</f>
        <v>7.4999999999999997E-2</v>
      </c>
      <c r="N383" s="28">
        <f>+IFERROR(IF(GUAYAQUIL[[#This Row],[CODIGO]]="","",VLOOKUP(GUAYAQUIL[[#This Row],[CODIGO]],MAESTRO!A:P,16,FALSE)),"")</f>
        <v>180</v>
      </c>
      <c r="O383" s="29">
        <v>45609</v>
      </c>
      <c r="P383" s="72" t="str">
        <f t="shared" si="25"/>
        <v>miércoles</v>
      </c>
      <c r="Q383" s="29">
        <f>IFERROR(IF(GUAYAQUIL[[#This Row],[CODIGO]]="","",IF(GUAYAQUIL[[#This Row],[Fecha Cad]]="","",(GUAYAQUIL[[#This Row],[Fecha Cad]]-GUAYAQUIL[[#This Row],[VIDA UTIL (Días)]]))+1),"")</f>
        <v>45567</v>
      </c>
      <c r="R383" s="29">
        <v>45746</v>
      </c>
      <c r="S383" s="30">
        <f t="shared" ca="1" si="26"/>
        <v>122</v>
      </c>
      <c r="T383" s="31">
        <f t="shared" ca="1" si="27"/>
        <v>0.67777777777777781</v>
      </c>
      <c r="U383" s="286">
        <v>113</v>
      </c>
      <c r="V383" s="266">
        <f>+IFERROR(IF(GUAYAQUIL[[#This Row],[CODIGO]]="","",GUAYAQUIL[[#This Row],[Stock Actual Unds]]*GUAYAQUIL[[#This Row],[Gramaje]]*GUAYAQUIL[[#This Row],[Conversión]]),"")</f>
        <v>8.4749999999999996</v>
      </c>
      <c r="W383" s="270">
        <f t="shared" si="28"/>
        <v>42</v>
      </c>
      <c r="X383" s="32">
        <f t="shared" si="29"/>
        <v>0.76666666666666661</v>
      </c>
      <c r="Y383" s="236">
        <f>IFERROR(VLOOKUP(GUAYAQUIL[[#This Row],[CODIGO]],MAESTRO!A:BI,21,FALSE),0)</f>
        <v>0.61960000000000004</v>
      </c>
      <c r="Z383" s="237">
        <f>+IFERROR(IF(GUAYAQUIL[[#This Row],[CODIGO]]="","",GUAYAQUIL[[#This Row],[COSTO UNIT base]]*GUAYAQUIL[[#This Row],[Conversión]]),"")</f>
        <v>0.61960000000000004</v>
      </c>
      <c r="AA383" s="236">
        <f>+IFERROR(IF(GUAYAQUIL[[#This Row],[CODIGO]]="","",GUAYAQUIL[[#This Row],[COSTO UNIT Conv]]*GUAYAQUIL[[#This Row],[Stock Actual Kgs]]),"")</f>
        <v>5.2511099999999997</v>
      </c>
      <c r="AB383" s="33">
        <f ca="1">+IFERROR(IF(GUAYAQUIL[[#This Row],[CODIGO]]="","",$J$3-O383),"")</f>
        <v>15</v>
      </c>
      <c r="AC383" s="34" t="str">
        <f ca="1">IF(GUAYAQUIL[[#This Row],[CODIGO]]="","",IF(S383&lt;=0,"CADUCADO",IF(AND(S383&gt;0,S383&lt;=21),"FECHA CORTA",IF(AND(S383&gt;=22,S383&lt;=26),"PROXIMOS FECHA CORTA", "VIGENTE"))))</f>
        <v>VIGENTE</v>
      </c>
      <c r="AD383" s="37">
        <f>+IF(GUAYAQUIL[[#This Row],[CODIGO]]="","",GUAYAQUIL[[#This Row],[Stock Actual Unds]]*GUAYAQUIL[[#This Row],[Gramaje]]*GUAYAQUIL[[#This Row],[Conversión]])/1000</f>
        <v>8.4749999999999999E-3</v>
      </c>
    </row>
    <row r="384" spans="1:30">
      <c r="A384" s="24" t="str">
        <f>+IFERROR(IF(GUAYAQUIL[[#This Row],[CODIGO]]="","",VLOOKUP(GUAYAQUIL[[#This Row],[CODIGO]],MAESTRO!$A:$J,10,FALSE)),"")</f>
        <v>MAQUILA_SG</v>
      </c>
      <c r="B384" s="24" t="str">
        <f>+IFERROR(IF(GUAYAQUIL[[#This Row],[CODIGO]]="","",VLOOKUP(GUAYAQUIL[[#This Row],[CODIGO]],MAESTRO!$A:$Q,17,FALSE)),"")</f>
        <v>POSTRES</v>
      </c>
      <c r="C384" s="24" t="str">
        <f>+IFERROR(IF(GUAYAQUIL[[#This Row],[CODIGO]]="","",VLOOKUP(GUAYAQUIL[[#This Row],[CODIGO]],MAESTRO!$A:$BA,53,FALSE)),"")</f>
        <v xml:space="preserve">Luis Armendariz                         </v>
      </c>
      <c r="D384" s="24" t="str">
        <f>+IFERROR(IF(GUAYAQUIL[[#This Row],[CODIGO]]="","",VLOOKUP(GUAYAQUIL[[#This Row],[CODIGO]],MAESTRO!$A:$D,4,FALSE)),"")</f>
        <v>AREQUIPE ALPINA</v>
      </c>
      <c r="E384" s="24" t="str">
        <f>+IFERROR(IF(GUAYAQUIL[[#This Row],[CODIGO]]="","",VLOOKUP(GUAYAQUIL[[#This Row],[CODIGO]],MAESTRO!$A:$F,6,FALSE)),"")</f>
        <v>AREQUIPE ALPINA</v>
      </c>
      <c r="F384" s="42" t="str">
        <f>IF(GUAYAQUIL[[#This Row],[CODIGO]]="","",$K$6)</f>
        <v>GUAYAQUIL</v>
      </c>
      <c r="G384" s="42">
        <f>IF(GUAYAQUIL[[#This Row],[CODIGO]]="","",7711)</f>
        <v>7711</v>
      </c>
      <c r="H384" s="42">
        <f>IF(GUAYAQUIL[[#This Row],[CODIGO]]="","",1001)</f>
        <v>1001</v>
      </c>
      <c r="I384" s="258" t="s">
        <v>846</v>
      </c>
      <c r="J384" s="25" t="str">
        <f>IFERROR((VLOOKUP(GUAYAQUIL[[#This Row],[CODIGO]],MAESTRO!A:B,2,FALSE)),"")</f>
        <v>AREQUIPE Y PRETZEL STICKS 75 GRAMOS</v>
      </c>
      <c r="K384" s="35">
        <v>108</v>
      </c>
      <c r="L384" s="38">
        <f>+IFERROR(IF(GUAYAQUIL[[#This Row],[CODIGO]]="","",VLOOKUP(GUAYAQUIL[[#This Row],[CODIGO]],MAESTRO!$A:$BF,58,FALSE)),"")</f>
        <v>1</v>
      </c>
      <c r="M384" s="27">
        <f>+IFERROR(IF(GUAYAQUIL[[#This Row],[CODIGO]]="","",VLOOKUP(GUAYAQUIL[[#This Row],[CODIGO]],MAESTRO!A:N,14,FALSE)),"")</f>
        <v>7.4999999999999997E-2</v>
      </c>
      <c r="N384" s="28">
        <f>+IFERROR(IF(GUAYAQUIL[[#This Row],[CODIGO]]="","",VLOOKUP(GUAYAQUIL[[#This Row],[CODIGO]],MAESTRO!A:P,16,FALSE)),"")</f>
        <v>180</v>
      </c>
      <c r="O384" s="29">
        <v>45612</v>
      </c>
      <c r="P384" s="72" t="str">
        <f t="shared" si="25"/>
        <v>sábado</v>
      </c>
      <c r="Q384" s="29">
        <f>IFERROR(IF(GUAYAQUIL[[#This Row],[CODIGO]]="","",IF(GUAYAQUIL[[#This Row],[Fecha Cad]]="","",(GUAYAQUIL[[#This Row],[Fecha Cad]]-GUAYAQUIL[[#This Row],[VIDA UTIL (Días)]]))+1),"")</f>
        <v>45588</v>
      </c>
      <c r="R384" s="29">
        <v>45767</v>
      </c>
      <c r="S384" s="30">
        <f t="shared" ca="1" si="26"/>
        <v>143</v>
      </c>
      <c r="T384" s="31">
        <f t="shared" ca="1" si="27"/>
        <v>0.7944444444444444</v>
      </c>
      <c r="U384" s="286">
        <v>108</v>
      </c>
      <c r="V384" s="266">
        <f>+IFERROR(IF(GUAYAQUIL[[#This Row],[CODIGO]]="","",GUAYAQUIL[[#This Row],[Stock Actual Unds]]*GUAYAQUIL[[#This Row],[Gramaje]]*GUAYAQUIL[[#This Row],[Conversión]]),"")</f>
        <v>8.1</v>
      </c>
      <c r="W384" s="270">
        <f t="shared" si="28"/>
        <v>24</v>
      </c>
      <c r="X384" s="32">
        <f t="shared" si="29"/>
        <v>0.8666666666666667</v>
      </c>
      <c r="Y384" s="236">
        <f>IFERROR(VLOOKUP(GUAYAQUIL[[#This Row],[CODIGO]],MAESTRO!A:BI,21,FALSE),0)</f>
        <v>0.61960000000000004</v>
      </c>
      <c r="Z384" s="237">
        <f>+IFERROR(IF(GUAYAQUIL[[#This Row],[CODIGO]]="","",GUAYAQUIL[[#This Row],[COSTO UNIT base]]*GUAYAQUIL[[#This Row],[Conversión]]),"")</f>
        <v>0.61960000000000004</v>
      </c>
      <c r="AA384" s="236">
        <f>+IFERROR(IF(GUAYAQUIL[[#This Row],[CODIGO]]="","",GUAYAQUIL[[#This Row],[COSTO UNIT Conv]]*GUAYAQUIL[[#This Row],[Stock Actual Kgs]]),"")</f>
        <v>5.0187600000000003</v>
      </c>
      <c r="AB384" s="33">
        <f ca="1">+IFERROR(IF(GUAYAQUIL[[#This Row],[CODIGO]]="","",$J$3-O384),"")</f>
        <v>12</v>
      </c>
      <c r="AC384" s="34" t="str">
        <f ca="1">IF(GUAYAQUIL[[#This Row],[CODIGO]]="","",IF(S384&lt;=0,"CADUCADO",IF(AND(S384&gt;0,S384&lt;=21),"FECHA CORTA",IF(AND(S384&gt;=22,S384&lt;=26),"PROXIMOS FECHA CORTA", "VIGENTE"))))</f>
        <v>VIGENTE</v>
      </c>
      <c r="AD384" s="37">
        <f>+IF(GUAYAQUIL[[#This Row],[CODIGO]]="","",GUAYAQUIL[[#This Row],[Stock Actual Unds]]*GUAYAQUIL[[#This Row],[Gramaje]]*GUAYAQUIL[[#This Row],[Conversión]])/1000</f>
        <v>8.0999999999999996E-3</v>
      </c>
    </row>
    <row r="385" spans="1:30">
      <c r="A385" s="24" t="str">
        <f>+IFERROR(IF(GUAYAQUIL[[#This Row],[CODIGO]]="","",VLOOKUP(GUAYAQUIL[[#This Row],[CODIGO]],MAESTRO!$A:$J,10,FALSE)),"")</f>
        <v>MAQUILA_SG</v>
      </c>
      <c r="B385" s="24" t="str">
        <f>+IFERROR(IF(GUAYAQUIL[[#This Row],[CODIGO]]="","",VLOOKUP(GUAYAQUIL[[#This Row],[CODIGO]],MAESTRO!$A:$Q,17,FALSE)),"")</f>
        <v>POSTRES</v>
      </c>
      <c r="C385" s="24" t="str">
        <f>+IFERROR(IF(GUAYAQUIL[[#This Row],[CODIGO]]="","",VLOOKUP(GUAYAQUIL[[#This Row],[CODIGO]],MAESTRO!$A:$BA,53,FALSE)),"")</f>
        <v xml:space="preserve">Luis Armendariz                         </v>
      </c>
      <c r="D385" s="24" t="str">
        <f>+IFERROR(IF(GUAYAQUIL[[#This Row],[CODIGO]]="","",VLOOKUP(GUAYAQUIL[[#This Row],[CODIGO]],MAESTRO!$A:$D,4,FALSE)),"")</f>
        <v>AREQUIPE ALPINA</v>
      </c>
      <c r="E385" s="24" t="str">
        <f>+IFERROR(IF(GUAYAQUIL[[#This Row],[CODIGO]]="","",VLOOKUP(GUAYAQUIL[[#This Row],[CODIGO]],MAESTRO!$A:$F,6,FALSE)),"")</f>
        <v>AREQUIPE ALPINA</v>
      </c>
      <c r="F385" s="42" t="str">
        <f>IF(GUAYAQUIL[[#This Row],[CODIGO]]="","",$K$6)</f>
        <v>GUAYAQUIL</v>
      </c>
      <c r="G385" s="209">
        <f>IF(GUAYAQUIL[[#This Row],[CODIGO]]="","",7711)</f>
        <v>7711</v>
      </c>
      <c r="H385" s="209">
        <f>IF(GUAYAQUIL[[#This Row],[CODIGO]]="","",1001)</f>
        <v>1001</v>
      </c>
      <c r="I385" s="258" t="s">
        <v>846</v>
      </c>
      <c r="J385" s="25" t="str">
        <f>IFERROR((VLOOKUP(GUAYAQUIL[[#This Row],[CODIGO]],MAESTRO!A:B,2,FALSE)),"")</f>
        <v>AREQUIPE Y PRETZEL STICKS 75 GRAMOS</v>
      </c>
      <c r="K385" s="35">
        <v>132</v>
      </c>
      <c r="L385" s="38">
        <f>+IFERROR(IF(GUAYAQUIL[[#This Row],[CODIGO]]="","",VLOOKUP(GUAYAQUIL[[#This Row],[CODIGO]],MAESTRO!$A:$BF,58,FALSE)),"")</f>
        <v>1</v>
      </c>
      <c r="M385" s="27">
        <f>+IFERROR(IF(GUAYAQUIL[[#This Row],[CODIGO]]="","",VLOOKUP(GUAYAQUIL[[#This Row],[CODIGO]],MAESTRO!A:N,14,FALSE)),"")</f>
        <v>7.4999999999999997E-2</v>
      </c>
      <c r="N385" s="28">
        <f>+IFERROR(IF(GUAYAQUIL[[#This Row],[CODIGO]]="","",VLOOKUP(GUAYAQUIL[[#This Row],[CODIGO]],MAESTRO!A:P,16,FALSE)),"")</f>
        <v>180</v>
      </c>
      <c r="O385" s="29">
        <v>45611</v>
      </c>
      <c r="P385" s="72" t="str">
        <f t="shared" si="25"/>
        <v>viernes</v>
      </c>
      <c r="Q385" s="29">
        <f>IFERROR(IF(GUAYAQUIL[[#This Row],[CODIGO]]="","",IF(GUAYAQUIL[[#This Row],[Fecha Cad]]="","",(GUAYAQUIL[[#This Row],[Fecha Cad]]-GUAYAQUIL[[#This Row],[VIDA UTIL (Días)]]))+1),"")</f>
        <v>45588</v>
      </c>
      <c r="R385" s="29">
        <v>45767</v>
      </c>
      <c r="S385" s="30">
        <f t="shared" ca="1" si="26"/>
        <v>143</v>
      </c>
      <c r="T385" s="31">
        <f t="shared" ca="1" si="27"/>
        <v>0.7944444444444444</v>
      </c>
      <c r="U385" s="286">
        <v>132</v>
      </c>
      <c r="V385" s="266">
        <f>+IFERROR(IF(GUAYAQUIL[[#This Row],[CODIGO]]="","",GUAYAQUIL[[#This Row],[Stock Actual Unds]]*GUAYAQUIL[[#This Row],[Gramaje]]*GUAYAQUIL[[#This Row],[Conversión]]),"")</f>
        <v>9.9</v>
      </c>
      <c r="W385" s="270">
        <f t="shared" si="28"/>
        <v>23</v>
      </c>
      <c r="X385" s="32">
        <f t="shared" si="29"/>
        <v>0.87222222222222223</v>
      </c>
      <c r="Y385" s="236">
        <f>IFERROR(VLOOKUP(GUAYAQUIL[[#This Row],[CODIGO]],MAESTRO!A:BI,21,FALSE),0)</f>
        <v>0.61960000000000004</v>
      </c>
      <c r="Z385" s="237">
        <f>+IFERROR(IF(GUAYAQUIL[[#This Row],[CODIGO]]="","",GUAYAQUIL[[#This Row],[COSTO UNIT base]]*GUAYAQUIL[[#This Row],[Conversión]]),"")</f>
        <v>0.61960000000000004</v>
      </c>
      <c r="AA385" s="236">
        <f>+IFERROR(IF(GUAYAQUIL[[#This Row],[CODIGO]]="","",GUAYAQUIL[[#This Row],[COSTO UNIT Conv]]*GUAYAQUIL[[#This Row],[Stock Actual Kgs]]),"")</f>
        <v>6.1340400000000006</v>
      </c>
      <c r="AB385" s="33">
        <f ca="1">+IFERROR(IF(GUAYAQUIL[[#This Row],[CODIGO]]="","",$J$3-O385),"")</f>
        <v>13</v>
      </c>
      <c r="AC385" s="34" t="str">
        <f ca="1">IF(GUAYAQUIL[[#This Row],[CODIGO]]="","",IF(S385&lt;=0,"CADUCADO",IF(AND(S385&gt;0,S385&lt;=21),"FECHA CORTA",IF(AND(S385&gt;=22,S385&lt;=26),"PROXIMOS FECHA CORTA", "VIGENTE"))))</f>
        <v>VIGENTE</v>
      </c>
      <c r="AD385" s="37">
        <f>+IF(GUAYAQUIL[[#This Row],[CODIGO]]="","",GUAYAQUIL[[#This Row],[Stock Actual Unds]]*GUAYAQUIL[[#This Row],[Gramaje]]*GUAYAQUIL[[#This Row],[Conversión]])/1000</f>
        <v>9.9000000000000008E-3</v>
      </c>
    </row>
    <row r="386" spans="1:30" ht="14.9" customHeight="1">
      <c r="A386" s="24" t="str">
        <f>+IFERROR(IF(GUAYAQUIL[[#This Row],[CODIGO]]="","",VLOOKUP(GUAYAQUIL[[#This Row],[CODIGO]],MAESTRO!$A:$J,10,FALSE)),"")</f>
        <v>MAQUILA_SG</v>
      </c>
      <c r="B386" s="24" t="str">
        <f>+IFERROR(IF(GUAYAQUIL[[#This Row],[CODIGO]]="","",VLOOKUP(GUAYAQUIL[[#This Row],[CODIGO]],MAESTRO!$A:$Q,17,FALSE)),"")</f>
        <v>POSTRES</v>
      </c>
      <c r="C386" s="24" t="str">
        <f>+IFERROR(IF(GUAYAQUIL[[#This Row],[CODIGO]]="","",VLOOKUP(GUAYAQUIL[[#This Row],[CODIGO]],MAESTRO!$A:$BA,53,FALSE)),"")</f>
        <v xml:space="preserve">Luis Armendariz                         </v>
      </c>
      <c r="D386" s="24" t="str">
        <f>+IFERROR(IF(GUAYAQUIL[[#This Row],[CODIGO]]="","",VLOOKUP(GUAYAQUIL[[#This Row],[CODIGO]],MAESTRO!$A:$D,4,FALSE)),"")</f>
        <v>AREQUIPE ALPINA</v>
      </c>
      <c r="E386" s="24" t="str">
        <f>+IFERROR(IF(GUAYAQUIL[[#This Row],[CODIGO]]="","",VLOOKUP(GUAYAQUIL[[#This Row],[CODIGO]],MAESTRO!$A:$F,6,FALSE)),"")</f>
        <v>AREQUIPE ALPINA</v>
      </c>
      <c r="F386" s="42" t="str">
        <f>IF(GUAYAQUIL[[#This Row],[CODIGO]]="","",$K$6)</f>
        <v>GUAYAQUIL</v>
      </c>
      <c r="G386" s="42">
        <f>IF(GUAYAQUIL[[#This Row],[CODIGO]]="","",7711)</f>
        <v>7711</v>
      </c>
      <c r="H386" s="42">
        <f>IF(GUAYAQUIL[[#This Row],[CODIGO]]="","",1001)</f>
        <v>1001</v>
      </c>
      <c r="I386" s="258" t="s">
        <v>846</v>
      </c>
      <c r="J386" s="25" t="str">
        <f>IFERROR((VLOOKUP(GUAYAQUIL[[#This Row],[CODIGO]],MAESTRO!A:B,2,FALSE)),"")</f>
        <v>AREQUIPE Y PRETZEL STICKS 75 GRAMOS</v>
      </c>
      <c r="K386" s="35">
        <v>132</v>
      </c>
      <c r="L386" s="38">
        <f>+IFERROR(IF(GUAYAQUIL[[#This Row],[CODIGO]]="","",VLOOKUP(GUAYAQUIL[[#This Row],[CODIGO]],MAESTRO!$A:$BF,58,FALSE)),"")</f>
        <v>1</v>
      </c>
      <c r="M386" s="27">
        <f>+IFERROR(IF(GUAYAQUIL[[#This Row],[CODIGO]]="","",VLOOKUP(GUAYAQUIL[[#This Row],[CODIGO]],MAESTRO!A:N,14,FALSE)),"")</f>
        <v>7.4999999999999997E-2</v>
      </c>
      <c r="N386" s="28">
        <f>+IFERROR(IF(GUAYAQUIL[[#This Row],[CODIGO]]="","",VLOOKUP(GUAYAQUIL[[#This Row],[CODIGO]],MAESTRO!A:P,16,FALSE)),"")</f>
        <v>180</v>
      </c>
      <c r="O386" s="29">
        <v>45615</v>
      </c>
      <c r="P386" s="72" t="str">
        <f t="shared" si="25"/>
        <v>martes</v>
      </c>
      <c r="Q386" s="29">
        <f>IFERROR(IF(GUAYAQUIL[[#This Row],[CODIGO]]="","",IF(GUAYAQUIL[[#This Row],[Fecha Cad]]="","",(GUAYAQUIL[[#This Row],[Fecha Cad]]-GUAYAQUIL[[#This Row],[VIDA UTIL (Días)]]))+1),"")</f>
        <v>45588</v>
      </c>
      <c r="R386" s="29">
        <v>45767</v>
      </c>
      <c r="S386" s="30">
        <f t="shared" ca="1" si="26"/>
        <v>143</v>
      </c>
      <c r="T386" s="31">
        <f t="shared" ca="1" si="27"/>
        <v>0.7944444444444444</v>
      </c>
      <c r="U386" s="286">
        <v>132</v>
      </c>
      <c r="V386" s="266">
        <f>+IFERROR(IF(GUAYAQUIL[[#This Row],[CODIGO]]="","",GUAYAQUIL[[#This Row],[Stock Actual Unds]]*GUAYAQUIL[[#This Row],[Gramaje]]*GUAYAQUIL[[#This Row],[Conversión]]),"")</f>
        <v>9.9</v>
      </c>
      <c r="W386" s="270">
        <f t="shared" si="28"/>
        <v>27</v>
      </c>
      <c r="X386" s="32">
        <f t="shared" si="29"/>
        <v>0.85</v>
      </c>
      <c r="Y386" s="236">
        <f>IFERROR(VLOOKUP(GUAYAQUIL[[#This Row],[CODIGO]],MAESTRO!A:BI,21,FALSE),0)</f>
        <v>0.61960000000000004</v>
      </c>
      <c r="Z386" s="237">
        <f>+IFERROR(IF(GUAYAQUIL[[#This Row],[CODIGO]]="","",GUAYAQUIL[[#This Row],[COSTO UNIT base]]*GUAYAQUIL[[#This Row],[Conversión]]),"")</f>
        <v>0.61960000000000004</v>
      </c>
      <c r="AA386" s="236">
        <f>+IFERROR(IF(GUAYAQUIL[[#This Row],[CODIGO]]="","",GUAYAQUIL[[#This Row],[COSTO UNIT Conv]]*GUAYAQUIL[[#This Row],[Stock Actual Kgs]]),"")</f>
        <v>6.1340400000000006</v>
      </c>
      <c r="AB386" s="33">
        <f ca="1">+IFERROR(IF(GUAYAQUIL[[#This Row],[CODIGO]]="","",$J$3-O386),"")</f>
        <v>9</v>
      </c>
      <c r="AC386" s="34" t="str">
        <f ca="1">IF(GUAYAQUIL[[#This Row],[CODIGO]]="","",IF(S386&lt;=0,"CADUCADO",IF(AND(S386&gt;0,S386&lt;=21),"FECHA CORTA",IF(AND(S386&gt;=22,S386&lt;=26),"PROXIMOS FECHA CORTA", "VIGENTE"))))</f>
        <v>VIGENTE</v>
      </c>
      <c r="AD386" s="37">
        <f>+IF(GUAYAQUIL[[#This Row],[CODIGO]]="","",GUAYAQUIL[[#This Row],[Stock Actual Unds]]*GUAYAQUIL[[#This Row],[Gramaje]]*GUAYAQUIL[[#This Row],[Conversión]])/1000</f>
        <v>9.9000000000000008E-3</v>
      </c>
    </row>
    <row r="387" spans="1:30" ht="14.9" customHeight="1">
      <c r="A387" s="24" t="str">
        <f>+IFERROR(IF(GUAYAQUIL[[#This Row],[CODIGO]]="","",VLOOKUP(GUAYAQUIL[[#This Row],[CODIGO]],MAESTRO!$A:$J,10,FALSE)),"")</f>
        <v>MAQUILA_SG</v>
      </c>
      <c r="B387" s="24" t="str">
        <f>+IFERROR(IF(GUAYAQUIL[[#This Row],[CODIGO]]="","",VLOOKUP(GUAYAQUIL[[#This Row],[CODIGO]],MAESTRO!$A:$Q,17,FALSE)),"")</f>
        <v>POSTRES</v>
      </c>
      <c r="C387" s="24" t="str">
        <f>+IFERROR(IF(GUAYAQUIL[[#This Row],[CODIGO]]="","",VLOOKUP(GUAYAQUIL[[#This Row],[CODIGO]],MAESTRO!$A:$BA,53,FALSE)),"")</f>
        <v xml:space="preserve">Luis Armendariz                         </v>
      </c>
      <c r="D387" s="24" t="str">
        <f>+IFERROR(IF(GUAYAQUIL[[#This Row],[CODIGO]]="","",VLOOKUP(GUAYAQUIL[[#This Row],[CODIGO]],MAESTRO!$A:$D,4,FALSE)),"")</f>
        <v>AREQUIPE ALPINA</v>
      </c>
      <c r="E387" s="24" t="str">
        <f>+IFERROR(IF(GUAYAQUIL[[#This Row],[CODIGO]]="","",VLOOKUP(GUAYAQUIL[[#This Row],[CODIGO]],MAESTRO!$A:$F,6,FALSE)),"")</f>
        <v>AREQUIPE ALPINA</v>
      </c>
      <c r="F387" s="42" t="str">
        <f>IF(GUAYAQUIL[[#This Row],[CODIGO]]="","",$K$6)</f>
        <v>GUAYAQUIL</v>
      </c>
      <c r="G387" s="42">
        <f>IF(GUAYAQUIL[[#This Row],[CODIGO]]="","",7711)</f>
        <v>7711</v>
      </c>
      <c r="H387" s="42">
        <f>IF(GUAYAQUIL[[#This Row],[CODIGO]]="","",1001)</f>
        <v>1001</v>
      </c>
      <c r="I387" s="258" t="s">
        <v>846</v>
      </c>
      <c r="J387" s="25" t="str">
        <f>IFERROR((VLOOKUP(GUAYAQUIL[[#This Row],[CODIGO]],MAESTRO!A:B,2,FALSE)),"")</f>
        <v>AREQUIPE Y PRETZEL STICKS 75 GRAMOS</v>
      </c>
      <c r="K387" s="35">
        <v>264</v>
      </c>
      <c r="L387" s="38">
        <f>+IFERROR(IF(GUAYAQUIL[[#This Row],[CODIGO]]="","",VLOOKUP(GUAYAQUIL[[#This Row],[CODIGO]],MAESTRO!$A:$BF,58,FALSE)),"")</f>
        <v>1</v>
      </c>
      <c r="M387" s="27">
        <f>+IFERROR(IF(GUAYAQUIL[[#This Row],[CODIGO]]="","",VLOOKUP(GUAYAQUIL[[#This Row],[CODIGO]],MAESTRO!A:N,14,FALSE)),"")</f>
        <v>7.4999999999999997E-2</v>
      </c>
      <c r="N387" s="28">
        <f>+IFERROR(IF(GUAYAQUIL[[#This Row],[CODIGO]]="","",VLOOKUP(GUAYAQUIL[[#This Row],[CODIGO]],MAESTRO!A:P,16,FALSE)),"")</f>
        <v>180</v>
      </c>
      <c r="O387" s="29">
        <v>45617</v>
      </c>
      <c r="P387" s="72" t="str">
        <f t="shared" si="25"/>
        <v>jueves</v>
      </c>
      <c r="Q387" s="29">
        <f>IFERROR(IF(GUAYAQUIL[[#This Row],[CODIGO]]="","",IF(GUAYAQUIL[[#This Row],[Fecha Cad]]="","",(GUAYAQUIL[[#This Row],[Fecha Cad]]-GUAYAQUIL[[#This Row],[VIDA UTIL (Días)]]))+1),"")</f>
        <v>45597</v>
      </c>
      <c r="R387" s="29">
        <v>45776</v>
      </c>
      <c r="S387" s="30">
        <f t="shared" ca="1" si="26"/>
        <v>152</v>
      </c>
      <c r="T387" s="31">
        <f t="shared" ca="1" si="27"/>
        <v>0.84444444444444444</v>
      </c>
      <c r="U387" s="286">
        <v>132</v>
      </c>
      <c r="V387" s="266">
        <f>+IFERROR(IF(GUAYAQUIL[[#This Row],[CODIGO]]="","",GUAYAQUIL[[#This Row],[Stock Actual Unds]]*GUAYAQUIL[[#This Row],[Gramaje]]*GUAYAQUIL[[#This Row],[Conversión]]),"")</f>
        <v>9.9</v>
      </c>
      <c r="W387" s="270">
        <f t="shared" si="28"/>
        <v>20</v>
      </c>
      <c r="X387" s="32">
        <f t="shared" si="29"/>
        <v>0.88888888888888884</v>
      </c>
      <c r="Y387" s="236">
        <f>IFERROR(VLOOKUP(GUAYAQUIL[[#This Row],[CODIGO]],MAESTRO!A:BI,21,FALSE),0)</f>
        <v>0.61960000000000004</v>
      </c>
      <c r="Z387" s="237">
        <f>+IFERROR(IF(GUAYAQUIL[[#This Row],[CODIGO]]="","",GUAYAQUIL[[#This Row],[COSTO UNIT base]]*GUAYAQUIL[[#This Row],[Conversión]]),"")</f>
        <v>0.61960000000000004</v>
      </c>
      <c r="AA387" s="236">
        <f>+IFERROR(IF(GUAYAQUIL[[#This Row],[CODIGO]]="","",GUAYAQUIL[[#This Row],[COSTO UNIT Conv]]*GUAYAQUIL[[#This Row],[Stock Actual Kgs]]),"")</f>
        <v>6.1340400000000006</v>
      </c>
      <c r="AB387" s="33">
        <f ca="1">+IFERROR(IF(GUAYAQUIL[[#This Row],[CODIGO]]="","",$J$3-O387),"")</f>
        <v>7</v>
      </c>
      <c r="AC387" s="34" t="str">
        <f ca="1">IF(GUAYAQUIL[[#This Row],[CODIGO]]="","",IF(S387&lt;=0,"CADUCADO",IF(AND(S387&gt;0,S387&lt;=21),"FECHA CORTA",IF(AND(S387&gt;=22,S387&lt;=26),"PROXIMOS FECHA CORTA", "VIGENTE"))))</f>
        <v>VIGENTE</v>
      </c>
      <c r="AD387" s="37">
        <f>+IF(GUAYAQUIL[[#This Row],[CODIGO]]="","",GUAYAQUIL[[#This Row],[Stock Actual Unds]]*GUAYAQUIL[[#This Row],[Gramaje]]*GUAYAQUIL[[#This Row],[Conversión]])/1000</f>
        <v>9.9000000000000008E-3</v>
      </c>
    </row>
    <row r="388" spans="1:30" ht="14.9" customHeight="1">
      <c r="A388" s="24" t="str">
        <f>+IFERROR(IF(GUAYAQUIL[[#This Row],[CODIGO]]="","",VLOOKUP(GUAYAQUIL[[#This Row],[CODIGO]],MAESTRO!$A:$J,10,FALSE)),"")</f>
        <v>MACHACHI</v>
      </c>
      <c r="B388" s="24" t="str">
        <f>+IFERROR(IF(GUAYAQUIL[[#This Row],[CODIGO]]="","",VLOOKUP(GUAYAQUIL[[#This Row],[CODIGO]],MAESTRO!$A:$Q,17,FALSE)),"")</f>
        <v>BEBIDAS LACTEAS</v>
      </c>
      <c r="C388" s="24" t="str">
        <f>+IFERROR(IF(GUAYAQUIL[[#This Row],[CODIGO]]="","",VLOOKUP(GUAYAQUIL[[#This Row],[CODIGO]],MAESTRO!$A:$BA,53,FALSE)),"")</f>
        <v xml:space="preserve">Luis Armendariz                         </v>
      </c>
      <c r="D388" s="24" t="str">
        <f>+IFERROR(IF(GUAYAQUIL[[#This Row],[CODIGO]]="","",VLOOKUP(GUAYAQUIL[[#This Row],[CODIGO]],MAESTRO!$A:$D,4,FALSE)),"")</f>
        <v>YOGURT KIOSKO</v>
      </c>
      <c r="E388" s="24" t="str">
        <f>+IFERROR(IF(GUAYAQUIL[[#This Row],[CODIGO]]="","",VLOOKUP(GUAYAQUIL[[#This Row],[CODIGO]],MAESTRO!$A:$F,6,FALSE)),"")</f>
        <v>BEBIDA DE YOGURT KIOSKO BOTELLA PERSONAL</v>
      </c>
      <c r="F388" s="42" t="str">
        <f>IF(GUAYAQUIL[[#This Row],[CODIGO]]="","",$K$6)</f>
        <v>GUAYAQUIL</v>
      </c>
      <c r="G388" s="42">
        <f>IF(GUAYAQUIL[[#This Row],[CODIGO]]="","",7711)</f>
        <v>7711</v>
      </c>
      <c r="H388" s="42">
        <f>IF(GUAYAQUIL[[#This Row],[CODIGO]]="","",1001)</f>
        <v>1001</v>
      </c>
      <c r="I388" s="258" t="s">
        <v>1543</v>
      </c>
      <c r="J388" s="25" t="str">
        <f>IFERROR((VLOOKUP(GUAYAQUIL[[#This Row],[CODIGO]],MAESTRO!A:B,2,FALSE)),"")</f>
        <v>YOG BBLE KIOSKO MORA 180</v>
      </c>
      <c r="K388" s="35">
        <v>0</v>
      </c>
      <c r="L388" s="38">
        <f>+IFERROR(IF(GUAYAQUIL[[#This Row],[CODIGO]]="","",VLOOKUP(GUAYAQUIL[[#This Row],[CODIGO]],MAESTRO!$A:$BF,58,FALSE)),"")</f>
        <v>1</v>
      </c>
      <c r="M388" s="27">
        <f>+IFERROR(IF(GUAYAQUIL[[#This Row],[CODIGO]]="","",VLOOKUP(GUAYAQUIL[[#This Row],[CODIGO]],MAESTRO!A:N,14,FALSE)),"")</f>
        <v>0.18</v>
      </c>
      <c r="N388" s="28">
        <f>+IFERROR(IF(GUAYAQUIL[[#This Row],[CODIGO]]="","",VLOOKUP(GUAYAQUIL[[#This Row],[CODIGO]],MAESTRO!A:P,16,FALSE)),"")</f>
        <v>45</v>
      </c>
      <c r="O388" s="29">
        <v>45596</v>
      </c>
      <c r="P388" s="72" t="str">
        <f t="shared" si="25"/>
        <v>jueves</v>
      </c>
      <c r="Q388" s="29">
        <f>IFERROR(IF(GUAYAQUIL[[#This Row],[CODIGO]]="","",IF(GUAYAQUIL[[#This Row],[Fecha Cad]]="","",(GUAYAQUIL[[#This Row],[Fecha Cad]]-GUAYAQUIL[[#This Row],[VIDA UTIL (Días)]]))+1),"")</f>
        <v>45596</v>
      </c>
      <c r="R388" s="29">
        <v>45640</v>
      </c>
      <c r="S388" s="30">
        <f t="shared" ca="1" si="26"/>
        <v>16</v>
      </c>
      <c r="T388" s="31">
        <f t="shared" ca="1" si="27"/>
        <v>0.35555555555555557</v>
      </c>
      <c r="U388" s="286">
        <v>53</v>
      </c>
      <c r="V388" s="266">
        <f>+IFERROR(IF(GUAYAQUIL[[#This Row],[CODIGO]]="","",GUAYAQUIL[[#This Row],[Stock Actual Unds]]*GUAYAQUIL[[#This Row],[Gramaje]]*GUAYAQUIL[[#This Row],[Conversión]]),"")</f>
        <v>9.5399999999999991</v>
      </c>
      <c r="W388" s="270">
        <f t="shared" si="28"/>
        <v>0</v>
      </c>
      <c r="X388" s="32">
        <f t="shared" si="29"/>
        <v>1</v>
      </c>
      <c r="Y388" s="236">
        <f>IFERROR(VLOOKUP(GUAYAQUIL[[#This Row],[CODIGO]],MAESTRO!A:BI,21,FALSE),0)</f>
        <v>0.243175</v>
      </c>
      <c r="Z388" s="237">
        <f>+IFERROR(IF(GUAYAQUIL[[#This Row],[CODIGO]]="","",GUAYAQUIL[[#This Row],[COSTO UNIT base]]*GUAYAQUIL[[#This Row],[Conversión]]),"")</f>
        <v>0.243175</v>
      </c>
      <c r="AA388" s="236">
        <f>+IFERROR(IF(GUAYAQUIL[[#This Row],[CODIGO]]="","",GUAYAQUIL[[#This Row],[COSTO UNIT Conv]]*GUAYAQUIL[[#This Row],[Stock Actual Kgs]]),"")</f>
        <v>2.3198894999999999</v>
      </c>
      <c r="AB388" s="33">
        <f ca="1">+IFERROR(IF(GUAYAQUIL[[#This Row],[CODIGO]]="","",$J$3-O388),"")</f>
        <v>28</v>
      </c>
      <c r="AC388" s="34" t="str">
        <f ca="1">IF(GUAYAQUIL[[#This Row],[CODIGO]]="","",IF(S388&lt;=0,"CADUCADO",IF(AND(S388&gt;0,S388&lt;=21),"FECHA CORTA",IF(AND(S388&gt;=22,S388&lt;=26),"PROXIMOS FECHA CORTA", "VIGENTE"))))</f>
        <v>FECHA CORTA</v>
      </c>
      <c r="AD388" s="37">
        <f>+IF(GUAYAQUIL[[#This Row],[CODIGO]]="","",GUAYAQUIL[[#This Row],[Stock Actual Unds]]*GUAYAQUIL[[#This Row],[Gramaje]]*GUAYAQUIL[[#This Row],[Conversión]])/1000</f>
        <v>9.5399999999999999E-3</v>
      </c>
    </row>
    <row r="389" spans="1:30" ht="14.9" customHeight="1">
      <c r="A389" s="24" t="str">
        <f>+IFERROR(IF(GUAYAQUIL[[#This Row],[CODIGO]]="","",VLOOKUP(GUAYAQUIL[[#This Row],[CODIGO]],MAESTRO!$A:$J,10,FALSE)),"")</f>
        <v>MACHACHI</v>
      </c>
      <c r="B389" s="24" t="str">
        <f>+IFERROR(IF(GUAYAQUIL[[#This Row],[CODIGO]]="","",VLOOKUP(GUAYAQUIL[[#This Row],[CODIGO]],MAESTRO!$A:$Q,17,FALSE)),"")</f>
        <v>BEBIDAS LACTEAS</v>
      </c>
      <c r="C389" s="24" t="str">
        <f>+IFERROR(IF(GUAYAQUIL[[#This Row],[CODIGO]]="","",VLOOKUP(GUAYAQUIL[[#This Row],[CODIGO]],MAESTRO!$A:$BA,53,FALSE)),"")</f>
        <v xml:space="preserve">Luis Armendariz                         </v>
      </c>
      <c r="D389" s="24" t="str">
        <f>+IFERROR(IF(GUAYAQUIL[[#This Row],[CODIGO]]="","",VLOOKUP(GUAYAQUIL[[#This Row],[CODIGO]],MAESTRO!$A:$D,4,FALSE)),"")</f>
        <v>YOGURT KIOSKO</v>
      </c>
      <c r="E389" s="24" t="str">
        <f>+IFERROR(IF(GUAYAQUIL[[#This Row],[CODIGO]]="","",VLOOKUP(GUAYAQUIL[[#This Row],[CODIGO]],MAESTRO!$A:$F,6,FALSE)),"")</f>
        <v>BEBIDA DE YOGURT KIOSKO BOTELLA PERSONAL</v>
      </c>
      <c r="F389" s="42" t="str">
        <f>IF(GUAYAQUIL[[#This Row],[CODIGO]]="","",$K$6)</f>
        <v>GUAYAQUIL</v>
      </c>
      <c r="G389" s="209">
        <f>IF(GUAYAQUIL[[#This Row],[CODIGO]]="","",7711)</f>
        <v>7711</v>
      </c>
      <c r="H389" s="209">
        <f>IF(GUAYAQUIL[[#This Row],[CODIGO]]="","",1001)</f>
        <v>1001</v>
      </c>
      <c r="I389" s="257" t="s">
        <v>1543</v>
      </c>
      <c r="J389" s="25" t="str">
        <f>IFERROR((VLOOKUP(GUAYAQUIL[[#This Row],[CODIGO]],MAESTRO!A:B,2,FALSE)),"")</f>
        <v>YOG BBLE KIOSKO MORA 180</v>
      </c>
      <c r="K389" s="26">
        <v>216</v>
      </c>
      <c r="L389" s="38">
        <f>+IFERROR(IF(GUAYAQUIL[[#This Row],[CODIGO]]="","",VLOOKUP(GUAYAQUIL[[#This Row],[CODIGO]],MAESTRO!$A:$BF,58,FALSE)),"")</f>
        <v>1</v>
      </c>
      <c r="M389" s="27">
        <f>+IFERROR(IF(GUAYAQUIL[[#This Row],[CODIGO]]="","",VLOOKUP(GUAYAQUIL[[#This Row],[CODIGO]],MAESTRO!A:N,14,FALSE)),"")</f>
        <v>0.18</v>
      </c>
      <c r="N389" s="28">
        <f>+IFERROR(IF(GUAYAQUIL[[#This Row],[CODIGO]]="","",VLOOKUP(GUAYAQUIL[[#This Row],[CODIGO]],MAESTRO!A:P,16,FALSE)),"")</f>
        <v>45</v>
      </c>
      <c r="O389" s="29">
        <v>45597</v>
      </c>
      <c r="P389" s="72" t="str">
        <f t="shared" si="25"/>
        <v>viernes</v>
      </c>
      <c r="Q389" s="29">
        <f>IFERROR(IF(GUAYAQUIL[[#This Row],[CODIGO]]="","",IF(GUAYAQUIL[[#This Row],[Fecha Cad]]="","",(GUAYAQUIL[[#This Row],[Fecha Cad]]-GUAYAQUIL[[#This Row],[VIDA UTIL (Días)]]))+1),"")</f>
        <v>45588</v>
      </c>
      <c r="R389" s="29">
        <v>45632</v>
      </c>
      <c r="S389" s="30">
        <f t="shared" ca="1" si="26"/>
        <v>8</v>
      </c>
      <c r="T389" s="31">
        <f t="shared" ca="1" si="27"/>
        <v>0.17777777777777778</v>
      </c>
      <c r="U389" s="286">
        <v>137</v>
      </c>
      <c r="V389" s="267">
        <f>+IFERROR(IF(GUAYAQUIL[[#This Row],[CODIGO]]="","",GUAYAQUIL[[#This Row],[Stock Actual Unds]]*GUAYAQUIL[[#This Row],[Gramaje]]*GUAYAQUIL[[#This Row],[Conversión]]),"")</f>
        <v>24.66</v>
      </c>
      <c r="W389" s="270">
        <f t="shared" si="28"/>
        <v>9</v>
      </c>
      <c r="X389" s="32">
        <f t="shared" si="29"/>
        <v>0.8</v>
      </c>
      <c r="Y389" s="236">
        <f>IFERROR(VLOOKUP(GUAYAQUIL[[#This Row],[CODIGO]],MAESTRO!A:BI,21,FALSE),0)</f>
        <v>0.243175</v>
      </c>
      <c r="Z389" s="237">
        <f>+IFERROR(IF(GUAYAQUIL[[#This Row],[CODIGO]]="","",GUAYAQUIL[[#This Row],[COSTO UNIT base]]*GUAYAQUIL[[#This Row],[Conversión]]),"")</f>
        <v>0.243175</v>
      </c>
      <c r="AA389" s="236">
        <f>+IFERROR(IF(GUAYAQUIL[[#This Row],[CODIGO]]="","",GUAYAQUIL[[#This Row],[COSTO UNIT Conv]]*GUAYAQUIL[[#This Row],[Stock Actual Kgs]]),"")</f>
        <v>5.9966955000000004</v>
      </c>
      <c r="AB389" s="33">
        <f ca="1">+IFERROR(IF(GUAYAQUIL[[#This Row],[CODIGO]]="","",$J$3-O389),"")</f>
        <v>27</v>
      </c>
      <c r="AC389" s="34" t="str">
        <f ca="1">IF(GUAYAQUIL[[#This Row],[CODIGO]]="","",IF(S389&lt;=0,"CADUCADO",IF(AND(S389&gt;0,S389&lt;=21),"FECHA CORTA",IF(AND(S389&gt;=22,S389&lt;=26),"PROXIMOS FECHA CORTA", "VIGENTE"))))</f>
        <v>FECHA CORTA</v>
      </c>
      <c r="AD389" s="37">
        <f>+IF(GUAYAQUIL[[#This Row],[CODIGO]]="","",GUAYAQUIL[[#This Row],[Stock Actual Unds]]*GUAYAQUIL[[#This Row],[Gramaje]]*GUAYAQUIL[[#This Row],[Conversión]])/1000</f>
        <v>2.4660000000000001E-2</v>
      </c>
    </row>
    <row r="390" spans="1:30">
      <c r="A390" s="24" t="str">
        <f>+IFERROR(IF(GUAYAQUIL[[#This Row],[CODIGO]]="","",VLOOKUP(GUAYAQUIL[[#This Row],[CODIGO]],MAESTRO!$A:$J,10,FALSE)),"")</f>
        <v>MACHACHI</v>
      </c>
      <c r="B390" s="24" t="str">
        <f>+IFERROR(IF(GUAYAQUIL[[#This Row],[CODIGO]]="","",VLOOKUP(GUAYAQUIL[[#This Row],[CODIGO]],MAESTRO!$A:$Q,17,FALSE)),"")</f>
        <v>BEBIDAS LACTEAS</v>
      </c>
      <c r="C390" s="24" t="str">
        <f>+IFERROR(IF(GUAYAQUIL[[#This Row],[CODIGO]]="","",VLOOKUP(GUAYAQUIL[[#This Row],[CODIGO]],MAESTRO!$A:$BA,53,FALSE)),"")</f>
        <v xml:space="preserve">Luis Armendariz                         </v>
      </c>
      <c r="D390" s="24" t="str">
        <f>+IFERROR(IF(GUAYAQUIL[[#This Row],[CODIGO]]="","",VLOOKUP(GUAYAQUIL[[#This Row],[CODIGO]],MAESTRO!$A:$D,4,FALSE)),"")</f>
        <v>YOGURT KIOSKO</v>
      </c>
      <c r="E390" s="24" t="str">
        <f>+IFERROR(IF(GUAYAQUIL[[#This Row],[CODIGO]]="","",VLOOKUP(GUAYAQUIL[[#This Row],[CODIGO]],MAESTRO!$A:$F,6,FALSE)),"")</f>
        <v>BEBIDA DE YOGURT KIOSKO BOTELLA PERSONAL</v>
      </c>
      <c r="F390" s="42" t="str">
        <f>IF(GUAYAQUIL[[#This Row],[CODIGO]]="","",$K$6)</f>
        <v>GUAYAQUIL</v>
      </c>
      <c r="G390" s="42">
        <f>IF(GUAYAQUIL[[#This Row],[CODIGO]]="","",7711)</f>
        <v>7711</v>
      </c>
      <c r="H390" s="42">
        <f>IF(GUAYAQUIL[[#This Row],[CODIGO]]="","",1001)</f>
        <v>1001</v>
      </c>
      <c r="I390" s="257" t="s">
        <v>1543</v>
      </c>
      <c r="J390" s="25" t="str">
        <f>IFERROR((VLOOKUP(GUAYAQUIL[[#This Row],[CODIGO]],MAESTRO!A:B,2,FALSE)),"")</f>
        <v>YOG BBLE KIOSKO MORA 180</v>
      </c>
      <c r="K390" s="26">
        <v>108</v>
      </c>
      <c r="L390" s="38">
        <f>+IFERROR(IF(GUAYAQUIL[[#This Row],[CODIGO]]="","",VLOOKUP(GUAYAQUIL[[#This Row],[CODIGO]],MAESTRO!$A:$BF,58,FALSE)),"")</f>
        <v>1</v>
      </c>
      <c r="M390" s="27">
        <f>+IFERROR(IF(GUAYAQUIL[[#This Row],[CODIGO]]="","",VLOOKUP(GUAYAQUIL[[#This Row],[CODIGO]],MAESTRO!A:N,14,FALSE)),"")</f>
        <v>0.18</v>
      </c>
      <c r="N390" s="28">
        <f>+IFERROR(IF(GUAYAQUIL[[#This Row],[CODIGO]]="","",VLOOKUP(GUAYAQUIL[[#This Row],[CODIGO]],MAESTRO!A:P,16,FALSE)),"")</f>
        <v>45</v>
      </c>
      <c r="O390" s="29">
        <v>45617</v>
      </c>
      <c r="P390" s="72" t="str">
        <f t="shared" si="25"/>
        <v>jueves</v>
      </c>
      <c r="Q390" s="29">
        <f>IFERROR(IF(GUAYAQUIL[[#This Row],[CODIGO]]="","",IF(GUAYAQUIL[[#This Row],[Fecha Cad]]="","",(GUAYAQUIL[[#This Row],[Fecha Cad]]-GUAYAQUIL[[#This Row],[VIDA UTIL (Días)]]))+1),"")</f>
        <v>45611</v>
      </c>
      <c r="R390" s="29">
        <v>45655</v>
      </c>
      <c r="S390" s="30">
        <f t="shared" ca="1" si="26"/>
        <v>31</v>
      </c>
      <c r="T390" s="31">
        <f t="shared" ca="1" si="27"/>
        <v>0.68888888888888888</v>
      </c>
      <c r="U390" s="286">
        <v>24</v>
      </c>
      <c r="V390" s="267">
        <f>+IFERROR(IF(GUAYAQUIL[[#This Row],[CODIGO]]="","",GUAYAQUIL[[#This Row],[Stock Actual Unds]]*GUAYAQUIL[[#This Row],[Gramaje]]*GUAYAQUIL[[#This Row],[Conversión]]),"")</f>
        <v>4.32</v>
      </c>
      <c r="W390" s="270">
        <f t="shared" si="28"/>
        <v>6</v>
      </c>
      <c r="X390" s="32">
        <f t="shared" si="29"/>
        <v>0.8666666666666667</v>
      </c>
      <c r="Y390" s="236">
        <f>IFERROR(VLOOKUP(GUAYAQUIL[[#This Row],[CODIGO]],MAESTRO!A:BI,21,FALSE),0)</f>
        <v>0.243175</v>
      </c>
      <c r="Z390" s="237">
        <f>+IFERROR(IF(GUAYAQUIL[[#This Row],[CODIGO]]="","",GUAYAQUIL[[#This Row],[COSTO UNIT base]]*GUAYAQUIL[[#This Row],[Conversión]]),"")</f>
        <v>0.243175</v>
      </c>
      <c r="AA390" s="236">
        <f>+IFERROR(IF(GUAYAQUIL[[#This Row],[CODIGO]]="","",GUAYAQUIL[[#This Row],[COSTO UNIT Conv]]*GUAYAQUIL[[#This Row],[Stock Actual Kgs]]),"")</f>
        <v>1.050516</v>
      </c>
      <c r="AB390" s="33">
        <f ca="1">+IFERROR(IF(GUAYAQUIL[[#This Row],[CODIGO]]="","",$J$3-O390),"")</f>
        <v>7</v>
      </c>
      <c r="AC390" s="34" t="str">
        <f ca="1">IF(GUAYAQUIL[[#This Row],[CODIGO]]="","",IF(S390&lt;=0,"CADUCADO",IF(AND(S390&gt;0,S390&lt;=21),"FECHA CORTA",IF(AND(S390&gt;=22,S390&lt;=26),"PROXIMOS FECHA CORTA", "VIGENTE"))))</f>
        <v>VIGENTE</v>
      </c>
      <c r="AD390" s="37">
        <f>+IF(GUAYAQUIL[[#This Row],[CODIGO]]="","",GUAYAQUIL[[#This Row],[Stock Actual Unds]]*GUAYAQUIL[[#This Row],[Gramaje]]*GUAYAQUIL[[#This Row],[Conversión]])/1000</f>
        <v>4.3200000000000001E-3</v>
      </c>
    </row>
    <row r="391" spans="1:30">
      <c r="A391" s="24" t="str">
        <f>+IFERROR(IF(GUAYAQUIL[[#This Row],[CODIGO]]="","",VLOOKUP(GUAYAQUIL[[#This Row],[CODIGO]],MAESTRO!$A:$J,10,FALSE)),"")</f>
        <v>SAN GABRIEL</v>
      </c>
      <c r="B391" s="24" t="str">
        <f>+IFERROR(IF(GUAYAQUIL[[#This Row],[CODIGO]]="","",VLOOKUP(GUAYAQUIL[[#This Row],[CODIGO]],MAESTRO!$A:$Q,17,FALSE)),"")</f>
        <v>QUESOS Y GRASAS</v>
      </c>
      <c r="C391" s="24" t="str">
        <f>+IFERROR(IF(GUAYAQUIL[[#This Row],[CODIGO]]="","",VLOOKUP(GUAYAQUIL[[#This Row],[CODIGO]],MAESTRO!$A:$BA,53,FALSE)),"")</f>
        <v xml:space="preserve">Esteban Montenegro                      </v>
      </c>
      <c r="D391" s="24" t="str">
        <f>+IFERROR(IF(GUAYAQUIL[[#This Row],[CODIGO]]="","",VLOOKUP(GUAYAQUIL[[#This Row],[CODIGO]],MAESTRO!$A:$D,4,FALSE)),"")</f>
        <v>QUESO SEMIMADURO KIOSKO</v>
      </c>
      <c r="E391" s="24" t="str">
        <f>+IFERROR(IF(GUAYAQUIL[[#This Row],[CODIGO]]="","",VLOOKUP(GUAYAQUIL[[#This Row],[CODIGO]],MAESTRO!$A:$F,6,FALSE)),"")</f>
        <v>QUESO HOLANDES KIOSKO TAJADO</v>
      </c>
      <c r="F391" s="42" t="str">
        <f>IF(GUAYAQUIL[[#This Row],[CODIGO]]="","",$K$6)</f>
        <v>GUAYAQUIL</v>
      </c>
      <c r="G391" s="209">
        <f>IF(GUAYAQUIL[[#This Row],[CODIGO]]="","",7711)</f>
        <v>7711</v>
      </c>
      <c r="H391" s="209">
        <f>IF(GUAYAQUIL[[#This Row],[CODIGO]]="","",1001)</f>
        <v>1001</v>
      </c>
      <c r="I391" s="258" t="s">
        <v>4384</v>
      </c>
      <c r="J391" s="25" t="str">
        <f>IFERROR((VLOOKUP(GUAYAQUIL[[#This Row],[CODIGO]],MAESTRO!A:B,2,FALSE)),"")</f>
        <v>Q HOLAN KIOSKO LONJ AL PESO</v>
      </c>
      <c r="K391" s="35">
        <v>30</v>
      </c>
      <c r="L391" s="38">
        <f>+IFERROR(IF(GUAYAQUIL[[#This Row],[CODIGO]]="","",VLOOKUP(GUAYAQUIL[[#This Row],[CODIGO]],MAESTRO!$A:$BF,58,FALSE)),"")</f>
        <v>2.5</v>
      </c>
      <c r="M391" s="27">
        <f>+IFERROR(IF(GUAYAQUIL[[#This Row],[CODIGO]]="","",VLOOKUP(GUAYAQUIL[[#This Row],[CODIGO]],MAESTRO!A:N,14,FALSE)),"")</f>
        <v>1</v>
      </c>
      <c r="N391" s="28">
        <f>+IFERROR(IF(GUAYAQUIL[[#This Row],[CODIGO]]="","",VLOOKUP(GUAYAQUIL[[#This Row],[CODIGO]],MAESTRO!A:P,16,FALSE)),"")</f>
        <v>90</v>
      </c>
      <c r="O391" s="29">
        <v>45615</v>
      </c>
      <c r="P391" s="72" t="str">
        <f t="shared" si="25"/>
        <v>martes</v>
      </c>
      <c r="Q391" s="29">
        <f>IFERROR(IF(GUAYAQUIL[[#This Row],[CODIGO]]="","",IF(GUAYAQUIL[[#This Row],[Fecha Cad]]="","",(GUAYAQUIL[[#This Row],[Fecha Cad]]-GUAYAQUIL[[#This Row],[VIDA UTIL (Días)]]))+1),"")</f>
        <v>45608</v>
      </c>
      <c r="R391" s="29">
        <v>45697</v>
      </c>
      <c r="S391" s="30">
        <f t="shared" ca="1" si="26"/>
        <v>73</v>
      </c>
      <c r="T391" s="31">
        <f t="shared" ca="1" si="27"/>
        <v>0.81111111111111112</v>
      </c>
      <c r="U391" s="286">
        <v>30</v>
      </c>
      <c r="V391" s="266">
        <f>+IFERROR(IF(GUAYAQUIL[[#This Row],[CODIGO]]="","",GUAYAQUIL[[#This Row],[Stock Actual Unds]]*GUAYAQUIL[[#This Row],[Gramaje]]*GUAYAQUIL[[#This Row],[Conversión]]),"")</f>
        <v>75</v>
      </c>
      <c r="W391" s="270">
        <f t="shared" si="28"/>
        <v>7</v>
      </c>
      <c r="X391" s="32">
        <f t="shared" si="29"/>
        <v>0.92222222222222228</v>
      </c>
      <c r="Y391" s="236">
        <f>IFERROR(VLOOKUP(GUAYAQUIL[[#This Row],[CODIGO]],MAESTRO!A:BI,21,FALSE),0)</f>
        <v>7.5711700000000004</v>
      </c>
      <c r="Z391" s="237">
        <f>+IFERROR(IF(GUAYAQUIL[[#This Row],[CODIGO]]="","",GUAYAQUIL[[#This Row],[COSTO UNIT base]]*GUAYAQUIL[[#This Row],[Conversión]]),"")</f>
        <v>18.927925000000002</v>
      </c>
      <c r="AA391" s="236">
        <f>+IFERROR(IF(GUAYAQUIL[[#This Row],[CODIGO]]="","",GUAYAQUIL[[#This Row],[COSTO UNIT Conv]]*GUAYAQUIL[[#This Row],[Stock Actual Kgs]]),"")</f>
        <v>1419.5943750000001</v>
      </c>
      <c r="AB391" s="33">
        <f ca="1">+IFERROR(IF(GUAYAQUIL[[#This Row],[CODIGO]]="","",$J$3-O391),"")</f>
        <v>9</v>
      </c>
      <c r="AC391" s="34" t="str">
        <f ca="1">IF(GUAYAQUIL[[#This Row],[CODIGO]]="","",IF(S391&lt;=0,"CADUCADO",IF(AND(S391&gt;0,S391&lt;=21),"FECHA CORTA",IF(AND(S391&gt;=22,S391&lt;=26),"PROXIMOS FECHA CORTA", "VIGENTE"))))</f>
        <v>VIGENTE</v>
      </c>
      <c r="AD391" s="37">
        <f>+IF(GUAYAQUIL[[#This Row],[CODIGO]]="","",GUAYAQUIL[[#This Row],[Stock Actual Unds]]*GUAYAQUIL[[#This Row],[Gramaje]]*GUAYAQUIL[[#This Row],[Conversión]])/1000</f>
        <v>7.4999999999999997E-2</v>
      </c>
    </row>
    <row r="392" spans="1:30">
      <c r="A392" s="24" t="str">
        <f>+IFERROR(IF(GUAYAQUIL[[#This Row],[CODIGO]]="","",VLOOKUP(GUAYAQUIL[[#This Row],[CODIGO]],MAESTRO!$A:$J,10,FALSE)),"")</f>
        <v>SAN GABRIEL</v>
      </c>
      <c r="B392" s="24" t="str">
        <f>+IFERROR(IF(GUAYAQUIL[[#This Row],[CODIGO]]="","",VLOOKUP(GUAYAQUIL[[#This Row],[CODIGO]],MAESTRO!$A:$Q,17,FALSE)),"")</f>
        <v>QUESOS Y GRASAS</v>
      </c>
      <c r="C392" s="24" t="str">
        <f>+IFERROR(IF(GUAYAQUIL[[#This Row],[CODIGO]]="","",VLOOKUP(GUAYAQUIL[[#This Row],[CODIGO]],MAESTRO!$A:$BA,53,FALSE)),"")</f>
        <v xml:space="preserve">Esteban Montenegro                      </v>
      </c>
      <c r="D392" s="24" t="str">
        <f>+IFERROR(IF(GUAYAQUIL[[#This Row],[CODIGO]]="","",VLOOKUP(GUAYAQUIL[[#This Row],[CODIGO]],MAESTRO!$A:$D,4,FALSE)),"")</f>
        <v>QUESO SEMIMADURO KIOSKO</v>
      </c>
      <c r="E392" s="24" t="str">
        <f>+IFERROR(IF(GUAYAQUIL[[#This Row],[CODIGO]]="","",VLOOKUP(GUAYAQUIL[[#This Row],[CODIGO]],MAESTRO!$A:$F,6,FALSE)),"")</f>
        <v>QUESO HOLANDES KIOSKO TAJADO</v>
      </c>
      <c r="F392" s="42" t="str">
        <f>IF(GUAYAQUIL[[#This Row],[CODIGO]]="","",$K$6)</f>
        <v>GUAYAQUIL</v>
      </c>
      <c r="G392" s="42">
        <f>IF(GUAYAQUIL[[#This Row],[CODIGO]]="","",7711)</f>
        <v>7711</v>
      </c>
      <c r="H392" s="42">
        <f>IF(GUAYAQUIL[[#This Row],[CODIGO]]="","",1001)</f>
        <v>1001</v>
      </c>
      <c r="I392" s="258" t="s">
        <v>4384</v>
      </c>
      <c r="J392" s="25" t="str">
        <f>IFERROR((VLOOKUP(GUAYAQUIL[[#This Row],[CODIGO]],MAESTRO!A:B,2,FALSE)),"")</f>
        <v>Q HOLAN KIOSKO LONJ AL PESO</v>
      </c>
      <c r="K392" s="35">
        <v>30</v>
      </c>
      <c r="L392" s="38">
        <f>+IFERROR(IF(GUAYAQUIL[[#This Row],[CODIGO]]="","",VLOOKUP(GUAYAQUIL[[#This Row],[CODIGO]],MAESTRO!$A:$BF,58,FALSE)),"")</f>
        <v>2.5</v>
      </c>
      <c r="M392" s="27">
        <f>+IFERROR(IF(GUAYAQUIL[[#This Row],[CODIGO]]="","",VLOOKUP(GUAYAQUIL[[#This Row],[CODIGO]],MAESTRO!A:N,14,FALSE)),"")</f>
        <v>1</v>
      </c>
      <c r="N392" s="28">
        <f>+IFERROR(IF(GUAYAQUIL[[#This Row],[CODIGO]]="","",VLOOKUP(GUAYAQUIL[[#This Row],[CODIGO]],MAESTRO!A:P,16,FALSE)),"")</f>
        <v>90</v>
      </c>
      <c r="O392" s="29">
        <v>45616</v>
      </c>
      <c r="P392" s="72" t="str">
        <f t="shared" ref="P392:P455" si="30">+IF(R392="","",TEXT(O392,"dddd"))</f>
        <v>miércoles</v>
      </c>
      <c r="Q392" s="29">
        <f>IFERROR(IF(GUAYAQUIL[[#This Row],[CODIGO]]="","",IF(GUAYAQUIL[[#This Row],[Fecha Cad]]="","",(GUAYAQUIL[[#This Row],[Fecha Cad]]-GUAYAQUIL[[#This Row],[VIDA UTIL (Días)]]))+1),"")</f>
        <v>45609</v>
      </c>
      <c r="R392" s="29">
        <v>45698</v>
      </c>
      <c r="S392" s="30">
        <f t="shared" ref="S392:S455" ca="1" si="31">+IFERROR(IF(R392="","",R392-$J$3),0)</f>
        <v>74</v>
      </c>
      <c r="T392" s="31">
        <f t="shared" ref="T392:T455" ca="1" si="32">IFERROR(IF(8="","",S392/N392),0)</f>
        <v>0.82222222222222219</v>
      </c>
      <c r="U392" s="286">
        <v>30</v>
      </c>
      <c r="V392" s="266">
        <f>+IFERROR(IF(GUAYAQUIL[[#This Row],[CODIGO]]="","",GUAYAQUIL[[#This Row],[Stock Actual Unds]]*GUAYAQUIL[[#This Row],[Gramaje]]*GUAYAQUIL[[#This Row],[Conversión]]),"")</f>
        <v>75</v>
      </c>
      <c r="W392" s="270">
        <f t="shared" ref="W392:W455" si="33">IFERROR(O392-Q392,0)</f>
        <v>7</v>
      </c>
      <c r="X392" s="32">
        <f t="shared" ref="X392:X455" si="34">IF(I392="","",1-(W392/N392))</f>
        <v>0.92222222222222228</v>
      </c>
      <c r="Y392" s="236">
        <f>IFERROR(VLOOKUP(GUAYAQUIL[[#This Row],[CODIGO]],MAESTRO!A:BI,21,FALSE),0)</f>
        <v>7.5711700000000004</v>
      </c>
      <c r="Z392" s="237">
        <f>+IFERROR(IF(GUAYAQUIL[[#This Row],[CODIGO]]="","",GUAYAQUIL[[#This Row],[COSTO UNIT base]]*GUAYAQUIL[[#This Row],[Conversión]]),"")</f>
        <v>18.927925000000002</v>
      </c>
      <c r="AA392" s="236">
        <f>+IFERROR(IF(GUAYAQUIL[[#This Row],[CODIGO]]="","",GUAYAQUIL[[#This Row],[COSTO UNIT Conv]]*GUAYAQUIL[[#This Row],[Stock Actual Kgs]]),"")</f>
        <v>1419.5943750000001</v>
      </c>
      <c r="AB392" s="33">
        <f ca="1">+IFERROR(IF(GUAYAQUIL[[#This Row],[CODIGO]]="","",$J$3-O392),"")</f>
        <v>8</v>
      </c>
      <c r="AC392" s="34" t="str">
        <f ca="1">IF(GUAYAQUIL[[#This Row],[CODIGO]]="","",IF(S392&lt;=0,"CADUCADO",IF(AND(S392&gt;0,S392&lt;=21),"FECHA CORTA",IF(AND(S392&gt;=22,S392&lt;=26),"PROXIMOS FECHA CORTA", "VIGENTE"))))</f>
        <v>VIGENTE</v>
      </c>
      <c r="AD392" s="37">
        <f>+IF(GUAYAQUIL[[#This Row],[CODIGO]]="","",GUAYAQUIL[[#This Row],[Stock Actual Unds]]*GUAYAQUIL[[#This Row],[Gramaje]]*GUAYAQUIL[[#This Row],[Conversión]])/1000</f>
        <v>7.4999999999999997E-2</v>
      </c>
    </row>
    <row r="393" spans="1:30">
      <c r="A393" s="24" t="str">
        <f>+IFERROR(IF(GUAYAQUIL[[#This Row],[CODIGO]]="","",VLOOKUP(GUAYAQUIL[[#This Row],[CODIGO]],MAESTRO!$A:$J,10,FALSE)),"")</f>
        <v>SAN GABRIEL</v>
      </c>
      <c r="B393" s="24" t="str">
        <f>+IFERROR(IF(GUAYAQUIL[[#This Row],[CODIGO]]="","",VLOOKUP(GUAYAQUIL[[#This Row],[CODIGO]],MAESTRO!$A:$Q,17,FALSE)),"")</f>
        <v>QUESOS Y GRASAS</v>
      </c>
      <c r="C393" s="24" t="str">
        <f>+IFERROR(IF(GUAYAQUIL[[#This Row],[CODIGO]]="","",VLOOKUP(GUAYAQUIL[[#This Row],[CODIGO]],MAESTRO!$A:$BA,53,FALSE)),"")</f>
        <v xml:space="preserve">Esteban Montenegro                      </v>
      </c>
      <c r="D393" s="24" t="str">
        <f>+IFERROR(IF(GUAYAQUIL[[#This Row],[CODIGO]]="","",VLOOKUP(GUAYAQUIL[[#This Row],[CODIGO]],MAESTRO!$A:$D,4,FALSE)),"")</f>
        <v>QUESO SEMIMADURO KIOSKO</v>
      </c>
      <c r="E393" s="24" t="str">
        <f>+IFERROR(IF(GUAYAQUIL[[#This Row],[CODIGO]]="","",VLOOKUP(GUAYAQUIL[[#This Row],[CODIGO]],MAESTRO!$A:$F,6,FALSE)),"")</f>
        <v>QUESO HOLANDES KIOSKO TAJADO</v>
      </c>
      <c r="F393" s="42" t="str">
        <f>IF(GUAYAQUIL[[#This Row],[CODIGO]]="","",$K$6)</f>
        <v>GUAYAQUIL</v>
      </c>
      <c r="G393" s="209">
        <f>IF(GUAYAQUIL[[#This Row],[CODIGO]]="","",7711)</f>
        <v>7711</v>
      </c>
      <c r="H393" s="209">
        <f>IF(GUAYAQUIL[[#This Row],[CODIGO]]="","",1001)</f>
        <v>1001</v>
      </c>
      <c r="I393" s="258" t="s">
        <v>4384</v>
      </c>
      <c r="J393" s="25" t="str">
        <f>IFERROR((VLOOKUP(GUAYAQUIL[[#This Row],[CODIGO]],MAESTRO!A:B,2,FALSE)),"")</f>
        <v>Q HOLAN KIOSKO LONJ AL PESO</v>
      </c>
      <c r="K393" s="35">
        <v>30</v>
      </c>
      <c r="L393" s="38">
        <f>+IFERROR(IF(GUAYAQUIL[[#This Row],[CODIGO]]="","",VLOOKUP(GUAYAQUIL[[#This Row],[CODIGO]],MAESTRO!$A:$BF,58,FALSE)),"")</f>
        <v>2.5</v>
      </c>
      <c r="M393" s="27">
        <f>+IFERROR(IF(GUAYAQUIL[[#This Row],[CODIGO]]="","",VLOOKUP(GUAYAQUIL[[#This Row],[CODIGO]],MAESTRO!A:N,14,FALSE)),"")</f>
        <v>1</v>
      </c>
      <c r="N393" s="28">
        <f>+IFERROR(IF(GUAYAQUIL[[#This Row],[CODIGO]]="","",VLOOKUP(GUAYAQUIL[[#This Row],[CODIGO]],MAESTRO!A:P,16,FALSE)),"")</f>
        <v>90</v>
      </c>
      <c r="O393" s="29">
        <v>45617</v>
      </c>
      <c r="P393" s="72" t="str">
        <f t="shared" si="30"/>
        <v>jueves</v>
      </c>
      <c r="Q393" s="29">
        <f>IFERROR(IF(GUAYAQUIL[[#This Row],[CODIGO]]="","",IF(GUAYAQUIL[[#This Row],[Fecha Cad]]="","",(GUAYAQUIL[[#This Row],[Fecha Cad]]-GUAYAQUIL[[#This Row],[VIDA UTIL (Días)]]))+1),"")</f>
        <v>45609</v>
      </c>
      <c r="R393" s="29">
        <v>45698</v>
      </c>
      <c r="S393" s="30">
        <f t="shared" ca="1" si="31"/>
        <v>74</v>
      </c>
      <c r="T393" s="31">
        <f t="shared" ca="1" si="32"/>
        <v>0.82222222222222219</v>
      </c>
      <c r="U393" s="286">
        <v>30</v>
      </c>
      <c r="V393" s="266">
        <f>+IFERROR(IF(GUAYAQUIL[[#This Row],[CODIGO]]="","",GUAYAQUIL[[#This Row],[Stock Actual Unds]]*GUAYAQUIL[[#This Row],[Gramaje]]*GUAYAQUIL[[#This Row],[Conversión]]),"")</f>
        <v>75</v>
      </c>
      <c r="W393" s="270">
        <f t="shared" si="33"/>
        <v>8</v>
      </c>
      <c r="X393" s="32">
        <f t="shared" si="34"/>
        <v>0.91111111111111109</v>
      </c>
      <c r="Y393" s="236">
        <f>IFERROR(VLOOKUP(GUAYAQUIL[[#This Row],[CODIGO]],MAESTRO!A:BI,21,FALSE),0)</f>
        <v>7.5711700000000004</v>
      </c>
      <c r="Z393" s="237">
        <f>+IFERROR(IF(GUAYAQUIL[[#This Row],[CODIGO]]="","",GUAYAQUIL[[#This Row],[COSTO UNIT base]]*GUAYAQUIL[[#This Row],[Conversión]]),"")</f>
        <v>18.927925000000002</v>
      </c>
      <c r="AA393" s="236">
        <f>+IFERROR(IF(GUAYAQUIL[[#This Row],[CODIGO]]="","",GUAYAQUIL[[#This Row],[COSTO UNIT Conv]]*GUAYAQUIL[[#This Row],[Stock Actual Kgs]]),"")</f>
        <v>1419.5943750000001</v>
      </c>
      <c r="AB393" s="33">
        <f ca="1">+IFERROR(IF(GUAYAQUIL[[#This Row],[CODIGO]]="","",$J$3-O393),"")</f>
        <v>7</v>
      </c>
      <c r="AC393" s="34" t="str">
        <f ca="1">IF(GUAYAQUIL[[#This Row],[CODIGO]]="","",IF(S393&lt;=0,"CADUCADO",IF(AND(S393&gt;0,S393&lt;=21),"FECHA CORTA",IF(AND(S393&gt;=22,S393&lt;=26),"PROXIMOS FECHA CORTA", "VIGENTE"))))</f>
        <v>VIGENTE</v>
      </c>
      <c r="AD393" s="37">
        <f>+IF(GUAYAQUIL[[#This Row],[CODIGO]]="","",GUAYAQUIL[[#This Row],[Stock Actual Unds]]*GUAYAQUIL[[#This Row],[Gramaje]]*GUAYAQUIL[[#This Row],[Conversión]])/1000</f>
        <v>7.4999999999999997E-2</v>
      </c>
    </row>
    <row r="394" spans="1:30">
      <c r="A394" s="24" t="str">
        <f>+IFERROR(IF(GUAYAQUIL[[#This Row],[CODIGO]]="","",VLOOKUP(GUAYAQUIL[[#This Row],[CODIGO]],MAESTRO!$A:$J,10,FALSE)),"")</f>
        <v>SAN GABRIEL</v>
      </c>
      <c r="B394" s="24" t="str">
        <f>+IFERROR(IF(GUAYAQUIL[[#This Row],[CODIGO]]="","",VLOOKUP(GUAYAQUIL[[#This Row],[CODIGO]],MAESTRO!$A:$Q,17,FALSE)),"")</f>
        <v>QUESOS Y GRASAS</v>
      </c>
      <c r="C394" s="24" t="str">
        <f>+IFERROR(IF(GUAYAQUIL[[#This Row],[CODIGO]]="","",VLOOKUP(GUAYAQUIL[[#This Row],[CODIGO]],MAESTRO!$A:$BA,53,FALSE)),"")</f>
        <v xml:space="preserve">Esteban Montenegro                      </v>
      </c>
      <c r="D394" s="24" t="str">
        <f>+IFERROR(IF(GUAYAQUIL[[#This Row],[CODIGO]]="","",VLOOKUP(GUAYAQUIL[[#This Row],[CODIGO]],MAESTRO!$A:$D,4,FALSE)),"")</f>
        <v>QUESO SEMIMADURO KIOSKO</v>
      </c>
      <c r="E394" s="24" t="str">
        <f>+IFERROR(IF(GUAYAQUIL[[#This Row],[CODIGO]]="","",VLOOKUP(GUAYAQUIL[[#This Row],[CODIGO]],MAESTRO!$A:$F,6,FALSE)),"")</f>
        <v>QUESO SANDUCHE KIOSKO TAJADO</v>
      </c>
      <c r="F394" s="42" t="str">
        <f>IF(GUAYAQUIL[[#This Row],[CODIGO]]="","",$K$6)</f>
        <v>GUAYAQUIL</v>
      </c>
      <c r="G394" s="42">
        <f>IF(GUAYAQUIL[[#This Row],[CODIGO]]="","",7711)</f>
        <v>7711</v>
      </c>
      <c r="H394" s="42">
        <f>IF(GUAYAQUIL[[#This Row],[CODIGO]]="","",1001)</f>
        <v>1001</v>
      </c>
      <c r="I394" s="258" t="s">
        <v>2376</v>
      </c>
      <c r="J394" s="25" t="str">
        <f>IFERROR((VLOOKUP(GUAYAQUIL[[#This Row],[CODIGO]],MAESTRO!A:B,2,FALSE)),"")</f>
        <v>Q SANDU KIOSKO LONJ AL PESO</v>
      </c>
      <c r="K394" s="35">
        <v>10</v>
      </c>
      <c r="L394" s="38">
        <f>+IFERROR(IF(GUAYAQUIL[[#This Row],[CODIGO]]="","",VLOOKUP(GUAYAQUIL[[#This Row],[CODIGO]],MAESTRO!$A:$BF,58,FALSE)),"")</f>
        <v>2.5</v>
      </c>
      <c r="M394" s="27">
        <f>+IFERROR(IF(GUAYAQUIL[[#This Row],[CODIGO]]="","",VLOOKUP(GUAYAQUIL[[#This Row],[CODIGO]],MAESTRO!A:N,14,FALSE)),"")</f>
        <v>1</v>
      </c>
      <c r="N394" s="28">
        <f>+IFERROR(IF(GUAYAQUIL[[#This Row],[CODIGO]]="","",VLOOKUP(GUAYAQUIL[[#This Row],[CODIGO]],MAESTRO!A:P,16,FALSE)),"")</f>
        <v>90</v>
      </c>
      <c r="O394" s="29">
        <v>45582</v>
      </c>
      <c r="P394" s="72" t="str">
        <f t="shared" si="30"/>
        <v>jueves</v>
      </c>
      <c r="Q394" s="29">
        <f>IFERROR(IF(GUAYAQUIL[[#This Row],[CODIGO]]="","",IF(GUAYAQUIL[[#This Row],[Fecha Cad]]="","",(GUAYAQUIL[[#This Row],[Fecha Cad]]-GUAYAQUIL[[#This Row],[VIDA UTIL (Días)]]))+1),"")</f>
        <v>45577</v>
      </c>
      <c r="R394" s="29">
        <v>45666</v>
      </c>
      <c r="S394" s="30">
        <f t="shared" ca="1" si="31"/>
        <v>42</v>
      </c>
      <c r="T394" s="31">
        <f t="shared" ca="1" si="32"/>
        <v>0.46666666666666667</v>
      </c>
      <c r="U394" s="286">
        <v>3</v>
      </c>
      <c r="V394" s="266">
        <f>+IFERROR(IF(GUAYAQUIL[[#This Row],[CODIGO]]="","",GUAYAQUIL[[#This Row],[Stock Actual Unds]]*GUAYAQUIL[[#This Row],[Gramaje]]*GUAYAQUIL[[#This Row],[Conversión]]),"")</f>
        <v>7.5</v>
      </c>
      <c r="W394" s="270">
        <f t="shared" si="33"/>
        <v>5</v>
      </c>
      <c r="X394" s="32">
        <f t="shared" si="34"/>
        <v>0.94444444444444442</v>
      </c>
      <c r="Y394" s="236">
        <f>IFERROR(VLOOKUP(GUAYAQUIL[[#This Row],[CODIGO]],MAESTRO!A:BI,21,FALSE),0)</f>
        <v>7.2458349999999996</v>
      </c>
      <c r="Z394" s="237">
        <f>+IFERROR(IF(GUAYAQUIL[[#This Row],[CODIGO]]="","",GUAYAQUIL[[#This Row],[COSTO UNIT base]]*GUAYAQUIL[[#This Row],[Conversión]]),"")</f>
        <v>18.114587499999999</v>
      </c>
      <c r="AA394" s="236">
        <f>+IFERROR(IF(GUAYAQUIL[[#This Row],[CODIGO]]="","",GUAYAQUIL[[#This Row],[COSTO UNIT Conv]]*GUAYAQUIL[[#This Row],[Stock Actual Kgs]]),"")</f>
        <v>135.85940625000001</v>
      </c>
      <c r="AB394" s="33">
        <f ca="1">+IFERROR(IF(GUAYAQUIL[[#This Row],[CODIGO]]="","",$J$3-O394),"")</f>
        <v>42</v>
      </c>
      <c r="AC394" s="34" t="str">
        <f ca="1">IF(GUAYAQUIL[[#This Row],[CODIGO]]="","",IF(S394&lt;=0,"CADUCADO",IF(AND(S394&gt;0,S394&lt;=21),"FECHA CORTA",IF(AND(S394&gt;=22,S394&lt;=26),"PROXIMOS FECHA CORTA", "VIGENTE"))))</f>
        <v>VIGENTE</v>
      </c>
      <c r="AD394" s="37">
        <f>+IF(GUAYAQUIL[[#This Row],[CODIGO]]="","",GUAYAQUIL[[#This Row],[Stock Actual Unds]]*GUAYAQUIL[[#This Row],[Gramaje]]*GUAYAQUIL[[#This Row],[Conversión]])/1000</f>
        <v>7.4999999999999997E-3</v>
      </c>
    </row>
    <row r="395" spans="1:30">
      <c r="A395" s="24" t="str">
        <f>+IFERROR(IF(GUAYAQUIL[[#This Row],[CODIGO]]="","",VLOOKUP(GUAYAQUIL[[#This Row],[CODIGO]],MAESTRO!$A:$J,10,FALSE)),"")</f>
        <v>SAN GABRIEL</v>
      </c>
      <c r="B395" s="24" t="str">
        <f>+IFERROR(IF(GUAYAQUIL[[#This Row],[CODIGO]]="","",VLOOKUP(GUAYAQUIL[[#This Row],[CODIGO]],MAESTRO!$A:$Q,17,FALSE)),"")</f>
        <v>QUESOS Y GRASAS</v>
      </c>
      <c r="C395" s="24" t="str">
        <f>+IFERROR(IF(GUAYAQUIL[[#This Row],[CODIGO]]="","",VLOOKUP(GUAYAQUIL[[#This Row],[CODIGO]],MAESTRO!$A:$BA,53,FALSE)),"")</f>
        <v xml:space="preserve">Esteban Montenegro                      </v>
      </c>
      <c r="D395" s="24" t="str">
        <f>+IFERROR(IF(GUAYAQUIL[[#This Row],[CODIGO]]="","",VLOOKUP(GUAYAQUIL[[#This Row],[CODIGO]],MAESTRO!$A:$D,4,FALSE)),"")</f>
        <v>QUESO SEMIMADURO KIOSKO</v>
      </c>
      <c r="E395" s="24" t="str">
        <f>+IFERROR(IF(GUAYAQUIL[[#This Row],[CODIGO]]="","",VLOOKUP(GUAYAQUIL[[#This Row],[CODIGO]],MAESTRO!$A:$F,6,FALSE)),"")</f>
        <v>QUESO SANDUCHE KIOSKO TAJADO</v>
      </c>
      <c r="F395" s="42" t="str">
        <f>IF(GUAYAQUIL[[#This Row],[CODIGO]]="","",$K$6)</f>
        <v>GUAYAQUIL</v>
      </c>
      <c r="G395" s="209">
        <f>IF(GUAYAQUIL[[#This Row],[CODIGO]]="","",7711)</f>
        <v>7711</v>
      </c>
      <c r="H395" s="209">
        <f>IF(GUAYAQUIL[[#This Row],[CODIGO]]="","",1001)</f>
        <v>1001</v>
      </c>
      <c r="I395" s="258" t="s">
        <v>2376</v>
      </c>
      <c r="J395" s="25" t="str">
        <f>IFERROR((VLOOKUP(GUAYAQUIL[[#This Row],[CODIGO]],MAESTRO!A:B,2,FALSE)),"")</f>
        <v>Q SANDU KIOSKO LONJ AL PESO</v>
      </c>
      <c r="K395" s="35">
        <v>10</v>
      </c>
      <c r="L395" s="38">
        <f>+IFERROR(IF(GUAYAQUIL[[#This Row],[CODIGO]]="","",VLOOKUP(GUAYAQUIL[[#This Row],[CODIGO]],MAESTRO!$A:$BF,58,FALSE)),"")</f>
        <v>2.5</v>
      </c>
      <c r="M395" s="27">
        <f>+IFERROR(IF(GUAYAQUIL[[#This Row],[CODIGO]]="","",VLOOKUP(GUAYAQUIL[[#This Row],[CODIGO]],MAESTRO!A:N,14,FALSE)),"")</f>
        <v>1</v>
      </c>
      <c r="N395" s="28">
        <f>+IFERROR(IF(GUAYAQUIL[[#This Row],[CODIGO]]="","",VLOOKUP(GUAYAQUIL[[#This Row],[CODIGO]],MAESTRO!A:P,16,FALSE)),"")</f>
        <v>90</v>
      </c>
      <c r="O395" s="29">
        <v>45587</v>
      </c>
      <c r="P395" s="72" t="str">
        <f t="shared" si="30"/>
        <v>martes</v>
      </c>
      <c r="Q395" s="29">
        <f>IFERROR(IF(GUAYAQUIL[[#This Row],[CODIGO]]="","",IF(GUAYAQUIL[[#This Row],[Fecha Cad]]="","",(GUAYAQUIL[[#This Row],[Fecha Cad]]-GUAYAQUIL[[#This Row],[VIDA UTIL (Días)]]))+1),"")</f>
        <v>45581</v>
      </c>
      <c r="R395" s="29">
        <v>45670</v>
      </c>
      <c r="S395" s="30">
        <f t="shared" ca="1" si="31"/>
        <v>46</v>
      </c>
      <c r="T395" s="31">
        <f t="shared" ca="1" si="32"/>
        <v>0.51111111111111107</v>
      </c>
      <c r="U395" s="286">
        <v>10</v>
      </c>
      <c r="V395" s="266">
        <f>+IFERROR(IF(GUAYAQUIL[[#This Row],[CODIGO]]="","",GUAYAQUIL[[#This Row],[Stock Actual Unds]]*GUAYAQUIL[[#This Row],[Gramaje]]*GUAYAQUIL[[#This Row],[Conversión]]),"")</f>
        <v>25</v>
      </c>
      <c r="W395" s="270">
        <f t="shared" si="33"/>
        <v>6</v>
      </c>
      <c r="X395" s="32">
        <f t="shared" si="34"/>
        <v>0.93333333333333335</v>
      </c>
      <c r="Y395" s="236">
        <f>IFERROR(VLOOKUP(GUAYAQUIL[[#This Row],[CODIGO]],MAESTRO!A:BI,21,FALSE),0)</f>
        <v>7.2458349999999996</v>
      </c>
      <c r="Z395" s="237">
        <f>+IFERROR(IF(GUAYAQUIL[[#This Row],[CODIGO]]="","",GUAYAQUIL[[#This Row],[COSTO UNIT base]]*GUAYAQUIL[[#This Row],[Conversión]]),"")</f>
        <v>18.114587499999999</v>
      </c>
      <c r="AA395" s="236">
        <f>+IFERROR(IF(GUAYAQUIL[[#This Row],[CODIGO]]="","",GUAYAQUIL[[#This Row],[COSTO UNIT Conv]]*GUAYAQUIL[[#This Row],[Stock Actual Kgs]]),"")</f>
        <v>452.86468749999995</v>
      </c>
      <c r="AB395" s="33">
        <f ca="1">+IFERROR(IF(GUAYAQUIL[[#This Row],[CODIGO]]="","",$J$3-O395),"")</f>
        <v>37</v>
      </c>
      <c r="AC395" s="34" t="str">
        <f ca="1">IF(GUAYAQUIL[[#This Row],[CODIGO]]="","",IF(S395&lt;=0,"CADUCADO",IF(AND(S395&gt;0,S395&lt;=21),"FECHA CORTA",IF(AND(S395&gt;=22,S395&lt;=26),"PROXIMOS FECHA CORTA", "VIGENTE"))))</f>
        <v>VIGENTE</v>
      </c>
      <c r="AD395" s="37">
        <f>+IF(GUAYAQUIL[[#This Row],[CODIGO]]="","",GUAYAQUIL[[#This Row],[Stock Actual Unds]]*GUAYAQUIL[[#This Row],[Gramaje]]*GUAYAQUIL[[#This Row],[Conversión]])/1000</f>
        <v>2.5000000000000001E-2</v>
      </c>
    </row>
    <row r="396" spans="1:30">
      <c r="A396" s="24" t="str">
        <f>+IFERROR(IF(GUAYAQUIL[[#This Row],[CODIGO]]="","",VLOOKUP(GUAYAQUIL[[#This Row],[CODIGO]],MAESTRO!$A:$J,10,FALSE)),"")</f>
        <v>SAN GABRIEL</v>
      </c>
      <c r="B396" s="24" t="str">
        <f>+IFERROR(IF(GUAYAQUIL[[#This Row],[CODIGO]]="","",VLOOKUP(GUAYAQUIL[[#This Row],[CODIGO]],MAESTRO!$A:$Q,17,FALSE)),"")</f>
        <v>QUESOS Y GRASAS</v>
      </c>
      <c r="C396" s="24" t="str">
        <f>+IFERROR(IF(GUAYAQUIL[[#This Row],[CODIGO]]="","",VLOOKUP(GUAYAQUIL[[#This Row],[CODIGO]],MAESTRO!$A:$BA,53,FALSE)),"")</f>
        <v xml:space="preserve">Esteban Montenegro                      </v>
      </c>
      <c r="D396" s="24" t="str">
        <f>+IFERROR(IF(GUAYAQUIL[[#This Row],[CODIGO]]="","",VLOOKUP(GUAYAQUIL[[#This Row],[CODIGO]],MAESTRO!$A:$D,4,FALSE)),"")</f>
        <v>QUESO SEMIMADURO KIOSKO</v>
      </c>
      <c r="E396" s="24" t="str">
        <f>+IFERROR(IF(GUAYAQUIL[[#This Row],[CODIGO]]="","",VLOOKUP(GUAYAQUIL[[#This Row],[CODIGO]],MAESTRO!$A:$F,6,FALSE)),"")</f>
        <v>QUESO SANDUCHE KIOSKO TAJADO</v>
      </c>
      <c r="F396" s="42" t="str">
        <f>IF(GUAYAQUIL[[#This Row],[CODIGO]]="","",$K$6)</f>
        <v>GUAYAQUIL</v>
      </c>
      <c r="G396" s="42">
        <f>IF(GUAYAQUIL[[#This Row],[CODIGO]]="","",7711)</f>
        <v>7711</v>
      </c>
      <c r="H396" s="42">
        <f>IF(GUAYAQUIL[[#This Row],[CODIGO]]="","",1001)</f>
        <v>1001</v>
      </c>
      <c r="I396" s="258" t="s">
        <v>2376</v>
      </c>
      <c r="J396" s="25" t="str">
        <f>IFERROR((VLOOKUP(GUAYAQUIL[[#This Row],[CODIGO]],MAESTRO!A:B,2,FALSE)),"")</f>
        <v>Q SANDU KIOSKO LONJ AL PESO</v>
      </c>
      <c r="K396" s="35">
        <v>10</v>
      </c>
      <c r="L396" s="38">
        <f>+IFERROR(IF(GUAYAQUIL[[#This Row],[CODIGO]]="","",VLOOKUP(GUAYAQUIL[[#This Row],[CODIGO]],MAESTRO!$A:$BF,58,FALSE)),"")</f>
        <v>2.5</v>
      </c>
      <c r="M396" s="27">
        <f>+IFERROR(IF(GUAYAQUIL[[#This Row],[CODIGO]]="","",VLOOKUP(GUAYAQUIL[[#This Row],[CODIGO]],MAESTRO!A:N,14,FALSE)),"")</f>
        <v>1</v>
      </c>
      <c r="N396" s="28">
        <f>+IFERROR(IF(GUAYAQUIL[[#This Row],[CODIGO]]="","",VLOOKUP(GUAYAQUIL[[#This Row],[CODIGO]],MAESTRO!A:P,16,FALSE)),"")</f>
        <v>90</v>
      </c>
      <c r="O396" s="29">
        <v>45587</v>
      </c>
      <c r="P396" s="72" t="str">
        <f t="shared" si="30"/>
        <v>martes</v>
      </c>
      <c r="Q396" s="29">
        <f>IFERROR(IF(GUAYAQUIL[[#This Row],[CODIGO]]="","",IF(GUAYAQUIL[[#This Row],[Fecha Cad]]="","",(GUAYAQUIL[[#This Row],[Fecha Cad]]-GUAYAQUIL[[#This Row],[VIDA UTIL (Días)]]))+1),"")</f>
        <v>45580</v>
      </c>
      <c r="R396" s="29">
        <v>45669</v>
      </c>
      <c r="S396" s="30">
        <f t="shared" ca="1" si="31"/>
        <v>45</v>
      </c>
      <c r="T396" s="31">
        <f t="shared" ca="1" si="32"/>
        <v>0.5</v>
      </c>
      <c r="U396" s="286">
        <v>9</v>
      </c>
      <c r="V396" s="266">
        <f>+IFERROR(IF(GUAYAQUIL[[#This Row],[CODIGO]]="","",GUAYAQUIL[[#This Row],[Stock Actual Unds]]*GUAYAQUIL[[#This Row],[Gramaje]]*GUAYAQUIL[[#This Row],[Conversión]]),"")</f>
        <v>22.5</v>
      </c>
      <c r="W396" s="270">
        <f t="shared" si="33"/>
        <v>7</v>
      </c>
      <c r="X396" s="32">
        <f t="shared" si="34"/>
        <v>0.92222222222222228</v>
      </c>
      <c r="Y396" s="236">
        <f>IFERROR(VLOOKUP(GUAYAQUIL[[#This Row],[CODIGO]],MAESTRO!A:BI,21,FALSE),0)</f>
        <v>7.2458349999999996</v>
      </c>
      <c r="Z396" s="237">
        <f>+IFERROR(IF(GUAYAQUIL[[#This Row],[CODIGO]]="","",GUAYAQUIL[[#This Row],[COSTO UNIT base]]*GUAYAQUIL[[#This Row],[Conversión]]),"")</f>
        <v>18.114587499999999</v>
      </c>
      <c r="AA396" s="236">
        <f>+IFERROR(IF(GUAYAQUIL[[#This Row],[CODIGO]]="","",GUAYAQUIL[[#This Row],[COSTO UNIT Conv]]*GUAYAQUIL[[#This Row],[Stock Actual Kgs]]),"")</f>
        <v>407.57821874999996</v>
      </c>
      <c r="AB396" s="33">
        <f ca="1">+IFERROR(IF(GUAYAQUIL[[#This Row],[CODIGO]]="","",$J$3-O396),"")</f>
        <v>37</v>
      </c>
      <c r="AC396" s="34" t="str">
        <f ca="1">IF(GUAYAQUIL[[#This Row],[CODIGO]]="","",IF(S396&lt;=0,"CADUCADO",IF(AND(S396&gt;0,S396&lt;=21),"FECHA CORTA",IF(AND(S396&gt;=22,S396&lt;=26),"PROXIMOS FECHA CORTA", "VIGENTE"))))</f>
        <v>VIGENTE</v>
      </c>
      <c r="AD396" s="37">
        <f>+IF(GUAYAQUIL[[#This Row],[CODIGO]]="","",GUAYAQUIL[[#This Row],[Stock Actual Unds]]*GUAYAQUIL[[#This Row],[Gramaje]]*GUAYAQUIL[[#This Row],[Conversión]])/1000</f>
        <v>2.2499999999999999E-2</v>
      </c>
    </row>
    <row r="397" spans="1:30">
      <c r="A397" s="24" t="str">
        <f>+IFERROR(IF(GUAYAQUIL[[#This Row],[CODIGO]]="","",VLOOKUP(GUAYAQUIL[[#This Row],[CODIGO]],MAESTRO!$A:$J,10,FALSE)),"")</f>
        <v>SAN GABRIEL</v>
      </c>
      <c r="B397" s="24" t="str">
        <f>+IFERROR(IF(GUAYAQUIL[[#This Row],[CODIGO]]="","",VLOOKUP(GUAYAQUIL[[#This Row],[CODIGO]],MAESTRO!$A:$Q,17,FALSE)),"")</f>
        <v>QUESOS Y GRASAS</v>
      </c>
      <c r="C397" s="24" t="str">
        <f>+IFERROR(IF(GUAYAQUIL[[#This Row],[CODIGO]]="","",VLOOKUP(GUAYAQUIL[[#This Row],[CODIGO]],MAESTRO!$A:$BA,53,FALSE)),"")</f>
        <v xml:space="preserve">Esteban Montenegro                      </v>
      </c>
      <c r="D397" s="24" t="str">
        <f>+IFERROR(IF(GUAYAQUIL[[#This Row],[CODIGO]]="","",VLOOKUP(GUAYAQUIL[[#This Row],[CODIGO]],MAESTRO!$A:$D,4,FALSE)),"")</f>
        <v>QUESO SEMIMADURO KIOSKO</v>
      </c>
      <c r="E397" s="24" t="str">
        <f>+IFERROR(IF(GUAYAQUIL[[#This Row],[CODIGO]]="","",VLOOKUP(GUAYAQUIL[[#This Row],[CODIGO]],MAESTRO!$A:$F,6,FALSE)),"")</f>
        <v>QUESO SANDUCHE KIOSKO TAJADO</v>
      </c>
      <c r="F397" s="42" t="str">
        <f>IF(GUAYAQUIL[[#This Row],[CODIGO]]="","",$K$6)</f>
        <v>GUAYAQUIL</v>
      </c>
      <c r="G397" s="209">
        <f>IF(GUAYAQUIL[[#This Row],[CODIGO]]="","",7711)</f>
        <v>7711</v>
      </c>
      <c r="H397" s="209">
        <f>IF(GUAYAQUIL[[#This Row],[CODIGO]]="","",1001)</f>
        <v>1001</v>
      </c>
      <c r="I397" s="258" t="s">
        <v>2376</v>
      </c>
      <c r="J397" s="25" t="str">
        <f>IFERROR((VLOOKUP(GUAYAQUIL[[#This Row],[CODIGO]],MAESTRO!A:B,2,FALSE)),"")</f>
        <v>Q SANDU KIOSKO LONJ AL PESO</v>
      </c>
      <c r="K397" s="35">
        <v>10</v>
      </c>
      <c r="L397" s="38">
        <f>+IFERROR(IF(GUAYAQUIL[[#This Row],[CODIGO]]="","",VLOOKUP(GUAYAQUIL[[#This Row],[CODIGO]],MAESTRO!$A:$BF,58,FALSE)),"")</f>
        <v>2.5</v>
      </c>
      <c r="M397" s="27">
        <f>+IFERROR(IF(GUAYAQUIL[[#This Row],[CODIGO]]="","",VLOOKUP(GUAYAQUIL[[#This Row],[CODIGO]],MAESTRO!A:N,14,FALSE)),"")</f>
        <v>1</v>
      </c>
      <c r="N397" s="28">
        <f>+IFERROR(IF(GUAYAQUIL[[#This Row],[CODIGO]]="","",VLOOKUP(GUAYAQUIL[[#This Row],[CODIGO]],MAESTRO!A:P,16,FALSE)),"")</f>
        <v>90</v>
      </c>
      <c r="O397" s="29">
        <v>45588</v>
      </c>
      <c r="P397" s="72" t="str">
        <f t="shared" si="30"/>
        <v>miércoles</v>
      </c>
      <c r="Q397" s="29">
        <f>IFERROR(IF(GUAYAQUIL[[#This Row],[CODIGO]]="","",IF(GUAYAQUIL[[#This Row],[Fecha Cad]]="","",(GUAYAQUIL[[#This Row],[Fecha Cad]]-GUAYAQUIL[[#This Row],[VIDA UTIL (Días)]]))+1),"")</f>
        <v>45581</v>
      </c>
      <c r="R397" s="29">
        <v>45670</v>
      </c>
      <c r="S397" s="30">
        <f t="shared" ca="1" si="31"/>
        <v>46</v>
      </c>
      <c r="T397" s="31">
        <f t="shared" ca="1" si="32"/>
        <v>0.51111111111111107</v>
      </c>
      <c r="U397" s="286">
        <v>10</v>
      </c>
      <c r="V397" s="266">
        <f>+IFERROR(IF(GUAYAQUIL[[#This Row],[CODIGO]]="","",GUAYAQUIL[[#This Row],[Stock Actual Unds]]*GUAYAQUIL[[#This Row],[Gramaje]]*GUAYAQUIL[[#This Row],[Conversión]]),"")</f>
        <v>25</v>
      </c>
      <c r="W397" s="270">
        <f t="shared" si="33"/>
        <v>7</v>
      </c>
      <c r="X397" s="32">
        <f t="shared" si="34"/>
        <v>0.92222222222222228</v>
      </c>
      <c r="Y397" s="236">
        <f>IFERROR(VLOOKUP(GUAYAQUIL[[#This Row],[CODIGO]],MAESTRO!A:BI,21,FALSE),0)</f>
        <v>7.2458349999999996</v>
      </c>
      <c r="Z397" s="237">
        <f>+IFERROR(IF(GUAYAQUIL[[#This Row],[CODIGO]]="","",GUAYAQUIL[[#This Row],[COSTO UNIT base]]*GUAYAQUIL[[#This Row],[Conversión]]),"")</f>
        <v>18.114587499999999</v>
      </c>
      <c r="AA397" s="236">
        <f>+IFERROR(IF(GUAYAQUIL[[#This Row],[CODIGO]]="","",GUAYAQUIL[[#This Row],[COSTO UNIT Conv]]*GUAYAQUIL[[#This Row],[Stock Actual Kgs]]),"")</f>
        <v>452.86468749999995</v>
      </c>
      <c r="AB397" s="33">
        <f ca="1">+IFERROR(IF(GUAYAQUIL[[#This Row],[CODIGO]]="","",$J$3-O397),"")</f>
        <v>36</v>
      </c>
      <c r="AC397" s="34" t="str">
        <f ca="1">IF(GUAYAQUIL[[#This Row],[CODIGO]]="","",IF(S397&lt;=0,"CADUCADO",IF(AND(S397&gt;0,S397&lt;=21),"FECHA CORTA",IF(AND(S397&gt;=22,S397&lt;=26),"PROXIMOS FECHA CORTA", "VIGENTE"))))</f>
        <v>VIGENTE</v>
      </c>
      <c r="AD397" s="37">
        <f>+IF(GUAYAQUIL[[#This Row],[CODIGO]]="","",GUAYAQUIL[[#This Row],[Stock Actual Unds]]*GUAYAQUIL[[#This Row],[Gramaje]]*GUAYAQUIL[[#This Row],[Conversión]])/1000</f>
        <v>2.5000000000000001E-2</v>
      </c>
    </row>
    <row r="398" spans="1:30">
      <c r="A398" s="24" t="str">
        <f>+IFERROR(IF(GUAYAQUIL[[#This Row],[CODIGO]]="","",VLOOKUP(GUAYAQUIL[[#This Row],[CODIGO]],MAESTRO!$A:$J,10,FALSE)),"")</f>
        <v>SAN GABRIEL</v>
      </c>
      <c r="B398" s="24" t="str">
        <f>+IFERROR(IF(GUAYAQUIL[[#This Row],[CODIGO]]="","",VLOOKUP(GUAYAQUIL[[#This Row],[CODIGO]],MAESTRO!$A:$Q,17,FALSE)),"")</f>
        <v>QUESOS Y GRASAS</v>
      </c>
      <c r="C398" s="24" t="str">
        <f>+IFERROR(IF(GUAYAQUIL[[#This Row],[CODIGO]]="","",VLOOKUP(GUAYAQUIL[[#This Row],[CODIGO]],MAESTRO!$A:$BA,53,FALSE)),"")</f>
        <v xml:space="preserve">Esteban Montenegro                      </v>
      </c>
      <c r="D398" s="24" t="str">
        <f>+IFERROR(IF(GUAYAQUIL[[#This Row],[CODIGO]]="","",VLOOKUP(GUAYAQUIL[[#This Row],[CODIGO]],MAESTRO!$A:$D,4,FALSE)),"")</f>
        <v>QUESO SEMIMADURO KIOSKO</v>
      </c>
      <c r="E398" s="24" t="str">
        <f>+IFERROR(IF(GUAYAQUIL[[#This Row],[CODIGO]]="","",VLOOKUP(GUAYAQUIL[[#This Row],[CODIGO]],MAESTRO!$A:$F,6,FALSE)),"")</f>
        <v>QUESO SANDUCHE KIOSKO TAJADO</v>
      </c>
      <c r="F398" s="42" t="str">
        <f>IF(GUAYAQUIL[[#This Row],[CODIGO]]="","",$K$6)</f>
        <v>GUAYAQUIL</v>
      </c>
      <c r="G398" s="42">
        <f>IF(GUAYAQUIL[[#This Row],[CODIGO]]="","",7711)</f>
        <v>7711</v>
      </c>
      <c r="H398" s="42">
        <f>IF(GUAYAQUIL[[#This Row],[CODIGO]]="","",1001)</f>
        <v>1001</v>
      </c>
      <c r="I398" s="258" t="s">
        <v>2376</v>
      </c>
      <c r="J398" s="25" t="str">
        <f>IFERROR((VLOOKUP(GUAYAQUIL[[#This Row],[CODIGO]],MAESTRO!A:B,2,FALSE)),"")</f>
        <v>Q SANDU KIOSKO LONJ AL PESO</v>
      </c>
      <c r="K398" s="35">
        <v>10</v>
      </c>
      <c r="L398" s="38">
        <f>+IFERROR(IF(GUAYAQUIL[[#This Row],[CODIGO]]="","",VLOOKUP(GUAYAQUIL[[#This Row],[CODIGO]],MAESTRO!$A:$BF,58,FALSE)),"")</f>
        <v>2.5</v>
      </c>
      <c r="M398" s="27">
        <f>+IFERROR(IF(GUAYAQUIL[[#This Row],[CODIGO]]="","",VLOOKUP(GUAYAQUIL[[#This Row],[CODIGO]],MAESTRO!A:N,14,FALSE)),"")</f>
        <v>1</v>
      </c>
      <c r="N398" s="28">
        <f>+IFERROR(IF(GUAYAQUIL[[#This Row],[CODIGO]]="","",VLOOKUP(GUAYAQUIL[[#This Row],[CODIGO]],MAESTRO!A:P,16,FALSE)),"")</f>
        <v>90</v>
      </c>
      <c r="O398" s="29">
        <v>45589</v>
      </c>
      <c r="P398" s="72" t="str">
        <f t="shared" si="30"/>
        <v>jueves</v>
      </c>
      <c r="Q398" s="29">
        <f>IFERROR(IF(GUAYAQUIL[[#This Row],[CODIGO]]="","",IF(GUAYAQUIL[[#This Row],[Fecha Cad]]="","",(GUAYAQUIL[[#This Row],[Fecha Cad]]-GUAYAQUIL[[#This Row],[VIDA UTIL (Días)]]))+1),"")</f>
        <v>45582</v>
      </c>
      <c r="R398" s="29">
        <v>45671</v>
      </c>
      <c r="S398" s="30">
        <f t="shared" ca="1" si="31"/>
        <v>47</v>
      </c>
      <c r="T398" s="31">
        <f t="shared" ca="1" si="32"/>
        <v>0.52222222222222225</v>
      </c>
      <c r="U398" s="286">
        <v>11</v>
      </c>
      <c r="V398" s="266">
        <f>+IFERROR(IF(GUAYAQUIL[[#This Row],[CODIGO]]="","",GUAYAQUIL[[#This Row],[Stock Actual Unds]]*GUAYAQUIL[[#This Row],[Gramaje]]*GUAYAQUIL[[#This Row],[Conversión]]),"")</f>
        <v>27.5</v>
      </c>
      <c r="W398" s="270">
        <f t="shared" si="33"/>
        <v>7</v>
      </c>
      <c r="X398" s="32">
        <f t="shared" si="34"/>
        <v>0.92222222222222228</v>
      </c>
      <c r="Y398" s="236">
        <f>IFERROR(VLOOKUP(GUAYAQUIL[[#This Row],[CODIGO]],MAESTRO!A:BI,21,FALSE),0)</f>
        <v>7.2458349999999996</v>
      </c>
      <c r="Z398" s="237">
        <f>+IFERROR(IF(GUAYAQUIL[[#This Row],[CODIGO]]="","",GUAYAQUIL[[#This Row],[COSTO UNIT base]]*GUAYAQUIL[[#This Row],[Conversión]]),"")</f>
        <v>18.114587499999999</v>
      </c>
      <c r="AA398" s="236">
        <f>+IFERROR(IF(GUAYAQUIL[[#This Row],[CODIGO]]="","",GUAYAQUIL[[#This Row],[COSTO UNIT Conv]]*GUAYAQUIL[[#This Row],[Stock Actual Kgs]]),"")</f>
        <v>498.15115624999999</v>
      </c>
      <c r="AB398" s="33">
        <f ca="1">+IFERROR(IF(GUAYAQUIL[[#This Row],[CODIGO]]="","",$J$3-O398),"")</f>
        <v>35</v>
      </c>
      <c r="AC398" s="34" t="str">
        <f ca="1">IF(GUAYAQUIL[[#This Row],[CODIGO]]="","",IF(S398&lt;=0,"CADUCADO",IF(AND(S398&gt;0,S398&lt;=21),"FECHA CORTA",IF(AND(S398&gt;=22,S398&lt;=26),"PROXIMOS FECHA CORTA", "VIGENTE"))))</f>
        <v>VIGENTE</v>
      </c>
      <c r="AD398" s="37">
        <f>+IF(GUAYAQUIL[[#This Row],[CODIGO]]="","",GUAYAQUIL[[#This Row],[Stock Actual Unds]]*GUAYAQUIL[[#This Row],[Gramaje]]*GUAYAQUIL[[#This Row],[Conversión]])/1000</f>
        <v>2.75E-2</v>
      </c>
    </row>
    <row r="399" spans="1:30">
      <c r="A399" s="24" t="str">
        <f>+IFERROR(IF(GUAYAQUIL[[#This Row],[CODIGO]]="","",VLOOKUP(GUAYAQUIL[[#This Row],[CODIGO]],MAESTRO!$A:$J,10,FALSE)),"")</f>
        <v>SAN GABRIEL</v>
      </c>
      <c r="B399" s="24" t="str">
        <f>+IFERROR(IF(GUAYAQUIL[[#This Row],[CODIGO]]="","",VLOOKUP(GUAYAQUIL[[#This Row],[CODIGO]],MAESTRO!$A:$Q,17,FALSE)),"")</f>
        <v>QUESOS Y GRASAS</v>
      </c>
      <c r="C399" s="24" t="str">
        <f>+IFERROR(IF(GUAYAQUIL[[#This Row],[CODIGO]]="","",VLOOKUP(GUAYAQUIL[[#This Row],[CODIGO]],MAESTRO!$A:$BA,53,FALSE)),"")</f>
        <v xml:space="preserve">Esteban Montenegro                      </v>
      </c>
      <c r="D399" s="24" t="str">
        <f>+IFERROR(IF(GUAYAQUIL[[#This Row],[CODIGO]]="","",VLOOKUP(GUAYAQUIL[[#This Row],[CODIGO]],MAESTRO!$A:$D,4,FALSE)),"")</f>
        <v>QUESO SEMIMADURO KIOSKO</v>
      </c>
      <c r="E399" s="24" t="str">
        <f>+IFERROR(IF(GUAYAQUIL[[#This Row],[CODIGO]]="","",VLOOKUP(GUAYAQUIL[[#This Row],[CODIGO]],MAESTRO!$A:$F,6,FALSE)),"")</f>
        <v>QUESO SEMIMADURO KIOSKO MIX CUBOS</v>
      </c>
      <c r="F399" s="42" t="str">
        <f>IF(GUAYAQUIL[[#This Row],[CODIGO]]="","",$K$6)</f>
        <v>GUAYAQUIL</v>
      </c>
      <c r="G399" s="209">
        <f>IF(GUAYAQUIL[[#This Row],[CODIGO]]="","",7711)</f>
        <v>7711</v>
      </c>
      <c r="H399" s="209">
        <f>IF(GUAYAQUIL[[#This Row],[CODIGO]]="","",1001)</f>
        <v>1001</v>
      </c>
      <c r="I399" s="258" t="s">
        <v>2841</v>
      </c>
      <c r="J399" s="25" t="str">
        <f>IFERROR((VLOOKUP(GUAYAQUIL[[#This Row],[CODIGO]],MAESTRO!A:B,2,FALSE)),"")</f>
        <v>SELECCION ESPECIAL KIOSKO 150G</v>
      </c>
      <c r="K399" s="35">
        <v>150</v>
      </c>
      <c r="L399" s="38">
        <f>+IFERROR(IF(GUAYAQUIL[[#This Row],[CODIGO]]="","",VLOOKUP(GUAYAQUIL[[#This Row],[CODIGO]],MAESTRO!$A:$BF,58,FALSE)),"")</f>
        <v>1</v>
      </c>
      <c r="M399" s="27">
        <f>+IFERROR(IF(GUAYAQUIL[[#This Row],[CODIGO]]="","",VLOOKUP(GUAYAQUIL[[#This Row],[CODIGO]],MAESTRO!A:N,14,FALSE)),"")</f>
        <v>0.15</v>
      </c>
      <c r="N399" s="28">
        <f>+IFERROR(IF(GUAYAQUIL[[#This Row],[CODIGO]]="","",VLOOKUP(GUAYAQUIL[[#This Row],[CODIGO]],MAESTRO!A:P,16,FALSE)),"")</f>
        <v>60</v>
      </c>
      <c r="O399" s="29">
        <v>45615</v>
      </c>
      <c r="P399" s="72" t="str">
        <f t="shared" si="30"/>
        <v>martes</v>
      </c>
      <c r="Q399" s="29">
        <f>IFERROR(IF(GUAYAQUIL[[#This Row],[CODIGO]]="","",IF(GUAYAQUIL[[#This Row],[Fecha Cad]]="","",(GUAYAQUIL[[#This Row],[Fecha Cad]]-GUAYAQUIL[[#This Row],[VIDA UTIL (Días)]]))+1),"")</f>
        <v>45609</v>
      </c>
      <c r="R399" s="29">
        <v>45668</v>
      </c>
      <c r="S399" s="30">
        <f t="shared" ca="1" si="31"/>
        <v>44</v>
      </c>
      <c r="T399" s="31">
        <f t="shared" ca="1" si="32"/>
        <v>0.73333333333333328</v>
      </c>
      <c r="U399" s="286">
        <v>112</v>
      </c>
      <c r="V399" s="266">
        <f>+IFERROR(IF(GUAYAQUIL[[#This Row],[CODIGO]]="","",GUAYAQUIL[[#This Row],[Stock Actual Unds]]*GUAYAQUIL[[#This Row],[Gramaje]]*GUAYAQUIL[[#This Row],[Conversión]]),"")</f>
        <v>16.8</v>
      </c>
      <c r="W399" s="270">
        <f t="shared" si="33"/>
        <v>6</v>
      </c>
      <c r="X399" s="32">
        <f t="shared" si="34"/>
        <v>0.9</v>
      </c>
      <c r="Y399" s="236">
        <f>IFERROR(VLOOKUP(GUAYAQUIL[[#This Row],[CODIGO]],MAESTRO!A:BI,21,FALSE),0)</f>
        <v>1.1024050000000001</v>
      </c>
      <c r="Z399" s="237">
        <f>+IFERROR(IF(GUAYAQUIL[[#This Row],[CODIGO]]="","",GUAYAQUIL[[#This Row],[COSTO UNIT base]]*GUAYAQUIL[[#This Row],[Conversión]]),"")</f>
        <v>1.1024050000000001</v>
      </c>
      <c r="AA399" s="236">
        <f>+IFERROR(IF(GUAYAQUIL[[#This Row],[CODIGO]]="","",GUAYAQUIL[[#This Row],[COSTO UNIT Conv]]*GUAYAQUIL[[#This Row],[Stock Actual Kgs]]),"")</f>
        <v>18.520404000000003</v>
      </c>
      <c r="AB399" s="33">
        <f ca="1">+IFERROR(IF(GUAYAQUIL[[#This Row],[CODIGO]]="","",$J$3-O399),"")</f>
        <v>9</v>
      </c>
      <c r="AC399" s="34" t="str">
        <f ca="1">IF(GUAYAQUIL[[#This Row],[CODIGO]]="","",IF(S399&lt;=0,"CADUCADO",IF(AND(S399&gt;0,S399&lt;=21),"FECHA CORTA",IF(AND(S399&gt;=22,S399&lt;=26),"PROXIMOS FECHA CORTA", "VIGENTE"))))</f>
        <v>VIGENTE</v>
      </c>
      <c r="AD399" s="37">
        <f>+IF(GUAYAQUIL[[#This Row],[CODIGO]]="","",GUAYAQUIL[[#This Row],[Stock Actual Unds]]*GUAYAQUIL[[#This Row],[Gramaje]]*GUAYAQUIL[[#This Row],[Conversión]])/1000</f>
        <v>1.6800000000000002E-2</v>
      </c>
    </row>
    <row r="400" spans="1:30">
      <c r="A400" s="24" t="str">
        <f>+IFERROR(IF(GUAYAQUIL[[#This Row],[CODIGO]]="","",VLOOKUP(GUAYAQUIL[[#This Row],[CODIGO]],MAESTRO!$A:$J,10,FALSE)),"")</f>
        <v>SAN GABRIEL</v>
      </c>
      <c r="B400" s="24" t="str">
        <f>+IFERROR(IF(GUAYAQUIL[[#This Row],[CODIGO]]="","",VLOOKUP(GUAYAQUIL[[#This Row],[CODIGO]],MAESTRO!$A:$Q,17,FALSE)),"")</f>
        <v>QUESOS Y GRASAS</v>
      </c>
      <c r="C400" s="24" t="str">
        <f>+IFERROR(IF(GUAYAQUIL[[#This Row],[CODIGO]]="","",VLOOKUP(GUAYAQUIL[[#This Row],[CODIGO]],MAESTRO!$A:$BA,53,FALSE)),"")</f>
        <v xml:space="preserve">Esteban Montenegro                      </v>
      </c>
      <c r="D400" s="24" t="str">
        <f>+IFERROR(IF(GUAYAQUIL[[#This Row],[CODIGO]]="","",VLOOKUP(GUAYAQUIL[[#This Row],[CODIGO]],MAESTRO!$A:$D,4,FALSE)),"")</f>
        <v>QUESO SEMIMADURO KIOSKO</v>
      </c>
      <c r="E400" s="24" t="str">
        <f>+IFERROR(IF(GUAYAQUIL[[#This Row],[CODIGO]]="","",VLOOKUP(GUAYAQUIL[[#This Row],[CODIGO]],MAESTRO!$A:$F,6,FALSE)),"")</f>
        <v>QUESO SEMIMADURO KIOSKO MIX CUBOS</v>
      </c>
      <c r="F400" s="42" t="str">
        <f>IF(GUAYAQUIL[[#This Row],[CODIGO]]="","",$K$6)</f>
        <v>GUAYAQUIL</v>
      </c>
      <c r="G400" s="42">
        <f>IF(GUAYAQUIL[[#This Row],[CODIGO]]="","",7711)</f>
        <v>7711</v>
      </c>
      <c r="H400" s="42">
        <f>IF(GUAYAQUIL[[#This Row],[CODIGO]]="","",1001)</f>
        <v>1001</v>
      </c>
      <c r="I400" s="258" t="s">
        <v>2841</v>
      </c>
      <c r="J400" s="25" t="str">
        <f>IFERROR((VLOOKUP(GUAYAQUIL[[#This Row],[CODIGO]],MAESTRO!A:B,2,FALSE)),"")</f>
        <v>SELECCION ESPECIAL KIOSKO 150G</v>
      </c>
      <c r="K400" s="35">
        <v>150</v>
      </c>
      <c r="L400" s="38">
        <f>+IFERROR(IF(GUAYAQUIL[[#This Row],[CODIGO]]="","",VLOOKUP(GUAYAQUIL[[#This Row],[CODIGO]],MAESTRO!$A:$BF,58,FALSE)),"")</f>
        <v>1</v>
      </c>
      <c r="M400" s="27">
        <f>+IFERROR(IF(GUAYAQUIL[[#This Row],[CODIGO]]="","",VLOOKUP(GUAYAQUIL[[#This Row],[CODIGO]],MAESTRO!A:N,14,FALSE)),"")</f>
        <v>0.15</v>
      </c>
      <c r="N400" s="28">
        <f>+IFERROR(IF(GUAYAQUIL[[#This Row],[CODIGO]]="","",VLOOKUP(GUAYAQUIL[[#This Row],[CODIGO]],MAESTRO!A:P,16,FALSE)),"")</f>
        <v>60</v>
      </c>
      <c r="O400" s="45">
        <v>45616</v>
      </c>
      <c r="P400" s="72" t="str">
        <f t="shared" si="30"/>
        <v>miércoles</v>
      </c>
      <c r="Q400" s="29">
        <f>IFERROR(IF(GUAYAQUIL[[#This Row],[CODIGO]]="","",IF(GUAYAQUIL[[#This Row],[Fecha Cad]]="","",(GUAYAQUIL[[#This Row],[Fecha Cad]]-GUAYAQUIL[[#This Row],[VIDA UTIL (Días)]]))+1),"")</f>
        <v>45609</v>
      </c>
      <c r="R400" s="45">
        <v>45668</v>
      </c>
      <c r="S400" s="30">
        <f t="shared" ca="1" si="31"/>
        <v>44</v>
      </c>
      <c r="T400" s="31">
        <f t="shared" ca="1" si="32"/>
        <v>0.73333333333333328</v>
      </c>
      <c r="U400" s="286">
        <v>150</v>
      </c>
      <c r="V400" s="265">
        <f>+IFERROR(IF(GUAYAQUIL[[#This Row],[CODIGO]]="","",GUAYAQUIL[[#This Row],[Stock Actual Unds]]*GUAYAQUIL[[#This Row],[Gramaje]]*GUAYAQUIL[[#This Row],[Conversión]]),"")</f>
        <v>22.5</v>
      </c>
      <c r="W400" s="270">
        <f t="shared" si="33"/>
        <v>7</v>
      </c>
      <c r="X400" s="32">
        <f t="shared" si="34"/>
        <v>0.8833333333333333</v>
      </c>
      <c r="Y400" s="236">
        <f>IFERROR(VLOOKUP(GUAYAQUIL[[#This Row],[CODIGO]],MAESTRO!A:BI,21,FALSE),0)</f>
        <v>1.1024050000000001</v>
      </c>
      <c r="Z400" s="237">
        <f>+IFERROR(IF(GUAYAQUIL[[#This Row],[CODIGO]]="","",GUAYAQUIL[[#This Row],[COSTO UNIT base]]*GUAYAQUIL[[#This Row],[Conversión]]),"")</f>
        <v>1.1024050000000001</v>
      </c>
      <c r="AA400" s="236">
        <f>+IFERROR(IF(GUAYAQUIL[[#This Row],[CODIGO]]="","",GUAYAQUIL[[#This Row],[COSTO UNIT Conv]]*GUAYAQUIL[[#This Row],[Stock Actual Kgs]]),"")</f>
        <v>24.804112500000002</v>
      </c>
      <c r="AB400" s="33">
        <f ca="1">+IFERROR(IF(GUAYAQUIL[[#This Row],[CODIGO]]="","",$J$3-O400),"")</f>
        <v>8</v>
      </c>
      <c r="AC400" s="34" t="str">
        <f ca="1">IF(GUAYAQUIL[[#This Row],[CODIGO]]="","",IF(S400&lt;=0,"CADUCADO",IF(AND(S400&gt;0,S400&lt;=21),"FECHA CORTA",IF(AND(S400&gt;=22,S400&lt;=26),"PROXIMOS FECHA CORTA", "VIGENTE"))))</f>
        <v>VIGENTE</v>
      </c>
      <c r="AD400" s="37">
        <f>+IF(GUAYAQUIL[[#This Row],[CODIGO]]="","",GUAYAQUIL[[#This Row],[Stock Actual Unds]]*GUAYAQUIL[[#This Row],[Gramaje]]*GUAYAQUIL[[#This Row],[Conversión]])/1000</f>
        <v>2.2499999999999999E-2</v>
      </c>
    </row>
    <row r="401" spans="1:30">
      <c r="A401" s="24" t="str">
        <f>+IFERROR(IF(GUAYAQUIL[[#This Row],[CODIGO]]="","",VLOOKUP(GUAYAQUIL[[#This Row],[CODIGO]],MAESTRO!$A:$J,10,FALSE)),"")</f>
        <v>SAN GABRIEL</v>
      </c>
      <c r="B401" s="24" t="str">
        <f>+IFERROR(IF(GUAYAQUIL[[#This Row],[CODIGO]]="","",VLOOKUP(GUAYAQUIL[[#This Row],[CODIGO]],MAESTRO!$A:$Q,17,FALSE)),"")</f>
        <v>QUESOS Y GRASAS</v>
      </c>
      <c r="C401" s="24" t="str">
        <f>+IFERROR(IF(GUAYAQUIL[[#This Row],[CODIGO]]="","",VLOOKUP(GUAYAQUIL[[#This Row],[CODIGO]],MAESTRO!$A:$BA,53,FALSE)),"")</f>
        <v xml:space="preserve">Esteban Montenegro                      </v>
      </c>
      <c r="D401" s="24" t="str">
        <f>+IFERROR(IF(GUAYAQUIL[[#This Row],[CODIGO]]="","",VLOOKUP(GUAYAQUIL[[#This Row],[CODIGO]],MAESTRO!$A:$D,4,FALSE)),"")</f>
        <v>QUESO SEMIMADURO KIOSKO</v>
      </c>
      <c r="E401" s="24" t="str">
        <f>+IFERROR(IF(GUAYAQUIL[[#This Row],[CODIGO]]="","",VLOOKUP(GUAYAQUIL[[#This Row],[CODIGO]],MAESTRO!$A:$F,6,FALSE)),"")</f>
        <v>QUESO SEMIMADURO KIOSKO MIX CUBOS</v>
      </c>
      <c r="F401" s="42" t="str">
        <f>IF(GUAYAQUIL[[#This Row],[CODIGO]]="","",$K$6)</f>
        <v>GUAYAQUIL</v>
      </c>
      <c r="G401" s="209">
        <f>IF(GUAYAQUIL[[#This Row],[CODIGO]]="","",7711)</f>
        <v>7711</v>
      </c>
      <c r="H401" s="209">
        <f>IF(GUAYAQUIL[[#This Row],[CODIGO]]="","",1001)</f>
        <v>1001</v>
      </c>
      <c r="I401" s="258" t="s">
        <v>2841</v>
      </c>
      <c r="J401" s="25" t="str">
        <f>IFERROR((VLOOKUP(GUAYAQUIL[[#This Row],[CODIGO]],MAESTRO!A:B,2,FALSE)),"")</f>
        <v>SELECCION ESPECIAL KIOSKO 150G</v>
      </c>
      <c r="K401" s="35">
        <v>200</v>
      </c>
      <c r="L401" s="38">
        <f>+IFERROR(IF(GUAYAQUIL[[#This Row],[CODIGO]]="","",VLOOKUP(GUAYAQUIL[[#This Row],[CODIGO]],MAESTRO!$A:$BF,58,FALSE)),"")</f>
        <v>1</v>
      </c>
      <c r="M401" s="27">
        <f>+IFERROR(IF(GUAYAQUIL[[#This Row],[CODIGO]]="","",VLOOKUP(GUAYAQUIL[[#This Row],[CODIGO]],MAESTRO!A:N,14,FALSE)),"")</f>
        <v>0.15</v>
      </c>
      <c r="N401" s="28">
        <f>+IFERROR(IF(GUAYAQUIL[[#This Row],[CODIGO]]="","",VLOOKUP(GUAYAQUIL[[#This Row],[CODIGO]],MAESTRO!A:P,16,FALSE)),"")</f>
        <v>60</v>
      </c>
      <c r="O401" s="45">
        <v>45617</v>
      </c>
      <c r="P401" s="72" t="str">
        <f t="shared" si="30"/>
        <v>jueves</v>
      </c>
      <c r="Q401" s="29">
        <f>IFERROR(IF(GUAYAQUIL[[#This Row],[CODIGO]]="","",IF(GUAYAQUIL[[#This Row],[Fecha Cad]]="","",(GUAYAQUIL[[#This Row],[Fecha Cad]]-GUAYAQUIL[[#This Row],[VIDA UTIL (Días)]]))+1),"")</f>
        <v>45612</v>
      </c>
      <c r="R401" s="45">
        <v>45671</v>
      </c>
      <c r="S401" s="30">
        <f t="shared" ca="1" si="31"/>
        <v>47</v>
      </c>
      <c r="T401" s="31">
        <f t="shared" ca="1" si="32"/>
        <v>0.78333333333333333</v>
      </c>
      <c r="U401" s="286">
        <v>200</v>
      </c>
      <c r="V401" s="265">
        <f>+IFERROR(IF(GUAYAQUIL[[#This Row],[CODIGO]]="","",GUAYAQUIL[[#This Row],[Stock Actual Unds]]*GUAYAQUIL[[#This Row],[Gramaje]]*GUAYAQUIL[[#This Row],[Conversión]]),"")</f>
        <v>30</v>
      </c>
      <c r="W401" s="270">
        <f t="shared" si="33"/>
        <v>5</v>
      </c>
      <c r="X401" s="32">
        <f t="shared" si="34"/>
        <v>0.91666666666666663</v>
      </c>
      <c r="Y401" s="236">
        <f>IFERROR(VLOOKUP(GUAYAQUIL[[#This Row],[CODIGO]],MAESTRO!A:BI,21,FALSE),0)</f>
        <v>1.1024050000000001</v>
      </c>
      <c r="Z401" s="237">
        <f>+IFERROR(IF(GUAYAQUIL[[#This Row],[CODIGO]]="","",GUAYAQUIL[[#This Row],[COSTO UNIT base]]*GUAYAQUIL[[#This Row],[Conversión]]),"")</f>
        <v>1.1024050000000001</v>
      </c>
      <c r="AA401" s="236">
        <f>+IFERROR(IF(GUAYAQUIL[[#This Row],[CODIGO]]="","",GUAYAQUIL[[#This Row],[COSTO UNIT Conv]]*GUAYAQUIL[[#This Row],[Stock Actual Kgs]]),"")</f>
        <v>33.072150000000001</v>
      </c>
      <c r="AB401" s="33">
        <f ca="1">+IFERROR(IF(GUAYAQUIL[[#This Row],[CODIGO]]="","",$J$3-O401),"")</f>
        <v>7</v>
      </c>
      <c r="AC401" s="34" t="str">
        <f ca="1">IF(GUAYAQUIL[[#This Row],[CODIGO]]="","",IF(S401&lt;=0,"CADUCADO",IF(AND(S401&gt;0,S401&lt;=21),"FECHA CORTA",IF(AND(S401&gt;=22,S401&lt;=26),"PROXIMOS FECHA CORTA", "VIGENTE"))))</f>
        <v>VIGENTE</v>
      </c>
      <c r="AD401" s="37">
        <f>+IF(GUAYAQUIL[[#This Row],[CODIGO]]="","",GUAYAQUIL[[#This Row],[Stock Actual Unds]]*GUAYAQUIL[[#This Row],[Gramaje]]*GUAYAQUIL[[#This Row],[Conversión]])/1000</f>
        <v>0.03</v>
      </c>
    </row>
    <row r="402" spans="1:30">
      <c r="A402" s="24" t="str">
        <f>+IFERROR(IF(GUAYAQUIL[[#This Row],[CODIGO]]="","",VLOOKUP(GUAYAQUIL[[#This Row],[CODIGO]],MAESTRO!$A:$J,10,FALSE)),"")</f>
        <v>COLOMBIA</v>
      </c>
      <c r="B402" s="24" t="str">
        <f>+IFERROR(IF(GUAYAQUIL[[#This Row],[CODIGO]]="","",VLOOKUP(GUAYAQUIL[[#This Row],[CODIGO]],MAESTRO!$A:$Q,17,FALSE)),"")</f>
        <v>BEBIDAS LACTEAS</v>
      </c>
      <c r="C402" s="24" t="str">
        <f>+IFERROR(IF(GUAYAQUIL[[#This Row],[CODIGO]]="","",VLOOKUP(GUAYAQUIL[[#This Row],[CODIGO]],MAESTRO!$A:$BA,53,FALSE)),"")</f>
        <v xml:space="preserve">Luis Armendariz                         </v>
      </c>
      <c r="D402" s="24" t="str">
        <f>+IFERROR(IF(GUAYAQUIL[[#This Row],[CODIGO]]="","",VLOOKUP(GUAYAQUIL[[#This Row],[CODIGO]],MAESTRO!$A:$D,4,FALSE)),"")</f>
        <v>AVENA ALPINA</v>
      </c>
      <c r="E402" s="24" t="str">
        <f>+IFERROR(IF(GUAYAQUIL[[#This Row],[CODIGO]]="","",VLOOKUP(GUAYAQUIL[[#This Row],[CODIGO]],MAESTRO!$A:$F,6,FALSE)),"")</f>
        <v>AVENA VASO</v>
      </c>
      <c r="F402" s="42" t="str">
        <f>IF(GUAYAQUIL[[#This Row],[CODIGO]]="","",$K$6)</f>
        <v>GUAYAQUIL</v>
      </c>
      <c r="G402" s="42">
        <f>IF(GUAYAQUIL[[#This Row],[CODIGO]]="","",7711)</f>
        <v>7711</v>
      </c>
      <c r="H402" s="42">
        <f>IF(GUAYAQUIL[[#This Row],[CODIGO]]="","",1001)</f>
        <v>1001</v>
      </c>
      <c r="I402" s="258" t="s">
        <v>2960</v>
      </c>
      <c r="J402" s="25" t="str">
        <f>IFERROR((VLOOKUP(GUAYAQUIL[[#This Row],[CODIGO]],MAESTRO!A:B,2,FALSE)),"")</f>
        <v>AVENA CANELA VASO 250G ECU</v>
      </c>
      <c r="K402" s="35">
        <v>624</v>
      </c>
      <c r="L402" s="38">
        <f>+IFERROR(IF(GUAYAQUIL[[#This Row],[CODIGO]]="","",VLOOKUP(GUAYAQUIL[[#This Row],[CODIGO]],MAESTRO!$A:$BF,58,FALSE)),"")</f>
        <v>1</v>
      </c>
      <c r="M402" s="27">
        <f>+IFERROR(IF(GUAYAQUIL[[#This Row],[CODIGO]]="","",VLOOKUP(GUAYAQUIL[[#This Row],[CODIGO]],MAESTRO!A:N,14,FALSE)),"")</f>
        <v>0.25</v>
      </c>
      <c r="N402" s="28">
        <f>+IFERROR(IF(GUAYAQUIL[[#This Row],[CODIGO]]="","",VLOOKUP(GUAYAQUIL[[#This Row],[CODIGO]],MAESTRO!A:P,16,FALSE)),"")</f>
        <v>180</v>
      </c>
      <c r="O402" s="45">
        <v>45603</v>
      </c>
      <c r="P402" s="72" t="str">
        <f t="shared" si="30"/>
        <v>jueves</v>
      </c>
      <c r="Q402" s="29">
        <f>IFERROR(IF(GUAYAQUIL[[#This Row],[CODIGO]]="","",IF(GUAYAQUIL[[#This Row],[Fecha Cad]]="","",(GUAYAQUIL[[#This Row],[Fecha Cad]]-GUAYAQUIL[[#This Row],[VIDA UTIL (Días)]]))+1),"")</f>
        <v>45584</v>
      </c>
      <c r="R402" s="45">
        <v>45763</v>
      </c>
      <c r="S402" s="30">
        <f t="shared" ca="1" si="31"/>
        <v>139</v>
      </c>
      <c r="T402" s="31">
        <f t="shared" ca="1" si="32"/>
        <v>0.77222222222222225</v>
      </c>
      <c r="U402" s="286">
        <v>531</v>
      </c>
      <c r="V402" s="265">
        <f>+IFERROR(IF(GUAYAQUIL[[#This Row],[CODIGO]]="","",GUAYAQUIL[[#This Row],[Stock Actual Unds]]*GUAYAQUIL[[#This Row],[Gramaje]]*GUAYAQUIL[[#This Row],[Conversión]]),"")</f>
        <v>132.75</v>
      </c>
      <c r="W402" s="270">
        <f t="shared" si="33"/>
        <v>19</v>
      </c>
      <c r="X402" s="32">
        <f t="shared" si="34"/>
        <v>0.89444444444444449</v>
      </c>
      <c r="Y402" s="236">
        <f>IFERROR(VLOOKUP(GUAYAQUIL[[#This Row],[CODIGO]],MAESTRO!A:BI,21,FALSE),0)</f>
        <v>0.40961000000000003</v>
      </c>
      <c r="Z402" s="237">
        <f>+IFERROR(IF(GUAYAQUIL[[#This Row],[CODIGO]]="","",GUAYAQUIL[[#This Row],[COSTO UNIT base]]*GUAYAQUIL[[#This Row],[Conversión]]),"")</f>
        <v>0.40961000000000003</v>
      </c>
      <c r="AA402" s="236">
        <f>+IFERROR(IF(GUAYAQUIL[[#This Row],[CODIGO]]="","",GUAYAQUIL[[#This Row],[COSTO UNIT Conv]]*GUAYAQUIL[[#This Row],[Stock Actual Kgs]]),"")</f>
        <v>54.375727500000004</v>
      </c>
      <c r="AB402" s="33">
        <f ca="1">+IFERROR(IF(GUAYAQUIL[[#This Row],[CODIGO]]="","",$J$3-O402),"")</f>
        <v>21</v>
      </c>
      <c r="AC402" s="34" t="str">
        <f ca="1">IF(GUAYAQUIL[[#This Row],[CODIGO]]="","",IF(S402&lt;=0,"CADUCADO",IF(AND(S402&gt;0,S402&lt;=21),"FECHA CORTA",IF(AND(S402&gt;=22,S402&lt;=26),"PROXIMOS FECHA CORTA", "VIGENTE"))))</f>
        <v>VIGENTE</v>
      </c>
      <c r="AD402" s="37">
        <f>+IF(GUAYAQUIL[[#This Row],[CODIGO]]="","",GUAYAQUIL[[#This Row],[Stock Actual Unds]]*GUAYAQUIL[[#This Row],[Gramaje]]*GUAYAQUIL[[#This Row],[Conversión]])/1000</f>
        <v>0.13275000000000001</v>
      </c>
    </row>
    <row r="403" spans="1:30">
      <c r="A403" s="24" t="str">
        <f>+IFERROR(IF(GUAYAQUIL[[#This Row],[CODIGO]]="","",VLOOKUP(GUAYAQUIL[[#This Row],[CODIGO]],MAESTRO!$A:$J,10,FALSE)),"")</f>
        <v>COLOMBIA</v>
      </c>
      <c r="B403" s="24" t="str">
        <f>+IFERROR(IF(GUAYAQUIL[[#This Row],[CODIGO]]="","",VLOOKUP(GUAYAQUIL[[#This Row],[CODIGO]],MAESTRO!$A:$Q,17,FALSE)),"")</f>
        <v>BEBIDAS LACTEAS</v>
      </c>
      <c r="C403" s="24" t="str">
        <f>+IFERROR(IF(GUAYAQUIL[[#This Row],[CODIGO]]="","",VLOOKUP(GUAYAQUIL[[#This Row],[CODIGO]],MAESTRO!$A:$BA,53,FALSE)),"")</f>
        <v xml:space="preserve">Luis Armendariz                         </v>
      </c>
      <c r="D403" s="24" t="str">
        <f>+IFERROR(IF(GUAYAQUIL[[#This Row],[CODIGO]]="","",VLOOKUP(GUAYAQUIL[[#This Row],[CODIGO]],MAESTRO!$A:$D,4,FALSE)),"")</f>
        <v>AVENA ALPINA</v>
      </c>
      <c r="E403" s="24" t="str">
        <f>+IFERROR(IF(GUAYAQUIL[[#This Row],[CODIGO]]="","",VLOOKUP(GUAYAQUIL[[#This Row],[CODIGO]],MAESTRO!$A:$F,6,FALSE)),"")</f>
        <v>AVENA VASO</v>
      </c>
      <c r="F403" s="42" t="str">
        <f>IF(GUAYAQUIL[[#This Row],[CODIGO]]="","",$K$6)</f>
        <v>GUAYAQUIL</v>
      </c>
      <c r="G403" s="42">
        <f>IF(GUAYAQUIL[[#This Row],[CODIGO]]="","",7711)</f>
        <v>7711</v>
      </c>
      <c r="H403" s="42">
        <f>IF(GUAYAQUIL[[#This Row],[CODIGO]]="","",1001)</f>
        <v>1001</v>
      </c>
      <c r="I403" s="258" t="s">
        <v>2960</v>
      </c>
      <c r="J403" s="25" t="str">
        <f>IFERROR((VLOOKUP(GUAYAQUIL[[#This Row],[CODIGO]],MAESTRO!A:B,2,FALSE)),"")</f>
        <v>AVENA CANELA VASO 250G ECU</v>
      </c>
      <c r="K403" s="35">
        <v>1344</v>
      </c>
      <c r="L403" s="38">
        <f>+IFERROR(IF(GUAYAQUIL[[#This Row],[CODIGO]]="","",VLOOKUP(GUAYAQUIL[[#This Row],[CODIGO]],MAESTRO!$A:$BF,58,FALSE)),"")</f>
        <v>1</v>
      </c>
      <c r="M403" s="27">
        <f>+IFERROR(IF(GUAYAQUIL[[#This Row],[CODIGO]]="","",VLOOKUP(GUAYAQUIL[[#This Row],[CODIGO]],MAESTRO!A:N,14,FALSE)),"")</f>
        <v>0.25</v>
      </c>
      <c r="N403" s="28">
        <f>+IFERROR(IF(GUAYAQUIL[[#This Row],[CODIGO]]="","",VLOOKUP(GUAYAQUIL[[#This Row],[CODIGO]],MAESTRO!A:P,16,FALSE)),"")</f>
        <v>180</v>
      </c>
      <c r="O403" s="45">
        <v>45608</v>
      </c>
      <c r="P403" s="72" t="str">
        <f t="shared" si="30"/>
        <v>martes</v>
      </c>
      <c r="Q403" s="29">
        <f>IFERROR(IF(GUAYAQUIL[[#This Row],[CODIGO]]="","",IF(GUAYAQUIL[[#This Row],[Fecha Cad]]="","",(GUAYAQUIL[[#This Row],[Fecha Cad]]-GUAYAQUIL[[#This Row],[VIDA UTIL (Días)]]))+1),"")</f>
        <v>45584</v>
      </c>
      <c r="R403" s="45">
        <v>45763</v>
      </c>
      <c r="S403" s="30">
        <f t="shared" ca="1" si="31"/>
        <v>139</v>
      </c>
      <c r="T403" s="31">
        <f t="shared" ca="1" si="32"/>
        <v>0.77222222222222225</v>
      </c>
      <c r="U403" s="286">
        <v>1344</v>
      </c>
      <c r="V403" s="265">
        <f>+IFERROR(IF(GUAYAQUIL[[#This Row],[CODIGO]]="","",GUAYAQUIL[[#This Row],[Stock Actual Unds]]*GUAYAQUIL[[#This Row],[Gramaje]]*GUAYAQUIL[[#This Row],[Conversión]]),"")</f>
        <v>336</v>
      </c>
      <c r="W403" s="270">
        <f t="shared" si="33"/>
        <v>24</v>
      </c>
      <c r="X403" s="32">
        <f t="shared" si="34"/>
        <v>0.8666666666666667</v>
      </c>
      <c r="Y403" s="236">
        <f>IFERROR(VLOOKUP(GUAYAQUIL[[#This Row],[CODIGO]],MAESTRO!A:BI,21,FALSE),0)</f>
        <v>0.40961000000000003</v>
      </c>
      <c r="Z403" s="237">
        <f>+IFERROR(IF(GUAYAQUIL[[#This Row],[CODIGO]]="","",GUAYAQUIL[[#This Row],[COSTO UNIT base]]*GUAYAQUIL[[#This Row],[Conversión]]),"")</f>
        <v>0.40961000000000003</v>
      </c>
      <c r="AA403" s="236">
        <f>+IFERROR(IF(GUAYAQUIL[[#This Row],[CODIGO]]="","",GUAYAQUIL[[#This Row],[COSTO UNIT Conv]]*GUAYAQUIL[[#This Row],[Stock Actual Kgs]]),"")</f>
        <v>137.62896000000001</v>
      </c>
      <c r="AB403" s="33">
        <f ca="1">+IFERROR(IF(GUAYAQUIL[[#This Row],[CODIGO]]="","",$J$3-O403),"")</f>
        <v>16</v>
      </c>
      <c r="AC403" s="34" t="str">
        <f ca="1">IF(GUAYAQUIL[[#This Row],[CODIGO]]="","",IF(S403&lt;=0,"CADUCADO",IF(AND(S403&gt;0,S403&lt;=21),"FECHA CORTA",IF(AND(S403&gt;=22,S403&lt;=26),"PROXIMOS FECHA CORTA", "VIGENTE"))))</f>
        <v>VIGENTE</v>
      </c>
      <c r="AD403" s="37">
        <f>+IF(GUAYAQUIL[[#This Row],[CODIGO]]="","",GUAYAQUIL[[#This Row],[Stock Actual Unds]]*GUAYAQUIL[[#This Row],[Gramaje]]*GUAYAQUIL[[#This Row],[Conversión]])/1000</f>
        <v>0.33600000000000002</v>
      </c>
    </row>
    <row r="404" spans="1:30">
      <c r="A404" s="24" t="str">
        <f>+IFERROR(IF(GUAYAQUIL[[#This Row],[CODIGO]]="","",VLOOKUP(GUAYAQUIL[[#This Row],[CODIGO]],MAESTRO!$A:$J,10,FALSE)),"")</f>
        <v>COLOMBIA</v>
      </c>
      <c r="B404" s="24" t="str">
        <f>+IFERROR(IF(GUAYAQUIL[[#This Row],[CODIGO]]="","",VLOOKUP(GUAYAQUIL[[#This Row],[CODIGO]],MAESTRO!$A:$Q,17,FALSE)),"")</f>
        <v>BEBIDAS LACTEAS</v>
      </c>
      <c r="C404" s="24" t="str">
        <f>+IFERROR(IF(GUAYAQUIL[[#This Row],[CODIGO]]="","",VLOOKUP(GUAYAQUIL[[#This Row],[CODIGO]],MAESTRO!$A:$BA,53,FALSE)),"")</f>
        <v xml:space="preserve">Luis Armendariz                         </v>
      </c>
      <c r="D404" s="24" t="str">
        <f>+IFERROR(IF(GUAYAQUIL[[#This Row],[CODIGO]]="","",VLOOKUP(GUAYAQUIL[[#This Row],[CODIGO]],MAESTRO!$A:$D,4,FALSE)),"")</f>
        <v>AVENA ALPINA</v>
      </c>
      <c r="E404" s="24" t="str">
        <f>+IFERROR(IF(GUAYAQUIL[[#This Row],[CODIGO]]="","",VLOOKUP(GUAYAQUIL[[#This Row],[CODIGO]],MAESTRO!$A:$F,6,FALSE)),"")</f>
        <v>AVENA VASO</v>
      </c>
      <c r="F404" s="42" t="str">
        <f>IF(GUAYAQUIL[[#This Row],[CODIGO]]="","",$K$6)</f>
        <v>GUAYAQUIL</v>
      </c>
      <c r="G404" s="42">
        <f>IF(GUAYAQUIL[[#This Row],[CODIGO]]="","",7711)</f>
        <v>7711</v>
      </c>
      <c r="H404" s="42">
        <f>IF(GUAYAQUIL[[#This Row],[CODIGO]]="","",1001)</f>
        <v>1001</v>
      </c>
      <c r="I404" s="258" t="s">
        <v>2960</v>
      </c>
      <c r="J404" s="25" t="str">
        <f>IFERROR((VLOOKUP(GUAYAQUIL[[#This Row],[CODIGO]],MAESTRO!A:B,2,FALSE)),"")</f>
        <v>AVENA CANELA VASO 250G ECU</v>
      </c>
      <c r="K404" s="35">
        <v>624</v>
      </c>
      <c r="L404" s="38">
        <f>+IFERROR(IF(GUAYAQUIL[[#This Row],[CODIGO]]="","",VLOOKUP(GUAYAQUIL[[#This Row],[CODIGO]],MAESTRO!$A:$BF,58,FALSE)),"")</f>
        <v>1</v>
      </c>
      <c r="M404" s="27">
        <f>+IFERROR(IF(GUAYAQUIL[[#This Row],[CODIGO]]="","",VLOOKUP(GUAYAQUIL[[#This Row],[CODIGO]],MAESTRO!A:N,14,FALSE)),"")</f>
        <v>0.25</v>
      </c>
      <c r="N404" s="28">
        <f>+IFERROR(IF(GUAYAQUIL[[#This Row],[CODIGO]]="","",VLOOKUP(GUAYAQUIL[[#This Row],[CODIGO]],MAESTRO!A:P,16,FALSE)),"")</f>
        <v>180</v>
      </c>
      <c r="O404" s="45">
        <v>45610</v>
      </c>
      <c r="P404" s="72" t="str">
        <f t="shared" si="30"/>
        <v>jueves</v>
      </c>
      <c r="Q404" s="29">
        <f>IFERROR(IF(GUAYAQUIL[[#This Row],[CODIGO]]="","",IF(GUAYAQUIL[[#This Row],[Fecha Cad]]="","",(GUAYAQUIL[[#This Row],[Fecha Cad]]-GUAYAQUIL[[#This Row],[VIDA UTIL (Días)]]))+1),"")</f>
        <v>45584</v>
      </c>
      <c r="R404" s="45">
        <v>45763</v>
      </c>
      <c r="S404" s="30">
        <f t="shared" ca="1" si="31"/>
        <v>139</v>
      </c>
      <c r="T404" s="31">
        <f t="shared" ca="1" si="32"/>
        <v>0.77222222222222225</v>
      </c>
      <c r="U404" s="286">
        <v>624</v>
      </c>
      <c r="V404" s="265">
        <f>+IFERROR(IF(GUAYAQUIL[[#This Row],[CODIGO]]="","",GUAYAQUIL[[#This Row],[Stock Actual Unds]]*GUAYAQUIL[[#This Row],[Gramaje]]*GUAYAQUIL[[#This Row],[Conversión]]),"")</f>
        <v>156</v>
      </c>
      <c r="W404" s="270">
        <f t="shared" si="33"/>
        <v>26</v>
      </c>
      <c r="X404" s="32">
        <f t="shared" si="34"/>
        <v>0.85555555555555562</v>
      </c>
      <c r="Y404" s="236">
        <f>IFERROR(VLOOKUP(GUAYAQUIL[[#This Row],[CODIGO]],MAESTRO!A:BI,21,FALSE),0)</f>
        <v>0.40961000000000003</v>
      </c>
      <c r="Z404" s="237">
        <f>+IFERROR(IF(GUAYAQUIL[[#This Row],[CODIGO]]="","",GUAYAQUIL[[#This Row],[COSTO UNIT base]]*GUAYAQUIL[[#This Row],[Conversión]]),"")</f>
        <v>0.40961000000000003</v>
      </c>
      <c r="AA404" s="236">
        <f>+IFERROR(IF(GUAYAQUIL[[#This Row],[CODIGO]]="","",GUAYAQUIL[[#This Row],[COSTO UNIT Conv]]*GUAYAQUIL[[#This Row],[Stock Actual Kgs]]),"")</f>
        <v>63.899160000000002</v>
      </c>
      <c r="AB404" s="33">
        <f ca="1">+IFERROR(IF(GUAYAQUIL[[#This Row],[CODIGO]]="","",$J$3-O404),"")</f>
        <v>14</v>
      </c>
      <c r="AC404" s="34" t="str">
        <f ca="1">IF(GUAYAQUIL[[#This Row],[CODIGO]]="","",IF(S404&lt;=0,"CADUCADO",IF(AND(S404&gt;0,S404&lt;=21),"FECHA CORTA",IF(AND(S404&gt;=22,S404&lt;=26),"PROXIMOS FECHA CORTA", "VIGENTE"))))</f>
        <v>VIGENTE</v>
      </c>
      <c r="AD404" s="37">
        <f>+IF(GUAYAQUIL[[#This Row],[CODIGO]]="","",GUAYAQUIL[[#This Row],[Stock Actual Unds]]*GUAYAQUIL[[#This Row],[Gramaje]]*GUAYAQUIL[[#This Row],[Conversión]])/1000</f>
        <v>0.156</v>
      </c>
    </row>
    <row r="405" spans="1:30">
      <c r="A405" s="24" t="str">
        <f>+IFERROR(IF(GUAYAQUIL[[#This Row],[CODIGO]]="","",VLOOKUP(GUAYAQUIL[[#This Row],[CODIGO]],MAESTRO!$A:$J,10,FALSE)),"")</f>
        <v>SAN GABRIEL</v>
      </c>
      <c r="B405" s="24" t="str">
        <f>+IFERROR(IF(GUAYAQUIL[[#This Row],[CODIGO]]="","",VLOOKUP(GUAYAQUIL[[#This Row],[CODIGO]],MAESTRO!$A:$Q,17,FALSE)),"")</f>
        <v>QUESOS Y GRASAS</v>
      </c>
      <c r="C405" s="24" t="str">
        <f>+IFERROR(IF(GUAYAQUIL[[#This Row],[CODIGO]]="","",VLOOKUP(GUAYAQUIL[[#This Row],[CODIGO]],MAESTRO!$A:$BA,53,FALSE)),"")</f>
        <v xml:space="preserve">Esteban Montenegro                      </v>
      </c>
      <c r="D405" s="24" t="str">
        <f>+IFERROR(IF(GUAYAQUIL[[#This Row],[CODIGO]]="","",VLOOKUP(GUAYAQUIL[[#This Row],[CODIGO]],MAESTRO!$A:$D,4,FALSE)),"")</f>
        <v>QUESO SEMIMADURO KIOSKO</v>
      </c>
      <c r="E405" s="24" t="str">
        <f>+IFERROR(IF(GUAYAQUIL[[#This Row],[CODIGO]]="","",VLOOKUP(GUAYAQUIL[[#This Row],[CODIGO]],MAESTRO!$A:$F,6,FALSE)),"")</f>
        <v>QUESO AMERICANO KIOSKO TAJADO</v>
      </c>
      <c r="F405" s="42" t="str">
        <f>IF(GUAYAQUIL[[#This Row],[CODIGO]]="","",$K$6)</f>
        <v>GUAYAQUIL</v>
      </c>
      <c r="G405" s="42">
        <f>IF(GUAYAQUIL[[#This Row],[CODIGO]]="","",7711)</f>
        <v>7711</v>
      </c>
      <c r="H405" s="42">
        <f>IF(GUAYAQUIL[[#This Row],[CODIGO]]="","",1001)</f>
        <v>1001</v>
      </c>
      <c r="I405" s="258" t="s">
        <v>3020</v>
      </c>
      <c r="J405" s="25" t="str">
        <f>IFERROR((VLOOKUP(GUAYAQUIL[[#This Row],[CODIGO]],MAESTRO!A:B,2,FALSE)),"")</f>
        <v>Q AMERIC KIOSKO LONJ 150G</v>
      </c>
      <c r="K405" s="35">
        <v>90</v>
      </c>
      <c r="L405" s="38">
        <f>+IFERROR(IF(GUAYAQUIL[[#This Row],[CODIGO]]="","",VLOOKUP(GUAYAQUIL[[#This Row],[CODIGO]],MAESTRO!$A:$BF,58,FALSE)),"")</f>
        <v>1</v>
      </c>
      <c r="M405" s="27">
        <f>+IFERROR(IF(GUAYAQUIL[[#This Row],[CODIGO]]="","",VLOOKUP(GUAYAQUIL[[#This Row],[CODIGO]],MAESTRO!A:N,14,FALSE)),"")</f>
        <v>0.15</v>
      </c>
      <c r="N405" s="28">
        <f>+IFERROR(IF(GUAYAQUIL[[#This Row],[CODIGO]]="","",VLOOKUP(GUAYAQUIL[[#This Row],[CODIGO]],MAESTRO!A:P,16,FALSE)),"")</f>
        <v>60</v>
      </c>
      <c r="O405" s="29">
        <v>45611</v>
      </c>
      <c r="P405" s="72" t="str">
        <f t="shared" si="30"/>
        <v>viernes</v>
      </c>
      <c r="Q405" s="29">
        <f>IFERROR(IF(GUAYAQUIL[[#This Row],[CODIGO]]="","",IF(GUAYAQUIL[[#This Row],[Fecha Cad]]="","",(GUAYAQUIL[[#This Row],[Fecha Cad]]-GUAYAQUIL[[#This Row],[VIDA UTIL (Días)]]))+1),"")</f>
        <v>45604</v>
      </c>
      <c r="R405" s="29">
        <v>45663</v>
      </c>
      <c r="S405" s="30">
        <f t="shared" ca="1" si="31"/>
        <v>39</v>
      </c>
      <c r="T405" s="31">
        <f t="shared" ca="1" si="32"/>
        <v>0.65</v>
      </c>
      <c r="U405" s="286">
        <v>82</v>
      </c>
      <c r="V405" s="266">
        <f>+IFERROR(IF(GUAYAQUIL[[#This Row],[CODIGO]]="","",GUAYAQUIL[[#This Row],[Stock Actual Unds]]*GUAYAQUIL[[#This Row],[Gramaje]]*GUAYAQUIL[[#This Row],[Conversión]]),"")</f>
        <v>12.299999999999999</v>
      </c>
      <c r="W405" s="270">
        <f t="shared" si="33"/>
        <v>7</v>
      </c>
      <c r="X405" s="32">
        <f t="shared" si="34"/>
        <v>0.8833333333333333</v>
      </c>
      <c r="Y405" s="236">
        <f>IFERROR(VLOOKUP(GUAYAQUIL[[#This Row],[CODIGO]],MAESTRO!A:BI,21,FALSE),0)</f>
        <v>1.1246900000000002</v>
      </c>
      <c r="Z405" s="237">
        <f>+IFERROR(IF(GUAYAQUIL[[#This Row],[CODIGO]]="","",GUAYAQUIL[[#This Row],[COSTO UNIT base]]*GUAYAQUIL[[#This Row],[Conversión]]),"")</f>
        <v>1.1246900000000002</v>
      </c>
      <c r="AA405" s="236">
        <f>+IFERROR(IF(GUAYAQUIL[[#This Row],[CODIGO]]="","",GUAYAQUIL[[#This Row],[COSTO UNIT Conv]]*GUAYAQUIL[[#This Row],[Stock Actual Kgs]]),"")</f>
        <v>13.833687000000001</v>
      </c>
      <c r="AB405" s="33">
        <f ca="1">+IFERROR(IF(GUAYAQUIL[[#This Row],[CODIGO]]="","",$J$3-O405),"")</f>
        <v>13</v>
      </c>
      <c r="AC405" s="34" t="str">
        <f ca="1">IF(GUAYAQUIL[[#This Row],[CODIGO]]="","",IF(S405&lt;=0,"CADUCADO",IF(AND(S405&gt;0,S405&lt;=21),"FECHA CORTA",IF(AND(S405&gt;=22,S405&lt;=26),"PROXIMOS FECHA CORTA", "VIGENTE"))))</f>
        <v>VIGENTE</v>
      </c>
      <c r="AD405" s="37">
        <f>+IF(GUAYAQUIL[[#This Row],[CODIGO]]="","",GUAYAQUIL[[#This Row],[Stock Actual Unds]]*GUAYAQUIL[[#This Row],[Gramaje]]*GUAYAQUIL[[#This Row],[Conversión]])/1000</f>
        <v>1.2299999999999998E-2</v>
      </c>
    </row>
    <row r="406" spans="1:30">
      <c r="A406" s="24" t="str">
        <f>+IFERROR(IF(GUAYAQUIL[[#This Row],[CODIGO]]="","",VLOOKUP(GUAYAQUIL[[#This Row],[CODIGO]],MAESTRO!$A:$J,10,FALSE)),"")</f>
        <v>SAN GABRIEL</v>
      </c>
      <c r="B406" s="24" t="str">
        <f>+IFERROR(IF(GUAYAQUIL[[#This Row],[CODIGO]]="","",VLOOKUP(GUAYAQUIL[[#This Row],[CODIGO]],MAESTRO!$A:$Q,17,FALSE)),"")</f>
        <v>QUESOS Y GRASAS</v>
      </c>
      <c r="C406" s="24" t="str">
        <f>+IFERROR(IF(GUAYAQUIL[[#This Row],[CODIGO]]="","",VLOOKUP(GUAYAQUIL[[#This Row],[CODIGO]],MAESTRO!$A:$BA,53,FALSE)),"")</f>
        <v xml:space="preserve">Esteban Montenegro                      </v>
      </c>
      <c r="D406" s="24" t="str">
        <f>+IFERROR(IF(GUAYAQUIL[[#This Row],[CODIGO]]="","",VLOOKUP(GUAYAQUIL[[#This Row],[CODIGO]],MAESTRO!$A:$D,4,FALSE)),"")</f>
        <v>QUESO SEMIMADURO KIOSKO</v>
      </c>
      <c r="E406" s="24" t="str">
        <f>+IFERROR(IF(GUAYAQUIL[[#This Row],[CODIGO]]="","",VLOOKUP(GUAYAQUIL[[#This Row],[CODIGO]],MAESTRO!$A:$F,6,FALSE)),"")</f>
        <v>QUESO AMERICANO KIOSKO TAJADO</v>
      </c>
      <c r="F406" s="42" t="str">
        <f>IF(GUAYAQUIL[[#This Row],[CODIGO]]="","",$K$6)</f>
        <v>GUAYAQUIL</v>
      </c>
      <c r="G406" s="42">
        <f>IF(GUAYAQUIL[[#This Row],[CODIGO]]="","",7711)</f>
        <v>7711</v>
      </c>
      <c r="H406" s="42">
        <f>IF(GUAYAQUIL[[#This Row],[CODIGO]]="","",1001)</f>
        <v>1001</v>
      </c>
      <c r="I406" s="258" t="s">
        <v>3020</v>
      </c>
      <c r="J406" s="25" t="str">
        <f>IFERROR((VLOOKUP(GUAYAQUIL[[#This Row],[CODIGO]],MAESTRO!A:B,2,FALSE)),"")</f>
        <v>Q AMERIC KIOSKO LONJ 150G</v>
      </c>
      <c r="K406" s="35">
        <v>40</v>
      </c>
      <c r="L406" s="38">
        <f>+IFERROR(IF(GUAYAQUIL[[#This Row],[CODIGO]]="","",VLOOKUP(GUAYAQUIL[[#This Row],[CODIGO]],MAESTRO!$A:$BF,58,FALSE)),"")</f>
        <v>1</v>
      </c>
      <c r="M406" s="27">
        <f>+IFERROR(IF(GUAYAQUIL[[#This Row],[CODIGO]]="","",VLOOKUP(GUAYAQUIL[[#This Row],[CODIGO]],MAESTRO!A:N,14,FALSE)),"")</f>
        <v>0.15</v>
      </c>
      <c r="N406" s="28">
        <f>+IFERROR(IF(GUAYAQUIL[[#This Row],[CODIGO]]="","",VLOOKUP(GUAYAQUIL[[#This Row],[CODIGO]],MAESTRO!A:P,16,FALSE)),"")</f>
        <v>60</v>
      </c>
      <c r="O406" s="29">
        <v>45615</v>
      </c>
      <c r="P406" s="72" t="str">
        <f t="shared" si="30"/>
        <v>martes</v>
      </c>
      <c r="Q406" s="29">
        <f>IFERROR(IF(GUAYAQUIL[[#This Row],[CODIGO]]="","",IF(GUAYAQUIL[[#This Row],[Fecha Cad]]="","",(GUAYAQUIL[[#This Row],[Fecha Cad]]-GUAYAQUIL[[#This Row],[VIDA UTIL (Días)]]))+1),"")</f>
        <v>45611</v>
      </c>
      <c r="R406" s="29">
        <v>45670</v>
      </c>
      <c r="S406" s="30">
        <f t="shared" ca="1" si="31"/>
        <v>46</v>
      </c>
      <c r="T406" s="31">
        <f t="shared" ca="1" si="32"/>
        <v>0.76666666666666672</v>
      </c>
      <c r="U406" s="286">
        <v>40</v>
      </c>
      <c r="V406" s="266">
        <f>+IFERROR(IF(GUAYAQUIL[[#This Row],[CODIGO]]="","",GUAYAQUIL[[#This Row],[Stock Actual Unds]]*GUAYAQUIL[[#This Row],[Gramaje]]*GUAYAQUIL[[#This Row],[Conversión]]),"")</f>
        <v>6</v>
      </c>
      <c r="W406" s="270">
        <f t="shared" si="33"/>
        <v>4</v>
      </c>
      <c r="X406" s="32">
        <f t="shared" si="34"/>
        <v>0.93333333333333335</v>
      </c>
      <c r="Y406" s="236">
        <f>IFERROR(VLOOKUP(GUAYAQUIL[[#This Row],[CODIGO]],MAESTRO!A:BI,21,FALSE),0)</f>
        <v>1.1246900000000002</v>
      </c>
      <c r="Z406" s="237">
        <f>+IFERROR(IF(GUAYAQUIL[[#This Row],[CODIGO]]="","",GUAYAQUIL[[#This Row],[COSTO UNIT base]]*GUAYAQUIL[[#This Row],[Conversión]]),"")</f>
        <v>1.1246900000000002</v>
      </c>
      <c r="AA406" s="236">
        <f>+IFERROR(IF(GUAYAQUIL[[#This Row],[CODIGO]]="","",GUAYAQUIL[[#This Row],[COSTO UNIT Conv]]*GUAYAQUIL[[#This Row],[Stock Actual Kgs]]),"")</f>
        <v>6.7481400000000011</v>
      </c>
      <c r="AB406" s="33">
        <f ca="1">+IFERROR(IF(GUAYAQUIL[[#This Row],[CODIGO]]="","",$J$3-O406),"")</f>
        <v>9</v>
      </c>
      <c r="AC406" s="34" t="str">
        <f ca="1">IF(GUAYAQUIL[[#This Row],[CODIGO]]="","",IF(S406&lt;=0,"CADUCADO",IF(AND(S406&gt;0,S406&lt;=21),"FECHA CORTA",IF(AND(S406&gt;=22,S406&lt;=26),"PROXIMOS FECHA CORTA", "VIGENTE"))))</f>
        <v>VIGENTE</v>
      </c>
      <c r="AD406" s="37">
        <f>+IF(GUAYAQUIL[[#This Row],[CODIGO]]="","",GUAYAQUIL[[#This Row],[Stock Actual Unds]]*GUAYAQUIL[[#This Row],[Gramaje]]*GUAYAQUIL[[#This Row],[Conversión]])/1000</f>
        <v>6.0000000000000001E-3</v>
      </c>
    </row>
    <row r="407" spans="1:30">
      <c r="A407" s="24" t="str">
        <f>+IFERROR(IF(GUAYAQUIL[[#This Row],[CODIGO]]="","",VLOOKUP(GUAYAQUIL[[#This Row],[CODIGO]],MAESTRO!$A:$J,10,FALSE)),"")</f>
        <v>SAN GABRIEL</v>
      </c>
      <c r="B407" s="24" t="str">
        <f>+IFERROR(IF(GUAYAQUIL[[#This Row],[CODIGO]]="","",VLOOKUP(GUAYAQUIL[[#This Row],[CODIGO]],MAESTRO!$A:$Q,17,FALSE)),"")</f>
        <v>QUESOS Y GRASAS</v>
      </c>
      <c r="C407" s="24" t="str">
        <f>+IFERROR(IF(GUAYAQUIL[[#This Row],[CODIGO]]="","",VLOOKUP(GUAYAQUIL[[#This Row],[CODIGO]],MAESTRO!$A:$BA,53,FALSE)),"")</f>
        <v xml:space="preserve">Esteban Montenegro                      </v>
      </c>
      <c r="D407" s="24" t="str">
        <f>+IFERROR(IF(GUAYAQUIL[[#This Row],[CODIGO]]="","",VLOOKUP(GUAYAQUIL[[#This Row],[CODIGO]],MAESTRO!$A:$D,4,FALSE)),"")</f>
        <v>QUESO SEMIMADURO KIOSKO</v>
      </c>
      <c r="E407" s="24" t="str">
        <f>+IFERROR(IF(GUAYAQUIL[[#This Row],[CODIGO]]="","",VLOOKUP(GUAYAQUIL[[#This Row],[CODIGO]],MAESTRO!$A:$F,6,FALSE)),"")</f>
        <v>QUESO AMERICANO KIOSKO TAJADO</v>
      </c>
      <c r="F407" s="42" t="str">
        <f>IF(GUAYAQUIL[[#This Row],[CODIGO]]="","",$K$6)</f>
        <v>GUAYAQUIL</v>
      </c>
      <c r="G407" s="42">
        <f>IF(GUAYAQUIL[[#This Row],[CODIGO]]="","",7711)</f>
        <v>7711</v>
      </c>
      <c r="H407" s="42">
        <f>IF(GUAYAQUIL[[#This Row],[CODIGO]]="","",1001)</f>
        <v>1001</v>
      </c>
      <c r="I407" s="257" t="s">
        <v>3020</v>
      </c>
      <c r="J407" s="25" t="str">
        <f>IFERROR((VLOOKUP(GUAYAQUIL[[#This Row],[CODIGO]],MAESTRO!A:B,2,FALSE)),"")</f>
        <v>Q AMERIC KIOSKO LONJ 150G</v>
      </c>
      <c r="K407" s="26">
        <v>50</v>
      </c>
      <c r="L407" s="38">
        <f>+IFERROR(IF(GUAYAQUIL[[#This Row],[CODIGO]]="","",VLOOKUP(GUAYAQUIL[[#This Row],[CODIGO]],MAESTRO!$A:$BF,58,FALSE)),"")</f>
        <v>1</v>
      </c>
      <c r="M407" s="27">
        <f>+IFERROR(IF(GUAYAQUIL[[#This Row],[CODIGO]]="","",VLOOKUP(GUAYAQUIL[[#This Row],[CODIGO]],MAESTRO!A:N,14,FALSE)),"")</f>
        <v>0.15</v>
      </c>
      <c r="N407" s="28">
        <f>+IFERROR(IF(GUAYAQUIL[[#This Row],[CODIGO]]="","",VLOOKUP(GUAYAQUIL[[#This Row],[CODIGO]],MAESTRO!A:P,16,FALSE)),"")</f>
        <v>60</v>
      </c>
      <c r="O407" s="29">
        <v>45616</v>
      </c>
      <c r="P407" s="72" t="str">
        <f t="shared" si="30"/>
        <v>miércoles</v>
      </c>
      <c r="Q407" s="29">
        <f>IFERROR(IF(GUAYAQUIL[[#This Row],[CODIGO]]="","",IF(GUAYAQUIL[[#This Row],[Fecha Cad]]="","",(GUAYAQUIL[[#This Row],[Fecha Cad]]-GUAYAQUIL[[#This Row],[VIDA UTIL (Días)]]))+1),"")</f>
        <v>45611</v>
      </c>
      <c r="R407" s="29">
        <v>45670</v>
      </c>
      <c r="S407" s="30">
        <f t="shared" ca="1" si="31"/>
        <v>46</v>
      </c>
      <c r="T407" s="31">
        <f t="shared" ca="1" si="32"/>
        <v>0.76666666666666672</v>
      </c>
      <c r="U407" s="286">
        <v>50</v>
      </c>
      <c r="V407" s="267">
        <f>+IFERROR(IF(GUAYAQUIL[[#This Row],[CODIGO]]="","",GUAYAQUIL[[#This Row],[Stock Actual Unds]]*GUAYAQUIL[[#This Row],[Gramaje]]*GUAYAQUIL[[#This Row],[Conversión]]),"")</f>
        <v>7.5</v>
      </c>
      <c r="W407" s="270">
        <f t="shared" si="33"/>
        <v>5</v>
      </c>
      <c r="X407" s="32">
        <f t="shared" si="34"/>
        <v>0.91666666666666663</v>
      </c>
      <c r="Y407" s="236">
        <f>IFERROR(VLOOKUP(GUAYAQUIL[[#This Row],[CODIGO]],MAESTRO!A:BI,21,FALSE),0)</f>
        <v>1.1246900000000002</v>
      </c>
      <c r="Z407" s="237">
        <f>+IFERROR(IF(GUAYAQUIL[[#This Row],[CODIGO]]="","",GUAYAQUIL[[#This Row],[COSTO UNIT base]]*GUAYAQUIL[[#This Row],[Conversión]]),"")</f>
        <v>1.1246900000000002</v>
      </c>
      <c r="AA407" s="236">
        <f>+IFERROR(IF(GUAYAQUIL[[#This Row],[CODIGO]]="","",GUAYAQUIL[[#This Row],[COSTO UNIT Conv]]*GUAYAQUIL[[#This Row],[Stock Actual Kgs]]),"")</f>
        <v>8.435175000000001</v>
      </c>
      <c r="AB407" s="33">
        <f ca="1">+IFERROR(IF(GUAYAQUIL[[#This Row],[CODIGO]]="","",$J$3-O407),"")</f>
        <v>8</v>
      </c>
      <c r="AC407" s="34" t="str">
        <f ca="1">IF(GUAYAQUIL[[#This Row],[CODIGO]]="","",IF(S407&lt;=0,"CADUCADO",IF(AND(S407&gt;0,S407&lt;=21),"FECHA CORTA",IF(AND(S407&gt;=22,S407&lt;=26),"PROXIMOS FECHA CORTA", "VIGENTE"))))</f>
        <v>VIGENTE</v>
      </c>
      <c r="AD407" s="37">
        <f>+IF(GUAYAQUIL[[#This Row],[CODIGO]]="","",GUAYAQUIL[[#This Row],[Stock Actual Unds]]*GUAYAQUIL[[#This Row],[Gramaje]]*GUAYAQUIL[[#This Row],[Conversión]])/1000</f>
        <v>7.4999999999999997E-3</v>
      </c>
    </row>
    <row r="408" spans="1:30">
      <c r="A408" s="24" t="str">
        <f>+IFERROR(IF(GUAYAQUIL[[#This Row],[CODIGO]]="","",VLOOKUP(GUAYAQUIL[[#This Row],[CODIGO]],MAESTRO!$A:$J,10,FALSE)),"")</f>
        <v>SAN GABRIEL</v>
      </c>
      <c r="B408" s="24" t="str">
        <f>+IFERROR(IF(GUAYAQUIL[[#This Row],[CODIGO]]="","",VLOOKUP(GUAYAQUIL[[#This Row],[CODIGO]],MAESTRO!$A:$Q,17,FALSE)),"")</f>
        <v>QUESOS Y GRASAS</v>
      </c>
      <c r="C408" s="24" t="str">
        <f>+IFERROR(IF(GUAYAQUIL[[#This Row],[CODIGO]]="","",VLOOKUP(GUAYAQUIL[[#This Row],[CODIGO]],MAESTRO!$A:$BA,53,FALSE)),"")</f>
        <v xml:space="preserve">Esteban Montenegro                      </v>
      </c>
      <c r="D408" s="24" t="str">
        <f>+IFERROR(IF(GUAYAQUIL[[#This Row],[CODIGO]]="","",VLOOKUP(GUAYAQUIL[[#This Row],[CODIGO]],MAESTRO!$A:$D,4,FALSE)),"")</f>
        <v>QUESO SEMIMADURO KIOSKO</v>
      </c>
      <c r="E408" s="24" t="str">
        <f>+IFERROR(IF(GUAYAQUIL[[#This Row],[CODIGO]]="","",VLOOKUP(GUAYAQUIL[[#This Row],[CODIGO]],MAESTRO!$A:$F,6,FALSE)),"")</f>
        <v>QUESO AMERICANO KIOSKO TAJADO</v>
      </c>
      <c r="F408" s="42" t="str">
        <f>IF(GUAYAQUIL[[#This Row],[CODIGO]]="","",$K$6)</f>
        <v>GUAYAQUIL</v>
      </c>
      <c r="G408" s="42">
        <f>IF(GUAYAQUIL[[#This Row],[CODIGO]]="","",7711)</f>
        <v>7711</v>
      </c>
      <c r="H408" s="42">
        <f>IF(GUAYAQUIL[[#This Row],[CODIGO]]="","",1001)</f>
        <v>1001</v>
      </c>
      <c r="I408" s="257" t="s">
        <v>3020</v>
      </c>
      <c r="J408" s="25" t="str">
        <f>IFERROR((VLOOKUP(GUAYAQUIL[[#This Row],[CODIGO]],MAESTRO!A:B,2,FALSE)),"")</f>
        <v>Q AMERIC KIOSKO LONJ 150G</v>
      </c>
      <c r="K408" s="26">
        <v>40</v>
      </c>
      <c r="L408" s="38">
        <f>+IFERROR(IF(GUAYAQUIL[[#This Row],[CODIGO]]="","",VLOOKUP(GUAYAQUIL[[#This Row],[CODIGO]],MAESTRO!$A:$BF,58,FALSE)),"")</f>
        <v>1</v>
      </c>
      <c r="M408" s="27">
        <f>+IFERROR(IF(GUAYAQUIL[[#This Row],[CODIGO]]="","",VLOOKUP(GUAYAQUIL[[#This Row],[CODIGO]],MAESTRO!A:N,14,FALSE)),"")</f>
        <v>0.15</v>
      </c>
      <c r="N408" s="28">
        <f>+IFERROR(IF(GUAYAQUIL[[#This Row],[CODIGO]]="","",VLOOKUP(GUAYAQUIL[[#This Row],[CODIGO]],MAESTRO!A:P,16,FALSE)),"")</f>
        <v>60</v>
      </c>
      <c r="O408" s="29">
        <v>45617</v>
      </c>
      <c r="P408" s="72" t="str">
        <f t="shared" si="30"/>
        <v>jueves</v>
      </c>
      <c r="Q408" s="29">
        <f>IFERROR(IF(GUAYAQUIL[[#This Row],[CODIGO]]="","",IF(GUAYAQUIL[[#This Row],[Fecha Cad]]="","",(GUAYAQUIL[[#This Row],[Fecha Cad]]-GUAYAQUIL[[#This Row],[VIDA UTIL (Días)]]))+1),"")</f>
        <v>45611</v>
      </c>
      <c r="R408" s="29">
        <v>45670</v>
      </c>
      <c r="S408" s="30">
        <f t="shared" ca="1" si="31"/>
        <v>46</v>
      </c>
      <c r="T408" s="31">
        <f t="shared" ca="1" si="32"/>
        <v>0.76666666666666672</v>
      </c>
      <c r="U408" s="286">
        <v>40</v>
      </c>
      <c r="V408" s="298">
        <f>+IFERROR(IF(GUAYAQUIL[[#This Row],[CODIGO]]="","",GUAYAQUIL[[#This Row],[Stock Actual Unds]]*GUAYAQUIL[[#This Row],[Gramaje]]*GUAYAQUIL[[#This Row],[Conversión]]),"")</f>
        <v>6</v>
      </c>
      <c r="W408" s="270">
        <f t="shared" si="33"/>
        <v>6</v>
      </c>
      <c r="X408" s="32">
        <f t="shared" si="34"/>
        <v>0.9</v>
      </c>
      <c r="Y408" s="236">
        <f>IFERROR(VLOOKUP(GUAYAQUIL[[#This Row],[CODIGO]],MAESTRO!A:BI,21,FALSE),0)</f>
        <v>1.1246900000000002</v>
      </c>
      <c r="Z408" s="237">
        <f>+IFERROR(IF(GUAYAQUIL[[#This Row],[CODIGO]]="","",GUAYAQUIL[[#This Row],[COSTO UNIT base]]*GUAYAQUIL[[#This Row],[Conversión]]),"")</f>
        <v>1.1246900000000002</v>
      </c>
      <c r="AA408" s="236">
        <f>+IFERROR(IF(GUAYAQUIL[[#This Row],[CODIGO]]="","",GUAYAQUIL[[#This Row],[COSTO UNIT Conv]]*GUAYAQUIL[[#This Row],[Stock Actual Kgs]]),"")</f>
        <v>6.7481400000000011</v>
      </c>
      <c r="AB408" s="33">
        <f ca="1">+IFERROR(IF(GUAYAQUIL[[#This Row],[CODIGO]]="","",$J$3-O408),"")</f>
        <v>7</v>
      </c>
      <c r="AC408" s="34" t="str">
        <f ca="1">IF(GUAYAQUIL[[#This Row],[CODIGO]]="","",IF(S408&lt;=0,"CADUCADO",IF(AND(S408&gt;0,S408&lt;=21),"FECHA CORTA",IF(AND(S408&gt;=22,S408&lt;=26),"PROXIMOS FECHA CORTA", "VIGENTE"))))</f>
        <v>VIGENTE</v>
      </c>
      <c r="AD408" s="37">
        <f>+IF(GUAYAQUIL[[#This Row],[CODIGO]]="","",GUAYAQUIL[[#This Row],[Stock Actual Unds]]*GUAYAQUIL[[#This Row],[Gramaje]]*GUAYAQUIL[[#This Row],[Conversión]])/1000</f>
        <v>6.0000000000000001E-3</v>
      </c>
    </row>
    <row r="409" spans="1:30">
      <c r="A409" s="24" t="str">
        <f>+IFERROR(IF(GUAYAQUIL[[#This Row],[CODIGO]]="","",VLOOKUP(GUAYAQUIL[[#This Row],[CODIGO]],MAESTRO!$A:$J,10,FALSE)),"")</f>
        <v>MACHACHI</v>
      </c>
      <c r="B409" s="24" t="str">
        <f>+IFERROR(IF(GUAYAQUIL[[#This Row],[CODIGO]]="","",VLOOKUP(GUAYAQUIL[[#This Row],[CODIGO]],MAESTRO!$A:$Q,17,FALSE)),"")</f>
        <v>BEBIDAS LACTEAS</v>
      </c>
      <c r="C409" s="24" t="str">
        <f>+IFERROR(IF(GUAYAQUIL[[#This Row],[CODIGO]]="","",VLOOKUP(GUAYAQUIL[[#This Row],[CODIGO]],MAESTRO!$A:$BA,53,FALSE)),"")</f>
        <v xml:space="preserve">Luis Armendariz                         </v>
      </c>
      <c r="D409" s="24" t="str">
        <f>+IFERROR(IF(GUAYAQUIL[[#This Row],[CODIGO]]="","",VLOOKUP(GUAYAQUIL[[#This Row],[CODIGO]],MAESTRO!$A:$D,4,FALSE)),"")</f>
        <v>BON YURT</v>
      </c>
      <c r="E409" s="24" t="str">
        <f>+IFERROR(IF(GUAYAQUIL[[#This Row],[CODIGO]]="","",VLOOKUP(GUAYAQUIL[[#This Row],[CODIGO]],MAESTRO!$A:$F,6,FALSE)),"")</f>
        <v>BON YURT REGULAR</v>
      </c>
      <c r="F409" s="42" t="str">
        <f>IF(GUAYAQUIL[[#This Row],[CODIGO]]="","",$K$6)</f>
        <v>GUAYAQUIL</v>
      </c>
      <c r="G409" s="209">
        <f>IF(GUAYAQUIL[[#This Row],[CODIGO]]="","",7711)</f>
        <v>7711</v>
      </c>
      <c r="H409" s="209">
        <f>IF(GUAYAQUIL[[#This Row],[CODIGO]]="","",1001)</f>
        <v>1001</v>
      </c>
      <c r="I409" s="257" t="s">
        <v>735</v>
      </c>
      <c r="J409" s="25" t="str">
        <f>IFERROR((VLOOKUP(GUAYAQUIL[[#This Row],[CODIGO]],MAESTRO!A:B,2,FALSE)),"")</f>
        <v>BON YURT CHOCAPIC 158G</v>
      </c>
      <c r="K409" s="26">
        <v>60</v>
      </c>
      <c r="L409" s="38">
        <f>+IFERROR(IF(GUAYAQUIL[[#This Row],[CODIGO]]="","",VLOOKUP(GUAYAQUIL[[#This Row],[CODIGO]],MAESTRO!$A:$BF,58,FALSE)),"")</f>
        <v>1</v>
      </c>
      <c r="M409" s="27">
        <f>+IFERROR(IF(GUAYAQUIL[[#This Row],[CODIGO]]="","",VLOOKUP(GUAYAQUIL[[#This Row],[CODIGO]],MAESTRO!A:N,14,FALSE)),"")</f>
        <v>0.158</v>
      </c>
      <c r="N409" s="28">
        <f>+IFERROR(IF(GUAYAQUIL[[#This Row],[CODIGO]]="","",VLOOKUP(GUAYAQUIL[[#This Row],[CODIGO]],MAESTRO!A:P,16,FALSE)),"")</f>
        <v>45</v>
      </c>
      <c r="O409" s="29">
        <v>45605</v>
      </c>
      <c r="P409" s="72" t="str">
        <f t="shared" si="30"/>
        <v>sábado</v>
      </c>
      <c r="Q409" s="29">
        <f>IFERROR(IF(GUAYAQUIL[[#This Row],[CODIGO]]="","",IF(GUAYAQUIL[[#This Row],[Fecha Cad]]="","",(GUAYAQUIL[[#This Row],[Fecha Cad]]-GUAYAQUIL[[#This Row],[VIDA UTIL (Días)]]))+1),"")</f>
        <v>45594</v>
      </c>
      <c r="R409" s="29">
        <v>45638</v>
      </c>
      <c r="S409" s="30">
        <f t="shared" ca="1" si="31"/>
        <v>14</v>
      </c>
      <c r="T409" s="31">
        <f t="shared" ca="1" si="32"/>
        <v>0.31111111111111112</v>
      </c>
      <c r="U409" s="286">
        <v>16</v>
      </c>
      <c r="V409" s="267">
        <f>+IFERROR(IF(GUAYAQUIL[[#This Row],[CODIGO]]="","",GUAYAQUIL[[#This Row],[Stock Actual Unds]]*GUAYAQUIL[[#This Row],[Gramaje]]*GUAYAQUIL[[#This Row],[Conversión]]),"")</f>
        <v>2.528</v>
      </c>
      <c r="W409" s="270">
        <f t="shared" si="33"/>
        <v>11</v>
      </c>
      <c r="X409" s="32">
        <f t="shared" si="34"/>
        <v>0.75555555555555554</v>
      </c>
      <c r="Y409" s="236">
        <f>IFERROR(VLOOKUP(GUAYAQUIL[[#This Row],[CODIGO]],MAESTRO!A:BI,21,FALSE),0)</f>
        <v>0.32181499999999996</v>
      </c>
      <c r="Z409" s="237">
        <f>+IFERROR(IF(GUAYAQUIL[[#This Row],[CODIGO]]="","",GUAYAQUIL[[#This Row],[COSTO UNIT base]]*GUAYAQUIL[[#This Row],[Conversión]]),"")</f>
        <v>0.32181499999999996</v>
      </c>
      <c r="AA409" s="236">
        <f>+IFERROR(IF(GUAYAQUIL[[#This Row],[CODIGO]]="","",GUAYAQUIL[[#This Row],[COSTO UNIT Conv]]*GUAYAQUIL[[#This Row],[Stock Actual Kgs]]),"")</f>
        <v>0.81354831999999988</v>
      </c>
      <c r="AB409" s="33">
        <f ca="1">+IFERROR(IF(GUAYAQUIL[[#This Row],[CODIGO]]="","",$J$3-O409),"")</f>
        <v>19</v>
      </c>
      <c r="AC409" s="34" t="str">
        <f ca="1">IF(GUAYAQUIL[[#This Row],[CODIGO]]="","",IF(S409&lt;=0,"CADUCADO",IF(AND(S409&gt;0,S409&lt;=21),"FECHA CORTA",IF(AND(S409&gt;=22,S409&lt;=26),"PROXIMOS FECHA CORTA", "VIGENTE"))))</f>
        <v>FECHA CORTA</v>
      </c>
      <c r="AD409" s="37">
        <f>+IF(GUAYAQUIL[[#This Row],[CODIGO]]="","",GUAYAQUIL[[#This Row],[Stock Actual Unds]]*GUAYAQUIL[[#This Row],[Gramaje]]*GUAYAQUIL[[#This Row],[Conversión]])/1000</f>
        <v>2.5279999999999999E-3</v>
      </c>
    </row>
    <row r="410" spans="1:30">
      <c r="A410" s="24" t="str">
        <f>+IFERROR(IF(GUAYAQUIL[[#This Row],[CODIGO]]="","",VLOOKUP(GUAYAQUIL[[#This Row],[CODIGO]],MAESTRO!$A:$J,10,FALSE)),"")</f>
        <v>MACHACHI</v>
      </c>
      <c r="B410" s="24" t="str">
        <f>+IFERROR(IF(GUAYAQUIL[[#This Row],[CODIGO]]="","",VLOOKUP(GUAYAQUIL[[#This Row],[CODIGO]],MAESTRO!$A:$Q,17,FALSE)),"")</f>
        <v>BEBIDAS LACTEAS</v>
      </c>
      <c r="C410" s="24" t="str">
        <f>+IFERROR(IF(GUAYAQUIL[[#This Row],[CODIGO]]="","",VLOOKUP(GUAYAQUIL[[#This Row],[CODIGO]],MAESTRO!$A:$BA,53,FALSE)),"")</f>
        <v xml:space="preserve">Luis Armendariz                         </v>
      </c>
      <c r="D410" s="24" t="str">
        <f>+IFERROR(IF(GUAYAQUIL[[#This Row],[CODIGO]]="","",VLOOKUP(GUAYAQUIL[[#This Row],[CODIGO]],MAESTRO!$A:$D,4,FALSE)),"")</f>
        <v>BON YURT</v>
      </c>
      <c r="E410" s="24" t="str">
        <f>+IFERROR(IF(GUAYAQUIL[[#This Row],[CODIGO]]="","",VLOOKUP(GUAYAQUIL[[#This Row],[CODIGO]],MAESTRO!$A:$F,6,FALSE)),"")</f>
        <v>BON YURT REGULAR</v>
      </c>
      <c r="F410" s="42" t="str">
        <f>IF(GUAYAQUIL[[#This Row],[CODIGO]]="","",$K$6)</f>
        <v>GUAYAQUIL</v>
      </c>
      <c r="G410" s="42">
        <f>IF(GUAYAQUIL[[#This Row],[CODIGO]]="","",7711)</f>
        <v>7711</v>
      </c>
      <c r="H410" s="42">
        <f>IF(GUAYAQUIL[[#This Row],[CODIGO]]="","",1001)</f>
        <v>1001</v>
      </c>
      <c r="I410" s="257" t="s">
        <v>735</v>
      </c>
      <c r="J410" s="25" t="str">
        <f>IFERROR((VLOOKUP(GUAYAQUIL[[#This Row],[CODIGO]],MAESTRO!A:B,2,FALSE)),"")</f>
        <v>BON YURT CHOCAPIC 158G</v>
      </c>
      <c r="K410" s="26">
        <v>480</v>
      </c>
      <c r="L410" s="38">
        <f>+IFERROR(IF(GUAYAQUIL[[#This Row],[CODIGO]]="","",VLOOKUP(GUAYAQUIL[[#This Row],[CODIGO]],MAESTRO!$A:$BF,58,FALSE)),"")</f>
        <v>1</v>
      </c>
      <c r="M410" s="27">
        <f>+IFERROR(IF(GUAYAQUIL[[#This Row],[CODIGO]]="","",VLOOKUP(GUAYAQUIL[[#This Row],[CODIGO]],MAESTRO!A:N,14,FALSE)),"")</f>
        <v>0.158</v>
      </c>
      <c r="N410" s="28">
        <f>+IFERROR(IF(GUAYAQUIL[[#This Row],[CODIGO]]="","",VLOOKUP(GUAYAQUIL[[#This Row],[CODIGO]],MAESTRO!A:P,16,FALSE)),"")</f>
        <v>45</v>
      </c>
      <c r="O410" s="29">
        <v>45612</v>
      </c>
      <c r="P410" s="72" t="str">
        <f t="shared" si="30"/>
        <v>sábado</v>
      </c>
      <c r="Q410" s="29">
        <f>IFERROR(IF(GUAYAQUIL[[#This Row],[CODIGO]]="","",IF(GUAYAQUIL[[#This Row],[Fecha Cad]]="","",(GUAYAQUIL[[#This Row],[Fecha Cad]]-GUAYAQUIL[[#This Row],[VIDA UTIL (Días)]]))+1),"")</f>
        <v>45605</v>
      </c>
      <c r="R410" s="29">
        <v>45649</v>
      </c>
      <c r="S410" s="30">
        <f t="shared" ca="1" si="31"/>
        <v>25</v>
      </c>
      <c r="T410" s="31">
        <f t="shared" ca="1" si="32"/>
        <v>0.55555555555555558</v>
      </c>
      <c r="U410" s="286">
        <v>480</v>
      </c>
      <c r="V410" s="267">
        <f>+IFERROR(IF(GUAYAQUIL[[#This Row],[CODIGO]]="","",GUAYAQUIL[[#This Row],[Stock Actual Unds]]*GUAYAQUIL[[#This Row],[Gramaje]]*GUAYAQUIL[[#This Row],[Conversión]]),"")</f>
        <v>75.84</v>
      </c>
      <c r="W410" s="270">
        <f t="shared" si="33"/>
        <v>7</v>
      </c>
      <c r="X410" s="32">
        <f t="shared" si="34"/>
        <v>0.84444444444444444</v>
      </c>
      <c r="Y410" s="236">
        <f>IFERROR(VLOOKUP(GUAYAQUIL[[#This Row],[CODIGO]],MAESTRO!A:BI,21,FALSE),0)</f>
        <v>0.32181499999999996</v>
      </c>
      <c r="Z410" s="237">
        <f>+IFERROR(IF(GUAYAQUIL[[#This Row],[CODIGO]]="","",GUAYAQUIL[[#This Row],[COSTO UNIT base]]*GUAYAQUIL[[#This Row],[Conversión]]),"")</f>
        <v>0.32181499999999996</v>
      </c>
      <c r="AA410" s="236">
        <f>+IFERROR(IF(GUAYAQUIL[[#This Row],[CODIGO]]="","",GUAYAQUIL[[#This Row],[COSTO UNIT Conv]]*GUAYAQUIL[[#This Row],[Stock Actual Kgs]]),"")</f>
        <v>24.406449599999998</v>
      </c>
      <c r="AB410" s="33">
        <f ca="1">+IFERROR(IF(GUAYAQUIL[[#This Row],[CODIGO]]="","",$J$3-O410),"")</f>
        <v>12</v>
      </c>
      <c r="AC410" s="34" t="str">
        <f ca="1">IF(GUAYAQUIL[[#This Row],[CODIGO]]="","",IF(S410&lt;=0,"CADUCADO",IF(AND(S410&gt;0,S410&lt;=21),"FECHA CORTA",IF(AND(S410&gt;=22,S410&lt;=26),"PROXIMOS FECHA CORTA", "VIGENTE"))))</f>
        <v>PROXIMOS FECHA CORTA</v>
      </c>
      <c r="AD410" s="37">
        <f>+IF(GUAYAQUIL[[#This Row],[CODIGO]]="","",GUAYAQUIL[[#This Row],[Stock Actual Unds]]*GUAYAQUIL[[#This Row],[Gramaje]]*GUAYAQUIL[[#This Row],[Conversión]])/1000</f>
        <v>7.5840000000000005E-2</v>
      </c>
    </row>
    <row r="411" spans="1:30">
      <c r="A411" s="24" t="str">
        <f>+IFERROR(IF(GUAYAQUIL[[#This Row],[CODIGO]]="","",VLOOKUP(GUAYAQUIL[[#This Row],[CODIGO]],MAESTRO!$A:$J,10,FALSE)),"")</f>
        <v>MACHACHI</v>
      </c>
      <c r="B411" s="24" t="str">
        <f>+IFERROR(IF(GUAYAQUIL[[#This Row],[CODIGO]]="","",VLOOKUP(GUAYAQUIL[[#This Row],[CODIGO]],MAESTRO!$A:$Q,17,FALSE)),"")</f>
        <v>BEBIDAS LACTEAS</v>
      </c>
      <c r="C411" s="24" t="str">
        <f>+IFERROR(IF(GUAYAQUIL[[#This Row],[CODIGO]]="","",VLOOKUP(GUAYAQUIL[[#This Row],[CODIGO]],MAESTRO!$A:$BA,53,FALSE)),"")</f>
        <v xml:space="preserve">Luis Armendariz                         </v>
      </c>
      <c r="D411" s="24" t="str">
        <f>+IFERROR(IF(GUAYAQUIL[[#This Row],[CODIGO]]="","",VLOOKUP(GUAYAQUIL[[#This Row],[CODIGO]],MAESTRO!$A:$D,4,FALSE)),"")</f>
        <v>BON YURT</v>
      </c>
      <c r="E411" s="24" t="str">
        <f>+IFERROR(IF(GUAYAQUIL[[#This Row],[CODIGO]]="","",VLOOKUP(GUAYAQUIL[[#This Row],[CODIGO]],MAESTRO!$A:$F,6,FALSE)),"")</f>
        <v>BON YURT REGULAR</v>
      </c>
      <c r="F411" s="42" t="str">
        <f>IF(GUAYAQUIL[[#This Row],[CODIGO]]="","",$K$6)</f>
        <v>GUAYAQUIL</v>
      </c>
      <c r="G411" s="209">
        <f>IF(GUAYAQUIL[[#This Row],[CODIGO]]="","",7711)</f>
        <v>7711</v>
      </c>
      <c r="H411" s="209">
        <f>IF(GUAYAQUIL[[#This Row],[CODIGO]]="","",1001)</f>
        <v>1001</v>
      </c>
      <c r="I411" s="258" t="s">
        <v>735</v>
      </c>
      <c r="J411" s="25" t="str">
        <f>IFERROR((VLOOKUP(GUAYAQUIL[[#This Row],[CODIGO]],MAESTRO!A:B,2,FALSE)),"")</f>
        <v>BON YURT CHOCAPIC 158G</v>
      </c>
      <c r="K411" s="35">
        <v>420</v>
      </c>
      <c r="L411" s="38">
        <f>+IFERROR(IF(GUAYAQUIL[[#This Row],[CODIGO]]="","",VLOOKUP(GUAYAQUIL[[#This Row],[CODIGO]],MAESTRO!$A:$BF,58,FALSE)),"")</f>
        <v>1</v>
      </c>
      <c r="M411" s="27">
        <f>+IFERROR(IF(GUAYAQUIL[[#This Row],[CODIGO]]="","",VLOOKUP(GUAYAQUIL[[#This Row],[CODIGO]],MAESTRO!A:N,14,FALSE)),"")</f>
        <v>0.158</v>
      </c>
      <c r="N411" s="28">
        <f>+IFERROR(IF(GUAYAQUIL[[#This Row],[CODIGO]]="","",VLOOKUP(GUAYAQUIL[[#This Row],[CODIGO]],MAESTRO!A:P,16,FALSE)),"")</f>
        <v>45</v>
      </c>
      <c r="O411" s="29">
        <v>45611</v>
      </c>
      <c r="P411" s="72" t="str">
        <f t="shared" si="30"/>
        <v>viernes</v>
      </c>
      <c r="Q411" s="29">
        <f>IFERROR(IF(GUAYAQUIL[[#This Row],[CODIGO]]="","",IF(GUAYAQUIL[[#This Row],[Fecha Cad]]="","",(GUAYAQUIL[[#This Row],[Fecha Cad]]-GUAYAQUIL[[#This Row],[VIDA UTIL (Días)]]))+1),"")</f>
        <v>45605</v>
      </c>
      <c r="R411" s="29">
        <v>45649</v>
      </c>
      <c r="S411" s="30">
        <f t="shared" ca="1" si="31"/>
        <v>25</v>
      </c>
      <c r="T411" s="31">
        <f t="shared" ca="1" si="32"/>
        <v>0.55555555555555558</v>
      </c>
      <c r="U411" s="286">
        <v>132</v>
      </c>
      <c r="V411" s="266">
        <f>+IFERROR(IF(GUAYAQUIL[[#This Row],[CODIGO]]="","",GUAYAQUIL[[#This Row],[Stock Actual Unds]]*GUAYAQUIL[[#This Row],[Gramaje]]*GUAYAQUIL[[#This Row],[Conversión]]),"")</f>
        <v>20.856000000000002</v>
      </c>
      <c r="W411" s="270">
        <f t="shared" si="33"/>
        <v>6</v>
      </c>
      <c r="X411" s="32">
        <f t="shared" si="34"/>
        <v>0.8666666666666667</v>
      </c>
      <c r="Y411" s="236">
        <f>IFERROR(VLOOKUP(GUAYAQUIL[[#This Row],[CODIGO]],MAESTRO!A:BI,21,FALSE),0)</f>
        <v>0.32181499999999996</v>
      </c>
      <c r="Z411" s="237">
        <f>+IFERROR(IF(GUAYAQUIL[[#This Row],[CODIGO]]="","",GUAYAQUIL[[#This Row],[COSTO UNIT base]]*GUAYAQUIL[[#This Row],[Conversión]]),"")</f>
        <v>0.32181499999999996</v>
      </c>
      <c r="AA411" s="236">
        <f>+IFERROR(IF(GUAYAQUIL[[#This Row],[CODIGO]]="","",GUAYAQUIL[[#This Row],[COSTO UNIT Conv]]*GUAYAQUIL[[#This Row],[Stock Actual Kgs]]),"")</f>
        <v>6.7117736399999997</v>
      </c>
      <c r="AB411" s="33">
        <f ca="1">+IFERROR(IF(GUAYAQUIL[[#This Row],[CODIGO]]="","",$J$3-O411),"")</f>
        <v>13</v>
      </c>
      <c r="AC411" s="34" t="str">
        <f ca="1">IF(GUAYAQUIL[[#This Row],[CODIGO]]="","",IF(S411&lt;=0,"CADUCADO",IF(AND(S411&gt;0,S411&lt;=21),"FECHA CORTA",IF(AND(S411&gt;=22,S411&lt;=26),"PROXIMOS FECHA CORTA", "VIGENTE"))))</f>
        <v>PROXIMOS FECHA CORTA</v>
      </c>
      <c r="AD411" s="37">
        <f>+IF(GUAYAQUIL[[#This Row],[CODIGO]]="","",GUAYAQUIL[[#This Row],[Stock Actual Unds]]*GUAYAQUIL[[#This Row],[Gramaje]]*GUAYAQUIL[[#This Row],[Conversión]])/1000</f>
        <v>2.0856000000000003E-2</v>
      </c>
    </row>
    <row r="412" spans="1:30">
      <c r="A412" s="24" t="str">
        <f>+IFERROR(IF(GUAYAQUIL[[#This Row],[CODIGO]]="","",VLOOKUP(GUAYAQUIL[[#This Row],[CODIGO]],MAESTRO!$A:$J,10,FALSE)),"")</f>
        <v>MACHACHI</v>
      </c>
      <c r="B412" s="24" t="str">
        <f>+IFERROR(IF(GUAYAQUIL[[#This Row],[CODIGO]]="","",VLOOKUP(GUAYAQUIL[[#This Row],[CODIGO]],MAESTRO!$A:$Q,17,FALSE)),"")</f>
        <v>BEBIDAS LACTEAS</v>
      </c>
      <c r="C412" s="24" t="str">
        <f>+IFERROR(IF(GUAYAQUIL[[#This Row],[CODIGO]]="","",VLOOKUP(GUAYAQUIL[[#This Row],[CODIGO]],MAESTRO!$A:$BA,53,FALSE)),"")</f>
        <v xml:space="preserve">Luis Armendariz                         </v>
      </c>
      <c r="D412" s="24" t="str">
        <f>+IFERROR(IF(GUAYAQUIL[[#This Row],[CODIGO]]="","",VLOOKUP(GUAYAQUIL[[#This Row],[CODIGO]],MAESTRO!$A:$D,4,FALSE)),"")</f>
        <v>BON YURT</v>
      </c>
      <c r="E412" s="24" t="str">
        <f>+IFERROR(IF(GUAYAQUIL[[#This Row],[CODIGO]]="","",VLOOKUP(GUAYAQUIL[[#This Row],[CODIGO]],MAESTRO!$A:$F,6,FALSE)),"")</f>
        <v>BON YURT REGULAR</v>
      </c>
      <c r="F412" s="42" t="str">
        <f>IF(GUAYAQUIL[[#This Row],[CODIGO]]="","",$K$6)</f>
        <v>GUAYAQUIL</v>
      </c>
      <c r="G412" s="42">
        <f>IF(GUAYAQUIL[[#This Row],[CODIGO]]="","",7711)</f>
        <v>7711</v>
      </c>
      <c r="H412" s="42">
        <f>IF(GUAYAQUIL[[#This Row],[CODIGO]]="","",1001)</f>
        <v>1001</v>
      </c>
      <c r="I412" s="258" t="s">
        <v>735</v>
      </c>
      <c r="J412" s="25" t="str">
        <f>IFERROR((VLOOKUP(GUAYAQUIL[[#This Row],[CODIGO]],MAESTRO!A:B,2,FALSE)),"")</f>
        <v>BON YURT CHOCAPIC 158G</v>
      </c>
      <c r="K412" s="35">
        <v>420</v>
      </c>
      <c r="L412" s="38">
        <f>+IFERROR(IF(GUAYAQUIL[[#This Row],[CODIGO]]="","",VLOOKUP(GUAYAQUIL[[#This Row],[CODIGO]],MAESTRO!$A:$BF,58,FALSE)),"")</f>
        <v>1</v>
      </c>
      <c r="M412" s="27">
        <f>+IFERROR(IF(GUAYAQUIL[[#This Row],[CODIGO]]="","",VLOOKUP(GUAYAQUIL[[#This Row],[CODIGO]],MAESTRO!A:N,14,FALSE)),"")</f>
        <v>0.158</v>
      </c>
      <c r="N412" s="28">
        <f>+IFERROR(IF(GUAYAQUIL[[#This Row],[CODIGO]]="","",VLOOKUP(GUAYAQUIL[[#This Row],[CODIGO]],MAESTRO!A:P,16,FALSE)),"")</f>
        <v>45</v>
      </c>
      <c r="O412" s="29">
        <v>45610</v>
      </c>
      <c r="P412" s="72" t="str">
        <f t="shared" si="30"/>
        <v>jueves</v>
      </c>
      <c r="Q412" s="29">
        <f>IFERROR(IF(GUAYAQUIL[[#This Row],[CODIGO]]="","",IF(GUAYAQUIL[[#This Row],[Fecha Cad]]="","",(GUAYAQUIL[[#This Row],[Fecha Cad]]-GUAYAQUIL[[#This Row],[VIDA UTIL (Días)]]))+1),"")</f>
        <v>45601</v>
      </c>
      <c r="R412" s="29">
        <v>45645</v>
      </c>
      <c r="S412" s="30">
        <f t="shared" ca="1" si="31"/>
        <v>21</v>
      </c>
      <c r="T412" s="31">
        <f t="shared" ca="1" si="32"/>
        <v>0.46666666666666667</v>
      </c>
      <c r="U412" s="286">
        <v>389</v>
      </c>
      <c r="V412" s="266">
        <f>+IFERROR(IF(GUAYAQUIL[[#This Row],[CODIGO]]="","",GUAYAQUIL[[#This Row],[Stock Actual Unds]]*GUAYAQUIL[[#This Row],[Gramaje]]*GUAYAQUIL[[#This Row],[Conversión]]),"")</f>
        <v>61.462000000000003</v>
      </c>
      <c r="W412" s="270">
        <f t="shared" si="33"/>
        <v>9</v>
      </c>
      <c r="X412" s="32">
        <f t="shared" si="34"/>
        <v>0.8</v>
      </c>
      <c r="Y412" s="236">
        <f>IFERROR(VLOOKUP(GUAYAQUIL[[#This Row],[CODIGO]],MAESTRO!A:BI,21,FALSE),0)</f>
        <v>0.32181499999999996</v>
      </c>
      <c r="Z412" s="237">
        <f>+IFERROR(IF(GUAYAQUIL[[#This Row],[CODIGO]]="","",GUAYAQUIL[[#This Row],[COSTO UNIT base]]*GUAYAQUIL[[#This Row],[Conversión]]),"")</f>
        <v>0.32181499999999996</v>
      </c>
      <c r="AA412" s="236">
        <f>+IFERROR(IF(GUAYAQUIL[[#This Row],[CODIGO]]="","",GUAYAQUIL[[#This Row],[COSTO UNIT Conv]]*GUAYAQUIL[[#This Row],[Stock Actual Kgs]]),"")</f>
        <v>19.77939353</v>
      </c>
      <c r="AB412" s="33">
        <f ca="1">+IFERROR(IF(GUAYAQUIL[[#This Row],[CODIGO]]="","",$J$3-O412),"")</f>
        <v>14</v>
      </c>
      <c r="AC412" s="34" t="str">
        <f ca="1">IF(GUAYAQUIL[[#This Row],[CODIGO]]="","",IF(S412&lt;=0,"CADUCADO",IF(AND(S412&gt;0,S412&lt;=21),"FECHA CORTA",IF(AND(S412&gt;=22,S412&lt;=26),"PROXIMOS FECHA CORTA", "VIGENTE"))))</f>
        <v>FECHA CORTA</v>
      </c>
      <c r="AD412" s="37">
        <f>+IF(GUAYAQUIL[[#This Row],[CODIGO]]="","",GUAYAQUIL[[#This Row],[Stock Actual Unds]]*GUAYAQUIL[[#This Row],[Gramaje]]*GUAYAQUIL[[#This Row],[Conversión]])/1000</f>
        <v>6.1462000000000003E-2</v>
      </c>
    </row>
    <row r="413" spans="1:30">
      <c r="A413" s="24" t="str">
        <f>+IFERROR(IF(GUAYAQUIL[[#This Row],[CODIGO]]="","",VLOOKUP(GUAYAQUIL[[#This Row],[CODIGO]],MAESTRO!$A:$J,10,FALSE)),"")</f>
        <v>MACHACHI</v>
      </c>
      <c r="B413" s="24" t="str">
        <f>+IFERROR(IF(GUAYAQUIL[[#This Row],[CODIGO]]="","",VLOOKUP(GUAYAQUIL[[#This Row],[CODIGO]],MAESTRO!$A:$Q,17,FALSE)),"")</f>
        <v>BEBIDAS LACTEAS</v>
      </c>
      <c r="C413" s="24" t="str">
        <f>+IFERROR(IF(GUAYAQUIL[[#This Row],[CODIGO]]="","",VLOOKUP(GUAYAQUIL[[#This Row],[CODIGO]],MAESTRO!$A:$BA,53,FALSE)),"")</f>
        <v xml:space="preserve">Luis Armendariz                         </v>
      </c>
      <c r="D413" s="24" t="str">
        <f>+IFERROR(IF(GUAYAQUIL[[#This Row],[CODIGO]]="","",VLOOKUP(GUAYAQUIL[[#This Row],[CODIGO]],MAESTRO!$A:$D,4,FALSE)),"")</f>
        <v>BON YURT</v>
      </c>
      <c r="E413" s="24" t="str">
        <f>+IFERROR(IF(GUAYAQUIL[[#This Row],[CODIGO]]="","",VLOOKUP(GUAYAQUIL[[#This Row],[CODIGO]],MAESTRO!$A:$F,6,FALSE)),"")</f>
        <v>BON YURT REGULAR</v>
      </c>
      <c r="F413" s="42" t="str">
        <f>IF(GUAYAQUIL[[#This Row],[CODIGO]]="","",$K$6)</f>
        <v>GUAYAQUIL</v>
      </c>
      <c r="G413" s="209">
        <f>IF(GUAYAQUIL[[#This Row],[CODIGO]]="","",7711)</f>
        <v>7711</v>
      </c>
      <c r="H413" s="209">
        <f>IF(GUAYAQUIL[[#This Row],[CODIGO]]="","",1001)</f>
        <v>1001</v>
      </c>
      <c r="I413" s="258" t="s">
        <v>735</v>
      </c>
      <c r="J413" s="25" t="str">
        <f>IFERROR((VLOOKUP(GUAYAQUIL[[#This Row],[CODIGO]],MAESTRO!A:B,2,FALSE)),"")</f>
        <v>BON YURT CHOCAPIC 158G</v>
      </c>
      <c r="K413" s="35">
        <v>420</v>
      </c>
      <c r="L413" s="38">
        <f>+IFERROR(IF(GUAYAQUIL[[#This Row],[CODIGO]]="","",VLOOKUP(GUAYAQUIL[[#This Row],[CODIGO]],MAESTRO!$A:$BF,58,FALSE)),"")</f>
        <v>1</v>
      </c>
      <c r="M413" s="27">
        <f>+IFERROR(IF(GUAYAQUIL[[#This Row],[CODIGO]]="","",VLOOKUP(GUAYAQUIL[[#This Row],[CODIGO]],MAESTRO!A:N,14,FALSE)),"")</f>
        <v>0.158</v>
      </c>
      <c r="N413" s="28">
        <f>+IFERROR(IF(GUAYAQUIL[[#This Row],[CODIGO]]="","",VLOOKUP(GUAYAQUIL[[#This Row],[CODIGO]],MAESTRO!A:P,16,FALSE)),"")</f>
        <v>45</v>
      </c>
      <c r="O413" s="29">
        <v>45615</v>
      </c>
      <c r="P413" s="72" t="str">
        <f t="shared" si="30"/>
        <v>martes</v>
      </c>
      <c r="Q413" s="29">
        <f>IFERROR(IF(GUAYAQUIL[[#This Row],[CODIGO]]="","",IF(GUAYAQUIL[[#This Row],[Fecha Cad]]="","",(GUAYAQUIL[[#This Row],[Fecha Cad]]-GUAYAQUIL[[#This Row],[VIDA UTIL (Días)]]))+1),"")</f>
        <v>45608</v>
      </c>
      <c r="R413" s="29">
        <v>45652</v>
      </c>
      <c r="S413" s="30">
        <f t="shared" ca="1" si="31"/>
        <v>28</v>
      </c>
      <c r="T413" s="31">
        <f t="shared" ca="1" si="32"/>
        <v>0.62222222222222223</v>
      </c>
      <c r="U413" s="286">
        <v>420</v>
      </c>
      <c r="V413" s="266">
        <f>+IFERROR(IF(GUAYAQUIL[[#This Row],[CODIGO]]="","",GUAYAQUIL[[#This Row],[Stock Actual Unds]]*GUAYAQUIL[[#This Row],[Gramaje]]*GUAYAQUIL[[#This Row],[Conversión]]),"")</f>
        <v>66.36</v>
      </c>
      <c r="W413" s="270">
        <f t="shared" si="33"/>
        <v>7</v>
      </c>
      <c r="X413" s="32">
        <f t="shared" si="34"/>
        <v>0.84444444444444444</v>
      </c>
      <c r="Y413" s="236">
        <f>IFERROR(VLOOKUP(GUAYAQUIL[[#This Row],[CODIGO]],MAESTRO!A:BI,21,FALSE),0)</f>
        <v>0.32181499999999996</v>
      </c>
      <c r="Z413" s="237">
        <f>+IFERROR(IF(GUAYAQUIL[[#This Row],[CODIGO]]="","",GUAYAQUIL[[#This Row],[COSTO UNIT base]]*GUAYAQUIL[[#This Row],[Conversión]]),"")</f>
        <v>0.32181499999999996</v>
      </c>
      <c r="AA413" s="236">
        <f>+IFERROR(IF(GUAYAQUIL[[#This Row],[CODIGO]]="","",GUAYAQUIL[[#This Row],[COSTO UNIT Conv]]*GUAYAQUIL[[#This Row],[Stock Actual Kgs]]),"")</f>
        <v>21.355643399999998</v>
      </c>
      <c r="AB413" s="33">
        <f ca="1">+IFERROR(IF(GUAYAQUIL[[#This Row],[CODIGO]]="","",$J$3-O413),"")</f>
        <v>9</v>
      </c>
      <c r="AC413" s="34" t="str">
        <f ca="1">IF(GUAYAQUIL[[#This Row],[CODIGO]]="","",IF(S413&lt;=0,"CADUCADO",IF(AND(S413&gt;0,S413&lt;=21),"FECHA CORTA",IF(AND(S413&gt;=22,S413&lt;=26),"PROXIMOS FECHA CORTA", "VIGENTE"))))</f>
        <v>VIGENTE</v>
      </c>
      <c r="AD413" s="37">
        <f>+IF(GUAYAQUIL[[#This Row],[CODIGO]]="","",GUAYAQUIL[[#This Row],[Stock Actual Unds]]*GUAYAQUIL[[#This Row],[Gramaje]]*GUAYAQUIL[[#This Row],[Conversión]])/1000</f>
        <v>6.6360000000000002E-2</v>
      </c>
    </row>
    <row r="414" spans="1:30">
      <c r="A414" s="24" t="str">
        <f>+IFERROR(IF(GUAYAQUIL[[#This Row],[CODIGO]]="","",VLOOKUP(GUAYAQUIL[[#This Row],[CODIGO]],MAESTRO!$A:$J,10,FALSE)),"")</f>
        <v>MACHACHI</v>
      </c>
      <c r="B414" s="24" t="str">
        <f>+IFERROR(IF(GUAYAQUIL[[#This Row],[CODIGO]]="","",VLOOKUP(GUAYAQUIL[[#This Row],[CODIGO]],MAESTRO!$A:$Q,17,FALSE)),"")</f>
        <v>BEBIDAS LACTEAS</v>
      </c>
      <c r="C414" s="24" t="str">
        <f>+IFERROR(IF(GUAYAQUIL[[#This Row],[CODIGO]]="","",VLOOKUP(GUAYAQUIL[[#This Row],[CODIGO]],MAESTRO!$A:$BA,53,FALSE)),"")</f>
        <v xml:space="preserve">Luis Armendariz                         </v>
      </c>
      <c r="D414" s="24" t="str">
        <f>+IFERROR(IF(GUAYAQUIL[[#This Row],[CODIGO]]="","",VLOOKUP(GUAYAQUIL[[#This Row],[CODIGO]],MAESTRO!$A:$D,4,FALSE)),"")</f>
        <v>BON YURT</v>
      </c>
      <c r="E414" s="24" t="str">
        <f>+IFERROR(IF(GUAYAQUIL[[#This Row],[CODIGO]]="","",VLOOKUP(GUAYAQUIL[[#This Row],[CODIGO]],MAESTRO!$A:$F,6,FALSE)),"")</f>
        <v>BON YURT REGULAR</v>
      </c>
      <c r="F414" s="42" t="str">
        <f>IF(GUAYAQUIL[[#This Row],[CODIGO]]="","",$K$6)</f>
        <v>GUAYAQUIL</v>
      </c>
      <c r="G414" s="42">
        <f>IF(GUAYAQUIL[[#This Row],[CODIGO]]="","",7711)</f>
        <v>7711</v>
      </c>
      <c r="H414" s="42">
        <f>IF(GUAYAQUIL[[#This Row],[CODIGO]]="","",1001)</f>
        <v>1001</v>
      </c>
      <c r="I414" s="258" t="s">
        <v>735</v>
      </c>
      <c r="J414" s="25" t="str">
        <f>IFERROR((VLOOKUP(GUAYAQUIL[[#This Row],[CODIGO]],MAESTRO!A:B,2,FALSE)),"")</f>
        <v>BON YURT CHOCAPIC 158G</v>
      </c>
      <c r="K414" s="35">
        <v>600</v>
      </c>
      <c r="L414" s="38">
        <f>+IFERROR(IF(GUAYAQUIL[[#This Row],[CODIGO]]="","",VLOOKUP(GUAYAQUIL[[#This Row],[CODIGO]],MAESTRO!$A:$BF,58,FALSE)),"")</f>
        <v>1</v>
      </c>
      <c r="M414" s="27">
        <f>+IFERROR(IF(GUAYAQUIL[[#This Row],[CODIGO]]="","",VLOOKUP(GUAYAQUIL[[#This Row],[CODIGO]],MAESTRO!A:N,14,FALSE)),"")</f>
        <v>0.158</v>
      </c>
      <c r="N414" s="28">
        <f>+IFERROR(IF(GUAYAQUIL[[#This Row],[CODIGO]]="","",VLOOKUP(GUAYAQUIL[[#This Row],[CODIGO]],MAESTRO!A:P,16,FALSE)),"")</f>
        <v>45</v>
      </c>
      <c r="O414" s="29">
        <v>45617</v>
      </c>
      <c r="P414" s="72" t="str">
        <f t="shared" si="30"/>
        <v>jueves</v>
      </c>
      <c r="Q414" s="29">
        <f>IFERROR(IF(GUAYAQUIL[[#This Row],[CODIGO]]="","",IF(GUAYAQUIL[[#This Row],[Fecha Cad]]="","",(GUAYAQUIL[[#This Row],[Fecha Cad]]-GUAYAQUIL[[#This Row],[VIDA UTIL (Días)]]))+1),"")</f>
        <v>45612</v>
      </c>
      <c r="R414" s="29">
        <v>45656</v>
      </c>
      <c r="S414" s="30">
        <f t="shared" ca="1" si="31"/>
        <v>32</v>
      </c>
      <c r="T414" s="31">
        <f t="shared" ca="1" si="32"/>
        <v>0.71111111111111114</v>
      </c>
      <c r="U414" s="286">
        <v>300</v>
      </c>
      <c r="V414" s="266">
        <f>+IFERROR(IF(GUAYAQUIL[[#This Row],[CODIGO]]="","",GUAYAQUIL[[#This Row],[Stock Actual Unds]]*GUAYAQUIL[[#This Row],[Gramaje]]*GUAYAQUIL[[#This Row],[Conversión]]),"")</f>
        <v>47.4</v>
      </c>
      <c r="W414" s="270">
        <f t="shared" si="33"/>
        <v>5</v>
      </c>
      <c r="X414" s="32">
        <f t="shared" si="34"/>
        <v>0.88888888888888884</v>
      </c>
      <c r="Y414" s="236">
        <f>IFERROR(VLOOKUP(GUAYAQUIL[[#This Row],[CODIGO]],MAESTRO!A:BI,21,FALSE),0)</f>
        <v>0.32181499999999996</v>
      </c>
      <c r="Z414" s="237">
        <f>+IFERROR(IF(GUAYAQUIL[[#This Row],[CODIGO]]="","",GUAYAQUIL[[#This Row],[COSTO UNIT base]]*GUAYAQUIL[[#This Row],[Conversión]]),"")</f>
        <v>0.32181499999999996</v>
      </c>
      <c r="AA414" s="236">
        <f>+IFERROR(IF(GUAYAQUIL[[#This Row],[CODIGO]]="","",GUAYAQUIL[[#This Row],[COSTO UNIT Conv]]*GUAYAQUIL[[#This Row],[Stock Actual Kgs]]),"")</f>
        <v>15.254030999999998</v>
      </c>
      <c r="AB414" s="33">
        <f ca="1">+IFERROR(IF(GUAYAQUIL[[#This Row],[CODIGO]]="","",$J$3-O414),"")</f>
        <v>7</v>
      </c>
      <c r="AC414" s="34" t="str">
        <f ca="1">IF(GUAYAQUIL[[#This Row],[CODIGO]]="","",IF(S414&lt;=0,"CADUCADO",IF(AND(S414&gt;0,S414&lt;=21),"FECHA CORTA",IF(AND(S414&gt;=22,S414&lt;=26),"PROXIMOS FECHA CORTA", "VIGENTE"))))</f>
        <v>VIGENTE</v>
      </c>
      <c r="AD414" s="37">
        <f>+IF(GUAYAQUIL[[#This Row],[CODIGO]]="","",GUAYAQUIL[[#This Row],[Stock Actual Unds]]*GUAYAQUIL[[#This Row],[Gramaje]]*GUAYAQUIL[[#This Row],[Conversión]])/1000</f>
        <v>4.7399999999999998E-2</v>
      </c>
    </row>
    <row r="415" spans="1:30">
      <c r="A415" s="24" t="str">
        <f>+IFERROR(IF(GUAYAQUIL[[#This Row],[CODIGO]]="","",VLOOKUP(GUAYAQUIL[[#This Row],[CODIGO]],MAESTRO!$A:$J,10,FALSE)),"")</f>
        <v>MULTIEMPAQUE_SG</v>
      </c>
      <c r="B415" s="24" t="str">
        <f>+IFERROR(IF(GUAYAQUIL[[#This Row],[CODIGO]]="","",VLOOKUP(GUAYAQUIL[[#This Row],[CODIGO]],MAESTRO!$A:$Q,17,FALSE)),"")</f>
        <v>POSTRES</v>
      </c>
      <c r="C415" s="24" t="str">
        <f>+IFERROR(IF(GUAYAQUIL[[#This Row],[CODIGO]]="","",VLOOKUP(GUAYAQUIL[[#This Row],[CODIGO]],MAESTRO!$A:$BA,53,FALSE)),"")</f>
        <v xml:space="preserve">Luis Armendariz                         </v>
      </c>
      <c r="D415" s="24" t="str">
        <f>+IFERROR(IF(GUAYAQUIL[[#This Row],[CODIGO]]="","",VLOOKUP(GUAYAQUIL[[#This Row],[CODIGO]],MAESTRO!$A:$D,4,FALSE)),"")</f>
        <v>AREQUIPE ALPINA</v>
      </c>
      <c r="E415" s="24" t="str">
        <f>+IFERROR(IF(GUAYAQUIL[[#This Row],[CODIGO]]="","",VLOOKUP(GUAYAQUIL[[#This Row],[CODIGO]],MAESTRO!$A:$F,6,FALSE)),"")</f>
        <v>AREQUIPE ALPINA</v>
      </c>
      <c r="F415" s="42" t="str">
        <f>IF(GUAYAQUIL[[#This Row],[CODIGO]]="","",$K$6)</f>
        <v>GUAYAQUIL</v>
      </c>
      <c r="G415" s="209">
        <f>IF(GUAYAQUIL[[#This Row],[CODIGO]]="","",7711)</f>
        <v>7711</v>
      </c>
      <c r="H415" s="209">
        <f>IF(GUAYAQUIL[[#This Row],[CODIGO]]="","",1001)</f>
        <v>1001</v>
      </c>
      <c r="I415" s="257" t="s">
        <v>850</v>
      </c>
      <c r="J415" s="25" t="str">
        <f>IFERROR((VLOOKUP(GUAYAQUIL[[#This Row],[CODIGO]],MAESTRO!A:B,2,FALSE)),"")</f>
        <v>FOURPACK AREQUIPE Y PRETZELS 75 GR</v>
      </c>
      <c r="K415" s="26">
        <v>60</v>
      </c>
      <c r="L415" s="38">
        <f>+IFERROR(IF(GUAYAQUIL[[#This Row],[CODIGO]]="","",VLOOKUP(GUAYAQUIL[[#This Row],[CODIGO]],MAESTRO!$A:$BF,58,FALSE)),"")</f>
        <v>1</v>
      </c>
      <c r="M415" s="27">
        <f>+IFERROR(IF(GUAYAQUIL[[#This Row],[CODIGO]]="","",VLOOKUP(GUAYAQUIL[[#This Row],[CODIGO]],MAESTRO!A:N,14,FALSE)),"")</f>
        <v>0.3</v>
      </c>
      <c r="N415" s="28">
        <f>+IFERROR(IF(GUAYAQUIL[[#This Row],[CODIGO]]="","",VLOOKUP(GUAYAQUIL[[#This Row],[CODIGO]],MAESTRO!A:P,16,FALSE)),"")</f>
        <v>180</v>
      </c>
      <c r="O415" s="29">
        <v>45605</v>
      </c>
      <c r="P415" s="72" t="str">
        <f t="shared" si="30"/>
        <v>sábado</v>
      </c>
      <c r="Q415" s="29">
        <f>IFERROR(IF(GUAYAQUIL[[#This Row],[CODIGO]]="","",IF(GUAYAQUIL[[#This Row],[Fecha Cad]]="","",(GUAYAQUIL[[#This Row],[Fecha Cad]]-GUAYAQUIL[[#This Row],[VIDA UTIL (Días)]]))+1),"")</f>
        <v>45567</v>
      </c>
      <c r="R415" s="29">
        <v>45746</v>
      </c>
      <c r="S415" s="30">
        <f t="shared" ca="1" si="31"/>
        <v>122</v>
      </c>
      <c r="T415" s="31">
        <f t="shared" ca="1" si="32"/>
        <v>0.67777777777777781</v>
      </c>
      <c r="U415" s="286">
        <v>58</v>
      </c>
      <c r="V415" s="267">
        <f>+IFERROR(IF(GUAYAQUIL[[#This Row],[CODIGO]]="","",GUAYAQUIL[[#This Row],[Stock Actual Unds]]*GUAYAQUIL[[#This Row],[Gramaje]]*GUAYAQUIL[[#This Row],[Conversión]]),"")</f>
        <v>17.399999999999999</v>
      </c>
      <c r="W415" s="270">
        <f t="shared" si="33"/>
        <v>38</v>
      </c>
      <c r="X415" s="32">
        <f t="shared" si="34"/>
        <v>0.78888888888888886</v>
      </c>
      <c r="Y415" s="236">
        <f>IFERROR(VLOOKUP(GUAYAQUIL[[#This Row],[CODIGO]],MAESTRO!A:BI,21,FALSE),0)</f>
        <v>2.5274799999999997</v>
      </c>
      <c r="Z415" s="237">
        <f>+IFERROR(IF(GUAYAQUIL[[#This Row],[CODIGO]]="","",GUAYAQUIL[[#This Row],[COSTO UNIT base]]*GUAYAQUIL[[#This Row],[Conversión]]),"")</f>
        <v>2.5274799999999997</v>
      </c>
      <c r="AA415" s="236">
        <f>+IFERROR(IF(GUAYAQUIL[[#This Row],[CODIGO]]="","",GUAYAQUIL[[#This Row],[COSTO UNIT Conv]]*GUAYAQUIL[[#This Row],[Stock Actual Kgs]]),"")</f>
        <v>43.978151999999994</v>
      </c>
      <c r="AB415" s="33">
        <f ca="1">+IFERROR(IF(GUAYAQUIL[[#This Row],[CODIGO]]="","",$J$3-O415),"")</f>
        <v>19</v>
      </c>
      <c r="AC415" s="34" t="str">
        <f ca="1">IF(GUAYAQUIL[[#This Row],[CODIGO]]="","",IF(S415&lt;=0,"CADUCADO",IF(AND(S415&gt;0,S415&lt;=21),"FECHA CORTA",IF(AND(S415&gt;=22,S415&lt;=26),"PROXIMOS FECHA CORTA", "VIGENTE"))))</f>
        <v>VIGENTE</v>
      </c>
      <c r="AD415" s="37">
        <f>+IF(GUAYAQUIL[[#This Row],[CODIGO]]="","",GUAYAQUIL[[#This Row],[Stock Actual Unds]]*GUAYAQUIL[[#This Row],[Gramaje]]*GUAYAQUIL[[#This Row],[Conversión]])/1000</f>
        <v>1.7399999999999999E-2</v>
      </c>
    </row>
    <row r="416" spans="1:30">
      <c r="A416" s="24" t="str">
        <f>+IFERROR(IF(GUAYAQUIL[[#This Row],[CODIGO]]="","",VLOOKUP(GUAYAQUIL[[#This Row],[CODIGO]],MAESTRO!$A:$J,10,FALSE)),"")</f>
        <v>MULTIEMPAQUE_SG</v>
      </c>
      <c r="B416" s="24" t="str">
        <f>+IFERROR(IF(GUAYAQUIL[[#This Row],[CODIGO]]="","",VLOOKUP(GUAYAQUIL[[#This Row],[CODIGO]],MAESTRO!$A:$Q,17,FALSE)),"")</f>
        <v>POSTRES</v>
      </c>
      <c r="C416" s="24" t="str">
        <f>+IFERROR(IF(GUAYAQUIL[[#This Row],[CODIGO]]="","",VLOOKUP(GUAYAQUIL[[#This Row],[CODIGO]],MAESTRO!$A:$BA,53,FALSE)),"")</f>
        <v xml:space="preserve">Luis Armendariz                         </v>
      </c>
      <c r="D416" s="24" t="str">
        <f>+IFERROR(IF(GUAYAQUIL[[#This Row],[CODIGO]]="","",VLOOKUP(GUAYAQUIL[[#This Row],[CODIGO]],MAESTRO!$A:$D,4,FALSE)),"")</f>
        <v>AREQUIPE ALPINA</v>
      </c>
      <c r="E416" s="24" t="str">
        <f>+IFERROR(IF(GUAYAQUIL[[#This Row],[CODIGO]]="","",VLOOKUP(GUAYAQUIL[[#This Row],[CODIGO]],MAESTRO!$A:$F,6,FALSE)),"")</f>
        <v>AREQUIPE ALPINA</v>
      </c>
      <c r="F416" s="42" t="str">
        <f>IF(GUAYAQUIL[[#This Row],[CODIGO]]="","",$K$6)</f>
        <v>GUAYAQUIL</v>
      </c>
      <c r="G416" s="42">
        <f>IF(GUAYAQUIL[[#This Row],[CODIGO]]="","",7711)</f>
        <v>7711</v>
      </c>
      <c r="H416" s="42">
        <f>IF(GUAYAQUIL[[#This Row],[CODIGO]]="","",1001)</f>
        <v>1001</v>
      </c>
      <c r="I416" s="257" t="s">
        <v>850</v>
      </c>
      <c r="J416" s="25" t="str">
        <f>IFERROR((VLOOKUP(GUAYAQUIL[[#This Row],[CODIGO]],MAESTRO!A:B,2,FALSE)),"")</f>
        <v>FOURPACK AREQUIPE Y PRETZELS 75 GR</v>
      </c>
      <c r="K416" s="26">
        <v>30</v>
      </c>
      <c r="L416" s="38">
        <f>+IFERROR(IF(GUAYAQUIL[[#This Row],[CODIGO]]="","",VLOOKUP(GUAYAQUIL[[#This Row],[CODIGO]],MAESTRO!$A:$BF,58,FALSE)),"")</f>
        <v>1</v>
      </c>
      <c r="M416" s="27">
        <f>+IFERROR(IF(GUAYAQUIL[[#This Row],[CODIGO]]="","",VLOOKUP(GUAYAQUIL[[#This Row],[CODIGO]],MAESTRO!A:N,14,FALSE)),"")</f>
        <v>0.3</v>
      </c>
      <c r="N416" s="28">
        <f>+IFERROR(IF(GUAYAQUIL[[#This Row],[CODIGO]]="","",VLOOKUP(GUAYAQUIL[[#This Row],[CODIGO]],MAESTRO!A:P,16,FALSE)),"")</f>
        <v>180</v>
      </c>
      <c r="O416" s="29">
        <v>45609</v>
      </c>
      <c r="P416" s="72" t="str">
        <f t="shared" si="30"/>
        <v>miércoles</v>
      </c>
      <c r="Q416" s="29">
        <f>IFERROR(IF(GUAYAQUIL[[#This Row],[CODIGO]]="","",IF(GUAYAQUIL[[#This Row],[Fecha Cad]]="","",(GUAYAQUIL[[#This Row],[Fecha Cad]]-GUAYAQUIL[[#This Row],[VIDA UTIL (Días)]]))+1),"")</f>
        <v>45567</v>
      </c>
      <c r="R416" s="29">
        <v>45746</v>
      </c>
      <c r="S416" s="30">
        <f t="shared" ca="1" si="31"/>
        <v>122</v>
      </c>
      <c r="T416" s="31">
        <f t="shared" ca="1" si="32"/>
        <v>0.67777777777777781</v>
      </c>
      <c r="U416" s="286">
        <v>30</v>
      </c>
      <c r="V416" s="267">
        <f>+IFERROR(IF(GUAYAQUIL[[#This Row],[CODIGO]]="","",GUAYAQUIL[[#This Row],[Stock Actual Unds]]*GUAYAQUIL[[#This Row],[Gramaje]]*GUAYAQUIL[[#This Row],[Conversión]]),"")</f>
        <v>9</v>
      </c>
      <c r="W416" s="270">
        <f t="shared" si="33"/>
        <v>42</v>
      </c>
      <c r="X416" s="32">
        <f t="shared" si="34"/>
        <v>0.76666666666666661</v>
      </c>
      <c r="Y416" s="236">
        <f>IFERROR(VLOOKUP(GUAYAQUIL[[#This Row],[CODIGO]],MAESTRO!A:BI,21,FALSE),0)</f>
        <v>2.5274799999999997</v>
      </c>
      <c r="Z416" s="237">
        <f>+IFERROR(IF(GUAYAQUIL[[#This Row],[CODIGO]]="","",GUAYAQUIL[[#This Row],[COSTO UNIT base]]*GUAYAQUIL[[#This Row],[Conversión]]),"")</f>
        <v>2.5274799999999997</v>
      </c>
      <c r="AA416" s="236">
        <f>+IFERROR(IF(GUAYAQUIL[[#This Row],[CODIGO]]="","",GUAYAQUIL[[#This Row],[COSTO UNIT Conv]]*GUAYAQUIL[[#This Row],[Stock Actual Kgs]]),"")</f>
        <v>22.747319999999998</v>
      </c>
      <c r="AB416" s="33">
        <f ca="1">+IFERROR(IF(GUAYAQUIL[[#This Row],[CODIGO]]="","",$J$3-O416),"")</f>
        <v>15</v>
      </c>
      <c r="AC416" s="34" t="str">
        <f ca="1">IF(GUAYAQUIL[[#This Row],[CODIGO]]="","",IF(S416&lt;=0,"CADUCADO",IF(AND(S416&gt;0,S416&lt;=21),"FECHA CORTA",IF(AND(S416&gt;=22,S416&lt;=26),"PROXIMOS FECHA CORTA", "VIGENTE"))))</f>
        <v>VIGENTE</v>
      </c>
      <c r="AD416" s="37">
        <f>+IF(GUAYAQUIL[[#This Row],[CODIGO]]="","",GUAYAQUIL[[#This Row],[Stock Actual Unds]]*GUAYAQUIL[[#This Row],[Gramaje]]*GUAYAQUIL[[#This Row],[Conversión]])/1000</f>
        <v>8.9999999999999993E-3</v>
      </c>
    </row>
    <row r="417" spans="1:30">
      <c r="A417" s="24" t="str">
        <f>+IFERROR(IF(GUAYAQUIL[[#This Row],[CODIGO]]="","",VLOOKUP(GUAYAQUIL[[#This Row],[CODIGO]],MAESTRO!$A:$J,10,FALSE)),"")</f>
        <v>SAN GABRIEL</v>
      </c>
      <c r="B417" s="24" t="str">
        <f>+IFERROR(IF(GUAYAQUIL[[#This Row],[CODIGO]]="","",VLOOKUP(GUAYAQUIL[[#This Row],[CODIGO]],MAESTRO!$A:$Q,17,FALSE)),"")</f>
        <v>QUESOS Y GRASAS</v>
      </c>
      <c r="C417" s="24" t="str">
        <f>+IFERROR(IF(GUAYAQUIL[[#This Row],[CODIGO]]="","",VLOOKUP(GUAYAQUIL[[#This Row],[CODIGO]],MAESTRO!$A:$BA,53,FALSE)),"")</f>
        <v xml:space="preserve">Esteban Montenegro                      </v>
      </c>
      <c r="D417" s="24" t="str">
        <f>+IFERROR(IF(GUAYAQUIL[[#This Row],[CODIGO]]="","",VLOOKUP(GUAYAQUIL[[#This Row],[CODIGO]],MAESTRO!$A:$D,4,FALSE)),"")</f>
        <v>QUESO SEMIMADURO KIOSKO</v>
      </c>
      <c r="E417" s="24" t="str">
        <f>+IFERROR(IF(GUAYAQUIL[[#This Row],[CODIGO]]="","",VLOOKUP(GUAYAQUIL[[#This Row],[CODIGO]],MAESTRO!$A:$F,6,FALSE)),"")</f>
        <v>QUESO JAVIERINO KIOSKO TAJADO</v>
      </c>
      <c r="F417" s="42" t="str">
        <f>IF(GUAYAQUIL[[#This Row],[CODIGO]]="","",$K$6)</f>
        <v>GUAYAQUIL</v>
      </c>
      <c r="G417" s="209">
        <f>IF(GUAYAQUIL[[#This Row],[CODIGO]]="","",7711)</f>
        <v>7711</v>
      </c>
      <c r="H417" s="209">
        <f>IF(GUAYAQUIL[[#This Row],[CODIGO]]="","",1001)</f>
        <v>1001</v>
      </c>
      <c r="I417" s="257" t="s">
        <v>3130</v>
      </c>
      <c r="J417" s="25" t="str">
        <f>IFERROR((VLOOKUP(GUAYAQUIL[[#This Row],[CODIGO]],MAESTRO!A:B,2,FALSE)),"")</f>
        <v>Q JAVIERINO KIOSKO RALLADO 1.5K</v>
      </c>
      <c r="K417" s="26">
        <v>0</v>
      </c>
      <c r="L417" s="38">
        <f>+IFERROR(IF(GUAYAQUIL[[#This Row],[CODIGO]]="","",VLOOKUP(GUAYAQUIL[[#This Row],[CODIGO]],MAESTRO!$A:$BF,58,FALSE)),"")</f>
        <v>1</v>
      </c>
      <c r="M417" s="27">
        <f>+IFERROR(IF(GUAYAQUIL[[#This Row],[CODIGO]]="","",VLOOKUP(GUAYAQUIL[[#This Row],[CODIGO]],MAESTRO!A:N,14,FALSE)),"")</f>
        <v>1.5</v>
      </c>
      <c r="N417" s="28">
        <f>+IFERROR(IF(GUAYAQUIL[[#This Row],[CODIGO]]="","",VLOOKUP(GUAYAQUIL[[#This Row],[CODIGO]],MAESTRO!A:P,16,FALSE)),"")</f>
        <v>60</v>
      </c>
      <c r="O417" s="29">
        <v>45597</v>
      </c>
      <c r="P417" s="72" t="str">
        <f t="shared" si="30"/>
        <v>viernes</v>
      </c>
      <c r="Q417" s="29">
        <f>IFERROR(IF(GUAYAQUIL[[#This Row],[CODIGO]]="","",IF(GUAYAQUIL[[#This Row],[Fecha Cad]]="","",(GUAYAQUIL[[#This Row],[Fecha Cad]]-GUAYAQUIL[[#This Row],[VIDA UTIL (Días)]]))+1),"")</f>
        <v>45627</v>
      </c>
      <c r="R417" s="29">
        <v>45686</v>
      </c>
      <c r="S417" s="30">
        <f t="shared" ca="1" si="31"/>
        <v>62</v>
      </c>
      <c r="T417" s="31">
        <f t="shared" ca="1" si="32"/>
        <v>1.0333333333333334</v>
      </c>
      <c r="U417" s="286">
        <v>3</v>
      </c>
      <c r="V417" s="267">
        <f>+IFERROR(IF(GUAYAQUIL[[#This Row],[CODIGO]]="","",GUAYAQUIL[[#This Row],[Stock Actual Unds]]*GUAYAQUIL[[#This Row],[Gramaje]]*GUAYAQUIL[[#This Row],[Conversión]]),"")</f>
        <v>4.5</v>
      </c>
      <c r="W417" s="270">
        <f t="shared" si="33"/>
        <v>-30</v>
      </c>
      <c r="X417" s="32">
        <f t="shared" si="34"/>
        <v>1.5</v>
      </c>
      <c r="Y417" s="236">
        <f>IFERROR(VLOOKUP(GUAYAQUIL[[#This Row],[CODIGO]],MAESTRO!A:BI,21,FALSE),0)</f>
        <v>10.255265</v>
      </c>
      <c r="Z417" s="237">
        <f>+IFERROR(IF(GUAYAQUIL[[#This Row],[CODIGO]]="","",GUAYAQUIL[[#This Row],[COSTO UNIT base]]*GUAYAQUIL[[#This Row],[Conversión]]),"")</f>
        <v>10.255265</v>
      </c>
      <c r="AA417" s="236">
        <f>+IFERROR(IF(GUAYAQUIL[[#This Row],[CODIGO]]="","",GUAYAQUIL[[#This Row],[COSTO UNIT Conv]]*GUAYAQUIL[[#This Row],[Stock Actual Kgs]]),"")</f>
        <v>46.148692499999996</v>
      </c>
      <c r="AB417" s="33">
        <f ca="1">+IFERROR(IF(GUAYAQUIL[[#This Row],[CODIGO]]="","",$J$3-O417),"")</f>
        <v>27</v>
      </c>
      <c r="AC417" s="34" t="str">
        <f ca="1">IF(GUAYAQUIL[[#This Row],[CODIGO]]="","",IF(S417&lt;=0,"CADUCADO",IF(AND(S417&gt;0,S417&lt;=21),"FECHA CORTA",IF(AND(S417&gt;=22,S417&lt;=26),"PROXIMOS FECHA CORTA", "VIGENTE"))))</f>
        <v>VIGENTE</v>
      </c>
      <c r="AD417" s="37">
        <f>+IF(GUAYAQUIL[[#This Row],[CODIGO]]="","",GUAYAQUIL[[#This Row],[Stock Actual Unds]]*GUAYAQUIL[[#This Row],[Gramaje]]*GUAYAQUIL[[#This Row],[Conversión]])/1000</f>
        <v>4.4999999999999997E-3</v>
      </c>
    </row>
    <row r="418" spans="1:30">
      <c r="A418" s="42" t="str">
        <f>+IFERROR(IF(GUAYAQUIL[[#This Row],[CODIGO]]="","",VLOOKUP(GUAYAQUIL[[#This Row],[CODIGO]],MAESTRO!$A:$J,10,FALSE)),"")</f>
        <v>SAN GABRIEL</v>
      </c>
      <c r="B418" s="42" t="str">
        <f>+IFERROR(IF(GUAYAQUIL[[#This Row],[CODIGO]]="","",VLOOKUP(GUAYAQUIL[[#This Row],[CODIGO]],MAESTRO!$A:$Q,17,FALSE)),"")</f>
        <v>QUESOS Y GRASAS</v>
      </c>
      <c r="C418" s="42" t="str">
        <f>+IFERROR(IF(GUAYAQUIL[[#This Row],[CODIGO]]="","",VLOOKUP(GUAYAQUIL[[#This Row],[CODIGO]],MAESTRO!$A:$BA,53,FALSE)),"")</f>
        <v xml:space="preserve">Esteban Montenegro                      </v>
      </c>
      <c r="D418" s="42" t="str">
        <f>+IFERROR(IF(GUAYAQUIL[[#This Row],[CODIGO]]="","",VLOOKUP(GUAYAQUIL[[#This Row],[CODIGO]],MAESTRO!$A:$D,4,FALSE)),"")</f>
        <v>QUESO SEMIMADURO KIOSKO</v>
      </c>
      <c r="E418" s="42" t="str">
        <f>+IFERROR(IF(GUAYAQUIL[[#This Row],[CODIGO]]="","",VLOOKUP(GUAYAQUIL[[#This Row],[CODIGO]],MAESTRO!$A:$F,6,FALSE)),"")</f>
        <v>QUESO JAVIERINO KIOSKO TAJADO</v>
      </c>
      <c r="F418" s="42" t="str">
        <f>IF(GUAYAQUIL[[#This Row],[CODIGO]]="","",$K$6)</f>
        <v>GUAYAQUIL</v>
      </c>
      <c r="G418" s="42">
        <f>IF(GUAYAQUIL[[#This Row],[CODIGO]]="","",7711)</f>
        <v>7711</v>
      </c>
      <c r="H418" s="42">
        <f>IF(GUAYAQUIL[[#This Row],[CODIGO]]="","",1001)</f>
        <v>1001</v>
      </c>
      <c r="I418" s="258" t="s">
        <v>3130</v>
      </c>
      <c r="J418" s="25" t="str">
        <f>IFERROR((VLOOKUP(GUAYAQUIL[[#This Row],[CODIGO]],MAESTRO!A:B,2,FALSE)),"")</f>
        <v>Q JAVIERINO KIOSKO RALLADO 1.5K</v>
      </c>
      <c r="K418" s="35">
        <v>100</v>
      </c>
      <c r="L418" s="205">
        <f>+IFERROR(IF(GUAYAQUIL[[#This Row],[CODIGO]]="","",VLOOKUP(GUAYAQUIL[[#This Row],[CODIGO]],MAESTRO!$A:$BF,58,FALSE)),"")</f>
        <v>1</v>
      </c>
      <c r="M418" s="27">
        <f>+IFERROR(IF(GUAYAQUIL[[#This Row],[CODIGO]]="","",VLOOKUP(GUAYAQUIL[[#This Row],[CODIGO]],MAESTRO!A:N,14,FALSE)),"")</f>
        <v>1.5</v>
      </c>
      <c r="N418" s="290">
        <f>+IFERROR(IF(GUAYAQUIL[[#This Row],[CODIGO]]="","",VLOOKUP(GUAYAQUIL[[#This Row],[CODIGO]],MAESTRO!A:P,16,FALSE)),"")</f>
        <v>60</v>
      </c>
      <c r="O418" s="45">
        <v>45611</v>
      </c>
      <c r="P418" s="292" t="str">
        <f t="shared" si="30"/>
        <v>viernes</v>
      </c>
      <c r="Q418" s="278">
        <f>IFERROR(IF(GUAYAQUIL[[#This Row],[CODIGO]]="","",IF(GUAYAQUIL[[#This Row],[Fecha Cad]]="","",(GUAYAQUIL[[#This Row],[Fecha Cad]]-GUAYAQUIL[[#This Row],[VIDA UTIL (Días)]]))+1),"")</f>
        <v>45610</v>
      </c>
      <c r="R418" s="45">
        <v>45669</v>
      </c>
      <c r="S418" s="30">
        <f t="shared" ca="1" si="31"/>
        <v>45</v>
      </c>
      <c r="T418" s="294">
        <f t="shared" ca="1" si="32"/>
        <v>0.75</v>
      </c>
      <c r="U418" s="295">
        <v>100</v>
      </c>
      <c r="V418" s="265">
        <f>+IFERROR(IF(GUAYAQUIL[[#This Row],[CODIGO]]="","",GUAYAQUIL[[#This Row],[Stock Actual Unds]]*GUAYAQUIL[[#This Row],[Gramaje]]*GUAYAQUIL[[#This Row],[Conversión]]),"")</f>
        <v>150</v>
      </c>
      <c r="W418" s="299">
        <f t="shared" si="33"/>
        <v>1</v>
      </c>
      <c r="X418" s="44">
        <f t="shared" si="34"/>
        <v>0.98333333333333328</v>
      </c>
      <c r="Y418" s="236">
        <f>IFERROR(VLOOKUP(GUAYAQUIL[[#This Row],[CODIGO]],MAESTRO!A:BI,21,FALSE),0)</f>
        <v>10.255265</v>
      </c>
      <c r="Z418" s="237">
        <f>+IFERROR(IF(GUAYAQUIL[[#This Row],[CODIGO]]="","",GUAYAQUIL[[#This Row],[COSTO UNIT base]]*GUAYAQUIL[[#This Row],[Conversión]]),"")</f>
        <v>10.255265</v>
      </c>
      <c r="AA418" s="236">
        <f>+IFERROR(IF(GUAYAQUIL[[#This Row],[CODIGO]]="","",GUAYAQUIL[[#This Row],[COSTO UNIT Conv]]*GUAYAQUIL[[#This Row],[Stock Actual Kgs]]),"")</f>
        <v>1538.2897499999999</v>
      </c>
      <c r="AB418" s="180">
        <f ca="1">+IFERROR(IF(GUAYAQUIL[[#This Row],[CODIGO]]="","",$J$3-O418),"")</f>
        <v>13</v>
      </c>
      <c r="AC418" s="35" t="str">
        <f ca="1">IF(GUAYAQUIL[[#This Row],[CODIGO]]="","",IF(S418&lt;=0,"CADUCADO",IF(AND(S418&gt;0,S418&lt;=21),"FECHA CORTA",IF(AND(S418&gt;=22,S418&lt;=26),"PROXIMOS FECHA CORTA", "VIGENTE"))))</f>
        <v>VIGENTE</v>
      </c>
      <c r="AD418" s="37">
        <f>+IF(GUAYAQUIL[[#This Row],[CODIGO]]="","",GUAYAQUIL[[#This Row],[Stock Actual Unds]]*GUAYAQUIL[[#This Row],[Gramaje]]*GUAYAQUIL[[#This Row],[Conversión]])/1000</f>
        <v>0.15</v>
      </c>
    </row>
    <row r="419" spans="1:30">
      <c r="A419" s="24" t="str">
        <f>+IFERROR(IF(GUAYAQUIL[[#This Row],[CODIGO]]="","",VLOOKUP(GUAYAQUIL[[#This Row],[CODIGO]],MAESTRO!$A:$J,10,FALSE)),"")</f>
        <v>SAN GABRIEL</v>
      </c>
      <c r="B419" s="24" t="str">
        <f>+IFERROR(IF(GUAYAQUIL[[#This Row],[CODIGO]]="","",VLOOKUP(GUAYAQUIL[[#This Row],[CODIGO]],MAESTRO!$A:$Q,17,FALSE)),"")</f>
        <v>QUESOS Y GRASAS</v>
      </c>
      <c r="C419" s="24" t="str">
        <f>+IFERROR(IF(GUAYAQUIL[[#This Row],[CODIGO]]="","",VLOOKUP(GUAYAQUIL[[#This Row],[CODIGO]],MAESTRO!$A:$BA,53,FALSE)),"")</f>
        <v xml:space="preserve">Esteban Montenegro                      </v>
      </c>
      <c r="D419" s="24" t="str">
        <f>+IFERROR(IF(GUAYAQUIL[[#This Row],[CODIGO]]="","",VLOOKUP(GUAYAQUIL[[#This Row],[CODIGO]],MAESTRO!$A:$D,4,FALSE)),"")</f>
        <v>QUESO SEMIMADURO KIOSKO</v>
      </c>
      <c r="E419" s="24" t="str">
        <f>+IFERROR(IF(GUAYAQUIL[[#This Row],[CODIGO]]="","",VLOOKUP(GUAYAQUIL[[#This Row],[CODIGO]],MAESTRO!$A:$F,6,FALSE)),"")</f>
        <v>QUESO JAVIERINO KIOSKO TAJADO</v>
      </c>
      <c r="F419" s="42" t="str">
        <f>IF(GUAYAQUIL[[#This Row],[CODIGO]]="","",$K$6)</f>
        <v>GUAYAQUIL</v>
      </c>
      <c r="G419" s="209">
        <f>IF(GUAYAQUIL[[#This Row],[CODIGO]]="","",7711)</f>
        <v>7711</v>
      </c>
      <c r="H419" s="209">
        <f>IF(GUAYAQUIL[[#This Row],[CODIGO]]="","",1001)</f>
        <v>1001</v>
      </c>
      <c r="I419" s="257" t="s">
        <v>3130</v>
      </c>
      <c r="J419" s="25" t="str">
        <f>IFERROR((VLOOKUP(GUAYAQUIL[[#This Row],[CODIGO]],MAESTRO!A:B,2,FALSE)),"")</f>
        <v>Q JAVIERINO KIOSKO RALLADO 1.5K</v>
      </c>
      <c r="K419" s="26">
        <v>230</v>
      </c>
      <c r="L419" s="38">
        <f>+IFERROR(IF(GUAYAQUIL[[#This Row],[CODIGO]]="","",VLOOKUP(GUAYAQUIL[[#This Row],[CODIGO]],MAESTRO!$A:$BF,58,FALSE)),"")</f>
        <v>1</v>
      </c>
      <c r="M419" s="27">
        <f>+IFERROR(IF(GUAYAQUIL[[#This Row],[CODIGO]]="","",VLOOKUP(GUAYAQUIL[[#This Row],[CODIGO]],MAESTRO!A:N,14,FALSE)),"")</f>
        <v>1.5</v>
      </c>
      <c r="N419" s="28">
        <f>+IFERROR(IF(GUAYAQUIL[[#This Row],[CODIGO]]="","",VLOOKUP(GUAYAQUIL[[#This Row],[CODIGO]],MAESTRO!A:P,16,FALSE)),"")</f>
        <v>60</v>
      </c>
      <c r="O419" s="29">
        <v>45610</v>
      </c>
      <c r="P419" s="72" t="str">
        <f t="shared" si="30"/>
        <v>jueves</v>
      </c>
      <c r="Q419" s="29">
        <f>IFERROR(IF(GUAYAQUIL[[#This Row],[CODIGO]]="","",IF(GUAYAQUIL[[#This Row],[Fecha Cad]]="","",(GUAYAQUIL[[#This Row],[Fecha Cad]]-GUAYAQUIL[[#This Row],[VIDA UTIL (Días)]]))+1),"")</f>
        <v>45609</v>
      </c>
      <c r="R419" s="29">
        <v>45668</v>
      </c>
      <c r="S419" s="30">
        <f t="shared" ca="1" si="31"/>
        <v>44</v>
      </c>
      <c r="T419" s="31">
        <f t="shared" ca="1" si="32"/>
        <v>0.73333333333333328</v>
      </c>
      <c r="U419" s="286">
        <v>113</v>
      </c>
      <c r="V419" s="267">
        <f>+IFERROR(IF(GUAYAQUIL[[#This Row],[CODIGO]]="","",GUAYAQUIL[[#This Row],[Stock Actual Unds]]*GUAYAQUIL[[#This Row],[Gramaje]]*GUAYAQUIL[[#This Row],[Conversión]]),"")</f>
        <v>169.5</v>
      </c>
      <c r="W419" s="270">
        <f t="shared" si="33"/>
        <v>1</v>
      </c>
      <c r="X419" s="32">
        <f t="shared" si="34"/>
        <v>0.98333333333333328</v>
      </c>
      <c r="Y419" s="236">
        <f>IFERROR(VLOOKUP(GUAYAQUIL[[#This Row],[CODIGO]],MAESTRO!A:BI,21,FALSE),0)</f>
        <v>10.255265</v>
      </c>
      <c r="Z419" s="237">
        <f>+IFERROR(IF(GUAYAQUIL[[#This Row],[CODIGO]]="","",GUAYAQUIL[[#This Row],[COSTO UNIT base]]*GUAYAQUIL[[#This Row],[Conversión]]),"")</f>
        <v>10.255265</v>
      </c>
      <c r="AA419" s="236">
        <f>+IFERROR(IF(GUAYAQUIL[[#This Row],[CODIGO]]="","",GUAYAQUIL[[#This Row],[COSTO UNIT Conv]]*GUAYAQUIL[[#This Row],[Stock Actual Kgs]]),"")</f>
        <v>1738.2674175</v>
      </c>
      <c r="AB419" s="33">
        <f ca="1">+IFERROR(IF(GUAYAQUIL[[#This Row],[CODIGO]]="","",$J$3-O419),"")</f>
        <v>14</v>
      </c>
      <c r="AC419" s="34" t="str">
        <f ca="1">IF(GUAYAQUIL[[#This Row],[CODIGO]]="","",IF(S419&lt;=0,"CADUCADO",IF(AND(S419&gt;0,S419&lt;=21),"FECHA CORTA",IF(AND(S419&gt;=22,S419&lt;=26),"PROXIMOS FECHA CORTA", "VIGENTE"))))</f>
        <v>VIGENTE</v>
      </c>
      <c r="AD419" s="37">
        <f>+IF(GUAYAQUIL[[#This Row],[CODIGO]]="","",GUAYAQUIL[[#This Row],[Stock Actual Unds]]*GUAYAQUIL[[#This Row],[Gramaje]]*GUAYAQUIL[[#This Row],[Conversión]])/1000</f>
        <v>0.16950000000000001</v>
      </c>
    </row>
    <row r="420" spans="1:30">
      <c r="A420" s="24" t="str">
        <f>+IFERROR(IF(GUAYAQUIL[[#This Row],[CODIGO]]="","",VLOOKUP(GUAYAQUIL[[#This Row],[CODIGO]],MAESTRO!$A:$J,10,FALSE)),"")</f>
        <v>SAN GABRIEL</v>
      </c>
      <c r="B420" s="24" t="str">
        <f>+IFERROR(IF(GUAYAQUIL[[#This Row],[CODIGO]]="","",VLOOKUP(GUAYAQUIL[[#This Row],[CODIGO]],MAESTRO!$A:$Q,17,FALSE)),"")</f>
        <v>QUESOS Y GRASAS</v>
      </c>
      <c r="C420" s="24" t="str">
        <f>+IFERROR(IF(GUAYAQUIL[[#This Row],[CODIGO]]="","",VLOOKUP(GUAYAQUIL[[#This Row],[CODIGO]],MAESTRO!$A:$BA,53,FALSE)),"")</f>
        <v xml:space="preserve">Esteban Montenegro                      </v>
      </c>
      <c r="D420" s="24" t="str">
        <f>+IFERROR(IF(GUAYAQUIL[[#This Row],[CODIGO]]="","",VLOOKUP(GUAYAQUIL[[#This Row],[CODIGO]],MAESTRO!$A:$D,4,FALSE)),"")</f>
        <v>QUESO SEMIMADURO KIOSKO</v>
      </c>
      <c r="E420" s="24" t="str">
        <f>+IFERROR(IF(GUAYAQUIL[[#This Row],[CODIGO]]="","",VLOOKUP(GUAYAQUIL[[#This Row],[CODIGO]],MAESTRO!$A:$F,6,FALSE)),"")</f>
        <v>QUESO JAVIERINO KIOSKO TAJADO</v>
      </c>
      <c r="F420" s="42" t="str">
        <f>IF(GUAYAQUIL[[#This Row],[CODIGO]]="","",$K$6)</f>
        <v>GUAYAQUIL</v>
      </c>
      <c r="G420" s="42">
        <f>IF(GUAYAQUIL[[#This Row],[CODIGO]]="","",7711)</f>
        <v>7711</v>
      </c>
      <c r="H420" s="42">
        <f>IF(GUAYAQUIL[[#This Row],[CODIGO]]="","",1001)</f>
        <v>1001</v>
      </c>
      <c r="I420" s="258" t="s">
        <v>3130</v>
      </c>
      <c r="J420" s="25" t="str">
        <f>IFERROR((VLOOKUP(GUAYAQUIL[[#This Row],[CODIGO]],MAESTRO!A:B,2,FALSE)),"")</f>
        <v>Q JAVIERINO KIOSKO RALLADO 1.5K</v>
      </c>
      <c r="K420" s="35">
        <v>10</v>
      </c>
      <c r="L420" s="38">
        <f>+IFERROR(IF(GUAYAQUIL[[#This Row],[CODIGO]]="","",VLOOKUP(GUAYAQUIL[[#This Row],[CODIGO]],MAESTRO!$A:$BF,58,FALSE)),"")</f>
        <v>1</v>
      </c>
      <c r="M420" s="27">
        <f>+IFERROR(IF(GUAYAQUIL[[#This Row],[CODIGO]]="","",VLOOKUP(GUAYAQUIL[[#This Row],[CODIGO]],MAESTRO!A:N,14,FALSE)),"")</f>
        <v>1.5</v>
      </c>
      <c r="N420" s="28">
        <f>+IFERROR(IF(GUAYAQUIL[[#This Row],[CODIGO]]="","",VLOOKUP(GUAYAQUIL[[#This Row],[CODIGO]],MAESTRO!A:P,16,FALSE)),"")</f>
        <v>60</v>
      </c>
      <c r="O420" s="29">
        <v>45615</v>
      </c>
      <c r="P420" s="72" t="str">
        <f t="shared" si="30"/>
        <v>martes</v>
      </c>
      <c r="Q420" s="29">
        <f>IFERROR(IF(GUAYAQUIL[[#This Row],[CODIGO]]="","",IF(GUAYAQUIL[[#This Row],[Fecha Cad]]="","",(GUAYAQUIL[[#This Row],[Fecha Cad]]-GUAYAQUIL[[#This Row],[VIDA UTIL (Días)]]))+1),"")</f>
        <v>45613</v>
      </c>
      <c r="R420" s="29">
        <v>45672</v>
      </c>
      <c r="S420" s="30">
        <f t="shared" ca="1" si="31"/>
        <v>48</v>
      </c>
      <c r="T420" s="31">
        <f t="shared" ca="1" si="32"/>
        <v>0.8</v>
      </c>
      <c r="U420" s="286">
        <v>10</v>
      </c>
      <c r="V420" s="266">
        <f>+IFERROR(IF(GUAYAQUIL[[#This Row],[CODIGO]]="","",GUAYAQUIL[[#This Row],[Stock Actual Unds]]*GUAYAQUIL[[#This Row],[Gramaje]]*GUAYAQUIL[[#This Row],[Conversión]]),"")</f>
        <v>15</v>
      </c>
      <c r="W420" s="270">
        <f t="shared" si="33"/>
        <v>2</v>
      </c>
      <c r="X420" s="32">
        <f t="shared" si="34"/>
        <v>0.96666666666666667</v>
      </c>
      <c r="Y420" s="236">
        <f>IFERROR(VLOOKUP(GUAYAQUIL[[#This Row],[CODIGO]],MAESTRO!A:BI,21,FALSE),0)</f>
        <v>10.255265</v>
      </c>
      <c r="Z420" s="237">
        <f>+IFERROR(IF(GUAYAQUIL[[#This Row],[CODIGO]]="","",GUAYAQUIL[[#This Row],[COSTO UNIT base]]*GUAYAQUIL[[#This Row],[Conversión]]),"")</f>
        <v>10.255265</v>
      </c>
      <c r="AA420" s="236">
        <f>+IFERROR(IF(GUAYAQUIL[[#This Row],[CODIGO]]="","",GUAYAQUIL[[#This Row],[COSTO UNIT Conv]]*GUAYAQUIL[[#This Row],[Stock Actual Kgs]]),"")</f>
        <v>153.82897499999999</v>
      </c>
      <c r="AB420" s="33">
        <f ca="1">+IFERROR(IF(GUAYAQUIL[[#This Row],[CODIGO]]="","",$J$3-O420),"")</f>
        <v>9</v>
      </c>
      <c r="AC420" s="34" t="str">
        <f ca="1">IF(GUAYAQUIL[[#This Row],[CODIGO]]="","",IF(S420&lt;=0,"CADUCADO",IF(AND(S420&gt;0,S420&lt;=21),"FECHA CORTA",IF(AND(S420&gt;=22,S420&lt;=26),"PROXIMOS FECHA CORTA", "VIGENTE"))))</f>
        <v>VIGENTE</v>
      </c>
      <c r="AD420" s="37">
        <f>+IF(GUAYAQUIL[[#This Row],[CODIGO]]="","",GUAYAQUIL[[#This Row],[Stock Actual Unds]]*GUAYAQUIL[[#This Row],[Gramaje]]*GUAYAQUIL[[#This Row],[Conversión]])/1000</f>
        <v>1.4999999999999999E-2</v>
      </c>
    </row>
    <row r="421" spans="1:30">
      <c r="A421" s="24" t="str">
        <f>+IFERROR(IF(GUAYAQUIL[[#This Row],[CODIGO]]="","",VLOOKUP(GUAYAQUIL[[#This Row],[CODIGO]],MAESTRO!$A:$J,10,FALSE)),"")</f>
        <v>SAN GABRIEL</v>
      </c>
      <c r="B421" s="24" t="str">
        <f>+IFERROR(IF(GUAYAQUIL[[#This Row],[CODIGO]]="","",VLOOKUP(GUAYAQUIL[[#This Row],[CODIGO]],MAESTRO!$A:$Q,17,FALSE)),"")</f>
        <v>QUESOS Y GRASAS</v>
      </c>
      <c r="C421" s="24" t="str">
        <f>+IFERROR(IF(GUAYAQUIL[[#This Row],[CODIGO]]="","",VLOOKUP(GUAYAQUIL[[#This Row],[CODIGO]],MAESTRO!$A:$BA,53,FALSE)),"")</f>
        <v xml:space="preserve">Esteban Montenegro                      </v>
      </c>
      <c r="D421" s="24" t="str">
        <f>+IFERROR(IF(GUAYAQUIL[[#This Row],[CODIGO]]="","",VLOOKUP(GUAYAQUIL[[#This Row],[CODIGO]],MAESTRO!$A:$D,4,FALSE)),"")</f>
        <v>QUESO SEMIMADURO KIOSKO</v>
      </c>
      <c r="E421" s="24" t="str">
        <f>+IFERROR(IF(GUAYAQUIL[[#This Row],[CODIGO]]="","",VLOOKUP(GUAYAQUIL[[#This Row],[CODIGO]],MAESTRO!$A:$F,6,FALSE)),"")</f>
        <v>QUESO JAVIERINO KIOSKO TAJADO</v>
      </c>
      <c r="F421" s="42" t="str">
        <f>IF(GUAYAQUIL[[#This Row],[CODIGO]]="","",$K$6)</f>
        <v>GUAYAQUIL</v>
      </c>
      <c r="G421" s="209">
        <f>IF(GUAYAQUIL[[#This Row],[CODIGO]]="","",7711)</f>
        <v>7711</v>
      </c>
      <c r="H421" s="209">
        <f>IF(GUAYAQUIL[[#This Row],[CODIGO]]="","",1001)</f>
        <v>1001</v>
      </c>
      <c r="I421" s="258" t="s">
        <v>3130</v>
      </c>
      <c r="J421" s="25" t="str">
        <f>IFERROR((VLOOKUP(GUAYAQUIL[[#This Row],[CODIGO]],MAESTRO!A:B,2,FALSE)),"")</f>
        <v>Q JAVIERINO KIOSKO RALLADO 1.5K</v>
      </c>
      <c r="K421" s="35">
        <v>10</v>
      </c>
      <c r="L421" s="38">
        <f>+IFERROR(IF(GUAYAQUIL[[#This Row],[CODIGO]]="","",VLOOKUP(GUAYAQUIL[[#This Row],[CODIGO]],MAESTRO!$A:$BF,58,FALSE)),"")</f>
        <v>1</v>
      </c>
      <c r="M421" s="27">
        <f>+IFERROR(IF(GUAYAQUIL[[#This Row],[CODIGO]]="","",VLOOKUP(GUAYAQUIL[[#This Row],[CODIGO]],MAESTRO!A:N,14,FALSE)),"")</f>
        <v>1.5</v>
      </c>
      <c r="N421" s="28">
        <f>+IFERROR(IF(GUAYAQUIL[[#This Row],[CODIGO]]="","",VLOOKUP(GUAYAQUIL[[#This Row],[CODIGO]],MAESTRO!A:P,16,FALSE)),"")</f>
        <v>60</v>
      </c>
      <c r="O421" s="29">
        <v>45617</v>
      </c>
      <c r="P421" s="72" t="str">
        <f t="shared" si="30"/>
        <v>jueves</v>
      </c>
      <c r="Q421" s="29">
        <f>IFERROR(IF(GUAYAQUIL[[#This Row],[CODIGO]]="","",IF(GUAYAQUIL[[#This Row],[Fecha Cad]]="","",(GUAYAQUIL[[#This Row],[Fecha Cad]]-GUAYAQUIL[[#This Row],[VIDA UTIL (Días)]]))+1),"")</f>
        <v>45616</v>
      </c>
      <c r="R421" s="29">
        <v>45675</v>
      </c>
      <c r="S421" s="30">
        <f t="shared" ca="1" si="31"/>
        <v>51</v>
      </c>
      <c r="T421" s="31">
        <f t="shared" ca="1" si="32"/>
        <v>0.85</v>
      </c>
      <c r="U421" s="286">
        <v>10</v>
      </c>
      <c r="V421" s="266">
        <f>+IFERROR(IF(GUAYAQUIL[[#This Row],[CODIGO]]="","",GUAYAQUIL[[#This Row],[Stock Actual Unds]]*GUAYAQUIL[[#This Row],[Gramaje]]*GUAYAQUIL[[#This Row],[Conversión]]),"")</f>
        <v>15</v>
      </c>
      <c r="W421" s="270">
        <f t="shared" si="33"/>
        <v>1</v>
      </c>
      <c r="X421" s="32">
        <f t="shared" si="34"/>
        <v>0.98333333333333328</v>
      </c>
      <c r="Y421" s="236">
        <f>IFERROR(VLOOKUP(GUAYAQUIL[[#This Row],[CODIGO]],MAESTRO!A:BI,21,FALSE),0)</f>
        <v>10.255265</v>
      </c>
      <c r="Z421" s="237">
        <f>+IFERROR(IF(GUAYAQUIL[[#This Row],[CODIGO]]="","",GUAYAQUIL[[#This Row],[COSTO UNIT base]]*GUAYAQUIL[[#This Row],[Conversión]]),"")</f>
        <v>10.255265</v>
      </c>
      <c r="AA421" s="236">
        <f>+IFERROR(IF(GUAYAQUIL[[#This Row],[CODIGO]]="","",GUAYAQUIL[[#This Row],[COSTO UNIT Conv]]*GUAYAQUIL[[#This Row],[Stock Actual Kgs]]),"")</f>
        <v>153.82897499999999</v>
      </c>
      <c r="AB421" s="33">
        <f ca="1">+IFERROR(IF(GUAYAQUIL[[#This Row],[CODIGO]]="","",$J$3-O421),"")</f>
        <v>7</v>
      </c>
      <c r="AC421" s="34" t="str">
        <f ca="1">IF(GUAYAQUIL[[#This Row],[CODIGO]]="","",IF(S421&lt;=0,"CADUCADO",IF(AND(S421&gt;0,S421&lt;=21),"FECHA CORTA",IF(AND(S421&gt;=22,S421&lt;=26),"PROXIMOS FECHA CORTA", "VIGENTE"))))</f>
        <v>VIGENTE</v>
      </c>
      <c r="AD421" s="37">
        <f>+IF(GUAYAQUIL[[#This Row],[CODIGO]]="","",GUAYAQUIL[[#This Row],[Stock Actual Unds]]*GUAYAQUIL[[#This Row],[Gramaje]]*GUAYAQUIL[[#This Row],[Conversión]])/1000</f>
        <v>1.4999999999999999E-2</v>
      </c>
    </row>
    <row r="422" spans="1:30">
      <c r="A422" s="24" t="str">
        <f>+IFERROR(IF(GUAYAQUIL[[#This Row],[CODIGO]]="","",VLOOKUP(GUAYAQUIL[[#This Row],[CODIGO]],MAESTRO!$A:$J,10,FALSE)),"")</f>
        <v>SAN GABRIEL</v>
      </c>
      <c r="B422" s="24" t="str">
        <f>+IFERROR(IF(GUAYAQUIL[[#This Row],[CODIGO]]="","",VLOOKUP(GUAYAQUIL[[#This Row],[CODIGO]],MAESTRO!$A:$Q,17,FALSE)),"")</f>
        <v>QUESOS Y GRASAS</v>
      </c>
      <c r="C422" s="24" t="str">
        <f>+IFERROR(IF(GUAYAQUIL[[#This Row],[CODIGO]]="","",VLOOKUP(GUAYAQUIL[[#This Row],[CODIGO]],MAESTRO!$A:$BA,53,FALSE)),"")</f>
        <v xml:space="preserve">Esteban Montenegro                      </v>
      </c>
      <c r="D422" s="24" t="str">
        <f>+IFERROR(IF(GUAYAQUIL[[#This Row],[CODIGO]]="","",VLOOKUP(GUAYAQUIL[[#This Row],[CODIGO]],MAESTRO!$A:$D,4,FALSE)),"")</f>
        <v>CREMA DE LECHE</v>
      </c>
      <c r="E422" s="24" t="str">
        <f>+IFERROR(IF(GUAYAQUIL[[#This Row],[CODIGO]]="","",VLOOKUP(GUAYAQUIL[[#This Row],[CODIGO]],MAESTRO!$A:$F,6,FALSE)),"")</f>
        <v>CREMA DE LECHE KIOSKO GALON</v>
      </c>
      <c r="F422" s="42" t="str">
        <f>IF(GUAYAQUIL[[#This Row],[CODIGO]]="","",$K$6)</f>
        <v>GUAYAQUIL</v>
      </c>
      <c r="G422" s="42">
        <f>IF(GUAYAQUIL[[#This Row],[CODIGO]]="","",7711)</f>
        <v>7711</v>
      </c>
      <c r="H422" s="42">
        <f>IF(GUAYAQUIL[[#This Row],[CODIGO]]="","",1001)</f>
        <v>1001</v>
      </c>
      <c r="I422" s="258" t="s">
        <v>1718</v>
      </c>
      <c r="J422" s="25" t="str">
        <f>IFERROR((VLOOKUP(GUAYAQUIL[[#This Row],[CODIGO]],MAESTRO!A:B,2,FALSE)),"")</f>
        <v>CREM LCH NAT KIOSKO GAR 3.5KG</v>
      </c>
      <c r="K422" s="35">
        <v>102</v>
      </c>
      <c r="L422" s="38">
        <f>+IFERROR(IF(GUAYAQUIL[[#This Row],[CODIGO]]="","",VLOOKUP(GUAYAQUIL[[#This Row],[CODIGO]],MAESTRO!$A:$BF,58,FALSE)),"")</f>
        <v>1</v>
      </c>
      <c r="M422" s="27">
        <f>+IFERROR(IF(GUAYAQUIL[[#This Row],[CODIGO]]="","",VLOOKUP(GUAYAQUIL[[#This Row],[CODIGO]],MAESTRO!A:N,14,FALSE)),"")</f>
        <v>3.5</v>
      </c>
      <c r="N422" s="28">
        <f>+IFERROR(IF(GUAYAQUIL[[#This Row],[CODIGO]]="","",VLOOKUP(GUAYAQUIL[[#This Row],[CODIGO]],MAESTRO!A:P,16,FALSE)),"")</f>
        <v>30</v>
      </c>
      <c r="O422" s="29">
        <v>45616</v>
      </c>
      <c r="P422" s="72" t="str">
        <f t="shared" si="30"/>
        <v>miércoles</v>
      </c>
      <c r="Q422" s="29">
        <f>IFERROR(IF(GUAYAQUIL[[#This Row],[CODIGO]]="","",IF(GUAYAQUIL[[#This Row],[Fecha Cad]]="","",(GUAYAQUIL[[#This Row],[Fecha Cad]]-GUAYAQUIL[[#This Row],[VIDA UTIL (Días)]]))+1),"")</f>
        <v>45615</v>
      </c>
      <c r="R422" s="29">
        <v>45644</v>
      </c>
      <c r="S422" s="30">
        <f t="shared" ca="1" si="31"/>
        <v>20</v>
      </c>
      <c r="T422" s="31">
        <f t="shared" ca="1" si="32"/>
        <v>0.66666666666666663</v>
      </c>
      <c r="U422" s="286">
        <v>27</v>
      </c>
      <c r="V422" s="266">
        <f>+IFERROR(IF(GUAYAQUIL[[#This Row],[CODIGO]]="","",GUAYAQUIL[[#This Row],[Stock Actual Unds]]*GUAYAQUIL[[#This Row],[Gramaje]]*GUAYAQUIL[[#This Row],[Conversión]]),"")</f>
        <v>94.5</v>
      </c>
      <c r="W422" s="270">
        <f t="shared" si="33"/>
        <v>1</v>
      </c>
      <c r="X422" s="32">
        <f t="shared" si="34"/>
        <v>0.96666666666666667</v>
      </c>
      <c r="Y422" s="236">
        <f>IFERROR(VLOOKUP(GUAYAQUIL[[#This Row],[CODIGO]],MAESTRO!A:BI,21,FALSE),0)</f>
        <v>6.7329100000000004</v>
      </c>
      <c r="Z422" s="237">
        <f>+IFERROR(IF(GUAYAQUIL[[#This Row],[CODIGO]]="","",GUAYAQUIL[[#This Row],[COSTO UNIT base]]*GUAYAQUIL[[#This Row],[Conversión]]),"")</f>
        <v>6.7329100000000004</v>
      </c>
      <c r="AA422" s="236">
        <f>+IFERROR(IF(GUAYAQUIL[[#This Row],[CODIGO]]="","",GUAYAQUIL[[#This Row],[COSTO UNIT Conv]]*GUAYAQUIL[[#This Row],[Stock Actual Kgs]]),"")</f>
        <v>636.259995</v>
      </c>
      <c r="AB422" s="33">
        <f ca="1">+IFERROR(IF(GUAYAQUIL[[#This Row],[CODIGO]]="","",$J$3-O422),"")</f>
        <v>8</v>
      </c>
      <c r="AC422" s="34" t="str">
        <f ca="1">IF(GUAYAQUIL[[#This Row],[CODIGO]]="","",IF(S422&lt;=0,"CADUCADO",IF(AND(S422&gt;0,S422&lt;=21),"FECHA CORTA",IF(AND(S422&gt;=22,S422&lt;=26),"PROXIMOS FECHA CORTA", "VIGENTE"))))</f>
        <v>FECHA CORTA</v>
      </c>
      <c r="AD422" s="37">
        <f>+IF(GUAYAQUIL[[#This Row],[CODIGO]]="","",GUAYAQUIL[[#This Row],[Stock Actual Unds]]*GUAYAQUIL[[#This Row],[Gramaje]]*GUAYAQUIL[[#This Row],[Conversión]])/1000</f>
        <v>9.4500000000000001E-2</v>
      </c>
    </row>
    <row r="423" spans="1:30">
      <c r="A423" s="24" t="str">
        <f>+IFERROR(IF(GUAYAQUIL[[#This Row],[CODIGO]]="","",VLOOKUP(GUAYAQUIL[[#This Row],[CODIGO]],MAESTRO!$A:$J,10,FALSE)),"")</f>
        <v>SAN GABRIEL</v>
      </c>
      <c r="B423" s="24" t="str">
        <f>+IFERROR(IF(GUAYAQUIL[[#This Row],[CODIGO]]="","",VLOOKUP(GUAYAQUIL[[#This Row],[CODIGO]],MAESTRO!$A:$Q,17,FALSE)),"")</f>
        <v>QUESOS Y GRASAS</v>
      </c>
      <c r="C423" s="24" t="str">
        <f>+IFERROR(IF(GUAYAQUIL[[#This Row],[CODIGO]]="","",VLOOKUP(GUAYAQUIL[[#This Row],[CODIGO]],MAESTRO!$A:$BA,53,FALSE)),"")</f>
        <v xml:space="preserve">Esteban Montenegro                      </v>
      </c>
      <c r="D423" s="24" t="str">
        <f>+IFERROR(IF(GUAYAQUIL[[#This Row],[CODIGO]]="","",VLOOKUP(GUAYAQUIL[[#This Row],[CODIGO]],MAESTRO!$A:$D,4,FALSE)),"")</f>
        <v>CREMA DE LECHE</v>
      </c>
      <c r="E423" s="24" t="str">
        <f>+IFERROR(IF(GUAYAQUIL[[#This Row],[CODIGO]]="","",VLOOKUP(GUAYAQUIL[[#This Row],[CODIGO]],MAESTRO!$A:$F,6,FALSE)),"")</f>
        <v>CREMA DE LECHE KIOSKO GALON</v>
      </c>
      <c r="F423" s="42" t="str">
        <f>IF(GUAYAQUIL[[#This Row],[CODIGO]]="","",$K$6)</f>
        <v>GUAYAQUIL</v>
      </c>
      <c r="G423" s="209">
        <f>IF(GUAYAQUIL[[#This Row],[CODIGO]]="","",7711)</f>
        <v>7711</v>
      </c>
      <c r="H423" s="209">
        <f>IF(GUAYAQUIL[[#This Row],[CODIGO]]="","",1001)</f>
        <v>1001</v>
      </c>
      <c r="I423" s="258" t="s">
        <v>1718</v>
      </c>
      <c r="J423" s="25" t="str">
        <f>IFERROR((VLOOKUP(GUAYAQUIL[[#This Row],[CODIGO]],MAESTRO!A:B,2,FALSE)),"")</f>
        <v>CREM LCH NAT KIOSKO GAR 3.5KG</v>
      </c>
      <c r="K423" s="35">
        <v>150</v>
      </c>
      <c r="L423" s="38">
        <f>+IFERROR(IF(GUAYAQUIL[[#This Row],[CODIGO]]="","",VLOOKUP(GUAYAQUIL[[#This Row],[CODIGO]],MAESTRO!$A:$BF,58,FALSE)),"")</f>
        <v>1</v>
      </c>
      <c r="M423" s="27">
        <f>+IFERROR(IF(GUAYAQUIL[[#This Row],[CODIGO]]="","",VLOOKUP(GUAYAQUIL[[#This Row],[CODIGO]],MAESTRO!A:N,14,FALSE)),"")</f>
        <v>3.5</v>
      </c>
      <c r="N423" s="28">
        <f>+IFERROR(IF(GUAYAQUIL[[#This Row],[CODIGO]]="","",VLOOKUP(GUAYAQUIL[[#This Row],[CODIGO]],MAESTRO!A:P,16,FALSE)),"")</f>
        <v>30</v>
      </c>
      <c r="O423" s="29">
        <v>45617</v>
      </c>
      <c r="P423" s="72" t="str">
        <f t="shared" si="30"/>
        <v>jueves</v>
      </c>
      <c r="Q423" s="29">
        <f>IFERROR(IF(GUAYAQUIL[[#This Row],[CODIGO]]="","",IF(GUAYAQUIL[[#This Row],[Fecha Cad]]="","",(GUAYAQUIL[[#This Row],[Fecha Cad]]-GUAYAQUIL[[#This Row],[VIDA UTIL (Días)]]))+1),"")</f>
        <v>45616</v>
      </c>
      <c r="R423" s="29">
        <v>45645</v>
      </c>
      <c r="S423" s="30">
        <f t="shared" ca="1" si="31"/>
        <v>21</v>
      </c>
      <c r="T423" s="31">
        <f t="shared" ca="1" si="32"/>
        <v>0.7</v>
      </c>
      <c r="U423" s="286">
        <v>150</v>
      </c>
      <c r="V423" s="266">
        <f>+IFERROR(IF(GUAYAQUIL[[#This Row],[CODIGO]]="","",GUAYAQUIL[[#This Row],[Stock Actual Unds]]*GUAYAQUIL[[#This Row],[Gramaje]]*GUAYAQUIL[[#This Row],[Conversión]]),"")</f>
        <v>525</v>
      </c>
      <c r="W423" s="270">
        <f t="shared" si="33"/>
        <v>1</v>
      </c>
      <c r="X423" s="32">
        <f t="shared" si="34"/>
        <v>0.96666666666666667</v>
      </c>
      <c r="Y423" s="236">
        <f>IFERROR(VLOOKUP(GUAYAQUIL[[#This Row],[CODIGO]],MAESTRO!A:BI,21,FALSE),0)</f>
        <v>6.7329100000000004</v>
      </c>
      <c r="Z423" s="237">
        <f>+IFERROR(IF(GUAYAQUIL[[#This Row],[CODIGO]]="","",GUAYAQUIL[[#This Row],[COSTO UNIT base]]*GUAYAQUIL[[#This Row],[Conversión]]),"")</f>
        <v>6.7329100000000004</v>
      </c>
      <c r="AA423" s="236">
        <f>+IFERROR(IF(GUAYAQUIL[[#This Row],[CODIGO]]="","",GUAYAQUIL[[#This Row],[COSTO UNIT Conv]]*GUAYAQUIL[[#This Row],[Stock Actual Kgs]]),"")</f>
        <v>3534.7777500000002</v>
      </c>
      <c r="AB423" s="33">
        <f ca="1">+IFERROR(IF(GUAYAQUIL[[#This Row],[CODIGO]]="","",$J$3-O423),"")</f>
        <v>7</v>
      </c>
      <c r="AC423" s="34" t="str">
        <f ca="1">IF(GUAYAQUIL[[#This Row],[CODIGO]]="","",IF(S423&lt;=0,"CADUCADO",IF(AND(S423&gt;0,S423&lt;=21),"FECHA CORTA",IF(AND(S423&gt;=22,S423&lt;=26),"PROXIMOS FECHA CORTA", "VIGENTE"))))</f>
        <v>FECHA CORTA</v>
      </c>
      <c r="AD423" s="37">
        <f>+IF(GUAYAQUIL[[#This Row],[CODIGO]]="","",GUAYAQUIL[[#This Row],[Stock Actual Unds]]*GUAYAQUIL[[#This Row],[Gramaje]]*GUAYAQUIL[[#This Row],[Conversión]])/1000</f>
        <v>0.52500000000000002</v>
      </c>
    </row>
    <row r="424" spans="1:30">
      <c r="A424" s="24" t="str">
        <f>+IFERROR(IF(GUAYAQUIL[[#This Row],[CODIGO]]="","",VLOOKUP(GUAYAQUIL[[#This Row],[CODIGO]],MAESTRO!$A:$J,10,FALSE)),"")</f>
        <v>SAN GABRIEL</v>
      </c>
      <c r="B424" s="24" t="str">
        <f>+IFERROR(IF(GUAYAQUIL[[#This Row],[CODIGO]]="","",VLOOKUP(GUAYAQUIL[[#This Row],[CODIGO]],MAESTRO!$A:$Q,17,FALSE)),"")</f>
        <v>QUESOS Y GRASAS</v>
      </c>
      <c r="C424" s="24" t="str">
        <f>+IFERROR(IF(GUAYAQUIL[[#This Row],[CODIGO]]="","",VLOOKUP(GUAYAQUIL[[#This Row],[CODIGO]],MAESTRO!$A:$BA,53,FALSE)),"")</f>
        <v xml:space="preserve">Esteban Montenegro                      </v>
      </c>
      <c r="D424" s="24" t="str">
        <f>+IFERROR(IF(GUAYAQUIL[[#This Row],[CODIGO]]="","",VLOOKUP(GUAYAQUIL[[#This Row],[CODIGO]],MAESTRO!$A:$D,4,FALSE)),"")</f>
        <v>CREMA DE LECHE</v>
      </c>
      <c r="E424" s="24" t="str">
        <f>+IFERROR(IF(GUAYAQUIL[[#This Row],[CODIGO]]="","",VLOOKUP(GUAYAQUIL[[#This Row],[CODIGO]],MAESTRO!$A:$F,6,FALSE)),"")</f>
        <v>CREMA DE LECHE KIOSKO GALON</v>
      </c>
      <c r="F424" s="42" t="str">
        <f>IF(GUAYAQUIL[[#This Row],[CODIGO]]="","",$K$6)</f>
        <v>GUAYAQUIL</v>
      </c>
      <c r="G424" s="42">
        <f>IF(GUAYAQUIL[[#This Row],[CODIGO]]="","",7711)</f>
        <v>7711</v>
      </c>
      <c r="H424" s="42">
        <f>IF(GUAYAQUIL[[#This Row],[CODIGO]]="","",1001)</f>
        <v>1001</v>
      </c>
      <c r="I424" s="258" t="s">
        <v>1718</v>
      </c>
      <c r="J424" s="25" t="str">
        <f>IFERROR((VLOOKUP(GUAYAQUIL[[#This Row],[CODIGO]],MAESTRO!A:B,2,FALSE)),"")</f>
        <v>CREM LCH NAT KIOSKO GAR 3.5KG</v>
      </c>
      <c r="K424" s="35">
        <v>54</v>
      </c>
      <c r="L424" s="38">
        <f>+IFERROR(IF(GUAYAQUIL[[#This Row],[CODIGO]]="","",VLOOKUP(GUAYAQUIL[[#This Row],[CODIGO]],MAESTRO!$A:$BF,58,FALSE)),"")</f>
        <v>1</v>
      </c>
      <c r="M424" s="27">
        <f>+IFERROR(IF(GUAYAQUIL[[#This Row],[CODIGO]]="","",VLOOKUP(GUAYAQUIL[[#This Row],[CODIGO]],MAESTRO!A:N,14,FALSE)),"")</f>
        <v>3.5</v>
      </c>
      <c r="N424" s="28">
        <f>+IFERROR(IF(GUAYAQUIL[[#This Row],[CODIGO]]="","",VLOOKUP(GUAYAQUIL[[#This Row],[CODIGO]],MAESTRO!A:P,16,FALSE)),"")</f>
        <v>30</v>
      </c>
      <c r="O424" s="29">
        <v>45617</v>
      </c>
      <c r="P424" s="72" t="str">
        <f t="shared" si="30"/>
        <v>jueves</v>
      </c>
      <c r="Q424" s="29">
        <f>IFERROR(IF(GUAYAQUIL[[#This Row],[CODIGO]]="","",IF(GUAYAQUIL[[#This Row],[Fecha Cad]]="","",(GUAYAQUIL[[#This Row],[Fecha Cad]]-GUAYAQUIL[[#This Row],[VIDA UTIL (Días)]]))+1),"")</f>
        <v>45615</v>
      </c>
      <c r="R424" s="29">
        <v>45644</v>
      </c>
      <c r="S424" s="30">
        <f t="shared" ca="1" si="31"/>
        <v>20</v>
      </c>
      <c r="T424" s="31">
        <f t="shared" ca="1" si="32"/>
        <v>0.66666666666666663</v>
      </c>
      <c r="U424" s="286">
        <v>54</v>
      </c>
      <c r="V424" s="266">
        <f>+IFERROR(IF(GUAYAQUIL[[#This Row],[CODIGO]]="","",GUAYAQUIL[[#This Row],[Stock Actual Unds]]*GUAYAQUIL[[#This Row],[Gramaje]]*GUAYAQUIL[[#This Row],[Conversión]]),"")</f>
        <v>189</v>
      </c>
      <c r="W424" s="270">
        <f t="shared" si="33"/>
        <v>2</v>
      </c>
      <c r="X424" s="32">
        <f t="shared" si="34"/>
        <v>0.93333333333333335</v>
      </c>
      <c r="Y424" s="236">
        <f>IFERROR(VLOOKUP(GUAYAQUIL[[#This Row],[CODIGO]],MAESTRO!A:BI,21,FALSE),0)</f>
        <v>6.7329100000000004</v>
      </c>
      <c r="Z424" s="237">
        <f>+IFERROR(IF(GUAYAQUIL[[#This Row],[CODIGO]]="","",GUAYAQUIL[[#This Row],[COSTO UNIT base]]*GUAYAQUIL[[#This Row],[Conversión]]),"")</f>
        <v>6.7329100000000004</v>
      </c>
      <c r="AA424" s="236">
        <f>+IFERROR(IF(GUAYAQUIL[[#This Row],[CODIGO]]="","",GUAYAQUIL[[#This Row],[COSTO UNIT Conv]]*GUAYAQUIL[[#This Row],[Stock Actual Kgs]]),"")</f>
        <v>1272.51999</v>
      </c>
      <c r="AB424" s="33">
        <f ca="1">+IFERROR(IF(GUAYAQUIL[[#This Row],[CODIGO]]="","",$J$3-O424),"")</f>
        <v>7</v>
      </c>
      <c r="AC424" s="34" t="str">
        <f ca="1">IF(GUAYAQUIL[[#This Row],[CODIGO]]="","",IF(S424&lt;=0,"CADUCADO",IF(AND(S424&gt;0,S424&lt;=21),"FECHA CORTA",IF(AND(S424&gt;=22,S424&lt;=26),"PROXIMOS FECHA CORTA", "VIGENTE"))))</f>
        <v>FECHA CORTA</v>
      </c>
      <c r="AD424" s="37">
        <f>+IF(GUAYAQUIL[[#This Row],[CODIGO]]="","",GUAYAQUIL[[#This Row],[Stock Actual Unds]]*GUAYAQUIL[[#This Row],[Gramaje]]*GUAYAQUIL[[#This Row],[Conversión]])/1000</f>
        <v>0.189</v>
      </c>
    </row>
    <row r="425" spans="1:30">
      <c r="A425" s="24" t="str">
        <f>+IFERROR(IF(GUAYAQUIL[[#This Row],[CODIGO]]="","",VLOOKUP(GUAYAQUIL[[#This Row],[CODIGO]],MAESTRO!$A:$J,10,FALSE)),"")</f>
        <v>SAN GABRIEL</v>
      </c>
      <c r="B425" s="24" t="str">
        <f>+IFERROR(IF(GUAYAQUIL[[#This Row],[CODIGO]]="","",VLOOKUP(GUAYAQUIL[[#This Row],[CODIGO]],MAESTRO!$A:$Q,17,FALSE)),"")</f>
        <v>QUESOS Y GRASAS</v>
      </c>
      <c r="C425" s="24" t="str">
        <f>+IFERROR(IF(GUAYAQUIL[[#This Row],[CODIGO]]="","",VLOOKUP(GUAYAQUIL[[#This Row],[CODIGO]],MAESTRO!$A:$BA,53,FALSE)),"")</f>
        <v xml:space="preserve">Esteban Montenegro                      </v>
      </c>
      <c r="D425" s="24" t="str">
        <f>+IFERROR(IF(GUAYAQUIL[[#This Row],[CODIGO]]="","",VLOOKUP(GUAYAQUIL[[#This Row],[CODIGO]],MAESTRO!$A:$D,4,FALSE)),"")</f>
        <v>QUESO SEMIMADURO KIOSKO</v>
      </c>
      <c r="E425" s="24" t="str">
        <f>+IFERROR(IF(GUAYAQUIL[[#This Row],[CODIGO]]="","",VLOOKUP(GUAYAQUIL[[#This Row],[CODIGO]],MAESTRO!$A:$F,6,FALSE)),"")</f>
        <v>QUESO AMERICANO KIOSKO TAJADO</v>
      </c>
      <c r="F425" s="42" t="str">
        <f>IF(GUAYAQUIL[[#This Row],[CODIGO]]="","",$K$6)</f>
        <v>GUAYAQUIL</v>
      </c>
      <c r="G425" s="42">
        <f>IF(GUAYAQUIL[[#This Row],[CODIGO]]="","",7711)</f>
        <v>7711</v>
      </c>
      <c r="H425" s="42">
        <f>IF(GUAYAQUIL[[#This Row],[CODIGO]]="","",1001)</f>
        <v>1001</v>
      </c>
      <c r="I425" s="258" t="s">
        <v>1579</v>
      </c>
      <c r="J425" s="25" t="str">
        <f>IFERROR((VLOOKUP(GUAYAQUIL[[#This Row],[CODIGO]],MAESTRO!A:B,2,FALSE)),"")</f>
        <v>Q AMERIC LONJ BKING AL PESO</v>
      </c>
      <c r="K425" s="35">
        <v>141</v>
      </c>
      <c r="L425" s="38">
        <f>+IFERROR(IF(GUAYAQUIL[[#This Row],[CODIGO]]="","",VLOOKUP(GUAYAQUIL[[#This Row],[CODIGO]],MAESTRO!$A:$BF,58,FALSE)),"")</f>
        <v>1.6</v>
      </c>
      <c r="M425" s="27">
        <f>+IFERROR(IF(GUAYAQUIL[[#This Row],[CODIGO]]="","",VLOOKUP(GUAYAQUIL[[#This Row],[CODIGO]],MAESTRO!A:N,14,FALSE)),"")</f>
        <v>1</v>
      </c>
      <c r="N425" s="28">
        <f>+IFERROR(IF(GUAYAQUIL[[#This Row],[CODIGO]]="","",VLOOKUP(GUAYAQUIL[[#This Row],[CODIGO]],MAESTRO!A:P,16,FALSE)),"")</f>
        <v>60</v>
      </c>
      <c r="O425" s="29">
        <v>45611</v>
      </c>
      <c r="P425" s="72" t="str">
        <f t="shared" si="30"/>
        <v>viernes</v>
      </c>
      <c r="Q425" s="29">
        <f>IFERROR(IF(GUAYAQUIL[[#This Row],[CODIGO]]="","",IF(GUAYAQUIL[[#This Row],[Fecha Cad]]="","",(GUAYAQUIL[[#This Row],[Fecha Cad]]-GUAYAQUIL[[#This Row],[VIDA UTIL (Días)]]))+1),"")</f>
        <v>45610</v>
      </c>
      <c r="R425" s="29">
        <v>45669</v>
      </c>
      <c r="S425" s="30">
        <f t="shared" ca="1" si="31"/>
        <v>45</v>
      </c>
      <c r="T425" s="31">
        <f t="shared" ca="1" si="32"/>
        <v>0.75</v>
      </c>
      <c r="U425" s="286">
        <v>12</v>
      </c>
      <c r="V425" s="266">
        <f>+IFERROR(IF(GUAYAQUIL[[#This Row],[CODIGO]]="","",GUAYAQUIL[[#This Row],[Stock Actual Unds]]*GUAYAQUIL[[#This Row],[Gramaje]]*GUAYAQUIL[[#This Row],[Conversión]]),"")</f>
        <v>19.200000000000003</v>
      </c>
      <c r="W425" s="270">
        <f t="shared" si="33"/>
        <v>1</v>
      </c>
      <c r="X425" s="32">
        <f t="shared" si="34"/>
        <v>0.98333333333333328</v>
      </c>
      <c r="Y425" s="236">
        <f>IFERROR(VLOOKUP(GUAYAQUIL[[#This Row],[CODIGO]],MAESTRO!A:BI,21,FALSE),0)</f>
        <v>6.6801849999999998</v>
      </c>
      <c r="Z425" s="237">
        <f>+IFERROR(IF(GUAYAQUIL[[#This Row],[CODIGO]]="","",GUAYAQUIL[[#This Row],[COSTO UNIT base]]*GUAYAQUIL[[#This Row],[Conversión]]),"")</f>
        <v>10.688296000000001</v>
      </c>
      <c r="AA425" s="236">
        <f>+IFERROR(IF(GUAYAQUIL[[#This Row],[CODIGO]]="","",GUAYAQUIL[[#This Row],[COSTO UNIT Conv]]*GUAYAQUIL[[#This Row],[Stock Actual Kgs]]),"")</f>
        <v>205.21528320000004</v>
      </c>
      <c r="AB425" s="33">
        <f ca="1">+IFERROR(IF(GUAYAQUIL[[#This Row],[CODIGO]]="","",$J$3-O425),"")</f>
        <v>13</v>
      </c>
      <c r="AC425" s="34" t="str">
        <f ca="1">IF(GUAYAQUIL[[#This Row],[CODIGO]]="","",IF(S425&lt;=0,"CADUCADO",IF(AND(S425&gt;0,S425&lt;=21),"FECHA CORTA",IF(AND(S425&gt;=22,S425&lt;=26),"PROXIMOS FECHA CORTA", "VIGENTE"))))</f>
        <v>VIGENTE</v>
      </c>
      <c r="AD425" s="37">
        <f>+IF(GUAYAQUIL[[#This Row],[CODIGO]]="","",GUAYAQUIL[[#This Row],[Stock Actual Unds]]*GUAYAQUIL[[#This Row],[Gramaje]]*GUAYAQUIL[[#This Row],[Conversión]])/1000</f>
        <v>1.9200000000000002E-2</v>
      </c>
    </row>
    <row r="426" spans="1:30">
      <c r="A426" s="24" t="str">
        <f>+IFERROR(IF(GUAYAQUIL[[#This Row],[CODIGO]]="","",VLOOKUP(GUAYAQUIL[[#This Row],[CODIGO]],MAESTRO!$A:$J,10,FALSE)),"")</f>
        <v>DULCENAC</v>
      </c>
      <c r="B426" s="24" t="str">
        <f>+IFERROR(IF(GUAYAQUIL[[#This Row],[CODIGO]]="","",VLOOKUP(GUAYAQUIL[[#This Row],[CODIGO]],MAESTRO!$A:$Q,17,FALSE)),"")</f>
        <v>POSTRES</v>
      </c>
      <c r="C426" s="24" t="str">
        <f>+IFERROR(IF(GUAYAQUIL[[#This Row],[CODIGO]]="","",VLOOKUP(GUAYAQUIL[[#This Row],[CODIGO]],MAESTRO!$A:$BA,53,FALSE)),"")</f>
        <v xml:space="preserve">Luis Armendariz                         </v>
      </c>
      <c r="D426" s="24" t="str">
        <f>+IFERROR(IF(GUAYAQUIL[[#This Row],[CODIGO]]="","",VLOOKUP(GUAYAQUIL[[#This Row],[CODIGO]],MAESTRO!$A:$D,4,FALSE)),"")</f>
        <v>AREQUIPE ALPINA</v>
      </c>
      <c r="E426" s="24" t="str">
        <f>+IFERROR(IF(GUAYAQUIL[[#This Row],[CODIGO]]="","",VLOOKUP(GUAYAQUIL[[#This Row],[CODIGO]],MAESTRO!$A:$F,6,FALSE)),"")</f>
        <v>AREQUIPE ALPINA</v>
      </c>
      <c r="F426" s="42" t="str">
        <f>IF(GUAYAQUIL[[#This Row],[CODIGO]]="","",$K$6)</f>
        <v>GUAYAQUIL</v>
      </c>
      <c r="G426" s="42">
        <f>IF(GUAYAQUIL[[#This Row],[CODIGO]]="","",7711)</f>
        <v>7711</v>
      </c>
      <c r="H426" s="42">
        <f>IF(GUAYAQUIL[[#This Row],[CODIGO]]="","",1001)</f>
        <v>1001</v>
      </c>
      <c r="I426" s="258" t="s">
        <v>4131</v>
      </c>
      <c r="J426" s="25" t="str">
        <f>IFERROR((VLOOKUP(GUAYAQUIL[[#This Row],[CODIGO]],MAESTRO!A:B,2,FALSE)),"")</f>
        <v>CAJA BARQ DE AREQ 240G</v>
      </c>
      <c r="K426" s="35">
        <v>24</v>
      </c>
      <c r="L426" s="38">
        <f>+IFERROR(IF(GUAYAQUIL[[#This Row],[CODIGO]]="","",VLOOKUP(GUAYAQUIL[[#This Row],[CODIGO]],MAESTRO!$A:$BF,58,FALSE)),"")</f>
        <v>1</v>
      </c>
      <c r="M426" s="27">
        <f>+IFERROR(IF(GUAYAQUIL[[#This Row],[CODIGO]]="","",VLOOKUP(GUAYAQUIL[[#This Row],[CODIGO]],MAESTRO!A:N,14,FALSE)),"")</f>
        <v>0.24</v>
      </c>
      <c r="N426" s="28">
        <f>+IFERROR(IF(GUAYAQUIL[[#This Row],[CODIGO]]="","",VLOOKUP(GUAYAQUIL[[#This Row],[CODIGO]],MAESTRO!A:P,16,FALSE)),"")</f>
        <v>540</v>
      </c>
      <c r="O426" s="29">
        <v>45612</v>
      </c>
      <c r="P426" s="72" t="str">
        <f t="shared" si="30"/>
        <v>sábado</v>
      </c>
      <c r="Q426" s="29">
        <f>IFERROR(IF(GUAYAQUIL[[#This Row],[CODIGO]]="","",IF(GUAYAQUIL[[#This Row],[Fecha Cad]]="","",(GUAYAQUIL[[#This Row],[Fecha Cad]]-GUAYAQUIL[[#This Row],[VIDA UTIL (Días)]]))+1),"")</f>
        <v>45223</v>
      </c>
      <c r="R426" s="29">
        <v>45762</v>
      </c>
      <c r="S426" s="30">
        <f t="shared" ca="1" si="31"/>
        <v>138</v>
      </c>
      <c r="T426" s="31">
        <f t="shared" ca="1" si="32"/>
        <v>0.25555555555555554</v>
      </c>
      <c r="U426" s="286">
        <v>23</v>
      </c>
      <c r="V426" s="266">
        <f>+IFERROR(IF(GUAYAQUIL[[#This Row],[CODIGO]]="","",GUAYAQUIL[[#This Row],[Stock Actual Unds]]*GUAYAQUIL[[#This Row],[Gramaje]]*GUAYAQUIL[[#This Row],[Conversión]]),"")</f>
        <v>5.52</v>
      </c>
      <c r="W426" s="270">
        <f t="shared" si="33"/>
        <v>389</v>
      </c>
      <c r="X426" s="32">
        <f t="shared" si="34"/>
        <v>0.27962962962962967</v>
      </c>
      <c r="Y426" s="236">
        <f>IFERROR(VLOOKUP(GUAYAQUIL[[#This Row],[CODIGO]],MAESTRO!A:BI,21,FALSE),0)</f>
        <v>1.5207199999999998</v>
      </c>
      <c r="Z426" s="237">
        <f>+IFERROR(IF(GUAYAQUIL[[#This Row],[CODIGO]]="","",GUAYAQUIL[[#This Row],[COSTO UNIT base]]*GUAYAQUIL[[#This Row],[Conversión]]),"")</f>
        <v>1.5207199999999998</v>
      </c>
      <c r="AA426" s="236">
        <f>+IFERROR(IF(GUAYAQUIL[[#This Row],[CODIGO]]="","",GUAYAQUIL[[#This Row],[COSTO UNIT Conv]]*GUAYAQUIL[[#This Row],[Stock Actual Kgs]]),"")</f>
        <v>8.3943743999999985</v>
      </c>
      <c r="AB426" s="33">
        <f ca="1">+IFERROR(IF(GUAYAQUIL[[#This Row],[CODIGO]]="","",$J$3-O426),"")</f>
        <v>12</v>
      </c>
      <c r="AC426" s="34" t="str">
        <f ca="1">IF(GUAYAQUIL[[#This Row],[CODIGO]]="","",IF(S426&lt;=0,"CADUCADO",IF(AND(S426&gt;0,S426&lt;=21),"FECHA CORTA",IF(AND(S426&gt;=22,S426&lt;=26),"PROXIMOS FECHA CORTA", "VIGENTE"))))</f>
        <v>VIGENTE</v>
      </c>
      <c r="AD426" s="37">
        <f>+IF(GUAYAQUIL[[#This Row],[CODIGO]]="","",GUAYAQUIL[[#This Row],[Stock Actual Unds]]*GUAYAQUIL[[#This Row],[Gramaje]]*GUAYAQUIL[[#This Row],[Conversión]])/1000</f>
        <v>5.5199999999999997E-3</v>
      </c>
    </row>
    <row r="427" spans="1:30">
      <c r="A427" s="24" t="str">
        <f>+IFERROR(IF(GUAYAQUIL[[#This Row],[CODIGO]]="","",VLOOKUP(GUAYAQUIL[[#This Row],[CODIGO]],MAESTRO!$A:$J,10,FALSE)),"")</f>
        <v>MACHACHI</v>
      </c>
      <c r="B427" s="24" t="str">
        <f>+IFERROR(IF(GUAYAQUIL[[#This Row],[CODIGO]]="","",VLOOKUP(GUAYAQUIL[[#This Row],[CODIGO]],MAESTRO!$A:$Q,17,FALSE)),"")</f>
        <v>BEBIDAS LACTEAS</v>
      </c>
      <c r="C427" s="24" t="str">
        <f>+IFERROR(IF(GUAYAQUIL[[#This Row],[CODIGO]]="","",VLOOKUP(GUAYAQUIL[[#This Row],[CODIGO]],MAESTRO!$A:$BA,53,FALSE)),"")</f>
        <v xml:space="preserve">Luis Armendariz                         </v>
      </c>
      <c r="D427" s="24" t="str">
        <f>+IFERROR(IF(GUAYAQUIL[[#This Row],[CODIGO]]="","",VLOOKUP(GUAYAQUIL[[#This Row],[CODIGO]],MAESTRO!$A:$D,4,FALSE)),"")</f>
        <v>BON YURT</v>
      </c>
      <c r="E427" s="24" t="str">
        <f>+IFERROR(IF(GUAYAQUIL[[#This Row],[CODIGO]]="","",VLOOKUP(GUAYAQUIL[[#This Row],[CODIGO]],MAESTRO!$A:$F,6,FALSE)),"")</f>
        <v>BON YURT MINI</v>
      </c>
      <c r="F427" s="42" t="str">
        <f>IF(GUAYAQUIL[[#This Row],[CODIGO]]="","",$K$6)</f>
        <v>GUAYAQUIL</v>
      </c>
      <c r="G427" s="209">
        <f>IF(GUAYAQUIL[[#This Row],[CODIGO]]="","",7711)</f>
        <v>7711</v>
      </c>
      <c r="H427" s="209">
        <f>IF(GUAYAQUIL[[#This Row],[CODIGO]]="","",1001)</f>
        <v>1001</v>
      </c>
      <c r="I427" s="257" t="s">
        <v>3599</v>
      </c>
      <c r="J427" s="25" t="str">
        <f>IFERROR((VLOOKUP(GUAYAQUIL[[#This Row],[CODIGO]],MAESTRO!A:B,2,FALSE)),"")</f>
        <v>BY MINI MASMELOS 88G</v>
      </c>
      <c r="K427" s="26">
        <v>490</v>
      </c>
      <c r="L427" s="38">
        <f>+IFERROR(IF(GUAYAQUIL[[#This Row],[CODIGO]]="","",VLOOKUP(GUAYAQUIL[[#This Row],[CODIGO]],MAESTRO!$A:$BF,58,FALSE)),"")</f>
        <v>1</v>
      </c>
      <c r="M427" s="27">
        <f>+IFERROR(IF(GUAYAQUIL[[#This Row],[CODIGO]]="","",VLOOKUP(GUAYAQUIL[[#This Row],[CODIGO]],MAESTRO!A:N,14,FALSE)),"")</f>
        <v>8.7999999999999995E-2</v>
      </c>
      <c r="N427" s="28">
        <f>+IFERROR(IF(GUAYAQUIL[[#This Row],[CODIGO]]="","",VLOOKUP(GUAYAQUIL[[#This Row],[CODIGO]],MAESTRO!A:P,16,FALSE)),"")</f>
        <v>45</v>
      </c>
      <c r="O427" s="29">
        <v>45605</v>
      </c>
      <c r="P427" s="72" t="str">
        <f t="shared" si="30"/>
        <v>sábado</v>
      </c>
      <c r="Q427" s="29">
        <f>IFERROR(IF(GUAYAQUIL[[#This Row],[CODIGO]]="","",IF(GUAYAQUIL[[#This Row],[Fecha Cad]]="","",(GUAYAQUIL[[#This Row],[Fecha Cad]]-GUAYAQUIL[[#This Row],[VIDA UTIL (Días)]]))+1),"")</f>
        <v>45595</v>
      </c>
      <c r="R427" s="29">
        <v>45639</v>
      </c>
      <c r="S427" s="30">
        <f t="shared" ca="1" si="31"/>
        <v>15</v>
      </c>
      <c r="T427" s="31">
        <f t="shared" ca="1" si="32"/>
        <v>0.33333333333333331</v>
      </c>
      <c r="U427" s="286">
        <v>96</v>
      </c>
      <c r="V427" s="267">
        <f>+IFERROR(IF(GUAYAQUIL[[#This Row],[CODIGO]]="","",GUAYAQUIL[[#This Row],[Stock Actual Unds]]*GUAYAQUIL[[#This Row],[Gramaje]]*GUAYAQUIL[[#This Row],[Conversión]]),"")</f>
        <v>8.4480000000000004</v>
      </c>
      <c r="W427" s="270">
        <f t="shared" si="33"/>
        <v>10</v>
      </c>
      <c r="X427" s="32">
        <f t="shared" si="34"/>
        <v>0.77777777777777779</v>
      </c>
      <c r="Y427" s="236">
        <f>IFERROR(VLOOKUP(GUAYAQUIL[[#This Row],[CODIGO]],MAESTRO!A:BI,21,FALSE),0)</f>
        <v>0.22021000000000002</v>
      </c>
      <c r="Z427" s="237">
        <f>+IFERROR(IF(GUAYAQUIL[[#This Row],[CODIGO]]="","",GUAYAQUIL[[#This Row],[COSTO UNIT base]]*GUAYAQUIL[[#This Row],[Conversión]]),"")</f>
        <v>0.22021000000000002</v>
      </c>
      <c r="AA427" s="236">
        <f>+IFERROR(IF(GUAYAQUIL[[#This Row],[CODIGO]]="","",GUAYAQUIL[[#This Row],[COSTO UNIT Conv]]*GUAYAQUIL[[#This Row],[Stock Actual Kgs]]),"")</f>
        <v>1.8603340800000003</v>
      </c>
      <c r="AB427" s="33">
        <f ca="1">+IFERROR(IF(GUAYAQUIL[[#This Row],[CODIGO]]="","",$J$3-O427),"")</f>
        <v>19</v>
      </c>
      <c r="AC427" s="34" t="str">
        <f ca="1">IF(GUAYAQUIL[[#This Row],[CODIGO]]="","",IF(S427&lt;=0,"CADUCADO",IF(AND(S427&gt;0,S427&lt;=21),"FECHA CORTA",IF(AND(S427&gt;=22,S427&lt;=26),"PROXIMOS FECHA CORTA", "VIGENTE"))))</f>
        <v>FECHA CORTA</v>
      </c>
      <c r="AD427" s="37">
        <f>+IF(GUAYAQUIL[[#This Row],[CODIGO]]="","",GUAYAQUIL[[#This Row],[Stock Actual Unds]]*GUAYAQUIL[[#This Row],[Gramaje]]*GUAYAQUIL[[#This Row],[Conversión]])/1000</f>
        <v>8.4480000000000006E-3</v>
      </c>
    </row>
    <row r="428" spans="1:30">
      <c r="A428" s="24" t="str">
        <f>+IFERROR(IF(GUAYAQUIL[[#This Row],[CODIGO]]="","",VLOOKUP(GUAYAQUIL[[#This Row],[CODIGO]],MAESTRO!$A:$J,10,FALSE)),"")</f>
        <v>MACHACHI</v>
      </c>
      <c r="B428" s="24" t="str">
        <f>+IFERROR(IF(GUAYAQUIL[[#This Row],[CODIGO]]="","",VLOOKUP(GUAYAQUIL[[#This Row],[CODIGO]],MAESTRO!$A:$Q,17,FALSE)),"")</f>
        <v>BEBIDAS LACTEAS</v>
      </c>
      <c r="C428" s="24" t="str">
        <f>+IFERROR(IF(GUAYAQUIL[[#This Row],[CODIGO]]="","",VLOOKUP(GUAYAQUIL[[#This Row],[CODIGO]],MAESTRO!$A:$BA,53,FALSE)),"")</f>
        <v xml:space="preserve">Luis Armendariz                         </v>
      </c>
      <c r="D428" s="24" t="str">
        <f>+IFERROR(IF(GUAYAQUIL[[#This Row],[CODIGO]]="","",VLOOKUP(GUAYAQUIL[[#This Row],[CODIGO]],MAESTRO!$A:$D,4,FALSE)),"")</f>
        <v>BON YURT</v>
      </c>
      <c r="E428" s="24" t="str">
        <f>+IFERROR(IF(GUAYAQUIL[[#This Row],[CODIGO]]="","",VLOOKUP(GUAYAQUIL[[#This Row],[CODIGO]],MAESTRO!$A:$F,6,FALSE)),"")</f>
        <v>BON YURT MINI</v>
      </c>
      <c r="F428" s="42" t="str">
        <f>IF(GUAYAQUIL[[#This Row],[CODIGO]]="","",$K$6)</f>
        <v>GUAYAQUIL</v>
      </c>
      <c r="G428" s="42">
        <f>IF(GUAYAQUIL[[#This Row],[CODIGO]]="","",7711)</f>
        <v>7711</v>
      </c>
      <c r="H428" s="42">
        <f>IF(GUAYAQUIL[[#This Row],[CODIGO]]="","",1001)</f>
        <v>1001</v>
      </c>
      <c r="I428" s="258" t="s">
        <v>3599</v>
      </c>
      <c r="J428" s="25" t="str">
        <f>IFERROR((VLOOKUP(GUAYAQUIL[[#This Row],[CODIGO]],MAESTRO!A:B,2,FALSE)),"")</f>
        <v>BY MINI MASMELOS 88G</v>
      </c>
      <c r="K428" s="35">
        <v>2100</v>
      </c>
      <c r="L428" s="38">
        <f>+IFERROR(IF(GUAYAQUIL[[#This Row],[CODIGO]]="","",VLOOKUP(GUAYAQUIL[[#This Row],[CODIGO]],MAESTRO!$A:$BF,58,FALSE)),"")</f>
        <v>1</v>
      </c>
      <c r="M428" s="27">
        <f>+IFERROR(IF(GUAYAQUIL[[#This Row],[CODIGO]]="","",VLOOKUP(GUAYAQUIL[[#This Row],[CODIGO]],MAESTRO!A:N,14,FALSE)),"")</f>
        <v>8.7999999999999995E-2</v>
      </c>
      <c r="N428" s="28">
        <f>+IFERROR(IF(GUAYAQUIL[[#This Row],[CODIGO]]="","",VLOOKUP(GUAYAQUIL[[#This Row],[CODIGO]],MAESTRO!A:P,16,FALSE)),"")</f>
        <v>45</v>
      </c>
      <c r="O428" s="45">
        <v>45612</v>
      </c>
      <c r="P428" s="72" t="str">
        <f t="shared" si="30"/>
        <v>sábado</v>
      </c>
      <c r="Q428" s="29">
        <f>IFERROR(IF(GUAYAQUIL[[#This Row],[CODIGO]]="","",IF(GUAYAQUIL[[#This Row],[Fecha Cad]]="","",(GUAYAQUIL[[#This Row],[Fecha Cad]]-GUAYAQUIL[[#This Row],[VIDA UTIL (Días)]]))+1),"")</f>
        <v>45603</v>
      </c>
      <c r="R428" s="45">
        <v>45647</v>
      </c>
      <c r="S428" s="30">
        <f t="shared" ca="1" si="31"/>
        <v>23</v>
      </c>
      <c r="T428" s="31">
        <f t="shared" ca="1" si="32"/>
        <v>0.51111111111111107</v>
      </c>
      <c r="U428" s="286">
        <v>2100</v>
      </c>
      <c r="V428" s="265">
        <f>+IFERROR(IF(GUAYAQUIL[[#This Row],[CODIGO]]="","",GUAYAQUIL[[#This Row],[Stock Actual Unds]]*GUAYAQUIL[[#This Row],[Gramaje]]*GUAYAQUIL[[#This Row],[Conversión]]),"")</f>
        <v>184.79999999999998</v>
      </c>
      <c r="W428" s="270">
        <f t="shared" si="33"/>
        <v>9</v>
      </c>
      <c r="X428" s="32">
        <f t="shared" si="34"/>
        <v>0.8</v>
      </c>
      <c r="Y428" s="236">
        <f>IFERROR(VLOOKUP(GUAYAQUIL[[#This Row],[CODIGO]],MAESTRO!A:BI,21,FALSE),0)</f>
        <v>0.22021000000000002</v>
      </c>
      <c r="Z428" s="237">
        <f>+IFERROR(IF(GUAYAQUIL[[#This Row],[CODIGO]]="","",GUAYAQUIL[[#This Row],[COSTO UNIT base]]*GUAYAQUIL[[#This Row],[Conversión]]),"")</f>
        <v>0.22021000000000002</v>
      </c>
      <c r="AA428" s="236">
        <f>+IFERROR(IF(GUAYAQUIL[[#This Row],[CODIGO]]="","",GUAYAQUIL[[#This Row],[COSTO UNIT Conv]]*GUAYAQUIL[[#This Row],[Stock Actual Kgs]]),"")</f>
        <v>40.694808000000002</v>
      </c>
      <c r="AB428" s="33">
        <f ca="1">+IFERROR(IF(GUAYAQUIL[[#This Row],[CODIGO]]="","",$J$3-O428),"")</f>
        <v>12</v>
      </c>
      <c r="AC428" s="34" t="str">
        <f ca="1">IF(GUAYAQUIL[[#This Row],[CODIGO]]="","",IF(S428&lt;=0,"CADUCADO",IF(AND(S428&gt;0,S428&lt;=21),"FECHA CORTA",IF(AND(S428&gt;=22,S428&lt;=26),"PROXIMOS FECHA CORTA", "VIGENTE"))))</f>
        <v>PROXIMOS FECHA CORTA</v>
      </c>
      <c r="AD428" s="37">
        <f>+IF(GUAYAQUIL[[#This Row],[CODIGO]]="","",GUAYAQUIL[[#This Row],[Stock Actual Unds]]*GUAYAQUIL[[#This Row],[Gramaje]]*GUAYAQUIL[[#This Row],[Conversión]])/1000</f>
        <v>0.18479999999999999</v>
      </c>
    </row>
    <row r="429" spans="1:30">
      <c r="A429" s="24" t="str">
        <f>+IFERROR(IF(GUAYAQUIL[[#This Row],[CODIGO]]="","",VLOOKUP(GUAYAQUIL[[#This Row],[CODIGO]],MAESTRO!$A:$J,10,FALSE)),"")</f>
        <v>MACHACHI</v>
      </c>
      <c r="B429" s="24" t="str">
        <f>+IFERROR(IF(GUAYAQUIL[[#This Row],[CODIGO]]="","",VLOOKUP(GUAYAQUIL[[#This Row],[CODIGO]],MAESTRO!$A:$Q,17,FALSE)),"")</f>
        <v>BEBIDAS LACTEAS</v>
      </c>
      <c r="C429" s="24" t="str">
        <f>+IFERROR(IF(GUAYAQUIL[[#This Row],[CODIGO]]="","",VLOOKUP(GUAYAQUIL[[#This Row],[CODIGO]],MAESTRO!$A:$BA,53,FALSE)),"")</f>
        <v xml:space="preserve">Luis Armendariz                         </v>
      </c>
      <c r="D429" s="24" t="str">
        <f>+IFERROR(IF(GUAYAQUIL[[#This Row],[CODIGO]]="","",VLOOKUP(GUAYAQUIL[[#This Row],[CODIGO]],MAESTRO!$A:$D,4,FALSE)),"")</f>
        <v>BON YURT</v>
      </c>
      <c r="E429" s="24" t="str">
        <f>+IFERROR(IF(GUAYAQUIL[[#This Row],[CODIGO]]="","",VLOOKUP(GUAYAQUIL[[#This Row],[CODIGO]],MAESTRO!$A:$F,6,FALSE)),"")</f>
        <v>BON YURT MINI</v>
      </c>
      <c r="F429" s="42" t="str">
        <f>IF(GUAYAQUIL[[#This Row],[CODIGO]]="","",$K$6)</f>
        <v>GUAYAQUIL</v>
      </c>
      <c r="G429" s="209">
        <f>IF(GUAYAQUIL[[#This Row],[CODIGO]]="","",7711)</f>
        <v>7711</v>
      </c>
      <c r="H429" s="209">
        <f>IF(GUAYAQUIL[[#This Row],[CODIGO]]="","",1001)</f>
        <v>1001</v>
      </c>
      <c r="I429" s="258" t="s">
        <v>3599</v>
      </c>
      <c r="J429" s="25" t="str">
        <f>IFERROR((VLOOKUP(GUAYAQUIL[[#This Row],[CODIGO]],MAESTRO!A:B,2,FALSE)),"")</f>
        <v>BY MINI MASMELOS 88G</v>
      </c>
      <c r="K429" s="35">
        <v>2100</v>
      </c>
      <c r="L429" s="38">
        <f>+IFERROR(IF(GUAYAQUIL[[#This Row],[CODIGO]]="","",VLOOKUP(GUAYAQUIL[[#This Row],[CODIGO]],MAESTRO!$A:$BF,58,FALSE)),"")</f>
        <v>1</v>
      </c>
      <c r="M429" s="27">
        <f>+IFERROR(IF(GUAYAQUIL[[#This Row],[CODIGO]]="","",VLOOKUP(GUAYAQUIL[[#This Row],[CODIGO]],MAESTRO!A:N,14,FALSE)),"")</f>
        <v>8.7999999999999995E-2</v>
      </c>
      <c r="N429" s="28">
        <f>+IFERROR(IF(GUAYAQUIL[[#This Row],[CODIGO]]="","",VLOOKUP(GUAYAQUIL[[#This Row],[CODIGO]],MAESTRO!A:P,16,FALSE)),"")</f>
        <v>45</v>
      </c>
      <c r="O429" s="45">
        <v>45611</v>
      </c>
      <c r="P429" s="72" t="str">
        <f t="shared" si="30"/>
        <v>viernes</v>
      </c>
      <c r="Q429" s="29">
        <f>IFERROR(IF(GUAYAQUIL[[#This Row],[CODIGO]]="","",IF(GUAYAQUIL[[#This Row],[Fecha Cad]]="","",(GUAYAQUIL[[#This Row],[Fecha Cad]]-GUAYAQUIL[[#This Row],[VIDA UTIL (Días)]]))+1),"")</f>
        <v>45603</v>
      </c>
      <c r="R429" s="45">
        <v>45647</v>
      </c>
      <c r="S429" s="30">
        <f t="shared" ca="1" si="31"/>
        <v>23</v>
      </c>
      <c r="T429" s="31">
        <f t="shared" ca="1" si="32"/>
        <v>0.51111111111111107</v>
      </c>
      <c r="U429" s="286">
        <v>1190</v>
      </c>
      <c r="V429" s="265">
        <f>+IFERROR(IF(GUAYAQUIL[[#This Row],[CODIGO]]="","",GUAYAQUIL[[#This Row],[Stock Actual Unds]]*GUAYAQUIL[[#This Row],[Gramaje]]*GUAYAQUIL[[#This Row],[Conversión]]),"")</f>
        <v>104.72</v>
      </c>
      <c r="W429" s="270">
        <f t="shared" si="33"/>
        <v>8</v>
      </c>
      <c r="X429" s="32">
        <f t="shared" si="34"/>
        <v>0.82222222222222219</v>
      </c>
      <c r="Y429" s="236">
        <f>IFERROR(VLOOKUP(GUAYAQUIL[[#This Row],[CODIGO]],MAESTRO!A:BI,21,FALSE),0)</f>
        <v>0.22021000000000002</v>
      </c>
      <c r="Z429" s="237">
        <f>+IFERROR(IF(GUAYAQUIL[[#This Row],[CODIGO]]="","",GUAYAQUIL[[#This Row],[COSTO UNIT base]]*GUAYAQUIL[[#This Row],[Conversión]]),"")</f>
        <v>0.22021000000000002</v>
      </c>
      <c r="AA429" s="236">
        <f>+IFERROR(IF(GUAYAQUIL[[#This Row],[CODIGO]]="","",GUAYAQUIL[[#This Row],[COSTO UNIT Conv]]*GUAYAQUIL[[#This Row],[Stock Actual Kgs]]),"")</f>
        <v>23.060391200000002</v>
      </c>
      <c r="AB429" s="33">
        <f ca="1">+IFERROR(IF(GUAYAQUIL[[#This Row],[CODIGO]]="","",$J$3-O429),"")</f>
        <v>13</v>
      </c>
      <c r="AC429" s="34" t="str">
        <f ca="1">IF(GUAYAQUIL[[#This Row],[CODIGO]]="","",IF(S429&lt;=0,"CADUCADO",IF(AND(S429&gt;0,S429&lt;=21),"FECHA CORTA",IF(AND(S429&gt;=22,S429&lt;=26),"PROXIMOS FECHA CORTA", "VIGENTE"))))</f>
        <v>PROXIMOS FECHA CORTA</v>
      </c>
      <c r="AD429" s="37">
        <f>+IF(GUAYAQUIL[[#This Row],[CODIGO]]="","",GUAYAQUIL[[#This Row],[Stock Actual Unds]]*GUAYAQUIL[[#This Row],[Gramaje]]*GUAYAQUIL[[#This Row],[Conversión]])/1000</f>
        <v>0.10471999999999999</v>
      </c>
    </row>
    <row r="430" spans="1:30">
      <c r="A430" s="24" t="str">
        <f>+IFERROR(IF(GUAYAQUIL[[#This Row],[CODIGO]]="","",VLOOKUP(GUAYAQUIL[[#This Row],[CODIGO]],MAESTRO!$A:$J,10,FALSE)),"")</f>
        <v>MACHACHI</v>
      </c>
      <c r="B430" s="24" t="str">
        <f>+IFERROR(IF(GUAYAQUIL[[#This Row],[CODIGO]]="","",VLOOKUP(GUAYAQUIL[[#This Row],[CODIGO]],MAESTRO!$A:$Q,17,FALSE)),"")</f>
        <v>BEBIDAS LACTEAS</v>
      </c>
      <c r="C430" s="24" t="str">
        <f>+IFERROR(IF(GUAYAQUIL[[#This Row],[CODIGO]]="","",VLOOKUP(GUAYAQUIL[[#This Row],[CODIGO]],MAESTRO!$A:$BA,53,FALSE)),"")</f>
        <v xml:space="preserve">Luis Armendariz                         </v>
      </c>
      <c r="D430" s="24" t="str">
        <f>+IFERROR(IF(GUAYAQUIL[[#This Row],[CODIGO]]="","",VLOOKUP(GUAYAQUIL[[#This Row],[CODIGO]],MAESTRO!$A:$D,4,FALSE)),"")</f>
        <v>BON YURT</v>
      </c>
      <c r="E430" s="24" t="str">
        <f>+IFERROR(IF(GUAYAQUIL[[#This Row],[CODIGO]]="","",VLOOKUP(GUAYAQUIL[[#This Row],[CODIGO]],MAESTRO!$A:$F,6,FALSE)),"")</f>
        <v>BON YURT MINI</v>
      </c>
      <c r="F430" s="42" t="str">
        <f>IF(GUAYAQUIL[[#This Row],[CODIGO]]="","",$K$6)</f>
        <v>GUAYAQUIL</v>
      </c>
      <c r="G430" s="42">
        <f>IF(GUAYAQUIL[[#This Row],[CODIGO]]="","",7711)</f>
        <v>7711</v>
      </c>
      <c r="H430" s="42">
        <f>IF(GUAYAQUIL[[#This Row],[CODIGO]]="","",1001)</f>
        <v>1001</v>
      </c>
      <c r="I430" s="258" t="s">
        <v>3599</v>
      </c>
      <c r="J430" s="25" t="str">
        <f>IFERROR((VLOOKUP(GUAYAQUIL[[#This Row],[CODIGO]],MAESTRO!A:B,2,FALSE)),"")</f>
        <v>BY MINI MASMELOS 88G</v>
      </c>
      <c r="K430" s="35">
        <v>1820</v>
      </c>
      <c r="L430" s="38">
        <f>+IFERROR(IF(GUAYAQUIL[[#This Row],[CODIGO]]="","",VLOOKUP(GUAYAQUIL[[#This Row],[CODIGO]],MAESTRO!$A:$BF,58,FALSE)),"")</f>
        <v>1</v>
      </c>
      <c r="M430" s="27">
        <f>+IFERROR(IF(GUAYAQUIL[[#This Row],[CODIGO]]="","",VLOOKUP(GUAYAQUIL[[#This Row],[CODIGO]],MAESTRO!A:N,14,FALSE)),"")</f>
        <v>8.7999999999999995E-2</v>
      </c>
      <c r="N430" s="28">
        <f>+IFERROR(IF(GUAYAQUIL[[#This Row],[CODIGO]]="","",VLOOKUP(GUAYAQUIL[[#This Row],[CODIGO]],MAESTRO!A:P,16,FALSE)),"")</f>
        <v>45</v>
      </c>
      <c r="O430" s="45">
        <v>45615</v>
      </c>
      <c r="P430" s="72" t="str">
        <f t="shared" si="30"/>
        <v>martes</v>
      </c>
      <c r="Q430" s="29">
        <f>IFERROR(IF(GUAYAQUIL[[#This Row],[CODIGO]]="","",IF(GUAYAQUIL[[#This Row],[Fecha Cad]]="","",(GUAYAQUIL[[#This Row],[Fecha Cad]]-GUAYAQUIL[[#This Row],[VIDA UTIL (Días)]]))+1),"")</f>
        <v>45603</v>
      </c>
      <c r="R430" s="45">
        <v>45647</v>
      </c>
      <c r="S430" s="30">
        <f t="shared" ca="1" si="31"/>
        <v>23</v>
      </c>
      <c r="T430" s="31">
        <f t="shared" ca="1" si="32"/>
        <v>0.51111111111111107</v>
      </c>
      <c r="U430" s="286">
        <v>1820</v>
      </c>
      <c r="V430" s="265">
        <f>+IFERROR(IF(GUAYAQUIL[[#This Row],[CODIGO]]="","",GUAYAQUIL[[#This Row],[Stock Actual Unds]]*GUAYAQUIL[[#This Row],[Gramaje]]*GUAYAQUIL[[#This Row],[Conversión]]),"")</f>
        <v>160.16</v>
      </c>
      <c r="W430" s="270">
        <f t="shared" si="33"/>
        <v>12</v>
      </c>
      <c r="X430" s="32">
        <f t="shared" si="34"/>
        <v>0.73333333333333339</v>
      </c>
      <c r="Y430" s="236">
        <f>IFERROR(VLOOKUP(GUAYAQUIL[[#This Row],[CODIGO]],MAESTRO!A:BI,21,FALSE),0)</f>
        <v>0.22021000000000002</v>
      </c>
      <c r="Z430" s="237">
        <f>+IFERROR(IF(GUAYAQUIL[[#This Row],[CODIGO]]="","",GUAYAQUIL[[#This Row],[COSTO UNIT base]]*GUAYAQUIL[[#This Row],[Conversión]]),"")</f>
        <v>0.22021000000000002</v>
      </c>
      <c r="AA430" s="236">
        <f>+IFERROR(IF(GUAYAQUIL[[#This Row],[CODIGO]]="","",GUAYAQUIL[[#This Row],[COSTO UNIT Conv]]*GUAYAQUIL[[#This Row],[Stock Actual Kgs]]),"")</f>
        <v>35.268833600000001</v>
      </c>
      <c r="AB430" s="33">
        <f ca="1">+IFERROR(IF(GUAYAQUIL[[#This Row],[CODIGO]]="","",$J$3-O430),"")</f>
        <v>9</v>
      </c>
      <c r="AC430" s="34" t="str">
        <f ca="1">IF(GUAYAQUIL[[#This Row],[CODIGO]]="","",IF(S430&lt;=0,"CADUCADO",IF(AND(S430&gt;0,S430&lt;=21),"FECHA CORTA",IF(AND(S430&gt;=22,S430&lt;=26),"PROXIMOS FECHA CORTA", "VIGENTE"))))</f>
        <v>PROXIMOS FECHA CORTA</v>
      </c>
      <c r="AD430" s="37">
        <f>+IF(GUAYAQUIL[[#This Row],[CODIGO]]="","",GUAYAQUIL[[#This Row],[Stock Actual Unds]]*GUAYAQUIL[[#This Row],[Gramaje]]*GUAYAQUIL[[#This Row],[Conversión]])/1000</f>
        <v>0.16016</v>
      </c>
    </row>
    <row r="431" spans="1:30">
      <c r="A431" s="24" t="str">
        <f>+IFERROR(IF(GUAYAQUIL[[#This Row],[CODIGO]]="","",VLOOKUP(GUAYAQUIL[[#This Row],[CODIGO]],MAESTRO!$A:$J,10,FALSE)),"")</f>
        <v>MACHACHI</v>
      </c>
      <c r="B431" s="24" t="str">
        <f>+IFERROR(IF(GUAYAQUIL[[#This Row],[CODIGO]]="","",VLOOKUP(GUAYAQUIL[[#This Row],[CODIGO]],MAESTRO!$A:$Q,17,FALSE)),"")</f>
        <v>BEBIDAS LACTEAS</v>
      </c>
      <c r="C431" s="24" t="str">
        <f>+IFERROR(IF(GUAYAQUIL[[#This Row],[CODIGO]]="","",VLOOKUP(GUAYAQUIL[[#This Row],[CODIGO]],MAESTRO!$A:$BA,53,FALSE)),"")</f>
        <v xml:space="preserve">Luis Armendariz                         </v>
      </c>
      <c r="D431" s="24" t="str">
        <f>+IFERROR(IF(GUAYAQUIL[[#This Row],[CODIGO]]="","",VLOOKUP(GUAYAQUIL[[#This Row],[CODIGO]],MAESTRO!$A:$D,4,FALSE)),"")</f>
        <v>BON YURT</v>
      </c>
      <c r="E431" s="24" t="str">
        <f>+IFERROR(IF(GUAYAQUIL[[#This Row],[CODIGO]]="","",VLOOKUP(GUAYAQUIL[[#This Row],[CODIGO]],MAESTRO!$A:$F,6,FALSE)),"")</f>
        <v>BON YURT MINI</v>
      </c>
      <c r="F431" s="42" t="str">
        <f>IF(GUAYAQUIL[[#This Row],[CODIGO]]="","",$K$6)</f>
        <v>GUAYAQUIL</v>
      </c>
      <c r="G431" s="209">
        <f>IF(GUAYAQUIL[[#This Row],[CODIGO]]="","",7711)</f>
        <v>7711</v>
      </c>
      <c r="H431" s="209">
        <f>IF(GUAYAQUIL[[#This Row],[CODIGO]]="","",1001)</f>
        <v>1001</v>
      </c>
      <c r="I431" s="258" t="s">
        <v>3599</v>
      </c>
      <c r="J431" s="25" t="str">
        <f>IFERROR((VLOOKUP(GUAYAQUIL[[#This Row],[CODIGO]],MAESTRO!A:B,2,FALSE)),"")</f>
        <v>BY MINI MASMELOS 88G</v>
      </c>
      <c r="K431" s="35">
        <v>1400</v>
      </c>
      <c r="L431" s="38">
        <f>+IFERROR(IF(GUAYAQUIL[[#This Row],[CODIGO]]="","",VLOOKUP(GUAYAQUIL[[#This Row],[CODIGO]],MAESTRO!$A:$BF,58,FALSE)),"")</f>
        <v>1</v>
      </c>
      <c r="M431" s="27">
        <f>+IFERROR(IF(GUAYAQUIL[[#This Row],[CODIGO]]="","",VLOOKUP(GUAYAQUIL[[#This Row],[CODIGO]],MAESTRO!A:N,14,FALSE)),"")</f>
        <v>8.7999999999999995E-2</v>
      </c>
      <c r="N431" s="28">
        <f>+IFERROR(IF(GUAYAQUIL[[#This Row],[CODIGO]]="","",VLOOKUP(GUAYAQUIL[[#This Row],[CODIGO]],MAESTRO!A:P,16,FALSE)),"")</f>
        <v>45</v>
      </c>
      <c r="O431" s="45">
        <v>45616</v>
      </c>
      <c r="P431" s="72" t="str">
        <f t="shared" si="30"/>
        <v>miércoles</v>
      </c>
      <c r="Q431" s="29">
        <f>IFERROR(IF(GUAYAQUIL[[#This Row],[CODIGO]]="","",IF(GUAYAQUIL[[#This Row],[Fecha Cad]]="","",(GUAYAQUIL[[#This Row],[Fecha Cad]]-GUAYAQUIL[[#This Row],[VIDA UTIL (Días)]]))+1),"")</f>
        <v>45609</v>
      </c>
      <c r="R431" s="45">
        <v>45653</v>
      </c>
      <c r="S431" s="30">
        <f t="shared" ca="1" si="31"/>
        <v>29</v>
      </c>
      <c r="T431" s="31">
        <f t="shared" ca="1" si="32"/>
        <v>0.64444444444444449</v>
      </c>
      <c r="U431" s="286">
        <v>140</v>
      </c>
      <c r="V431" s="265">
        <f>+IFERROR(IF(GUAYAQUIL[[#This Row],[CODIGO]]="","",GUAYAQUIL[[#This Row],[Stock Actual Unds]]*GUAYAQUIL[[#This Row],[Gramaje]]*GUAYAQUIL[[#This Row],[Conversión]]),"")</f>
        <v>12.319999999999999</v>
      </c>
      <c r="W431" s="270">
        <f t="shared" si="33"/>
        <v>7</v>
      </c>
      <c r="X431" s="32">
        <f t="shared" si="34"/>
        <v>0.84444444444444444</v>
      </c>
      <c r="Y431" s="236">
        <f>IFERROR(VLOOKUP(GUAYAQUIL[[#This Row],[CODIGO]],MAESTRO!A:BI,21,FALSE),0)</f>
        <v>0.22021000000000002</v>
      </c>
      <c r="Z431" s="237">
        <f>+IFERROR(IF(GUAYAQUIL[[#This Row],[CODIGO]]="","",GUAYAQUIL[[#This Row],[COSTO UNIT base]]*GUAYAQUIL[[#This Row],[Conversión]]),"")</f>
        <v>0.22021000000000002</v>
      </c>
      <c r="AA431" s="236">
        <f>+IFERROR(IF(GUAYAQUIL[[#This Row],[CODIGO]]="","",GUAYAQUIL[[#This Row],[COSTO UNIT Conv]]*GUAYAQUIL[[#This Row],[Stock Actual Kgs]]),"")</f>
        <v>2.7129871999999997</v>
      </c>
      <c r="AB431" s="33">
        <f ca="1">+IFERROR(IF(GUAYAQUIL[[#This Row],[CODIGO]]="","",$J$3-O431),"")</f>
        <v>8</v>
      </c>
      <c r="AC431" s="34" t="str">
        <f ca="1">IF(GUAYAQUIL[[#This Row],[CODIGO]]="","",IF(S431&lt;=0,"CADUCADO",IF(AND(S431&gt;0,S431&lt;=21),"FECHA CORTA",IF(AND(S431&gt;=22,S431&lt;=26),"PROXIMOS FECHA CORTA", "VIGENTE"))))</f>
        <v>VIGENTE</v>
      </c>
      <c r="AD431" s="37">
        <f>+IF(GUAYAQUIL[[#This Row],[CODIGO]]="","",GUAYAQUIL[[#This Row],[Stock Actual Unds]]*GUAYAQUIL[[#This Row],[Gramaje]]*GUAYAQUIL[[#This Row],[Conversión]])/1000</f>
        <v>1.2319999999999999E-2</v>
      </c>
    </row>
    <row r="432" spans="1:30">
      <c r="A432" s="24" t="str">
        <f>+IFERROR(IF(GUAYAQUIL[[#This Row],[CODIGO]]="","",VLOOKUP(GUAYAQUIL[[#This Row],[CODIGO]],MAESTRO!$A:$J,10,FALSE)),"")</f>
        <v>MACHACHI</v>
      </c>
      <c r="B432" s="24" t="str">
        <f>+IFERROR(IF(GUAYAQUIL[[#This Row],[CODIGO]]="","",VLOOKUP(GUAYAQUIL[[#This Row],[CODIGO]],MAESTRO!$A:$Q,17,FALSE)),"")</f>
        <v>BEBIDAS LACTEAS</v>
      </c>
      <c r="C432" s="24" t="str">
        <f>+IFERROR(IF(GUAYAQUIL[[#This Row],[CODIGO]]="","",VLOOKUP(GUAYAQUIL[[#This Row],[CODIGO]],MAESTRO!$A:$BA,53,FALSE)),"")</f>
        <v xml:space="preserve">Luis Armendariz                         </v>
      </c>
      <c r="D432" s="24" t="str">
        <f>+IFERROR(IF(GUAYAQUIL[[#This Row],[CODIGO]]="","",VLOOKUP(GUAYAQUIL[[#This Row],[CODIGO]],MAESTRO!$A:$D,4,FALSE)),"")</f>
        <v>BON YURT</v>
      </c>
      <c r="E432" s="24" t="str">
        <f>+IFERROR(IF(GUAYAQUIL[[#This Row],[CODIGO]]="","",VLOOKUP(GUAYAQUIL[[#This Row],[CODIGO]],MAESTRO!$A:$F,6,FALSE)),"")</f>
        <v>BON YURT MINI</v>
      </c>
      <c r="F432" s="42" t="str">
        <f>IF(GUAYAQUIL[[#This Row],[CODIGO]]="","",$K$6)</f>
        <v>GUAYAQUIL</v>
      </c>
      <c r="G432" s="42">
        <f>IF(GUAYAQUIL[[#This Row],[CODIGO]]="","",7711)</f>
        <v>7711</v>
      </c>
      <c r="H432" s="42">
        <f>IF(GUAYAQUIL[[#This Row],[CODIGO]]="","",1001)</f>
        <v>1001</v>
      </c>
      <c r="I432" s="257" t="s">
        <v>3599</v>
      </c>
      <c r="J432" s="25" t="str">
        <f>IFERROR((VLOOKUP(GUAYAQUIL[[#This Row],[CODIGO]],MAESTRO!A:B,2,FALSE)),"")</f>
        <v>BY MINI MASMELOS 88G</v>
      </c>
      <c r="K432" s="26">
        <v>1260</v>
      </c>
      <c r="L432" s="38">
        <f>+IFERROR(IF(GUAYAQUIL[[#This Row],[CODIGO]]="","",VLOOKUP(GUAYAQUIL[[#This Row],[CODIGO]],MAESTRO!$A:$BF,58,FALSE)),"")</f>
        <v>1</v>
      </c>
      <c r="M432" s="27">
        <f>+IFERROR(IF(GUAYAQUIL[[#This Row],[CODIGO]]="","",VLOOKUP(GUAYAQUIL[[#This Row],[CODIGO]],MAESTRO!A:N,14,FALSE)),"")</f>
        <v>8.7999999999999995E-2</v>
      </c>
      <c r="N432" s="28">
        <f>+IFERROR(IF(GUAYAQUIL[[#This Row],[CODIGO]]="","",VLOOKUP(GUAYAQUIL[[#This Row],[CODIGO]],MAESTRO!A:P,16,FALSE)),"")</f>
        <v>45</v>
      </c>
      <c r="O432" s="29">
        <v>45617</v>
      </c>
      <c r="P432" s="72" t="str">
        <f t="shared" si="30"/>
        <v>jueves</v>
      </c>
      <c r="Q432" s="29">
        <f>IFERROR(IF(GUAYAQUIL[[#This Row],[CODIGO]]="","",IF(GUAYAQUIL[[#This Row],[Fecha Cad]]="","",(GUAYAQUIL[[#This Row],[Fecha Cad]]-GUAYAQUIL[[#This Row],[VIDA UTIL (Días)]]))+1),"")</f>
        <v>45609</v>
      </c>
      <c r="R432" s="29">
        <v>45653</v>
      </c>
      <c r="S432" s="30">
        <f t="shared" ca="1" si="31"/>
        <v>29</v>
      </c>
      <c r="T432" s="31">
        <f t="shared" ca="1" si="32"/>
        <v>0.64444444444444449</v>
      </c>
      <c r="U432" s="286">
        <v>1260</v>
      </c>
      <c r="V432" s="267">
        <f>+IFERROR(IF(GUAYAQUIL[[#This Row],[CODIGO]]="","",GUAYAQUIL[[#This Row],[Stock Actual Unds]]*GUAYAQUIL[[#This Row],[Gramaje]]*GUAYAQUIL[[#This Row],[Conversión]]),"")</f>
        <v>110.88</v>
      </c>
      <c r="W432" s="270">
        <f t="shared" si="33"/>
        <v>8</v>
      </c>
      <c r="X432" s="32">
        <f t="shared" si="34"/>
        <v>0.82222222222222219</v>
      </c>
      <c r="Y432" s="236">
        <f>IFERROR(VLOOKUP(GUAYAQUIL[[#This Row],[CODIGO]],MAESTRO!A:BI,21,FALSE),0)</f>
        <v>0.22021000000000002</v>
      </c>
      <c r="Z432" s="237">
        <f>+IFERROR(IF(GUAYAQUIL[[#This Row],[CODIGO]]="","",GUAYAQUIL[[#This Row],[COSTO UNIT base]]*GUAYAQUIL[[#This Row],[Conversión]]),"")</f>
        <v>0.22021000000000002</v>
      </c>
      <c r="AA432" s="236">
        <f>+IFERROR(IF(GUAYAQUIL[[#This Row],[CODIGO]]="","",GUAYAQUIL[[#This Row],[COSTO UNIT Conv]]*GUAYAQUIL[[#This Row],[Stock Actual Kgs]]),"")</f>
        <v>24.416884800000002</v>
      </c>
      <c r="AB432" s="33">
        <f ca="1">+IFERROR(IF(GUAYAQUIL[[#This Row],[CODIGO]]="","",$J$3-O432),"")</f>
        <v>7</v>
      </c>
      <c r="AC432" s="34" t="str">
        <f ca="1">IF(GUAYAQUIL[[#This Row],[CODIGO]]="","",IF(S432&lt;=0,"CADUCADO",IF(AND(S432&gt;0,S432&lt;=21),"FECHA CORTA",IF(AND(S432&gt;=22,S432&lt;=26),"PROXIMOS FECHA CORTA", "VIGENTE"))))</f>
        <v>VIGENTE</v>
      </c>
      <c r="AD432" s="37">
        <f>+IF(GUAYAQUIL[[#This Row],[CODIGO]]="","",GUAYAQUIL[[#This Row],[Stock Actual Unds]]*GUAYAQUIL[[#This Row],[Gramaje]]*GUAYAQUIL[[#This Row],[Conversión]])/1000</f>
        <v>0.11087999999999999</v>
      </c>
    </row>
    <row r="433" spans="1:30">
      <c r="A433" s="24" t="str">
        <f>+IFERROR(IF(GUAYAQUIL[[#This Row],[CODIGO]]="","",VLOOKUP(GUAYAQUIL[[#This Row],[CODIGO]],MAESTRO!$A:$J,10,FALSE)),"")</f>
        <v>COLOMBIA</v>
      </c>
      <c r="B433" s="24" t="str">
        <f>+IFERROR(IF(GUAYAQUIL[[#This Row],[CODIGO]]="","",VLOOKUP(GUAYAQUIL[[#This Row],[CODIGO]],MAESTRO!$A:$Q,17,FALSE)),"")</f>
        <v>BEBIDAS LACTEAS</v>
      </c>
      <c r="C433" s="24" t="str">
        <f>+IFERROR(IF(GUAYAQUIL[[#This Row],[CODIGO]]="","",VLOOKUP(GUAYAQUIL[[#This Row],[CODIGO]],MAESTRO!$A:$BA,53,FALSE)),"")</f>
        <v xml:space="preserve">Luis Armendariz                         </v>
      </c>
      <c r="D433" s="24" t="str">
        <f>+IFERROR(IF(GUAYAQUIL[[#This Row],[CODIGO]]="","",VLOOKUP(GUAYAQUIL[[#This Row],[CODIGO]],MAESTRO!$A:$D,4,FALSE)),"")</f>
        <v>AVENA FINESSE</v>
      </c>
      <c r="E433" s="24" t="str">
        <f>+IFERROR(IF(GUAYAQUIL[[#This Row],[CODIGO]]="","",VLOOKUP(GUAYAQUIL[[#This Row],[CODIGO]],MAESTRO!$A:$F,6,FALSE)),"")</f>
        <v>AVENA FINESSE VASO</v>
      </c>
      <c r="F433" s="24" t="str">
        <f>IF(GUAYAQUIL[[#This Row],[CODIGO]]="","",$K$6)</f>
        <v>GUAYAQUIL</v>
      </c>
      <c r="G433" s="208">
        <f>IF(GUAYAQUIL[[#This Row],[CODIGO]]="","",7711)</f>
        <v>7711</v>
      </c>
      <c r="H433" s="208">
        <f>IF(GUAYAQUIL[[#This Row],[CODIGO]]="","",1001)</f>
        <v>1001</v>
      </c>
      <c r="I433" s="257" t="s">
        <v>4081</v>
      </c>
      <c r="J433" s="25" t="str">
        <f>IFERROR((VLOOKUP(GUAYAQUIL[[#This Row],[CODIGO]],MAESTRO!A:B,2,FALSE)),"")</f>
        <v>AVENA FINESSE VASO 250G ECU</v>
      </c>
      <c r="K433" s="26">
        <v>1344</v>
      </c>
      <c r="L433" s="38">
        <f>+IFERROR(IF(GUAYAQUIL[[#This Row],[CODIGO]]="","",VLOOKUP(GUAYAQUIL[[#This Row],[CODIGO]],MAESTRO!$A:$BF,58,FALSE)),"")</f>
        <v>1</v>
      </c>
      <c r="M433" s="27">
        <f>+IFERROR(IF(GUAYAQUIL[[#This Row],[CODIGO]]="","",VLOOKUP(GUAYAQUIL[[#This Row],[CODIGO]],MAESTRO!A:N,14,FALSE)),"")</f>
        <v>0.25</v>
      </c>
      <c r="N433" s="28">
        <f>+IFERROR(IF(GUAYAQUIL[[#This Row],[CODIGO]]="","",VLOOKUP(GUAYAQUIL[[#This Row],[CODIGO]],MAESTRO!A:P,16,FALSE)),"")</f>
        <v>180</v>
      </c>
      <c r="O433" s="29">
        <v>45597</v>
      </c>
      <c r="P433" s="72" t="str">
        <f t="shared" si="30"/>
        <v>viernes</v>
      </c>
      <c r="Q433" s="29">
        <f>IFERROR(IF(GUAYAQUIL[[#This Row],[CODIGO]]="","",IF(GUAYAQUIL[[#This Row],[Fecha Cad]]="","",(GUAYAQUIL[[#This Row],[Fecha Cad]]-GUAYAQUIL[[#This Row],[VIDA UTIL (Días)]]))+1),"")</f>
        <v>45561</v>
      </c>
      <c r="R433" s="29">
        <v>45740</v>
      </c>
      <c r="S433" s="30">
        <f t="shared" ca="1" si="31"/>
        <v>116</v>
      </c>
      <c r="T433" s="31">
        <f t="shared" ca="1" si="32"/>
        <v>0.64444444444444449</v>
      </c>
      <c r="U433" s="286">
        <v>281</v>
      </c>
      <c r="V433" s="267">
        <f>+IFERROR(IF(GUAYAQUIL[[#This Row],[CODIGO]]="","",GUAYAQUIL[[#This Row],[Stock Actual Unds]]*GUAYAQUIL[[#This Row],[Gramaje]]*GUAYAQUIL[[#This Row],[Conversión]]),"")</f>
        <v>70.25</v>
      </c>
      <c r="W433" s="270">
        <f t="shared" si="33"/>
        <v>36</v>
      </c>
      <c r="X433" s="32">
        <f t="shared" si="34"/>
        <v>0.8</v>
      </c>
      <c r="Y433" s="236">
        <f>IFERROR(VLOOKUP(GUAYAQUIL[[#This Row],[CODIGO]],MAESTRO!A:BI,21,FALSE),0)</f>
        <v>0.35793999999999998</v>
      </c>
      <c r="Z433" s="237">
        <f>+IFERROR(IF(GUAYAQUIL[[#This Row],[CODIGO]]="","",GUAYAQUIL[[#This Row],[COSTO UNIT base]]*GUAYAQUIL[[#This Row],[Conversión]]),"")</f>
        <v>0.35793999999999998</v>
      </c>
      <c r="AA433" s="236">
        <f>+IFERROR(IF(GUAYAQUIL[[#This Row],[CODIGO]]="","",GUAYAQUIL[[#This Row],[COSTO UNIT Conv]]*GUAYAQUIL[[#This Row],[Stock Actual Kgs]]),"")</f>
        <v>25.145284999999998</v>
      </c>
      <c r="AB433" s="33">
        <f ca="1">+IFERROR(IF(GUAYAQUIL[[#This Row],[CODIGO]]="","",$J$3-O433),"")</f>
        <v>27</v>
      </c>
      <c r="AC433" s="34" t="str">
        <f ca="1">IF(GUAYAQUIL[[#This Row],[CODIGO]]="","",IF(S433&lt;=0,"CADUCADO",IF(AND(S433&gt;0,S433&lt;=21),"FECHA CORTA",IF(AND(S433&gt;=22,S433&lt;=26),"PROXIMOS FECHA CORTA", "VIGENTE"))))</f>
        <v>VIGENTE</v>
      </c>
      <c r="AD433" s="37">
        <f>+IF(GUAYAQUIL[[#This Row],[CODIGO]]="","",GUAYAQUIL[[#This Row],[Stock Actual Unds]]*GUAYAQUIL[[#This Row],[Gramaje]]*GUAYAQUIL[[#This Row],[Conversión]])/1000</f>
        <v>7.0250000000000007E-2</v>
      </c>
    </row>
    <row r="434" spans="1:30">
      <c r="A434" s="24" t="str">
        <f>+IFERROR(IF(GUAYAQUIL[[#This Row],[CODIGO]]="","",VLOOKUP(GUAYAQUIL[[#This Row],[CODIGO]],MAESTRO!$A:$J,10,FALSE)),"")</f>
        <v>COLOMBIA</v>
      </c>
      <c r="B434" s="24" t="str">
        <f>+IFERROR(IF(GUAYAQUIL[[#This Row],[CODIGO]]="","",VLOOKUP(GUAYAQUIL[[#This Row],[CODIGO]],MAESTRO!$A:$Q,17,FALSE)),"")</f>
        <v>BEBIDAS LACTEAS</v>
      </c>
      <c r="C434" s="24" t="str">
        <f>+IFERROR(IF(GUAYAQUIL[[#This Row],[CODIGO]]="","",VLOOKUP(GUAYAQUIL[[#This Row],[CODIGO]],MAESTRO!$A:$BA,53,FALSE)),"")</f>
        <v xml:space="preserve">Luis Armendariz                         </v>
      </c>
      <c r="D434" s="24" t="str">
        <f>+IFERROR(IF(GUAYAQUIL[[#This Row],[CODIGO]]="","",VLOOKUP(GUAYAQUIL[[#This Row],[CODIGO]],MAESTRO!$A:$D,4,FALSE)),"")</f>
        <v>AVENA FINESSE</v>
      </c>
      <c r="E434" s="24" t="str">
        <f>+IFERROR(IF(GUAYAQUIL[[#This Row],[CODIGO]]="","",VLOOKUP(GUAYAQUIL[[#This Row],[CODIGO]],MAESTRO!$A:$F,6,FALSE)),"")</f>
        <v>AVENA FINESSE VASO</v>
      </c>
      <c r="F434" s="24" t="str">
        <f>IF(GUAYAQUIL[[#This Row],[CODIGO]]="","",$K$6)</f>
        <v>GUAYAQUIL</v>
      </c>
      <c r="G434" s="24">
        <f>IF(GUAYAQUIL[[#This Row],[CODIGO]]="","",7711)</f>
        <v>7711</v>
      </c>
      <c r="H434" s="24">
        <f>IF(GUAYAQUIL[[#This Row],[CODIGO]]="","",1001)</f>
        <v>1001</v>
      </c>
      <c r="I434" s="258" t="s">
        <v>4081</v>
      </c>
      <c r="J434" s="25" t="str">
        <f>IFERROR((VLOOKUP(GUAYAQUIL[[#This Row],[CODIGO]],MAESTRO!A:B,2,FALSE)),"")</f>
        <v>AVENA FINESSE VASO 250G ECU</v>
      </c>
      <c r="K434" s="35">
        <v>624</v>
      </c>
      <c r="L434" s="38">
        <f>+IFERROR(IF(GUAYAQUIL[[#This Row],[CODIGO]]="","",VLOOKUP(GUAYAQUIL[[#This Row],[CODIGO]],MAESTRO!$A:$BF,58,FALSE)),"")</f>
        <v>1</v>
      </c>
      <c r="M434" s="27">
        <f>+IFERROR(IF(GUAYAQUIL[[#This Row],[CODIGO]]="","",VLOOKUP(GUAYAQUIL[[#This Row],[CODIGO]],MAESTRO!A:N,14,FALSE)),"")</f>
        <v>0.25</v>
      </c>
      <c r="N434" s="28">
        <f>+IFERROR(IF(GUAYAQUIL[[#This Row],[CODIGO]]="","",VLOOKUP(GUAYAQUIL[[#This Row],[CODIGO]],MAESTRO!A:P,16,FALSE)),"")</f>
        <v>180</v>
      </c>
      <c r="O434" s="29">
        <v>45601</v>
      </c>
      <c r="P434" s="72" t="str">
        <f t="shared" si="30"/>
        <v>martes</v>
      </c>
      <c r="Q434" s="29">
        <f>IFERROR(IF(GUAYAQUIL[[#This Row],[CODIGO]]="","",IF(GUAYAQUIL[[#This Row],[Fecha Cad]]="","",(GUAYAQUIL[[#This Row],[Fecha Cad]]-GUAYAQUIL[[#This Row],[VIDA UTIL (Días)]]))+1),"")</f>
        <v>45561</v>
      </c>
      <c r="R434" s="29">
        <v>45740</v>
      </c>
      <c r="S434" s="30">
        <f t="shared" ca="1" si="31"/>
        <v>116</v>
      </c>
      <c r="T434" s="31">
        <f t="shared" ca="1" si="32"/>
        <v>0.64444444444444449</v>
      </c>
      <c r="U434" s="286">
        <v>624</v>
      </c>
      <c r="V434" s="266">
        <f>+IFERROR(IF(GUAYAQUIL[[#This Row],[CODIGO]]="","",GUAYAQUIL[[#This Row],[Stock Actual Unds]]*GUAYAQUIL[[#This Row],[Gramaje]]*GUAYAQUIL[[#This Row],[Conversión]]),"")</f>
        <v>156</v>
      </c>
      <c r="W434" s="270">
        <f t="shared" si="33"/>
        <v>40</v>
      </c>
      <c r="X434" s="32">
        <f t="shared" si="34"/>
        <v>0.77777777777777779</v>
      </c>
      <c r="Y434" s="236">
        <f>IFERROR(VLOOKUP(GUAYAQUIL[[#This Row],[CODIGO]],MAESTRO!A:BI,21,FALSE),0)</f>
        <v>0.35793999999999998</v>
      </c>
      <c r="Z434" s="237">
        <f>+IFERROR(IF(GUAYAQUIL[[#This Row],[CODIGO]]="","",GUAYAQUIL[[#This Row],[COSTO UNIT base]]*GUAYAQUIL[[#This Row],[Conversión]]),"")</f>
        <v>0.35793999999999998</v>
      </c>
      <c r="AA434" s="236">
        <f>+IFERROR(IF(GUAYAQUIL[[#This Row],[CODIGO]]="","",GUAYAQUIL[[#This Row],[COSTO UNIT Conv]]*GUAYAQUIL[[#This Row],[Stock Actual Kgs]]),"")</f>
        <v>55.838639999999998</v>
      </c>
      <c r="AB434" s="33">
        <f ca="1">+IFERROR(IF(GUAYAQUIL[[#This Row],[CODIGO]]="","",$J$3-O434),"")</f>
        <v>23</v>
      </c>
      <c r="AC434" s="34" t="str">
        <f ca="1">IF(GUAYAQUIL[[#This Row],[CODIGO]]="","",IF(S434&lt;=0,"CADUCADO",IF(AND(S434&gt;0,S434&lt;=21),"FECHA CORTA",IF(AND(S434&gt;=22,S434&lt;=26),"PROXIMOS FECHA CORTA", "VIGENTE"))))</f>
        <v>VIGENTE</v>
      </c>
      <c r="AD434" s="37">
        <f>+IF(GUAYAQUIL[[#This Row],[CODIGO]]="","",GUAYAQUIL[[#This Row],[Stock Actual Unds]]*GUAYAQUIL[[#This Row],[Gramaje]]*GUAYAQUIL[[#This Row],[Conversión]])/1000</f>
        <v>0.156</v>
      </c>
    </row>
    <row r="435" spans="1:30">
      <c r="A435" s="24" t="str">
        <f>+IFERROR(IF(GUAYAQUIL[[#This Row],[CODIGO]]="","",VLOOKUP(GUAYAQUIL[[#This Row],[CODIGO]],MAESTRO!$A:$J,10,FALSE)),"")</f>
        <v>COLOMBIA</v>
      </c>
      <c r="B435" s="24" t="str">
        <f>+IFERROR(IF(GUAYAQUIL[[#This Row],[CODIGO]]="","",VLOOKUP(GUAYAQUIL[[#This Row],[CODIGO]],MAESTRO!$A:$Q,17,FALSE)),"")</f>
        <v>BEBIDAS LACTEAS</v>
      </c>
      <c r="C435" s="24" t="str">
        <f>+IFERROR(IF(GUAYAQUIL[[#This Row],[CODIGO]]="","",VLOOKUP(GUAYAQUIL[[#This Row],[CODIGO]],MAESTRO!$A:$BA,53,FALSE)),"")</f>
        <v xml:space="preserve">Luis Armendariz                         </v>
      </c>
      <c r="D435" s="24" t="str">
        <f>+IFERROR(IF(GUAYAQUIL[[#This Row],[CODIGO]]="","",VLOOKUP(GUAYAQUIL[[#This Row],[CODIGO]],MAESTRO!$A:$D,4,FALSE)),"")</f>
        <v>AVENA FINESSE</v>
      </c>
      <c r="E435" s="24" t="str">
        <f>+IFERROR(IF(GUAYAQUIL[[#This Row],[CODIGO]]="","",VLOOKUP(GUAYAQUIL[[#This Row],[CODIGO]],MAESTRO!$A:$F,6,FALSE)),"")</f>
        <v>AVENA FINESSE VASO</v>
      </c>
      <c r="F435" s="42" t="str">
        <f>IF(GUAYAQUIL[[#This Row],[CODIGO]]="","",$K$6)</f>
        <v>GUAYAQUIL</v>
      </c>
      <c r="G435" s="209">
        <f>IF(GUAYAQUIL[[#This Row],[CODIGO]]="","",7711)</f>
        <v>7711</v>
      </c>
      <c r="H435" s="209">
        <f>IF(GUAYAQUIL[[#This Row],[CODIGO]]="","",1001)</f>
        <v>1001</v>
      </c>
      <c r="I435" s="258" t="s">
        <v>4081</v>
      </c>
      <c r="J435" s="25" t="str">
        <f>IFERROR((VLOOKUP(GUAYAQUIL[[#This Row],[CODIGO]],MAESTRO!A:B,2,FALSE)),"")</f>
        <v>AVENA FINESSE VASO 250G ECU</v>
      </c>
      <c r="K435" s="35">
        <v>624</v>
      </c>
      <c r="L435" s="38">
        <f>+IFERROR(IF(GUAYAQUIL[[#This Row],[CODIGO]]="","",VLOOKUP(GUAYAQUIL[[#This Row],[CODIGO]],MAESTRO!$A:$BF,58,FALSE)),"")</f>
        <v>1</v>
      </c>
      <c r="M435" s="27">
        <f>+IFERROR(IF(GUAYAQUIL[[#This Row],[CODIGO]]="","",VLOOKUP(GUAYAQUIL[[#This Row],[CODIGO]],MAESTRO!A:N,14,FALSE)),"")</f>
        <v>0.25</v>
      </c>
      <c r="N435" s="28">
        <f>+IFERROR(IF(GUAYAQUIL[[#This Row],[CODIGO]]="","",VLOOKUP(GUAYAQUIL[[#This Row],[CODIGO]],MAESTRO!A:P,16,FALSE)),"")</f>
        <v>180</v>
      </c>
      <c r="O435" s="45">
        <v>45610</v>
      </c>
      <c r="P435" s="72" t="str">
        <f t="shared" si="30"/>
        <v>jueves</v>
      </c>
      <c r="Q435" s="29">
        <f>IFERROR(IF(GUAYAQUIL[[#This Row],[CODIGO]]="","",IF(GUAYAQUIL[[#This Row],[Fecha Cad]]="","",(GUAYAQUIL[[#This Row],[Fecha Cad]]-GUAYAQUIL[[#This Row],[VIDA UTIL (Días)]]))+1),"")</f>
        <v>45562</v>
      </c>
      <c r="R435" s="45">
        <v>45741</v>
      </c>
      <c r="S435" s="30">
        <f t="shared" ca="1" si="31"/>
        <v>117</v>
      </c>
      <c r="T435" s="31">
        <f t="shared" ca="1" si="32"/>
        <v>0.65</v>
      </c>
      <c r="U435" s="286">
        <v>624</v>
      </c>
      <c r="V435" s="265">
        <f>+IFERROR(IF(GUAYAQUIL[[#This Row],[CODIGO]]="","",GUAYAQUIL[[#This Row],[Stock Actual Unds]]*GUAYAQUIL[[#This Row],[Gramaje]]*GUAYAQUIL[[#This Row],[Conversión]]),"")</f>
        <v>156</v>
      </c>
      <c r="W435" s="270">
        <f t="shared" si="33"/>
        <v>48</v>
      </c>
      <c r="X435" s="32">
        <f t="shared" si="34"/>
        <v>0.73333333333333339</v>
      </c>
      <c r="Y435" s="236">
        <f>IFERROR(VLOOKUP(GUAYAQUIL[[#This Row],[CODIGO]],MAESTRO!A:BI,21,FALSE),0)</f>
        <v>0.35793999999999998</v>
      </c>
      <c r="Z435" s="237">
        <f>+IFERROR(IF(GUAYAQUIL[[#This Row],[CODIGO]]="","",GUAYAQUIL[[#This Row],[COSTO UNIT base]]*GUAYAQUIL[[#This Row],[Conversión]]),"")</f>
        <v>0.35793999999999998</v>
      </c>
      <c r="AA435" s="236">
        <f>+IFERROR(IF(GUAYAQUIL[[#This Row],[CODIGO]]="","",GUAYAQUIL[[#This Row],[COSTO UNIT Conv]]*GUAYAQUIL[[#This Row],[Stock Actual Kgs]]),"")</f>
        <v>55.838639999999998</v>
      </c>
      <c r="AB435" s="33">
        <f ca="1">+IFERROR(IF(GUAYAQUIL[[#This Row],[CODIGO]]="","",$J$3-O435),"")</f>
        <v>14</v>
      </c>
      <c r="AC435" s="34" t="str">
        <f ca="1">IF(GUAYAQUIL[[#This Row],[CODIGO]]="","",IF(S435&lt;=0,"CADUCADO",IF(AND(S435&gt;0,S435&lt;=21),"FECHA CORTA",IF(AND(S435&gt;=22,S435&lt;=26),"PROXIMOS FECHA CORTA", "VIGENTE"))))</f>
        <v>VIGENTE</v>
      </c>
      <c r="AD435" s="37">
        <f>+IF(GUAYAQUIL[[#This Row],[CODIGO]]="","",GUAYAQUIL[[#This Row],[Stock Actual Unds]]*GUAYAQUIL[[#This Row],[Gramaje]]*GUAYAQUIL[[#This Row],[Conversión]])/1000</f>
        <v>0.156</v>
      </c>
    </row>
    <row r="436" spans="1:30">
      <c r="A436" s="24" t="str">
        <f>+IFERROR(IF(GUAYAQUIL[[#This Row],[CODIGO]]="","",VLOOKUP(GUAYAQUIL[[#This Row],[CODIGO]],MAESTRO!$A:$J,10,FALSE)),"")</f>
        <v>SAN GABRIEL</v>
      </c>
      <c r="B436" s="24" t="str">
        <f>+IFERROR(IF(GUAYAQUIL[[#This Row],[CODIGO]]="","",VLOOKUP(GUAYAQUIL[[#This Row],[CODIGO]],MAESTRO!$A:$Q,17,FALSE)),"")</f>
        <v>QUESOS Y GRASAS</v>
      </c>
      <c r="C436" s="24" t="str">
        <f>+IFERROR(IF(GUAYAQUIL[[#This Row],[CODIGO]]="","",VLOOKUP(GUAYAQUIL[[#This Row],[CODIGO]],MAESTRO!$A:$BA,53,FALSE)),"")</f>
        <v xml:space="preserve">Esteban Montenegro                      </v>
      </c>
      <c r="D436" s="24" t="str">
        <f>+IFERROR(IF(GUAYAQUIL[[#This Row],[CODIGO]]="","",VLOOKUP(GUAYAQUIL[[#This Row],[CODIGO]],MAESTRO!$A:$D,4,FALSE)),"")</f>
        <v>QUESO SEMIMADURO KIOSKO</v>
      </c>
      <c r="E436" s="24" t="str">
        <f>+IFERROR(IF(GUAYAQUIL[[#This Row],[CODIGO]]="","",VLOOKUP(GUAYAQUIL[[#This Row],[CODIGO]],MAESTRO!$A:$F,6,FALSE)),"")</f>
        <v>QUESO HOLANDES KIOSKO TAJADO</v>
      </c>
      <c r="F436" s="42" t="str">
        <f>IF(GUAYAQUIL[[#This Row],[CODIGO]]="","",$K$6)</f>
        <v>GUAYAQUIL</v>
      </c>
      <c r="G436" s="42">
        <f>IF(GUAYAQUIL[[#This Row],[CODIGO]]="","",7711)</f>
        <v>7711</v>
      </c>
      <c r="H436" s="42">
        <f>IF(GUAYAQUIL[[#This Row],[CODIGO]]="","",1001)</f>
        <v>1001</v>
      </c>
      <c r="I436" s="258" t="s">
        <v>4387</v>
      </c>
      <c r="J436" s="25" t="str">
        <f>IFERROR((VLOOKUP(GUAYAQUIL[[#This Row],[CODIGO]],MAESTRO!A:B,2,FALSE)),"")</f>
        <v>Q HOLANDES KIOSKO LONJAS 75G</v>
      </c>
      <c r="K436" s="35">
        <v>180</v>
      </c>
      <c r="L436" s="38">
        <f>+IFERROR(IF(GUAYAQUIL[[#This Row],[CODIGO]]="","",VLOOKUP(GUAYAQUIL[[#This Row],[CODIGO]],MAESTRO!$A:$BF,58,FALSE)),"")</f>
        <v>1</v>
      </c>
      <c r="M436" s="27">
        <f>+IFERROR(IF(GUAYAQUIL[[#This Row],[CODIGO]]="","",VLOOKUP(GUAYAQUIL[[#This Row],[CODIGO]],MAESTRO!A:N,14,FALSE)),"")</f>
        <v>7.4999999999999997E-2</v>
      </c>
      <c r="N436" s="28">
        <f>+IFERROR(IF(GUAYAQUIL[[#This Row],[CODIGO]]="","",VLOOKUP(GUAYAQUIL[[#This Row],[CODIGO]],MAESTRO!A:P,16,FALSE)),"")</f>
        <v>90</v>
      </c>
      <c r="O436" s="45">
        <v>45608</v>
      </c>
      <c r="P436" s="72" t="str">
        <f t="shared" si="30"/>
        <v>martes</v>
      </c>
      <c r="Q436" s="29">
        <f>IFERROR(IF(GUAYAQUIL[[#This Row],[CODIGO]]="","",IF(GUAYAQUIL[[#This Row],[Fecha Cad]]="","",(GUAYAQUIL[[#This Row],[Fecha Cad]]-GUAYAQUIL[[#This Row],[VIDA UTIL (Días)]]))+1),"")</f>
        <v>45601</v>
      </c>
      <c r="R436" s="45">
        <v>45690</v>
      </c>
      <c r="S436" s="30">
        <f t="shared" ca="1" si="31"/>
        <v>66</v>
      </c>
      <c r="T436" s="31">
        <f t="shared" ca="1" si="32"/>
        <v>0.73333333333333328</v>
      </c>
      <c r="U436" s="286">
        <v>44</v>
      </c>
      <c r="V436" s="265">
        <f>+IFERROR(IF(GUAYAQUIL[[#This Row],[CODIGO]]="","",GUAYAQUIL[[#This Row],[Stock Actual Unds]]*GUAYAQUIL[[#This Row],[Gramaje]]*GUAYAQUIL[[#This Row],[Conversión]]),"")</f>
        <v>3.3</v>
      </c>
      <c r="W436" s="270">
        <f t="shared" si="33"/>
        <v>7</v>
      </c>
      <c r="X436" s="32">
        <f t="shared" si="34"/>
        <v>0.92222222222222228</v>
      </c>
      <c r="Y436" s="236">
        <f>IFERROR(VLOOKUP(GUAYAQUIL[[#This Row],[CODIGO]],MAESTRO!A:BI,21,FALSE),0)</f>
        <v>0.59355000000000002</v>
      </c>
      <c r="Z436" s="237">
        <f>+IFERROR(IF(GUAYAQUIL[[#This Row],[CODIGO]]="","",GUAYAQUIL[[#This Row],[COSTO UNIT base]]*GUAYAQUIL[[#This Row],[Conversión]]),"")</f>
        <v>0.59355000000000002</v>
      </c>
      <c r="AA436" s="236">
        <f>+IFERROR(IF(GUAYAQUIL[[#This Row],[CODIGO]]="","",GUAYAQUIL[[#This Row],[COSTO UNIT Conv]]*GUAYAQUIL[[#This Row],[Stock Actual Kgs]]),"")</f>
        <v>1.958715</v>
      </c>
      <c r="AB436" s="33">
        <f ca="1">+IFERROR(IF(GUAYAQUIL[[#This Row],[CODIGO]]="","",$J$3-O436),"")</f>
        <v>16</v>
      </c>
      <c r="AC436" s="34" t="str">
        <f ca="1">IF(GUAYAQUIL[[#This Row],[CODIGO]]="","",IF(S436&lt;=0,"CADUCADO",IF(AND(S436&gt;0,S436&lt;=21),"FECHA CORTA",IF(AND(S436&gt;=22,S436&lt;=26),"PROXIMOS FECHA CORTA", "VIGENTE"))))</f>
        <v>VIGENTE</v>
      </c>
      <c r="AD436" s="37">
        <f>+IF(GUAYAQUIL[[#This Row],[CODIGO]]="","",GUAYAQUIL[[#This Row],[Stock Actual Unds]]*GUAYAQUIL[[#This Row],[Gramaje]]*GUAYAQUIL[[#This Row],[Conversión]])/1000</f>
        <v>3.3E-3</v>
      </c>
    </row>
    <row r="437" spans="1:30">
      <c r="A437" s="24" t="str">
        <f>+IFERROR(IF(GUAYAQUIL[[#This Row],[CODIGO]]="","",VLOOKUP(GUAYAQUIL[[#This Row],[CODIGO]],MAESTRO!$A:$J,10,FALSE)),"")</f>
        <v>SAN GABRIEL</v>
      </c>
      <c r="B437" s="24" t="str">
        <f>+IFERROR(IF(GUAYAQUIL[[#This Row],[CODIGO]]="","",VLOOKUP(GUAYAQUIL[[#This Row],[CODIGO]],MAESTRO!$A:$Q,17,FALSE)),"")</f>
        <v>QUESOS Y GRASAS</v>
      </c>
      <c r="C437" s="24" t="str">
        <f>+IFERROR(IF(GUAYAQUIL[[#This Row],[CODIGO]]="","",VLOOKUP(GUAYAQUIL[[#This Row],[CODIGO]],MAESTRO!$A:$BA,53,FALSE)),"")</f>
        <v xml:space="preserve">Esteban Montenegro                      </v>
      </c>
      <c r="D437" s="24" t="str">
        <f>+IFERROR(IF(GUAYAQUIL[[#This Row],[CODIGO]]="","",VLOOKUP(GUAYAQUIL[[#This Row],[CODIGO]],MAESTRO!$A:$D,4,FALSE)),"")</f>
        <v>QUESO SEMIMADURO KIOSKO</v>
      </c>
      <c r="E437" s="24" t="str">
        <f>+IFERROR(IF(GUAYAQUIL[[#This Row],[CODIGO]]="","",VLOOKUP(GUAYAQUIL[[#This Row],[CODIGO]],MAESTRO!$A:$F,6,FALSE)),"")</f>
        <v>QUESO HOLANDES KIOSKO TAJADO</v>
      </c>
      <c r="F437" s="42" t="str">
        <f>IF(GUAYAQUIL[[#This Row],[CODIGO]]="","",$K$6)</f>
        <v>GUAYAQUIL</v>
      </c>
      <c r="G437" s="209">
        <f>IF(GUAYAQUIL[[#This Row],[CODIGO]]="","",7711)</f>
        <v>7711</v>
      </c>
      <c r="H437" s="209">
        <f>IF(GUAYAQUIL[[#This Row],[CODIGO]]="","",1001)</f>
        <v>1001</v>
      </c>
      <c r="I437" s="258" t="s">
        <v>4387</v>
      </c>
      <c r="J437" s="25" t="str">
        <f>IFERROR((VLOOKUP(GUAYAQUIL[[#This Row],[CODIGO]],MAESTRO!A:B,2,FALSE)),"")</f>
        <v>Q HOLANDES KIOSKO LONJAS 75G</v>
      </c>
      <c r="K437" s="35">
        <v>240</v>
      </c>
      <c r="L437" s="38">
        <f>+IFERROR(IF(GUAYAQUIL[[#This Row],[CODIGO]]="","",VLOOKUP(GUAYAQUIL[[#This Row],[CODIGO]],MAESTRO!$A:$BF,58,FALSE)),"")</f>
        <v>1</v>
      </c>
      <c r="M437" s="27">
        <f>+IFERROR(IF(GUAYAQUIL[[#This Row],[CODIGO]]="","",VLOOKUP(GUAYAQUIL[[#This Row],[CODIGO]],MAESTRO!A:N,14,FALSE)),"")</f>
        <v>7.4999999999999997E-2</v>
      </c>
      <c r="N437" s="28">
        <f>+IFERROR(IF(GUAYAQUIL[[#This Row],[CODIGO]]="","",VLOOKUP(GUAYAQUIL[[#This Row],[CODIGO]],MAESTRO!A:P,16,FALSE)),"")</f>
        <v>90</v>
      </c>
      <c r="O437" s="29">
        <v>45615</v>
      </c>
      <c r="P437" s="72" t="str">
        <f t="shared" si="30"/>
        <v>martes</v>
      </c>
      <c r="Q437" s="29">
        <f>IFERROR(IF(GUAYAQUIL[[#This Row],[CODIGO]]="","",IF(GUAYAQUIL[[#This Row],[Fecha Cad]]="","",(GUAYAQUIL[[#This Row],[Fecha Cad]]-GUAYAQUIL[[#This Row],[VIDA UTIL (Días)]]))+1),"")</f>
        <v>45609</v>
      </c>
      <c r="R437" s="29">
        <v>45698</v>
      </c>
      <c r="S437" s="30">
        <f t="shared" ca="1" si="31"/>
        <v>74</v>
      </c>
      <c r="T437" s="31">
        <f t="shared" ca="1" si="32"/>
        <v>0.82222222222222219</v>
      </c>
      <c r="U437" s="286">
        <v>240</v>
      </c>
      <c r="V437" s="266">
        <f>+IFERROR(IF(GUAYAQUIL[[#This Row],[CODIGO]]="","",GUAYAQUIL[[#This Row],[Stock Actual Unds]]*GUAYAQUIL[[#This Row],[Gramaje]]*GUAYAQUIL[[#This Row],[Conversión]]),"")</f>
        <v>18</v>
      </c>
      <c r="W437" s="270">
        <f t="shared" si="33"/>
        <v>6</v>
      </c>
      <c r="X437" s="32">
        <f t="shared" si="34"/>
        <v>0.93333333333333335</v>
      </c>
      <c r="Y437" s="236">
        <f>IFERROR(VLOOKUP(GUAYAQUIL[[#This Row],[CODIGO]],MAESTRO!A:BI,21,FALSE),0)</f>
        <v>0.59355000000000002</v>
      </c>
      <c r="Z437" s="237">
        <f>+IFERROR(IF(GUAYAQUIL[[#This Row],[CODIGO]]="","",GUAYAQUIL[[#This Row],[COSTO UNIT base]]*GUAYAQUIL[[#This Row],[Conversión]]),"")</f>
        <v>0.59355000000000002</v>
      </c>
      <c r="AA437" s="236">
        <f>+IFERROR(IF(GUAYAQUIL[[#This Row],[CODIGO]]="","",GUAYAQUIL[[#This Row],[COSTO UNIT Conv]]*GUAYAQUIL[[#This Row],[Stock Actual Kgs]]),"")</f>
        <v>10.683900000000001</v>
      </c>
      <c r="AB437" s="33">
        <f ca="1">+IFERROR(IF(GUAYAQUIL[[#This Row],[CODIGO]]="","",$J$3-O437),"")</f>
        <v>9</v>
      </c>
      <c r="AC437" s="34" t="str">
        <f ca="1">IF(GUAYAQUIL[[#This Row],[CODIGO]]="","",IF(S437&lt;=0,"CADUCADO",IF(AND(S437&gt;0,S437&lt;=21),"FECHA CORTA",IF(AND(S437&gt;=22,S437&lt;=26),"PROXIMOS FECHA CORTA", "VIGENTE"))))</f>
        <v>VIGENTE</v>
      </c>
      <c r="AD437" s="37">
        <f>+IF(GUAYAQUIL[[#This Row],[CODIGO]]="","",GUAYAQUIL[[#This Row],[Stock Actual Unds]]*GUAYAQUIL[[#This Row],[Gramaje]]*GUAYAQUIL[[#This Row],[Conversión]])/1000</f>
        <v>1.7999999999999999E-2</v>
      </c>
    </row>
    <row r="438" spans="1:30">
      <c r="A438" s="24" t="str">
        <f>+IFERROR(IF(GUAYAQUIL[[#This Row],[CODIGO]]="","",VLOOKUP(GUAYAQUIL[[#This Row],[CODIGO]],MAESTRO!$A:$J,10,FALSE)),"")</f>
        <v>MACHACHI</v>
      </c>
      <c r="B438" s="24" t="str">
        <f>+IFERROR(IF(GUAYAQUIL[[#This Row],[CODIGO]]="","",VLOOKUP(GUAYAQUIL[[#This Row],[CODIGO]],MAESTRO!$A:$Q,17,FALSE)),"")</f>
        <v>BEBIDAS LACTEAS</v>
      </c>
      <c r="C438" s="24" t="str">
        <f>+IFERROR(IF(GUAYAQUIL[[#This Row],[CODIGO]]="","",VLOOKUP(GUAYAQUIL[[#This Row],[CODIGO]],MAESTRO!$A:$BA,53,FALSE)),"")</f>
        <v xml:space="preserve">Luis Armendariz                         </v>
      </c>
      <c r="D438" s="24" t="str">
        <f>+IFERROR(IF(GUAYAQUIL[[#This Row],[CODIGO]]="","",VLOOKUP(GUAYAQUIL[[#This Row],[CODIGO]],MAESTRO!$A:$D,4,FALSE)),"")</f>
        <v>BON YURT</v>
      </c>
      <c r="E438" s="24" t="str">
        <f>+IFERROR(IF(GUAYAQUIL[[#This Row],[CODIGO]]="","",VLOOKUP(GUAYAQUIL[[#This Row],[CODIGO]],MAESTRO!$A:$F,6,FALSE)),"")</f>
        <v>BON YURT MINI</v>
      </c>
      <c r="F438" s="42" t="str">
        <f>IF(GUAYAQUIL[[#This Row],[CODIGO]]="","",$K$6)</f>
        <v>GUAYAQUIL</v>
      </c>
      <c r="G438" s="42">
        <f>IF(GUAYAQUIL[[#This Row],[CODIGO]]="","",7711)</f>
        <v>7711</v>
      </c>
      <c r="H438" s="42">
        <f>IF(GUAYAQUIL[[#This Row],[CODIGO]]="","",1001)</f>
        <v>1001</v>
      </c>
      <c r="I438" s="257" t="s">
        <v>3597</v>
      </c>
      <c r="J438" s="25" t="str">
        <f>IFERROR((VLOOKUP(GUAYAQUIL[[#This Row],[CODIGO]],MAESTRO!A:B,2,FALSE)),"")</f>
        <v>BY MINI CANPOP VASO 105G</v>
      </c>
      <c r="K438" s="26">
        <v>1050</v>
      </c>
      <c r="L438" s="38">
        <f>+IFERROR(IF(GUAYAQUIL[[#This Row],[CODIGO]]="","",VLOOKUP(GUAYAQUIL[[#This Row],[CODIGO]],MAESTRO!$A:$BF,58,FALSE)),"")</f>
        <v>1</v>
      </c>
      <c r="M438" s="27">
        <f>+IFERROR(IF(GUAYAQUIL[[#This Row],[CODIGO]]="","",VLOOKUP(GUAYAQUIL[[#This Row],[CODIGO]],MAESTRO!A:N,14,FALSE)),"")</f>
        <v>0.105</v>
      </c>
      <c r="N438" s="28">
        <f>+IFERROR(IF(GUAYAQUIL[[#This Row],[CODIGO]]="","",VLOOKUP(GUAYAQUIL[[#This Row],[CODIGO]],MAESTRO!A:P,16,FALSE)),"")</f>
        <v>45</v>
      </c>
      <c r="O438" s="29">
        <v>45608</v>
      </c>
      <c r="P438" s="72" t="str">
        <f t="shared" si="30"/>
        <v>martes</v>
      </c>
      <c r="Q438" s="29">
        <f>IFERROR(IF(GUAYAQUIL[[#This Row],[CODIGO]]="","",IF(GUAYAQUIL[[#This Row],[Fecha Cad]]="","",(GUAYAQUIL[[#This Row],[Fecha Cad]]-GUAYAQUIL[[#This Row],[VIDA UTIL (Días)]]))+1),"")</f>
        <v>45596</v>
      </c>
      <c r="R438" s="29">
        <v>45640</v>
      </c>
      <c r="S438" s="30">
        <f t="shared" ca="1" si="31"/>
        <v>16</v>
      </c>
      <c r="T438" s="31">
        <f t="shared" ca="1" si="32"/>
        <v>0.35555555555555557</v>
      </c>
      <c r="U438" s="286">
        <v>85</v>
      </c>
      <c r="V438" s="267">
        <f>+IFERROR(IF(GUAYAQUIL[[#This Row],[CODIGO]]="","",GUAYAQUIL[[#This Row],[Stock Actual Unds]]*GUAYAQUIL[[#This Row],[Gramaje]]*GUAYAQUIL[[#This Row],[Conversión]]),"")</f>
        <v>8.9249999999999989</v>
      </c>
      <c r="W438" s="270">
        <f t="shared" si="33"/>
        <v>12</v>
      </c>
      <c r="X438" s="32">
        <f t="shared" si="34"/>
        <v>0.73333333333333339</v>
      </c>
      <c r="Y438" s="236">
        <f>IFERROR(VLOOKUP(GUAYAQUIL[[#This Row],[CODIGO]],MAESTRO!A:BI,21,FALSE),0)</f>
        <v>0.25944499999999998</v>
      </c>
      <c r="Z438" s="237">
        <f>+IFERROR(IF(GUAYAQUIL[[#This Row],[CODIGO]]="","",GUAYAQUIL[[#This Row],[COSTO UNIT base]]*GUAYAQUIL[[#This Row],[Conversión]]),"")</f>
        <v>0.25944499999999998</v>
      </c>
      <c r="AA438" s="236">
        <f>+IFERROR(IF(GUAYAQUIL[[#This Row],[CODIGO]]="","",GUAYAQUIL[[#This Row],[COSTO UNIT Conv]]*GUAYAQUIL[[#This Row],[Stock Actual Kgs]]),"")</f>
        <v>2.3155466249999996</v>
      </c>
      <c r="AB438" s="33">
        <f ca="1">+IFERROR(IF(GUAYAQUIL[[#This Row],[CODIGO]]="","",$J$3-O438),"")</f>
        <v>16</v>
      </c>
      <c r="AC438" s="34" t="str">
        <f ca="1">IF(GUAYAQUIL[[#This Row],[CODIGO]]="","",IF(S438&lt;=0,"CADUCADO",IF(AND(S438&gt;0,S438&lt;=21),"FECHA CORTA",IF(AND(S438&gt;=22,S438&lt;=26),"PROXIMOS FECHA CORTA", "VIGENTE"))))</f>
        <v>FECHA CORTA</v>
      </c>
      <c r="AD438" s="37">
        <f>+IF(GUAYAQUIL[[#This Row],[CODIGO]]="","",GUAYAQUIL[[#This Row],[Stock Actual Unds]]*GUAYAQUIL[[#This Row],[Gramaje]]*GUAYAQUIL[[#This Row],[Conversión]])/1000</f>
        <v>8.9249999999999989E-3</v>
      </c>
    </row>
    <row r="439" spans="1:30">
      <c r="A439" s="24" t="str">
        <f>+IFERROR(IF(GUAYAQUIL[[#This Row],[CODIGO]]="","",VLOOKUP(GUAYAQUIL[[#This Row],[CODIGO]],MAESTRO!$A:$J,10,FALSE)),"")</f>
        <v>MACHACHI</v>
      </c>
      <c r="B439" s="24" t="str">
        <f>+IFERROR(IF(GUAYAQUIL[[#This Row],[CODIGO]]="","",VLOOKUP(GUAYAQUIL[[#This Row],[CODIGO]],MAESTRO!$A:$Q,17,FALSE)),"")</f>
        <v>BEBIDAS LACTEAS</v>
      </c>
      <c r="C439" s="24" t="str">
        <f>+IFERROR(IF(GUAYAQUIL[[#This Row],[CODIGO]]="","",VLOOKUP(GUAYAQUIL[[#This Row],[CODIGO]],MAESTRO!$A:$BA,53,FALSE)),"")</f>
        <v xml:space="preserve">Luis Armendariz                         </v>
      </c>
      <c r="D439" s="24" t="str">
        <f>+IFERROR(IF(GUAYAQUIL[[#This Row],[CODIGO]]="","",VLOOKUP(GUAYAQUIL[[#This Row],[CODIGO]],MAESTRO!$A:$D,4,FALSE)),"")</f>
        <v>BON YURT</v>
      </c>
      <c r="E439" s="24" t="str">
        <f>+IFERROR(IF(GUAYAQUIL[[#This Row],[CODIGO]]="","",VLOOKUP(GUAYAQUIL[[#This Row],[CODIGO]],MAESTRO!$A:$F,6,FALSE)),"")</f>
        <v>BON YURT MINI</v>
      </c>
      <c r="F439" s="42" t="str">
        <f>IF(GUAYAQUIL[[#This Row],[CODIGO]]="","",$K$6)</f>
        <v>GUAYAQUIL</v>
      </c>
      <c r="G439" s="209">
        <f>IF(GUAYAQUIL[[#This Row],[CODIGO]]="","",7711)</f>
        <v>7711</v>
      </c>
      <c r="H439" s="209">
        <f>IF(GUAYAQUIL[[#This Row],[CODIGO]]="","",1001)</f>
        <v>1001</v>
      </c>
      <c r="I439" s="258" t="s">
        <v>3597</v>
      </c>
      <c r="J439" s="25" t="str">
        <f>IFERROR((VLOOKUP(GUAYAQUIL[[#This Row],[CODIGO]],MAESTRO!A:B,2,FALSE)),"")</f>
        <v>BY MINI CANPOP VASO 105G</v>
      </c>
      <c r="K439" s="35">
        <v>1260</v>
      </c>
      <c r="L439" s="38">
        <f>+IFERROR(IF(GUAYAQUIL[[#This Row],[CODIGO]]="","",VLOOKUP(GUAYAQUIL[[#This Row],[CODIGO]],MAESTRO!$A:$BF,58,FALSE)),"")</f>
        <v>1</v>
      </c>
      <c r="M439" s="27">
        <f>+IFERROR(IF(GUAYAQUIL[[#This Row],[CODIGO]]="","",VLOOKUP(GUAYAQUIL[[#This Row],[CODIGO]],MAESTRO!A:N,14,FALSE)),"")</f>
        <v>0.105</v>
      </c>
      <c r="N439" s="28">
        <f>+IFERROR(IF(GUAYAQUIL[[#This Row],[CODIGO]]="","",VLOOKUP(GUAYAQUIL[[#This Row],[CODIGO]],MAESTRO!A:P,16,FALSE)),"")</f>
        <v>45</v>
      </c>
      <c r="O439" s="29">
        <v>45612</v>
      </c>
      <c r="P439" s="72" t="str">
        <f t="shared" si="30"/>
        <v>sábado</v>
      </c>
      <c r="Q439" s="29">
        <f>IFERROR(IF(GUAYAQUIL[[#This Row],[CODIGO]]="","",IF(GUAYAQUIL[[#This Row],[Fecha Cad]]="","",(GUAYAQUIL[[#This Row],[Fecha Cad]]-GUAYAQUIL[[#This Row],[VIDA UTIL (Días)]]))+1),"")</f>
        <v>45603</v>
      </c>
      <c r="R439" s="45">
        <v>45647</v>
      </c>
      <c r="S439" s="30">
        <f t="shared" ca="1" si="31"/>
        <v>23</v>
      </c>
      <c r="T439" s="31">
        <f t="shared" ca="1" si="32"/>
        <v>0.51111111111111107</v>
      </c>
      <c r="U439" s="286">
        <v>1260</v>
      </c>
      <c r="V439" s="265">
        <f>+IFERROR(IF(GUAYAQUIL[[#This Row],[CODIGO]]="","",GUAYAQUIL[[#This Row],[Stock Actual Unds]]*GUAYAQUIL[[#This Row],[Gramaje]]*GUAYAQUIL[[#This Row],[Conversión]]),"")</f>
        <v>132.29999999999998</v>
      </c>
      <c r="W439" s="270">
        <f t="shared" si="33"/>
        <v>9</v>
      </c>
      <c r="X439" s="32">
        <f t="shared" si="34"/>
        <v>0.8</v>
      </c>
      <c r="Y439" s="236">
        <f>IFERROR(VLOOKUP(GUAYAQUIL[[#This Row],[CODIGO]],MAESTRO!A:BI,21,FALSE),0)</f>
        <v>0.25944499999999998</v>
      </c>
      <c r="Z439" s="237">
        <f>+IFERROR(IF(GUAYAQUIL[[#This Row],[CODIGO]]="","",GUAYAQUIL[[#This Row],[COSTO UNIT base]]*GUAYAQUIL[[#This Row],[Conversión]]),"")</f>
        <v>0.25944499999999998</v>
      </c>
      <c r="AA439" s="236">
        <f>+IFERROR(IF(GUAYAQUIL[[#This Row],[CODIGO]]="","",GUAYAQUIL[[#This Row],[COSTO UNIT Conv]]*GUAYAQUIL[[#This Row],[Stock Actual Kgs]]),"")</f>
        <v>34.324573499999993</v>
      </c>
      <c r="AB439" s="33">
        <f ca="1">+IFERROR(IF(GUAYAQUIL[[#This Row],[CODIGO]]="","",$J$3-O439),"")</f>
        <v>12</v>
      </c>
      <c r="AC439" s="34" t="str">
        <f ca="1">IF(GUAYAQUIL[[#This Row],[CODIGO]]="","",IF(S439&lt;=0,"CADUCADO",IF(AND(S439&gt;0,S439&lt;=21),"FECHA CORTA",IF(AND(S439&gt;=22,S439&lt;=26),"PROXIMOS FECHA CORTA", "VIGENTE"))))</f>
        <v>PROXIMOS FECHA CORTA</v>
      </c>
      <c r="AD439" s="37">
        <f>+IF(GUAYAQUIL[[#This Row],[CODIGO]]="","",GUAYAQUIL[[#This Row],[Stock Actual Unds]]*GUAYAQUIL[[#This Row],[Gramaje]]*GUAYAQUIL[[#This Row],[Conversión]])/1000</f>
        <v>0.13229999999999997</v>
      </c>
    </row>
    <row r="440" spans="1:30">
      <c r="A440" s="24" t="str">
        <f>+IFERROR(IF(GUAYAQUIL[[#This Row],[CODIGO]]="","",VLOOKUP(GUAYAQUIL[[#This Row],[CODIGO]],MAESTRO!$A:$J,10,FALSE)),"")</f>
        <v>MACHACHI</v>
      </c>
      <c r="B440" s="24" t="str">
        <f>+IFERROR(IF(GUAYAQUIL[[#This Row],[CODIGO]]="","",VLOOKUP(GUAYAQUIL[[#This Row],[CODIGO]],MAESTRO!$A:$Q,17,FALSE)),"")</f>
        <v>BEBIDAS LACTEAS</v>
      </c>
      <c r="C440" s="24" t="str">
        <f>+IFERROR(IF(GUAYAQUIL[[#This Row],[CODIGO]]="","",VLOOKUP(GUAYAQUIL[[#This Row],[CODIGO]],MAESTRO!$A:$BA,53,FALSE)),"")</f>
        <v xml:space="preserve">Luis Armendariz                         </v>
      </c>
      <c r="D440" s="24" t="str">
        <f>+IFERROR(IF(GUAYAQUIL[[#This Row],[CODIGO]]="","",VLOOKUP(GUAYAQUIL[[#This Row],[CODIGO]],MAESTRO!$A:$D,4,FALSE)),"")</f>
        <v>BON YURT</v>
      </c>
      <c r="E440" s="24" t="str">
        <f>+IFERROR(IF(GUAYAQUIL[[#This Row],[CODIGO]]="","",VLOOKUP(GUAYAQUIL[[#This Row],[CODIGO]],MAESTRO!$A:$F,6,FALSE)),"")</f>
        <v>BON YURT MINI</v>
      </c>
      <c r="F440" s="42" t="str">
        <f>IF(GUAYAQUIL[[#This Row],[CODIGO]]="","",$K$6)</f>
        <v>GUAYAQUIL</v>
      </c>
      <c r="G440" s="42">
        <f>IF(GUAYAQUIL[[#This Row],[CODIGO]]="","",7711)</f>
        <v>7711</v>
      </c>
      <c r="H440" s="42">
        <f>IF(GUAYAQUIL[[#This Row],[CODIGO]]="","",1001)</f>
        <v>1001</v>
      </c>
      <c r="I440" s="258" t="s">
        <v>3597</v>
      </c>
      <c r="J440" s="25" t="str">
        <f>IFERROR((VLOOKUP(GUAYAQUIL[[#This Row],[CODIGO]],MAESTRO!A:B,2,FALSE)),"")</f>
        <v>BY MINI CANPOP VASO 105G</v>
      </c>
      <c r="K440" s="35">
        <v>1540</v>
      </c>
      <c r="L440" s="38">
        <f>+IFERROR(IF(GUAYAQUIL[[#This Row],[CODIGO]]="","",VLOOKUP(GUAYAQUIL[[#This Row],[CODIGO]],MAESTRO!$A:$BF,58,FALSE)),"")</f>
        <v>1</v>
      </c>
      <c r="M440" s="27">
        <f>+IFERROR(IF(GUAYAQUIL[[#This Row],[CODIGO]]="","",VLOOKUP(GUAYAQUIL[[#This Row],[CODIGO]],MAESTRO!A:N,14,FALSE)),"")</f>
        <v>0.105</v>
      </c>
      <c r="N440" s="28">
        <f>+IFERROR(IF(GUAYAQUIL[[#This Row],[CODIGO]]="","",VLOOKUP(GUAYAQUIL[[#This Row],[CODIGO]],MAESTRO!A:P,16,FALSE)),"")</f>
        <v>45</v>
      </c>
      <c r="O440" s="29">
        <v>45611</v>
      </c>
      <c r="P440" s="72" t="str">
        <f t="shared" si="30"/>
        <v>viernes</v>
      </c>
      <c r="Q440" s="29">
        <f>IFERROR(IF(GUAYAQUIL[[#This Row],[CODIGO]]="","",IF(GUAYAQUIL[[#This Row],[Fecha Cad]]="","",(GUAYAQUIL[[#This Row],[Fecha Cad]]-GUAYAQUIL[[#This Row],[VIDA UTIL (Días)]]))+1),"")</f>
        <v>45603</v>
      </c>
      <c r="R440" s="29">
        <v>45647</v>
      </c>
      <c r="S440" s="30">
        <f t="shared" ca="1" si="31"/>
        <v>23</v>
      </c>
      <c r="T440" s="31">
        <f t="shared" ca="1" si="32"/>
        <v>0.51111111111111107</v>
      </c>
      <c r="U440" s="286">
        <v>1162</v>
      </c>
      <c r="V440" s="266">
        <f>+IFERROR(IF(GUAYAQUIL[[#This Row],[CODIGO]]="","",GUAYAQUIL[[#This Row],[Stock Actual Unds]]*GUAYAQUIL[[#This Row],[Gramaje]]*GUAYAQUIL[[#This Row],[Conversión]]),"")</f>
        <v>122.00999999999999</v>
      </c>
      <c r="W440" s="270">
        <f t="shared" si="33"/>
        <v>8</v>
      </c>
      <c r="X440" s="32">
        <f t="shared" si="34"/>
        <v>0.82222222222222219</v>
      </c>
      <c r="Y440" s="236">
        <f>IFERROR(VLOOKUP(GUAYAQUIL[[#This Row],[CODIGO]],MAESTRO!A:BI,21,FALSE),0)</f>
        <v>0.25944499999999998</v>
      </c>
      <c r="Z440" s="237">
        <f>+IFERROR(IF(GUAYAQUIL[[#This Row],[CODIGO]]="","",GUAYAQUIL[[#This Row],[COSTO UNIT base]]*GUAYAQUIL[[#This Row],[Conversión]]),"")</f>
        <v>0.25944499999999998</v>
      </c>
      <c r="AA440" s="236">
        <f>+IFERROR(IF(GUAYAQUIL[[#This Row],[CODIGO]]="","",GUAYAQUIL[[#This Row],[COSTO UNIT Conv]]*GUAYAQUIL[[#This Row],[Stock Actual Kgs]]),"")</f>
        <v>31.654884449999994</v>
      </c>
      <c r="AB440" s="33">
        <f ca="1">+IFERROR(IF(GUAYAQUIL[[#This Row],[CODIGO]]="","",$J$3-O440),"")</f>
        <v>13</v>
      </c>
      <c r="AC440" s="34" t="str">
        <f ca="1">IF(GUAYAQUIL[[#This Row],[CODIGO]]="","",IF(S440&lt;=0,"CADUCADO",IF(AND(S440&gt;0,S440&lt;=21),"FECHA CORTA",IF(AND(S440&gt;=22,S440&lt;=26),"PROXIMOS FECHA CORTA", "VIGENTE"))))</f>
        <v>PROXIMOS FECHA CORTA</v>
      </c>
      <c r="AD440" s="37">
        <f>+IF(GUAYAQUIL[[#This Row],[CODIGO]]="","",GUAYAQUIL[[#This Row],[Stock Actual Unds]]*GUAYAQUIL[[#This Row],[Gramaje]]*GUAYAQUIL[[#This Row],[Conversión]])/1000</f>
        <v>0.12200999999999999</v>
      </c>
    </row>
    <row r="441" spans="1:30">
      <c r="A441" s="24" t="str">
        <f>+IFERROR(IF(GUAYAQUIL[[#This Row],[CODIGO]]="","",VLOOKUP(GUAYAQUIL[[#This Row],[CODIGO]],MAESTRO!$A:$J,10,FALSE)),"")</f>
        <v>MACHACHI</v>
      </c>
      <c r="B441" s="24" t="str">
        <f>+IFERROR(IF(GUAYAQUIL[[#This Row],[CODIGO]]="","",VLOOKUP(GUAYAQUIL[[#This Row],[CODIGO]],MAESTRO!$A:$Q,17,FALSE)),"")</f>
        <v>BEBIDAS LACTEAS</v>
      </c>
      <c r="C441" s="24" t="str">
        <f>+IFERROR(IF(GUAYAQUIL[[#This Row],[CODIGO]]="","",VLOOKUP(GUAYAQUIL[[#This Row],[CODIGO]],MAESTRO!$A:$BA,53,FALSE)),"")</f>
        <v xml:space="preserve">Luis Armendariz                         </v>
      </c>
      <c r="D441" s="24" t="str">
        <f>+IFERROR(IF(GUAYAQUIL[[#This Row],[CODIGO]]="","",VLOOKUP(GUAYAQUIL[[#This Row],[CODIGO]],MAESTRO!$A:$D,4,FALSE)),"")</f>
        <v>BON YURT</v>
      </c>
      <c r="E441" s="24" t="str">
        <f>+IFERROR(IF(GUAYAQUIL[[#This Row],[CODIGO]]="","",VLOOKUP(GUAYAQUIL[[#This Row],[CODIGO]],MAESTRO!$A:$F,6,FALSE)),"")</f>
        <v>BON YURT MINI</v>
      </c>
      <c r="F441" s="42" t="str">
        <f>IF(GUAYAQUIL[[#This Row],[CODIGO]]="","",$K$6)</f>
        <v>GUAYAQUIL</v>
      </c>
      <c r="G441" s="209">
        <f>IF(GUAYAQUIL[[#This Row],[CODIGO]]="","",7711)</f>
        <v>7711</v>
      </c>
      <c r="H441" s="209">
        <f>IF(GUAYAQUIL[[#This Row],[CODIGO]]="","",1001)</f>
        <v>1001</v>
      </c>
      <c r="I441" s="258" t="s">
        <v>3597</v>
      </c>
      <c r="J441" s="25" t="str">
        <f>IFERROR((VLOOKUP(GUAYAQUIL[[#This Row],[CODIGO]],MAESTRO!A:B,2,FALSE)),"")</f>
        <v>BY MINI CANPOP VASO 105G</v>
      </c>
      <c r="K441" s="35">
        <v>1610</v>
      </c>
      <c r="L441" s="38">
        <f>+IFERROR(IF(GUAYAQUIL[[#This Row],[CODIGO]]="","",VLOOKUP(GUAYAQUIL[[#This Row],[CODIGO]],MAESTRO!$A:$BF,58,FALSE)),"")</f>
        <v>1</v>
      </c>
      <c r="M441" s="27">
        <f>+IFERROR(IF(GUAYAQUIL[[#This Row],[CODIGO]]="","",VLOOKUP(GUAYAQUIL[[#This Row],[CODIGO]],MAESTRO!A:N,14,FALSE)),"")</f>
        <v>0.105</v>
      </c>
      <c r="N441" s="28">
        <f>+IFERROR(IF(GUAYAQUIL[[#This Row],[CODIGO]]="","",VLOOKUP(GUAYAQUIL[[#This Row],[CODIGO]],MAESTRO!A:P,16,FALSE)),"")</f>
        <v>45</v>
      </c>
      <c r="O441" s="29">
        <v>45615</v>
      </c>
      <c r="P441" s="72" t="str">
        <f t="shared" si="30"/>
        <v>martes</v>
      </c>
      <c r="Q441" s="29">
        <f>IFERROR(IF(GUAYAQUIL[[#This Row],[CODIGO]]="","",IF(GUAYAQUIL[[#This Row],[Fecha Cad]]="","",(GUAYAQUIL[[#This Row],[Fecha Cad]]-GUAYAQUIL[[#This Row],[VIDA UTIL (Días)]]))+1),"")</f>
        <v>45603</v>
      </c>
      <c r="R441" s="29">
        <v>45647</v>
      </c>
      <c r="S441" s="30">
        <f t="shared" ca="1" si="31"/>
        <v>23</v>
      </c>
      <c r="T441" s="31">
        <f t="shared" ca="1" si="32"/>
        <v>0.51111111111111107</v>
      </c>
      <c r="U441" s="286">
        <v>1610</v>
      </c>
      <c r="V441" s="266">
        <f>+IFERROR(IF(GUAYAQUIL[[#This Row],[CODIGO]]="","",GUAYAQUIL[[#This Row],[Stock Actual Unds]]*GUAYAQUIL[[#This Row],[Gramaje]]*GUAYAQUIL[[#This Row],[Conversión]]),"")</f>
        <v>169.04999999999998</v>
      </c>
      <c r="W441" s="270">
        <f t="shared" si="33"/>
        <v>12</v>
      </c>
      <c r="X441" s="32">
        <f t="shared" si="34"/>
        <v>0.73333333333333339</v>
      </c>
      <c r="Y441" s="236">
        <f>IFERROR(VLOOKUP(GUAYAQUIL[[#This Row],[CODIGO]],MAESTRO!A:BI,21,FALSE),0)</f>
        <v>0.25944499999999998</v>
      </c>
      <c r="Z441" s="237">
        <f>+IFERROR(IF(GUAYAQUIL[[#This Row],[CODIGO]]="","",GUAYAQUIL[[#This Row],[COSTO UNIT base]]*GUAYAQUIL[[#This Row],[Conversión]]),"")</f>
        <v>0.25944499999999998</v>
      </c>
      <c r="AA441" s="236">
        <f>+IFERROR(IF(GUAYAQUIL[[#This Row],[CODIGO]]="","",GUAYAQUIL[[#This Row],[COSTO UNIT Conv]]*GUAYAQUIL[[#This Row],[Stock Actual Kgs]]),"")</f>
        <v>43.859177249999995</v>
      </c>
      <c r="AB441" s="33">
        <f ca="1">+IFERROR(IF(GUAYAQUIL[[#This Row],[CODIGO]]="","",$J$3-O441),"")</f>
        <v>9</v>
      </c>
      <c r="AC441" s="34" t="str">
        <f ca="1">IF(GUAYAQUIL[[#This Row],[CODIGO]]="","",IF(S441&lt;=0,"CADUCADO",IF(AND(S441&gt;0,S441&lt;=21),"FECHA CORTA",IF(AND(S441&gt;=22,S441&lt;=26),"PROXIMOS FECHA CORTA", "VIGENTE"))))</f>
        <v>PROXIMOS FECHA CORTA</v>
      </c>
      <c r="AD441" s="37">
        <f>+IF(GUAYAQUIL[[#This Row],[CODIGO]]="","",GUAYAQUIL[[#This Row],[Stock Actual Unds]]*GUAYAQUIL[[#This Row],[Gramaje]]*GUAYAQUIL[[#This Row],[Conversión]])/1000</f>
        <v>0.16904999999999998</v>
      </c>
    </row>
    <row r="442" spans="1:30">
      <c r="A442" s="24" t="str">
        <f>+IFERROR(IF(GUAYAQUIL[[#This Row],[CODIGO]]="","",VLOOKUP(GUAYAQUIL[[#This Row],[CODIGO]],MAESTRO!$A:$J,10,FALSE)),"")</f>
        <v>MACHACHI</v>
      </c>
      <c r="B442" s="24" t="str">
        <f>+IFERROR(IF(GUAYAQUIL[[#This Row],[CODIGO]]="","",VLOOKUP(GUAYAQUIL[[#This Row],[CODIGO]],MAESTRO!$A:$Q,17,FALSE)),"")</f>
        <v>BEBIDAS LACTEAS</v>
      </c>
      <c r="C442" s="24" t="str">
        <f>+IFERROR(IF(GUAYAQUIL[[#This Row],[CODIGO]]="","",VLOOKUP(GUAYAQUIL[[#This Row],[CODIGO]],MAESTRO!$A:$BA,53,FALSE)),"")</f>
        <v xml:space="preserve">Luis Armendariz                         </v>
      </c>
      <c r="D442" s="24" t="str">
        <f>+IFERROR(IF(GUAYAQUIL[[#This Row],[CODIGO]]="","",VLOOKUP(GUAYAQUIL[[#This Row],[CODIGO]],MAESTRO!$A:$D,4,FALSE)),"")</f>
        <v>BON YURT</v>
      </c>
      <c r="E442" s="24" t="str">
        <f>+IFERROR(IF(GUAYAQUIL[[#This Row],[CODIGO]]="","",VLOOKUP(GUAYAQUIL[[#This Row],[CODIGO]],MAESTRO!$A:$F,6,FALSE)),"")</f>
        <v>BON YURT MINI</v>
      </c>
      <c r="F442" s="42" t="str">
        <f>IF(GUAYAQUIL[[#This Row],[CODIGO]]="","",$K$6)</f>
        <v>GUAYAQUIL</v>
      </c>
      <c r="G442" s="42">
        <f>IF(GUAYAQUIL[[#This Row],[CODIGO]]="","",7711)</f>
        <v>7711</v>
      </c>
      <c r="H442" s="42">
        <f>IF(GUAYAQUIL[[#This Row],[CODIGO]]="","",1001)</f>
        <v>1001</v>
      </c>
      <c r="I442" s="258" t="s">
        <v>3597</v>
      </c>
      <c r="J442" s="25" t="str">
        <f>IFERROR((VLOOKUP(GUAYAQUIL[[#This Row],[CODIGO]],MAESTRO!A:B,2,FALSE)),"")</f>
        <v>BY MINI CANPOP VASO 105G</v>
      </c>
      <c r="K442" s="35">
        <v>1400</v>
      </c>
      <c r="L442" s="38">
        <f>+IFERROR(IF(GUAYAQUIL[[#This Row],[CODIGO]]="","",VLOOKUP(GUAYAQUIL[[#This Row],[CODIGO]],MAESTRO!$A:$BF,58,FALSE)),"")</f>
        <v>1</v>
      </c>
      <c r="M442" s="27">
        <f>+IFERROR(IF(GUAYAQUIL[[#This Row],[CODIGO]]="","",VLOOKUP(GUAYAQUIL[[#This Row],[CODIGO]],MAESTRO!A:N,14,FALSE)),"")</f>
        <v>0.105</v>
      </c>
      <c r="N442" s="28">
        <f>+IFERROR(IF(GUAYAQUIL[[#This Row],[CODIGO]]="","",VLOOKUP(GUAYAQUIL[[#This Row],[CODIGO]],MAESTRO!A:P,16,FALSE)),"")</f>
        <v>45</v>
      </c>
      <c r="O442" s="29">
        <v>45616</v>
      </c>
      <c r="P442" s="72" t="str">
        <f t="shared" si="30"/>
        <v>miércoles</v>
      </c>
      <c r="Q442" s="29">
        <f>IFERROR(IF(GUAYAQUIL[[#This Row],[CODIGO]]="","",IF(GUAYAQUIL[[#This Row],[Fecha Cad]]="","",(GUAYAQUIL[[#This Row],[Fecha Cad]]-GUAYAQUIL[[#This Row],[VIDA UTIL (Días)]]))+1),"")</f>
        <v>45610</v>
      </c>
      <c r="R442" s="29">
        <v>45654</v>
      </c>
      <c r="S442" s="30">
        <f t="shared" ca="1" si="31"/>
        <v>30</v>
      </c>
      <c r="T442" s="31">
        <f t="shared" ca="1" si="32"/>
        <v>0.66666666666666663</v>
      </c>
      <c r="U442" s="286">
        <v>350</v>
      </c>
      <c r="V442" s="266">
        <f>+IFERROR(IF(GUAYAQUIL[[#This Row],[CODIGO]]="","",GUAYAQUIL[[#This Row],[Stock Actual Unds]]*GUAYAQUIL[[#This Row],[Gramaje]]*GUAYAQUIL[[#This Row],[Conversión]]),"")</f>
        <v>36.75</v>
      </c>
      <c r="W442" s="270">
        <f t="shared" si="33"/>
        <v>6</v>
      </c>
      <c r="X442" s="32">
        <f t="shared" si="34"/>
        <v>0.8666666666666667</v>
      </c>
      <c r="Y442" s="236">
        <f>IFERROR(VLOOKUP(GUAYAQUIL[[#This Row],[CODIGO]],MAESTRO!A:BI,21,FALSE),0)</f>
        <v>0.25944499999999998</v>
      </c>
      <c r="Z442" s="237">
        <f>+IFERROR(IF(GUAYAQUIL[[#This Row],[CODIGO]]="","",GUAYAQUIL[[#This Row],[COSTO UNIT base]]*GUAYAQUIL[[#This Row],[Conversión]]),"")</f>
        <v>0.25944499999999998</v>
      </c>
      <c r="AA442" s="236">
        <f>+IFERROR(IF(GUAYAQUIL[[#This Row],[CODIGO]]="","",GUAYAQUIL[[#This Row],[COSTO UNIT Conv]]*GUAYAQUIL[[#This Row],[Stock Actual Kgs]]),"")</f>
        <v>9.5346037499999987</v>
      </c>
      <c r="AB442" s="33">
        <f ca="1">+IFERROR(IF(GUAYAQUIL[[#This Row],[CODIGO]]="","",$J$3-O442),"")</f>
        <v>8</v>
      </c>
      <c r="AC442" s="34" t="str">
        <f ca="1">IF(GUAYAQUIL[[#This Row],[CODIGO]]="","",IF(S442&lt;=0,"CADUCADO",IF(AND(S442&gt;0,S442&lt;=21),"FECHA CORTA",IF(AND(S442&gt;=22,S442&lt;=26),"PROXIMOS FECHA CORTA", "VIGENTE"))))</f>
        <v>VIGENTE</v>
      </c>
      <c r="AD442" s="37">
        <f>+IF(GUAYAQUIL[[#This Row],[CODIGO]]="","",GUAYAQUIL[[#This Row],[Stock Actual Unds]]*GUAYAQUIL[[#This Row],[Gramaje]]*GUAYAQUIL[[#This Row],[Conversión]])/1000</f>
        <v>3.6749999999999998E-2</v>
      </c>
    </row>
    <row r="443" spans="1:30">
      <c r="A443" s="24" t="str">
        <f>+IFERROR(IF(GUAYAQUIL[[#This Row],[CODIGO]]="","",VLOOKUP(GUAYAQUIL[[#This Row],[CODIGO]],MAESTRO!$A:$J,10,FALSE)),"")</f>
        <v>MACHACHI</v>
      </c>
      <c r="B443" s="24" t="str">
        <f>+IFERROR(IF(GUAYAQUIL[[#This Row],[CODIGO]]="","",VLOOKUP(GUAYAQUIL[[#This Row],[CODIGO]],MAESTRO!$A:$Q,17,FALSE)),"")</f>
        <v>BEBIDAS LACTEAS</v>
      </c>
      <c r="C443" s="24" t="str">
        <f>+IFERROR(IF(GUAYAQUIL[[#This Row],[CODIGO]]="","",VLOOKUP(GUAYAQUIL[[#This Row],[CODIGO]],MAESTRO!$A:$BA,53,FALSE)),"")</f>
        <v xml:space="preserve">Luis Armendariz                         </v>
      </c>
      <c r="D443" s="24" t="str">
        <f>+IFERROR(IF(GUAYAQUIL[[#This Row],[CODIGO]]="","",VLOOKUP(GUAYAQUIL[[#This Row],[CODIGO]],MAESTRO!$A:$D,4,FALSE)),"")</f>
        <v>BON YURT</v>
      </c>
      <c r="E443" s="24" t="str">
        <f>+IFERROR(IF(GUAYAQUIL[[#This Row],[CODIGO]]="","",VLOOKUP(GUAYAQUIL[[#This Row],[CODIGO]],MAESTRO!$A:$F,6,FALSE)),"")</f>
        <v>BON YURT MINI</v>
      </c>
      <c r="F443" s="42" t="str">
        <f>IF(GUAYAQUIL[[#This Row],[CODIGO]]="","",$K$6)</f>
        <v>GUAYAQUIL</v>
      </c>
      <c r="G443" s="209">
        <f>IF(GUAYAQUIL[[#This Row],[CODIGO]]="","",7711)</f>
        <v>7711</v>
      </c>
      <c r="H443" s="209">
        <f>IF(GUAYAQUIL[[#This Row],[CODIGO]]="","",1001)</f>
        <v>1001</v>
      </c>
      <c r="I443" s="257" t="s">
        <v>3597</v>
      </c>
      <c r="J443" s="25" t="str">
        <f>IFERROR((VLOOKUP(GUAYAQUIL[[#This Row],[CODIGO]],MAESTRO!A:B,2,FALSE)),"")</f>
        <v>BY MINI CANPOP VASO 105G</v>
      </c>
      <c r="K443" s="26">
        <v>1050</v>
      </c>
      <c r="L443" s="38">
        <f>+IFERROR(IF(GUAYAQUIL[[#This Row],[CODIGO]]="","",VLOOKUP(GUAYAQUIL[[#This Row],[CODIGO]],MAESTRO!$A:$BF,58,FALSE)),"")</f>
        <v>1</v>
      </c>
      <c r="M443" s="27">
        <f>+IFERROR(IF(GUAYAQUIL[[#This Row],[CODIGO]]="","",VLOOKUP(GUAYAQUIL[[#This Row],[CODIGO]],MAESTRO!A:N,14,FALSE)),"")</f>
        <v>0.105</v>
      </c>
      <c r="N443" s="28">
        <f>+IFERROR(IF(GUAYAQUIL[[#This Row],[CODIGO]]="","",VLOOKUP(GUAYAQUIL[[#This Row],[CODIGO]],MAESTRO!A:P,16,FALSE)),"")</f>
        <v>45</v>
      </c>
      <c r="O443" s="29">
        <v>45617</v>
      </c>
      <c r="P443" s="72" t="str">
        <f t="shared" si="30"/>
        <v>jueves</v>
      </c>
      <c r="Q443" s="29">
        <f>IFERROR(IF(GUAYAQUIL[[#This Row],[CODIGO]]="","",IF(GUAYAQUIL[[#This Row],[Fecha Cad]]="","",(GUAYAQUIL[[#This Row],[Fecha Cad]]-GUAYAQUIL[[#This Row],[VIDA UTIL (Días)]]))+1),"")</f>
        <v>45610</v>
      </c>
      <c r="R443" s="29">
        <v>45654</v>
      </c>
      <c r="S443" s="30">
        <f t="shared" ca="1" si="31"/>
        <v>30</v>
      </c>
      <c r="T443" s="31">
        <f t="shared" ca="1" si="32"/>
        <v>0.66666666666666663</v>
      </c>
      <c r="U443" s="286">
        <v>1050</v>
      </c>
      <c r="V443" s="267">
        <f>+IFERROR(IF(GUAYAQUIL[[#This Row],[CODIGO]]="","",GUAYAQUIL[[#This Row],[Stock Actual Unds]]*GUAYAQUIL[[#This Row],[Gramaje]]*GUAYAQUIL[[#This Row],[Conversión]]),"")</f>
        <v>110.25</v>
      </c>
      <c r="W443" s="270">
        <f t="shared" si="33"/>
        <v>7</v>
      </c>
      <c r="X443" s="32">
        <f t="shared" si="34"/>
        <v>0.84444444444444444</v>
      </c>
      <c r="Y443" s="236">
        <f>IFERROR(VLOOKUP(GUAYAQUIL[[#This Row],[CODIGO]],MAESTRO!A:BI,21,FALSE),0)</f>
        <v>0.25944499999999998</v>
      </c>
      <c r="Z443" s="237">
        <f>+IFERROR(IF(GUAYAQUIL[[#This Row],[CODIGO]]="","",GUAYAQUIL[[#This Row],[COSTO UNIT base]]*GUAYAQUIL[[#This Row],[Conversión]]),"")</f>
        <v>0.25944499999999998</v>
      </c>
      <c r="AA443" s="236">
        <f>+IFERROR(IF(GUAYAQUIL[[#This Row],[CODIGO]]="","",GUAYAQUIL[[#This Row],[COSTO UNIT Conv]]*GUAYAQUIL[[#This Row],[Stock Actual Kgs]]),"")</f>
        <v>28.60381125</v>
      </c>
      <c r="AB443" s="33">
        <f ca="1">+IFERROR(IF(GUAYAQUIL[[#This Row],[CODIGO]]="","",$J$3-O443),"")</f>
        <v>7</v>
      </c>
      <c r="AC443" s="34" t="str">
        <f ca="1">IF(GUAYAQUIL[[#This Row],[CODIGO]]="","",IF(S443&lt;=0,"CADUCADO",IF(AND(S443&gt;0,S443&lt;=21),"FECHA CORTA",IF(AND(S443&gt;=22,S443&lt;=26),"PROXIMOS FECHA CORTA", "VIGENTE"))))</f>
        <v>VIGENTE</v>
      </c>
      <c r="AD443" s="37">
        <f>+IF(GUAYAQUIL[[#This Row],[CODIGO]]="","",GUAYAQUIL[[#This Row],[Stock Actual Unds]]*GUAYAQUIL[[#This Row],[Gramaje]]*GUAYAQUIL[[#This Row],[Conversión]])/1000</f>
        <v>0.11025</v>
      </c>
    </row>
    <row r="444" spans="1:30">
      <c r="A444" s="24" t="str">
        <f>+IFERROR(IF(GUAYAQUIL[[#This Row],[CODIGO]]="","",VLOOKUP(GUAYAQUIL[[#This Row],[CODIGO]],MAESTRO!$A:$J,10,FALSE)),"")</f>
        <v>SAN GABRIEL</v>
      </c>
      <c r="B444" s="24" t="str">
        <f>+IFERROR(IF(GUAYAQUIL[[#This Row],[CODIGO]]="","",VLOOKUP(GUAYAQUIL[[#This Row],[CODIGO]],MAESTRO!$A:$Q,17,FALSE)),"")</f>
        <v>QUESOS Y GRASAS</v>
      </c>
      <c r="C444" s="24" t="str">
        <f>+IFERROR(IF(GUAYAQUIL[[#This Row],[CODIGO]]="","",VLOOKUP(GUAYAQUIL[[#This Row],[CODIGO]],MAESTRO!$A:$BA,53,FALSE)),"")</f>
        <v xml:space="preserve">Esteban Montenegro                      </v>
      </c>
      <c r="D444" s="24" t="str">
        <f>+IFERROR(IF(GUAYAQUIL[[#This Row],[CODIGO]]="","",VLOOKUP(GUAYAQUIL[[#This Row],[CODIGO]],MAESTRO!$A:$D,4,FALSE)),"")</f>
        <v>QUESO SEMIMADURO KIOSKO</v>
      </c>
      <c r="E444" s="24" t="str">
        <f>+IFERROR(IF(GUAYAQUIL[[#This Row],[CODIGO]]="","",VLOOKUP(GUAYAQUIL[[#This Row],[CODIGO]],MAESTRO!$A:$F,6,FALSE)),"")</f>
        <v>QUESO TACO CHESSE KIOSKO RALLADO</v>
      </c>
      <c r="F444" s="42" t="str">
        <f>IF(GUAYAQUIL[[#This Row],[CODIGO]]="","",$K$6)</f>
        <v>GUAYAQUIL</v>
      </c>
      <c r="G444" s="42">
        <f>IF(GUAYAQUIL[[#This Row],[CODIGO]]="","",7711)</f>
        <v>7711</v>
      </c>
      <c r="H444" s="42">
        <f>IF(GUAYAQUIL[[#This Row],[CODIGO]]="","",1001)</f>
        <v>1001</v>
      </c>
      <c r="I444" s="258" t="s">
        <v>1217</v>
      </c>
      <c r="J444" s="25" t="str">
        <f>IFERROR((VLOOKUP(GUAYAQUIL[[#This Row],[CODIGO]],MAESTRO!A:B,2,FALSE)),"")</f>
        <v>Q MIX MEX KIOSKO RALL BOL 300G</v>
      </c>
      <c r="K444" s="35">
        <v>120</v>
      </c>
      <c r="L444" s="38">
        <f>+IFERROR(IF(GUAYAQUIL[[#This Row],[CODIGO]]="","",VLOOKUP(GUAYAQUIL[[#This Row],[CODIGO]],MAESTRO!$A:$BF,58,FALSE)),"")</f>
        <v>1</v>
      </c>
      <c r="M444" s="27">
        <f>+IFERROR(IF(GUAYAQUIL[[#This Row],[CODIGO]]="","",VLOOKUP(GUAYAQUIL[[#This Row],[CODIGO]],MAESTRO!A:N,14,FALSE)),"")</f>
        <v>0.3</v>
      </c>
      <c r="N444" s="28">
        <f>+IFERROR(IF(GUAYAQUIL[[#This Row],[CODIGO]]="","",VLOOKUP(GUAYAQUIL[[#This Row],[CODIGO]],MAESTRO!A:P,16,FALSE)),"")</f>
        <v>60</v>
      </c>
      <c r="O444" s="29">
        <v>45615</v>
      </c>
      <c r="P444" s="72" t="str">
        <f t="shared" si="30"/>
        <v>martes</v>
      </c>
      <c r="Q444" s="29">
        <f>IFERROR(IF(GUAYAQUIL[[#This Row],[CODIGO]]="","",IF(GUAYAQUIL[[#This Row],[Fecha Cad]]="","",(GUAYAQUIL[[#This Row],[Fecha Cad]]-GUAYAQUIL[[#This Row],[VIDA UTIL (Días)]]))+1),"")</f>
        <v>45608</v>
      </c>
      <c r="R444" s="29">
        <v>45667</v>
      </c>
      <c r="S444" s="30">
        <f t="shared" ca="1" si="31"/>
        <v>43</v>
      </c>
      <c r="T444" s="31">
        <f t="shared" ca="1" si="32"/>
        <v>0.71666666666666667</v>
      </c>
      <c r="U444" s="286">
        <v>40</v>
      </c>
      <c r="V444" s="266">
        <f>+IFERROR(IF(GUAYAQUIL[[#This Row],[CODIGO]]="","",GUAYAQUIL[[#This Row],[Stock Actual Unds]]*GUAYAQUIL[[#This Row],[Gramaje]]*GUAYAQUIL[[#This Row],[Conversión]]),"")</f>
        <v>12</v>
      </c>
      <c r="W444" s="270">
        <f t="shared" si="33"/>
        <v>7</v>
      </c>
      <c r="X444" s="32">
        <f t="shared" si="34"/>
        <v>0.8833333333333333</v>
      </c>
      <c r="Y444" s="236">
        <f>IFERROR(VLOOKUP(GUAYAQUIL[[#This Row],[CODIGO]],MAESTRO!A:BI,21,FALSE),0)</f>
        <v>2.3023199999999999</v>
      </c>
      <c r="Z444" s="237">
        <f>+IFERROR(IF(GUAYAQUIL[[#This Row],[CODIGO]]="","",GUAYAQUIL[[#This Row],[COSTO UNIT base]]*GUAYAQUIL[[#This Row],[Conversión]]),"")</f>
        <v>2.3023199999999999</v>
      </c>
      <c r="AA444" s="236">
        <f>+IFERROR(IF(GUAYAQUIL[[#This Row],[CODIGO]]="","",GUAYAQUIL[[#This Row],[COSTO UNIT Conv]]*GUAYAQUIL[[#This Row],[Stock Actual Kgs]]),"")</f>
        <v>27.627839999999999</v>
      </c>
      <c r="AB444" s="33">
        <f ca="1">+IFERROR(IF(GUAYAQUIL[[#This Row],[CODIGO]]="","",$J$3-O444),"")</f>
        <v>9</v>
      </c>
      <c r="AC444" s="34" t="str">
        <f ca="1">IF(GUAYAQUIL[[#This Row],[CODIGO]]="","",IF(S444&lt;=0,"CADUCADO",IF(AND(S444&gt;0,S444&lt;=21),"FECHA CORTA",IF(AND(S444&gt;=22,S444&lt;=26),"PROXIMOS FECHA CORTA", "VIGENTE"))))</f>
        <v>VIGENTE</v>
      </c>
      <c r="AD444" s="37">
        <f>+IF(GUAYAQUIL[[#This Row],[CODIGO]]="","",GUAYAQUIL[[#This Row],[Stock Actual Unds]]*GUAYAQUIL[[#This Row],[Gramaje]]*GUAYAQUIL[[#This Row],[Conversión]])/1000</f>
        <v>1.2E-2</v>
      </c>
    </row>
    <row r="445" spans="1:30">
      <c r="A445" s="24" t="str">
        <f>+IFERROR(IF(GUAYAQUIL[[#This Row],[CODIGO]]="","",VLOOKUP(GUAYAQUIL[[#This Row],[CODIGO]],MAESTRO!$A:$J,10,FALSE)),"")</f>
        <v>SAN GABRIEL</v>
      </c>
      <c r="B445" s="24" t="str">
        <f>+IFERROR(IF(GUAYAQUIL[[#This Row],[CODIGO]]="","",VLOOKUP(GUAYAQUIL[[#This Row],[CODIGO]],MAESTRO!$A:$Q,17,FALSE)),"")</f>
        <v>QUESOS Y GRASAS</v>
      </c>
      <c r="C445" s="24" t="str">
        <f>+IFERROR(IF(GUAYAQUIL[[#This Row],[CODIGO]]="","",VLOOKUP(GUAYAQUIL[[#This Row],[CODIGO]],MAESTRO!$A:$BA,53,FALSE)),"")</f>
        <v xml:space="preserve">Esteban Montenegro                      </v>
      </c>
      <c r="D445" s="24" t="str">
        <f>+IFERROR(IF(GUAYAQUIL[[#This Row],[CODIGO]]="","",VLOOKUP(GUAYAQUIL[[#This Row],[CODIGO]],MAESTRO!$A:$D,4,FALSE)),"")</f>
        <v>QUESO SEMIMADURO KIOSKO</v>
      </c>
      <c r="E445" s="24" t="str">
        <f>+IFERROR(IF(GUAYAQUIL[[#This Row],[CODIGO]]="","",VLOOKUP(GUAYAQUIL[[#This Row],[CODIGO]],MAESTRO!$A:$F,6,FALSE)),"")</f>
        <v>QUESO TACO CHESSE KIOSKO RALLADO</v>
      </c>
      <c r="F445" s="42" t="str">
        <f>IF(GUAYAQUIL[[#This Row],[CODIGO]]="","",$K$6)</f>
        <v>GUAYAQUIL</v>
      </c>
      <c r="G445" s="209">
        <f>IF(GUAYAQUIL[[#This Row],[CODIGO]]="","",7711)</f>
        <v>7711</v>
      </c>
      <c r="H445" s="209">
        <f>IF(GUAYAQUIL[[#This Row],[CODIGO]]="","",1001)</f>
        <v>1001</v>
      </c>
      <c r="I445" s="258" t="s">
        <v>1217</v>
      </c>
      <c r="J445" s="25" t="str">
        <f>IFERROR((VLOOKUP(GUAYAQUIL[[#This Row],[CODIGO]],MAESTRO!A:B,2,FALSE)),"")</f>
        <v>Q MIX MEX KIOSKO RALL BOL 300G</v>
      </c>
      <c r="K445" s="35">
        <v>30</v>
      </c>
      <c r="L445" s="38">
        <f>+IFERROR(IF(GUAYAQUIL[[#This Row],[CODIGO]]="","",VLOOKUP(GUAYAQUIL[[#This Row],[CODIGO]],MAESTRO!$A:$BF,58,FALSE)),"")</f>
        <v>1</v>
      </c>
      <c r="M445" s="27">
        <f>+IFERROR(IF(GUAYAQUIL[[#This Row],[CODIGO]]="","",VLOOKUP(GUAYAQUIL[[#This Row],[CODIGO]],MAESTRO!A:N,14,FALSE)),"")</f>
        <v>0.3</v>
      </c>
      <c r="N445" s="28">
        <f>+IFERROR(IF(GUAYAQUIL[[#This Row],[CODIGO]]="","",VLOOKUP(GUAYAQUIL[[#This Row],[CODIGO]],MAESTRO!A:P,16,FALSE)),"")</f>
        <v>60</v>
      </c>
      <c r="O445" s="29">
        <v>45616</v>
      </c>
      <c r="P445" s="72" t="str">
        <f t="shared" si="30"/>
        <v>miércoles</v>
      </c>
      <c r="Q445" s="29">
        <f>IFERROR(IF(GUAYAQUIL[[#This Row],[CODIGO]]="","",IF(GUAYAQUIL[[#This Row],[Fecha Cad]]="","",(GUAYAQUIL[[#This Row],[Fecha Cad]]-GUAYAQUIL[[#This Row],[VIDA UTIL (Días)]]))+1),"")</f>
        <v>45608</v>
      </c>
      <c r="R445" s="29">
        <v>45667</v>
      </c>
      <c r="S445" s="30">
        <f t="shared" ca="1" si="31"/>
        <v>43</v>
      </c>
      <c r="T445" s="31">
        <f t="shared" ca="1" si="32"/>
        <v>0.71666666666666667</v>
      </c>
      <c r="U445" s="286">
        <v>30</v>
      </c>
      <c r="V445" s="266">
        <f>+IFERROR(IF(GUAYAQUIL[[#This Row],[CODIGO]]="","",GUAYAQUIL[[#This Row],[Stock Actual Unds]]*GUAYAQUIL[[#This Row],[Gramaje]]*GUAYAQUIL[[#This Row],[Conversión]]),"")</f>
        <v>9</v>
      </c>
      <c r="W445" s="270">
        <f t="shared" si="33"/>
        <v>8</v>
      </c>
      <c r="X445" s="32">
        <f t="shared" si="34"/>
        <v>0.8666666666666667</v>
      </c>
      <c r="Y445" s="236">
        <f>IFERROR(VLOOKUP(GUAYAQUIL[[#This Row],[CODIGO]],MAESTRO!A:BI,21,FALSE),0)</f>
        <v>2.3023199999999999</v>
      </c>
      <c r="Z445" s="237">
        <f>+IFERROR(IF(GUAYAQUIL[[#This Row],[CODIGO]]="","",GUAYAQUIL[[#This Row],[COSTO UNIT base]]*GUAYAQUIL[[#This Row],[Conversión]]),"")</f>
        <v>2.3023199999999999</v>
      </c>
      <c r="AA445" s="236">
        <f>+IFERROR(IF(GUAYAQUIL[[#This Row],[CODIGO]]="","",GUAYAQUIL[[#This Row],[COSTO UNIT Conv]]*GUAYAQUIL[[#This Row],[Stock Actual Kgs]]),"")</f>
        <v>20.720880000000001</v>
      </c>
      <c r="AB445" s="33">
        <f ca="1">+IFERROR(IF(GUAYAQUIL[[#This Row],[CODIGO]]="","",$J$3-O445),"")</f>
        <v>8</v>
      </c>
      <c r="AC445" s="34" t="str">
        <f ca="1">IF(GUAYAQUIL[[#This Row],[CODIGO]]="","",IF(S445&lt;=0,"CADUCADO",IF(AND(S445&gt;0,S445&lt;=21),"FECHA CORTA",IF(AND(S445&gt;=22,S445&lt;=26),"PROXIMOS FECHA CORTA", "VIGENTE"))))</f>
        <v>VIGENTE</v>
      </c>
      <c r="AD445" s="37">
        <f>+IF(GUAYAQUIL[[#This Row],[CODIGO]]="","",GUAYAQUIL[[#This Row],[Stock Actual Unds]]*GUAYAQUIL[[#This Row],[Gramaje]]*GUAYAQUIL[[#This Row],[Conversión]])/1000</f>
        <v>8.9999999999999993E-3</v>
      </c>
    </row>
    <row r="446" spans="1:30">
      <c r="A446" s="24" t="str">
        <f>+IFERROR(IF(GUAYAQUIL[[#This Row],[CODIGO]]="","",VLOOKUP(GUAYAQUIL[[#This Row],[CODIGO]],MAESTRO!$A:$J,10,FALSE)),"")</f>
        <v>SAN GABRIEL</v>
      </c>
      <c r="B446" s="24" t="str">
        <f>+IFERROR(IF(GUAYAQUIL[[#This Row],[CODIGO]]="","",VLOOKUP(GUAYAQUIL[[#This Row],[CODIGO]],MAESTRO!$A:$Q,17,FALSE)),"")</f>
        <v>QUESOS Y GRASAS</v>
      </c>
      <c r="C446" s="24" t="str">
        <f>+IFERROR(IF(GUAYAQUIL[[#This Row],[CODIGO]]="","",VLOOKUP(GUAYAQUIL[[#This Row],[CODIGO]],MAESTRO!$A:$BA,53,FALSE)),"")</f>
        <v xml:space="preserve">Esteban Montenegro                      </v>
      </c>
      <c r="D446" s="24" t="str">
        <f>+IFERROR(IF(GUAYAQUIL[[#This Row],[CODIGO]]="","",VLOOKUP(GUAYAQUIL[[#This Row],[CODIGO]],MAESTRO!$A:$D,4,FALSE)),"")</f>
        <v>QUESO SEMIMADURO KIOSKO</v>
      </c>
      <c r="E446" s="24" t="str">
        <f>+IFERROR(IF(GUAYAQUIL[[#This Row],[CODIGO]]="","",VLOOKUP(GUAYAQUIL[[#This Row],[CODIGO]],MAESTRO!$A:$F,6,FALSE)),"")</f>
        <v>QUESO TACO CHESSE KIOSKO RALLADO</v>
      </c>
      <c r="F446" s="42" t="str">
        <f>IF(GUAYAQUIL[[#This Row],[CODIGO]]="","",$K$6)</f>
        <v>GUAYAQUIL</v>
      </c>
      <c r="G446" s="42">
        <f>IF(GUAYAQUIL[[#This Row],[CODIGO]]="","",7711)</f>
        <v>7711</v>
      </c>
      <c r="H446" s="42">
        <f>IF(GUAYAQUIL[[#This Row],[CODIGO]]="","",1001)</f>
        <v>1001</v>
      </c>
      <c r="I446" s="258" t="s">
        <v>1217</v>
      </c>
      <c r="J446" s="25" t="str">
        <f>IFERROR((VLOOKUP(GUAYAQUIL[[#This Row],[CODIGO]],MAESTRO!A:B,2,FALSE)),"")</f>
        <v>Q MIX MEX KIOSKO RALL BOL 300G</v>
      </c>
      <c r="K446" s="35">
        <v>60</v>
      </c>
      <c r="L446" s="38">
        <f>+IFERROR(IF(GUAYAQUIL[[#This Row],[CODIGO]]="","",VLOOKUP(GUAYAQUIL[[#This Row],[CODIGO]],MAESTRO!$A:$BF,58,FALSE)),"")</f>
        <v>1</v>
      </c>
      <c r="M446" s="27">
        <f>+IFERROR(IF(GUAYAQUIL[[#This Row],[CODIGO]]="","",VLOOKUP(GUAYAQUIL[[#This Row],[CODIGO]],MAESTRO!A:N,14,FALSE)),"")</f>
        <v>0.3</v>
      </c>
      <c r="N446" s="28">
        <f>+IFERROR(IF(GUAYAQUIL[[#This Row],[CODIGO]]="","",VLOOKUP(GUAYAQUIL[[#This Row],[CODIGO]],MAESTRO!A:P,16,FALSE)),"")</f>
        <v>60</v>
      </c>
      <c r="O446" s="29">
        <v>45617</v>
      </c>
      <c r="P446" s="72" t="str">
        <f t="shared" si="30"/>
        <v>jueves</v>
      </c>
      <c r="Q446" s="29">
        <f>IFERROR(IF(GUAYAQUIL[[#This Row],[CODIGO]]="","",IF(GUAYAQUIL[[#This Row],[Fecha Cad]]="","",(GUAYAQUIL[[#This Row],[Fecha Cad]]-GUAYAQUIL[[#This Row],[VIDA UTIL (Días)]]))+1),"")</f>
        <v>45608</v>
      </c>
      <c r="R446" s="29">
        <v>45667</v>
      </c>
      <c r="S446" s="30">
        <f t="shared" ca="1" si="31"/>
        <v>43</v>
      </c>
      <c r="T446" s="31">
        <f t="shared" ca="1" si="32"/>
        <v>0.71666666666666667</v>
      </c>
      <c r="U446" s="286">
        <v>60</v>
      </c>
      <c r="V446" s="266">
        <f>+IFERROR(IF(GUAYAQUIL[[#This Row],[CODIGO]]="","",GUAYAQUIL[[#This Row],[Stock Actual Unds]]*GUAYAQUIL[[#This Row],[Gramaje]]*GUAYAQUIL[[#This Row],[Conversión]]),"")</f>
        <v>18</v>
      </c>
      <c r="W446" s="270">
        <f t="shared" si="33"/>
        <v>9</v>
      </c>
      <c r="X446" s="32">
        <f t="shared" si="34"/>
        <v>0.85</v>
      </c>
      <c r="Y446" s="236">
        <f>IFERROR(VLOOKUP(GUAYAQUIL[[#This Row],[CODIGO]],MAESTRO!A:BI,21,FALSE),0)</f>
        <v>2.3023199999999999</v>
      </c>
      <c r="Z446" s="237">
        <f>+IFERROR(IF(GUAYAQUIL[[#This Row],[CODIGO]]="","",GUAYAQUIL[[#This Row],[COSTO UNIT base]]*GUAYAQUIL[[#This Row],[Conversión]]),"")</f>
        <v>2.3023199999999999</v>
      </c>
      <c r="AA446" s="236">
        <f>+IFERROR(IF(GUAYAQUIL[[#This Row],[CODIGO]]="","",GUAYAQUIL[[#This Row],[COSTO UNIT Conv]]*GUAYAQUIL[[#This Row],[Stock Actual Kgs]]),"")</f>
        <v>41.441760000000002</v>
      </c>
      <c r="AB446" s="33">
        <f ca="1">+IFERROR(IF(GUAYAQUIL[[#This Row],[CODIGO]]="","",$J$3-O446),"")</f>
        <v>7</v>
      </c>
      <c r="AC446" s="34" t="str">
        <f ca="1">IF(GUAYAQUIL[[#This Row],[CODIGO]]="","",IF(S446&lt;=0,"CADUCADO",IF(AND(S446&gt;0,S446&lt;=21),"FECHA CORTA",IF(AND(S446&gt;=22,S446&lt;=26),"PROXIMOS FECHA CORTA", "VIGENTE"))))</f>
        <v>VIGENTE</v>
      </c>
      <c r="AD446" s="37">
        <f>+IF(GUAYAQUIL[[#This Row],[CODIGO]]="","",GUAYAQUIL[[#This Row],[Stock Actual Unds]]*GUAYAQUIL[[#This Row],[Gramaje]]*GUAYAQUIL[[#This Row],[Conversión]])/1000</f>
        <v>1.7999999999999999E-2</v>
      </c>
    </row>
    <row r="447" spans="1:30">
      <c r="A447" s="24" t="str">
        <f>+IFERROR(IF(GUAYAQUIL[[#This Row],[CODIGO]]="","",VLOOKUP(GUAYAQUIL[[#This Row],[CODIGO]],MAESTRO!$A:$J,10,FALSE)),"")</f>
        <v>MULTIEMPAQUE</v>
      </c>
      <c r="B447" s="24" t="str">
        <f>+IFERROR(IF(GUAYAQUIL[[#This Row],[CODIGO]]="","",VLOOKUP(GUAYAQUIL[[#This Row],[CODIGO]],MAESTRO!$A:$Q,17,FALSE)),"")</f>
        <v>BEBIDAS LACTEAS</v>
      </c>
      <c r="C447" s="24" t="str">
        <f>+IFERROR(IF(GUAYAQUIL[[#This Row],[CODIGO]]="","",VLOOKUP(GUAYAQUIL[[#This Row],[CODIGO]],MAESTRO!$A:$BA,53,FALSE)),"")</f>
        <v xml:space="preserve">Luis Armendariz                         </v>
      </c>
      <c r="D447" s="24" t="str">
        <f>+IFERROR(IF(GUAYAQUIL[[#This Row],[CODIGO]]="","",VLOOKUP(GUAYAQUIL[[#This Row],[CODIGO]],MAESTRO!$A:$D,4,FALSE)),"")</f>
        <v>AVENA FINESSE</v>
      </c>
      <c r="E447" s="24" t="str">
        <f>+IFERROR(IF(GUAYAQUIL[[#This Row],[CODIGO]]="","",VLOOKUP(GUAYAQUIL[[#This Row],[CODIGO]],MAESTRO!$A:$F,6,FALSE)),"")</f>
        <v>AVENA FINESSE VASO</v>
      </c>
      <c r="F447" s="42" t="str">
        <f>IF(GUAYAQUIL[[#This Row],[CODIGO]]="","",$K$6)</f>
        <v>GUAYAQUIL</v>
      </c>
      <c r="G447" s="209">
        <f>IF(GUAYAQUIL[[#This Row],[CODIGO]]="","",7711)</f>
        <v>7711</v>
      </c>
      <c r="H447" s="209">
        <f>IF(GUAYAQUIL[[#This Row],[CODIGO]]="","",1001)</f>
        <v>1001</v>
      </c>
      <c r="I447" s="258" t="s">
        <v>1607</v>
      </c>
      <c r="J447" s="25" t="str">
        <f>IFERROR((VLOOKUP(GUAYAQUIL[[#This Row],[CODIGO]],MAESTRO!A:B,2,FALSE)),"")</f>
        <v>MPLX6 AVENA FINESSE VASO 250G</v>
      </c>
      <c r="K447" s="35">
        <v>56</v>
      </c>
      <c r="L447" s="38">
        <f>+IFERROR(IF(GUAYAQUIL[[#This Row],[CODIGO]]="","",VLOOKUP(GUAYAQUIL[[#This Row],[CODIGO]],MAESTRO!$A:$BF,58,FALSE)),"")</f>
        <v>1</v>
      </c>
      <c r="M447" s="27">
        <f>+IFERROR(IF(GUAYAQUIL[[#This Row],[CODIGO]]="","",VLOOKUP(GUAYAQUIL[[#This Row],[CODIGO]],MAESTRO!A:N,14,FALSE)),"")</f>
        <v>1.5</v>
      </c>
      <c r="N447" s="28">
        <f>+IFERROR(IF(GUAYAQUIL[[#This Row],[CODIGO]]="","",VLOOKUP(GUAYAQUIL[[#This Row],[CODIGO]],MAESTRO!A:P,16,FALSE)),"")</f>
        <v>180</v>
      </c>
      <c r="O447" s="29">
        <v>45549</v>
      </c>
      <c r="P447" s="72" t="str">
        <f t="shared" si="30"/>
        <v>sábado</v>
      </c>
      <c r="Q447" s="29">
        <f>IFERROR(IF(GUAYAQUIL[[#This Row],[CODIGO]]="","",IF(GUAYAQUIL[[#This Row],[Fecha Cad]]="","",(GUAYAQUIL[[#This Row],[Fecha Cad]]-GUAYAQUIL[[#This Row],[VIDA UTIL (Días)]]))+1),"")</f>
        <v>45497</v>
      </c>
      <c r="R447" s="29">
        <v>45676</v>
      </c>
      <c r="S447" s="30">
        <f t="shared" ca="1" si="31"/>
        <v>52</v>
      </c>
      <c r="T447" s="31">
        <f t="shared" ca="1" si="32"/>
        <v>0.28888888888888886</v>
      </c>
      <c r="U447" s="286">
        <v>6</v>
      </c>
      <c r="V447" s="266">
        <f>+IFERROR(IF(GUAYAQUIL[[#This Row],[CODIGO]]="","",GUAYAQUIL[[#This Row],[Stock Actual Unds]]*GUAYAQUIL[[#This Row],[Gramaje]]*GUAYAQUIL[[#This Row],[Conversión]]),"")</f>
        <v>9</v>
      </c>
      <c r="W447" s="270">
        <f t="shared" si="33"/>
        <v>52</v>
      </c>
      <c r="X447" s="32">
        <f t="shared" si="34"/>
        <v>0.71111111111111114</v>
      </c>
      <c r="Y447" s="236">
        <f>IFERROR(VLOOKUP(GUAYAQUIL[[#This Row],[CODIGO]],MAESTRO!A:BI,21,FALSE),0)</f>
        <v>2.2748600000000003</v>
      </c>
      <c r="Z447" s="237">
        <f>+IFERROR(IF(GUAYAQUIL[[#This Row],[CODIGO]]="","",GUAYAQUIL[[#This Row],[COSTO UNIT base]]*GUAYAQUIL[[#This Row],[Conversión]]),"")</f>
        <v>2.2748600000000003</v>
      </c>
      <c r="AA447" s="236">
        <f>+IFERROR(IF(GUAYAQUIL[[#This Row],[CODIGO]]="","",GUAYAQUIL[[#This Row],[COSTO UNIT Conv]]*GUAYAQUIL[[#This Row],[Stock Actual Kgs]]),"")</f>
        <v>20.473740000000003</v>
      </c>
      <c r="AB447" s="33">
        <f ca="1">+IFERROR(IF(GUAYAQUIL[[#This Row],[CODIGO]]="","",$J$3-O447),"")</f>
        <v>75</v>
      </c>
      <c r="AC447" s="34" t="str">
        <f ca="1">IF(GUAYAQUIL[[#This Row],[CODIGO]]="","",IF(S447&lt;=0,"CADUCADO",IF(AND(S447&gt;0,S447&lt;=21),"FECHA CORTA",IF(AND(S447&gt;=22,S447&lt;=26),"PROXIMOS FECHA CORTA", "VIGENTE"))))</f>
        <v>VIGENTE</v>
      </c>
      <c r="AD447" s="37">
        <f>+IF(GUAYAQUIL[[#This Row],[CODIGO]]="","",GUAYAQUIL[[#This Row],[Stock Actual Unds]]*GUAYAQUIL[[#This Row],[Gramaje]]*GUAYAQUIL[[#This Row],[Conversión]])/1000</f>
        <v>8.9999999999999993E-3</v>
      </c>
    </row>
    <row r="448" spans="1:30">
      <c r="A448" s="24" t="str">
        <f>+IFERROR(IF(GUAYAQUIL[[#This Row],[CODIGO]]="","",VLOOKUP(GUAYAQUIL[[#This Row],[CODIGO]],MAESTRO!$A:$J,10,FALSE)),"")</f>
        <v>MULTIEMPAQUE</v>
      </c>
      <c r="B448" s="24" t="str">
        <f>+IFERROR(IF(GUAYAQUIL[[#This Row],[CODIGO]]="","",VLOOKUP(GUAYAQUIL[[#This Row],[CODIGO]],MAESTRO!$A:$Q,17,FALSE)),"")</f>
        <v>BEBIDAS LACTEAS</v>
      </c>
      <c r="C448" s="24" t="str">
        <f>+IFERROR(IF(GUAYAQUIL[[#This Row],[CODIGO]]="","",VLOOKUP(GUAYAQUIL[[#This Row],[CODIGO]],MAESTRO!$A:$BA,53,FALSE)),"")</f>
        <v xml:space="preserve">Luis Armendariz                         </v>
      </c>
      <c r="D448" s="24" t="str">
        <f>+IFERROR(IF(GUAYAQUIL[[#This Row],[CODIGO]]="","",VLOOKUP(GUAYAQUIL[[#This Row],[CODIGO]],MAESTRO!$A:$D,4,FALSE)),"")</f>
        <v>AVENA FINESSE</v>
      </c>
      <c r="E448" s="24" t="str">
        <f>+IFERROR(IF(GUAYAQUIL[[#This Row],[CODIGO]]="","",VLOOKUP(GUAYAQUIL[[#This Row],[CODIGO]],MAESTRO!$A:$F,6,FALSE)),"")</f>
        <v>AVENA FINESSE VASO</v>
      </c>
      <c r="F448" s="42" t="str">
        <f>IF(GUAYAQUIL[[#This Row],[CODIGO]]="","",$K$6)</f>
        <v>GUAYAQUIL</v>
      </c>
      <c r="G448" s="42">
        <f>IF(GUAYAQUIL[[#This Row],[CODIGO]]="","",7711)</f>
        <v>7711</v>
      </c>
      <c r="H448" s="42">
        <f>IF(GUAYAQUIL[[#This Row],[CODIGO]]="","",1001)</f>
        <v>1001</v>
      </c>
      <c r="I448" s="257" t="s">
        <v>1607</v>
      </c>
      <c r="J448" s="25" t="str">
        <f>IFERROR((VLOOKUP(GUAYAQUIL[[#This Row],[CODIGO]],MAESTRO!A:B,2,FALSE)),"")</f>
        <v>MPLX6 AVENA FINESSE VASO 250G</v>
      </c>
      <c r="K448" s="26">
        <v>56</v>
      </c>
      <c r="L448" s="38">
        <f>+IFERROR(IF(GUAYAQUIL[[#This Row],[CODIGO]]="","",VLOOKUP(GUAYAQUIL[[#This Row],[CODIGO]],MAESTRO!$A:$BF,58,FALSE)),"")</f>
        <v>1</v>
      </c>
      <c r="M448" s="27">
        <f>+IFERROR(IF(GUAYAQUIL[[#This Row],[CODIGO]]="","",VLOOKUP(GUAYAQUIL[[#This Row],[CODIGO]],MAESTRO!A:N,14,FALSE)),"")</f>
        <v>1.5</v>
      </c>
      <c r="N448" s="28">
        <f>+IFERROR(IF(GUAYAQUIL[[#This Row],[CODIGO]]="","",VLOOKUP(GUAYAQUIL[[#This Row],[CODIGO]],MAESTRO!A:P,16,FALSE)),"")</f>
        <v>180</v>
      </c>
      <c r="O448" s="29">
        <v>45601</v>
      </c>
      <c r="P448" s="72" t="str">
        <f t="shared" si="30"/>
        <v>martes</v>
      </c>
      <c r="Q448" s="29">
        <f>IFERROR(IF(GUAYAQUIL[[#This Row],[CODIGO]]="","",IF(GUAYAQUIL[[#This Row],[Fecha Cad]]="","",(GUAYAQUIL[[#This Row],[Fecha Cad]]-GUAYAQUIL[[#This Row],[VIDA UTIL (Días)]]))+1),"")</f>
        <v>45561</v>
      </c>
      <c r="R448" s="29">
        <v>45740</v>
      </c>
      <c r="S448" s="30">
        <f t="shared" ca="1" si="31"/>
        <v>116</v>
      </c>
      <c r="T448" s="31">
        <f t="shared" ca="1" si="32"/>
        <v>0.64444444444444449</v>
      </c>
      <c r="U448" s="286">
        <v>31</v>
      </c>
      <c r="V448" s="267">
        <f>+IFERROR(IF(GUAYAQUIL[[#This Row],[CODIGO]]="","",GUAYAQUIL[[#This Row],[Stock Actual Unds]]*GUAYAQUIL[[#This Row],[Gramaje]]*GUAYAQUIL[[#This Row],[Conversión]]),"")</f>
        <v>46.5</v>
      </c>
      <c r="W448" s="270">
        <f t="shared" si="33"/>
        <v>40</v>
      </c>
      <c r="X448" s="32">
        <f t="shared" si="34"/>
        <v>0.77777777777777779</v>
      </c>
      <c r="Y448" s="236">
        <f>IFERROR(VLOOKUP(GUAYAQUIL[[#This Row],[CODIGO]],MAESTRO!A:BI,21,FALSE),0)</f>
        <v>2.2748600000000003</v>
      </c>
      <c r="Z448" s="237">
        <f>+IFERROR(IF(GUAYAQUIL[[#This Row],[CODIGO]]="","",GUAYAQUIL[[#This Row],[COSTO UNIT base]]*GUAYAQUIL[[#This Row],[Conversión]]),"")</f>
        <v>2.2748600000000003</v>
      </c>
      <c r="AA448" s="236">
        <f>+IFERROR(IF(GUAYAQUIL[[#This Row],[CODIGO]]="","",GUAYAQUIL[[#This Row],[COSTO UNIT Conv]]*GUAYAQUIL[[#This Row],[Stock Actual Kgs]]),"")</f>
        <v>105.78099000000002</v>
      </c>
      <c r="AB448" s="33">
        <f ca="1">+IFERROR(IF(GUAYAQUIL[[#This Row],[CODIGO]]="","",$J$3-O448),"")</f>
        <v>23</v>
      </c>
      <c r="AC448" s="34" t="str">
        <f ca="1">IF(GUAYAQUIL[[#This Row],[CODIGO]]="","",IF(S448&lt;=0,"CADUCADO",IF(AND(S448&gt;0,S448&lt;=21),"FECHA CORTA",IF(AND(S448&gt;=22,S448&lt;=26),"PROXIMOS FECHA CORTA", "VIGENTE"))))</f>
        <v>VIGENTE</v>
      </c>
      <c r="AD448" s="37">
        <f>+IF(GUAYAQUIL[[#This Row],[CODIGO]]="","",GUAYAQUIL[[#This Row],[Stock Actual Unds]]*GUAYAQUIL[[#This Row],[Gramaje]]*GUAYAQUIL[[#This Row],[Conversión]])/1000</f>
        <v>4.65E-2</v>
      </c>
    </row>
    <row r="449" spans="1:30">
      <c r="A449" s="24" t="str">
        <f>+IFERROR(IF(GUAYAQUIL[[#This Row],[CODIGO]]="","",VLOOKUP(GUAYAQUIL[[#This Row],[CODIGO]],MAESTRO!$A:$J,10,FALSE)),"")</f>
        <v>MULTIEMPAQUE</v>
      </c>
      <c r="B449" s="24" t="str">
        <f>+IFERROR(IF(GUAYAQUIL[[#This Row],[CODIGO]]="","",VLOOKUP(GUAYAQUIL[[#This Row],[CODIGO]],MAESTRO!$A:$Q,17,FALSE)),"")</f>
        <v>BEBIDAS LACTEAS</v>
      </c>
      <c r="C449" s="24" t="str">
        <f>+IFERROR(IF(GUAYAQUIL[[#This Row],[CODIGO]]="","",VLOOKUP(GUAYAQUIL[[#This Row],[CODIGO]],MAESTRO!$A:$BA,53,FALSE)),"")</f>
        <v xml:space="preserve">Luis Armendariz                         </v>
      </c>
      <c r="D449" s="24" t="str">
        <f>+IFERROR(IF(GUAYAQUIL[[#This Row],[CODIGO]]="","",VLOOKUP(GUAYAQUIL[[#This Row],[CODIGO]],MAESTRO!$A:$D,4,FALSE)),"")</f>
        <v>AVENA FINESSE</v>
      </c>
      <c r="E449" s="24" t="str">
        <f>+IFERROR(IF(GUAYAQUIL[[#This Row],[CODIGO]]="","",VLOOKUP(GUAYAQUIL[[#This Row],[CODIGO]],MAESTRO!$A:$F,6,FALSE)),"")</f>
        <v>AVENA FINESSE VASO</v>
      </c>
      <c r="F449" s="42" t="str">
        <f>IF(GUAYAQUIL[[#This Row],[CODIGO]]="","",$K$6)</f>
        <v>GUAYAQUIL</v>
      </c>
      <c r="G449" s="209">
        <f>IF(GUAYAQUIL[[#This Row],[CODIGO]]="","",7711)</f>
        <v>7711</v>
      </c>
      <c r="H449" s="209">
        <f>IF(GUAYAQUIL[[#This Row],[CODIGO]]="","",1001)</f>
        <v>1001</v>
      </c>
      <c r="I449" s="257" t="s">
        <v>1607</v>
      </c>
      <c r="J449" s="25" t="str">
        <f>IFERROR((VLOOKUP(GUAYAQUIL[[#This Row],[CODIGO]],MAESTRO!A:B,2,FALSE)),"")</f>
        <v>MPLX6 AVENA FINESSE VASO 250G</v>
      </c>
      <c r="K449" s="26">
        <v>56</v>
      </c>
      <c r="L449" s="38">
        <f>+IFERROR(IF(GUAYAQUIL[[#This Row],[CODIGO]]="","",VLOOKUP(GUAYAQUIL[[#This Row],[CODIGO]],MAESTRO!$A:$BF,58,FALSE)),"")</f>
        <v>1</v>
      </c>
      <c r="M449" s="27">
        <f>+IFERROR(IF(GUAYAQUIL[[#This Row],[CODIGO]]="","",VLOOKUP(GUAYAQUIL[[#This Row],[CODIGO]],MAESTRO!A:N,14,FALSE)),"")</f>
        <v>1.5</v>
      </c>
      <c r="N449" s="28">
        <f>+IFERROR(IF(GUAYAQUIL[[#This Row],[CODIGO]]="","",VLOOKUP(GUAYAQUIL[[#This Row],[CODIGO]],MAESTRO!A:P,16,FALSE)),"")</f>
        <v>180</v>
      </c>
      <c r="O449" s="29">
        <v>45608</v>
      </c>
      <c r="P449" s="72" t="str">
        <f t="shared" si="30"/>
        <v>martes</v>
      </c>
      <c r="Q449" s="29">
        <f>IFERROR(IF(GUAYAQUIL[[#This Row],[CODIGO]]="","",IF(GUAYAQUIL[[#This Row],[Fecha Cad]]="","",(GUAYAQUIL[[#This Row],[Fecha Cad]]-GUAYAQUIL[[#This Row],[VIDA UTIL (Días)]]))+1),"")</f>
        <v>45561</v>
      </c>
      <c r="R449" s="29">
        <v>45740</v>
      </c>
      <c r="S449" s="30">
        <f t="shared" ca="1" si="31"/>
        <v>116</v>
      </c>
      <c r="T449" s="31">
        <f t="shared" ca="1" si="32"/>
        <v>0.64444444444444449</v>
      </c>
      <c r="U449" s="286">
        <v>56</v>
      </c>
      <c r="V449" s="267">
        <f>+IFERROR(IF(GUAYAQUIL[[#This Row],[CODIGO]]="","",GUAYAQUIL[[#This Row],[Stock Actual Unds]]*GUAYAQUIL[[#This Row],[Gramaje]]*GUAYAQUIL[[#This Row],[Conversión]]),"")</f>
        <v>84</v>
      </c>
      <c r="W449" s="270">
        <f t="shared" si="33"/>
        <v>47</v>
      </c>
      <c r="X449" s="32">
        <f t="shared" si="34"/>
        <v>0.73888888888888893</v>
      </c>
      <c r="Y449" s="236">
        <f>IFERROR(VLOOKUP(GUAYAQUIL[[#This Row],[CODIGO]],MAESTRO!A:BI,21,FALSE),0)</f>
        <v>2.2748600000000003</v>
      </c>
      <c r="Z449" s="237">
        <f>+IFERROR(IF(GUAYAQUIL[[#This Row],[CODIGO]]="","",GUAYAQUIL[[#This Row],[COSTO UNIT base]]*GUAYAQUIL[[#This Row],[Conversión]]),"")</f>
        <v>2.2748600000000003</v>
      </c>
      <c r="AA449" s="236">
        <f>+IFERROR(IF(GUAYAQUIL[[#This Row],[CODIGO]]="","",GUAYAQUIL[[#This Row],[COSTO UNIT Conv]]*GUAYAQUIL[[#This Row],[Stock Actual Kgs]]),"")</f>
        <v>191.08824000000004</v>
      </c>
      <c r="AB449" s="33">
        <f ca="1">+IFERROR(IF(GUAYAQUIL[[#This Row],[CODIGO]]="","",$J$3-O449),"")</f>
        <v>16</v>
      </c>
      <c r="AC449" s="34" t="str">
        <f ca="1">IF(GUAYAQUIL[[#This Row],[CODIGO]]="","",IF(S449&lt;=0,"CADUCADO",IF(AND(S449&gt;0,S449&lt;=21),"FECHA CORTA",IF(AND(S449&gt;=22,S449&lt;=26),"PROXIMOS FECHA CORTA", "VIGENTE"))))</f>
        <v>VIGENTE</v>
      </c>
      <c r="AD449" s="37">
        <f>+IF(GUAYAQUIL[[#This Row],[CODIGO]]="","",GUAYAQUIL[[#This Row],[Stock Actual Unds]]*GUAYAQUIL[[#This Row],[Gramaje]]*GUAYAQUIL[[#This Row],[Conversión]])/1000</f>
        <v>8.4000000000000005E-2</v>
      </c>
    </row>
    <row r="450" spans="1:30">
      <c r="A450" s="24" t="str">
        <f>+IFERROR(IF(GUAYAQUIL[[#This Row],[CODIGO]]="","",VLOOKUP(GUAYAQUIL[[#This Row],[CODIGO]],MAESTRO!$A:$J,10,FALSE)),"")</f>
        <v>MULTIEMPAQUE</v>
      </c>
      <c r="B450" s="24" t="str">
        <f>+IFERROR(IF(GUAYAQUIL[[#This Row],[CODIGO]]="","",VLOOKUP(GUAYAQUIL[[#This Row],[CODIGO]],MAESTRO!$A:$Q,17,FALSE)),"")</f>
        <v>BEBIDAS LACTEAS</v>
      </c>
      <c r="C450" s="24" t="str">
        <f>+IFERROR(IF(GUAYAQUIL[[#This Row],[CODIGO]]="","",VLOOKUP(GUAYAQUIL[[#This Row],[CODIGO]],MAESTRO!$A:$BA,53,FALSE)),"")</f>
        <v xml:space="preserve">Luis Armendariz                         </v>
      </c>
      <c r="D450" s="24" t="str">
        <f>+IFERROR(IF(GUAYAQUIL[[#This Row],[CODIGO]]="","",VLOOKUP(GUAYAQUIL[[#This Row],[CODIGO]],MAESTRO!$A:$D,4,FALSE)),"")</f>
        <v>AVENA FINESSE</v>
      </c>
      <c r="E450" s="24" t="str">
        <f>+IFERROR(IF(GUAYAQUIL[[#This Row],[CODIGO]]="","",VLOOKUP(GUAYAQUIL[[#This Row],[CODIGO]],MAESTRO!$A:$F,6,FALSE)),"")</f>
        <v>AVENA FINESSE VASO</v>
      </c>
      <c r="F450" s="42" t="str">
        <f>IF(GUAYAQUIL[[#This Row],[CODIGO]]="","",$K$6)</f>
        <v>GUAYAQUIL</v>
      </c>
      <c r="G450" s="42">
        <f>IF(GUAYAQUIL[[#This Row],[CODIGO]]="","",7711)</f>
        <v>7711</v>
      </c>
      <c r="H450" s="42">
        <f>IF(GUAYAQUIL[[#This Row],[CODIGO]]="","",1001)</f>
        <v>1001</v>
      </c>
      <c r="I450" s="258" t="s">
        <v>1607</v>
      </c>
      <c r="J450" s="25" t="str">
        <f>IFERROR((VLOOKUP(GUAYAQUIL[[#This Row],[CODIGO]],MAESTRO!A:B,2,FALSE)),"")</f>
        <v>MPLX6 AVENA FINESSE VASO 250G</v>
      </c>
      <c r="K450" s="35">
        <v>56</v>
      </c>
      <c r="L450" s="38">
        <f>+IFERROR(IF(GUAYAQUIL[[#This Row],[CODIGO]]="","",VLOOKUP(GUAYAQUIL[[#This Row],[CODIGO]],MAESTRO!$A:$BF,58,FALSE)),"")</f>
        <v>1</v>
      </c>
      <c r="M450" s="27">
        <f>+IFERROR(IF(GUAYAQUIL[[#This Row],[CODIGO]]="","",VLOOKUP(GUAYAQUIL[[#This Row],[CODIGO]],MAESTRO!A:N,14,FALSE)),"")</f>
        <v>1.5</v>
      </c>
      <c r="N450" s="28">
        <f>+IFERROR(IF(GUAYAQUIL[[#This Row],[CODIGO]]="","",VLOOKUP(GUAYAQUIL[[#This Row],[CODIGO]],MAESTRO!A:P,16,FALSE)),"")</f>
        <v>180</v>
      </c>
      <c r="O450" s="45">
        <v>45612</v>
      </c>
      <c r="P450" s="72" t="str">
        <f t="shared" si="30"/>
        <v>sábado</v>
      </c>
      <c r="Q450" s="29">
        <f>IFERROR(IF(GUAYAQUIL[[#This Row],[CODIGO]]="","",IF(GUAYAQUIL[[#This Row],[Fecha Cad]]="","",(GUAYAQUIL[[#This Row],[Fecha Cad]]-GUAYAQUIL[[#This Row],[VIDA UTIL (Días)]]))+1),"")</f>
        <v>45588</v>
      </c>
      <c r="R450" s="45">
        <v>45767</v>
      </c>
      <c r="S450" s="30">
        <f t="shared" ca="1" si="31"/>
        <v>143</v>
      </c>
      <c r="T450" s="31">
        <f t="shared" ca="1" si="32"/>
        <v>0.7944444444444444</v>
      </c>
      <c r="U450" s="286">
        <v>56</v>
      </c>
      <c r="V450" s="265">
        <f>+IFERROR(IF(GUAYAQUIL[[#This Row],[CODIGO]]="","",GUAYAQUIL[[#This Row],[Stock Actual Unds]]*GUAYAQUIL[[#This Row],[Gramaje]]*GUAYAQUIL[[#This Row],[Conversión]]),"")</f>
        <v>84</v>
      </c>
      <c r="W450" s="270">
        <f t="shared" si="33"/>
        <v>24</v>
      </c>
      <c r="X450" s="32">
        <f t="shared" si="34"/>
        <v>0.8666666666666667</v>
      </c>
      <c r="Y450" s="236">
        <f>IFERROR(VLOOKUP(GUAYAQUIL[[#This Row],[CODIGO]],MAESTRO!A:BI,21,FALSE),0)</f>
        <v>2.2748600000000003</v>
      </c>
      <c r="Z450" s="237">
        <f>+IFERROR(IF(GUAYAQUIL[[#This Row],[CODIGO]]="","",GUAYAQUIL[[#This Row],[COSTO UNIT base]]*GUAYAQUIL[[#This Row],[Conversión]]),"")</f>
        <v>2.2748600000000003</v>
      </c>
      <c r="AA450" s="236">
        <f>+IFERROR(IF(GUAYAQUIL[[#This Row],[CODIGO]]="","",GUAYAQUIL[[#This Row],[COSTO UNIT Conv]]*GUAYAQUIL[[#This Row],[Stock Actual Kgs]]),"")</f>
        <v>191.08824000000004</v>
      </c>
      <c r="AB450" s="33">
        <f ca="1">+IFERROR(IF(GUAYAQUIL[[#This Row],[CODIGO]]="","",$J$3-O450),"")</f>
        <v>12</v>
      </c>
      <c r="AC450" s="34" t="str">
        <f ca="1">IF(GUAYAQUIL[[#This Row],[CODIGO]]="","",IF(S450&lt;=0,"CADUCADO",IF(AND(S450&gt;0,S450&lt;=21),"FECHA CORTA",IF(AND(S450&gt;=22,S450&lt;=26),"PROXIMOS FECHA CORTA", "VIGENTE"))))</f>
        <v>VIGENTE</v>
      </c>
      <c r="AD450" s="37">
        <f>+IF(GUAYAQUIL[[#This Row],[CODIGO]]="","",GUAYAQUIL[[#This Row],[Stock Actual Unds]]*GUAYAQUIL[[#This Row],[Gramaje]]*GUAYAQUIL[[#This Row],[Conversión]])/1000</f>
        <v>8.4000000000000005E-2</v>
      </c>
    </row>
    <row r="451" spans="1:30">
      <c r="A451" s="24" t="str">
        <f>+IFERROR(IF(GUAYAQUIL[[#This Row],[CODIGO]]="","",VLOOKUP(GUAYAQUIL[[#This Row],[CODIGO]],MAESTRO!$A:$J,10,FALSE)),"")</f>
        <v>MACHACHI</v>
      </c>
      <c r="B451" s="24" t="str">
        <f>+IFERROR(IF(GUAYAQUIL[[#This Row],[CODIGO]]="","",VLOOKUP(GUAYAQUIL[[#This Row],[CODIGO]],MAESTRO!$A:$Q,17,FALSE)),"")</f>
        <v>BEBIDAS LACTEAS</v>
      </c>
      <c r="C451" s="24" t="str">
        <f>+IFERROR(IF(GUAYAQUIL[[#This Row],[CODIGO]]="","",VLOOKUP(GUAYAQUIL[[#This Row],[CODIGO]],MAESTRO!$A:$BA,53,FALSE)),"")</f>
        <v xml:space="preserve">Luis Armendariz                         </v>
      </c>
      <c r="D451" s="24" t="str">
        <f>+IFERROR(IF(GUAYAQUIL[[#This Row],[CODIGO]]="","",VLOOKUP(GUAYAQUIL[[#This Row],[CODIGO]],MAESTRO!$A:$D,4,FALSE)),"")</f>
        <v>YOGURT KIOSKO</v>
      </c>
      <c r="E451" s="24" t="str">
        <f>+IFERROR(IF(GUAYAQUIL[[#This Row],[CODIGO]]="","",VLOOKUP(GUAYAQUIL[[#This Row],[CODIGO]],MAESTRO!$A:$F,6,FALSE)),"")</f>
        <v>BEBIDA DE YOGURT KIOSKO FUNDA FAMILI</v>
      </c>
      <c r="F451" s="42" t="str">
        <f>IF(GUAYAQUIL[[#This Row],[CODIGO]]="","",$K$6)</f>
        <v>GUAYAQUIL</v>
      </c>
      <c r="G451" s="209">
        <f>IF(GUAYAQUIL[[#This Row],[CODIGO]]="","",7711)</f>
        <v>7711</v>
      </c>
      <c r="H451" s="209">
        <f>IF(GUAYAQUIL[[#This Row],[CODIGO]]="","",1001)</f>
        <v>1001</v>
      </c>
      <c r="I451" s="258" t="s">
        <v>1752</v>
      </c>
      <c r="J451" s="25" t="str">
        <f>IFERROR((VLOOKUP(GUAYAQUIL[[#This Row],[CODIGO]],MAESTRO!A:B,2,FALSE)),"")</f>
        <v>YOG BBLE KIOSKO MOR FUN 900G</v>
      </c>
      <c r="K451" s="35">
        <v>1350</v>
      </c>
      <c r="L451" s="38">
        <f>+IFERROR(IF(GUAYAQUIL[[#This Row],[CODIGO]]="","",VLOOKUP(GUAYAQUIL[[#This Row],[CODIGO]],MAESTRO!$A:$BF,58,FALSE)),"")</f>
        <v>1</v>
      </c>
      <c r="M451" s="27">
        <f>+IFERROR(IF(GUAYAQUIL[[#This Row],[CODIGO]]="","",VLOOKUP(GUAYAQUIL[[#This Row],[CODIGO]],MAESTRO!A:N,14,FALSE)),"")</f>
        <v>0.9</v>
      </c>
      <c r="N451" s="28">
        <f>+IFERROR(IF(GUAYAQUIL[[#This Row],[CODIGO]]="","",VLOOKUP(GUAYAQUIL[[#This Row],[CODIGO]],MAESTRO!A:P,16,FALSE)),"")</f>
        <v>45</v>
      </c>
      <c r="O451" s="45">
        <v>45612</v>
      </c>
      <c r="P451" s="72" t="str">
        <f t="shared" si="30"/>
        <v>sábado</v>
      </c>
      <c r="Q451" s="29">
        <f>IFERROR(IF(GUAYAQUIL[[#This Row],[CODIGO]]="","",IF(GUAYAQUIL[[#This Row],[Fecha Cad]]="","",(GUAYAQUIL[[#This Row],[Fecha Cad]]-GUAYAQUIL[[#This Row],[VIDA UTIL (Días)]]))+1),"")</f>
        <v>45609</v>
      </c>
      <c r="R451" s="45">
        <v>45653</v>
      </c>
      <c r="S451" s="30">
        <f t="shared" ca="1" si="31"/>
        <v>29</v>
      </c>
      <c r="T451" s="31">
        <f t="shared" ca="1" si="32"/>
        <v>0.64444444444444449</v>
      </c>
      <c r="U451" s="286">
        <v>1350</v>
      </c>
      <c r="V451" s="265">
        <f>+IFERROR(IF(GUAYAQUIL[[#This Row],[CODIGO]]="","",GUAYAQUIL[[#This Row],[Stock Actual Unds]]*GUAYAQUIL[[#This Row],[Gramaje]]*GUAYAQUIL[[#This Row],[Conversión]]),"")</f>
        <v>1215</v>
      </c>
      <c r="W451" s="270">
        <f t="shared" si="33"/>
        <v>3</v>
      </c>
      <c r="X451" s="32">
        <f t="shared" si="34"/>
        <v>0.93333333333333335</v>
      </c>
      <c r="Y451" s="236">
        <f>IFERROR(VLOOKUP(GUAYAQUIL[[#This Row],[CODIGO]],MAESTRO!A:BI,21,FALSE),0)</f>
        <v>0.63145499999999999</v>
      </c>
      <c r="Z451" s="237">
        <f>+IFERROR(IF(GUAYAQUIL[[#This Row],[CODIGO]]="","",GUAYAQUIL[[#This Row],[COSTO UNIT base]]*GUAYAQUIL[[#This Row],[Conversión]]),"")</f>
        <v>0.63145499999999999</v>
      </c>
      <c r="AA451" s="236">
        <f>+IFERROR(IF(GUAYAQUIL[[#This Row],[CODIGO]]="","",GUAYAQUIL[[#This Row],[COSTO UNIT Conv]]*GUAYAQUIL[[#This Row],[Stock Actual Kgs]]),"")</f>
        <v>767.21782499999995</v>
      </c>
      <c r="AB451" s="33">
        <f ca="1">+IFERROR(IF(GUAYAQUIL[[#This Row],[CODIGO]]="","",$J$3-O451),"")</f>
        <v>12</v>
      </c>
      <c r="AC451" s="34" t="str">
        <f ca="1">IF(GUAYAQUIL[[#This Row],[CODIGO]]="","",IF(S451&lt;=0,"CADUCADO",IF(AND(S451&gt;0,S451&lt;=21),"FECHA CORTA",IF(AND(S451&gt;=22,S451&lt;=26),"PROXIMOS FECHA CORTA", "VIGENTE"))))</f>
        <v>VIGENTE</v>
      </c>
      <c r="AD451" s="37">
        <f>+IF(GUAYAQUIL[[#This Row],[CODIGO]]="","",GUAYAQUIL[[#This Row],[Stock Actual Unds]]*GUAYAQUIL[[#This Row],[Gramaje]]*GUAYAQUIL[[#This Row],[Conversión]])/1000</f>
        <v>1.2150000000000001</v>
      </c>
    </row>
    <row r="452" spans="1:30">
      <c r="A452" s="24" t="str">
        <f>+IFERROR(IF(GUAYAQUIL[[#This Row],[CODIGO]]="","",VLOOKUP(GUAYAQUIL[[#This Row],[CODIGO]],MAESTRO!$A:$J,10,FALSE)),"")</f>
        <v>MACHACHI</v>
      </c>
      <c r="B452" s="24" t="str">
        <f>+IFERROR(IF(GUAYAQUIL[[#This Row],[CODIGO]]="","",VLOOKUP(GUAYAQUIL[[#This Row],[CODIGO]],MAESTRO!$A:$Q,17,FALSE)),"")</f>
        <v>BEBIDAS LACTEAS</v>
      </c>
      <c r="C452" s="24" t="str">
        <f>+IFERROR(IF(GUAYAQUIL[[#This Row],[CODIGO]]="","",VLOOKUP(GUAYAQUIL[[#This Row],[CODIGO]],MAESTRO!$A:$BA,53,FALSE)),"")</f>
        <v xml:space="preserve">Luis Armendariz                         </v>
      </c>
      <c r="D452" s="24" t="str">
        <f>+IFERROR(IF(GUAYAQUIL[[#This Row],[CODIGO]]="","",VLOOKUP(GUAYAQUIL[[#This Row],[CODIGO]],MAESTRO!$A:$D,4,FALSE)),"")</f>
        <v>YOGURT KIOSKO</v>
      </c>
      <c r="E452" s="24" t="str">
        <f>+IFERROR(IF(GUAYAQUIL[[#This Row],[CODIGO]]="","",VLOOKUP(GUAYAQUIL[[#This Row],[CODIGO]],MAESTRO!$A:$F,6,FALSE)),"")</f>
        <v>BEBIDA DE YOGURT KIOSKO FUNDA FAMILI</v>
      </c>
      <c r="F452" s="42" t="str">
        <f>IF(GUAYAQUIL[[#This Row],[CODIGO]]="","",$K$6)</f>
        <v>GUAYAQUIL</v>
      </c>
      <c r="G452" s="42">
        <f>IF(GUAYAQUIL[[#This Row],[CODIGO]]="","",7711)</f>
        <v>7711</v>
      </c>
      <c r="H452" s="42">
        <f>IF(GUAYAQUIL[[#This Row],[CODIGO]]="","",1001)</f>
        <v>1001</v>
      </c>
      <c r="I452" s="258" t="s">
        <v>1752</v>
      </c>
      <c r="J452" s="25" t="str">
        <f>IFERROR((VLOOKUP(GUAYAQUIL[[#This Row],[CODIGO]],MAESTRO!A:B,2,FALSE)),"")</f>
        <v>YOG BBLE KIOSKO MOR FUN 900G</v>
      </c>
      <c r="K452" s="35">
        <v>900</v>
      </c>
      <c r="L452" s="38">
        <f>+IFERROR(IF(GUAYAQUIL[[#This Row],[CODIGO]]="","",VLOOKUP(GUAYAQUIL[[#This Row],[CODIGO]],MAESTRO!$A:$BF,58,FALSE)),"")</f>
        <v>1</v>
      </c>
      <c r="M452" s="27">
        <f>+IFERROR(IF(GUAYAQUIL[[#This Row],[CODIGO]]="","",VLOOKUP(GUAYAQUIL[[#This Row],[CODIGO]],MAESTRO!A:N,14,FALSE)),"")</f>
        <v>0.9</v>
      </c>
      <c r="N452" s="28">
        <f>+IFERROR(IF(GUAYAQUIL[[#This Row],[CODIGO]]="","",VLOOKUP(GUAYAQUIL[[#This Row],[CODIGO]],MAESTRO!A:P,16,FALSE)),"")</f>
        <v>45</v>
      </c>
      <c r="O452" s="45">
        <v>45611</v>
      </c>
      <c r="P452" s="72" t="str">
        <f t="shared" si="30"/>
        <v>viernes</v>
      </c>
      <c r="Q452" s="29">
        <f>IFERROR(IF(GUAYAQUIL[[#This Row],[CODIGO]]="","",IF(GUAYAQUIL[[#This Row],[Fecha Cad]]="","",(GUAYAQUIL[[#This Row],[Fecha Cad]]-GUAYAQUIL[[#This Row],[VIDA UTIL (Días)]]))+1),"")</f>
        <v>45604</v>
      </c>
      <c r="R452" s="45">
        <v>45648</v>
      </c>
      <c r="S452" s="30">
        <f t="shared" ca="1" si="31"/>
        <v>24</v>
      </c>
      <c r="T452" s="31">
        <f t="shared" ca="1" si="32"/>
        <v>0.53333333333333333</v>
      </c>
      <c r="U452" s="286">
        <v>503</v>
      </c>
      <c r="V452" s="265">
        <f>+IFERROR(IF(GUAYAQUIL[[#This Row],[CODIGO]]="","",GUAYAQUIL[[#This Row],[Stock Actual Unds]]*GUAYAQUIL[[#This Row],[Gramaje]]*GUAYAQUIL[[#This Row],[Conversión]]),"")</f>
        <v>452.7</v>
      </c>
      <c r="W452" s="270">
        <f t="shared" si="33"/>
        <v>7</v>
      </c>
      <c r="X452" s="32">
        <f t="shared" si="34"/>
        <v>0.84444444444444444</v>
      </c>
      <c r="Y452" s="236">
        <f>IFERROR(VLOOKUP(GUAYAQUIL[[#This Row],[CODIGO]],MAESTRO!A:BI,21,FALSE),0)</f>
        <v>0.63145499999999999</v>
      </c>
      <c r="Z452" s="237">
        <f>+IFERROR(IF(GUAYAQUIL[[#This Row],[CODIGO]]="","",GUAYAQUIL[[#This Row],[COSTO UNIT base]]*GUAYAQUIL[[#This Row],[Conversión]]),"")</f>
        <v>0.63145499999999999</v>
      </c>
      <c r="AA452" s="236">
        <f>+IFERROR(IF(GUAYAQUIL[[#This Row],[CODIGO]]="","",GUAYAQUIL[[#This Row],[COSTO UNIT Conv]]*GUAYAQUIL[[#This Row],[Stock Actual Kgs]]),"")</f>
        <v>285.85967849999997</v>
      </c>
      <c r="AB452" s="33">
        <f ca="1">+IFERROR(IF(GUAYAQUIL[[#This Row],[CODIGO]]="","",$J$3-O452),"")</f>
        <v>13</v>
      </c>
      <c r="AC452" s="34" t="str">
        <f ca="1">IF(GUAYAQUIL[[#This Row],[CODIGO]]="","",IF(S452&lt;=0,"CADUCADO",IF(AND(S452&gt;0,S452&lt;=21),"FECHA CORTA",IF(AND(S452&gt;=22,S452&lt;=26),"PROXIMOS FECHA CORTA", "VIGENTE"))))</f>
        <v>PROXIMOS FECHA CORTA</v>
      </c>
      <c r="AD452" s="37">
        <f>+IF(GUAYAQUIL[[#This Row],[CODIGO]]="","",GUAYAQUIL[[#This Row],[Stock Actual Unds]]*GUAYAQUIL[[#This Row],[Gramaje]]*GUAYAQUIL[[#This Row],[Conversión]])/1000</f>
        <v>0.45269999999999999</v>
      </c>
    </row>
    <row r="453" spans="1:30">
      <c r="A453" s="42" t="str">
        <f>+IFERROR(IF(GUAYAQUIL[[#This Row],[CODIGO]]="","",VLOOKUP(GUAYAQUIL[[#This Row],[CODIGO]],MAESTRO!$A:$J,10,FALSE)),"")</f>
        <v>MACHACHI</v>
      </c>
      <c r="B453" s="42" t="str">
        <f>+IFERROR(IF(GUAYAQUIL[[#This Row],[CODIGO]]="","",VLOOKUP(GUAYAQUIL[[#This Row],[CODIGO]],MAESTRO!$A:$Q,17,FALSE)),"")</f>
        <v>BEBIDAS LACTEAS</v>
      </c>
      <c r="C453" s="42" t="str">
        <f>+IFERROR(IF(GUAYAQUIL[[#This Row],[CODIGO]]="","",VLOOKUP(GUAYAQUIL[[#This Row],[CODIGO]],MAESTRO!$A:$BA,53,FALSE)),"")</f>
        <v xml:space="preserve">Luis Armendariz                         </v>
      </c>
      <c r="D453" s="42" t="str">
        <f>+IFERROR(IF(GUAYAQUIL[[#This Row],[CODIGO]]="","",VLOOKUP(GUAYAQUIL[[#This Row],[CODIGO]],MAESTRO!$A:$D,4,FALSE)),"")</f>
        <v>YOGURT KIOSKO</v>
      </c>
      <c r="E453" s="42" t="str">
        <f>+IFERROR(IF(GUAYAQUIL[[#This Row],[CODIGO]]="","",VLOOKUP(GUAYAQUIL[[#This Row],[CODIGO]],MAESTRO!$A:$F,6,FALSE)),"")</f>
        <v>BEBIDA DE YOGURT KIOSKO FUNDA FAMILI</v>
      </c>
      <c r="F453" s="42" t="str">
        <f>IF(GUAYAQUIL[[#This Row],[CODIGO]]="","",$K$6)</f>
        <v>GUAYAQUIL</v>
      </c>
      <c r="G453" s="209">
        <f>IF(GUAYAQUIL[[#This Row],[CODIGO]]="","",7711)</f>
        <v>7711</v>
      </c>
      <c r="H453" s="209">
        <f>IF(GUAYAQUIL[[#This Row],[CODIGO]]="","",1001)</f>
        <v>1001</v>
      </c>
      <c r="I453" s="258" t="s">
        <v>1752</v>
      </c>
      <c r="J453" s="25" t="str">
        <f>IFERROR((VLOOKUP(GUAYAQUIL[[#This Row],[CODIGO]],MAESTRO!A:B,2,FALSE)),"")</f>
        <v>YOG BBLE KIOSKO MOR FUN 900G</v>
      </c>
      <c r="K453" s="35">
        <v>900</v>
      </c>
      <c r="L453" s="205">
        <f>+IFERROR(IF(GUAYAQUIL[[#This Row],[CODIGO]]="","",VLOOKUP(GUAYAQUIL[[#This Row],[CODIGO]],MAESTRO!$A:$BF,58,FALSE)),"")</f>
        <v>1</v>
      </c>
      <c r="M453" s="27">
        <f>+IFERROR(IF(GUAYAQUIL[[#This Row],[CODIGO]]="","",VLOOKUP(GUAYAQUIL[[#This Row],[CODIGO]],MAESTRO!A:N,14,FALSE)),"")</f>
        <v>0.9</v>
      </c>
      <c r="N453" s="290">
        <f>+IFERROR(IF(GUAYAQUIL[[#This Row],[CODIGO]]="","",VLOOKUP(GUAYAQUIL[[#This Row],[CODIGO]],MAESTRO!A:P,16,FALSE)),"")</f>
        <v>45</v>
      </c>
      <c r="O453" s="45">
        <v>45615</v>
      </c>
      <c r="P453" s="292" t="str">
        <f t="shared" si="30"/>
        <v>martes</v>
      </c>
      <c r="Q453" s="278">
        <f>IFERROR(IF(GUAYAQUIL[[#This Row],[CODIGO]]="","",IF(GUAYAQUIL[[#This Row],[Fecha Cad]]="","",(GUAYAQUIL[[#This Row],[Fecha Cad]]-GUAYAQUIL[[#This Row],[VIDA UTIL (Días)]]))+1),"")</f>
        <v>45608</v>
      </c>
      <c r="R453" s="45">
        <v>45652</v>
      </c>
      <c r="S453" s="30">
        <f t="shared" ca="1" si="31"/>
        <v>28</v>
      </c>
      <c r="T453" s="294">
        <f t="shared" ca="1" si="32"/>
        <v>0.62222222222222223</v>
      </c>
      <c r="U453" s="295">
        <v>900</v>
      </c>
      <c r="V453" s="265">
        <f>+IFERROR(IF(GUAYAQUIL[[#This Row],[CODIGO]]="","",GUAYAQUIL[[#This Row],[Stock Actual Unds]]*GUAYAQUIL[[#This Row],[Gramaje]]*GUAYAQUIL[[#This Row],[Conversión]]),"")</f>
        <v>810</v>
      </c>
      <c r="W453" s="299">
        <f t="shared" si="33"/>
        <v>7</v>
      </c>
      <c r="X453" s="44">
        <f t="shared" si="34"/>
        <v>0.84444444444444444</v>
      </c>
      <c r="Y453" s="236">
        <f>IFERROR(VLOOKUP(GUAYAQUIL[[#This Row],[CODIGO]],MAESTRO!A:BI,21,FALSE),0)</f>
        <v>0.63145499999999999</v>
      </c>
      <c r="Z453" s="237">
        <f>+IFERROR(IF(GUAYAQUIL[[#This Row],[CODIGO]]="","",GUAYAQUIL[[#This Row],[COSTO UNIT base]]*GUAYAQUIL[[#This Row],[Conversión]]),"")</f>
        <v>0.63145499999999999</v>
      </c>
      <c r="AA453" s="236">
        <f>+IFERROR(IF(GUAYAQUIL[[#This Row],[CODIGO]]="","",GUAYAQUIL[[#This Row],[COSTO UNIT Conv]]*GUAYAQUIL[[#This Row],[Stock Actual Kgs]]),"")</f>
        <v>511.47854999999998</v>
      </c>
      <c r="AB453" s="180">
        <f ca="1">+IFERROR(IF(GUAYAQUIL[[#This Row],[CODIGO]]="","",$J$3-O453),"")</f>
        <v>9</v>
      </c>
      <c r="AC453" s="35" t="str">
        <f ca="1">IF(GUAYAQUIL[[#This Row],[CODIGO]]="","",IF(S453&lt;=0,"CADUCADO",IF(AND(S453&gt;0,S453&lt;=21),"FECHA CORTA",IF(AND(S453&gt;=22,S453&lt;=26),"PROXIMOS FECHA CORTA", "VIGENTE"))))</f>
        <v>VIGENTE</v>
      </c>
      <c r="AD453" s="37">
        <f>+IF(GUAYAQUIL[[#This Row],[CODIGO]]="","",GUAYAQUIL[[#This Row],[Stock Actual Unds]]*GUAYAQUIL[[#This Row],[Gramaje]]*GUAYAQUIL[[#This Row],[Conversión]])/1000</f>
        <v>0.81</v>
      </c>
    </row>
    <row r="454" spans="1:30">
      <c r="A454" s="24" t="str">
        <f>+IFERROR(IF(GUAYAQUIL[[#This Row],[CODIGO]]="","",VLOOKUP(GUAYAQUIL[[#This Row],[CODIGO]],MAESTRO!$A:$J,10,FALSE)),"")</f>
        <v>MACHACHI</v>
      </c>
      <c r="B454" s="24" t="str">
        <f>+IFERROR(IF(GUAYAQUIL[[#This Row],[CODIGO]]="","",VLOOKUP(GUAYAQUIL[[#This Row],[CODIGO]],MAESTRO!$A:$Q,17,FALSE)),"")</f>
        <v>BEBIDAS LACTEAS</v>
      </c>
      <c r="C454" s="24" t="str">
        <f>+IFERROR(IF(GUAYAQUIL[[#This Row],[CODIGO]]="","",VLOOKUP(GUAYAQUIL[[#This Row],[CODIGO]],MAESTRO!$A:$BA,53,FALSE)),"")</f>
        <v xml:space="preserve">Luis Armendariz                         </v>
      </c>
      <c r="D454" s="24" t="str">
        <f>+IFERROR(IF(GUAYAQUIL[[#This Row],[CODIGO]]="","",VLOOKUP(GUAYAQUIL[[#This Row],[CODIGO]],MAESTRO!$A:$D,4,FALSE)),"")</f>
        <v>YOGURT KIOSKO</v>
      </c>
      <c r="E454" s="24" t="str">
        <f>+IFERROR(IF(GUAYAQUIL[[#This Row],[CODIGO]]="","",VLOOKUP(GUAYAQUIL[[#This Row],[CODIGO]],MAESTRO!$A:$F,6,FALSE)),"")</f>
        <v>BEBIDA DE YOGURT KIOSKO FUNDA FAMILI</v>
      </c>
      <c r="F454" s="42" t="str">
        <f>IF(GUAYAQUIL[[#This Row],[CODIGO]]="","",$K$6)</f>
        <v>GUAYAQUIL</v>
      </c>
      <c r="G454" s="42">
        <f>IF(GUAYAQUIL[[#This Row],[CODIGO]]="","",7711)</f>
        <v>7711</v>
      </c>
      <c r="H454" s="42">
        <f>IF(GUAYAQUIL[[#This Row],[CODIGO]]="","",1001)</f>
        <v>1001</v>
      </c>
      <c r="I454" s="258" t="s">
        <v>1752</v>
      </c>
      <c r="J454" s="25" t="str">
        <f>IFERROR((VLOOKUP(GUAYAQUIL[[#This Row],[CODIGO]],MAESTRO!A:B,2,FALSE)),"")</f>
        <v>YOG BBLE KIOSKO MOR FUN 900G</v>
      </c>
      <c r="K454" s="35">
        <v>675</v>
      </c>
      <c r="L454" s="38">
        <f>+IFERROR(IF(GUAYAQUIL[[#This Row],[CODIGO]]="","",VLOOKUP(GUAYAQUIL[[#This Row],[CODIGO]],MAESTRO!$A:$BF,58,FALSE)),"")</f>
        <v>1</v>
      </c>
      <c r="M454" s="27">
        <f>+IFERROR(IF(GUAYAQUIL[[#This Row],[CODIGO]]="","",VLOOKUP(GUAYAQUIL[[#This Row],[CODIGO]],MAESTRO!A:N,14,FALSE)),"")</f>
        <v>0.9</v>
      </c>
      <c r="N454" s="28">
        <f>+IFERROR(IF(GUAYAQUIL[[#This Row],[CODIGO]]="","",VLOOKUP(GUAYAQUIL[[#This Row],[CODIGO]],MAESTRO!A:P,16,FALSE)),"")</f>
        <v>45</v>
      </c>
      <c r="O454" s="45">
        <v>45616</v>
      </c>
      <c r="P454" s="72" t="str">
        <f t="shared" si="30"/>
        <v>miércoles</v>
      </c>
      <c r="Q454" s="29">
        <f>IFERROR(IF(GUAYAQUIL[[#This Row],[CODIGO]]="","",IF(GUAYAQUIL[[#This Row],[Fecha Cad]]="","",(GUAYAQUIL[[#This Row],[Fecha Cad]]-GUAYAQUIL[[#This Row],[VIDA UTIL (Días)]]))+1),"")</f>
        <v>45610</v>
      </c>
      <c r="R454" s="45">
        <v>45654</v>
      </c>
      <c r="S454" s="30">
        <f t="shared" ca="1" si="31"/>
        <v>30</v>
      </c>
      <c r="T454" s="31">
        <f t="shared" ca="1" si="32"/>
        <v>0.66666666666666663</v>
      </c>
      <c r="U454" s="286">
        <v>675</v>
      </c>
      <c r="V454" s="265">
        <f>+IFERROR(IF(GUAYAQUIL[[#This Row],[CODIGO]]="","",GUAYAQUIL[[#This Row],[Stock Actual Unds]]*GUAYAQUIL[[#This Row],[Gramaje]]*GUAYAQUIL[[#This Row],[Conversión]]),"")</f>
        <v>607.5</v>
      </c>
      <c r="W454" s="270">
        <f t="shared" si="33"/>
        <v>6</v>
      </c>
      <c r="X454" s="32">
        <f t="shared" si="34"/>
        <v>0.8666666666666667</v>
      </c>
      <c r="Y454" s="236">
        <f>IFERROR(VLOOKUP(GUAYAQUIL[[#This Row],[CODIGO]],MAESTRO!A:BI,21,FALSE),0)</f>
        <v>0.63145499999999999</v>
      </c>
      <c r="Z454" s="237">
        <f>+IFERROR(IF(GUAYAQUIL[[#This Row],[CODIGO]]="","",GUAYAQUIL[[#This Row],[COSTO UNIT base]]*GUAYAQUIL[[#This Row],[Conversión]]),"")</f>
        <v>0.63145499999999999</v>
      </c>
      <c r="AA454" s="236">
        <f>+IFERROR(IF(GUAYAQUIL[[#This Row],[CODIGO]]="","",GUAYAQUIL[[#This Row],[COSTO UNIT Conv]]*GUAYAQUIL[[#This Row],[Stock Actual Kgs]]),"")</f>
        <v>383.60891249999997</v>
      </c>
      <c r="AB454" s="33">
        <f ca="1">+IFERROR(IF(GUAYAQUIL[[#This Row],[CODIGO]]="","",$J$3-O454),"")</f>
        <v>8</v>
      </c>
      <c r="AC454" s="34" t="str">
        <f ca="1">IF(GUAYAQUIL[[#This Row],[CODIGO]]="","",IF(S454&lt;=0,"CADUCADO",IF(AND(S454&gt;0,S454&lt;=21),"FECHA CORTA",IF(AND(S454&gt;=22,S454&lt;=26),"PROXIMOS FECHA CORTA", "VIGENTE"))))</f>
        <v>VIGENTE</v>
      </c>
      <c r="AD454" s="37">
        <f>+IF(GUAYAQUIL[[#This Row],[CODIGO]]="","",GUAYAQUIL[[#This Row],[Stock Actual Unds]]*GUAYAQUIL[[#This Row],[Gramaje]]*GUAYAQUIL[[#This Row],[Conversión]])/1000</f>
        <v>0.60750000000000004</v>
      </c>
    </row>
    <row r="455" spans="1:30">
      <c r="A455" s="24" t="str">
        <f>+IFERROR(IF(GUAYAQUIL[[#This Row],[CODIGO]]="","",VLOOKUP(GUAYAQUIL[[#This Row],[CODIGO]],MAESTRO!$A:$J,10,FALSE)),"")</f>
        <v>SAN GABRIEL</v>
      </c>
      <c r="B455" s="24" t="str">
        <f>+IFERROR(IF(GUAYAQUIL[[#This Row],[CODIGO]]="","",VLOOKUP(GUAYAQUIL[[#This Row],[CODIGO]],MAESTRO!$A:$Q,17,FALSE)),"")</f>
        <v>QUESOS Y GRASAS</v>
      </c>
      <c r="C455" s="24" t="str">
        <f>+IFERROR(IF(GUAYAQUIL[[#This Row],[CODIGO]]="","",VLOOKUP(GUAYAQUIL[[#This Row],[CODIGO]],MAESTRO!$A:$BA,53,FALSE)),"")</f>
        <v xml:space="preserve">Esteban Montenegro                      </v>
      </c>
      <c r="D455" s="24" t="str">
        <f>+IFERROR(IF(GUAYAQUIL[[#This Row],[CODIGO]]="","",VLOOKUP(GUAYAQUIL[[#This Row],[CODIGO]],MAESTRO!$A:$D,4,FALSE)),"")</f>
        <v>QUESO FUNDIDO</v>
      </c>
      <c r="E455" s="24" t="str">
        <f>+IFERROR(IF(GUAYAQUIL[[#This Row],[CODIGO]]="","",VLOOKUP(GUAYAQUIL[[#This Row],[CODIGO]],MAESTRO!$A:$F,6,FALSE)),"")</f>
        <v>QUESO FUNDIDO</v>
      </c>
      <c r="F455" s="42" t="str">
        <f>IF(GUAYAQUIL[[#This Row],[CODIGO]]="","",$K$6)</f>
        <v>GUAYAQUIL</v>
      </c>
      <c r="G455" s="209">
        <f>IF(GUAYAQUIL[[#This Row],[CODIGO]]="","",7711)</f>
        <v>7711</v>
      </c>
      <c r="H455" s="209">
        <f>IF(GUAYAQUIL[[#This Row],[CODIGO]]="","",1001)</f>
        <v>1001</v>
      </c>
      <c r="I455" s="258" t="s">
        <v>481</v>
      </c>
      <c r="J455" s="25" t="str">
        <f>IFERROR((VLOOKUP(GUAYAQUIL[[#This Row],[CODIGO]],MAESTRO!A:B,2,FALSE)),"")</f>
        <v>Q ESPAR MOZAR KIOSKO VASO 45G</v>
      </c>
      <c r="K455" s="35">
        <v>150</v>
      </c>
      <c r="L455" s="38">
        <f>+IFERROR(IF(GUAYAQUIL[[#This Row],[CODIGO]]="","",VLOOKUP(GUAYAQUIL[[#This Row],[CODIGO]],MAESTRO!$A:$BF,58,FALSE)),"")</f>
        <v>1</v>
      </c>
      <c r="M455" s="27">
        <f>+IFERROR(IF(GUAYAQUIL[[#This Row],[CODIGO]]="","",VLOOKUP(GUAYAQUIL[[#This Row],[CODIGO]],MAESTRO!A:N,14,FALSE)),"")</f>
        <v>4.4999999999999998E-2</v>
      </c>
      <c r="N455" s="28">
        <f>+IFERROR(IF(GUAYAQUIL[[#This Row],[CODIGO]]="","",VLOOKUP(GUAYAQUIL[[#This Row],[CODIGO]],MAESTRO!A:P,16,FALSE)),"")</f>
        <v>90</v>
      </c>
      <c r="O455" s="45">
        <v>45615</v>
      </c>
      <c r="P455" s="72" t="str">
        <f t="shared" si="30"/>
        <v>martes</v>
      </c>
      <c r="Q455" s="29">
        <f>IFERROR(IF(GUAYAQUIL[[#This Row],[CODIGO]]="","",IF(GUAYAQUIL[[#This Row],[Fecha Cad]]="","",(GUAYAQUIL[[#This Row],[Fecha Cad]]-GUAYAQUIL[[#This Row],[VIDA UTIL (Días)]]))+1),"")</f>
        <v>45603</v>
      </c>
      <c r="R455" s="45">
        <v>45692</v>
      </c>
      <c r="S455" s="30">
        <f t="shared" ca="1" si="31"/>
        <v>68</v>
      </c>
      <c r="T455" s="31">
        <f t="shared" ca="1" si="32"/>
        <v>0.75555555555555554</v>
      </c>
      <c r="U455" s="286">
        <v>80</v>
      </c>
      <c r="V455" s="265">
        <f>+IFERROR(IF(GUAYAQUIL[[#This Row],[CODIGO]]="","",GUAYAQUIL[[#This Row],[Stock Actual Unds]]*GUAYAQUIL[[#This Row],[Gramaje]]*GUAYAQUIL[[#This Row],[Conversión]]),"")</f>
        <v>3.5999999999999996</v>
      </c>
      <c r="W455" s="270">
        <f t="shared" si="33"/>
        <v>12</v>
      </c>
      <c r="X455" s="32">
        <f t="shared" si="34"/>
        <v>0.8666666666666667</v>
      </c>
      <c r="Y455" s="236">
        <f>IFERROR(VLOOKUP(GUAYAQUIL[[#This Row],[CODIGO]],MAESTRO!A:BI,21,FALSE),0)</f>
        <v>0.12909999999999999</v>
      </c>
      <c r="Z455" s="237">
        <f>+IFERROR(IF(GUAYAQUIL[[#This Row],[CODIGO]]="","",GUAYAQUIL[[#This Row],[COSTO UNIT base]]*GUAYAQUIL[[#This Row],[Conversión]]),"")</f>
        <v>0.12909999999999999</v>
      </c>
      <c r="AA455" s="236">
        <f>+IFERROR(IF(GUAYAQUIL[[#This Row],[CODIGO]]="","",GUAYAQUIL[[#This Row],[COSTO UNIT Conv]]*GUAYAQUIL[[#This Row],[Stock Actual Kgs]]),"")</f>
        <v>0.46475999999999995</v>
      </c>
      <c r="AB455" s="33">
        <f ca="1">+IFERROR(IF(GUAYAQUIL[[#This Row],[CODIGO]]="","",$J$3-O455),"")</f>
        <v>9</v>
      </c>
      <c r="AC455" s="34" t="str">
        <f ca="1">IF(GUAYAQUIL[[#This Row],[CODIGO]]="","",IF(S455&lt;=0,"CADUCADO",IF(AND(S455&gt;0,S455&lt;=21),"FECHA CORTA",IF(AND(S455&gt;=22,S455&lt;=26),"PROXIMOS FECHA CORTA", "VIGENTE"))))</f>
        <v>VIGENTE</v>
      </c>
      <c r="AD455" s="37">
        <f>+IF(GUAYAQUIL[[#This Row],[CODIGO]]="","",GUAYAQUIL[[#This Row],[Stock Actual Unds]]*GUAYAQUIL[[#This Row],[Gramaje]]*GUAYAQUIL[[#This Row],[Conversión]])/1000</f>
        <v>3.5999999999999995E-3</v>
      </c>
    </row>
    <row r="456" spans="1:30">
      <c r="A456" s="24" t="str">
        <f>+IFERROR(IF(GUAYAQUIL[[#This Row],[CODIGO]]="","",VLOOKUP(GUAYAQUIL[[#This Row],[CODIGO]],MAESTRO!$A:$J,10,FALSE)),"")</f>
        <v>MACHACHI</v>
      </c>
      <c r="B456" s="24" t="str">
        <f>+IFERROR(IF(GUAYAQUIL[[#This Row],[CODIGO]]="","",VLOOKUP(GUAYAQUIL[[#This Row],[CODIGO]],MAESTRO!$A:$Q,17,FALSE)),"")</f>
        <v>BEBIDAS LACTEAS</v>
      </c>
      <c r="C456" s="24" t="str">
        <f>+IFERROR(IF(GUAYAQUIL[[#This Row],[CODIGO]]="","",VLOOKUP(GUAYAQUIL[[#This Row],[CODIGO]],MAESTRO!$A:$BA,53,FALSE)),"")</f>
        <v xml:space="preserve">Luis Armendariz                         </v>
      </c>
      <c r="D456" s="24" t="str">
        <f>+IFERROR(IF(GUAYAQUIL[[#This Row],[CODIGO]]="","",VLOOKUP(GUAYAQUIL[[#This Row],[CODIGO]],MAESTRO!$A:$D,4,FALSE)),"")</f>
        <v>YOGURT FINESSE</v>
      </c>
      <c r="E456" s="24" t="str">
        <f>+IFERROR(IF(GUAYAQUIL[[#This Row],[CODIGO]]="","",VLOOKUP(GUAYAQUIL[[#This Row],[CODIGO]],MAESTRO!$A:$F,6,FALSE)),"")</f>
        <v>YOGURT FINESSE DESLACT BOTELLA FAMILIAR</v>
      </c>
      <c r="F456" s="42" t="str">
        <f>IF(GUAYAQUIL[[#This Row],[CODIGO]]="","",$K$6)</f>
        <v>GUAYAQUIL</v>
      </c>
      <c r="G456" s="42">
        <f>IF(GUAYAQUIL[[#This Row],[CODIGO]]="","",7711)</f>
        <v>7711</v>
      </c>
      <c r="H456" s="42">
        <f>IF(GUAYAQUIL[[#This Row],[CODIGO]]="","",1001)</f>
        <v>1001</v>
      </c>
      <c r="I456" s="258" t="s">
        <v>4416</v>
      </c>
      <c r="J456" s="25" t="str">
        <f>IFERROR((VLOOKUP(GUAYAQUIL[[#This Row],[CODIGO]],MAESTRO!A:B,2,FALSE)),"")</f>
        <v>YOG FNSSE SBILA BOT 950G</v>
      </c>
      <c r="K456" s="35">
        <v>36</v>
      </c>
      <c r="L456" s="38">
        <f>+IFERROR(IF(GUAYAQUIL[[#This Row],[CODIGO]]="","",VLOOKUP(GUAYAQUIL[[#This Row],[CODIGO]],MAESTRO!$A:$BF,58,FALSE)),"")</f>
        <v>1</v>
      </c>
      <c r="M456" s="27">
        <f>+IFERROR(IF(GUAYAQUIL[[#This Row],[CODIGO]]="","",VLOOKUP(GUAYAQUIL[[#This Row],[CODIGO]],MAESTRO!A:N,14,FALSE)),"")</f>
        <v>0.95</v>
      </c>
      <c r="N456" s="28">
        <f>+IFERROR(IF(GUAYAQUIL[[#This Row],[CODIGO]]="","",VLOOKUP(GUAYAQUIL[[#This Row],[CODIGO]],MAESTRO!A:P,16,FALSE)),"")</f>
        <v>45</v>
      </c>
      <c r="O456" s="45">
        <v>45595</v>
      </c>
      <c r="P456" s="72" t="str">
        <f t="shared" ref="P456:P519" si="35">+IF(R456="","",TEXT(O456,"dddd"))</f>
        <v>miércoles</v>
      </c>
      <c r="Q456" s="29">
        <f>IFERROR(IF(GUAYAQUIL[[#This Row],[CODIGO]]="","",IF(GUAYAQUIL[[#This Row],[Fecha Cad]]="","",(GUAYAQUIL[[#This Row],[Fecha Cad]]-GUAYAQUIL[[#This Row],[VIDA UTIL (Días)]]))+1),"")</f>
        <v>45590</v>
      </c>
      <c r="R456" s="45">
        <v>45634</v>
      </c>
      <c r="S456" s="30">
        <f t="shared" ref="S456:S519" ca="1" si="36">+IFERROR(IF(R456="","",R456-$J$3),0)</f>
        <v>10</v>
      </c>
      <c r="T456" s="31">
        <f t="shared" ref="T456:T519" ca="1" si="37">IFERROR(IF(8="","",S456/N456),0)</f>
        <v>0.22222222222222221</v>
      </c>
      <c r="U456" s="286">
        <v>14</v>
      </c>
      <c r="V456" s="265">
        <f>+IFERROR(IF(GUAYAQUIL[[#This Row],[CODIGO]]="","",GUAYAQUIL[[#This Row],[Stock Actual Unds]]*GUAYAQUIL[[#This Row],[Gramaje]]*GUAYAQUIL[[#This Row],[Conversión]]),"")</f>
        <v>13.299999999999999</v>
      </c>
      <c r="W456" s="270">
        <f t="shared" ref="W456:W519" si="38">IFERROR(O456-Q456,0)</f>
        <v>5</v>
      </c>
      <c r="X456" s="32">
        <f t="shared" ref="X456:X519" si="39">IF(I456="","",1-(W456/N456))</f>
        <v>0.88888888888888884</v>
      </c>
      <c r="Y456" s="236">
        <f>IFERROR(VLOOKUP(GUAYAQUIL[[#This Row],[CODIGO]],MAESTRO!A:BI,21,FALSE),0)</f>
        <v>1.46231</v>
      </c>
      <c r="Z456" s="237">
        <f>+IFERROR(IF(GUAYAQUIL[[#This Row],[CODIGO]]="","",GUAYAQUIL[[#This Row],[COSTO UNIT base]]*GUAYAQUIL[[#This Row],[Conversión]]),"")</f>
        <v>1.46231</v>
      </c>
      <c r="AA456" s="236">
        <f>+IFERROR(IF(GUAYAQUIL[[#This Row],[CODIGO]]="","",GUAYAQUIL[[#This Row],[COSTO UNIT Conv]]*GUAYAQUIL[[#This Row],[Stock Actual Kgs]]),"")</f>
        <v>19.448722999999998</v>
      </c>
      <c r="AB456" s="33">
        <f ca="1">+IFERROR(IF(GUAYAQUIL[[#This Row],[CODIGO]]="","",$J$3-O456),"")</f>
        <v>29</v>
      </c>
      <c r="AC456" s="34" t="str">
        <f ca="1">IF(GUAYAQUIL[[#This Row],[CODIGO]]="","",IF(S456&lt;=0,"CADUCADO",IF(AND(S456&gt;0,S456&lt;=21),"FECHA CORTA",IF(AND(S456&gt;=22,S456&lt;=26),"PROXIMOS FECHA CORTA", "VIGENTE"))))</f>
        <v>FECHA CORTA</v>
      </c>
      <c r="AD456" s="37">
        <f>+IF(GUAYAQUIL[[#This Row],[CODIGO]]="","",GUAYAQUIL[[#This Row],[Stock Actual Unds]]*GUAYAQUIL[[#This Row],[Gramaje]]*GUAYAQUIL[[#This Row],[Conversión]])/1000</f>
        <v>1.3299999999999999E-2</v>
      </c>
    </row>
    <row r="457" spans="1:30">
      <c r="A457" s="24" t="str">
        <f>+IFERROR(IF(GUAYAQUIL[[#This Row],[CODIGO]]="","",VLOOKUP(GUAYAQUIL[[#This Row],[CODIGO]],MAESTRO!$A:$J,10,FALSE)),"")</f>
        <v>MACHACHI</v>
      </c>
      <c r="B457" s="24" t="str">
        <f>+IFERROR(IF(GUAYAQUIL[[#This Row],[CODIGO]]="","",VLOOKUP(GUAYAQUIL[[#This Row],[CODIGO]],MAESTRO!$A:$Q,17,FALSE)),"")</f>
        <v>BEBIDAS LACTEAS</v>
      </c>
      <c r="C457" s="24" t="str">
        <f>+IFERROR(IF(GUAYAQUIL[[#This Row],[CODIGO]]="","",VLOOKUP(GUAYAQUIL[[#This Row],[CODIGO]],MAESTRO!$A:$BA,53,FALSE)),"")</f>
        <v xml:space="preserve">Luis Armendariz                         </v>
      </c>
      <c r="D457" s="24" t="str">
        <f>+IFERROR(IF(GUAYAQUIL[[#This Row],[CODIGO]]="","",VLOOKUP(GUAYAQUIL[[#This Row],[CODIGO]],MAESTRO!$A:$D,4,FALSE)),"")</f>
        <v>YOGURT FINESSE</v>
      </c>
      <c r="E457" s="24" t="str">
        <f>+IFERROR(IF(GUAYAQUIL[[#This Row],[CODIGO]]="","",VLOOKUP(GUAYAQUIL[[#This Row],[CODIGO]],MAESTRO!$A:$F,6,FALSE)),"")</f>
        <v>YOGURT FINESSE DESLACT BOTELLA FAMILIAR</v>
      </c>
      <c r="F457" s="42" t="str">
        <f>IF(GUAYAQUIL[[#This Row],[CODIGO]]="","",$K$6)</f>
        <v>GUAYAQUIL</v>
      </c>
      <c r="G457" s="209">
        <f>IF(GUAYAQUIL[[#This Row],[CODIGO]]="","",7711)</f>
        <v>7711</v>
      </c>
      <c r="H457" s="209">
        <f>IF(GUAYAQUIL[[#This Row],[CODIGO]]="","",1001)</f>
        <v>1001</v>
      </c>
      <c r="I457" s="258" t="s">
        <v>4416</v>
      </c>
      <c r="J457" s="25" t="str">
        <f>IFERROR((VLOOKUP(GUAYAQUIL[[#This Row],[CODIGO]],MAESTRO!A:B,2,FALSE)),"")</f>
        <v>YOG FNSSE SBILA BOT 950G</v>
      </c>
      <c r="K457" s="35">
        <v>72</v>
      </c>
      <c r="L457" s="38">
        <f>+IFERROR(IF(GUAYAQUIL[[#This Row],[CODIGO]]="","",VLOOKUP(GUAYAQUIL[[#This Row],[CODIGO]],MAESTRO!$A:$BF,58,FALSE)),"")</f>
        <v>1</v>
      </c>
      <c r="M457" s="27">
        <f>+IFERROR(IF(GUAYAQUIL[[#This Row],[CODIGO]]="","",VLOOKUP(GUAYAQUIL[[#This Row],[CODIGO]],MAESTRO!A:N,14,FALSE)),"")</f>
        <v>0.95</v>
      </c>
      <c r="N457" s="28">
        <f>+IFERROR(IF(GUAYAQUIL[[#This Row],[CODIGO]]="","",VLOOKUP(GUAYAQUIL[[#This Row],[CODIGO]],MAESTRO!A:P,16,FALSE)),"")</f>
        <v>45</v>
      </c>
      <c r="O457" s="29">
        <v>45597</v>
      </c>
      <c r="P457" s="72" t="str">
        <f t="shared" si="35"/>
        <v>viernes</v>
      </c>
      <c r="Q457" s="29">
        <f>IFERROR(IF(GUAYAQUIL[[#This Row],[CODIGO]]="","",IF(GUAYAQUIL[[#This Row],[Fecha Cad]]="","",(GUAYAQUIL[[#This Row],[Fecha Cad]]-GUAYAQUIL[[#This Row],[VIDA UTIL (Días)]]))+1),"")</f>
        <v>45595</v>
      </c>
      <c r="R457" s="45">
        <v>45639</v>
      </c>
      <c r="S457" s="30">
        <f t="shared" ca="1" si="36"/>
        <v>15</v>
      </c>
      <c r="T457" s="31">
        <f t="shared" ca="1" si="37"/>
        <v>0.33333333333333331</v>
      </c>
      <c r="U457" s="286">
        <v>49</v>
      </c>
      <c r="V457" s="265">
        <f>+IFERROR(IF(GUAYAQUIL[[#This Row],[CODIGO]]="","",GUAYAQUIL[[#This Row],[Stock Actual Unds]]*GUAYAQUIL[[#This Row],[Gramaje]]*GUAYAQUIL[[#This Row],[Conversión]]),"")</f>
        <v>46.55</v>
      </c>
      <c r="W457" s="270">
        <f t="shared" si="38"/>
        <v>2</v>
      </c>
      <c r="X457" s="32">
        <f t="shared" si="39"/>
        <v>0.9555555555555556</v>
      </c>
      <c r="Y457" s="236">
        <f>IFERROR(VLOOKUP(GUAYAQUIL[[#This Row],[CODIGO]],MAESTRO!A:BI,21,FALSE),0)</f>
        <v>1.46231</v>
      </c>
      <c r="Z457" s="237">
        <f>+IFERROR(IF(GUAYAQUIL[[#This Row],[CODIGO]]="","",GUAYAQUIL[[#This Row],[COSTO UNIT base]]*GUAYAQUIL[[#This Row],[Conversión]]),"")</f>
        <v>1.46231</v>
      </c>
      <c r="AA457" s="236">
        <f>+IFERROR(IF(GUAYAQUIL[[#This Row],[CODIGO]]="","",GUAYAQUIL[[#This Row],[COSTO UNIT Conv]]*GUAYAQUIL[[#This Row],[Stock Actual Kgs]]),"")</f>
        <v>68.07053049999999</v>
      </c>
      <c r="AB457" s="33">
        <f ca="1">+IFERROR(IF(GUAYAQUIL[[#This Row],[CODIGO]]="","",$J$3-O457),"")</f>
        <v>27</v>
      </c>
      <c r="AC457" s="34" t="str">
        <f ca="1">IF(GUAYAQUIL[[#This Row],[CODIGO]]="","",IF(S457&lt;=0,"CADUCADO",IF(AND(S457&gt;0,S457&lt;=21),"FECHA CORTA",IF(AND(S457&gt;=22,S457&lt;=26),"PROXIMOS FECHA CORTA", "VIGENTE"))))</f>
        <v>FECHA CORTA</v>
      </c>
      <c r="AD457" s="37">
        <f>+IF(GUAYAQUIL[[#This Row],[CODIGO]]="","",GUAYAQUIL[[#This Row],[Stock Actual Unds]]*GUAYAQUIL[[#This Row],[Gramaje]]*GUAYAQUIL[[#This Row],[Conversión]])/1000</f>
        <v>4.6549999999999994E-2</v>
      </c>
    </row>
    <row r="458" spans="1:30">
      <c r="A458" s="24" t="str">
        <f>+IFERROR(IF(GUAYAQUIL[[#This Row],[CODIGO]]="","",VLOOKUP(GUAYAQUIL[[#This Row],[CODIGO]],MAESTRO!$A:$J,10,FALSE)),"")</f>
        <v>MACHACHI</v>
      </c>
      <c r="B458" s="24" t="str">
        <f>+IFERROR(IF(GUAYAQUIL[[#This Row],[CODIGO]]="","",VLOOKUP(GUAYAQUIL[[#This Row],[CODIGO]],MAESTRO!$A:$Q,17,FALSE)),"")</f>
        <v>BEBIDAS LACTEAS</v>
      </c>
      <c r="C458" s="24" t="str">
        <f>+IFERROR(IF(GUAYAQUIL[[#This Row],[CODIGO]]="","",VLOOKUP(GUAYAQUIL[[#This Row],[CODIGO]],MAESTRO!$A:$BA,53,FALSE)),"")</f>
        <v xml:space="preserve">Luis Armendariz                         </v>
      </c>
      <c r="D458" s="24" t="str">
        <f>+IFERROR(IF(GUAYAQUIL[[#This Row],[CODIGO]]="","",VLOOKUP(GUAYAQUIL[[#This Row],[CODIGO]],MAESTRO!$A:$D,4,FALSE)),"")</f>
        <v>YOGURT FINESSE</v>
      </c>
      <c r="E458" s="24" t="str">
        <f>+IFERROR(IF(GUAYAQUIL[[#This Row],[CODIGO]]="","",VLOOKUP(GUAYAQUIL[[#This Row],[CODIGO]],MAESTRO!$A:$F,6,FALSE)),"")</f>
        <v>YOGURT FINESSE DESLACT BOTELLA FAMILIAR</v>
      </c>
      <c r="F458" s="42" t="str">
        <f>IF(GUAYAQUIL[[#This Row],[CODIGO]]="","",$K$6)</f>
        <v>GUAYAQUIL</v>
      </c>
      <c r="G458" s="42">
        <f>IF(GUAYAQUIL[[#This Row],[CODIGO]]="","",7711)</f>
        <v>7711</v>
      </c>
      <c r="H458" s="42">
        <f>IF(GUAYAQUIL[[#This Row],[CODIGO]]="","",1001)</f>
        <v>1001</v>
      </c>
      <c r="I458" s="258" t="s">
        <v>4416</v>
      </c>
      <c r="J458" s="25" t="str">
        <f>IFERROR((VLOOKUP(GUAYAQUIL[[#This Row],[CODIGO]],MAESTRO!A:B,2,FALSE)),"")</f>
        <v>YOG FNSSE SBILA BOT 950G</v>
      </c>
      <c r="K458" s="35">
        <v>18</v>
      </c>
      <c r="L458" s="38">
        <f>+IFERROR(IF(GUAYAQUIL[[#This Row],[CODIGO]]="","",VLOOKUP(GUAYAQUIL[[#This Row],[CODIGO]],MAESTRO!$A:$BF,58,FALSE)),"")</f>
        <v>1</v>
      </c>
      <c r="M458" s="27">
        <f>+IFERROR(IF(GUAYAQUIL[[#This Row],[CODIGO]]="","",VLOOKUP(GUAYAQUIL[[#This Row],[CODIGO]],MAESTRO!A:N,14,FALSE)),"")</f>
        <v>0.95</v>
      </c>
      <c r="N458" s="28">
        <f>+IFERROR(IF(GUAYAQUIL[[#This Row],[CODIGO]]="","",VLOOKUP(GUAYAQUIL[[#This Row],[CODIGO]],MAESTRO!A:P,16,FALSE)),"")</f>
        <v>45</v>
      </c>
      <c r="O458" s="29">
        <v>45601</v>
      </c>
      <c r="P458" s="72" t="str">
        <f t="shared" si="35"/>
        <v>martes</v>
      </c>
      <c r="Q458" s="29">
        <f>IFERROR(IF(GUAYAQUIL[[#This Row],[CODIGO]]="","",IF(GUAYAQUIL[[#This Row],[Fecha Cad]]="","",(GUAYAQUIL[[#This Row],[Fecha Cad]]-GUAYAQUIL[[#This Row],[VIDA UTIL (Días)]]))+1),"")</f>
        <v>45595</v>
      </c>
      <c r="R458" s="45">
        <v>45639</v>
      </c>
      <c r="S458" s="30">
        <f t="shared" ca="1" si="36"/>
        <v>15</v>
      </c>
      <c r="T458" s="31">
        <f t="shared" ca="1" si="37"/>
        <v>0.33333333333333331</v>
      </c>
      <c r="U458" s="286">
        <v>18</v>
      </c>
      <c r="V458" s="265">
        <f>+IFERROR(IF(GUAYAQUIL[[#This Row],[CODIGO]]="","",GUAYAQUIL[[#This Row],[Stock Actual Unds]]*GUAYAQUIL[[#This Row],[Gramaje]]*GUAYAQUIL[[#This Row],[Conversión]]),"")</f>
        <v>17.099999999999998</v>
      </c>
      <c r="W458" s="270">
        <f t="shared" si="38"/>
        <v>6</v>
      </c>
      <c r="X458" s="32">
        <f t="shared" si="39"/>
        <v>0.8666666666666667</v>
      </c>
      <c r="Y458" s="236">
        <f>IFERROR(VLOOKUP(GUAYAQUIL[[#This Row],[CODIGO]],MAESTRO!A:BI,21,FALSE),0)</f>
        <v>1.46231</v>
      </c>
      <c r="Z458" s="237">
        <f>+IFERROR(IF(GUAYAQUIL[[#This Row],[CODIGO]]="","",GUAYAQUIL[[#This Row],[COSTO UNIT base]]*GUAYAQUIL[[#This Row],[Conversión]]),"")</f>
        <v>1.46231</v>
      </c>
      <c r="AA458" s="236">
        <f>+IFERROR(IF(GUAYAQUIL[[#This Row],[CODIGO]]="","",GUAYAQUIL[[#This Row],[COSTO UNIT Conv]]*GUAYAQUIL[[#This Row],[Stock Actual Kgs]]),"")</f>
        <v>25.005500999999995</v>
      </c>
      <c r="AB458" s="33">
        <f ca="1">+IFERROR(IF(GUAYAQUIL[[#This Row],[CODIGO]]="","",$J$3-O458),"")</f>
        <v>23</v>
      </c>
      <c r="AC458" s="34" t="str">
        <f ca="1">IF(GUAYAQUIL[[#This Row],[CODIGO]]="","",IF(S458&lt;=0,"CADUCADO",IF(AND(S458&gt;0,S458&lt;=21),"FECHA CORTA",IF(AND(S458&gt;=22,S458&lt;=26),"PROXIMOS FECHA CORTA", "VIGENTE"))))</f>
        <v>FECHA CORTA</v>
      </c>
      <c r="AD458" s="37">
        <f>+IF(GUAYAQUIL[[#This Row],[CODIGO]]="","",GUAYAQUIL[[#This Row],[Stock Actual Unds]]*GUAYAQUIL[[#This Row],[Gramaje]]*GUAYAQUIL[[#This Row],[Conversión]])/1000</f>
        <v>1.7099999999999997E-2</v>
      </c>
    </row>
    <row r="459" spans="1:30">
      <c r="A459" s="24" t="str">
        <f>+IFERROR(IF(GUAYAQUIL[[#This Row],[CODIGO]]="","",VLOOKUP(GUAYAQUIL[[#This Row],[CODIGO]],MAESTRO!$A:$J,10,FALSE)),"")</f>
        <v>MACHACHI</v>
      </c>
      <c r="B459" s="24" t="str">
        <f>+IFERROR(IF(GUAYAQUIL[[#This Row],[CODIGO]]="","",VLOOKUP(GUAYAQUIL[[#This Row],[CODIGO]],MAESTRO!$A:$Q,17,FALSE)),"")</f>
        <v>BEBIDAS LACTEAS</v>
      </c>
      <c r="C459" s="24" t="str">
        <f>+IFERROR(IF(GUAYAQUIL[[#This Row],[CODIGO]]="","",VLOOKUP(GUAYAQUIL[[#This Row],[CODIGO]],MAESTRO!$A:$BA,53,FALSE)),"")</f>
        <v xml:space="preserve">Luis Armendariz                         </v>
      </c>
      <c r="D459" s="24" t="str">
        <f>+IFERROR(IF(GUAYAQUIL[[#This Row],[CODIGO]]="","",VLOOKUP(GUAYAQUIL[[#This Row],[CODIGO]],MAESTRO!$A:$D,4,FALSE)),"")</f>
        <v>YOGURT FINESSE</v>
      </c>
      <c r="E459" s="24" t="str">
        <f>+IFERROR(IF(GUAYAQUIL[[#This Row],[CODIGO]]="","",VLOOKUP(GUAYAQUIL[[#This Row],[CODIGO]],MAESTRO!$A:$F,6,FALSE)),"")</f>
        <v>YOGURT FINESSE DESLACT BOTELLA FAMILIAR</v>
      </c>
      <c r="F459" s="42" t="str">
        <f>IF(GUAYAQUIL[[#This Row],[CODIGO]]="","",$K$6)</f>
        <v>GUAYAQUIL</v>
      </c>
      <c r="G459" s="209">
        <f>IF(GUAYAQUIL[[#This Row],[CODIGO]]="","",7711)</f>
        <v>7711</v>
      </c>
      <c r="H459" s="209">
        <f>IF(GUAYAQUIL[[#This Row],[CODIGO]]="","",1001)</f>
        <v>1001</v>
      </c>
      <c r="I459" s="257" t="s">
        <v>4416</v>
      </c>
      <c r="J459" s="25" t="str">
        <f>IFERROR((VLOOKUP(GUAYAQUIL[[#This Row],[CODIGO]],MAESTRO!A:B,2,FALSE)),"")</f>
        <v>YOG FNSSE SBILA BOT 950G</v>
      </c>
      <c r="K459" s="26">
        <v>18</v>
      </c>
      <c r="L459" s="38">
        <f>+IFERROR(IF(GUAYAQUIL[[#This Row],[CODIGO]]="","",VLOOKUP(GUAYAQUIL[[#This Row],[CODIGO]],MAESTRO!$A:$BF,58,FALSE)),"")</f>
        <v>1</v>
      </c>
      <c r="M459" s="27">
        <f>+IFERROR(IF(GUAYAQUIL[[#This Row],[CODIGO]]="","",VLOOKUP(GUAYAQUIL[[#This Row],[CODIGO]],MAESTRO!A:N,14,FALSE)),"")</f>
        <v>0.95</v>
      </c>
      <c r="N459" s="28">
        <f>+IFERROR(IF(GUAYAQUIL[[#This Row],[CODIGO]]="","",VLOOKUP(GUAYAQUIL[[#This Row],[CODIGO]],MAESTRO!A:P,16,FALSE)),"")</f>
        <v>45</v>
      </c>
      <c r="O459" s="29">
        <v>45602</v>
      </c>
      <c r="P459" s="72" t="str">
        <f t="shared" si="35"/>
        <v>miércoles</v>
      </c>
      <c r="Q459" s="29">
        <f>IFERROR(IF(GUAYAQUIL[[#This Row],[CODIGO]]="","",IF(GUAYAQUIL[[#This Row],[Fecha Cad]]="","",(GUAYAQUIL[[#This Row],[Fecha Cad]]-GUAYAQUIL[[#This Row],[VIDA UTIL (Días)]]))+1),"")</f>
        <v>45596</v>
      </c>
      <c r="R459" s="29">
        <v>45640</v>
      </c>
      <c r="S459" s="30">
        <f t="shared" ca="1" si="36"/>
        <v>16</v>
      </c>
      <c r="T459" s="31">
        <f t="shared" ca="1" si="37"/>
        <v>0.35555555555555557</v>
      </c>
      <c r="U459" s="286">
        <v>18</v>
      </c>
      <c r="V459" s="267">
        <f>+IFERROR(IF(GUAYAQUIL[[#This Row],[CODIGO]]="","",GUAYAQUIL[[#This Row],[Stock Actual Unds]]*GUAYAQUIL[[#This Row],[Gramaje]]*GUAYAQUIL[[#This Row],[Conversión]]),"")</f>
        <v>17.099999999999998</v>
      </c>
      <c r="W459" s="270">
        <f t="shared" si="38"/>
        <v>6</v>
      </c>
      <c r="X459" s="32">
        <f t="shared" si="39"/>
        <v>0.8666666666666667</v>
      </c>
      <c r="Y459" s="236">
        <f>IFERROR(VLOOKUP(GUAYAQUIL[[#This Row],[CODIGO]],MAESTRO!A:BI,21,FALSE),0)</f>
        <v>1.46231</v>
      </c>
      <c r="Z459" s="237">
        <f>+IFERROR(IF(GUAYAQUIL[[#This Row],[CODIGO]]="","",GUAYAQUIL[[#This Row],[COSTO UNIT base]]*GUAYAQUIL[[#This Row],[Conversión]]),"")</f>
        <v>1.46231</v>
      </c>
      <c r="AA459" s="236">
        <f>+IFERROR(IF(GUAYAQUIL[[#This Row],[CODIGO]]="","",GUAYAQUIL[[#This Row],[COSTO UNIT Conv]]*GUAYAQUIL[[#This Row],[Stock Actual Kgs]]),"")</f>
        <v>25.005500999999995</v>
      </c>
      <c r="AB459" s="33">
        <f ca="1">+IFERROR(IF(GUAYAQUIL[[#This Row],[CODIGO]]="","",$J$3-O459),"")</f>
        <v>22</v>
      </c>
      <c r="AC459" s="34" t="str">
        <f ca="1">IF(GUAYAQUIL[[#This Row],[CODIGO]]="","",IF(S459&lt;=0,"CADUCADO",IF(AND(S459&gt;0,S459&lt;=21),"FECHA CORTA",IF(AND(S459&gt;=22,S459&lt;=26),"PROXIMOS FECHA CORTA", "VIGENTE"))))</f>
        <v>FECHA CORTA</v>
      </c>
      <c r="AD459" s="37">
        <f>+IF(GUAYAQUIL[[#This Row],[CODIGO]]="","",GUAYAQUIL[[#This Row],[Stock Actual Unds]]*GUAYAQUIL[[#This Row],[Gramaje]]*GUAYAQUIL[[#This Row],[Conversión]])/1000</f>
        <v>1.7099999999999997E-2</v>
      </c>
    </row>
    <row r="460" spans="1:30">
      <c r="A460" s="24" t="str">
        <f>+IFERROR(IF(GUAYAQUIL[[#This Row],[CODIGO]]="","",VLOOKUP(GUAYAQUIL[[#This Row],[CODIGO]],MAESTRO!$A:$J,10,FALSE)),"")</f>
        <v>MACHACHI</v>
      </c>
      <c r="B460" s="24" t="str">
        <f>+IFERROR(IF(GUAYAQUIL[[#This Row],[CODIGO]]="","",VLOOKUP(GUAYAQUIL[[#This Row],[CODIGO]],MAESTRO!$A:$Q,17,FALSE)),"")</f>
        <v>BEBIDAS LACTEAS</v>
      </c>
      <c r="C460" s="24" t="str">
        <f>+IFERROR(IF(GUAYAQUIL[[#This Row],[CODIGO]]="","",VLOOKUP(GUAYAQUIL[[#This Row],[CODIGO]],MAESTRO!$A:$BA,53,FALSE)),"")</f>
        <v xml:space="preserve">Luis Armendariz                         </v>
      </c>
      <c r="D460" s="24" t="str">
        <f>+IFERROR(IF(GUAYAQUIL[[#This Row],[CODIGO]]="","",VLOOKUP(GUAYAQUIL[[#This Row],[CODIGO]],MAESTRO!$A:$D,4,FALSE)),"")</f>
        <v>YOGURT FINESSE</v>
      </c>
      <c r="E460" s="24" t="str">
        <f>+IFERROR(IF(GUAYAQUIL[[#This Row],[CODIGO]]="","",VLOOKUP(GUAYAQUIL[[#This Row],[CODIGO]],MAESTRO!$A:$F,6,FALSE)),"")</f>
        <v>YOGURT FINESSE DESLACT BOTELLA FAMILIAR</v>
      </c>
      <c r="F460" s="42" t="str">
        <f>IF(GUAYAQUIL[[#This Row],[CODIGO]]="","",$K$6)</f>
        <v>GUAYAQUIL</v>
      </c>
      <c r="G460" s="42">
        <f>IF(GUAYAQUIL[[#This Row],[CODIGO]]="","",7711)</f>
        <v>7711</v>
      </c>
      <c r="H460" s="42">
        <f>IF(GUAYAQUIL[[#This Row],[CODIGO]]="","",1001)</f>
        <v>1001</v>
      </c>
      <c r="I460" s="258" t="s">
        <v>4416</v>
      </c>
      <c r="J460" s="25" t="str">
        <f>IFERROR((VLOOKUP(GUAYAQUIL[[#This Row],[CODIGO]],MAESTRO!A:B,2,FALSE)),"")</f>
        <v>YOG FNSSE SBILA BOT 950G</v>
      </c>
      <c r="K460" s="35">
        <v>18</v>
      </c>
      <c r="L460" s="38">
        <f>+IFERROR(IF(GUAYAQUIL[[#This Row],[CODIGO]]="","",VLOOKUP(GUAYAQUIL[[#This Row],[CODIGO]],MAESTRO!$A:$BF,58,FALSE)),"")</f>
        <v>1</v>
      </c>
      <c r="M460" s="27">
        <f>+IFERROR(IF(GUAYAQUIL[[#This Row],[CODIGO]]="","",VLOOKUP(GUAYAQUIL[[#This Row],[CODIGO]],MAESTRO!A:N,14,FALSE)),"")</f>
        <v>0.95</v>
      </c>
      <c r="N460" s="28">
        <f>+IFERROR(IF(GUAYAQUIL[[#This Row],[CODIGO]]="","",VLOOKUP(GUAYAQUIL[[#This Row],[CODIGO]],MAESTRO!A:P,16,FALSE)),"")</f>
        <v>45</v>
      </c>
      <c r="O460" s="29">
        <v>45605</v>
      </c>
      <c r="P460" s="72" t="str">
        <f t="shared" si="35"/>
        <v>sábado</v>
      </c>
      <c r="Q460" s="29">
        <f>IFERROR(IF(GUAYAQUIL[[#This Row],[CODIGO]]="","",IF(GUAYAQUIL[[#This Row],[Fecha Cad]]="","",(GUAYAQUIL[[#This Row],[Fecha Cad]]-GUAYAQUIL[[#This Row],[VIDA UTIL (Días)]]))+1),"")</f>
        <v>45596</v>
      </c>
      <c r="R460" s="29">
        <v>45640</v>
      </c>
      <c r="S460" s="30">
        <f t="shared" ca="1" si="36"/>
        <v>16</v>
      </c>
      <c r="T460" s="31">
        <f t="shared" ca="1" si="37"/>
        <v>0.35555555555555557</v>
      </c>
      <c r="U460" s="286">
        <v>18</v>
      </c>
      <c r="V460" s="265">
        <f>+IFERROR(IF(GUAYAQUIL[[#This Row],[CODIGO]]="","",GUAYAQUIL[[#This Row],[Stock Actual Unds]]*GUAYAQUIL[[#This Row],[Gramaje]]*GUAYAQUIL[[#This Row],[Conversión]]),"")</f>
        <v>17.099999999999998</v>
      </c>
      <c r="W460" s="270">
        <f t="shared" si="38"/>
        <v>9</v>
      </c>
      <c r="X460" s="32">
        <f t="shared" si="39"/>
        <v>0.8</v>
      </c>
      <c r="Y460" s="236">
        <f>IFERROR(VLOOKUP(GUAYAQUIL[[#This Row],[CODIGO]],MAESTRO!A:BI,21,FALSE),0)</f>
        <v>1.46231</v>
      </c>
      <c r="Z460" s="237">
        <f>+IFERROR(IF(GUAYAQUIL[[#This Row],[CODIGO]]="","",GUAYAQUIL[[#This Row],[COSTO UNIT base]]*GUAYAQUIL[[#This Row],[Conversión]]),"")</f>
        <v>1.46231</v>
      </c>
      <c r="AA460" s="236">
        <f>+IFERROR(IF(GUAYAQUIL[[#This Row],[CODIGO]]="","",GUAYAQUIL[[#This Row],[COSTO UNIT Conv]]*GUAYAQUIL[[#This Row],[Stock Actual Kgs]]),"")</f>
        <v>25.005500999999995</v>
      </c>
      <c r="AB460" s="33">
        <f ca="1">+IFERROR(IF(GUAYAQUIL[[#This Row],[CODIGO]]="","",$J$3-O460),"")</f>
        <v>19</v>
      </c>
      <c r="AC460" s="34" t="str">
        <f ca="1">IF(GUAYAQUIL[[#This Row],[CODIGO]]="","",IF(S460&lt;=0,"CADUCADO",IF(AND(S460&gt;0,S460&lt;=21),"FECHA CORTA",IF(AND(S460&gt;=22,S460&lt;=26),"PROXIMOS FECHA CORTA", "VIGENTE"))))</f>
        <v>FECHA CORTA</v>
      </c>
      <c r="AD460" s="37">
        <f>+IF(GUAYAQUIL[[#This Row],[CODIGO]]="","",GUAYAQUIL[[#This Row],[Stock Actual Unds]]*GUAYAQUIL[[#This Row],[Gramaje]]*GUAYAQUIL[[#This Row],[Conversión]])/1000</f>
        <v>1.7099999999999997E-2</v>
      </c>
    </row>
    <row r="461" spans="1:30">
      <c r="A461" s="24" t="str">
        <f>+IFERROR(IF(GUAYAQUIL[[#This Row],[CODIGO]]="","",VLOOKUP(GUAYAQUIL[[#This Row],[CODIGO]],MAESTRO!$A:$J,10,FALSE)),"")</f>
        <v>MACHACHI</v>
      </c>
      <c r="B461" s="24" t="str">
        <f>+IFERROR(IF(GUAYAQUIL[[#This Row],[CODIGO]]="","",VLOOKUP(GUAYAQUIL[[#This Row],[CODIGO]],MAESTRO!$A:$Q,17,FALSE)),"")</f>
        <v>BEBIDAS LACTEAS</v>
      </c>
      <c r="C461" s="24" t="str">
        <f>+IFERROR(IF(GUAYAQUIL[[#This Row],[CODIGO]]="","",VLOOKUP(GUAYAQUIL[[#This Row],[CODIGO]],MAESTRO!$A:$BA,53,FALSE)),"")</f>
        <v xml:space="preserve">Luis Armendariz                         </v>
      </c>
      <c r="D461" s="24" t="str">
        <f>+IFERROR(IF(GUAYAQUIL[[#This Row],[CODIGO]]="","",VLOOKUP(GUAYAQUIL[[#This Row],[CODIGO]],MAESTRO!$A:$D,4,FALSE)),"")</f>
        <v>YOGURT FINESSE</v>
      </c>
      <c r="E461" s="24" t="str">
        <f>+IFERROR(IF(GUAYAQUIL[[#This Row],[CODIGO]]="","",VLOOKUP(GUAYAQUIL[[#This Row],[CODIGO]],MAESTRO!$A:$F,6,FALSE)),"")</f>
        <v>YOGURT FINESSE DESLACT BOTELLA PERSONAL</v>
      </c>
      <c r="F461" s="42" t="str">
        <f>IF(GUAYAQUIL[[#This Row],[CODIGO]]="","",$K$6)</f>
        <v>GUAYAQUIL</v>
      </c>
      <c r="G461" s="209">
        <f>IF(GUAYAQUIL[[#This Row],[CODIGO]]="","",7711)</f>
        <v>7711</v>
      </c>
      <c r="H461" s="209">
        <f>IF(GUAYAQUIL[[#This Row],[CODIGO]]="","",1001)</f>
        <v>1001</v>
      </c>
      <c r="I461" s="258" t="s">
        <v>1769</v>
      </c>
      <c r="J461" s="25" t="str">
        <f>IFERROR((VLOOKUP(GUAYAQUIL[[#This Row],[CODIGO]],MAESTRO!A:B,2,FALSE)),"")</f>
        <v>YOG FNSSE SBILA BOT 180G</v>
      </c>
      <c r="K461" s="35">
        <v>216</v>
      </c>
      <c r="L461" s="38">
        <f>+IFERROR(IF(GUAYAQUIL[[#This Row],[CODIGO]]="","",VLOOKUP(GUAYAQUIL[[#This Row],[CODIGO]],MAESTRO!$A:$BF,58,FALSE)),"")</f>
        <v>1</v>
      </c>
      <c r="M461" s="27">
        <f>+IFERROR(IF(GUAYAQUIL[[#This Row],[CODIGO]]="","",VLOOKUP(GUAYAQUIL[[#This Row],[CODIGO]],MAESTRO!A:N,14,FALSE)),"")</f>
        <v>0.18</v>
      </c>
      <c r="N461" s="28">
        <f>+IFERROR(IF(GUAYAQUIL[[#This Row],[CODIGO]]="","",VLOOKUP(GUAYAQUIL[[#This Row],[CODIGO]],MAESTRO!A:P,16,FALSE)),"")</f>
        <v>45</v>
      </c>
      <c r="O461" s="29">
        <v>45612</v>
      </c>
      <c r="P461" s="72" t="str">
        <f t="shared" si="35"/>
        <v>sábado</v>
      </c>
      <c r="Q461" s="29">
        <f>IFERROR(IF(GUAYAQUIL[[#This Row],[CODIGO]]="","",IF(GUAYAQUIL[[#This Row],[Fecha Cad]]="","",(GUAYAQUIL[[#This Row],[Fecha Cad]]-GUAYAQUIL[[#This Row],[VIDA UTIL (Días)]]))+1),"")</f>
        <v>45604</v>
      </c>
      <c r="R461" s="29">
        <v>45648</v>
      </c>
      <c r="S461" s="30">
        <f t="shared" ca="1" si="36"/>
        <v>24</v>
      </c>
      <c r="T461" s="31">
        <f t="shared" ca="1" si="37"/>
        <v>0.53333333333333333</v>
      </c>
      <c r="U461" s="286">
        <v>152</v>
      </c>
      <c r="V461" s="266">
        <f>+IFERROR(IF(GUAYAQUIL[[#This Row],[CODIGO]]="","",GUAYAQUIL[[#This Row],[Stock Actual Unds]]*GUAYAQUIL[[#This Row],[Gramaje]]*GUAYAQUIL[[#This Row],[Conversión]]),"")</f>
        <v>27.36</v>
      </c>
      <c r="W461" s="270">
        <f t="shared" si="38"/>
        <v>8</v>
      </c>
      <c r="X461" s="32">
        <f t="shared" si="39"/>
        <v>0.82222222222222219</v>
      </c>
      <c r="Y461" s="236">
        <f>IFERROR(VLOOKUP(GUAYAQUIL[[#This Row],[CODIGO]],MAESTRO!A:BI,21,FALSE),0)</f>
        <v>0.32388</v>
      </c>
      <c r="Z461" s="237">
        <f>+IFERROR(IF(GUAYAQUIL[[#This Row],[CODIGO]]="","",GUAYAQUIL[[#This Row],[COSTO UNIT base]]*GUAYAQUIL[[#This Row],[Conversión]]),"")</f>
        <v>0.32388</v>
      </c>
      <c r="AA461" s="236">
        <f>+IFERROR(IF(GUAYAQUIL[[#This Row],[CODIGO]]="","",GUAYAQUIL[[#This Row],[COSTO UNIT Conv]]*GUAYAQUIL[[#This Row],[Stock Actual Kgs]]),"")</f>
        <v>8.8613567999999994</v>
      </c>
      <c r="AB461" s="33">
        <f ca="1">+IFERROR(IF(GUAYAQUIL[[#This Row],[CODIGO]]="","",$J$3-O461),"")</f>
        <v>12</v>
      </c>
      <c r="AC461" s="34" t="str">
        <f ca="1">IF(GUAYAQUIL[[#This Row],[CODIGO]]="","",IF(S461&lt;=0,"CADUCADO",IF(AND(S461&gt;0,S461&lt;=21),"FECHA CORTA",IF(AND(S461&gt;=22,S461&lt;=26),"PROXIMOS FECHA CORTA", "VIGENTE"))))</f>
        <v>PROXIMOS FECHA CORTA</v>
      </c>
      <c r="AD461" s="37">
        <f>+IF(GUAYAQUIL[[#This Row],[CODIGO]]="","",GUAYAQUIL[[#This Row],[Stock Actual Unds]]*GUAYAQUIL[[#This Row],[Gramaje]]*GUAYAQUIL[[#This Row],[Conversión]])/1000</f>
        <v>2.7359999999999999E-2</v>
      </c>
    </row>
    <row r="462" spans="1:30">
      <c r="A462" s="42" t="str">
        <f>+IFERROR(IF(GUAYAQUIL[[#This Row],[CODIGO]]="","",VLOOKUP(GUAYAQUIL[[#This Row],[CODIGO]],MAESTRO!$A:$J,10,FALSE)),"")</f>
        <v>MACHACHI</v>
      </c>
      <c r="B462" s="42" t="str">
        <f>+IFERROR(IF(GUAYAQUIL[[#This Row],[CODIGO]]="","",VLOOKUP(GUAYAQUIL[[#This Row],[CODIGO]],MAESTRO!$A:$Q,17,FALSE)),"")</f>
        <v>BEBIDAS LACTEAS</v>
      </c>
      <c r="C462" s="42" t="str">
        <f>+IFERROR(IF(GUAYAQUIL[[#This Row],[CODIGO]]="","",VLOOKUP(GUAYAQUIL[[#This Row],[CODIGO]],MAESTRO!$A:$BA,53,FALSE)),"")</f>
        <v xml:space="preserve">Luis Armendariz                         </v>
      </c>
      <c r="D462" s="42" t="str">
        <f>+IFERROR(IF(GUAYAQUIL[[#This Row],[CODIGO]]="","",VLOOKUP(GUAYAQUIL[[#This Row],[CODIGO]],MAESTRO!$A:$D,4,FALSE)),"")</f>
        <v>YOGURT FINESSE</v>
      </c>
      <c r="E462" s="42" t="str">
        <f>+IFERROR(IF(GUAYAQUIL[[#This Row],[CODIGO]]="","",VLOOKUP(GUAYAQUIL[[#This Row],[CODIGO]],MAESTRO!$A:$F,6,FALSE)),"")</f>
        <v>YOGURT FINESSE DESLACT BOTELLA PERSONAL</v>
      </c>
      <c r="F462" s="42" t="str">
        <f>IF(GUAYAQUIL[[#This Row],[CODIGO]]="","",$K$6)</f>
        <v>GUAYAQUIL</v>
      </c>
      <c r="G462" s="42">
        <f>IF(GUAYAQUIL[[#This Row],[CODIGO]]="","",7711)</f>
        <v>7711</v>
      </c>
      <c r="H462" s="42">
        <f>IF(GUAYAQUIL[[#This Row],[CODIGO]]="","",1001)</f>
        <v>1001</v>
      </c>
      <c r="I462" s="258" t="s">
        <v>1769</v>
      </c>
      <c r="J462" s="25" t="str">
        <f>IFERROR((VLOOKUP(GUAYAQUIL[[#This Row],[CODIGO]],MAESTRO!A:B,2,FALSE)),"")</f>
        <v>YOG FNSSE SBILA BOT 180G</v>
      </c>
      <c r="K462" s="35">
        <v>108</v>
      </c>
      <c r="L462" s="205">
        <f>+IFERROR(IF(GUAYAQUIL[[#This Row],[CODIGO]]="","",VLOOKUP(GUAYAQUIL[[#This Row],[CODIGO]],MAESTRO!$A:$BF,58,FALSE)),"")</f>
        <v>1</v>
      </c>
      <c r="M462" s="27">
        <f>+IFERROR(IF(GUAYAQUIL[[#This Row],[CODIGO]]="","",VLOOKUP(GUAYAQUIL[[#This Row],[CODIGO]],MAESTRO!A:N,14,FALSE)),"")</f>
        <v>0.18</v>
      </c>
      <c r="N462" s="290">
        <f>+IFERROR(IF(GUAYAQUIL[[#This Row],[CODIGO]]="","",VLOOKUP(GUAYAQUIL[[#This Row],[CODIGO]],MAESTRO!A:P,16,FALSE)),"")</f>
        <v>45</v>
      </c>
      <c r="O462" s="45">
        <v>45616</v>
      </c>
      <c r="P462" s="292" t="str">
        <f t="shared" si="35"/>
        <v>miércoles</v>
      </c>
      <c r="Q462" s="278">
        <f>IFERROR(IF(GUAYAQUIL[[#This Row],[CODIGO]]="","",IF(GUAYAQUIL[[#This Row],[Fecha Cad]]="","",(GUAYAQUIL[[#This Row],[Fecha Cad]]-GUAYAQUIL[[#This Row],[VIDA UTIL (Días)]]))+1),"")</f>
        <v>45611</v>
      </c>
      <c r="R462" s="45">
        <v>45655</v>
      </c>
      <c r="S462" s="30">
        <f t="shared" ca="1" si="36"/>
        <v>31</v>
      </c>
      <c r="T462" s="294">
        <f t="shared" ca="1" si="37"/>
        <v>0.68888888888888888</v>
      </c>
      <c r="U462" s="295">
        <v>108</v>
      </c>
      <c r="V462" s="265">
        <f>+IFERROR(IF(GUAYAQUIL[[#This Row],[CODIGO]]="","",GUAYAQUIL[[#This Row],[Stock Actual Unds]]*GUAYAQUIL[[#This Row],[Gramaje]]*GUAYAQUIL[[#This Row],[Conversión]]),"")</f>
        <v>19.439999999999998</v>
      </c>
      <c r="W462" s="299">
        <f t="shared" si="38"/>
        <v>5</v>
      </c>
      <c r="X462" s="44">
        <f t="shared" si="39"/>
        <v>0.88888888888888884</v>
      </c>
      <c r="Y462" s="236">
        <f>IFERROR(VLOOKUP(GUAYAQUIL[[#This Row],[CODIGO]],MAESTRO!A:BI,21,FALSE),0)</f>
        <v>0.32388</v>
      </c>
      <c r="Z462" s="237">
        <f>+IFERROR(IF(GUAYAQUIL[[#This Row],[CODIGO]]="","",GUAYAQUIL[[#This Row],[COSTO UNIT base]]*GUAYAQUIL[[#This Row],[Conversión]]),"")</f>
        <v>0.32388</v>
      </c>
      <c r="AA462" s="236">
        <f>+IFERROR(IF(GUAYAQUIL[[#This Row],[CODIGO]]="","",GUAYAQUIL[[#This Row],[COSTO UNIT Conv]]*GUAYAQUIL[[#This Row],[Stock Actual Kgs]]),"")</f>
        <v>6.2962271999999997</v>
      </c>
      <c r="AB462" s="180">
        <f ca="1">+IFERROR(IF(GUAYAQUIL[[#This Row],[CODIGO]]="","",$J$3-O462),"")</f>
        <v>8</v>
      </c>
      <c r="AC462" s="35" t="str">
        <f ca="1">IF(GUAYAQUIL[[#This Row],[CODIGO]]="","",IF(S462&lt;=0,"CADUCADO",IF(AND(S462&gt;0,S462&lt;=21),"FECHA CORTA",IF(AND(S462&gt;=22,S462&lt;=26),"PROXIMOS FECHA CORTA", "VIGENTE"))))</f>
        <v>VIGENTE</v>
      </c>
      <c r="AD462" s="37">
        <f>+IF(GUAYAQUIL[[#This Row],[CODIGO]]="","",GUAYAQUIL[[#This Row],[Stock Actual Unds]]*GUAYAQUIL[[#This Row],[Gramaje]]*GUAYAQUIL[[#This Row],[Conversión]])/1000</f>
        <v>1.9439999999999999E-2</v>
      </c>
    </row>
    <row r="463" spans="1:30">
      <c r="A463" s="42" t="str">
        <f>+IFERROR(IF(GUAYAQUIL[[#This Row],[CODIGO]]="","",VLOOKUP(GUAYAQUIL[[#This Row],[CODIGO]],MAESTRO!$A:$J,10,FALSE)),"")</f>
        <v>MACHACHI</v>
      </c>
      <c r="B463" s="42" t="str">
        <f>+IFERROR(IF(GUAYAQUIL[[#This Row],[CODIGO]]="","",VLOOKUP(GUAYAQUIL[[#This Row],[CODIGO]],MAESTRO!$A:$Q,17,FALSE)),"")</f>
        <v>BEBIDAS LACTEAS</v>
      </c>
      <c r="C463" s="42" t="str">
        <f>+IFERROR(IF(GUAYAQUIL[[#This Row],[CODIGO]]="","",VLOOKUP(GUAYAQUIL[[#This Row],[CODIGO]],MAESTRO!$A:$BA,53,FALSE)),"")</f>
        <v xml:space="preserve">Luis Armendariz                         </v>
      </c>
      <c r="D463" s="42" t="str">
        <f>+IFERROR(IF(GUAYAQUIL[[#This Row],[CODIGO]]="","",VLOOKUP(GUAYAQUIL[[#This Row],[CODIGO]],MAESTRO!$A:$D,4,FALSE)),"")</f>
        <v>YOGURT KIOSKO</v>
      </c>
      <c r="E463" s="42" t="str">
        <f>+IFERROR(IF(GUAYAQUIL[[#This Row],[CODIGO]]="","",VLOOKUP(GUAYAQUIL[[#This Row],[CODIGO]],MAESTRO!$A:$F,6,FALSE)),"")</f>
        <v>BEBIDA DE YOGURT KIOSKO FUNDA FAMILI</v>
      </c>
      <c r="F463" s="42" t="str">
        <f>IF(GUAYAQUIL[[#This Row],[CODIGO]]="","",$K$6)</f>
        <v>GUAYAQUIL</v>
      </c>
      <c r="G463" s="209">
        <f>IF(GUAYAQUIL[[#This Row],[CODIGO]]="","",7711)</f>
        <v>7711</v>
      </c>
      <c r="H463" s="209">
        <f>IF(GUAYAQUIL[[#This Row],[CODIGO]]="","",1001)</f>
        <v>1001</v>
      </c>
      <c r="I463" s="258" t="s">
        <v>3594</v>
      </c>
      <c r="J463" s="25" t="str">
        <f>IFERROR((VLOOKUP(GUAYAQUIL[[#This Row],[CODIGO]],MAESTRO!A:B,2,FALSE)),"")</f>
        <v>YOG DUO KIOSKO PINA COCO FUN 900G</v>
      </c>
      <c r="K463" s="35">
        <v>900</v>
      </c>
      <c r="L463" s="205">
        <f>+IFERROR(IF(GUAYAQUIL[[#This Row],[CODIGO]]="","",VLOOKUP(GUAYAQUIL[[#This Row],[CODIGO]],MAESTRO!$A:$BF,58,FALSE)),"")</f>
        <v>1</v>
      </c>
      <c r="M463" s="27">
        <f>+IFERROR(IF(GUAYAQUIL[[#This Row],[CODIGO]]="","",VLOOKUP(GUAYAQUIL[[#This Row],[CODIGO]],MAESTRO!A:N,14,FALSE)),"")</f>
        <v>0.9</v>
      </c>
      <c r="N463" s="290">
        <f>+IFERROR(IF(GUAYAQUIL[[#This Row],[CODIGO]]="","",VLOOKUP(GUAYAQUIL[[#This Row],[CODIGO]],MAESTRO!A:P,16,FALSE)),"")</f>
        <v>45</v>
      </c>
      <c r="O463" s="45">
        <v>45609</v>
      </c>
      <c r="P463" s="292" t="str">
        <f t="shared" si="35"/>
        <v>miércoles</v>
      </c>
      <c r="Q463" s="278">
        <f>IFERROR(IF(GUAYAQUIL[[#This Row],[CODIGO]]="","",IF(GUAYAQUIL[[#This Row],[Fecha Cad]]="","",(GUAYAQUIL[[#This Row],[Fecha Cad]]-GUAYAQUIL[[#This Row],[VIDA UTIL (Días)]]))+1),"")</f>
        <v>45603</v>
      </c>
      <c r="R463" s="45">
        <v>45647</v>
      </c>
      <c r="S463" s="30">
        <f t="shared" ca="1" si="36"/>
        <v>23</v>
      </c>
      <c r="T463" s="294">
        <f t="shared" ca="1" si="37"/>
        <v>0.51111111111111107</v>
      </c>
      <c r="U463" s="295">
        <v>156</v>
      </c>
      <c r="V463" s="265">
        <f>+IFERROR(IF(GUAYAQUIL[[#This Row],[CODIGO]]="","",GUAYAQUIL[[#This Row],[Stock Actual Unds]]*GUAYAQUIL[[#This Row],[Gramaje]]*GUAYAQUIL[[#This Row],[Conversión]]),"")</f>
        <v>140.4</v>
      </c>
      <c r="W463" s="299">
        <f t="shared" si="38"/>
        <v>6</v>
      </c>
      <c r="X463" s="44">
        <f t="shared" si="39"/>
        <v>0.8666666666666667</v>
      </c>
      <c r="Y463" s="236">
        <f>IFERROR(VLOOKUP(GUAYAQUIL[[#This Row],[CODIGO]],MAESTRO!A:BI,21,FALSE),0)</f>
        <v>0.63853000000000004</v>
      </c>
      <c r="Z463" s="237">
        <f>+IFERROR(IF(GUAYAQUIL[[#This Row],[CODIGO]]="","",GUAYAQUIL[[#This Row],[COSTO UNIT base]]*GUAYAQUIL[[#This Row],[Conversión]]),"")</f>
        <v>0.63853000000000004</v>
      </c>
      <c r="AA463" s="236">
        <f>+IFERROR(IF(GUAYAQUIL[[#This Row],[CODIGO]]="","",GUAYAQUIL[[#This Row],[COSTO UNIT Conv]]*GUAYAQUIL[[#This Row],[Stock Actual Kgs]]),"")</f>
        <v>89.649612000000005</v>
      </c>
      <c r="AB463" s="180">
        <f ca="1">+IFERROR(IF(GUAYAQUIL[[#This Row],[CODIGO]]="","",$J$3-O463),"")</f>
        <v>15</v>
      </c>
      <c r="AC463" s="35" t="str">
        <f ca="1">IF(GUAYAQUIL[[#This Row],[CODIGO]]="","",IF(S463&lt;=0,"CADUCADO",IF(AND(S463&gt;0,S463&lt;=21),"FECHA CORTA",IF(AND(S463&gt;=22,S463&lt;=26),"PROXIMOS FECHA CORTA", "VIGENTE"))))</f>
        <v>PROXIMOS FECHA CORTA</v>
      </c>
      <c r="AD463" s="37">
        <f>+IF(GUAYAQUIL[[#This Row],[CODIGO]]="","",GUAYAQUIL[[#This Row],[Stock Actual Unds]]*GUAYAQUIL[[#This Row],[Gramaje]]*GUAYAQUIL[[#This Row],[Conversión]])/1000</f>
        <v>0.1404</v>
      </c>
    </row>
    <row r="464" spans="1:30">
      <c r="A464" s="42" t="str">
        <f>+IFERROR(IF(GUAYAQUIL[[#This Row],[CODIGO]]="","",VLOOKUP(GUAYAQUIL[[#This Row],[CODIGO]],MAESTRO!$A:$J,10,FALSE)),"")</f>
        <v>MACHACHI</v>
      </c>
      <c r="B464" s="42" t="str">
        <f>+IFERROR(IF(GUAYAQUIL[[#This Row],[CODIGO]]="","",VLOOKUP(GUAYAQUIL[[#This Row],[CODIGO]],MAESTRO!$A:$Q,17,FALSE)),"")</f>
        <v>BEBIDAS LACTEAS</v>
      </c>
      <c r="C464" s="42" t="str">
        <f>+IFERROR(IF(GUAYAQUIL[[#This Row],[CODIGO]]="","",VLOOKUP(GUAYAQUIL[[#This Row],[CODIGO]],MAESTRO!$A:$BA,53,FALSE)),"")</f>
        <v xml:space="preserve">Luis Armendariz                         </v>
      </c>
      <c r="D464" s="42" t="str">
        <f>+IFERROR(IF(GUAYAQUIL[[#This Row],[CODIGO]]="","",VLOOKUP(GUAYAQUIL[[#This Row],[CODIGO]],MAESTRO!$A:$D,4,FALSE)),"")</f>
        <v>YOGURT KIOSKO</v>
      </c>
      <c r="E464" s="42" t="str">
        <f>+IFERROR(IF(GUAYAQUIL[[#This Row],[CODIGO]]="","",VLOOKUP(GUAYAQUIL[[#This Row],[CODIGO]],MAESTRO!$A:$F,6,FALSE)),"")</f>
        <v>BEBIDA DE YOGURT KIOSKO FUNDA FAMILI</v>
      </c>
      <c r="F464" s="42" t="str">
        <f>IF(GUAYAQUIL[[#This Row],[CODIGO]]="","",$K$6)</f>
        <v>GUAYAQUIL</v>
      </c>
      <c r="G464" s="42">
        <f>IF(GUAYAQUIL[[#This Row],[CODIGO]]="","",7711)</f>
        <v>7711</v>
      </c>
      <c r="H464" s="42">
        <f>IF(GUAYAQUIL[[#This Row],[CODIGO]]="","",1001)</f>
        <v>1001</v>
      </c>
      <c r="I464" s="258" t="s">
        <v>3594</v>
      </c>
      <c r="J464" s="25" t="str">
        <f>IFERROR((VLOOKUP(GUAYAQUIL[[#This Row],[CODIGO]],MAESTRO!A:B,2,FALSE)),"")</f>
        <v>YOG DUO KIOSKO PINA COCO FUN 900G</v>
      </c>
      <c r="K464" s="35">
        <v>900</v>
      </c>
      <c r="L464" s="205">
        <f>+IFERROR(IF(GUAYAQUIL[[#This Row],[CODIGO]]="","",VLOOKUP(GUAYAQUIL[[#This Row],[CODIGO]],MAESTRO!$A:$BF,58,FALSE)),"")</f>
        <v>1</v>
      </c>
      <c r="M464" s="27">
        <f>+IFERROR(IF(GUAYAQUIL[[#This Row],[CODIGO]]="","",VLOOKUP(GUAYAQUIL[[#This Row],[CODIGO]],MAESTRO!A:N,14,FALSE)),"")</f>
        <v>0.9</v>
      </c>
      <c r="N464" s="290">
        <f>+IFERROR(IF(GUAYAQUIL[[#This Row],[CODIGO]]="","",VLOOKUP(GUAYAQUIL[[#This Row],[CODIGO]],MAESTRO!A:P,16,FALSE)),"")</f>
        <v>45</v>
      </c>
      <c r="O464" s="45">
        <v>45612</v>
      </c>
      <c r="P464" s="292" t="str">
        <f t="shared" si="35"/>
        <v>sábado</v>
      </c>
      <c r="Q464" s="278">
        <f>IFERROR(IF(GUAYAQUIL[[#This Row],[CODIGO]]="","",IF(GUAYAQUIL[[#This Row],[Fecha Cad]]="","",(GUAYAQUIL[[#This Row],[Fecha Cad]]-GUAYAQUIL[[#This Row],[VIDA UTIL (Días)]]))+1),"")</f>
        <v>45608</v>
      </c>
      <c r="R464" s="45">
        <v>45652</v>
      </c>
      <c r="S464" s="30">
        <f t="shared" ca="1" si="36"/>
        <v>28</v>
      </c>
      <c r="T464" s="294">
        <f t="shared" ca="1" si="37"/>
        <v>0.62222222222222223</v>
      </c>
      <c r="U464" s="295">
        <v>900</v>
      </c>
      <c r="V464" s="265">
        <f>+IFERROR(IF(GUAYAQUIL[[#This Row],[CODIGO]]="","",GUAYAQUIL[[#This Row],[Stock Actual Unds]]*GUAYAQUIL[[#This Row],[Gramaje]]*GUAYAQUIL[[#This Row],[Conversión]]),"")</f>
        <v>810</v>
      </c>
      <c r="W464" s="299">
        <f t="shared" si="38"/>
        <v>4</v>
      </c>
      <c r="X464" s="44">
        <f t="shared" si="39"/>
        <v>0.91111111111111109</v>
      </c>
      <c r="Y464" s="236">
        <f>IFERROR(VLOOKUP(GUAYAQUIL[[#This Row],[CODIGO]],MAESTRO!A:BI,21,FALSE),0)</f>
        <v>0.63853000000000004</v>
      </c>
      <c r="Z464" s="237">
        <f>+IFERROR(IF(GUAYAQUIL[[#This Row],[CODIGO]]="","",GUAYAQUIL[[#This Row],[COSTO UNIT base]]*GUAYAQUIL[[#This Row],[Conversión]]),"")</f>
        <v>0.63853000000000004</v>
      </c>
      <c r="AA464" s="236">
        <f>+IFERROR(IF(GUAYAQUIL[[#This Row],[CODIGO]]="","",GUAYAQUIL[[#This Row],[COSTO UNIT Conv]]*GUAYAQUIL[[#This Row],[Stock Actual Kgs]]),"")</f>
        <v>517.20929999999998</v>
      </c>
      <c r="AB464" s="180">
        <f ca="1">+IFERROR(IF(GUAYAQUIL[[#This Row],[CODIGO]]="","",$J$3-O464),"")</f>
        <v>12</v>
      </c>
      <c r="AC464" s="35" t="str">
        <f ca="1">IF(GUAYAQUIL[[#This Row],[CODIGO]]="","",IF(S464&lt;=0,"CADUCADO",IF(AND(S464&gt;0,S464&lt;=21),"FECHA CORTA",IF(AND(S464&gt;=22,S464&lt;=26),"PROXIMOS FECHA CORTA", "VIGENTE"))))</f>
        <v>VIGENTE</v>
      </c>
      <c r="AD464" s="37">
        <f>+IF(GUAYAQUIL[[#This Row],[CODIGO]]="","",GUAYAQUIL[[#This Row],[Stock Actual Unds]]*GUAYAQUIL[[#This Row],[Gramaje]]*GUAYAQUIL[[#This Row],[Conversión]])/1000</f>
        <v>0.81</v>
      </c>
    </row>
    <row r="465" spans="1:30">
      <c r="A465" s="42" t="str">
        <f>+IFERROR(IF(GUAYAQUIL[[#This Row],[CODIGO]]="","",VLOOKUP(GUAYAQUIL[[#This Row],[CODIGO]],MAESTRO!$A:$J,10,FALSE)),"")</f>
        <v>MACHACHI</v>
      </c>
      <c r="B465" s="42" t="str">
        <f>+IFERROR(IF(GUAYAQUIL[[#This Row],[CODIGO]]="","",VLOOKUP(GUAYAQUIL[[#This Row],[CODIGO]],MAESTRO!$A:$Q,17,FALSE)),"")</f>
        <v>BEBIDAS LACTEAS</v>
      </c>
      <c r="C465" s="42" t="str">
        <f>+IFERROR(IF(GUAYAQUIL[[#This Row],[CODIGO]]="","",VLOOKUP(GUAYAQUIL[[#This Row],[CODIGO]],MAESTRO!$A:$BA,53,FALSE)),"")</f>
        <v xml:space="preserve">Luis Armendariz                         </v>
      </c>
      <c r="D465" s="42" t="str">
        <f>+IFERROR(IF(GUAYAQUIL[[#This Row],[CODIGO]]="","",VLOOKUP(GUAYAQUIL[[#This Row],[CODIGO]],MAESTRO!$A:$D,4,FALSE)),"")</f>
        <v>YOGURT KIOSKO</v>
      </c>
      <c r="E465" s="42" t="str">
        <f>+IFERROR(IF(GUAYAQUIL[[#This Row],[CODIGO]]="","",VLOOKUP(GUAYAQUIL[[#This Row],[CODIGO]],MAESTRO!$A:$F,6,FALSE)),"")</f>
        <v>BEBIDA DE YOGURT KIOSKO FUNDA FAMILI</v>
      </c>
      <c r="F465" s="42" t="str">
        <f>IF(GUAYAQUIL[[#This Row],[CODIGO]]="","",$K$6)</f>
        <v>GUAYAQUIL</v>
      </c>
      <c r="G465" s="209">
        <f>IF(GUAYAQUIL[[#This Row],[CODIGO]]="","",7711)</f>
        <v>7711</v>
      </c>
      <c r="H465" s="209">
        <f>IF(GUAYAQUIL[[#This Row],[CODIGO]]="","",1001)</f>
        <v>1001</v>
      </c>
      <c r="I465" s="258" t="s">
        <v>3594</v>
      </c>
      <c r="J465" s="25" t="str">
        <f>IFERROR((VLOOKUP(GUAYAQUIL[[#This Row],[CODIGO]],MAESTRO!A:B,2,FALSE)),"")</f>
        <v>YOG DUO KIOSKO PINA COCO FUN 900G</v>
      </c>
      <c r="K465" s="35">
        <v>900</v>
      </c>
      <c r="L465" s="205">
        <f>+IFERROR(IF(GUAYAQUIL[[#This Row],[CODIGO]]="","",VLOOKUP(GUAYAQUIL[[#This Row],[CODIGO]],MAESTRO!$A:$BF,58,FALSE)),"")</f>
        <v>1</v>
      </c>
      <c r="M465" s="27">
        <f>+IFERROR(IF(GUAYAQUIL[[#This Row],[CODIGO]]="","",VLOOKUP(GUAYAQUIL[[#This Row],[CODIGO]],MAESTRO!A:N,14,FALSE)),"")</f>
        <v>0.9</v>
      </c>
      <c r="N465" s="290">
        <f>+IFERROR(IF(GUAYAQUIL[[#This Row],[CODIGO]]="","",VLOOKUP(GUAYAQUIL[[#This Row],[CODIGO]],MAESTRO!A:P,16,FALSE)),"")</f>
        <v>45</v>
      </c>
      <c r="O465" s="45">
        <v>45611</v>
      </c>
      <c r="P465" s="292" t="str">
        <f t="shared" si="35"/>
        <v>viernes</v>
      </c>
      <c r="Q465" s="278">
        <f>IFERROR(IF(GUAYAQUIL[[#This Row],[CODIGO]]="","",IF(GUAYAQUIL[[#This Row],[Fecha Cad]]="","",(GUAYAQUIL[[#This Row],[Fecha Cad]]-GUAYAQUIL[[#This Row],[VIDA UTIL (Días)]]))+1),"")</f>
        <v>45603</v>
      </c>
      <c r="R465" s="45">
        <v>45647</v>
      </c>
      <c r="S465" s="30">
        <f t="shared" ca="1" si="36"/>
        <v>23</v>
      </c>
      <c r="T465" s="294">
        <f t="shared" ca="1" si="37"/>
        <v>0.51111111111111107</v>
      </c>
      <c r="U465" s="295">
        <v>900</v>
      </c>
      <c r="V465" s="265">
        <f>+IFERROR(IF(GUAYAQUIL[[#This Row],[CODIGO]]="","",GUAYAQUIL[[#This Row],[Stock Actual Unds]]*GUAYAQUIL[[#This Row],[Gramaje]]*GUAYAQUIL[[#This Row],[Conversión]]),"")</f>
        <v>810</v>
      </c>
      <c r="W465" s="299">
        <f t="shared" si="38"/>
        <v>8</v>
      </c>
      <c r="X465" s="44">
        <f t="shared" si="39"/>
        <v>0.82222222222222219</v>
      </c>
      <c r="Y465" s="236">
        <f>IFERROR(VLOOKUP(GUAYAQUIL[[#This Row],[CODIGO]],MAESTRO!A:BI,21,FALSE),0)</f>
        <v>0.63853000000000004</v>
      </c>
      <c r="Z465" s="237">
        <f>+IFERROR(IF(GUAYAQUIL[[#This Row],[CODIGO]]="","",GUAYAQUIL[[#This Row],[COSTO UNIT base]]*GUAYAQUIL[[#This Row],[Conversión]]),"")</f>
        <v>0.63853000000000004</v>
      </c>
      <c r="AA465" s="236">
        <f>+IFERROR(IF(GUAYAQUIL[[#This Row],[CODIGO]]="","",GUAYAQUIL[[#This Row],[COSTO UNIT Conv]]*GUAYAQUIL[[#This Row],[Stock Actual Kgs]]),"")</f>
        <v>517.20929999999998</v>
      </c>
      <c r="AB465" s="180">
        <f ca="1">+IFERROR(IF(GUAYAQUIL[[#This Row],[CODIGO]]="","",$J$3-O465),"")</f>
        <v>13</v>
      </c>
      <c r="AC465" s="35" t="str">
        <f ca="1">IF(GUAYAQUIL[[#This Row],[CODIGO]]="","",IF(S465&lt;=0,"CADUCADO",IF(AND(S465&gt;0,S465&lt;=21),"FECHA CORTA",IF(AND(S465&gt;=22,S465&lt;=26),"PROXIMOS FECHA CORTA", "VIGENTE"))))</f>
        <v>PROXIMOS FECHA CORTA</v>
      </c>
      <c r="AD465" s="37">
        <f>+IF(GUAYAQUIL[[#This Row],[CODIGO]]="","",GUAYAQUIL[[#This Row],[Stock Actual Unds]]*GUAYAQUIL[[#This Row],[Gramaje]]*GUAYAQUIL[[#This Row],[Conversión]])/1000</f>
        <v>0.81</v>
      </c>
    </row>
    <row r="466" spans="1:30">
      <c r="A466" s="24" t="str">
        <f>+IFERROR(IF(GUAYAQUIL[[#This Row],[CODIGO]]="","",VLOOKUP(GUAYAQUIL[[#This Row],[CODIGO]],MAESTRO!$A:$J,10,FALSE)),"")</f>
        <v>MACHACHI</v>
      </c>
      <c r="B466" s="24" t="str">
        <f>+IFERROR(IF(GUAYAQUIL[[#This Row],[CODIGO]]="","",VLOOKUP(GUAYAQUIL[[#This Row],[CODIGO]],MAESTRO!$A:$Q,17,FALSE)),"")</f>
        <v>BEBIDAS LACTEAS</v>
      </c>
      <c r="C466" s="24" t="str">
        <f>+IFERROR(IF(GUAYAQUIL[[#This Row],[CODIGO]]="","",VLOOKUP(GUAYAQUIL[[#This Row],[CODIGO]],MAESTRO!$A:$BA,53,FALSE)),"")</f>
        <v xml:space="preserve">Luis Armendariz                         </v>
      </c>
      <c r="D466" s="24" t="str">
        <f>+IFERROR(IF(GUAYAQUIL[[#This Row],[CODIGO]]="","",VLOOKUP(GUAYAQUIL[[#This Row],[CODIGO]],MAESTRO!$A:$D,4,FALSE)),"")</f>
        <v>YOGURT KIOSKO</v>
      </c>
      <c r="E466" s="24" t="str">
        <f>+IFERROR(IF(GUAYAQUIL[[#This Row],[CODIGO]]="","",VLOOKUP(GUAYAQUIL[[#This Row],[CODIGO]],MAESTRO!$A:$F,6,FALSE)),"")</f>
        <v>BEBIDA DE YOGURT KIOSKO FUNDA FAMILI</v>
      </c>
      <c r="F466" s="42" t="str">
        <f>IF(GUAYAQUIL[[#This Row],[CODIGO]]="","",$K$6)</f>
        <v>GUAYAQUIL</v>
      </c>
      <c r="G466" s="42">
        <f>IF(GUAYAQUIL[[#This Row],[CODIGO]]="","",7711)</f>
        <v>7711</v>
      </c>
      <c r="H466" s="42">
        <f>IF(GUAYAQUIL[[#This Row],[CODIGO]]="","",1001)</f>
        <v>1001</v>
      </c>
      <c r="I466" s="258" t="s">
        <v>3594</v>
      </c>
      <c r="J466" s="25" t="str">
        <f>IFERROR((VLOOKUP(GUAYAQUIL[[#This Row],[CODIGO]],MAESTRO!A:B,2,FALSE)),"")</f>
        <v>YOG DUO KIOSKO PINA COCO FUN 900G</v>
      </c>
      <c r="K466" s="35">
        <v>900</v>
      </c>
      <c r="L466" s="38">
        <f>+IFERROR(IF(GUAYAQUIL[[#This Row],[CODIGO]]="","",VLOOKUP(GUAYAQUIL[[#This Row],[CODIGO]],MAESTRO!$A:$BF,58,FALSE)),"")</f>
        <v>1</v>
      </c>
      <c r="M466" s="27">
        <f>+IFERROR(IF(GUAYAQUIL[[#This Row],[CODIGO]]="","",VLOOKUP(GUAYAQUIL[[#This Row],[CODIGO]],MAESTRO!A:N,14,FALSE)),"")</f>
        <v>0.9</v>
      </c>
      <c r="N466" s="28">
        <f>+IFERROR(IF(GUAYAQUIL[[#This Row],[CODIGO]]="","",VLOOKUP(GUAYAQUIL[[#This Row],[CODIGO]],MAESTRO!A:P,16,FALSE)),"")</f>
        <v>45</v>
      </c>
      <c r="O466" s="29">
        <v>45610</v>
      </c>
      <c r="P466" s="72" t="str">
        <f t="shared" si="35"/>
        <v>jueves</v>
      </c>
      <c r="Q466" s="29">
        <f>IFERROR(IF(GUAYAQUIL[[#This Row],[CODIGO]]="","",IF(GUAYAQUIL[[#This Row],[Fecha Cad]]="","",(GUAYAQUIL[[#This Row],[Fecha Cad]]-GUAYAQUIL[[#This Row],[VIDA UTIL (Días)]]))+1),"")</f>
        <v>45602</v>
      </c>
      <c r="R466" s="45">
        <v>45646</v>
      </c>
      <c r="S466" s="30">
        <f t="shared" ca="1" si="36"/>
        <v>22</v>
      </c>
      <c r="T466" s="31">
        <f t="shared" ca="1" si="37"/>
        <v>0.48888888888888887</v>
      </c>
      <c r="U466" s="286">
        <v>3</v>
      </c>
      <c r="V466" s="265">
        <f>+IFERROR(IF(GUAYAQUIL[[#This Row],[CODIGO]]="","",GUAYAQUIL[[#This Row],[Stock Actual Unds]]*GUAYAQUIL[[#This Row],[Gramaje]]*GUAYAQUIL[[#This Row],[Conversión]]),"")</f>
        <v>2.7</v>
      </c>
      <c r="W466" s="270">
        <f t="shared" si="38"/>
        <v>8</v>
      </c>
      <c r="X466" s="32">
        <f t="shared" si="39"/>
        <v>0.82222222222222219</v>
      </c>
      <c r="Y466" s="236">
        <f>IFERROR(VLOOKUP(GUAYAQUIL[[#This Row],[CODIGO]],MAESTRO!A:BI,21,FALSE),0)</f>
        <v>0.63853000000000004</v>
      </c>
      <c r="Z466" s="237">
        <f>+IFERROR(IF(GUAYAQUIL[[#This Row],[CODIGO]]="","",GUAYAQUIL[[#This Row],[COSTO UNIT base]]*GUAYAQUIL[[#This Row],[Conversión]]),"")</f>
        <v>0.63853000000000004</v>
      </c>
      <c r="AA466" s="236">
        <f>+IFERROR(IF(GUAYAQUIL[[#This Row],[CODIGO]]="","",GUAYAQUIL[[#This Row],[COSTO UNIT Conv]]*GUAYAQUIL[[#This Row],[Stock Actual Kgs]]),"")</f>
        <v>1.7240310000000003</v>
      </c>
      <c r="AB466" s="33">
        <f ca="1">+IFERROR(IF(GUAYAQUIL[[#This Row],[CODIGO]]="","",$J$3-O466),"")</f>
        <v>14</v>
      </c>
      <c r="AC466" s="34" t="str">
        <f ca="1">IF(GUAYAQUIL[[#This Row],[CODIGO]]="","",IF(S466&lt;=0,"CADUCADO",IF(AND(S466&gt;0,S466&lt;=21),"FECHA CORTA",IF(AND(S466&gt;=22,S466&lt;=26),"PROXIMOS FECHA CORTA", "VIGENTE"))))</f>
        <v>PROXIMOS FECHA CORTA</v>
      </c>
      <c r="AD466" s="37">
        <f>+IF(GUAYAQUIL[[#This Row],[CODIGO]]="","",GUAYAQUIL[[#This Row],[Stock Actual Unds]]*GUAYAQUIL[[#This Row],[Gramaje]]*GUAYAQUIL[[#This Row],[Conversión]])/1000</f>
        <v>2.7000000000000001E-3</v>
      </c>
    </row>
    <row r="467" spans="1:30">
      <c r="A467" s="24" t="str">
        <f>+IFERROR(IF(GUAYAQUIL[[#This Row],[CODIGO]]="","",VLOOKUP(GUAYAQUIL[[#This Row],[CODIGO]],MAESTRO!$A:$J,10,FALSE)),"")</f>
        <v>MACHACHI</v>
      </c>
      <c r="B467" s="24" t="str">
        <f>+IFERROR(IF(GUAYAQUIL[[#This Row],[CODIGO]]="","",VLOOKUP(GUAYAQUIL[[#This Row],[CODIGO]],MAESTRO!$A:$Q,17,FALSE)),"")</f>
        <v>BEBIDAS LACTEAS</v>
      </c>
      <c r="C467" s="24" t="str">
        <f>+IFERROR(IF(GUAYAQUIL[[#This Row],[CODIGO]]="","",VLOOKUP(GUAYAQUIL[[#This Row],[CODIGO]],MAESTRO!$A:$BA,53,FALSE)),"")</f>
        <v xml:space="preserve">Luis Armendariz                         </v>
      </c>
      <c r="D467" s="24" t="str">
        <f>+IFERROR(IF(GUAYAQUIL[[#This Row],[CODIGO]]="","",VLOOKUP(GUAYAQUIL[[#This Row],[CODIGO]],MAESTRO!$A:$D,4,FALSE)),"")</f>
        <v>YOGURT KIOSKO</v>
      </c>
      <c r="E467" s="24" t="str">
        <f>+IFERROR(IF(GUAYAQUIL[[#This Row],[CODIGO]]="","",VLOOKUP(GUAYAQUIL[[#This Row],[CODIGO]],MAESTRO!$A:$F,6,FALSE)),"")</f>
        <v>BEBIDA DE YOGURT KIOSKO FUNDA FAMILI</v>
      </c>
      <c r="F467" s="42" t="str">
        <f>IF(GUAYAQUIL[[#This Row],[CODIGO]]="","",$K$6)</f>
        <v>GUAYAQUIL</v>
      </c>
      <c r="G467" s="209">
        <f>IF(GUAYAQUIL[[#This Row],[CODIGO]]="","",7711)</f>
        <v>7711</v>
      </c>
      <c r="H467" s="209">
        <f>IF(GUAYAQUIL[[#This Row],[CODIGO]]="","",1001)</f>
        <v>1001</v>
      </c>
      <c r="I467" s="258" t="s">
        <v>3594</v>
      </c>
      <c r="J467" s="25" t="str">
        <f>IFERROR((VLOOKUP(GUAYAQUIL[[#This Row],[CODIGO]],MAESTRO!A:B,2,FALSE)),"")</f>
        <v>YOG DUO KIOSKO PINA COCO FUN 900G</v>
      </c>
      <c r="K467" s="35">
        <v>675</v>
      </c>
      <c r="L467" s="38">
        <f>+IFERROR(IF(GUAYAQUIL[[#This Row],[CODIGO]]="","",VLOOKUP(GUAYAQUIL[[#This Row],[CODIGO]],MAESTRO!$A:$BF,58,FALSE)),"")</f>
        <v>1</v>
      </c>
      <c r="M467" s="27">
        <f>+IFERROR(IF(GUAYAQUIL[[#This Row],[CODIGO]]="","",VLOOKUP(GUAYAQUIL[[#This Row],[CODIGO]],MAESTRO!A:N,14,FALSE)),"")</f>
        <v>0.9</v>
      </c>
      <c r="N467" s="28">
        <f>+IFERROR(IF(GUAYAQUIL[[#This Row],[CODIGO]]="","",VLOOKUP(GUAYAQUIL[[#This Row],[CODIGO]],MAESTRO!A:P,16,FALSE)),"")</f>
        <v>45</v>
      </c>
      <c r="O467" s="29">
        <v>45615</v>
      </c>
      <c r="P467" s="72" t="str">
        <f t="shared" si="35"/>
        <v>martes</v>
      </c>
      <c r="Q467" s="29">
        <f>IFERROR(IF(GUAYAQUIL[[#This Row],[CODIGO]]="","",IF(GUAYAQUIL[[#This Row],[Fecha Cad]]="","",(GUAYAQUIL[[#This Row],[Fecha Cad]]-GUAYAQUIL[[#This Row],[VIDA UTIL (Días)]]))+1),"")</f>
        <v>45610</v>
      </c>
      <c r="R467" s="29">
        <v>45654</v>
      </c>
      <c r="S467" s="30">
        <f t="shared" ca="1" si="36"/>
        <v>30</v>
      </c>
      <c r="T467" s="31">
        <f t="shared" ca="1" si="37"/>
        <v>0.66666666666666663</v>
      </c>
      <c r="U467" s="286">
        <v>270</v>
      </c>
      <c r="V467" s="266">
        <f>+IFERROR(IF(GUAYAQUIL[[#This Row],[CODIGO]]="","",GUAYAQUIL[[#This Row],[Stock Actual Unds]]*GUAYAQUIL[[#This Row],[Gramaje]]*GUAYAQUIL[[#This Row],[Conversión]]),"")</f>
        <v>243</v>
      </c>
      <c r="W467" s="270">
        <f t="shared" si="38"/>
        <v>5</v>
      </c>
      <c r="X467" s="32">
        <f t="shared" si="39"/>
        <v>0.88888888888888884</v>
      </c>
      <c r="Y467" s="236">
        <f>IFERROR(VLOOKUP(GUAYAQUIL[[#This Row],[CODIGO]],MAESTRO!A:BI,21,FALSE),0)</f>
        <v>0.63853000000000004</v>
      </c>
      <c r="Z467" s="237">
        <f>+IFERROR(IF(GUAYAQUIL[[#This Row],[CODIGO]]="","",GUAYAQUIL[[#This Row],[COSTO UNIT base]]*GUAYAQUIL[[#This Row],[Conversión]]),"")</f>
        <v>0.63853000000000004</v>
      </c>
      <c r="AA467" s="236">
        <f>+IFERROR(IF(GUAYAQUIL[[#This Row],[CODIGO]]="","",GUAYAQUIL[[#This Row],[COSTO UNIT Conv]]*GUAYAQUIL[[#This Row],[Stock Actual Kgs]]),"")</f>
        <v>155.16279</v>
      </c>
      <c r="AB467" s="33">
        <f ca="1">+IFERROR(IF(GUAYAQUIL[[#This Row],[CODIGO]]="","",$J$3-O467),"")</f>
        <v>9</v>
      </c>
      <c r="AC467" s="34" t="str">
        <f ca="1">IF(GUAYAQUIL[[#This Row],[CODIGO]]="","",IF(S467&lt;=0,"CADUCADO",IF(AND(S467&gt;0,S467&lt;=21),"FECHA CORTA",IF(AND(S467&gt;=22,S467&lt;=26),"PROXIMOS FECHA CORTA", "VIGENTE"))))</f>
        <v>VIGENTE</v>
      </c>
      <c r="AD467" s="37">
        <f>+IF(GUAYAQUIL[[#This Row],[CODIGO]]="","",GUAYAQUIL[[#This Row],[Stock Actual Unds]]*GUAYAQUIL[[#This Row],[Gramaje]]*GUAYAQUIL[[#This Row],[Conversión]])/1000</f>
        <v>0.24299999999999999</v>
      </c>
    </row>
    <row r="468" spans="1:30">
      <c r="A468" s="24" t="str">
        <f>+IFERROR(IF(GUAYAQUIL[[#This Row],[CODIGO]]="","",VLOOKUP(GUAYAQUIL[[#This Row],[CODIGO]],MAESTRO!$A:$J,10,FALSE)),"")</f>
        <v>MACHACHI</v>
      </c>
      <c r="B468" s="24" t="str">
        <f>+IFERROR(IF(GUAYAQUIL[[#This Row],[CODIGO]]="","",VLOOKUP(GUAYAQUIL[[#This Row],[CODIGO]],MAESTRO!$A:$Q,17,FALSE)),"")</f>
        <v>BEBIDAS LACTEAS</v>
      </c>
      <c r="C468" s="24" t="str">
        <f>+IFERROR(IF(GUAYAQUIL[[#This Row],[CODIGO]]="","",VLOOKUP(GUAYAQUIL[[#This Row],[CODIGO]],MAESTRO!$A:$BA,53,FALSE)),"")</f>
        <v xml:space="preserve">Luis Armendariz                         </v>
      </c>
      <c r="D468" s="24" t="str">
        <f>+IFERROR(IF(GUAYAQUIL[[#This Row],[CODIGO]]="","",VLOOKUP(GUAYAQUIL[[#This Row],[CODIGO]],MAESTRO!$A:$D,4,FALSE)),"")</f>
        <v>YOGURT KIOSKO</v>
      </c>
      <c r="E468" s="24" t="str">
        <f>+IFERROR(IF(GUAYAQUIL[[#This Row],[CODIGO]]="","",VLOOKUP(GUAYAQUIL[[#This Row],[CODIGO]],MAESTRO!$A:$F,6,FALSE)),"")</f>
        <v>BEBIDA DE YOGURT KIOSKO FUNDA FAMILI</v>
      </c>
      <c r="F468" s="42" t="str">
        <f>IF(GUAYAQUIL[[#This Row],[CODIGO]]="","",$K$6)</f>
        <v>GUAYAQUIL</v>
      </c>
      <c r="G468" s="42">
        <f>IF(GUAYAQUIL[[#This Row],[CODIGO]]="","",7711)</f>
        <v>7711</v>
      </c>
      <c r="H468" s="42">
        <f>IF(GUAYAQUIL[[#This Row],[CODIGO]]="","",1001)</f>
        <v>1001</v>
      </c>
      <c r="I468" s="258" t="s">
        <v>3594</v>
      </c>
      <c r="J468" s="25" t="str">
        <f>IFERROR((VLOOKUP(GUAYAQUIL[[#This Row],[CODIGO]],MAESTRO!A:B,2,FALSE)),"")</f>
        <v>YOG DUO KIOSKO PINA COCO FUN 900G</v>
      </c>
      <c r="K468" s="35">
        <v>675</v>
      </c>
      <c r="L468" s="38">
        <f>+IFERROR(IF(GUAYAQUIL[[#This Row],[CODIGO]]="","",VLOOKUP(GUAYAQUIL[[#This Row],[CODIGO]],MAESTRO!$A:$BF,58,FALSE)),"")</f>
        <v>1</v>
      </c>
      <c r="M468" s="27">
        <f>+IFERROR(IF(GUAYAQUIL[[#This Row],[CODIGO]]="","",VLOOKUP(GUAYAQUIL[[#This Row],[CODIGO]],MAESTRO!A:N,14,FALSE)),"")</f>
        <v>0.9</v>
      </c>
      <c r="N468" s="28">
        <f>+IFERROR(IF(GUAYAQUIL[[#This Row],[CODIGO]]="","",VLOOKUP(GUAYAQUIL[[#This Row],[CODIGO]],MAESTRO!A:P,16,FALSE)),"")</f>
        <v>45</v>
      </c>
      <c r="O468" s="29">
        <v>45616</v>
      </c>
      <c r="P468" s="72" t="str">
        <f t="shared" si="35"/>
        <v>miércoles</v>
      </c>
      <c r="Q468" s="29">
        <f>IFERROR(IF(GUAYAQUIL[[#This Row],[CODIGO]]="","",IF(GUAYAQUIL[[#This Row],[Fecha Cad]]="","",(GUAYAQUIL[[#This Row],[Fecha Cad]]-GUAYAQUIL[[#This Row],[VIDA UTIL (Días)]]))+1),"")</f>
        <v>45610</v>
      </c>
      <c r="R468" s="29">
        <v>45654</v>
      </c>
      <c r="S468" s="30">
        <f t="shared" ca="1" si="36"/>
        <v>30</v>
      </c>
      <c r="T468" s="31">
        <f t="shared" ca="1" si="37"/>
        <v>0.66666666666666663</v>
      </c>
      <c r="U468" s="286">
        <v>675</v>
      </c>
      <c r="V468" s="266">
        <f>+IFERROR(IF(GUAYAQUIL[[#This Row],[CODIGO]]="","",GUAYAQUIL[[#This Row],[Stock Actual Unds]]*GUAYAQUIL[[#This Row],[Gramaje]]*GUAYAQUIL[[#This Row],[Conversión]]),"")</f>
        <v>607.5</v>
      </c>
      <c r="W468" s="270">
        <f t="shared" si="38"/>
        <v>6</v>
      </c>
      <c r="X468" s="32">
        <f t="shared" si="39"/>
        <v>0.8666666666666667</v>
      </c>
      <c r="Y468" s="236">
        <f>IFERROR(VLOOKUP(GUAYAQUIL[[#This Row],[CODIGO]],MAESTRO!A:BI,21,FALSE),0)</f>
        <v>0.63853000000000004</v>
      </c>
      <c r="Z468" s="237">
        <f>+IFERROR(IF(GUAYAQUIL[[#This Row],[CODIGO]]="","",GUAYAQUIL[[#This Row],[COSTO UNIT base]]*GUAYAQUIL[[#This Row],[Conversión]]),"")</f>
        <v>0.63853000000000004</v>
      </c>
      <c r="AA468" s="236">
        <f>+IFERROR(IF(GUAYAQUIL[[#This Row],[CODIGO]]="","",GUAYAQUIL[[#This Row],[COSTO UNIT Conv]]*GUAYAQUIL[[#This Row],[Stock Actual Kgs]]),"")</f>
        <v>387.90697500000005</v>
      </c>
      <c r="AB468" s="33">
        <f ca="1">+IFERROR(IF(GUAYAQUIL[[#This Row],[CODIGO]]="","",$J$3-O468),"")</f>
        <v>8</v>
      </c>
      <c r="AC468" s="34" t="str">
        <f ca="1">IF(GUAYAQUIL[[#This Row],[CODIGO]]="","",IF(S468&lt;=0,"CADUCADO",IF(AND(S468&gt;0,S468&lt;=21),"FECHA CORTA",IF(AND(S468&gt;=22,S468&lt;=26),"PROXIMOS FECHA CORTA", "VIGENTE"))))</f>
        <v>VIGENTE</v>
      </c>
      <c r="AD468" s="37">
        <f>+IF(GUAYAQUIL[[#This Row],[CODIGO]]="","",GUAYAQUIL[[#This Row],[Stock Actual Unds]]*GUAYAQUIL[[#This Row],[Gramaje]]*GUAYAQUIL[[#This Row],[Conversión]])/1000</f>
        <v>0.60750000000000004</v>
      </c>
    </row>
    <row r="469" spans="1:30">
      <c r="A469" s="42" t="str">
        <f>+IFERROR(IF(GUAYAQUIL[[#This Row],[CODIGO]]="","",VLOOKUP(GUAYAQUIL[[#This Row],[CODIGO]],MAESTRO!$A:$J,10,FALSE)),"")</f>
        <v>MACHACHI</v>
      </c>
      <c r="B469" s="42" t="str">
        <f>+IFERROR(IF(GUAYAQUIL[[#This Row],[CODIGO]]="","",VLOOKUP(GUAYAQUIL[[#This Row],[CODIGO]],MAESTRO!$A:$Q,17,FALSE)),"")</f>
        <v>BEBIDAS LACTEAS</v>
      </c>
      <c r="C469" s="42" t="str">
        <f>+IFERROR(IF(GUAYAQUIL[[#This Row],[CODIGO]]="","",VLOOKUP(GUAYAQUIL[[#This Row],[CODIGO]],MAESTRO!$A:$BA,53,FALSE)),"")</f>
        <v xml:space="preserve">Luis Armendariz                         </v>
      </c>
      <c r="D469" s="42" t="str">
        <f>+IFERROR(IF(GUAYAQUIL[[#This Row],[CODIGO]]="","",VLOOKUP(GUAYAQUIL[[#This Row],[CODIGO]],MAESTRO!$A:$D,4,FALSE)),"")</f>
        <v>YOGURT KIOSKO</v>
      </c>
      <c r="E469" s="42" t="str">
        <f>+IFERROR(IF(GUAYAQUIL[[#This Row],[CODIGO]]="","",VLOOKUP(GUAYAQUIL[[#This Row],[CODIGO]],MAESTRO!$A:$F,6,FALSE)),"")</f>
        <v>BEBIDA DE YOGURT KIOSKO FUNDA FAMILI</v>
      </c>
      <c r="F469" s="42" t="str">
        <f>IF(GUAYAQUIL[[#This Row],[CODIGO]]="","",$K$6)</f>
        <v>GUAYAQUIL</v>
      </c>
      <c r="G469" s="209">
        <f>IF(GUAYAQUIL[[#This Row],[CODIGO]]="","",7711)</f>
        <v>7711</v>
      </c>
      <c r="H469" s="209">
        <f>IF(GUAYAQUIL[[#This Row],[CODIGO]]="","",1001)</f>
        <v>1001</v>
      </c>
      <c r="I469" s="258" t="s">
        <v>3594</v>
      </c>
      <c r="J469" s="25" t="str">
        <f>IFERROR((VLOOKUP(GUAYAQUIL[[#This Row],[CODIGO]],MAESTRO!A:B,2,FALSE)),"")</f>
        <v>YOG DUO KIOSKO PINA COCO FUN 900G</v>
      </c>
      <c r="K469" s="35">
        <v>405</v>
      </c>
      <c r="L469" s="205">
        <f>+IFERROR(IF(GUAYAQUIL[[#This Row],[CODIGO]]="","",VLOOKUP(GUAYAQUIL[[#This Row],[CODIGO]],MAESTRO!$A:$BF,58,FALSE)),"")</f>
        <v>1</v>
      </c>
      <c r="M469" s="27">
        <f>+IFERROR(IF(GUAYAQUIL[[#This Row],[CODIGO]]="","",VLOOKUP(GUAYAQUIL[[#This Row],[CODIGO]],MAESTRO!A:N,14,FALSE)),"")</f>
        <v>0.9</v>
      </c>
      <c r="N469" s="290">
        <f>+IFERROR(IF(GUAYAQUIL[[#This Row],[CODIGO]]="","",VLOOKUP(GUAYAQUIL[[#This Row],[CODIGO]],MAESTRO!A:P,16,FALSE)),"")</f>
        <v>45</v>
      </c>
      <c r="O469" s="45">
        <v>45617</v>
      </c>
      <c r="P469" s="292" t="str">
        <f t="shared" si="35"/>
        <v>jueves</v>
      </c>
      <c r="Q469" s="278">
        <f>IFERROR(IF(GUAYAQUIL[[#This Row],[CODIGO]]="","",IF(GUAYAQUIL[[#This Row],[Fecha Cad]]="","",(GUAYAQUIL[[#This Row],[Fecha Cad]]-GUAYAQUIL[[#This Row],[VIDA UTIL (Días)]]))+1),"")</f>
        <v>45610</v>
      </c>
      <c r="R469" s="45">
        <v>45654</v>
      </c>
      <c r="S469" s="30">
        <f t="shared" ca="1" si="36"/>
        <v>30</v>
      </c>
      <c r="T469" s="294">
        <f t="shared" ca="1" si="37"/>
        <v>0.66666666666666663</v>
      </c>
      <c r="U469" s="295">
        <v>405</v>
      </c>
      <c r="V469" s="265">
        <f>+IFERROR(IF(GUAYAQUIL[[#This Row],[CODIGO]]="","",GUAYAQUIL[[#This Row],[Stock Actual Unds]]*GUAYAQUIL[[#This Row],[Gramaje]]*GUAYAQUIL[[#This Row],[Conversión]]),"")</f>
        <v>364.5</v>
      </c>
      <c r="W469" s="299">
        <f t="shared" si="38"/>
        <v>7</v>
      </c>
      <c r="X469" s="44">
        <f t="shared" si="39"/>
        <v>0.84444444444444444</v>
      </c>
      <c r="Y469" s="236">
        <f>IFERROR(VLOOKUP(GUAYAQUIL[[#This Row],[CODIGO]],MAESTRO!A:BI,21,FALSE),0)</f>
        <v>0.63853000000000004</v>
      </c>
      <c r="Z469" s="237">
        <f>+IFERROR(IF(GUAYAQUIL[[#This Row],[CODIGO]]="","",GUAYAQUIL[[#This Row],[COSTO UNIT base]]*GUAYAQUIL[[#This Row],[Conversión]]),"")</f>
        <v>0.63853000000000004</v>
      </c>
      <c r="AA469" s="236">
        <f>+IFERROR(IF(GUAYAQUIL[[#This Row],[CODIGO]]="","",GUAYAQUIL[[#This Row],[COSTO UNIT Conv]]*GUAYAQUIL[[#This Row],[Stock Actual Kgs]]),"")</f>
        <v>232.74418500000002</v>
      </c>
      <c r="AB469" s="180">
        <f ca="1">+IFERROR(IF(GUAYAQUIL[[#This Row],[CODIGO]]="","",$J$3-O469),"")</f>
        <v>7</v>
      </c>
      <c r="AC469" s="35" t="str">
        <f ca="1">IF(GUAYAQUIL[[#This Row],[CODIGO]]="","",IF(S469&lt;=0,"CADUCADO",IF(AND(S469&gt;0,S469&lt;=21),"FECHA CORTA",IF(AND(S469&gt;=22,S469&lt;=26),"PROXIMOS FECHA CORTA", "VIGENTE"))))</f>
        <v>VIGENTE</v>
      </c>
      <c r="AD469" s="37">
        <f>+IF(GUAYAQUIL[[#This Row],[CODIGO]]="","",GUAYAQUIL[[#This Row],[Stock Actual Unds]]*GUAYAQUIL[[#This Row],[Gramaje]]*GUAYAQUIL[[#This Row],[Conversión]])/1000</f>
        <v>0.36449999999999999</v>
      </c>
    </row>
    <row r="470" spans="1:30">
      <c r="A470" s="24" t="str">
        <f>+IFERROR(IF(GUAYAQUIL[[#This Row],[CODIGO]]="","",VLOOKUP(GUAYAQUIL[[#This Row],[CODIGO]],MAESTRO!$A:$J,10,FALSE)),"")</f>
        <v>MACHACHI</v>
      </c>
      <c r="B470" s="24" t="str">
        <f>+IFERROR(IF(GUAYAQUIL[[#This Row],[CODIGO]]="","",VLOOKUP(GUAYAQUIL[[#This Row],[CODIGO]],MAESTRO!$A:$Q,17,FALSE)),"")</f>
        <v>BEBIDAS LACTEAS</v>
      </c>
      <c r="C470" s="24" t="str">
        <f>+IFERROR(IF(GUAYAQUIL[[#This Row],[CODIGO]]="","",VLOOKUP(GUAYAQUIL[[#This Row],[CODIGO]],MAESTRO!$A:$BA,53,FALSE)),"")</f>
        <v xml:space="preserve">Luis Armendariz                         </v>
      </c>
      <c r="D470" s="24" t="str">
        <f>+IFERROR(IF(GUAYAQUIL[[#This Row],[CODIGO]]="","",VLOOKUP(GUAYAQUIL[[#This Row],[CODIGO]],MAESTRO!$A:$D,4,FALSE)),"")</f>
        <v>REGENERIS</v>
      </c>
      <c r="E470" s="24" t="str">
        <f>+IFERROR(IF(GUAYAQUIL[[#This Row],[CODIGO]]="","",VLOOKUP(GUAYAQUIL[[#This Row],[CODIGO]],MAESTRO!$A:$F,6,FALSE)),"")</f>
        <v>REGENERIS BEBIBLE BOTELLA FAMILIAR</v>
      </c>
      <c r="F470" s="42" t="str">
        <f>IF(GUAYAQUIL[[#This Row],[CODIGO]]="","",$K$6)</f>
        <v>GUAYAQUIL</v>
      </c>
      <c r="G470" s="42">
        <f>IF(GUAYAQUIL[[#This Row],[CODIGO]]="","",7711)</f>
        <v>7711</v>
      </c>
      <c r="H470" s="42">
        <f>IF(GUAYAQUIL[[#This Row],[CODIGO]]="","",1001)</f>
        <v>1001</v>
      </c>
      <c r="I470" s="258" t="s">
        <v>152</v>
      </c>
      <c r="J470" s="25" t="str">
        <f>IFERROR((VLOOKUP(GUAYAQUIL[[#This Row],[CODIGO]],MAESTRO!A:B,2,FALSE)),"")</f>
        <v>RGN BBLE MORA 1750</v>
      </c>
      <c r="K470" s="35">
        <v>24</v>
      </c>
      <c r="L470" s="38">
        <f>+IFERROR(IF(GUAYAQUIL[[#This Row],[CODIGO]]="","",VLOOKUP(GUAYAQUIL[[#This Row],[CODIGO]],MAESTRO!$A:$BF,58,FALSE)),"")</f>
        <v>1</v>
      </c>
      <c r="M470" s="27">
        <f>+IFERROR(IF(GUAYAQUIL[[#This Row],[CODIGO]]="","",VLOOKUP(GUAYAQUIL[[#This Row],[CODIGO]],MAESTRO!A:N,14,FALSE)),"")</f>
        <v>1.75</v>
      </c>
      <c r="N470" s="28">
        <f>+IFERROR(IF(GUAYAQUIL[[#This Row],[CODIGO]]="","",VLOOKUP(GUAYAQUIL[[#This Row],[CODIGO]],MAESTRO!A:P,16,FALSE)),"")</f>
        <v>45</v>
      </c>
      <c r="O470" s="29">
        <v>45591</v>
      </c>
      <c r="P470" s="72" t="str">
        <f t="shared" si="35"/>
        <v>sábado</v>
      </c>
      <c r="Q470" s="29">
        <f>IFERROR(IF(GUAYAQUIL[[#This Row],[CODIGO]]="","",IF(GUAYAQUIL[[#This Row],[Fecha Cad]]="","",(GUAYAQUIL[[#This Row],[Fecha Cad]]-GUAYAQUIL[[#This Row],[VIDA UTIL (Días)]]))+1),"")</f>
        <v>45587</v>
      </c>
      <c r="R470" s="45">
        <v>45631</v>
      </c>
      <c r="S470" s="30">
        <f t="shared" ca="1" si="36"/>
        <v>7</v>
      </c>
      <c r="T470" s="31">
        <f t="shared" ca="1" si="37"/>
        <v>0.15555555555555556</v>
      </c>
      <c r="U470" s="286">
        <v>16</v>
      </c>
      <c r="V470" s="265">
        <f>+IFERROR(IF(GUAYAQUIL[[#This Row],[CODIGO]]="","",GUAYAQUIL[[#This Row],[Stock Actual Unds]]*GUAYAQUIL[[#This Row],[Gramaje]]*GUAYAQUIL[[#This Row],[Conversión]]),"")</f>
        <v>28</v>
      </c>
      <c r="W470" s="270">
        <f t="shared" si="38"/>
        <v>4</v>
      </c>
      <c r="X470" s="32">
        <f t="shared" si="39"/>
        <v>0.91111111111111109</v>
      </c>
      <c r="Y470" s="236">
        <f>IFERROR(VLOOKUP(GUAYAQUIL[[#This Row],[CODIGO]],MAESTRO!A:BI,21,FALSE),0)</f>
        <v>2.20458</v>
      </c>
      <c r="Z470" s="237">
        <f>+IFERROR(IF(GUAYAQUIL[[#This Row],[CODIGO]]="","",GUAYAQUIL[[#This Row],[COSTO UNIT base]]*GUAYAQUIL[[#This Row],[Conversión]]),"")</f>
        <v>2.20458</v>
      </c>
      <c r="AA470" s="236">
        <f>+IFERROR(IF(GUAYAQUIL[[#This Row],[CODIGO]]="","",GUAYAQUIL[[#This Row],[COSTO UNIT Conv]]*GUAYAQUIL[[#This Row],[Stock Actual Kgs]]),"")</f>
        <v>61.72824</v>
      </c>
      <c r="AB470" s="33">
        <f ca="1">+IFERROR(IF(GUAYAQUIL[[#This Row],[CODIGO]]="","",$J$3-O470),"")</f>
        <v>33</v>
      </c>
      <c r="AC470" s="34" t="str">
        <f ca="1">IF(GUAYAQUIL[[#This Row],[CODIGO]]="","",IF(S470&lt;=0,"CADUCADO",IF(AND(S470&gt;0,S470&lt;=21),"FECHA CORTA",IF(AND(S470&gt;=22,S470&lt;=26),"PROXIMOS FECHA CORTA", "VIGENTE"))))</f>
        <v>FECHA CORTA</v>
      </c>
      <c r="AD470" s="37">
        <f>+IF(GUAYAQUIL[[#This Row],[CODIGO]]="","",GUAYAQUIL[[#This Row],[Stock Actual Unds]]*GUAYAQUIL[[#This Row],[Gramaje]]*GUAYAQUIL[[#This Row],[Conversión]])/1000</f>
        <v>2.8000000000000001E-2</v>
      </c>
    </row>
    <row r="471" spans="1:30">
      <c r="A471" s="24" t="str">
        <f>+IFERROR(IF(GUAYAQUIL[[#This Row],[CODIGO]]="","",VLOOKUP(GUAYAQUIL[[#This Row],[CODIGO]],MAESTRO!$A:$J,10,FALSE)),"")</f>
        <v>MACHACHI</v>
      </c>
      <c r="B471" s="24" t="str">
        <f>+IFERROR(IF(GUAYAQUIL[[#This Row],[CODIGO]]="","",VLOOKUP(GUAYAQUIL[[#This Row],[CODIGO]],MAESTRO!$A:$Q,17,FALSE)),"")</f>
        <v>BEBIDAS LACTEAS</v>
      </c>
      <c r="C471" s="24" t="str">
        <f>+IFERROR(IF(GUAYAQUIL[[#This Row],[CODIGO]]="","",VLOOKUP(GUAYAQUIL[[#This Row],[CODIGO]],MAESTRO!$A:$BA,53,FALSE)),"")</f>
        <v xml:space="preserve">Luis Armendariz                         </v>
      </c>
      <c r="D471" s="24" t="str">
        <f>+IFERROR(IF(GUAYAQUIL[[#This Row],[CODIGO]]="","",VLOOKUP(GUAYAQUIL[[#This Row],[CODIGO]],MAESTRO!$A:$D,4,FALSE)),"")</f>
        <v>REGENERIS</v>
      </c>
      <c r="E471" s="24" t="str">
        <f>+IFERROR(IF(GUAYAQUIL[[#This Row],[CODIGO]]="","",VLOOKUP(GUAYAQUIL[[#This Row],[CODIGO]],MAESTRO!$A:$F,6,FALSE)),"")</f>
        <v>REGENERIS BEBIBLE BOTELLA FAMILIAR</v>
      </c>
      <c r="F471" s="42" t="str">
        <f>IF(GUAYAQUIL[[#This Row],[CODIGO]]="","",$K$6)</f>
        <v>GUAYAQUIL</v>
      </c>
      <c r="G471" s="209">
        <f>IF(GUAYAQUIL[[#This Row],[CODIGO]]="","",7711)</f>
        <v>7711</v>
      </c>
      <c r="H471" s="209">
        <f>IF(GUAYAQUIL[[#This Row],[CODIGO]]="","",1001)</f>
        <v>1001</v>
      </c>
      <c r="I471" s="258" t="s">
        <v>152</v>
      </c>
      <c r="J471" s="25" t="str">
        <f>IFERROR((VLOOKUP(GUAYAQUIL[[#This Row],[CODIGO]],MAESTRO!A:B,2,FALSE)),"")</f>
        <v>RGN BBLE MORA 1750</v>
      </c>
      <c r="K471" s="35">
        <v>12</v>
      </c>
      <c r="L471" s="38">
        <f>+IFERROR(IF(GUAYAQUIL[[#This Row],[CODIGO]]="","",VLOOKUP(GUAYAQUIL[[#This Row],[CODIGO]],MAESTRO!$A:$BF,58,FALSE)),"")</f>
        <v>1</v>
      </c>
      <c r="M471" s="27">
        <f>+IFERROR(IF(GUAYAQUIL[[#This Row],[CODIGO]]="","",VLOOKUP(GUAYAQUIL[[#This Row],[CODIGO]],MAESTRO!A:N,14,FALSE)),"")</f>
        <v>1.75</v>
      </c>
      <c r="N471" s="28">
        <f>+IFERROR(IF(GUAYAQUIL[[#This Row],[CODIGO]]="","",VLOOKUP(GUAYAQUIL[[#This Row],[CODIGO]],MAESTRO!A:P,16,FALSE)),"")</f>
        <v>45</v>
      </c>
      <c r="O471" s="29">
        <v>45615</v>
      </c>
      <c r="P471" s="72" t="str">
        <f t="shared" si="35"/>
        <v>martes</v>
      </c>
      <c r="Q471" s="29">
        <f>IFERROR(IF(GUAYAQUIL[[#This Row],[CODIGO]]="","",IF(GUAYAQUIL[[#This Row],[Fecha Cad]]="","",(GUAYAQUIL[[#This Row],[Fecha Cad]]-GUAYAQUIL[[#This Row],[VIDA UTIL (Días)]]))+1),"")</f>
        <v>45608</v>
      </c>
      <c r="R471" s="45">
        <v>45652</v>
      </c>
      <c r="S471" s="30">
        <f t="shared" ca="1" si="36"/>
        <v>28</v>
      </c>
      <c r="T471" s="31">
        <f t="shared" ca="1" si="37"/>
        <v>0.62222222222222223</v>
      </c>
      <c r="U471" s="286">
        <v>8</v>
      </c>
      <c r="V471" s="265">
        <f>+IFERROR(IF(GUAYAQUIL[[#This Row],[CODIGO]]="","",GUAYAQUIL[[#This Row],[Stock Actual Unds]]*GUAYAQUIL[[#This Row],[Gramaje]]*GUAYAQUIL[[#This Row],[Conversión]]),"")</f>
        <v>14</v>
      </c>
      <c r="W471" s="270">
        <f t="shared" si="38"/>
        <v>7</v>
      </c>
      <c r="X471" s="32">
        <f t="shared" si="39"/>
        <v>0.84444444444444444</v>
      </c>
      <c r="Y471" s="236">
        <f>IFERROR(VLOOKUP(GUAYAQUIL[[#This Row],[CODIGO]],MAESTRO!A:BI,21,FALSE),0)</f>
        <v>2.20458</v>
      </c>
      <c r="Z471" s="237">
        <f>+IFERROR(IF(GUAYAQUIL[[#This Row],[CODIGO]]="","",GUAYAQUIL[[#This Row],[COSTO UNIT base]]*GUAYAQUIL[[#This Row],[Conversión]]),"")</f>
        <v>2.20458</v>
      </c>
      <c r="AA471" s="236">
        <f>+IFERROR(IF(GUAYAQUIL[[#This Row],[CODIGO]]="","",GUAYAQUIL[[#This Row],[COSTO UNIT Conv]]*GUAYAQUIL[[#This Row],[Stock Actual Kgs]]),"")</f>
        <v>30.86412</v>
      </c>
      <c r="AB471" s="33">
        <f ca="1">+IFERROR(IF(GUAYAQUIL[[#This Row],[CODIGO]]="","",$J$3-O471),"")</f>
        <v>9</v>
      </c>
      <c r="AC471" s="34" t="str">
        <f ca="1">IF(GUAYAQUIL[[#This Row],[CODIGO]]="","",IF(S471&lt;=0,"CADUCADO",IF(AND(S471&gt;0,S471&lt;=21),"FECHA CORTA",IF(AND(S471&gt;=22,S471&lt;=26),"PROXIMOS FECHA CORTA", "VIGENTE"))))</f>
        <v>VIGENTE</v>
      </c>
      <c r="AD471" s="37">
        <f>+IF(GUAYAQUIL[[#This Row],[CODIGO]]="","",GUAYAQUIL[[#This Row],[Stock Actual Unds]]*GUAYAQUIL[[#This Row],[Gramaje]]*GUAYAQUIL[[#This Row],[Conversión]])/1000</f>
        <v>1.4E-2</v>
      </c>
    </row>
    <row r="472" spans="1:30">
      <c r="A472" s="24" t="str">
        <f>+IFERROR(IF(GUAYAQUIL[[#This Row],[CODIGO]]="","",VLOOKUP(GUAYAQUIL[[#This Row],[CODIGO]],MAESTRO!$A:$J,10,FALSE)),"")</f>
        <v>MACHACHI</v>
      </c>
      <c r="B472" s="24" t="str">
        <f>+IFERROR(IF(GUAYAQUIL[[#This Row],[CODIGO]]="","",VLOOKUP(GUAYAQUIL[[#This Row],[CODIGO]],MAESTRO!$A:$Q,17,FALSE)),"")</f>
        <v>BEBIDAS LACTEAS</v>
      </c>
      <c r="C472" s="24" t="str">
        <f>+IFERROR(IF(GUAYAQUIL[[#This Row],[CODIGO]]="","",VLOOKUP(GUAYAQUIL[[#This Row],[CODIGO]],MAESTRO!$A:$BA,53,FALSE)),"")</f>
        <v xml:space="preserve">Luis Armendariz                         </v>
      </c>
      <c r="D472" s="24" t="str">
        <f>+IFERROR(IF(GUAYAQUIL[[#This Row],[CODIGO]]="","",VLOOKUP(GUAYAQUIL[[#This Row],[CODIGO]],MAESTRO!$A:$D,4,FALSE)),"")</f>
        <v>REGENERIS</v>
      </c>
      <c r="E472" s="24" t="str">
        <f>+IFERROR(IF(GUAYAQUIL[[#This Row],[CODIGO]]="","",VLOOKUP(GUAYAQUIL[[#This Row],[CODIGO]],MAESTRO!$A:$F,6,FALSE)),"")</f>
        <v>REGENERIS BEBIBLE BOTELLA FAMILIAR</v>
      </c>
      <c r="F472" s="42" t="str">
        <f>IF(GUAYAQUIL[[#This Row],[CODIGO]]="","",$K$6)</f>
        <v>GUAYAQUIL</v>
      </c>
      <c r="G472" s="42">
        <f>IF(GUAYAQUIL[[#This Row],[CODIGO]]="","",7711)</f>
        <v>7711</v>
      </c>
      <c r="H472" s="42">
        <f>IF(GUAYAQUIL[[#This Row],[CODIGO]]="","",1001)</f>
        <v>1001</v>
      </c>
      <c r="I472" s="258" t="s">
        <v>152</v>
      </c>
      <c r="J472" s="25" t="str">
        <f>IFERROR((VLOOKUP(GUAYAQUIL[[#This Row],[CODIGO]],MAESTRO!A:B,2,FALSE)),"")</f>
        <v>RGN BBLE MORA 1750</v>
      </c>
      <c r="K472" s="35">
        <v>36</v>
      </c>
      <c r="L472" s="38">
        <f>+IFERROR(IF(GUAYAQUIL[[#This Row],[CODIGO]]="","",VLOOKUP(GUAYAQUIL[[#This Row],[CODIGO]],MAESTRO!$A:$BF,58,FALSE)),"")</f>
        <v>1</v>
      </c>
      <c r="M472" s="27">
        <f>+IFERROR(IF(GUAYAQUIL[[#This Row],[CODIGO]]="","",VLOOKUP(GUAYAQUIL[[#This Row],[CODIGO]],MAESTRO!A:N,14,FALSE)),"")</f>
        <v>1.75</v>
      </c>
      <c r="N472" s="28">
        <f>+IFERROR(IF(GUAYAQUIL[[#This Row],[CODIGO]]="","",VLOOKUP(GUAYAQUIL[[#This Row],[CODIGO]],MAESTRO!A:P,16,FALSE)),"")</f>
        <v>45</v>
      </c>
      <c r="O472" s="45">
        <v>45616</v>
      </c>
      <c r="P472" s="72" t="str">
        <f t="shared" si="35"/>
        <v>miércoles</v>
      </c>
      <c r="Q472" s="29">
        <f>IFERROR(IF(GUAYAQUIL[[#This Row],[CODIGO]]="","",IF(GUAYAQUIL[[#This Row],[Fecha Cad]]="","",(GUAYAQUIL[[#This Row],[Fecha Cad]]-GUAYAQUIL[[#This Row],[VIDA UTIL (Días)]]))+1),"")</f>
        <v>45611</v>
      </c>
      <c r="R472" s="45">
        <v>45655</v>
      </c>
      <c r="S472" s="30">
        <f t="shared" ca="1" si="36"/>
        <v>31</v>
      </c>
      <c r="T472" s="31">
        <f t="shared" ca="1" si="37"/>
        <v>0.68888888888888888</v>
      </c>
      <c r="U472" s="286">
        <v>36</v>
      </c>
      <c r="V472" s="265">
        <f>+IFERROR(IF(GUAYAQUIL[[#This Row],[CODIGO]]="","",GUAYAQUIL[[#This Row],[Stock Actual Unds]]*GUAYAQUIL[[#This Row],[Gramaje]]*GUAYAQUIL[[#This Row],[Conversión]]),"")</f>
        <v>63</v>
      </c>
      <c r="W472" s="270">
        <f t="shared" si="38"/>
        <v>5</v>
      </c>
      <c r="X472" s="32">
        <f t="shared" si="39"/>
        <v>0.88888888888888884</v>
      </c>
      <c r="Y472" s="236">
        <f>IFERROR(VLOOKUP(GUAYAQUIL[[#This Row],[CODIGO]],MAESTRO!A:BI,21,FALSE),0)</f>
        <v>2.20458</v>
      </c>
      <c r="Z472" s="237">
        <f>+IFERROR(IF(GUAYAQUIL[[#This Row],[CODIGO]]="","",GUAYAQUIL[[#This Row],[COSTO UNIT base]]*GUAYAQUIL[[#This Row],[Conversión]]),"")</f>
        <v>2.20458</v>
      </c>
      <c r="AA472" s="236">
        <f>+IFERROR(IF(GUAYAQUIL[[#This Row],[CODIGO]]="","",GUAYAQUIL[[#This Row],[COSTO UNIT Conv]]*GUAYAQUIL[[#This Row],[Stock Actual Kgs]]),"")</f>
        <v>138.88854000000001</v>
      </c>
      <c r="AB472" s="33">
        <f ca="1">+IFERROR(IF(GUAYAQUIL[[#This Row],[CODIGO]]="","",$J$3-O472),"")</f>
        <v>8</v>
      </c>
      <c r="AC472" s="34" t="str">
        <f ca="1">IF(GUAYAQUIL[[#This Row],[CODIGO]]="","",IF(S472&lt;=0,"CADUCADO",IF(AND(S472&gt;0,S472&lt;=21),"FECHA CORTA",IF(AND(S472&gt;=22,S472&lt;=26),"PROXIMOS FECHA CORTA", "VIGENTE"))))</f>
        <v>VIGENTE</v>
      </c>
      <c r="AD472" s="37">
        <f>+IF(GUAYAQUIL[[#This Row],[CODIGO]]="","",GUAYAQUIL[[#This Row],[Stock Actual Unds]]*GUAYAQUIL[[#This Row],[Gramaje]]*GUAYAQUIL[[#This Row],[Conversión]])/1000</f>
        <v>6.3E-2</v>
      </c>
    </row>
    <row r="473" spans="1:30">
      <c r="A473" s="24" t="str">
        <f>+IFERROR(IF(GUAYAQUIL[[#This Row],[CODIGO]]="","",VLOOKUP(GUAYAQUIL[[#This Row],[CODIGO]],MAESTRO!$A:$J,10,FALSE)),"")</f>
        <v>MACHACHI</v>
      </c>
      <c r="B473" s="24" t="str">
        <f>+IFERROR(IF(GUAYAQUIL[[#This Row],[CODIGO]]="","",VLOOKUP(GUAYAQUIL[[#This Row],[CODIGO]],MAESTRO!$A:$Q,17,FALSE)),"")</f>
        <v>BEBIDAS LACTEAS</v>
      </c>
      <c r="C473" s="24" t="str">
        <f>+IFERROR(IF(GUAYAQUIL[[#This Row],[CODIGO]]="","",VLOOKUP(GUAYAQUIL[[#This Row],[CODIGO]],MAESTRO!$A:$BA,53,FALSE)),"")</f>
        <v xml:space="preserve">Luis Armendariz                         </v>
      </c>
      <c r="D473" s="24" t="str">
        <f>+IFERROR(IF(GUAYAQUIL[[#This Row],[CODIGO]]="","",VLOOKUP(GUAYAQUIL[[#This Row],[CODIGO]],MAESTRO!$A:$D,4,FALSE)),"")</f>
        <v>REGENERIS</v>
      </c>
      <c r="E473" s="24" t="str">
        <f>+IFERROR(IF(GUAYAQUIL[[#This Row],[CODIGO]]="","",VLOOKUP(GUAYAQUIL[[#This Row],[CODIGO]],MAESTRO!$A:$F,6,FALSE)),"")</f>
        <v>REGENERIS BEBIBLE BOTELLA FAMILIAR</v>
      </c>
      <c r="F473" s="42" t="str">
        <f>IF(GUAYAQUIL[[#This Row],[CODIGO]]="","",$K$6)</f>
        <v>GUAYAQUIL</v>
      </c>
      <c r="G473" s="209">
        <f>IF(GUAYAQUIL[[#This Row],[CODIGO]]="","",7711)</f>
        <v>7711</v>
      </c>
      <c r="H473" s="209">
        <f>IF(GUAYAQUIL[[#This Row],[CODIGO]]="","",1001)</f>
        <v>1001</v>
      </c>
      <c r="I473" s="258" t="s">
        <v>2433</v>
      </c>
      <c r="J473" s="25" t="str">
        <f>IFERROR((VLOOKUP(GUAYAQUIL[[#This Row],[CODIGO]],MAESTRO!A:B,2,FALSE)),"")</f>
        <v>RGN BBLE MORA 1000</v>
      </c>
      <c r="K473" s="35">
        <v>54</v>
      </c>
      <c r="L473" s="38">
        <f>+IFERROR(IF(GUAYAQUIL[[#This Row],[CODIGO]]="","",VLOOKUP(GUAYAQUIL[[#This Row],[CODIGO]],MAESTRO!$A:$BF,58,FALSE)),"")</f>
        <v>1</v>
      </c>
      <c r="M473" s="27">
        <f>+IFERROR(IF(GUAYAQUIL[[#This Row],[CODIGO]]="","",VLOOKUP(GUAYAQUIL[[#This Row],[CODIGO]],MAESTRO!A:N,14,FALSE)),"")</f>
        <v>1</v>
      </c>
      <c r="N473" s="28">
        <f>+IFERROR(IF(GUAYAQUIL[[#This Row],[CODIGO]]="","",VLOOKUP(GUAYAQUIL[[#This Row],[CODIGO]],MAESTRO!A:P,16,FALSE)),"")</f>
        <v>45</v>
      </c>
      <c r="O473" s="45">
        <v>45612</v>
      </c>
      <c r="P473" s="72" t="str">
        <f t="shared" si="35"/>
        <v>sábado</v>
      </c>
      <c r="Q473" s="29">
        <f>IFERROR(IF(GUAYAQUIL[[#This Row],[CODIGO]]="","",IF(GUAYAQUIL[[#This Row],[Fecha Cad]]="","",(GUAYAQUIL[[#This Row],[Fecha Cad]]-GUAYAQUIL[[#This Row],[VIDA UTIL (Días)]]))+1),"")</f>
        <v>45611</v>
      </c>
      <c r="R473" s="45">
        <v>45655</v>
      </c>
      <c r="S473" s="30">
        <f t="shared" ca="1" si="36"/>
        <v>31</v>
      </c>
      <c r="T473" s="31">
        <f t="shared" ca="1" si="37"/>
        <v>0.68888888888888888</v>
      </c>
      <c r="U473" s="286">
        <v>40</v>
      </c>
      <c r="V473" s="265">
        <f>+IFERROR(IF(GUAYAQUIL[[#This Row],[CODIGO]]="","",GUAYAQUIL[[#This Row],[Stock Actual Unds]]*GUAYAQUIL[[#This Row],[Gramaje]]*GUAYAQUIL[[#This Row],[Conversión]]),"")</f>
        <v>40</v>
      </c>
      <c r="W473" s="270">
        <f t="shared" si="38"/>
        <v>1</v>
      </c>
      <c r="X473" s="32">
        <f t="shared" si="39"/>
        <v>0.97777777777777775</v>
      </c>
      <c r="Y473" s="236">
        <f>IFERROR(VLOOKUP(GUAYAQUIL[[#This Row],[CODIGO]],MAESTRO!A:BI,21,FALSE),0)</f>
        <v>1.3255649999999999</v>
      </c>
      <c r="Z473" s="237">
        <f>+IFERROR(IF(GUAYAQUIL[[#This Row],[CODIGO]]="","",GUAYAQUIL[[#This Row],[COSTO UNIT base]]*GUAYAQUIL[[#This Row],[Conversión]]),"")</f>
        <v>1.3255649999999999</v>
      </c>
      <c r="AA473" s="236">
        <f>+IFERROR(IF(GUAYAQUIL[[#This Row],[CODIGO]]="","",GUAYAQUIL[[#This Row],[COSTO UNIT Conv]]*GUAYAQUIL[[#This Row],[Stock Actual Kgs]]),"")</f>
        <v>53.022599999999997</v>
      </c>
      <c r="AB473" s="33">
        <f ca="1">+IFERROR(IF(GUAYAQUIL[[#This Row],[CODIGO]]="","",$J$3-O473),"")</f>
        <v>12</v>
      </c>
      <c r="AC473" s="34" t="str">
        <f ca="1">IF(GUAYAQUIL[[#This Row],[CODIGO]]="","",IF(S473&lt;=0,"CADUCADO",IF(AND(S473&gt;0,S473&lt;=21),"FECHA CORTA",IF(AND(S473&gt;=22,S473&lt;=26),"PROXIMOS FECHA CORTA", "VIGENTE"))))</f>
        <v>VIGENTE</v>
      </c>
      <c r="AD473" s="37">
        <f>+IF(GUAYAQUIL[[#This Row],[CODIGO]]="","",GUAYAQUIL[[#This Row],[Stock Actual Unds]]*GUAYAQUIL[[#This Row],[Gramaje]]*GUAYAQUIL[[#This Row],[Conversión]])/1000</f>
        <v>0.04</v>
      </c>
    </row>
    <row r="474" spans="1:30">
      <c r="A474" s="24" t="str">
        <f>+IFERROR(IF(GUAYAQUIL[[#This Row],[CODIGO]]="","",VLOOKUP(GUAYAQUIL[[#This Row],[CODIGO]],MAESTRO!$A:$J,10,FALSE)),"")</f>
        <v>MACHACHI</v>
      </c>
      <c r="B474" s="24" t="str">
        <f>+IFERROR(IF(GUAYAQUIL[[#This Row],[CODIGO]]="","",VLOOKUP(GUAYAQUIL[[#This Row],[CODIGO]],MAESTRO!$A:$Q,17,FALSE)),"")</f>
        <v>BEBIDAS LACTEAS</v>
      </c>
      <c r="C474" s="24" t="str">
        <f>+IFERROR(IF(GUAYAQUIL[[#This Row],[CODIGO]]="","",VLOOKUP(GUAYAQUIL[[#This Row],[CODIGO]],MAESTRO!$A:$BA,53,FALSE)),"")</f>
        <v xml:space="preserve">Luis Armendariz                         </v>
      </c>
      <c r="D474" s="24" t="str">
        <f>+IFERROR(IF(GUAYAQUIL[[#This Row],[CODIGO]]="","",VLOOKUP(GUAYAQUIL[[#This Row],[CODIGO]],MAESTRO!$A:$D,4,FALSE)),"")</f>
        <v>REGENERIS</v>
      </c>
      <c r="E474" s="24" t="str">
        <f>+IFERROR(IF(GUAYAQUIL[[#This Row],[CODIGO]]="","",VLOOKUP(GUAYAQUIL[[#This Row],[CODIGO]],MAESTRO!$A:$F,6,FALSE)),"")</f>
        <v>REGENERIS BEBIBLE BOTELLA FAMILIAR</v>
      </c>
      <c r="F474" s="42" t="str">
        <f>IF(GUAYAQUIL[[#This Row],[CODIGO]]="","",$K$6)</f>
        <v>GUAYAQUIL</v>
      </c>
      <c r="G474" s="42">
        <f>IF(GUAYAQUIL[[#This Row],[CODIGO]]="","",7711)</f>
        <v>7711</v>
      </c>
      <c r="H474" s="42">
        <f>IF(GUAYAQUIL[[#This Row],[CODIGO]]="","",1001)</f>
        <v>1001</v>
      </c>
      <c r="I474" s="258" t="s">
        <v>2433</v>
      </c>
      <c r="J474" s="25" t="str">
        <f>IFERROR((VLOOKUP(GUAYAQUIL[[#This Row],[CODIGO]],MAESTRO!A:B,2,FALSE)),"")</f>
        <v>RGN BBLE MORA 1000</v>
      </c>
      <c r="K474" s="35">
        <v>18</v>
      </c>
      <c r="L474" s="38">
        <f>+IFERROR(IF(GUAYAQUIL[[#This Row],[CODIGO]]="","",VLOOKUP(GUAYAQUIL[[#This Row],[CODIGO]],MAESTRO!$A:$BF,58,FALSE)),"")</f>
        <v>1</v>
      </c>
      <c r="M474" s="27">
        <f>+IFERROR(IF(GUAYAQUIL[[#This Row],[CODIGO]]="","",VLOOKUP(GUAYAQUIL[[#This Row],[CODIGO]],MAESTRO!A:N,14,FALSE)),"")</f>
        <v>1</v>
      </c>
      <c r="N474" s="28">
        <f>+IFERROR(IF(GUAYAQUIL[[#This Row],[CODIGO]]="","",VLOOKUP(GUAYAQUIL[[#This Row],[CODIGO]],MAESTRO!A:P,16,FALSE)),"")</f>
        <v>45</v>
      </c>
      <c r="O474" s="45">
        <v>45616</v>
      </c>
      <c r="P474" s="72" t="str">
        <f t="shared" si="35"/>
        <v>miércoles</v>
      </c>
      <c r="Q474" s="29">
        <f>IFERROR(IF(GUAYAQUIL[[#This Row],[CODIGO]]="","",IF(GUAYAQUIL[[#This Row],[Fecha Cad]]="","",(GUAYAQUIL[[#This Row],[Fecha Cad]]-GUAYAQUIL[[#This Row],[VIDA UTIL (Días)]]))+1),"")</f>
        <v>45611</v>
      </c>
      <c r="R474" s="45">
        <v>45655</v>
      </c>
      <c r="S474" s="30">
        <f t="shared" ca="1" si="36"/>
        <v>31</v>
      </c>
      <c r="T474" s="31">
        <f t="shared" ca="1" si="37"/>
        <v>0.68888888888888888</v>
      </c>
      <c r="U474" s="286">
        <v>18</v>
      </c>
      <c r="V474" s="265">
        <f>+IFERROR(IF(GUAYAQUIL[[#This Row],[CODIGO]]="","",GUAYAQUIL[[#This Row],[Stock Actual Unds]]*GUAYAQUIL[[#This Row],[Gramaje]]*GUAYAQUIL[[#This Row],[Conversión]]),"")</f>
        <v>18</v>
      </c>
      <c r="W474" s="270">
        <f t="shared" si="38"/>
        <v>5</v>
      </c>
      <c r="X474" s="32">
        <f t="shared" si="39"/>
        <v>0.88888888888888884</v>
      </c>
      <c r="Y474" s="236">
        <f>IFERROR(VLOOKUP(GUAYAQUIL[[#This Row],[CODIGO]],MAESTRO!A:BI,21,FALSE),0)</f>
        <v>1.3255649999999999</v>
      </c>
      <c r="Z474" s="237">
        <f>+IFERROR(IF(GUAYAQUIL[[#This Row],[CODIGO]]="","",GUAYAQUIL[[#This Row],[COSTO UNIT base]]*GUAYAQUIL[[#This Row],[Conversión]]),"")</f>
        <v>1.3255649999999999</v>
      </c>
      <c r="AA474" s="236">
        <f>+IFERROR(IF(GUAYAQUIL[[#This Row],[CODIGO]]="","",GUAYAQUIL[[#This Row],[COSTO UNIT Conv]]*GUAYAQUIL[[#This Row],[Stock Actual Kgs]]),"")</f>
        <v>23.860169999999997</v>
      </c>
      <c r="AB474" s="33">
        <f ca="1">+IFERROR(IF(GUAYAQUIL[[#This Row],[CODIGO]]="","",$J$3-O474),"")</f>
        <v>8</v>
      </c>
      <c r="AC474" s="34" t="str">
        <f ca="1">IF(GUAYAQUIL[[#This Row],[CODIGO]]="","",IF(S474&lt;=0,"CADUCADO",IF(AND(S474&gt;0,S474&lt;=21),"FECHA CORTA",IF(AND(S474&gt;=22,S474&lt;=26),"PROXIMOS FECHA CORTA", "VIGENTE"))))</f>
        <v>VIGENTE</v>
      </c>
      <c r="AD474" s="37">
        <f>+IF(GUAYAQUIL[[#This Row],[CODIGO]]="","",GUAYAQUIL[[#This Row],[Stock Actual Unds]]*GUAYAQUIL[[#This Row],[Gramaje]]*GUAYAQUIL[[#This Row],[Conversión]])/1000</f>
        <v>1.7999999999999999E-2</v>
      </c>
    </row>
    <row r="475" spans="1:30">
      <c r="A475" s="24" t="str">
        <f>+IFERROR(IF(GUAYAQUIL[[#This Row],[CODIGO]]="","",VLOOKUP(GUAYAQUIL[[#This Row],[CODIGO]],MAESTRO!$A:$J,10,FALSE)),"")</f>
        <v>MACHACHI</v>
      </c>
      <c r="B475" s="24" t="str">
        <f>+IFERROR(IF(GUAYAQUIL[[#This Row],[CODIGO]]="","",VLOOKUP(GUAYAQUIL[[#This Row],[CODIGO]],MAESTRO!$A:$Q,17,FALSE)),"")</f>
        <v>BEBIDAS LACTEAS</v>
      </c>
      <c r="C475" s="24" t="str">
        <f>+IFERROR(IF(GUAYAQUIL[[#This Row],[CODIGO]]="","",VLOOKUP(GUAYAQUIL[[#This Row],[CODIGO]],MAESTRO!$A:$BA,53,FALSE)),"")</f>
        <v xml:space="preserve">Luis Armendariz                         </v>
      </c>
      <c r="D475" s="24" t="str">
        <f>+IFERROR(IF(GUAYAQUIL[[#This Row],[CODIGO]]="","",VLOOKUP(GUAYAQUIL[[#This Row],[CODIGO]],MAESTRO!$A:$D,4,FALSE)),"")</f>
        <v>REGENERIS</v>
      </c>
      <c r="E475" s="24" t="str">
        <f>+IFERROR(IF(GUAYAQUIL[[#This Row],[CODIGO]]="","",VLOOKUP(GUAYAQUIL[[#This Row],[CODIGO]],MAESTRO!$A:$F,6,FALSE)),"")</f>
        <v>REGENERIS BEBIBLE BOTELLA PERSONAL</v>
      </c>
      <c r="F475" s="42" t="str">
        <f>IF(GUAYAQUIL[[#This Row],[CODIGO]]="","",$K$6)</f>
        <v>GUAYAQUIL</v>
      </c>
      <c r="G475" s="209">
        <f>IF(GUAYAQUIL[[#This Row],[CODIGO]]="","",7711)</f>
        <v>7711</v>
      </c>
      <c r="H475" s="209">
        <f>IF(GUAYAQUIL[[#This Row],[CODIGO]]="","",1001)</f>
        <v>1001</v>
      </c>
      <c r="I475" s="258" t="s">
        <v>2221</v>
      </c>
      <c r="J475" s="25" t="str">
        <f>IFERROR((VLOOKUP(GUAYAQUIL[[#This Row],[CODIGO]],MAESTRO!A:B,2,FALSE)),"")</f>
        <v>RGN BBLE MORA 180</v>
      </c>
      <c r="K475" s="35">
        <v>108</v>
      </c>
      <c r="L475" s="38">
        <f>+IFERROR(IF(GUAYAQUIL[[#This Row],[CODIGO]]="","",VLOOKUP(GUAYAQUIL[[#This Row],[CODIGO]],MAESTRO!$A:$BF,58,FALSE)),"")</f>
        <v>1</v>
      </c>
      <c r="M475" s="27">
        <f>+IFERROR(IF(GUAYAQUIL[[#This Row],[CODIGO]]="","",VLOOKUP(GUAYAQUIL[[#This Row],[CODIGO]],MAESTRO!A:N,14,FALSE)),"")</f>
        <v>0.18</v>
      </c>
      <c r="N475" s="28">
        <f>+IFERROR(IF(GUAYAQUIL[[#This Row],[CODIGO]]="","",VLOOKUP(GUAYAQUIL[[#This Row],[CODIGO]],MAESTRO!A:P,16,FALSE)),"")</f>
        <v>45</v>
      </c>
      <c r="O475" s="45">
        <v>45612</v>
      </c>
      <c r="P475" s="72" t="str">
        <f t="shared" si="35"/>
        <v>sábado</v>
      </c>
      <c r="Q475" s="29">
        <f>IFERROR(IF(GUAYAQUIL[[#This Row],[CODIGO]]="","",IF(GUAYAQUIL[[#This Row],[Fecha Cad]]="","",(GUAYAQUIL[[#This Row],[Fecha Cad]]-GUAYAQUIL[[#This Row],[VIDA UTIL (Días)]]))+1),"")</f>
        <v>45609</v>
      </c>
      <c r="R475" s="45">
        <v>45653</v>
      </c>
      <c r="S475" s="30">
        <f t="shared" ca="1" si="36"/>
        <v>29</v>
      </c>
      <c r="T475" s="31">
        <f t="shared" ca="1" si="37"/>
        <v>0.64444444444444449</v>
      </c>
      <c r="U475" s="286">
        <v>64</v>
      </c>
      <c r="V475" s="265">
        <f>+IFERROR(IF(GUAYAQUIL[[#This Row],[CODIGO]]="","",GUAYAQUIL[[#This Row],[Stock Actual Unds]]*GUAYAQUIL[[#This Row],[Gramaje]]*GUAYAQUIL[[#This Row],[Conversión]]),"")</f>
        <v>11.52</v>
      </c>
      <c r="W475" s="270">
        <f t="shared" si="38"/>
        <v>3</v>
      </c>
      <c r="X475" s="32">
        <f t="shared" si="39"/>
        <v>0.93333333333333335</v>
      </c>
      <c r="Y475" s="236">
        <f>IFERROR(VLOOKUP(GUAYAQUIL[[#This Row],[CODIGO]],MAESTRO!A:BI,21,FALSE),0)</f>
        <v>0.29577500000000001</v>
      </c>
      <c r="Z475" s="237">
        <f>+IFERROR(IF(GUAYAQUIL[[#This Row],[CODIGO]]="","",GUAYAQUIL[[#This Row],[COSTO UNIT base]]*GUAYAQUIL[[#This Row],[Conversión]]),"")</f>
        <v>0.29577500000000001</v>
      </c>
      <c r="AA475" s="236">
        <f>+IFERROR(IF(GUAYAQUIL[[#This Row],[CODIGO]]="","",GUAYAQUIL[[#This Row],[COSTO UNIT Conv]]*GUAYAQUIL[[#This Row],[Stock Actual Kgs]]),"")</f>
        <v>3.4073280000000001</v>
      </c>
      <c r="AB475" s="33">
        <f ca="1">+IFERROR(IF(GUAYAQUIL[[#This Row],[CODIGO]]="","",$J$3-O475),"")</f>
        <v>12</v>
      </c>
      <c r="AC475" s="34" t="str">
        <f ca="1">IF(GUAYAQUIL[[#This Row],[CODIGO]]="","",IF(S475&lt;=0,"CADUCADO",IF(AND(S475&gt;0,S475&lt;=21),"FECHA CORTA",IF(AND(S475&gt;=22,S475&lt;=26),"PROXIMOS FECHA CORTA", "VIGENTE"))))</f>
        <v>VIGENTE</v>
      </c>
      <c r="AD475" s="37">
        <f>+IF(GUAYAQUIL[[#This Row],[CODIGO]]="","",GUAYAQUIL[[#This Row],[Stock Actual Unds]]*GUAYAQUIL[[#This Row],[Gramaje]]*GUAYAQUIL[[#This Row],[Conversión]])/1000</f>
        <v>1.1519999999999999E-2</v>
      </c>
    </row>
    <row r="476" spans="1:30">
      <c r="A476" s="24" t="str">
        <f>+IFERROR(IF(GUAYAQUIL[[#This Row],[CODIGO]]="","",VLOOKUP(GUAYAQUIL[[#This Row],[CODIGO]],MAESTRO!$A:$J,10,FALSE)),"")</f>
        <v>MACHACHI</v>
      </c>
      <c r="B476" s="24" t="str">
        <f>+IFERROR(IF(GUAYAQUIL[[#This Row],[CODIGO]]="","",VLOOKUP(GUAYAQUIL[[#This Row],[CODIGO]],MAESTRO!$A:$Q,17,FALSE)),"")</f>
        <v>BEBIDAS LACTEAS</v>
      </c>
      <c r="C476" s="24" t="str">
        <f>+IFERROR(IF(GUAYAQUIL[[#This Row],[CODIGO]]="","",VLOOKUP(GUAYAQUIL[[#This Row],[CODIGO]],MAESTRO!$A:$BA,53,FALSE)),"")</f>
        <v xml:space="preserve">Luis Armendariz                         </v>
      </c>
      <c r="D476" s="24" t="str">
        <f>+IFERROR(IF(GUAYAQUIL[[#This Row],[CODIGO]]="","",VLOOKUP(GUAYAQUIL[[#This Row],[CODIGO]],MAESTRO!$A:$D,4,FALSE)),"")</f>
        <v>REGENERIS</v>
      </c>
      <c r="E476" s="24" t="str">
        <f>+IFERROR(IF(GUAYAQUIL[[#This Row],[CODIGO]]="","",VLOOKUP(GUAYAQUIL[[#This Row],[CODIGO]],MAESTRO!$A:$F,6,FALSE)),"")</f>
        <v>REGENERIS BEBIBLE BOTELLA PERSONAL</v>
      </c>
      <c r="F476" s="42" t="str">
        <f>IF(GUAYAQUIL[[#This Row],[CODIGO]]="","",$K$6)</f>
        <v>GUAYAQUIL</v>
      </c>
      <c r="G476" s="42">
        <f>IF(GUAYAQUIL[[#This Row],[CODIGO]]="","",7711)</f>
        <v>7711</v>
      </c>
      <c r="H476" s="42">
        <f>IF(GUAYAQUIL[[#This Row],[CODIGO]]="","",1001)</f>
        <v>1001</v>
      </c>
      <c r="I476" s="258" t="s">
        <v>2221</v>
      </c>
      <c r="J476" s="25" t="str">
        <f>IFERROR((VLOOKUP(GUAYAQUIL[[#This Row],[CODIGO]],MAESTRO!A:B,2,FALSE)),"")</f>
        <v>RGN BBLE MORA 180</v>
      </c>
      <c r="K476" s="35">
        <v>216</v>
      </c>
      <c r="L476" s="38">
        <f>+IFERROR(IF(GUAYAQUIL[[#This Row],[CODIGO]]="","",VLOOKUP(GUAYAQUIL[[#This Row],[CODIGO]],MAESTRO!$A:$BF,58,FALSE)),"")</f>
        <v>1</v>
      </c>
      <c r="M476" s="27">
        <f>+IFERROR(IF(GUAYAQUIL[[#This Row],[CODIGO]]="","",VLOOKUP(GUAYAQUIL[[#This Row],[CODIGO]],MAESTRO!A:N,14,FALSE)),"")</f>
        <v>0.18</v>
      </c>
      <c r="N476" s="28">
        <f>+IFERROR(IF(GUAYAQUIL[[#This Row],[CODIGO]]="","",VLOOKUP(GUAYAQUIL[[#This Row],[CODIGO]],MAESTRO!A:P,16,FALSE)),"")</f>
        <v>45</v>
      </c>
      <c r="O476" s="45">
        <v>45615</v>
      </c>
      <c r="P476" s="72" t="str">
        <f t="shared" si="35"/>
        <v>martes</v>
      </c>
      <c r="Q476" s="29">
        <f>IFERROR(IF(GUAYAQUIL[[#This Row],[CODIGO]]="","",IF(GUAYAQUIL[[#This Row],[Fecha Cad]]="","",(GUAYAQUIL[[#This Row],[Fecha Cad]]-GUAYAQUIL[[#This Row],[VIDA UTIL (Días)]]))+1),"")</f>
        <v>45609</v>
      </c>
      <c r="R476" s="45">
        <v>45653</v>
      </c>
      <c r="S476" s="30">
        <f t="shared" ca="1" si="36"/>
        <v>29</v>
      </c>
      <c r="T476" s="31">
        <f t="shared" ca="1" si="37"/>
        <v>0.64444444444444449</v>
      </c>
      <c r="U476" s="286">
        <v>216</v>
      </c>
      <c r="V476" s="265">
        <f>+IFERROR(IF(GUAYAQUIL[[#This Row],[CODIGO]]="","",GUAYAQUIL[[#This Row],[Stock Actual Unds]]*GUAYAQUIL[[#This Row],[Gramaje]]*GUAYAQUIL[[#This Row],[Conversión]]),"")</f>
        <v>38.879999999999995</v>
      </c>
      <c r="W476" s="270">
        <f t="shared" si="38"/>
        <v>6</v>
      </c>
      <c r="X476" s="32">
        <f t="shared" si="39"/>
        <v>0.8666666666666667</v>
      </c>
      <c r="Y476" s="236">
        <f>IFERROR(VLOOKUP(GUAYAQUIL[[#This Row],[CODIGO]],MAESTRO!A:BI,21,FALSE),0)</f>
        <v>0.29577500000000001</v>
      </c>
      <c r="Z476" s="237">
        <f>+IFERROR(IF(GUAYAQUIL[[#This Row],[CODIGO]]="","",GUAYAQUIL[[#This Row],[COSTO UNIT base]]*GUAYAQUIL[[#This Row],[Conversión]]),"")</f>
        <v>0.29577500000000001</v>
      </c>
      <c r="AA476" s="236">
        <f>+IFERROR(IF(GUAYAQUIL[[#This Row],[CODIGO]]="","",GUAYAQUIL[[#This Row],[COSTO UNIT Conv]]*GUAYAQUIL[[#This Row],[Stock Actual Kgs]]),"")</f>
        <v>11.499732</v>
      </c>
      <c r="AB476" s="33">
        <f ca="1">+IFERROR(IF(GUAYAQUIL[[#This Row],[CODIGO]]="","",$J$3-O476),"")</f>
        <v>9</v>
      </c>
      <c r="AC476" s="34" t="str">
        <f ca="1">IF(GUAYAQUIL[[#This Row],[CODIGO]]="","",IF(S476&lt;=0,"CADUCADO",IF(AND(S476&gt;0,S476&lt;=21),"FECHA CORTA",IF(AND(S476&gt;=22,S476&lt;=26),"PROXIMOS FECHA CORTA", "VIGENTE"))))</f>
        <v>VIGENTE</v>
      </c>
      <c r="AD476" s="37">
        <f>+IF(GUAYAQUIL[[#This Row],[CODIGO]]="","",GUAYAQUIL[[#This Row],[Stock Actual Unds]]*GUAYAQUIL[[#This Row],[Gramaje]]*GUAYAQUIL[[#This Row],[Conversión]])/1000</f>
        <v>3.8879999999999998E-2</v>
      </c>
    </row>
    <row r="477" spans="1:30">
      <c r="A477" s="24" t="str">
        <f>+IFERROR(IF(GUAYAQUIL[[#This Row],[CODIGO]]="","",VLOOKUP(GUAYAQUIL[[#This Row],[CODIGO]],MAESTRO!$A:$J,10,FALSE)),"")</f>
        <v>MACHACHI</v>
      </c>
      <c r="B477" s="24" t="str">
        <f>+IFERROR(IF(GUAYAQUIL[[#This Row],[CODIGO]]="","",VLOOKUP(GUAYAQUIL[[#This Row],[CODIGO]],MAESTRO!$A:$Q,17,FALSE)),"")</f>
        <v>BEBIDAS LACTEAS</v>
      </c>
      <c r="C477" s="24" t="str">
        <f>+IFERROR(IF(GUAYAQUIL[[#This Row],[CODIGO]]="","",VLOOKUP(GUAYAQUIL[[#This Row],[CODIGO]],MAESTRO!$A:$BA,53,FALSE)),"")</f>
        <v xml:space="preserve">Luis Armendariz                         </v>
      </c>
      <c r="D477" s="24" t="str">
        <f>+IFERROR(IF(GUAYAQUIL[[#This Row],[CODIGO]]="","",VLOOKUP(GUAYAQUIL[[#This Row],[CODIGO]],MAESTRO!$A:$D,4,FALSE)),"")</f>
        <v>REGENERIS</v>
      </c>
      <c r="E477" s="24" t="str">
        <f>+IFERROR(IF(GUAYAQUIL[[#This Row],[CODIGO]]="","",VLOOKUP(GUAYAQUIL[[#This Row],[CODIGO]],MAESTRO!$A:$F,6,FALSE)),"")</f>
        <v>REGENERIS BEBIBLE BOTELLA PERSONAL</v>
      </c>
      <c r="F477" s="42" t="str">
        <f>IF(GUAYAQUIL[[#This Row],[CODIGO]]="","",$K$6)</f>
        <v>GUAYAQUIL</v>
      </c>
      <c r="G477" s="209">
        <f>IF(GUAYAQUIL[[#This Row],[CODIGO]]="","",7711)</f>
        <v>7711</v>
      </c>
      <c r="H477" s="209">
        <f>IF(GUAYAQUIL[[#This Row],[CODIGO]]="","",1001)</f>
        <v>1001</v>
      </c>
      <c r="I477" s="258" t="s">
        <v>2221</v>
      </c>
      <c r="J477" s="25" t="str">
        <f>IFERROR((VLOOKUP(GUAYAQUIL[[#This Row],[CODIGO]],MAESTRO!A:B,2,FALSE)),"")</f>
        <v>RGN BBLE MORA 180</v>
      </c>
      <c r="K477" s="35">
        <v>216</v>
      </c>
      <c r="L477" s="38">
        <f>+IFERROR(IF(GUAYAQUIL[[#This Row],[CODIGO]]="","",VLOOKUP(GUAYAQUIL[[#This Row],[CODIGO]],MAESTRO!$A:$BF,58,FALSE)),"")</f>
        <v>1</v>
      </c>
      <c r="M477" s="27">
        <f>+IFERROR(IF(GUAYAQUIL[[#This Row],[CODIGO]]="","",VLOOKUP(GUAYAQUIL[[#This Row],[CODIGO]],MAESTRO!A:N,14,FALSE)),"")</f>
        <v>0.18</v>
      </c>
      <c r="N477" s="28">
        <f>+IFERROR(IF(GUAYAQUIL[[#This Row],[CODIGO]]="","",VLOOKUP(GUAYAQUIL[[#This Row],[CODIGO]],MAESTRO!A:P,16,FALSE)),"")</f>
        <v>45</v>
      </c>
      <c r="O477" s="45">
        <v>45616</v>
      </c>
      <c r="P477" s="72" t="str">
        <f t="shared" si="35"/>
        <v>miércoles</v>
      </c>
      <c r="Q477" s="29">
        <f>IFERROR(IF(GUAYAQUIL[[#This Row],[CODIGO]]="","",IF(GUAYAQUIL[[#This Row],[Fecha Cad]]="","",(GUAYAQUIL[[#This Row],[Fecha Cad]]-GUAYAQUIL[[#This Row],[VIDA UTIL (Días)]]))+1),"")</f>
        <v>45611</v>
      </c>
      <c r="R477" s="45">
        <v>45655</v>
      </c>
      <c r="S477" s="30">
        <f t="shared" ca="1" si="36"/>
        <v>31</v>
      </c>
      <c r="T477" s="31">
        <f t="shared" ca="1" si="37"/>
        <v>0.68888888888888888</v>
      </c>
      <c r="U477" s="286">
        <v>0</v>
      </c>
      <c r="V477" s="265">
        <f>+IFERROR(IF(GUAYAQUIL[[#This Row],[CODIGO]]="","",GUAYAQUIL[[#This Row],[Stock Actual Unds]]*GUAYAQUIL[[#This Row],[Gramaje]]*GUAYAQUIL[[#This Row],[Conversión]]),"")</f>
        <v>0</v>
      </c>
      <c r="W477" s="270">
        <f t="shared" si="38"/>
        <v>5</v>
      </c>
      <c r="X477" s="32">
        <f t="shared" si="39"/>
        <v>0.88888888888888884</v>
      </c>
      <c r="Y477" s="236">
        <f>IFERROR(VLOOKUP(GUAYAQUIL[[#This Row],[CODIGO]],MAESTRO!A:BI,21,FALSE),0)</f>
        <v>0.29577500000000001</v>
      </c>
      <c r="Z477" s="237">
        <f>+IFERROR(IF(GUAYAQUIL[[#This Row],[CODIGO]]="","",GUAYAQUIL[[#This Row],[COSTO UNIT base]]*GUAYAQUIL[[#This Row],[Conversión]]),"")</f>
        <v>0.29577500000000001</v>
      </c>
      <c r="AA477" s="236">
        <f>+IFERROR(IF(GUAYAQUIL[[#This Row],[CODIGO]]="","",GUAYAQUIL[[#This Row],[COSTO UNIT Conv]]*GUAYAQUIL[[#This Row],[Stock Actual Kgs]]),"")</f>
        <v>0</v>
      </c>
      <c r="AB477" s="33">
        <f ca="1">+IFERROR(IF(GUAYAQUIL[[#This Row],[CODIGO]]="","",$J$3-O477),"")</f>
        <v>8</v>
      </c>
      <c r="AC477" s="34" t="str">
        <f ca="1">IF(GUAYAQUIL[[#This Row],[CODIGO]]="","",IF(S477&lt;=0,"CADUCADO",IF(AND(S477&gt;0,S477&lt;=21),"FECHA CORTA",IF(AND(S477&gt;=22,S477&lt;=26),"PROXIMOS FECHA CORTA", "VIGENTE"))))</f>
        <v>VIGENTE</v>
      </c>
      <c r="AD477" s="37">
        <f>+IF(GUAYAQUIL[[#This Row],[CODIGO]]="","",GUAYAQUIL[[#This Row],[Stock Actual Unds]]*GUAYAQUIL[[#This Row],[Gramaje]]*GUAYAQUIL[[#This Row],[Conversión]])/1000</f>
        <v>0</v>
      </c>
    </row>
    <row r="478" spans="1:30">
      <c r="A478" s="24" t="str">
        <f>+IFERROR(IF(GUAYAQUIL[[#This Row],[CODIGO]]="","",VLOOKUP(GUAYAQUIL[[#This Row],[CODIGO]],MAESTRO!$A:$J,10,FALSE)),"")</f>
        <v>MACHACHI</v>
      </c>
      <c r="B478" s="24" t="str">
        <f>+IFERROR(IF(GUAYAQUIL[[#This Row],[CODIGO]]="","",VLOOKUP(GUAYAQUIL[[#This Row],[CODIGO]],MAESTRO!$A:$Q,17,FALSE)),"")</f>
        <v>BEBIDAS LACTEAS</v>
      </c>
      <c r="C478" s="24" t="str">
        <f>+IFERROR(IF(GUAYAQUIL[[#This Row],[CODIGO]]="","",VLOOKUP(GUAYAQUIL[[#This Row],[CODIGO]],MAESTRO!$A:$BA,53,FALSE)),"")</f>
        <v xml:space="preserve">Luis Armendariz                         </v>
      </c>
      <c r="D478" s="24" t="str">
        <f>+IFERROR(IF(GUAYAQUIL[[#This Row],[CODIGO]]="","",VLOOKUP(GUAYAQUIL[[#This Row],[CODIGO]],MAESTRO!$A:$D,4,FALSE)),"")</f>
        <v>REGENERIS</v>
      </c>
      <c r="E478" s="24" t="str">
        <f>+IFERROR(IF(GUAYAQUIL[[#This Row],[CODIGO]]="","",VLOOKUP(GUAYAQUIL[[#This Row],[CODIGO]],MAESTRO!$A:$F,6,FALSE)),"")</f>
        <v>REGENERIS BEBIBLE BOTELLA PERSONAL</v>
      </c>
      <c r="F478" s="42" t="str">
        <f>IF(GUAYAQUIL[[#This Row],[CODIGO]]="","",$K$6)</f>
        <v>GUAYAQUIL</v>
      </c>
      <c r="G478" s="42">
        <f>IF(GUAYAQUIL[[#This Row],[CODIGO]]="","",7711)</f>
        <v>7711</v>
      </c>
      <c r="H478" s="42">
        <f>IF(GUAYAQUIL[[#This Row],[CODIGO]]="","",1001)</f>
        <v>1001</v>
      </c>
      <c r="I478" s="258" t="s">
        <v>2221</v>
      </c>
      <c r="J478" s="25" t="str">
        <f>IFERROR((VLOOKUP(GUAYAQUIL[[#This Row],[CODIGO]],MAESTRO!A:B,2,FALSE)),"")</f>
        <v>RGN BBLE MORA 180</v>
      </c>
      <c r="K478" s="35">
        <v>216</v>
      </c>
      <c r="L478" s="38">
        <f>+IFERROR(IF(GUAYAQUIL[[#This Row],[CODIGO]]="","",VLOOKUP(GUAYAQUIL[[#This Row],[CODIGO]],MAESTRO!$A:$BF,58,FALSE)),"")</f>
        <v>1</v>
      </c>
      <c r="M478" s="27">
        <f>+IFERROR(IF(GUAYAQUIL[[#This Row],[CODIGO]]="","",VLOOKUP(GUAYAQUIL[[#This Row],[CODIGO]],MAESTRO!A:N,14,FALSE)),"")</f>
        <v>0.18</v>
      </c>
      <c r="N478" s="28">
        <f>+IFERROR(IF(GUAYAQUIL[[#This Row],[CODIGO]]="","",VLOOKUP(GUAYAQUIL[[#This Row],[CODIGO]],MAESTRO!A:P,16,FALSE)),"")</f>
        <v>45</v>
      </c>
      <c r="O478" s="29">
        <v>45617</v>
      </c>
      <c r="P478" s="72" t="str">
        <f t="shared" si="35"/>
        <v>jueves</v>
      </c>
      <c r="Q478" s="29">
        <f>IFERROR(IF(GUAYAQUIL[[#This Row],[CODIGO]]="","",IF(GUAYAQUIL[[#This Row],[Fecha Cad]]="","",(GUAYAQUIL[[#This Row],[Fecha Cad]]-GUAYAQUIL[[#This Row],[VIDA UTIL (Días)]]))+1),"")</f>
        <v>45611</v>
      </c>
      <c r="R478" s="29">
        <v>45655</v>
      </c>
      <c r="S478" s="30">
        <f t="shared" ca="1" si="36"/>
        <v>31</v>
      </c>
      <c r="T478" s="31">
        <f t="shared" ca="1" si="37"/>
        <v>0.68888888888888888</v>
      </c>
      <c r="U478" s="286">
        <v>216</v>
      </c>
      <c r="V478" s="266">
        <f>+IFERROR(IF(GUAYAQUIL[[#This Row],[CODIGO]]="","",GUAYAQUIL[[#This Row],[Stock Actual Unds]]*GUAYAQUIL[[#This Row],[Gramaje]]*GUAYAQUIL[[#This Row],[Conversión]]),"")</f>
        <v>38.879999999999995</v>
      </c>
      <c r="W478" s="270">
        <f t="shared" si="38"/>
        <v>6</v>
      </c>
      <c r="X478" s="32">
        <f t="shared" si="39"/>
        <v>0.8666666666666667</v>
      </c>
      <c r="Y478" s="236">
        <f>IFERROR(VLOOKUP(GUAYAQUIL[[#This Row],[CODIGO]],MAESTRO!A:BI,21,FALSE),0)</f>
        <v>0.29577500000000001</v>
      </c>
      <c r="Z478" s="237">
        <f>+IFERROR(IF(GUAYAQUIL[[#This Row],[CODIGO]]="","",GUAYAQUIL[[#This Row],[COSTO UNIT base]]*GUAYAQUIL[[#This Row],[Conversión]]),"")</f>
        <v>0.29577500000000001</v>
      </c>
      <c r="AA478" s="236">
        <f>+IFERROR(IF(GUAYAQUIL[[#This Row],[CODIGO]]="","",GUAYAQUIL[[#This Row],[COSTO UNIT Conv]]*GUAYAQUIL[[#This Row],[Stock Actual Kgs]]),"")</f>
        <v>11.499732</v>
      </c>
      <c r="AB478" s="33">
        <f ca="1">+IFERROR(IF(GUAYAQUIL[[#This Row],[CODIGO]]="","",$J$3-O478),"")</f>
        <v>7</v>
      </c>
      <c r="AC478" s="34" t="str">
        <f ca="1">IF(GUAYAQUIL[[#This Row],[CODIGO]]="","",IF(S478&lt;=0,"CADUCADO",IF(AND(S478&gt;0,S478&lt;=21),"FECHA CORTA",IF(AND(S478&gt;=22,S478&lt;=26),"PROXIMOS FECHA CORTA", "VIGENTE"))))</f>
        <v>VIGENTE</v>
      </c>
      <c r="AD478" s="37">
        <f>+IF(GUAYAQUIL[[#This Row],[CODIGO]]="","",GUAYAQUIL[[#This Row],[Stock Actual Unds]]*GUAYAQUIL[[#This Row],[Gramaje]]*GUAYAQUIL[[#This Row],[Conversión]])/1000</f>
        <v>3.8879999999999998E-2</v>
      </c>
    </row>
    <row r="479" spans="1:30">
      <c r="A479" s="24" t="str">
        <f>+IFERROR(IF(GUAYAQUIL[[#This Row],[CODIGO]]="","",VLOOKUP(GUAYAQUIL[[#This Row],[CODIGO]],MAESTRO!$A:$J,10,FALSE)),"")</f>
        <v>MACHACHI</v>
      </c>
      <c r="B479" s="24" t="str">
        <f>+IFERROR(IF(GUAYAQUIL[[#This Row],[CODIGO]]="","",VLOOKUP(GUAYAQUIL[[#This Row],[CODIGO]],MAESTRO!$A:$Q,17,FALSE)),"")</f>
        <v>BEBIDAS LACTEAS</v>
      </c>
      <c r="C479" s="24" t="str">
        <f>+IFERROR(IF(GUAYAQUIL[[#This Row],[CODIGO]]="","",VLOOKUP(GUAYAQUIL[[#This Row],[CODIGO]],MAESTRO!$A:$BA,53,FALSE)),"")</f>
        <v xml:space="preserve">Luis Armendariz                         </v>
      </c>
      <c r="D479" s="24" t="str">
        <f>+IFERROR(IF(GUAYAQUIL[[#This Row],[CODIGO]]="","",VLOOKUP(GUAYAQUIL[[#This Row],[CODIGO]],MAESTRO!$A:$D,4,FALSE)),"")</f>
        <v>REGENERIS</v>
      </c>
      <c r="E479" s="24" t="str">
        <f>+IFERROR(IF(GUAYAQUIL[[#This Row],[CODIGO]]="","",VLOOKUP(GUAYAQUIL[[#This Row],[CODIGO]],MAESTRO!$A:$F,6,FALSE)),"")</f>
        <v>REGENERIS CEREAL BOTELLA PERSONAL</v>
      </c>
      <c r="F479" s="42" t="str">
        <f>IF(GUAYAQUIL[[#This Row],[CODIGO]]="","",$K$6)</f>
        <v>GUAYAQUIL</v>
      </c>
      <c r="G479" s="209">
        <f>IF(GUAYAQUIL[[#This Row],[CODIGO]]="","",7711)</f>
        <v>7711</v>
      </c>
      <c r="H479" s="209">
        <f>IF(GUAYAQUIL[[#This Row],[CODIGO]]="","",1001)</f>
        <v>1001</v>
      </c>
      <c r="I479" s="258" t="s">
        <v>3900</v>
      </c>
      <c r="J479" s="25" t="str">
        <f>IFERROR((VLOOKUP(GUAYAQUIL[[#This Row],[CODIGO]],MAESTRO!A:B,2,FALSE)),"")</f>
        <v>RGN CER PITA BOT 180G</v>
      </c>
      <c r="K479" s="35">
        <v>216</v>
      </c>
      <c r="L479" s="38">
        <f>+IFERROR(IF(GUAYAQUIL[[#This Row],[CODIGO]]="","",VLOOKUP(GUAYAQUIL[[#This Row],[CODIGO]],MAESTRO!$A:$BF,58,FALSE)),"")</f>
        <v>1</v>
      </c>
      <c r="M479" s="27">
        <f>+IFERROR(IF(GUAYAQUIL[[#This Row],[CODIGO]]="","",VLOOKUP(GUAYAQUIL[[#This Row],[CODIGO]],MAESTRO!A:N,14,FALSE)),"")</f>
        <v>0.18</v>
      </c>
      <c r="N479" s="28">
        <f>+IFERROR(IF(GUAYAQUIL[[#This Row],[CODIGO]]="","",VLOOKUP(GUAYAQUIL[[#This Row],[CODIGO]],MAESTRO!A:P,16,FALSE)),"")</f>
        <v>45</v>
      </c>
      <c r="O479" s="29">
        <v>45609</v>
      </c>
      <c r="P479" s="72" t="str">
        <f t="shared" si="35"/>
        <v>miércoles</v>
      </c>
      <c r="Q479" s="29">
        <f>IFERROR(IF(GUAYAQUIL[[#This Row],[CODIGO]]="","",IF(GUAYAQUIL[[#This Row],[Fecha Cad]]="","",(GUAYAQUIL[[#This Row],[Fecha Cad]]-GUAYAQUIL[[#This Row],[VIDA UTIL (Días)]]))+1),"")</f>
        <v>45603</v>
      </c>
      <c r="R479" s="29">
        <v>45647</v>
      </c>
      <c r="S479" s="30">
        <f t="shared" ca="1" si="36"/>
        <v>23</v>
      </c>
      <c r="T479" s="31">
        <f t="shared" ca="1" si="37"/>
        <v>0.51111111111111107</v>
      </c>
      <c r="U479" s="286">
        <v>11</v>
      </c>
      <c r="V479" s="266">
        <f>+IFERROR(IF(GUAYAQUIL[[#This Row],[CODIGO]]="","",GUAYAQUIL[[#This Row],[Stock Actual Unds]]*GUAYAQUIL[[#This Row],[Gramaje]]*GUAYAQUIL[[#This Row],[Conversión]]),"")</f>
        <v>1.98</v>
      </c>
      <c r="W479" s="270">
        <f t="shared" si="38"/>
        <v>6</v>
      </c>
      <c r="X479" s="32">
        <f t="shared" si="39"/>
        <v>0.8666666666666667</v>
      </c>
      <c r="Y479" s="236">
        <f>IFERROR(VLOOKUP(GUAYAQUIL[[#This Row],[CODIGO]],MAESTRO!A:BI,21,FALSE),0)</f>
        <v>0.32785500000000001</v>
      </c>
      <c r="Z479" s="237">
        <f>+IFERROR(IF(GUAYAQUIL[[#This Row],[CODIGO]]="","",GUAYAQUIL[[#This Row],[COSTO UNIT base]]*GUAYAQUIL[[#This Row],[Conversión]]),"")</f>
        <v>0.32785500000000001</v>
      </c>
      <c r="AA479" s="236">
        <f>+IFERROR(IF(GUAYAQUIL[[#This Row],[CODIGO]]="","",GUAYAQUIL[[#This Row],[COSTO UNIT Conv]]*GUAYAQUIL[[#This Row],[Stock Actual Kgs]]),"")</f>
        <v>0.64915290000000003</v>
      </c>
      <c r="AB479" s="33">
        <f ca="1">+IFERROR(IF(GUAYAQUIL[[#This Row],[CODIGO]]="","",$J$3-O479),"")</f>
        <v>15</v>
      </c>
      <c r="AC479" s="34" t="str">
        <f ca="1">IF(GUAYAQUIL[[#This Row],[CODIGO]]="","",IF(S479&lt;=0,"CADUCADO",IF(AND(S479&gt;0,S479&lt;=21),"FECHA CORTA",IF(AND(S479&gt;=22,S479&lt;=26),"PROXIMOS FECHA CORTA", "VIGENTE"))))</f>
        <v>PROXIMOS FECHA CORTA</v>
      </c>
      <c r="AD479" s="37">
        <f>+IF(GUAYAQUIL[[#This Row],[CODIGO]]="","",GUAYAQUIL[[#This Row],[Stock Actual Unds]]*GUAYAQUIL[[#This Row],[Gramaje]]*GUAYAQUIL[[#This Row],[Conversión]])/1000</f>
        <v>1.98E-3</v>
      </c>
    </row>
    <row r="480" spans="1:30">
      <c r="A480" s="24" t="str">
        <f>+IFERROR(IF(GUAYAQUIL[[#This Row],[CODIGO]]="","",VLOOKUP(GUAYAQUIL[[#This Row],[CODIGO]],MAESTRO!$A:$J,10,FALSE)),"")</f>
        <v>MACHACHI</v>
      </c>
      <c r="B480" s="24" t="str">
        <f>+IFERROR(IF(GUAYAQUIL[[#This Row],[CODIGO]]="","",VLOOKUP(GUAYAQUIL[[#This Row],[CODIGO]],MAESTRO!$A:$Q,17,FALSE)),"")</f>
        <v>BEBIDAS LACTEAS</v>
      </c>
      <c r="C480" s="24" t="str">
        <f>+IFERROR(IF(GUAYAQUIL[[#This Row],[CODIGO]]="","",VLOOKUP(GUAYAQUIL[[#This Row],[CODIGO]],MAESTRO!$A:$BA,53,FALSE)),"")</f>
        <v xml:space="preserve">Luis Armendariz                         </v>
      </c>
      <c r="D480" s="24" t="str">
        <f>+IFERROR(IF(GUAYAQUIL[[#This Row],[CODIGO]]="","",VLOOKUP(GUAYAQUIL[[#This Row],[CODIGO]],MAESTRO!$A:$D,4,FALSE)),"")</f>
        <v>REGENERIS</v>
      </c>
      <c r="E480" s="24" t="str">
        <f>+IFERROR(IF(GUAYAQUIL[[#This Row],[CODIGO]]="","",VLOOKUP(GUAYAQUIL[[#This Row],[CODIGO]],MAESTRO!$A:$F,6,FALSE)),"")</f>
        <v>REGENERIS CEREAL BOTELLA PERSONAL</v>
      </c>
      <c r="F480" s="42" t="str">
        <f>IF(GUAYAQUIL[[#This Row],[CODIGO]]="","",$K$6)</f>
        <v>GUAYAQUIL</v>
      </c>
      <c r="G480" s="42">
        <f>IF(GUAYAQUIL[[#This Row],[CODIGO]]="","",7711)</f>
        <v>7711</v>
      </c>
      <c r="H480" s="42">
        <f>IF(GUAYAQUIL[[#This Row],[CODIGO]]="","",1001)</f>
        <v>1001</v>
      </c>
      <c r="I480" s="258" t="s">
        <v>3900</v>
      </c>
      <c r="J480" s="25" t="str">
        <f>IFERROR((VLOOKUP(GUAYAQUIL[[#This Row],[CODIGO]],MAESTRO!A:B,2,FALSE)),"")</f>
        <v>RGN CER PITA BOT 180G</v>
      </c>
      <c r="K480" s="35">
        <v>540</v>
      </c>
      <c r="L480" s="38">
        <f>+IFERROR(IF(GUAYAQUIL[[#This Row],[CODIGO]]="","",VLOOKUP(GUAYAQUIL[[#This Row],[CODIGO]],MAESTRO!$A:$BF,58,FALSE)),"")</f>
        <v>1</v>
      </c>
      <c r="M480" s="27">
        <f>+IFERROR(IF(GUAYAQUIL[[#This Row],[CODIGO]]="","",VLOOKUP(GUAYAQUIL[[#This Row],[CODIGO]],MAESTRO!A:N,14,FALSE)),"")</f>
        <v>0.18</v>
      </c>
      <c r="N480" s="28">
        <f>+IFERROR(IF(GUAYAQUIL[[#This Row],[CODIGO]]="","",VLOOKUP(GUAYAQUIL[[#This Row],[CODIGO]],MAESTRO!A:P,16,FALSE)),"")</f>
        <v>45</v>
      </c>
      <c r="O480" s="29">
        <v>45612</v>
      </c>
      <c r="P480" s="72" t="str">
        <f t="shared" si="35"/>
        <v>sábado</v>
      </c>
      <c r="Q480" s="29">
        <f>IFERROR(IF(GUAYAQUIL[[#This Row],[CODIGO]]="","",IF(GUAYAQUIL[[#This Row],[Fecha Cad]]="","",(GUAYAQUIL[[#This Row],[Fecha Cad]]-GUAYAQUIL[[#This Row],[VIDA UTIL (Días)]]))+1),"")</f>
        <v>45609</v>
      </c>
      <c r="R480" s="29">
        <v>45653</v>
      </c>
      <c r="S480" s="30">
        <f t="shared" ca="1" si="36"/>
        <v>29</v>
      </c>
      <c r="T480" s="31">
        <f t="shared" ca="1" si="37"/>
        <v>0.64444444444444449</v>
      </c>
      <c r="U480" s="286">
        <v>540</v>
      </c>
      <c r="V480" s="266">
        <f>+IFERROR(IF(GUAYAQUIL[[#This Row],[CODIGO]]="","",GUAYAQUIL[[#This Row],[Stock Actual Unds]]*GUAYAQUIL[[#This Row],[Gramaje]]*GUAYAQUIL[[#This Row],[Conversión]]),"")</f>
        <v>97.2</v>
      </c>
      <c r="W480" s="270">
        <f t="shared" si="38"/>
        <v>3</v>
      </c>
      <c r="X480" s="32">
        <f t="shared" si="39"/>
        <v>0.93333333333333335</v>
      </c>
      <c r="Y480" s="236">
        <f>IFERROR(VLOOKUP(GUAYAQUIL[[#This Row],[CODIGO]],MAESTRO!A:BI,21,FALSE),0)</f>
        <v>0.32785500000000001</v>
      </c>
      <c r="Z480" s="237">
        <f>+IFERROR(IF(GUAYAQUIL[[#This Row],[CODIGO]]="","",GUAYAQUIL[[#This Row],[COSTO UNIT base]]*GUAYAQUIL[[#This Row],[Conversión]]),"")</f>
        <v>0.32785500000000001</v>
      </c>
      <c r="AA480" s="236">
        <f>+IFERROR(IF(GUAYAQUIL[[#This Row],[CODIGO]]="","",GUAYAQUIL[[#This Row],[COSTO UNIT Conv]]*GUAYAQUIL[[#This Row],[Stock Actual Kgs]]),"")</f>
        <v>31.867506000000002</v>
      </c>
      <c r="AB480" s="33">
        <f ca="1">+IFERROR(IF(GUAYAQUIL[[#This Row],[CODIGO]]="","",$J$3-O480),"")</f>
        <v>12</v>
      </c>
      <c r="AC480" s="34" t="str">
        <f ca="1">IF(GUAYAQUIL[[#This Row],[CODIGO]]="","",IF(S480&lt;=0,"CADUCADO",IF(AND(S480&gt;0,S480&lt;=21),"FECHA CORTA",IF(AND(S480&gt;=22,S480&lt;=26),"PROXIMOS FECHA CORTA", "VIGENTE"))))</f>
        <v>VIGENTE</v>
      </c>
      <c r="AD480" s="37">
        <f>+IF(GUAYAQUIL[[#This Row],[CODIGO]]="","",GUAYAQUIL[[#This Row],[Stock Actual Unds]]*GUAYAQUIL[[#This Row],[Gramaje]]*GUAYAQUIL[[#This Row],[Conversión]])/1000</f>
        <v>9.7200000000000009E-2</v>
      </c>
    </row>
    <row r="481" spans="1:30">
      <c r="A481" s="24" t="str">
        <f>+IFERROR(IF(GUAYAQUIL[[#This Row],[CODIGO]]="","",VLOOKUP(GUAYAQUIL[[#This Row],[CODIGO]],MAESTRO!$A:$J,10,FALSE)),"")</f>
        <v>MACHACHI</v>
      </c>
      <c r="B481" s="24" t="str">
        <f>+IFERROR(IF(GUAYAQUIL[[#This Row],[CODIGO]]="","",VLOOKUP(GUAYAQUIL[[#This Row],[CODIGO]],MAESTRO!$A:$Q,17,FALSE)),"")</f>
        <v>BEBIDAS LACTEAS</v>
      </c>
      <c r="C481" s="24" t="str">
        <f>+IFERROR(IF(GUAYAQUIL[[#This Row],[CODIGO]]="","",VLOOKUP(GUAYAQUIL[[#This Row],[CODIGO]],MAESTRO!$A:$BA,53,FALSE)),"")</f>
        <v xml:space="preserve">Luis Armendariz                         </v>
      </c>
      <c r="D481" s="24" t="str">
        <f>+IFERROR(IF(GUAYAQUIL[[#This Row],[CODIGO]]="","",VLOOKUP(GUAYAQUIL[[#This Row],[CODIGO]],MAESTRO!$A:$D,4,FALSE)),"")</f>
        <v>REGENERIS</v>
      </c>
      <c r="E481" s="24" t="str">
        <f>+IFERROR(IF(GUAYAQUIL[[#This Row],[CODIGO]]="","",VLOOKUP(GUAYAQUIL[[#This Row],[CODIGO]],MAESTRO!$A:$F,6,FALSE)),"")</f>
        <v>REGENERIS CEREAL BOTELLA PERSONAL</v>
      </c>
      <c r="F481" s="42" t="str">
        <f>IF(GUAYAQUIL[[#This Row],[CODIGO]]="","",$K$6)</f>
        <v>GUAYAQUIL</v>
      </c>
      <c r="G481" s="209">
        <f>IF(GUAYAQUIL[[#This Row],[CODIGO]]="","",7711)</f>
        <v>7711</v>
      </c>
      <c r="H481" s="209">
        <f>IF(GUAYAQUIL[[#This Row],[CODIGO]]="","",1001)</f>
        <v>1001</v>
      </c>
      <c r="I481" s="258" t="s">
        <v>3900</v>
      </c>
      <c r="J481" s="25" t="str">
        <f>IFERROR((VLOOKUP(GUAYAQUIL[[#This Row],[CODIGO]],MAESTRO!A:B,2,FALSE)),"")</f>
        <v>RGN CER PITA BOT 180G</v>
      </c>
      <c r="K481" s="35">
        <v>216</v>
      </c>
      <c r="L481" s="38">
        <f>+IFERROR(IF(GUAYAQUIL[[#This Row],[CODIGO]]="","",VLOOKUP(GUAYAQUIL[[#This Row],[CODIGO]],MAESTRO!$A:$BF,58,FALSE)),"")</f>
        <v>1</v>
      </c>
      <c r="M481" s="27">
        <f>+IFERROR(IF(GUAYAQUIL[[#This Row],[CODIGO]]="","",VLOOKUP(GUAYAQUIL[[#This Row],[CODIGO]],MAESTRO!A:N,14,FALSE)),"")</f>
        <v>0.18</v>
      </c>
      <c r="N481" s="28">
        <f>+IFERROR(IF(GUAYAQUIL[[#This Row],[CODIGO]]="","",VLOOKUP(GUAYAQUIL[[#This Row],[CODIGO]],MAESTRO!A:P,16,FALSE)),"")</f>
        <v>45</v>
      </c>
      <c r="O481" s="29">
        <v>45611</v>
      </c>
      <c r="P481" s="72" t="str">
        <f t="shared" si="35"/>
        <v>viernes</v>
      </c>
      <c r="Q481" s="29">
        <f>IFERROR(IF(GUAYAQUIL[[#This Row],[CODIGO]]="","",IF(GUAYAQUIL[[#This Row],[Fecha Cad]]="","",(GUAYAQUIL[[#This Row],[Fecha Cad]]-GUAYAQUIL[[#This Row],[VIDA UTIL (Días)]]))+1),"")</f>
        <v>45609</v>
      </c>
      <c r="R481" s="29">
        <v>45653</v>
      </c>
      <c r="S481" s="30">
        <f t="shared" ca="1" si="36"/>
        <v>29</v>
      </c>
      <c r="T481" s="31">
        <f t="shared" ca="1" si="37"/>
        <v>0.64444444444444449</v>
      </c>
      <c r="U481" s="286">
        <v>2</v>
      </c>
      <c r="V481" s="266">
        <f>+IFERROR(IF(GUAYAQUIL[[#This Row],[CODIGO]]="","",GUAYAQUIL[[#This Row],[Stock Actual Unds]]*GUAYAQUIL[[#This Row],[Gramaje]]*GUAYAQUIL[[#This Row],[Conversión]]),"")</f>
        <v>0.36</v>
      </c>
      <c r="W481" s="270">
        <f t="shared" si="38"/>
        <v>2</v>
      </c>
      <c r="X481" s="32">
        <f t="shared" si="39"/>
        <v>0.9555555555555556</v>
      </c>
      <c r="Y481" s="236">
        <f>IFERROR(VLOOKUP(GUAYAQUIL[[#This Row],[CODIGO]],MAESTRO!A:BI,21,FALSE),0)</f>
        <v>0.32785500000000001</v>
      </c>
      <c r="Z481" s="237">
        <f>+IFERROR(IF(GUAYAQUIL[[#This Row],[CODIGO]]="","",GUAYAQUIL[[#This Row],[COSTO UNIT base]]*GUAYAQUIL[[#This Row],[Conversión]]),"")</f>
        <v>0.32785500000000001</v>
      </c>
      <c r="AA481" s="236">
        <f>+IFERROR(IF(GUAYAQUIL[[#This Row],[CODIGO]]="","",GUAYAQUIL[[#This Row],[COSTO UNIT Conv]]*GUAYAQUIL[[#This Row],[Stock Actual Kgs]]),"")</f>
        <v>0.1180278</v>
      </c>
      <c r="AB481" s="33">
        <f ca="1">+IFERROR(IF(GUAYAQUIL[[#This Row],[CODIGO]]="","",$J$3-O481),"")</f>
        <v>13</v>
      </c>
      <c r="AC481" s="34" t="str">
        <f ca="1">IF(GUAYAQUIL[[#This Row],[CODIGO]]="","",IF(S481&lt;=0,"CADUCADO",IF(AND(S481&gt;0,S481&lt;=21),"FECHA CORTA",IF(AND(S481&gt;=22,S481&lt;=26),"PROXIMOS FECHA CORTA", "VIGENTE"))))</f>
        <v>VIGENTE</v>
      </c>
      <c r="AD481" s="37">
        <f>+IF(GUAYAQUIL[[#This Row],[CODIGO]]="","",GUAYAQUIL[[#This Row],[Stock Actual Unds]]*GUAYAQUIL[[#This Row],[Gramaje]]*GUAYAQUIL[[#This Row],[Conversión]])/1000</f>
        <v>3.5999999999999997E-4</v>
      </c>
    </row>
    <row r="482" spans="1:30">
      <c r="A482" s="24" t="str">
        <f>+IFERROR(IF(GUAYAQUIL[[#This Row],[CODIGO]]="","",VLOOKUP(GUAYAQUIL[[#This Row],[CODIGO]],MAESTRO!$A:$J,10,FALSE)),"")</f>
        <v>MACHACHI</v>
      </c>
      <c r="B482" s="24" t="str">
        <f>+IFERROR(IF(GUAYAQUIL[[#This Row],[CODIGO]]="","",VLOOKUP(GUAYAQUIL[[#This Row],[CODIGO]],MAESTRO!$A:$Q,17,FALSE)),"")</f>
        <v>BEBIDAS LACTEAS</v>
      </c>
      <c r="C482" s="24" t="str">
        <f>+IFERROR(IF(GUAYAQUIL[[#This Row],[CODIGO]]="","",VLOOKUP(GUAYAQUIL[[#This Row],[CODIGO]],MAESTRO!$A:$BA,53,FALSE)),"")</f>
        <v xml:space="preserve">Luis Armendariz                         </v>
      </c>
      <c r="D482" s="24" t="str">
        <f>+IFERROR(IF(GUAYAQUIL[[#This Row],[CODIGO]]="","",VLOOKUP(GUAYAQUIL[[#This Row],[CODIGO]],MAESTRO!$A:$D,4,FALSE)),"")</f>
        <v>REGENERIS</v>
      </c>
      <c r="E482" s="24" t="str">
        <f>+IFERROR(IF(GUAYAQUIL[[#This Row],[CODIGO]]="","",VLOOKUP(GUAYAQUIL[[#This Row],[CODIGO]],MAESTRO!$A:$F,6,FALSE)),"")</f>
        <v>REGENERIS CEREAL BOTELLA PERSONAL</v>
      </c>
      <c r="F482" s="42" t="str">
        <f>IF(GUAYAQUIL[[#This Row],[CODIGO]]="","",$K$6)</f>
        <v>GUAYAQUIL</v>
      </c>
      <c r="G482" s="42">
        <f>IF(GUAYAQUIL[[#This Row],[CODIGO]]="","",7711)</f>
        <v>7711</v>
      </c>
      <c r="H482" s="42">
        <f>IF(GUAYAQUIL[[#This Row],[CODIGO]]="","",1001)</f>
        <v>1001</v>
      </c>
      <c r="I482" s="258" t="s">
        <v>3900</v>
      </c>
      <c r="J482" s="25" t="str">
        <f>IFERROR((VLOOKUP(GUAYAQUIL[[#This Row],[CODIGO]],MAESTRO!A:B,2,FALSE)),"")</f>
        <v>RGN CER PITA BOT 180G</v>
      </c>
      <c r="K482" s="35">
        <v>432</v>
      </c>
      <c r="L482" s="38">
        <f>+IFERROR(IF(GUAYAQUIL[[#This Row],[CODIGO]]="","",VLOOKUP(GUAYAQUIL[[#This Row],[CODIGO]],MAESTRO!$A:$BF,58,FALSE)),"")</f>
        <v>1</v>
      </c>
      <c r="M482" s="27">
        <f>+IFERROR(IF(GUAYAQUIL[[#This Row],[CODIGO]]="","",VLOOKUP(GUAYAQUIL[[#This Row],[CODIGO]],MAESTRO!A:N,14,FALSE)),"")</f>
        <v>0.18</v>
      </c>
      <c r="N482" s="28">
        <f>+IFERROR(IF(GUAYAQUIL[[#This Row],[CODIGO]]="","",VLOOKUP(GUAYAQUIL[[#This Row],[CODIGO]],MAESTRO!A:P,16,FALSE)),"")</f>
        <v>45</v>
      </c>
      <c r="O482" s="45">
        <v>45615</v>
      </c>
      <c r="P482" s="72" t="str">
        <f t="shared" si="35"/>
        <v>martes</v>
      </c>
      <c r="Q482" s="29">
        <f>IFERROR(IF(GUAYAQUIL[[#This Row],[CODIGO]]="","",IF(GUAYAQUIL[[#This Row],[Fecha Cad]]="","",(GUAYAQUIL[[#This Row],[Fecha Cad]]-GUAYAQUIL[[#This Row],[VIDA UTIL (Días)]]))+1),"")</f>
        <v>45609</v>
      </c>
      <c r="R482" s="45">
        <v>45653</v>
      </c>
      <c r="S482" s="30">
        <f t="shared" ca="1" si="36"/>
        <v>29</v>
      </c>
      <c r="T482" s="31">
        <f t="shared" ca="1" si="37"/>
        <v>0.64444444444444449</v>
      </c>
      <c r="U482" s="286">
        <v>432</v>
      </c>
      <c r="V482" s="265">
        <f>+IFERROR(IF(GUAYAQUIL[[#This Row],[CODIGO]]="","",GUAYAQUIL[[#This Row],[Stock Actual Unds]]*GUAYAQUIL[[#This Row],[Gramaje]]*GUAYAQUIL[[#This Row],[Conversión]]),"")</f>
        <v>77.759999999999991</v>
      </c>
      <c r="W482" s="270">
        <f t="shared" si="38"/>
        <v>6</v>
      </c>
      <c r="X482" s="32">
        <f t="shared" si="39"/>
        <v>0.8666666666666667</v>
      </c>
      <c r="Y482" s="236">
        <f>IFERROR(VLOOKUP(GUAYAQUIL[[#This Row],[CODIGO]],MAESTRO!A:BI,21,FALSE),0)</f>
        <v>0.32785500000000001</v>
      </c>
      <c r="Z482" s="237">
        <f>+IFERROR(IF(GUAYAQUIL[[#This Row],[CODIGO]]="","",GUAYAQUIL[[#This Row],[COSTO UNIT base]]*GUAYAQUIL[[#This Row],[Conversión]]),"")</f>
        <v>0.32785500000000001</v>
      </c>
      <c r="AA482" s="236">
        <f>+IFERROR(IF(GUAYAQUIL[[#This Row],[CODIGO]]="","",GUAYAQUIL[[#This Row],[COSTO UNIT Conv]]*GUAYAQUIL[[#This Row],[Stock Actual Kgs]]),"")</f>
        <v>25.494004799999999</v>
      </c>
      <c r="AB482" s="33">
        <f ca="1">+IFERROR(IF(GUAYAQUIL[[#This Row],[CODIGO]]="","",$J$3-O482),"")</f>
        <v>9</v>
      </c>
      <c r="AC482" s="34" t="str">
        <f ca="1">IF(GUAYAQUIL[[#This Row],[CODIGO]]="","",IF(S482&lt;=0,"CADUCADO",IF(AND(S482&gt;0,S482&lt;=21),"FECHA CORTA",IF(AND(S482&gt;=22,S482&lt;=26),"PROXIMOS FECHA CORTA", "VIGENTE"))))</f>
        <v>VIGENTE</v>
      </c>
      <c r="AD482" s="37">
        <f>+IF(GUAYAQUIL[[#This Row],[CODIGO]]="","",GUAYAQUIL[[#This Row],[Stock Actual Unds]]*GUAYAQUIL[[#This Row],[Gramaje]]*GUAYAQUIL[[#This Row],[Conversión]])/1000</f>
        <v>7.7759999999999996E-2</v>
      </c>
    </row>
    <row r="483" spans="1:30">
      <c r="A483" s="24" t="str">
        <f>+IFERROR(IF(GUAYAQUIL[[#This Row],[CODIGO]]="","",VLOOKUP(GUAYAQUIL[[#This Row],[CODIGO]],MAESTRO!$A:$J,10,FALSE)),"")</f>
        <v>MACHACHI</v>
      </c>
      <c r="B483" s="24" t="str">
        <f>+IFERROR(IF(GUAYAQUIL[[#This Row],[CODIGO]]="","",VLOOKUP(GUAYAQUIL[[#This Row],[CODIGO]],MAESTRO!$A:$Q,17,FALSE)),"")</f>
        <v>BEBIDAS LACTEAS</v>
      </c>
      <c r="C483" s="24" t="str">
        <f>+IFERROR(IF(GUAYAQUIL[[#This Row],[CODIGO]]="","",VLOOKUP(GUAYAQUIL[[#This Row],[CODIGO]],MAESTRO!$A:$BA,53,FALSE)),"")</f>
        <v xml:space="preserve">Luis Armendariz                         </v>
      </c>
      <c r="D483" s="24" t="str">
        <f>+IFERROR(IF(GUAYAQUIL[[#This Row],[CODIGO]]="","",VLOOKUP(GUAYAQUIL[[#This Row],[CODIGO]],MAESTRO!$A:$D,4,FALSE)),"")</f>
        <v>REGENERIS</v>
      </c>
      <c r="E483" s="24" t="str">
        <f>+IFERROR(IF(GUAYAQUIL[[#This Row],[CODIGO]]="","",VLOOKUP(GUAYAQUIL[[#This Row],[CODIGO]],MAESTRO!$A:$F,6,FALSE)),"")</f>
        <v>REGENERIS CEREAL BOTELLA PERSONAL</v>
      </c>
      <c r="F483" s="42" t="str">
        <f>IF(GUAYAQUIL[[#This Row],[CODIGO]]="","",$K$6)</f>
        <v>GUAYAQUIL</v>
      </c>
      <c r="G483" s="42">
        <f>IF(GUAYAQUIL[[#This Row],[CODIGO]]="","",7711)</f>
        <v>7711</v>
      </c>
      <c r="H483" s="42">
        <f>IF(GUAYAQUIL[[#This Row],[CODIGO]]="","",1001)</f>
        <v>1001</v>
      </c>
      <c r="I483" s="258" t="s">
        <v>3900</v>
      </c>
      <c r="J483" s="25" t="str">
        <f>IFERROR((VLOOKUP(GUAYAQUIL[[#This Row],[CODIGO]],MAESTRO!A:B,2,FALSE)),"")</f>
        <v>RGN CER PITA BOT 180G</v>
      </c>
      <c r="K483" s="35">
        <v>432</v>
      </c>
      <c r="L483" s="38">
        <f>+IFERROR(IF(GUAYAQUIL[[#This Row],[CODIGO]]="","",VLOOKUP(GUAYAQUIL[[#This Row],[CODIGO]],MAESTRO!$A:$BF,58,FALSE)),"")</f>
        <v>1</v>
      </c>
      <c r="M483" s="27">
        <f>+IFERROR(IF(GUAYAQUIL[[#This Row],[CODIGO]]="","",VLOOKUP(GUAYAQUIL[[#This Row],[CODIGO]],MAESTRO!A:N,14,FALSE)),"")</f>
        <v>0.18</v>
      </c>
      <c r="N483" s="28">
        <f>+IFERROR(IF(GUAYAQUIL[[#This Row],[CODIGO]]="","",VLOOKUP(GUAYAQUIL[[#This Row],[CODIGO]],MAESTRO!A:P,16,FALSE)),"")</f>
        <v>45</v>
      </c>
      <c r="O483" s="45">
        <v>45617</v>
      </c>
      <c r="P483" s="72" t="str">
        <f t="shared" si="35"/>
        <v>jueves</v>
      </c>
      <c r="Q483" s="29">
        <f>IFERROR(IF(GUAYAQUIL[[#This Row],[CODIGO]]="","",IF(GUAYAQUIL[[#This Row],[Fecha Cad]]="","",(GUAYAQUIL[[#This Row],[Fecha Cad]]-GUAYAQUIL[[#This Row],[VIDA UTIL (Días)]]))+1),"")</f>
        <v>45611</v>
      </c>
      <c r="R483" s="45">
        <v>45655</v>
      </c>
      <c r="S483" s="30">
        <f t="shared" ca="1" si="36"/>
        <v>31</v>
      </c>
      <c r="T483" s="31">
        <f t="shared" ca="1" si="37"/>
        <v>0.68888888888888888</v>
      </c>
      <c r="U483" s="286">
        <v>324</v>
      </c>
      <c r="V483" s="265">
        <f>+IFERROR(IF(GUAYAQUIL[[#This Row],[CODIGO]]="","",GUAYAQUIL[[#This Row],[Stock Actual Unds]]*GUAYAQUIL[[#This Row],[Gramaje]]*GUAYAQUIL[[#This Row],[Conversión]]),"")</f>
        <v>58.32</v>
      </c>
      <c r="W483" s="270">
        <f t="shared" si="38"/>
        <v>6</v>
      </c>
      <c r="X483" s="32">
        <f t="shared" si="39"/>
        <v>0.8666666666666667</v>
      </c>
      <c r="Y483" s="236">
        <f>IFERROR(VLOOKUP(GUAYAQUIL[[#This Row],[CODIGO]],MAESTRO!A:BI,21,FALSE),0)</f>
        <v>0.32785500000000001</v>
      </c>
      <c r="Z483" s="237">
        <f>+IFERROR(IF(GUAYAQUIL[[#This Row],[CODIGO]]="","",GUAYAQUIL[[#This Row],[COSTO UNIT base]]*GUAYAQUIL[[#This Row],[Conversión]]),"")</f>
        <v>0.32785500000000001</v>
      </c>
      <c r="AA483" s="236">
        <f>+IFERROR(IF(GUAYAQUIL[[#This Row],[CODIGO]]="","",GUAYAQUIL[[#This Row],[COSTO UNIT Conv]]*GUAYAQUIL[[#This Row],[Stock Actual Kgs]]),"")</f>
        <v>19.120503599999999</v>
      </c>
      <c r="AB483" s="33">
        <f ca="1">+IFERROR(IF(GUAYAQUIL[[#This Row],[CODIGO]]="","",$J$3-O483),"")</f>
        <v>7</v>
      </c>
      <c r="AC483" s="34" t="str">
        <f ca="1">IF(GUAYAQUIL[[#This Row],[CODIGO]]="","",IF(S483&lt;=0,"CADUCADO",IF(AND(S483&gt;0,S483&lt;=21),"FECHA CORTA",IF(AND(S483&gt;=22,S483&lt;=26),"PROXIMOS FECHA CORTA", "VIGENTE"))))</f>
        <v>VIGENTE</v>
      </c>
      <c r="AD483" s="37">
        <f>+IF(GUAYAQUIL[[#This Row],[CODIGO]]="","",GUAYAQUIL[[#This Row],[Stock Actual Unds]]*GUAYAQUIL[[#This Row],[Gramaje]]*GUAYAQUIL[[#This Row],[Conversión]])/1000</f>
        <v>5.8319999999999997E-2</v>
      </c>
    </row>
    <row r="484" spans="1:30">
      <c r="A484" s="24" t="str">
        <f>+IFERROR(IF(GUAYAQUIL[[#This Row],[CODIGO]]="","",VLOOKUP(GUAYAQUIL[[#This Row],[CODIGO]],MAESTRO!$A:$J,10,FALSE)),"")</f>
        <v>MACHACHI</v>
      </c>
      <c r="B484" s="24" t="str">
        <f>+IFERROR(IF(GUAYAQUIL[[#This Row],[CODIGO]]="","",VLOOKUP(GUAYAQUIL[[#This Row],[CODIGO]],MAESTRO!$A:$Q,17,FALSE)),"")</f>
        <v>BEBIDAS LACTEAS</v>
      </c>
      <c r="C484" s="24" t="str">
        <f>+IFERROR(IF(GUAYAQUIL[[#This Row],[CODIGO]]="","",VLOOKUP(GUAYAQUIL[[#This Row],[CODIGO]],MAESTRO!$A:$BA,53,FALSE)),"")</f>
        <v xml:space="preserve">Luis Armendariz                         </v>
      </c>
      <c r="D484" s="24" t="str">
        <f>+IFERROR(IF(GUAYAQUIL[[#This Row],[CODIGO]]="","",VLOOKUP(GUAYAQUIL[[#This Row],[CODIGO]],MAESTRO!$A:$D,4,FALSE)),"")</f>
        <v>REGENERIS</v>
      </c>
      <c r="E484" s="24" t="str">
        <f>+IFERROR(IF(GUAYAQUIL[[#This Row],[CODIGO]]="","",VLOOKUP(GUAYAQUIL[[#This Row],[CODIGO]],MAESTRO!$A:$F,6,FALSE)),"")</f>
        <v>REGENERIS BAJO EN GRASA BOTELLA FAMILIAR</v>
      </c>
      <c r="F484" s="42" t="str">
        <f>IF(GUAYAQUIL[[#This Row],[CODIGO]]="","",$K$6)</f>
        <v>GUAYAQUIL</v>
      </c>
      <c r="G484" s="42">
        <f>IF(GUAYAQUIL[[#This Row],[CODIGO]]="","",7711)</f>
        <v>7711</v>
      </c>
      <c r="H484" s="42">
        <f>IF(GUAYAQUIL[[#This Row],[CODIGO]]="","",1001)</f>
        <v>1001</v>
      </c>
      <c r="I484" s="258" t="s">
        <v>4086</v>
      </c>
      <c r="J484" s="25" t="str">
        <f>IFERROR((VLOOKUP(GUAYAQUIL[[#This Row],[CODIGO]],MAESTRO!A:B,2,FALSE)),"")</f>
        <v>RGN LGHT FTLLA BOT 1000G</v>
      </c>
      <c r="K484" s="35">
        <v>18</v>
      </c>
      <c r="L484" s="38">
        <f>+IFERROR(IF(GUAYAQUIL[[#This Row],[CODIGO]]="","",VLOOKUP(GUAYAQUIL[[#This Row],[CODIGO]],MAESTRO!$A:$BF,58,FALSE)),"")</f>
        <v>1</v>
      </c>
      <c r="M484" s="27">
        <f>+IFERROR(IF(GUAYAQUIL[[#This Row],[CODIGO]]="","",VLOOKUP(GUAYAQUIL[[#This Row],[CODIGO]],MAESTRO!A:N,14,FALSE)),"")</f>
        <v>1</v>
      </c>
      <c r="N484" s="28">
        <f>+IFERROR(IF(GUAYAQUIL[[#This Row],[CODIGO]]="","",VLOOKUP(GUAYAQUIL[[#This Row],[CODIGO]],MAESTRO!A:P,16,FALSE)),"")</f>
        <v>45</v>
      </c>
      <c r="O484" s="45">
        <v>45612</v>
      </c>
      <c r="P484" s="72" t="str">
        <f t="shared" si="35"/>
        <v>sábado</v>
      </c>
      <c r="Q484" s="29">
        <f>IFERROR(IF(GUAYAQUIL[[#This Row],[CODIGO]]="","",IF(GUAYAQUIL[[#This Row],[Fecha Cad]]="","",(GUAYAQUIL[[#This Row],[Fecha Cad]]-GUAYAQUIL[[#This Row],[VIDA UTIL (Días)]]))+1),"")</f>
        <v>45602</v>
      </c>
      <c r="R484" s="45">
        <v>45646</v>
      </c>
      <c r="S484" s="30">
        <f t="shared" ca="1" si="36"/>
        <v>22</v>
      </c>
      <c r="T484" s="31">
        <f t="shared" ca="1" si="37"/>
        <v>0.48888888888888887</v>
      </c>
      <c r="U484" s="286">
        <v>4</v>
      </c>
      <c r="V484" s="265">
        <f>+IFERROR(IF(GUAYAQUIL[[#This Row],[CODIGO]]="","",GUAYAQUIL[[#This Row],[Stock Actual Unds]]*GUAYAQUIL[[#This Row],[Gramaje]]*GUAYAQUIL[[#This Row],[Conversión]]),"")</f>
        <v>4</v>
      </c>
      <c r="W484" s="270">
        <f t="shared" si="38"/>
        <v>10</v>
      </c>
      <c r="X484" s="32">
        <f t="shared" si="39"/>
        <v>0.77777777777777779</v>
      </c>
      <c r="Y484" s="236">
        <f>IFERROR(VLOOKUP(GUAYAQUIL[[#This Row],[CODIGO]],MAESTRO!A:BI,21,FALSE),0)</f>
        <v>1.3149000000000002</v>
      </c>
      <c r="Z484" s="237">
        <f>+IFERROR(IF(GUAYAQUIL[[#This Row],[CODIGO]]="","",GUAYAQUIL[[#This Row],[COSTO UNIT base]]*GUAYAQUIL[[#This Row],[Conversión]]),"")</f>
        <v>1.3149000000000002</v>
      </c>
      <c r="AA484" s="236">
        <f>+IFERROR(IF(GUAYAQUIL[[#This Row],[CODIGO]]="","",GUAYAQUIL[[#This Row],[COSTO UNIT Conv]]*GUAYAQUIL[[#This Row],[Stock Actual Kgs]]),"")</f>
        <v>5.2596000000000007</v>
      </c>
      <c r="AB484" s="33">
        <f ca="1">+IFERROR(IF(GUAYAQUIL[[#This Row],[CODIGO]]="","",$J$3-O484),"")</f>
        <v>12</v>
      </c>
      <c r="AC484" s="34" t="str">
        <f ca="1">IF(GUAYAQUIL[[#This Row],[CODIGO]]="","",IF(S484&lt;=0,"CADUCADO",IF(AND(S484&gt;0,S484&lt;=21),"FECHA CORTA",IF(AND(S484&gt;=22,S484&lt;=26),"PROXIMOS FECHA CORTA", "VIGENTE"))))</f>
        <v>PROXIMOS FECHA CORTA</v>
      </c>
      <c r="AD484" s="37">
        <f>+IF(GUAYAQUIL[[#This Row],[CODIGO]]="","",GUAYAQUIL[[#This Row],[Stock Actual Unds]]*GUAYAQUIL[[#This Row],[Gramaje]]*GUAYAQUIL[[#This Row],[Conversión]])/1000</f>
        <v>4.0000000000000001E-3</v>
      </c>
    </row>
    <row r="485" spans="1:30">
      <c r="A485" s="24" t="str">
        <f>+IFERROR(IF(GUAYAQUIL[[#This Row],[CODIGO]]="","",VLOOKUP(GUAYAQUIL[[#This Row],[CODIGO]],MAESTRO!$A:$J,10,FALSE)),"")</f>
        <v>MACHACHI</v>
      </c>
      <c r="B485" s="24" t="str">
        <f>+IFERROR(IF(GUAYAQUIL[[#This Row],[CODIGO]]="","",VLOOKUP(GUAYAQUIL[[#This Row],[CODIGO]],MAESTRO!$A:$Q,17,FALSE)),"")</f>
        <v>BEBIDAS LACTEAS</v>
      </c>
      <c r="C485" s="24" t="str">
        <f>+IFERROR(IF(GUAYAQUIL[[#This Row],[CODIGO]]="","",VLOOKUP(GUAYAQUIL[[#This Row],[CODIGO]],MAESTRO!$A:$BA,53,FALSE)),"")</f>
        <v xml:space="preserve">Luis Armendariz                         </v>
      </c>
      <c r="D485" s="24" t="str">
        <f>+IFERROR(IF(GUAYAQUIL[[#This Row],[CODIGO]]="","",VLOOKUP(GUAYAQUIL[[#This Row],[CODIGO]],MAESTRO!$A:$D,4,FALSE)),"")</f>
        <v>REGENERIS</v>
      </c>
      <c r="E485" s="24" t="str">
        <f>+IFERROR(IF(GUAYAQUIL[[#This Row],[CODIGO]]="","",VLOOKUP(GUAYAQUIL[[#This Row],[CODIGO]],MAESTRO!$A:$F,6,FALSE)),"")</f>
        <v>REGENERIS BAJO EN GRASA BOTELLA FAMILIAR</v>
      </c>
      <c r="F485" s="42" t="str">
        <f>IF(GUAYAQUIL[[#This Row],[CODIGO]]="","",$K$6)</f>
        <v>GUAYAQUIL</v>
      </c>
      <c r="G485" s="209">
        <f>IF(GUAYAQUIL[[#This Row],[CODIGO]]="","",7711)</f>
        <v>7711</v>
      </c>
      <c r="H485" s="209">
        <f>IF(GUAYAQUIL[[#This Row],[CODIGO]]="","",1001)</f>
        <v>1001</v>
      </c>
      <c r="I485" s="258" t="s">
        <v>4086</v>
      </c>
      <c r="J485" s="25" t="str">
        <f>IFERROR((VLOOKUP(GUAYAQUIL[[#This Row],[CODIGO]],MAESTRO!A:B,2,FALSE)),"")</f>
        <v>RGN LGHT FTLLA BOT 1000G</v>
      </c>
      <c r="K485" s="35">
        <v>18</v>
      </c>
      <c r="L485" s="38">
        <f>+IFERROR(IF(GUAYAQUIL[[#This Row],[CODIGO]]="","",VLOOKUP(GUAYAQUIL[[#This Row],[CODIGO]],MAESTRO!$A:$BF,58,FALSE)),"")</f>
        <v>1</v>
      </c>
      <c r="M485" s="27">
        <f>+IFERROR(IF(GUAYAQUIL[[#This Row],[CODIGO]]="","",VLOOKUP(GUAYAQUIL[[#This Row],[CODIGO]],MAESTRO!A:N,14,FALSE)),"")</f>
        <v>1</v>
      </c>
      <c r="N485" s="28">
        <f>+IFERROR(IF(GUAYAQUIL[[#This Row],[CODIGO]]="","",VLOOKUP(GUAYAQUIL[[#This Row],[CODIGO]],MAESTRO!A:P,16,FALSE)),"")</f>
        <v>45</v>
      </c>
      <c r="O485" s="45">
        <v>45615</v>
      </c>
      <c r="P485" s="72" t="str">
        <f t="shared" si="35"/>
        <v>martes</v>
      </c>
      <c r="Q485" s="29">
        <f>IFERROR(IF(GUAYAQUIL[[#This Row],[CODIGO]]="","",IF(GUAYAQUIL[[#This Row],[Fecha Cad]]="","",(GUAYAQUIL[[#This Row],[Fecha Cad]]-GUAYAQUIL[[#This Row],[VIDA UTIL (Días)]]))+1),"")</f>
        <v>45602</v>
      </c>
      <c r="R485" s="45">
        <v>45646</v>
      </c>
      <c r="S485" s="30">
        <f t="shared" ca="1" si="36"/>
        <v>22</v>
      </c>
      <c r="T485" s="31">
        <f t="shared" ca="1" si="37"/>
        <v>0.48888888888888887</v>
      </c>
      <c r="U485" s="286">
        <v>18</v>
      </c>
      <c r="V485" s="265">
        <f>+IFERROR(IF(GUAYAQUIL[[#This Row],[CODIGO]]="","",GUAYAQUIL[[#This Row],[Stock Actual Unds]]*GUAYAQUIL[[#This Row],[Gramaje]]*GUAYAQUIL[[#This Row],[Conversión]]),"")</f>
        <v>18</v>
      </c>
      <c r="W485" s="270">
        <f t="shared" si="38"/>
        <v>13</v>
      </c>
      <c r="X485" s="32">
        <f t="shared" si="39"/>
        <v>0.71111111111111114</v>
      </c>
      <c r="Y485" s="236">
        <f>IFERROR(VLOOKUP(GUAYAQUIL[[#This Row],[CODIGO]],MAESTRO!A:BI,21,FALSE),0)</f>
        <v>1.3149000000000002</v>
      </c>
      <c r="Z485" s="237">
        <f>+IFERROR(IF(GUAYAQUIL[[#This Row],[CODIGO]]="","",GUAYAQUIL[[#This Row],[COSTO UNIT base]]*GUAYAQUIL[[#This Row],[Conversión]]),"")</f>
        <v>1.3149000000000002</v>
      </c>
      <c r="AA485" s="236">
        <f>+IFERROR(IF(GUAYAQUIL[[#This Row],[CODIGO]]="","",GUAYAQUIL[[#This Row],[COSTO UNIT Conv]]*GUAYAQUIL[[#This Row],[Stock Actual Kgs]]),"")</f>
        <v>23.668200000000002</v>
      </c>
      <c r="AB485" s="33">
        <f ca="1">+IFERROR(IF(GUAYAQUIL[[#This Row],[CODIGO]]="","",$J$3-O485),"")</f>
        <v>9</v>
      </c>
      <c r="AC485" s="34" t="str">
        <f ca="1">IF(GUAYAQUIL[[#This Row],[CODIGO]]="","",IF(S485&lt;=0,"CADUCADO",IF(AND(S485&gt;0,S485&lt;=21),"FECHA CORTA",IF(AND(S485&gt;=22,S485&lt;=26),"PROXIMOS FECHA CORTA", "VIGENTE"))))</f>
        <v>PROXIMOS FECHA CORTA</v>
      </c>
      <c r="AD485" s="37">
        <f>+IF(GUAYAQUIL[[#This Row],[CODIGO]]="","",GUAYAQUIL[[#This Row],[Stock Actual Unds]]*GUAYAQUIL[[#This Row],[Gramaje]]*GUAYAQUIL[[#This Row],[Conversión]])/1000</f>
        <v>1.7999999999999999E-2</v>
      </c>
    </row>
    <row r="486" spans="1:30">
      <c r="A486" s="24" t="str">
        <f>+IFERROR(IF(GUAYAQUIL[[#This Row],[CODIGO]]="","",VLOOKUP(GUAYAQUIL[[#This Row],[CODIGO]],MAESTRO!$A:$J,10,FALSE)),"")</f>
        <v>MACHACHI</v>
      </c>
      <c r="B486" s="24" t="str">
        <f>+IFERROR(IF(GUAYAQUIL[[#This Row],[CODIGO]]="","",VLOOKUP(GUAYAQUIL[[#This Row],[CODIGO]],MAESTRO!$A:$Q,17,FALSE)),"")</f>
        <v>BEBIDAS LACTEAS</v>
      </c>
      <c r="C486" s="24" t="str">
        <f>+IFERROR(IF(GUAYAQUIL[[#This Row],[CODIGO]]="","",VLOOKUP(GUAYAQUIL[[#This Row],[CODIGO]],MAESTRO!$A:$BA,53,FALSE)),"")</f>
        <v xml:space="preserve">Luis Armendariz                         </v>
      </c>
      <c r="D486" s="24" t="str">
        <f>+IFERROR(IF(GUAYAQUIL[[#This Row],[CODIGO]]="","",VLOOKUP(GUAYAQUIL[[#This Row],[CODIGO]],MAESTRO!$A:$D,4,FALSE)),"")</f>
        <v>REGENERIS</v>
      </c>
      <c r="E486" s="24" t="str">
        <f>+IFERROR(IF(GUAYAQUIL[[#This Row],[CODIGO]]="","",VLOOKUP(GUAYAQUIL[[#This Row],[CODIGO]],MAESTRO!$A:$F,6,FALSE)),"")</f>
        <v>REGENERIS BAJO EN GRASA BOTELLA FAMILIAR</v>
      </c>
      <c r="F486" s="42" t="str">
        <f>IF(GUAYAQUIL[[#This Row],[CODIGO]]="","",$K$6)</f>
        <v>GUAYAQUIL</v>
      </c>
      <c r="G486" s="42">
        <f>IF(GUAYAQUIL[[#This Row],[CODIGO]]="","",7711)</f>
        <v>7711</v>
      </c>
      <c r="H486" s="42">
        <f>IF(GUAYAQUIL[[#This Row],[CODIGO]]="","",1001)</f>
        <v>1001</v>
      </c>
      <c r="I486" s="258" t="s">
        <v>4086</v>
      </c>
      <c r="J486" s="25" t="str">
        <f>IFERROR((VLOOKUP(GUAYAQUIL[[#This Row],[CODIGO]],MAESTRO!A:B,2,FALSE)),"")</f>
        <v>RGN LGHT FTLLA BOT 1000G</v>
      </c>
      <c r="K486" s="35">
        <v>18</v>
      </c>
      <c r="L486" s="38">
        <f>+IFERROR(IF(GUAYAQUIL[[#This Row],[CODIGO]]="","",VLOOKUP(GUAYAQUIL[[#This Row],[CODIGO]],MAESTRO!$A:$BF,58,FALSE)),"")</f>
        <v>1</v>
      </c>
      <c r="M486" s="27">
        <f>+IFERROR(IF(GUAYAQUIL[[#This Row],[CODIGO]]="","",VLOOKUP(GUAYAQUIL[[#This Row],[CODIGO]],MAESTRO!A:N,14,FALSE)),"")</f>
        <v>1</v>
      </c>
      <c r="N486" s="28">
        <f>+IFERROR(IF(GUAYAQUIL[[#This Row],[CODIGO]]="","",VLOOKUP(GUAYAQUIL[[#This Row],[CODIGO]],MAESTRO!A:P,16,FALSE)),"")</f>
        <v>45</v>
      </c>
      <c r="O486" s="45">
        <v>45616</v>
      </c>
      <c r="P486" s="72" t="str">
        <f t="shared" si="35"/>
        <v>miércoles</v>
      </c>
      <c r="Q486" s="29">
        <f>IFERROR(IF(GUAYAQUIL[[#This Row],[CODIGO]]="","",IF(GUAYAQUIL[[#This Row],[Fecha Cad]]="","",(GUAYAQUIL[[#This Row],[Fecha Cad]]-GUAYAQUIL[[#This Row],[VIDA UTIL (Días)]]))+1),"")</f>
        <v>45610</v>
      </c>
      <c r="R486" s="45">
        <v>45654</v>
      </c>
      <c r="S486" s="30">
        <f t="shared" ca="1" si="36"/>
        <v>30</v>
      </c>
      <c r="T486" s="31">
        <f t="shared" ca="1" si="37"/>
        <v>0.66666666666666663</v>
      </c>
      <c r="U486" s="286">
        <v>18</v>
      </c>
      <c r="V486" s="265">
        <f>+IFERROR(IF(GUAYAQUIL[[#This Row],[CODIGO]]="","",GUAYAQUIL[[#This Row],[Stock Actual Unds]]*GUAYAQUIL[[#This Row],[Gramaje]]*GUAYAQUIL[[#This Row],[Conversión]]),"")</f>
        <v>18</v>
      </c>
      <c r="W486" s="270">
        <f t="shared" si="38"/>
        <v>6</v>
      </c>
      <c r="X486" s="32">
        <f t="shared" si="39"/>
        <v>0.8666666666666667</v>
      </c>
      <c r="Y486" s="236">
        <f>IFERROR(VLOOKUP(GUAYAQUIL[[#This Row],[CODIGO]],MAESTRO!A:BI,21,FALSE),0)</f>
        <v>1.3149000000000002</v>
      </c>
      <c r="Z486" s="237">
        <f>+IFERROR(IF(GUAYAQUIL[[#This Row],[CODIGO]]="","",GUAYAQUIL[[#This Row],[COSTO UNIT base]]*GUAYAQUIL[[#This Row],[Conversión]]),"")</f>
        <v>1.3149000000000002</v>
      </c>
      <c r="AA486" s="236">
        <f>+IFERROR(IF(GUAYAQUIL[[#This Row],[CODIGO]]="","",GUAYAQUIL[[#This Row],[COSTO UNIT Conv]]*GUAYAQUIL[[#This Row],[Stock Actual Kgs]]),"")</f>
        <v>23.668200000000002</v>
      </c>
      <c r="AB486" s="33">
        <f ca="1">+IFERROR(IF(GUAYAQUIL[[#This Row],[CODIGO]]="","",$J$3-O486),"")</f>
        <v>8</v>
      </c>
      <c r="AC486" s="34" t="str">
        <f ca="1">IF(GUAYAQUIL[[#This Row],[CODIGO]]="","",IF(S486&lt;=0,"CADUCADO",IF(AND(S486&gt;0,S486&lt;=21),"FECHA CORTA",IF(AND(S486&gt;=22,S486&lt;=26),"PROXIMOS FECHA CORTA", "VIGENTE"))))</f>
        <v>VIGENTE</v>
      </c>
      <c r="AD486" s="37">
        <f>+IF(GUAYAQUIL[[#This Row],[CODIGO]]="","",GUAYAQUIL[[#This Row],[Stock Actual Unds]]*GUAYAQUIL[[#This Row],[Gramaje]]*GUAYAQUIL[[#This Row],[Conversión]])/1000</f>
        <v>1.7999999999999999E-2</v>
      </c>
    </row>
    <row r="487" spans="1:30">
      <c r="A487" s="24" t="str">
        <f>+IFERROR(IF(GUAYAQUIL[[#This Row],[CODIGO]]="","",VLOOKUP(GUAYAQUIL[[#This Row],[CODIGO]],MAESTRO!$A:$J,10,FALSE)),"")</f>
        <v>MACHACHI</v>
      </c>
      <c r="B487" s="24" t="str">
        <f>+IFERROR(IF(GUAYAQUIL[[#This Row],[CODIGO]]="","",VLOOKUP(GUAYAQUIL[[#This Row],[CODIGO]],MAESTRO!$A:$Q,17,FALSE)),"")</f>
        <v>BEBIDAS LACTEAS</v>
      </c>
      <c r="C487" s="24" t="str">
        <f>+IFERROR(IF(GUAYAQUIL[[#This Row],[CODIGO]]="","",VLOOKUP(GUAYAQUIL[[#This Row],[CODIGO]],MAESTRO!$A:$BA,53,FALSE)),"")</f>
        <v xml:space="preserve">Luis Armendariz                         </v>
      </c>
      <c r="D487" s="24" t="str">
        <f>+IFERROR(IF(GUAYAQUIL[[#This Row],[CODIGO]]="","",VLOOKUP(GUAYAQUIL[[#This Row],[CODIGO]],MAESTRO!$A:$D,4,FALSE)),"")</f>
        <v>REGENERIS</v>
      </c>
      <c r="E487" s="24" t="str">
        <f>+IFERROR(IF(GUAYAQUIL[[#This Row],[CODIGO]]="","",VLOOKUP(GUAYAQUIL[[#This Row],[CODIGO]],MAESTRO!$A:$F,6,FALSE)),"")</f>
        <v>REGENERIS BAJO EN GRASA BOTELLA FAMILIAR</v>
      </c>
      <c r="F487" s="42" t="str">
        <f>IF(GUAYAQUIL[[#This Row],[CODIGO]]="","",$K$6)</f>
        <v>GUAYAQUIL</v>
      </c>
      <c r="G487" s="209">
        <f>IF(GUAYAQUIL[[#This Row],[CODIGO]]="","",7711)</f>
        <v>7711</v>
      </c>
      <c r="H487" s="209">
        <f>IF(GUAYAQUIL[[#This Row],[CODIGO]]="","",1001)</f>
        <v>1001</v>
      </c>
      <c r="I487" s="258" t="s">
        <v>3632</v>
      </c>
      <c r="J487" s="25" t="str">
        <f>IFERROR((VLOOKUP(GUAYAQUIL[[#This Row],[CODIGO]],MAESTRO!A:B,2,FALSE)),"")</f>
        <v>RGN LGHT FTLLA BOT 1750G</v>
      </c>
      <c r="K487" s="35">
        <v>24</v>
      </c>
      <c r="L487" s="38">
        <f>+IFERROR(IF(GUAYAQUIL[[#This Row],[CODIGO]]="","",VLOOKUP(GUAYAQUIL[[#This Row],[CODIGO]],MAESTRO!$A:$BF,58,FALSE)),"")</f>
        <v>1</v>
      </c>
      <c r="M487" s="27">
        <f>+IFERROR(IF(GUAYAQUIL[[#This Row],[CODIGO]]="","",VLOOKUP(GUAYAQUIL[[#This Row],[CODIGO]],MAESTRO!A:N,14,FALSE)),"")</f>
        <v>1.75</v>
      </c>
      <c r="N487" s="28">
        <f>+IFERROR(IF(GUAYAQUIL[[#This Row],[CODIGO]]="","",VLOOKUP(GUAYAQUIL[[#This Row],[CODIGO]],MAESTRO!A:P,16,FALSE)),"")</f>
        <v>45</v>
      </c>
      <c r="O487" s="29">
        <v>45612</v>
      </c>
      <c r="P487" s="72" t="str">
        <f t="shared" si="35"/>
        <v>sábado</v>
      </c>
      <c r="Q487" s="29">
        <f>IFERROR(IF(GUAYAQUIL[[#This Row],[CODIGO]]="","",IF(GUAYAQUIL[[#This Row],[Fecha Cad]]="","",(GUAYAQUIL[[#This Row],[Fecha Cad]]-GUAYAQUIL[[#This Row],[VIDA UTIL (Días)]]))+1),"")</f>
        <v>45610</v>
      </c>
      <c r="R487" s="29">
        <v>45654</v>
      </c>
      <c r="S487" s="30">
        <f t="shared" ca="1" si="36"/>
        <v>30</v>
      </c>
      <c r="T487" s="31">
        <f t="shared" ca="1" si="37"/>
        <v>0.66666666666666663</v>
      </c>
      <c r="U487" s="286">
        <v>23</v>
      </c>
      <c r="V487" s="266">
        <f>+IFERROR(IF(GUAYAQUIL[[#This Row],[CODIGO]]="","",GUAYAQUIL[[#This Row],[Stock Actual Unds]]*GUAYAQUIL[[#This Row],[Gramaje]]*GUAYAQUIL[[#This Row],[Conversión]]),"")</f>
        <v>40.25</v>
      </c>
      <c r="W487" s="270">
        <f t="shared" si="38"/>
        <v>2</v>
      </c>
      <c r="X487" s="32">
        <f t="shared" si="39"/>
        <v>0.9555555555555556</v>
      </c>
      <c r="Y487" s="236">
        <f>IFERROR(VLOOKUP(GUAYAQUIL[[#This Row],[CODIGO]],MAESTRO!A:BI,21,FALSE),0)</f>
        <v>2.1685949999999998</v>
      </c>
      <c r="Z487" s="237">
        <f>+IFERROR(IF(GUAYAQUIL[[#This Row],[CODIGO]]="","",GUAYAQUIL[[#This Row],[COSTO UNIT base]]*GUAYAQUIL[[#This Row],[Conversión]]),"")</f>
        <v>2.1685949999999998</v>
      </c>
      <c r="AA487" s="236">
        <f>+IFERROR(IF(GUAYAQUIL[[#This Row],[CODIGO]]="","",GUAYAQUIL[[#This Row],[COSTO UNIT Conv]]*GUAYAQUIL[[#This Row],[Stock Actual Kgs]]),"")</f>
        <v>87.285948749999989</v>
      </c>
      <c r="AB487" s="33">
        <f ca="1">+IFERROR(IF(GUAYAQUIL[[#This Row],[CODIGO]]="","",$J$3-O487),"")</f>
        <v>12</v>
      </c>
      <c r="AC487" s="34" t="str">
        <f ca="1">IF(GUAYAQUIL[[#This Row],[CODIGO]]="","",IF(S487&lt;=0,"CADUCADO",IF(AND(S487&gt;0,S487&lt;=21),"FECHA CORTA",IF(AND(S487&gt;=22,S487&lt;=26),"PROXIMOS FECHA CORTA", "VIGENTE"))))</f>
        <v>VIGENTE</v>
      </c>
      <c r="AD487" s="37">
        <f>+IF(GUAYAQUIL[[#This Row],[CODIGO]]="","",GUAYAQUIL[[#This Row],[Stock Actual Unds]]*GUAYAQUIL[[#This Row],[Gramaje]]*GUAYAQUIL[[#This Row],[Conversión]])/1000</f>
        <v>4.0250000000000001E-2</v>
      </c>
    </row>
    <row r="488" spans="1:30">
      <c r="A488" s="24" t="str">
        <f>+IFERROR(IF(GUAYAQUIL[[#This Row],[CODIGO]]="","",VLOOKUP(GUAYAQUIL[[#This Row],[CODIGO]],MAESTRO!$A:$J,10,FALSE)),"")</f>
        <v>MACHACHI</v>
      </c>
      <c r="B488" s="24" t="str">
        <f>+IFERROR(IF(GUAYAQUIL[[#This Row],[CODIGO]]="","",VLOOKUP(GUAYAQUIL[[#This Row],[CODIGO]],MAESTRO!$A:$Q,17,FALSE)),"")</f>
        <v>BEBIDAS LACTEAS</v>
      </c>
      <c r="C488" s="24" t="str">
        <f>+IFERROR(IF(GUAYAQUIL[[#This Row],[CODIGO]]="","",VLOOKUP(GUAYAQUIL[[#This Row],[CODIGO]],MAESTRO!$A:$BA,53,FALSE)),"")</f>
        <v xml:space="preserve">Luis Armendariz                         </v>
      </c>
      <c r="D488" s="24" t="str">
        <f>+IFERROR(IF(GUAYAQUIL[[#This Row],[CODIGO]]="","",VLOOKUP(GUAYAQUIL[[#This Row],[CODIGO]],MAESTRO!$A:$D,4,FALSE)),"")</f>
        <v>REGENERIS</v>
      </c>
      <c r="E488" s="24" t="str">
        <f>+IFERROR(IF(GUAYAQUIL[[#This Row],[CODIGO]]="","",VLOOKUP(GUAYAQUIL[[#This Row],[CODIGO]],MAESTRO!$A:$F,6,FALSE)),"")</f>
        <v>REGENERIS BAJO EN GRASA BOTELLA FAMILIAR</v>
      </c>
      <c r="F488" s="42" t="str">
        <f>IF(GUAYAQUIL[[#This Row],[CODIGO]]="","",$K$6)</f>
        <v>GUAYAQUIL</v>
      </c>
      <c r="G488" s="42">
        <f>IF(GUAYAQUIL[[#This Row],[CODIGO]]="","",7711)</f>
        <v>7711</v>
      </c>
      <c r="H488" s="42">
        <f>IF(GUAYAQUIL[[#This Row],[CODIGO]]="","",1001)</f>
        <v>1001</v>
      </c>
      <c r="I488" s="258" t="s">
        <v>3632</v>
      </c>
      <c r="J488" s="25" t="str">
        <f>IFERROR((VLOOKUP(GUAYAQUIL[[#This Row],[CODIGO]],MAESTRO!A:B,2,FALSE)),"")</f>
        <v>RGN LGHT FTLLA BOT 1750G</v>
      </c>
      <c r="K488" s="35">
        <v>12</v>
      </c>
      <c r="L488" s="38">
        <f>+IFERROR(IF(GUAYAQUIL[[#This Row],[CODIGO]]="","",VLOOKUP(GUAYAQUIL[[#This Row],[CODIGO]],MAESTRO!$A:$BF,58,FALSE)),"")</f>
        <v>1</v>
      </c>
      <c r="M488" s="27">
        <f>+IFERROR(IF(GUAYAQUIL[[#This Row],[CODIGO]]="","",VLOOKUP(GUAYAQUIL[[#This Row],[CODIGO]],MAESTRO!A:N,14,FALSE)),"")</f>
        <v>1.75</v>
      </c>
      <c r="N488" s="28">
        <f>+IFERROR(IF(GUAYAQUIL[[#This Row],[CODIGO]]="","",VLOOKUP(GUAYAQUIL[[#This Row],[CODIGO]],MAESTRO!A:P,16,FALSE)),"")</f>
        <v>45</v>
      </c>
      <c r="O488" s="29">
        <v>45616</v>
      </c>
      <c r="P488" s="72" t="str">
        <f t="shared" si="35"/>
        <v>miércoles</v>
      </c>
      <c r="Q488" s="29">
        <f>IFERROR(IF(GUAYAQUIL[[#This Row],[CODIGO]]="","",IF(GUAYAQUIL[[#This Row],[Fecha Cad]]="","",(GUAYAQUIL[[#This Row],[Fecha Cad]]-GUAYAQUIL[[#This Row],[VIDA UTIL (Días)]]))+1),"")</f>
        <v>45610</v>
      </c>
      <c r="R488" s="29">
        <v>45654</v>
      </c>
      <c r="S488" s="30">
        <f t="shared" ca="1" si="36"/>
        <v>30</v>
      </c>
      <c r="T488" s="31">
        <f t="shared" ca="1" si="37"/>
        <v>0.66666666666666663</v>
      </c>
      <c r="U488" s="286">
        <v>12</v>
      </c>
      <c r="V488" s="266">
        <f>+IFERROR(IF(GUAYAQUIL[[#This Row],[CODIGO]]="","",GUAYAQUIL[[#This Row],[Stock Actual Unds]]*GUAYAQUIL[[#This Row],[Gramaje]]*GUAYAQUIL[[#This Row],[Conversión]]),"")</f>
        <v>21</v>
      </c>
      <c r="W488" s="270">
        <f t="shared" si="38"/>
        <v>6</v>
      </c>
      <c r="X488" s="32">
        <f t="shared" si="39"/>
        <v>0.8666666666666667</v>
      </c>
      <c r="Y488" s="236">
        <f>IFERROR(VLOOKUP(GUAYAQUIL[[#This Row],[CODIGO]],MAESTRO!A:BI,21,FALSE),0)</f>
        <v>2.1685949999999998</v>
      </c>
      <c r="Z488" s="237">
        <f>+IFERROR(IF(GUAYAQUIL[[#This Row],[CODIGO]]="","",GUAYAQUIL[[#This Row],[COSTO UNIT base]]*GUAYAQUIL[[#This Row],[Conversión]]),"")</f>
        <v>2.1685949999999998</v>
      </c>
      <c r="AA488" s="236">
        <f>+IFERROR(IF(GUAYAQUIL[[#This Row],[CODIGO]]="","",GUAYAQUIL[[#This Row],[COSTO UNIT Conv]]*GUAYAQUIL[[#This Row],[Stock Actual Kgs]]),"")</f>
        <v>45.540494999999993</v>
      </c>
      <c r="AB488" s="33">
        <f ca="1">+IFERROR(IF(GUAYAQUIL[[#This Row],[CODIGO]]="","",$J$3-O488),"")</f>
        <v>8</v>
      </c>
      <c r="AC488" s="34" t="str">
        <f ca="1">IF(GUAYAQUIL[[#This Row],[CODIGO]]="","",IF(S488&lt;=0,"CADUCADO",IF(AND(S488&gt;0,S488&lt;=21),"FECHA CORTA",IF(AND(S488&gt;=22,S488&lt;=26),"PROXIMOS FECHA CORTA", "VIGENTE"))))</f>
        <v>VIGENTE</v>
      </c>
      <c r="AD488" s="37">
        <f>+IF(GUAYAQUIL[[#This Row],[CODIGO]]="","",GUAYAQUIL[[#This Row],[Stock Actual Unds]]*GUAYAQUIL[[#This Row],[Gramaje]]*GUAYAQUIL[[#This Row],[Conversión]])/1000</f>
        <v>2.1000000000000001E-2</v>
      </c>
    </row>
    <row r="489" spans="1:30">
      <c r="A489" s="24" t="str">
        <f>+IFERROR(IF(GUAYAQUIL[[#This Row],[CODIGO]]="","",VLOOKUP(GUAYAQUIL[[#This Row],[CODIGO]],MAESTRO!$A:$J,10,FALSE)),"")</f>
        <v>MACHACHI</v>
      </c>
      <c r="B489" s="24" t="str">
        <f>+IFERROR(IF(GUAYAQUIL[[#This Row],[CODIGO]]="","",VLOOKUP(GUAYAQUIL[[#This Row],[CODIGO]],MAESTRO!$A:$Q,17,FALSE)),"")</f>
        <v>BEBIDAS LACTEAS</v>
      </c>
      <c r="C489" s="24" t="str">
        <f>+IFERROR(IF(GUAYAQUIL[[#This Row],[CODIGO]]="","",VLOOKUP(GUAYAQUIL[[#This Row],[CODIGO]],MAESTRO!$A:$BA,53,FALSE)),"")</f>
        <v xml:space="preserve">Luis Armendariz                         </v>
      </c>
      <c r="D489" s="24" t="str">
        <f>+IFERROR(IF(GUAYAQUIL[[#This Row],[CODIGO]]="","",VLOOKUP(GUAYAQUIL[[#This Row],[CODIGO]],MAESTRO!$A:$D,4,FALSE)),"")</f>
        <v>REGENERIS</v>
      </c>
      <c r="E489" s="24" t="str">
        <f>+IFERROR(IF(GUAYAQUIL[[#This Row],[CODIGO]]="","",VLOOKUP(GUAYAQUIL[[#This Row],[CODIGO]],MAESTRO!$A:$F,6,FALSE)),"")</f>
        <v>REGENERIS BEBIBLE BOTELLA PERSONAL</v>
      </c>
      <c r="F489" s="42" t="str">
        <f>IF(GUAYAQUIL[[#This Row],[CODIGO]]="","",$K$6)</f>
        <v>GUAYAQUIL</v>
      </c>
      <c r="G489" s="209">
        <f>IF(GUAYAQUIL[[#This Row],[CODIGO]]="","",7711)</f>
        <v>7711</v>
      </c>
      <c r="H489" s="209">
        <f>IF(GUAYAQUIL[[#This Row],[CODIGO]]="","",1001)</f>
        <v>1001</v>
      </c>
      <c r="I489" s="257" t="s">
        <v>1772</v>
      </c>
      <c r="J489" s="25" t="str">
        <f>IFERROR((VLOOKUP(GUAYAQUIL[[#This Row],[CODIGO]],MAESTRO!A:B,2,FALSE)),"")</f>
        <v>RGN BBLE DZNO BOT 180G</v>
      </c>
      <c r="K489" s="26">
        <v>108</v>
      </c>
      <c r="L489" s="38">
        <f>+IFERROR(IF(GUAYAQUIL[[#This Row],[CODIGO]]="","",VLOOKUP(GUAYAQUIL[[#This Row],[CODIGO]],MAESTRO!$A:$BF,58,FALSE)),"")</f>
        <v>1</v>
      </c>
      <c r="M489" s="27">
        <f>+IFERROR(IF(GUAYAQUIL[[#This Row],[CODIGO]]="","",VLOOKUP(GUAYAQUIL[[#This Row],[CODIGO]],MAESTRO!A:N,14,FALSE)),"")</f>
        <v>0.18</v>
      </c>
      <c r="N489" s="28">
        <f>+IFERROR(IF(GUAYAQUIL[[#This Row],[CODIGO]]="","",VLOOKUP(GUAYAQUIL[[#This Row],[CODIGO]],MAESTRO!A:P,16,FALSE)),"")</f>
        <v>45</v>
      </c>
      <c r="O489" s="29">
        <v>45612</v>
      </c>
      <c r="P489" s="72" t="str">
        <f t="shared" si="35"/>
        <v>sábado</v>
      </c>
      <c r="Q489" s="29">
        <f>IFERROR(IF(GUAYAQUIL[[#This Row],[CODIGO]]="","",IF(GUAYAQUIL[[#This Row],[Fecha Cad]]="","",(GUAYAQUIL[[#This Row],[Fecha Cad]]-GUAYAQUIL[[#This Row],[VIDA UTIL (Días)]]))+1),"")</f>
        <v>45604</v>
      </c>
      <c r="R489" s="29">
        <v>45648</v>
      </c>
      <c r="S489" s="30">
        <f t="shared" ca="1" si="36"/>
        <v>24</v>
      </c>
      <c r="T489" s="31">
        <f t="shared" ca="1" si="37"/>
        <v>0.53333333333333333</v>
      </c>
      <c r="U489" s="286">
        <v>108</v>
      </c>
      <c r="V489" s="267">
        <f>+IFERROR(IF(GUAYAQUIL[[#This Row],[CODIGO]]="","",GUAYAQUIL[[#This Row],[Stock Actual Unds]]*GUAYAQUIL[[#This Row],[Gramaje]]*GUAYAQUIL[[#This Row],[Conversión]]),"")</f>
        <v>19.439999999999998</v>
      </c>
      <c r="W489" s="270">
        <f t="shared" si="38"/>
        <v>8</v>
      </c>
      <c r="X489" s="32">
        <f t="shared" si="39"/>
        <v>0.82222222222222219</v>
      </c>
      <c r="Y489" s="236">
        <f>IFERROR(VLOOKUP(GUAYAQUIL[[#This Row],[CODIGO]],MAESTRO!A:BI,21,FALSE),0)</f>
        <v>0.29342499999999999</v>
      </c>
      <c r="Z489" s="237">
        <f>+IFERROR(IF(GUAYAQUIL[[#This Row],[CODIGO]]="","",GUAYAQUIL[[#This Row],[COSTO UNIT base]]*GUAYAQUIL[[#This Row],[Conversión]]),"")</f>
        <v>0.29342499999999999</v>
      </c>
      <c r="AA489" s="236">
        <f>+IFERROR(IF(GUAYAQUIL[[#This Row],[CODIGO]]="","",GUAYAQUIL[[#This Row],[COSTO UNIT Conv]]*GUAYAQUIL[[#This Row],[Stock Actual Kgs]]),"")</f>
        <v>5.7041819999999994</v>
      </c>
      <c r="AB489" s="33">
        <f ca="1">+IFERROR(IF(GUAYAQUIL[[#This Row],[CODIGO]]="","",$J$3-O489),"")</f>
        <v>12</v>
      </c>
      <c r="AC489" s="34" t="str">
        <f ca="1">IF(GUAYAQUIL[[#This Row],[CODIGO]]="","",IF(S489&lt;=0,"CADUCADO",IF(AND(S489&gt;0,S489&lt;=21),"FECHA CORTA",IF(AND(S489&gt;=22,S489&lt;=26),"PROXIMOS FECHA CORTA", "VIGENTE"))))</f>
        <v>PROXIMOS FECHA CORTA</v>
      </c>
      <c r="AD489" s="37">
        <f>+IF(GUAYAQUIL[[#This Row],[CODIGO]]="","",GUAYAQUIL[[#This Row],[Stock Actual Unds]]*GUAYAQUIL[[#This Row],[Gramaje]]*GUAYAQUIL[[#This Row],[Conversión]])/1000</f>
        <v>1.9439999999999999E-2</v>
      </c>
    </row>
    <row r="490" spans="1:30">
      <c r="A490" s="24" t="str">
        <f>+IFERROR(IF(GUAYAQUIL[[#This Row],[CODIGO]]="","",VLOOKUP(GUAYAQUIL[[#This Row],[CODIGO]],MAESTRO!$A:$J,10,FALSE)),"")</f>
        <v>MACHACHI</v>
      </c>
      <c r="B490" s="24" t="str">
        <f>+IFERROR(IF(GUAYAQUIL[[#This Row],[CODIGO]]="","",VLOOKUP(GUAYAQUIL[[#This Row],[CODIGO]],MAESTRO!$A:$Q,17,FALSE)),"")</f>
        <v>BEBIDAS LACTEAS</v>
      </c>
      <c r="C490" s="24" t="str">
        <f>+IFERROR(IF(GUAYAQUIL[[#This Row],[CODIGO]]="","",VLOOKUP(GUAYAQUIL[[#This Row],[CODIGO]],MAESTRO!$A:$BA,53,FALSE)),"")</f>
        <v xml:space="preserve">Luis Armendariz                         </v>
      </c>
      <c r="D490" s="24" t="str">
        <f>+IFERROR(IF(GUAYAQUIL[[#This Row],[CODIGO]]="","",VLOOKUP(GUAYAQUIL[[#This Row],[CODIGO]],MAESTRO!$A:$D,4,FALSE)),"")</f>
        <v>REGENERIS</v>
      </c>
      <c r="E490" s="24" t="str">
        <f>+IFERROR(IF(GUAYAQUIL[[#This Row],[CODIGO]]="","",VLOOKUP(GUAYAQUIL[[#This Row],[CODIGO]],MAESTRO!$A:$F,6,FALSE)),"")</f>
        <v>REGENERIS BEBIBLE BOTELLA PERSONAL</v>
      </c>
      <c r="F490" s="42" t="str">
        <f>IF(GUAYAQUIL[[#This Row],[CODIGO]]="","",$K$6)</f>
        <v>GUAYAQUIL</v>
      </c>
      <c r="G490" s="42">
        <f>IF(GUAYAQUIL[[#This Row],[CODIGO]]="","",7711)</f>
        <v>7711</v>
      </c>
      <c r="H490" s="42">
        <f>IF(GUAYAQUIL[[#This Row],[CODIGO]]="","",1001)</f>
        <v>1001</v>
      </c>
      <c r="I490" s="258" t="s">
        <v>1772</v>
      </c>
      <c r="J490" s="25" t="str">
        <f>IFERROR((VLOOKUP(GUAYAQUIL[[#This Row],[CODIGO]],MAESTRO!A:B,2,FALSE)),"")</f>
        <v>RGN BBLE DZNO BOT 180G</v>
      </c>
      <c r="K490" s="35">
        <v>108</v>
      </c>
      <c r="L490" s="38">
        <f>+IFERROR(IF(GUAYAQUIL[[#This Row],[CODIGO]]="","",VLOOKUP(GUAYAQUIL[[#This Row],[CODIGO]],MAESTRO!$A:$BF,58,FALSE)),"")</f>
        <v>1</v>
      </c>
      <c r="M490" s="27">
        <f>+IFERROR(IF(GUAYAQUIL[[#This Row],[CODIGO]]="","",VLOOKUP(GUAYAQUIL[[#This Row],[CODIGO]],MAESTRO!A:N,14,FALSE)),"")</f>
        <v>0.18</v>
      </c>
      <c r="N490" s="28">
        <f>+IFERROR(IF(GUAYAQUIL[[#This Row],[CODIGO]]="","",VLOOKUP(GUAYAQUIL[[#This Row],[CODIGO]],MAESTRO!A:P,16,FALSE)),"")</f>
        <v>45</v>
      </c>
      <c r="O490" s="29">
        <v>45611</v>
      </c>
      <c r="P490" s="72" t="str">
        <f t="shared" si="35"/>
        <v>viernes</v>
      </c>
      <c r="Q490" s="29">
        <f>IFERROR(IF(GUAYAQUIL[[#This Row],[CODIGO]]="","",IF(GUAYAQUIL[[#This Row],[Fecha Cad]]="","",(GUAYAQUIL[[#This Row],[Fecha Cad]]-GUAYAQUIL[[#This Row],[VIDA UTIL (Días)]]))+1),"")</f>
        <v>45604</v>
      </c>
      <c r="R490" s="29">
        <v>45648</v>
      </c>
      <c r="S490" s="30">
        <f t="shared" ca="1" si="36"/>
        <v>24</v>
      </c>
      <c r="T490" s="31">
        <f t="shared" ca="1" si="37"/>
        <v>0.53333333333333333</v>
      </c>
      <c r="U490" s="286">
        <v>108</v>
      </c>
      <c r="V490" s="266">
        <f>+IFERROR(IF(GUAYAQUIL[[#This Row],[CODIGO]]="","",GUAYAQUIL[[#This Row],[Stock Actual Unds]]*GUAYAQUIL[[#This Row],[Gramaje]]*GUAYAQUIL[[#This Row],[Conversión]]),"")</f>
        <v>19.439999999999998</v>
      </c>
      <c r="W490" s="270">
        <f t="shared" si="38"/>
        <v>7</v>
      </c>
      <c r="X490" s="32">
        <f t="shared" si="39"/>
        <v>0.84444444444444444</v>
      </c>
      <c r="Y490" s="236">
        <f>IFERROR(VLOOKUP(GUAYAQUIL[[#This Row],[CODIGO]],MAESTRO!A:BI,21,FALSE),0)</f>
        <v>0.29342499999999999</v>
      </c>
      <c r="Z490" s="237">
        <f>+IFERROR(IF(GUAYAQUIL[[#This Row],[CODIGO]]="","",GUAYAQUIL[[#This Row],[COSTO UNIT base]]*GUAYAQUIL[[#This Row],[Conversión]]),"")</f>
        <v>0.29342499999999999</v>
      </c>
      <c r="AA490" s="236">
        <f>+IFERROR(IF(GUAYAQUIL[[#This Row],[CODIGO]]="","",GUAYAQUIL[[#This Row],[COSTO UNIT Conv]]*GUAYAQUIL[[#This Row],[Stock Actual Kgs]]),"")</f>
        <v>5.7041819999999994</v>
      </c>
      <c r="AB490" s="33">
        <f ca="1">+IFERROR(IF(GUAYAQUIL[[#This Row],[CODIGO]]="","",$J$3-O490),"")</f>
        <v>13</v>
      </c>
      <c r="AC490" s="34" t="str">
        <f ca="1">IF(GUAYAQUIL[[#This Row],[CODIGO]]="","",IF(S490&lt;=0,"CADUCADO",IF(AND(S490&gt;0,S490&lt;=21),"FECHA CORTA",IF(AND(S490&gt;=22,S490&lt;=26),"PROXIMOS FECHA CORTA", "VIGENTE"))))</f>
        <v>PROXIMOS FECHA CORTA</v>
      </c>
      <c r="AD490" s="37">
        <f>+IF(GUAYAQUIL[[#This Row],[CODIGO]]="","",GUAYAQUIL[[#This Row],[Stock Actual Unds]]*GUAYAQUIL[[#This Row],[Gramaje]]*GUAYAQUIL[[#This Row],[Conversión]])/1000</f>
        <v>1.9439999999999999E-2</v>
      </c>
    </row>
    <row r="491" spans="1:30">
      <c r="A491" s="24" t="str">
        <f>+IFERROR(IF(GUAYAQUIL[[#This Row],[CODIGO]]="","",VLOOKUP(GUAYAQUIL[[#This Row],[CODIGO]],MAESTRO!$A:$J,10,FALSE)),"")</f>
        <v>MACHACHI</v>
      </c>
      <c r="B491" s="24" t="str">
        <f>+IFERROR(IF(GUAYAQUIL[[#This Row],[CODIGO]]="","",VLOOKUP(GUAYAQUIL[[#This Row],[CODIGO]],MAESTRO!$A:$Q,17,FALSE)),"")</f>
        <v>BEBIDAS LACTEAS</v>
      </c>
      <c r="C491" s="24" t="str">
        <f>+IFERROR(IF(GUAYAQUIL[[#This Row],[CODIGO]]="","",VLOOKUP(GUAYAQUIL[[#This Row],[CODIGO]],MAESTRO!$A:$BA,53,FALSE)),"")</f>
        <v xml:space="preserve">Luis Armendariz                         </v>
      </c>
      <c r="D491" s="24" t="str">
        <f>+IFERROR(IF(GUAYAQUIL[[#This Row],[CODIGO]]="","",VLOOKUP(GUAYAQUIL[[#This Row],[CODIGO]],MAESTRO!$A:$D,4,FALSE)),"")</f>
        <v>REGENERIS</v>
      </c>
      <c r="E491" s="24" t="str">
        <f>+IFERROR(IF(GUAYAQUIL[[#This Row],[CODIGO]]="","",VLOOKUP(GUAYAQUIL[[#This Row],[CODIGO]],MAESTRO!$A:$F,6,FALSE)),"")</f>
        <v>REGENERIS BEBIBLE BOTELLA PERSONAL</v>
      </c>
      <c r="F491" s="42" t="str">
        <f>IF(GUAYAQUIL[[#This Row],[CODIGO]]="","",$K$6)</f>
        <v>GUAYAQUIL</v>
      </c>
      <c r="G491" s="209">
        <f>IF(GUAYAQUIL[[#This Row],[CODIGO]]="","",7711)</f>
        <v>7711</v>
      </c>
      <c r="H491" s="209">
        <f>IF(GUAYAQUIL[[#This Row],[CODIGO]]="","",1001)</f>
        <v>1001</v>
      </c>
      <c r="I491" s="257" t="s">
        <v>1772</v>
      </c>
      <c r="J491" s="25" t="str">
        <f>IFERROR((VLOOKUP(GUAYAQUIL[[#This Row],[CODIGO]],MAESTRO!A:B,2,FALSE)),"")</f>
        <v>RGN BBLE DZNO BOT 180G</v>
      </c>
      <c r="K491" s="26">
        <v>216</v>
      </c>
      <c r="L491" s="38">
        <f>+IFERROR(IF(GUAYAQUIL[[#This Row],[CODIGO]]="","",VLOOKUP(GUAYAQUIL[[#This Row],[CODIGO]],MAESTRO!$A:$BF,58,FALSE)),"")</f>
        <v>1</v>
      </c>
      <c r="M491" s="27">
        <f>+IFERROR(IF(GUAYAQUIL[[#This Row],[CODIGO]]="","",VLOOKUP(GUAYAQUIL[[#This Row],[CODIGO]],MAESTRO!A:N,14,FALSE)),"")</f>
        <v>0.18</v>
      </c>
      <c r="N491" s="28">
        <f>+IFERROR(IF(GUAYAQUIL[[#This Row],[CODIGO]]="","",VLOOKUP(GUAYAQUIL[[#This Row],[CODIGO]],MAESTRO!A:P,16,FALSE)),"")</f>
        <v>45</v>
      </c>
      <c r="O491" s="29">
        <v>45610</v>
      </c>
      <c r="P491" s="72" t="str">
        <f t="shared" si="35"/>
        <v>jueves</v>
      </c>
      <c r="Q491" s="29">
        <f>IFERROR(IF(GUAYAQUIL[[#This Row],[CODIGO]]="","",IF(GUAYAQUIL[[#This Row],[Fecha Cad]]="","",(GUAYAQUIL[[#This Row],[Fecha Cad]]-GUAYAQUIL[[#This Row],[VIDA UTIL (Días)]]))+1),"")</f>
        <v>45604</v>
      </c>
      <c r="R491" s="29">
        <v>45648</v>
      </c>
      <c r="S491" s="30">
        <f t="shared" ca="1" si="36"/>
        <v>24</v>
      </c>
      <c r="T491" s="31">
        <f t="shared" ca="1" si="37"/>
        <v>0.53333333333333333</v>
      </c>
      <c r="U491" s="286">
        <v>97</v>
      </c>
      <c r="V491" s="267">
        <f>+IFERROR(IF(GUAYAQUIL[[#This Row],[CODIGO]]="","",GUAYAQUIL[[#This Row],[Stock Actual Unds]]*GUAYAQUIL[[#This Row],[Gramaje]]*GUAYAQUIL[[#This Row],[Conversión]]),"")</f>
        <v>17.46</v>
      </c>
      <c r="W491" s="270">
        <f t="shared" si="38"/>
        <v>6</v>
      </c>
      <c r="X491" s="32">
        <f t="shared" si="39"/>
        <v>0.8666666666666667</v>
      </c>
      <c r="Y491" s="236">
        <f>IFERROR(VLOOKUP(GUAYAQUIL[[#This Row],[CODIGO]],MAESTRO!A:BI,21,FALSE),0)</f>
        <v>0.29342499999999999</v>
      </c>
      <c r="Z491" s="237">
        <f>+IFERROR(IF(GUAYAQUIL[[#This Row],[CODIGO]]="","",GUAYAQUIL[[#This Row],[COSTO UNIT base]]*GUAYAQUIL[[#This Row],[Conversión]]),"")</f>
        <v>0.29342499999999999</v>
      </c>
      <c r="AA491" s="236">
        <f>+IFERROR(IF(GUAYAQUIL[[#This Row],[CODIGO]]="","",GUAYAQUIL[[#This Row],[COSTO UNIT Conv]]*GUAYAQUIL[[#This Row],[Stock Actual Kgs]]),"")</f>
        <v>5.1232005000000003</v>
      </c>
      <c r="AB491" s="33">
        <f ca="1">+IFERROR(IF(GUAYAQUIL[[#This Row],[CODIGO]]="","",$J$3-O491),"")</f>
        <v>14</v>
      </c>
      <c r="AC491" s="34" t="str">
        <f ca="1">IF(GUAYAQUIL[[#This Row],[CODIGO]]="","",IF(S491&lt;=0,"CADUCADO",IF(AND(S491&gt;0,S491&lt;=21),"FECHA CORTA",IF(AND(S491&gt;=22,S491&lt;=26),"PROXIMOS FECHA CORTA", "VIGENTE"))))</f>
        <v>PROXIMOS FECHA CORTA</v>
      </c>
      <c r="AD491" s="37">
        <f>+IF(GUAYAQUIL[[#This Row],[CODIGO]]="","",GUAYAQUIL[[#This Row],[Stock Actual Unds]]*GUAYAQUIL[[#This Row],[Gramaje]]*GUAYAQUIL[[#This Row],[Conversión]])/1000</f>
        <v>1.746E-2</v>
      </c>
    </row>
    <row r="492" spans="1:30">
      <c r="A492" s="24" t="str">
        <f>+IFERROR(IF(GUAYAQUIL[[#This Row],[CODIGO]]="","",VLOOKUP(GUAYAQUIL[[#This Row],[CODIGO]],MAESTRO!$A:$J,10,FALSE)),"")</f>
        <v>MACHACHI</v>
      </c>
      <c r="B492" s="24" t="str">
        <f>+IFERROR(IF(GUAYAQUIL[[#This Row],[CODIGO]]="","",VLOOKUP(GUAYAQUIL[[#This Row],[CODIGO]],MAESTRO!$A:$Q,17,FALSE)),"")</f>
        <v>BEBIDAS LACTEAS</v>
      </c>
      <c r="C492" s="24" t="str">
        <f>+IFERROR(IF(GUAYAQUIL[[#This Row],[CODIGO]]="","",VLOOKUP(GUAYAQUIL[[#This Row],[CODIGO]],MAESTRO!$A:$BA,53,FALSE)),"")</f>
        <v xml:space="preserve">Luis Armendariz                         </v>
      </c>
      <c r="D492" s="24" t="str">
        <f>+IFERROR(IF(GUAYAQUIL[[#This Row],[CODIGO]]="","",VLOOKUP(GUAYAQUIL[[#This Row],[CODIGO]],MAESTRO!$A:$D,4,FALSE)),"")</f>
        <v>REGENERIS</v>
      </c>
      <c r="E492" s="24" t="str">
        <f>+IFERROR(IF(GUAYAQUIL[[#This Row],[CODIGO]]="","",VLOOKUP(GUAYAQUIL[[#This Row],[CODIGO]],MAESTRO!$A:$F,6,FALSE)),"")</f>
        <v>REGENERIS BEBIBLE BOTELLA PERSONAL</v>
      </c>
      <c r="F492" s="42" t="str">
        <f>IF(GUAYAQUIL[[#This Row],[CODIGO]]="","",$K$6)</f>
        <v>GUAYAQUIL</v>
      </c>
      <c r="G492" s="42">
        <f>IF(GUAYAQUIL[[#This Row],[CODIGO]]="","",7711)</f>
        <v>7711</v>
      </c>
      <c r="H492" s="42">
        <f>IF(GUAYAQUIL[[#This Row],[CODIGO]]="","",1001)</f>
        <v>1001</v>
      </c>
      <c r="I492" s="257" t="s">
        <v>1772</v>
      </c>
      <c r="J492" s="25" t="str">
        <f>IFERROR((VLOOKUP(GUAYAQUIL[[#This Row],[CODIGO]],MAESTRO!A:B,2,FALSE)),"")</f>
        <v>RGN BBLE DZNO BOT 180G</v>
      </c>
      <c r="K492" s="26">
        <v>216</v>
      </c>
      <c r="L492" s="38">
        <f>+IFERROR(IF(GUAYAQUIL[[#This Row],[CODIGO]]="","",VLOOKUP(GUAYAQUIL[[#This Row],[CODIGO]],MAESTRO!$A:$BF,58,FALSE)),"")</f>
        <v>1</v>
      </c>
      <c r="M492" s="27">
        <f>+IFERROR(IF(GUAYAQUIL[[#This Row],[CODIGO]]="","",VLOOKUP(GUAYAQUIL[[#This Row],[CODIGO]],MAESTRO!A:N,14,FALSE)),"")</f>
        <v>0.18</v>
      </c>
      <c r="N492" s="28">
        <f>+IFERROR(IF(GUAYAQUIL[[#This Row],[CODIGO]]="","",VLOOKUP(GUAYAQUIL[[#This Row],[CODIGO]],MAESTRO!A:P,16,FALSE)),"")</f>
        <v>45</v>
      </c>
      <c r="O492" s="29">
        <v>45615</v>
      </c>
      <c r="P492" s="72" t="str">
        <f t="shared" si="35"/>
        <v>martes</v>
      </c>
      <c r="Q492" s="29">
        <f>IFERROR(IF(GUAYAQUIL[[#This Row],[CODIGO]]="","",IF(GUAYAQUIL[[#This Row],[Fecha Cad]]="","",(GUAYAQUIL[[#This Row],[Fecha Cad]]-GUAYAQUIL[[#This Row],[VIDA UTIL (Días)]]))+1),"")</f>
        <v>45609</v>
      </c>
      <c r="R492" s="29">
        <v>45653</v>
      </c>
      <c r="S492" s="30">
        <f t="shared" ca="1" si="36"/>
        <v>29</v>
      </c>
      <c r="T492" s="31">
        <f t="shared" ca="1" si="37"/>
        <v>0.64444444444444449</v>
      </c>
      <c r="U492" s="286">
        <v>216</v>
      </c>
      <c r="V492" s="267">
        <f>+IFERROR(IF(GUAYAQUIL[[#This Row],[CODIGO]]="","",GUAYAQUIL[[#This Row],[Stock Actual Unds]]*GUAYAQUIL[[#This Row],[Gramaje]]*GUAYAQUIL[[#This Row],[Conversión]]),"")</f>
        <v>38.879999999999995</v>
      </c>
      <c r="W492" s="270">
        <f t="shared" si="38"/>
        <v>6</v>
      </c>
      <c r="X492" s="32">
        <f t="shared" si="39"/>
        <v>0.8666666666666667</v>
      </c>
      <c r="Y492" s="236">
        <f>IFERROR(VLOOKUP(GUAYAQUIL[[#This Row],[CODIGO]],MAESTRO!A:BI,21,FALSE),0)</f>
        <v>0.29342499999999999</v>
      </c>
      <c r="Z492" s="237">
        <f>+IFERROR(IF(GUAYAQUIL[[#This Row],[CODIGO]]="","",GUAYAQUIL[[#This Row],[COSTO UNIT base]]*GUAYAQUIL[[#This Row],[Conversión]]),"")</f>
        <v>0.29342499999999999</v>
      </c>
      <c r="AA492" s="236">
        <f>+IFERROR(IF(GUAYAQUIL[[#This Row],[CODIGO]]="","",GUAYAQUIL[[#This Row],[COSTO UNIT Conv]]*GUAYAQUIL[[#This Row],[Stock Actual Kgs]]),"")</f>
        <v>11.408363999999999</v>
      </c>
      <c r="AB492" s="33">
        <f ca="1">+IFERROR(IF(GUAYAQUIL[[#This Row],[CODIGO]]="","",$J$3-O492),"")</f>
        <v>9</v>
      </c>
      <c r="AC492" s="34" t="str">
        <f ca="1">IF(GUAYAQUIL[[#This Row],[CODIGO]]="","",IF(S492&lt;=0,"CADUCADO",IF(AND(S492&gt;0,S492&lt;=21),"FECHA CORTA",IF(AND(S492&gt;=22,S492&lt;=26),"PROXIMOS FECHA CORTA", "VIGENTE"))))</f>
        <v>VIGENTE</v>
      </c>
      <c r="AD492" s="37">
        <f>+IF(GUAYAQUIL[[#This Row],[CODIGO]]="","",GUAYAQUIL[[#This Row],[Stock Actual Unds]]*GUAYAQUIL[[#This Row],[Gramaje]]*GUAYAQUIL[[#This Row],[Conversión]])/1000</f>
        <v>3.8879999999999998E-2</v>
      </c>
    </row>
    <row r="493" spans="1:30">
      <c r="A493" s="24" t="str">
        <f>+IFERROR(IF(GUAYAQUIL[[#This Row],[CODIGO]]="","",VLOOKUP(GUAYAQUIL[[#This Row],[CODIGO]],MAESTRO!$A:$J,10,FALSE)),"")</f>
        <v>MACHACHI</v>
      </c>
      <c r="B493" s="24" t="str">
        <f>+IFERROR(IF(GUAYAQUIL[[#This Row],[CODIGO]]="","",VLOOKUP(GUAYAQUIL[[#This Row],[CODIGO]],MAESTRO!$A:$Q,17,FALSE)),"")</f>
        <v>BEBIDAS LACTEAS</v>
      </c>
      <c r="C493" s="24" t="str">
        <f>+IFERROR(IF(GUAYAQUIL[[#This Row],[CODIGO]]="","",VLOOKUP(GUAYAQUIL[[#This Row],[CODIGO]],MAESTRO!$A:$BA,53,FALSE)),"")</f>
        <v xml:space="preserve">Luis Armendariz                         </v>
      </c>
      <c r="D493" s="24" t="str">
        <f>+IFERROR(IF(GUAYAQUIL[[#This Row],[CODIGO]]="","",VLOOKUP(GUAYAQUIL[[#This Row],[CODIGO]],MAESTRO!$A:$D,4,FALSE)),"")</f>
        <v>REGENERIS</v>
      </c>
      <c r="E493" s="24" t="str">
        <f>+IFERROR(IF(GUAYAQUIL[[#This Row],[CODIGO]]="","",VLOOKUP(GUAYAQUIL[[#This Row],[CODIGO]],MAESTRO!$A:$F,6,FALSE)),"")</f>
        <v>REGENERIS BEBIBLE BOTELLA PERSONAL</v>
      </c>
      <c r="F493" s="42" t="str">
        <f>IF(GUAYAQUIL[[#This Row],[CODIGO]]="","",$K$6)</f>
        <v>GUAYAQUIL</v>
      </c>
      <c r="G493" s="209">
        <f>IF(GUAYAQUIL[[#This Row],[CODIGO]]="","",7711)</f>
        <v>7711</v>
      </c>
      <c r="H493" s="209">
        <f>IF(GUAYAQUIL[[#This Row],[CODIGO]]="","",1001)</f>
        <v>1001</v>
      </c>
      <c r="I493" s="258" t="s">
        <v>1772</v>
      </c>
      <c r="J493" s="25" t="str">
        <f>IFERROR((VLOOKUP(GUAYAQUIL[[#This Row],[CODIGO]],MAESTRO!A:B,2,FALSE)),"")</f>
        <v>RGN BBLE DZNO BOT 180G</v>
      </c>
      <c r="K493" s="35">
        <v>216</v>
      </c>
      <c r="L493" s="38">
        <f>+IFERROR(IF(GUAYAQUIL[[#This Row],[CODIGO]]="","",VLOOKUP(GUAYAQUIL[[#This Row],[CODIGO]],MAESTRO!$A:$BF,58,FALSE)),"")</f>
        <v>1</v>
      </c>
      <c r="M493" s="27">
        <f>+IFERROR(IF(GUAYAQUIL[[#This Row],[CODIGO]]="","",VLOOKUP(GUAYAQUIL[[#This Row],[CODIGO]],MAESTRO!A:N,14,FALSE)),"")</f>
        <v>0.18</v>
      </c>
      <c r="N493" s="28">
        <f>+IFERROR(IF(GUAYAQUIL[[#This Row],[CODIGO]]="","",VLOOKUP(GUAYAQUIL[[#This Row],[CODIGO]],MAESTRO!A:P,16,FALSE)),"")</f>
        <v>45</v>
      </c>
      <c r="O493" s="29">
        <v>45616</v>
      </c>
      <c r="P493" s="72" t="str">
        <f t="shared" si="35"/>
        <v>miércoles</v>
      </c>
      <c r="Q493" s="29">
        <f>IFERROR(IF(GUAYAQUIL[[#This Row],[CODIGO]]="","",IF(GUAYAQUIL[[#This Row],[Fecha Cad]]="","",(GUAYAQUIL[[#This Row],[Fecha Cad]]-GUAYAQUIL[[#This Row],[VIDA UTIL (Días)]]))+1),"")</f>
        <v>45610</v>
      </c>
      <c r="R493" s="29">
        <v>45654</v>
      </c>
      <c r="S493" s="30">
        <f t="shared" ca="1" si="36"/>
        <v>30</v>
      </c>
      <c r="T493" s="31">
        <f t="shared" ca="1" si="37"/>
        <v>0.66666666666666663</v>
      </c>
      <c r="U493" s="286">
        <v>216</v>
      </c>
      <c r="V493" s="265">
        <f>+IFERROR(IF(GUAYAQUIL[[#This Row],[CODIGO]]="","",GUAYAQUIL[[#This Row],[Stock Actual Unds]]*GUAYAQUIL[[#This Row],[Gramaje]]*GUAYAQUIL[[#This Row],[Conversión]]),"")</f>
        <v>38.879999999999995</v>
      </c>
      <c r="W493" s="270">
        <f t="shared" si="38"/>
        <v>6</v>
      </c>
      <c r="X493" s="32">
        <f t="shared" si="39"/>
        <v>0.8666666666666667</v>
      </c>
      <c r="Y493" s="236">
        <f>IFERROR(VLOOKUP(GUAYAQUIL[[#This Row],[CODIGO]],MAESTRO!A:BI,21,FALSE),0)</f>
        <v>0.29342499999999999</v>
      </c>
      <c r="Z493" s="237">
        <f>+IFERROR(IF(GUAYAQUIL[[#This Row],[CODIGO]]="","",GUAYAQUIL[[#This Row],[COSTO UNIT base]]*GUAYAQUIL[[#This Row],[Conversión]]),"")</f>
        <v>0.29342499999999999</v>
      </c>
      <c r="AA493" s="236">
        <f>+IFERROR(IF(GUAYAQUIL[[#This Row],[CODIGO]]="","",GUAYAQUIL[[#This Row],[COSTO UNIT Conv]]*GUAYAQUIL[[#This Row],[Stock Actual Kgs]]),"")</f>
        <v>11.408363999999999</v>
      </c>
      <c r="AB493" s="33">
        <f ca="1">+IFERROR(IF(GUAYAQUIL[[#This Row],[CODIGO]]="","",$J$3-O493),"")</f>
        <v>8</v>
      </c>
      <c r="AC493" s="34" t="str">
        <f ca="1">IF(GUAYAQUIL[[#This Row],[CODIGO]]="","",IF(S493&lt;=0,"CADUCADO",IF(AND(S493&gt;0,S493&lt;=21),"FECHA CORTA",IF(AND(S493&gt;=22,S493&lt;=26),"PROXIMOS FECHA CORTA", "VIGENTE"))))</f>
        <v>VIGENTE</v>
      </c>
      <c r="AD493" s="37">
        <f>+IF(GUAYAQUIL[[#This Row],[CODIGO]]="","",GUAYAQUIL[[#This Row],[Stock Actual Unds]]*GUAYAQUIL[[#This Row],[Gramaje]]*GUAYAQUIL[[#This Row],[Conversión]])/1000</f>
        <v>3.8879999999999998E-2</v>
      </c>
    </row>
    <row r="494" spans="1:30">
      <c r="A494" s="24" t="str">
        <f>+IFERROR(IF(GUAYAQUIL[[#This Row],[CODIGO]]="","",VLOOKUP(GUAYAQUIL[[#This Row],[CODIGO]],MAESTRO!$A:$J,10,FALSE)),"")</f>
        <v>MACHACHI</v>
      </c>
      <c r="B494" s="24" t="str">
        <f>+IFERROR(IF(GUAYAQUIL[[#This Row],[CODIGO]]="","",VLOOKUP(GUAYAQUIL[[#This Row],[CODIGO]],MAESTRO!$A:$Q,17,FALSE)),"")</f>
        <v>BEBIDAS LACTEAS</v>
      </c>
      <c r="C494" s="24" t="str">
        <f>+IFERROR(IF(GUAYAQUIL[[#This Row],[CODIGO]]="","",VLOOKUP(GUAYAQUIL[[#This Row],[CODIGO]],MAESTRO!$A:$BA,53,FALSE)),"")</f>
        <v xml:space="preserve">Luis Armendariz                         </v>
      </c>
      <c r="D494" s="24" t="str">
        <f>+IFERROR(IF(GUAYAQUIL[[#This Row],[CODIGO]]="","",VLOOKUP(GUAYAQUIL[[#This Row],[CODIGO]],MAESTRO!$A:$D,4,FALSE)),"")</f>
        <v>REGENERIS</v>
      </c>
      <c r="E494" s="24" t="str">
        <f>+IFERROR(IF(GUAYAQUIL[[#This Row],[CODIGO]]="","",VLOOKUP(GUAYAQUIL[[#This Row],[CODIGO]],MAESTRO!$A:$F,6,FALSE)),"")</f>
        <v>REGENERIS BEBIBLE BOTELLA FAMILIAR</v>
      </c>
      <c r="F494" s="42" t="str">
        <f>IF(GUAYAQUIL[[#This Row],[CODIGO]]="","",$K$6)</f>
        <v>GUAYAQUIL</v>
      </c>
      <c r="G494" s="42">
        <f>IF(GUAYAQUIL[[#This Row],[CODIGO]]="","",7711)</f>
        <v>7711</v>
      </c>
      <c r="H494" s="42">
        <f>IF(GUAYAQUIL[[#This Row],[CODIGO]]="","",1001)</f>
        <v>1001</v>
      </c>
      <c r="I494" s="258" t="s">
        <v>3209</v>
      </c>
      <c r="J494" s="25" t="str">
        <f>IFERROR((VLOOKUP(GUAYAQUIL[[#This Row],[CODIGO]],MAESTRO!A:B,2,FALSE)),"")</f>
        <v>RGN BBLE DZNO BOT 1000G</v>
      </c>
      <c r="K494" s="35">
        <v>54</v>
      </c>
      <c r="L494" s="38">
        <f>+IFERROR(IF(GUAYAQUIL[[#This Row],[CODIGO]]="","",VLOOKUP(GUAYAQUIL[[#This Row],[CODIGO]],MAESTRO!$A:$BF,58,FALSE)),"")</f>
        <v>1</v>
      </c>
      <c r="M494" s="27">
        <f>+IFERROR(IF(GUAYAQUIL[[#This Row],[CODIGO]]="","",VLOOKUP(GUAYAQUIL[[#This Row],[CODIGO]],MAESTRO!A:N,14,FALSE)),"")</f>
        <v>1</v>
      </c>
      <c r="N494" s="28">
        <f>+IFERROR(IF(GUAYAQUIL[[#This Row],[CODIGO]]="","",VLOOKUP(GUAYAQUIL[[#This Row],[CODIGO]],MAESTRO!A:P,16,FALSE)),"")</f>
        <v>45</v>
      </c>
      <c r="O494" s="45">
        <v>45612</v>
      </c>
      <c r="P494" s="72" t="str">
        <f t="shared" si="35"/>
        <v>sábado</v>
      </c>
      <c r="Q494" s="29">
        <f>IFERROR(IF(GUAYAQUIL[[#This Row],[CODIGO]]="","",IF(GUAYAQUIL[[#This Row],[Fecha Cad]]="","",(GUAYAQUIL[[#This Row],[Fecha Cad]]-GUAYAQUIL[[#This Row],[VIDA UTIL (Días)]]))+1),"")</f>
        <v>45609</v>
      </c>
      <c r="R494" s="45">
        <v>45653</v>
      </c>
      <c r="S494" s="30">
        <f t="shared" ca="1" si="36"/>
        <v>29</v>
      </c>
      <c r="T494" s="31">
        <f t="shared" ca="1" si="37"/>
        <v>0.64444444444444449</v>
      </c>
      <c r="U494" s="286">
        <v>16</v>
      </c>
      <c r="V494" s="265">
        <f>+IFERROR(IF(GUAYAQUIL[[#This Row],[CODIGO]]="","",GUAYAQUIL[[#This Row],[Stock Actual Unds]]*GUAYAQUIL[[#This Row],[Gramaje]]*GUAYAQUIL[[#This Row],[Conversión]]),"")</f>
        <v>16</v>
      </c>
      <c r="W494" s="270">
        <f t="shared" si="38"/>
        <v>3</v>
      </c>
      <c r="X494" s="32">
        <f t="shared" si="39"/>
        <v>0.93333333333333335</v>
      </c>
      <c r="Y494" s="236">
        <f>IFERROR(VLOOKUP(GUAYAQUIL[[#This Row],[CODIGO]],MAESTRO!A:BI,21,FALSE),0)</f>
        <v>1.3744550000000002</v>
      </c>
      <c r="Z494" s="237">
        <f>+IFERROR(IF(GUAYAQUIL[[#This Row],[CODIGO]]="","",GUAYAQUIL[[#This Row],[COSTO UNIT base]]*GUAYAQUIL[[#This Row],[Conversión]]),"")</f>
        <v>1.3744550000000002</v>
      </c>
      <c r="AA494" s="236">
        <f>+IFERROR(IF(GUAYAQUIL[[#This Row],[CODIGO]]="","",GUAYAQUIL[[#This Row],[COSTO UNIT Conv]]*GUAYAQUIL[[#This Row],[Stock Actual Kgs]]),"")</f>
        <v>21.991280000000003</v>
      </c>
      <c r="AB494" s="33">
        <f ca="1">+IFERROR(IF(GUAYAQUIL[[#This Row],[CODIGO]]="","",$J$3-O494),"")</f>
        <v>12</v>
      </c>
      <c r="AC494" s="34" t="str">
        <f ca="1">IF(GUAYAQUIL[[#This Row],[CODIGO]]="","",IF(S494&lt;=0,"CADUCADO",IF(AND(S494&gt;0,S494&lt;=21),"FECHA CORTA",IF(AND(S494&gt;=22,S494&lt;=26),"PROXIMOS FECHA CORTA", "VIGENTE"))))</f>
        <v>VIGENTE</v>
      </c>
      <c r="AD494" s="37">
        <f>+IF(GUAYAQUIL[[#This Row],[CODIGO]]="","",GUAYAQUIL[[#This Row],[Stock Actual Unds]]*GUAYAQUIL[[#This Row],[Gramaje]]*GUAYAQUIL[[#This Row],[Conversión]])/1000</f>
        <v>1.6E-2</v>
      </c>
    </row>
    <row r="495" spans="1:30">
      <c r="A495" s="24" t="str">
        <f>+IFERROR(IF(GUAYAQUIL[[#This Row],[CODIGO]]="","",VLOOKUP(GUAYAQUIL[[#This Row],[CODIGO]],MAESTRO!$A:$J,10,FALSE)),"")</f>
        <v>MACHACHI</v>
      </c>
      <c r="B495" s="24" t="str">
        <f>+IFERROR(IF(GUAYAQUIL[[#This Row],[CODIGO]]="","",VLOOKUP(GUAYAQUIL[[#This Row],[CODIGO]],MAESTRO!$A:$Q,17,FALSE)),"")</f>
        <v>BEBIDAS LACTEAS</v>
      </c>
      <c r="C495" s="24" t="str">
        <f>+IFERROR(IF(GUAYAQUIL[[#This Row],[CODIGO]]="","",VLOOKUP(GUAYAQUIL[[#This Row],[CODIGO]],MAESTRO!$A:$BA,53,FALSE)),"")</f>
        <v xml:space="preserve">Luis Armendariz                         </v>
      </c>
      <c r="D495" s="24" t="str">
        <f>+IFERROR(IF(GUAYAQUIL[[#This Row],[CODIGO]]="","",VLOOKUP(GUAYAQUIL[[#This Row],[CODIGO]],MAESTRO!$A:$D,4,FALSE)),"")</f>
        <v>REGENERIS</v>
      </c>
      <c r="E495" s="24" t="str">
        <f>+IFERROR(IF(GUAYAQUIL[[#This Row],[CODIGO]]="","",VLOOKUP(GUAYAQUIL[[#This Row],[CODIGO]],MAESTRO!$A:$F,6,FALSE)),"")</f>
        <v>REGENERIS BEBIBLE BOTELLA FAMILIAR</v>
      </c>
      <c r="F495" s="42" t="str">
        <f>IF(GUAYAQUIL[[#This Row],[CODIGO]]="","",$K$6)</f>
        <v>GUAYAQUIL</v>
      </c>
      <c r="G495" s="209">
        <f>IF(GUAYAQUIL[[#This Row],[CODIGO]]="","",7711)</f>
        <v>7711</v>
      </c>
      <c r="H495" s="209">
        <f>IF(GUAYAQUIL[[#This Row],[CODIGO]]="","",1001)</f>
        <v>1001</v>
      </c>
      <c r="I495" s="258" t="s">
        <v>3209</v>
      </c>
      <c r="J495" s="25" t="str">
        <f>IFERROR((VLOOKUP(GUAYAQUIL[[#This Row],[CODIGO]],MAESTRO!A:B,2,FALSE)),"")</f>
        <v>RGN BBLE DZNO BOT 1000G</v>
      </c>
      <c r="K495" s="35">
        <v>36</v>
      </c>
      <c r="L495" s="38">
        <f>+IFERROR(IF(GUAYAQUIL[[#This Row],[CODIGO]]="","",VLOOKUP(GUAYAQUIL[[#This Row],[CODIGO]],MAESTRO!$A:$BF,58,FALSE)),"")</f>
        <v>1</v>
      </c>
      <c r="M495" s="27">
        <f>+IFERROR(IF(GUAYAQUIL[[#This Row],[CODIGO]]="","",VLOOKUP(GUAYAQUIL[[#This Row],[CODIGO]],MAESTRO!A:N,14,FALSE)),"")</f>
        <v>1</v>
      </c>
      <c r="N495" s="28">
        <f>+IFERROR(IF(GUAYAQUIL[[#This Row],[CODIGO]]="","",VLOOKUP(GUAYAQUIL[[#This Row],[CODIGO]],MAESTRO!A:P,16,FALSE)),"")</f>
        <v>45</v>
      </c>
      <c r="O495" s="45">
        <v>45615</v>
      </c>
      <c r="P495" s="72" t="str">
        <f t="shared" si="35"/>
        <v>martes</v>
      </c>
      <c r="Q495" s="29">
        <f>IFERROR(IF(GUAYAQUIL[[#This Row],[CODIGO]]="","",IF(GUAYAQUIL[[#This Row],[Fecha Cad]]="","",(GUAYAQUIL[[#This Row],[Fecha Cad]]-GUAYAQUIL[[#This Row],[VIDA UTIL (Días)]]))+1),"")</f>
        <v>45609</v>
      </c>
      <c r="R495" s="45">
        <v>45653</v>
      </c>
      <c r="S495" s="30">
        <f t="shared" ca="1" si="36"/>
        <v>29</v>
      </c>
      <c r="T495" s="31">
        <f t="shared" ca="1" si="37"/>
        <v>0.64444444444444449</v>
      </c>
      <c r="U495" s="286">
        <v>36</v>
      </c>
      <c r="V495" s="265">
        <f>+IFERROR(IF(GUAYAQUIL[[#This Row],[CODIGO]]="","",GUAYAQUIL[[#This Row],[Stock Actual Unds]]*GUAYAQUIL[[#This Row],[Gramaje]]*GUAYAQUIL[[#This Row],[Conversión]]),"")</f>
        <v>36</v>
      </c>
      <c r="W495" s="270">
        <f t="shared" si="38"/>
        <v>6</v>
      </c>
      <c r="X495" s="32">
        <f t="shared" si="39"/>
        <v>0.8666666666666667</v>
      </c>
      <c r="Y495" s="236">
        <f>IFERROR(VLOOKUP(GUAYAQUIL[[#This Row],[CODIGO]],MAESTRO!A:BI,21,FALSE),0)</f>
        <v>1.3744550000000002</v>
      </c>
      <c r="Z495" s="237">
        <f>+IFERROR(IF(GUAYAQUIL[[#This Row],[CODIGO]]="","",GUAYAQUIL[[#This Row],[COSTO UNIT base]]*GUAYAQUIL[[#This Row],[Conversión]]),"")</f>
        <v>1.3744550000000002</v>
      </c>
      <c r="AA495" s="236">
        <f>+IFERROR(IF(GUAYAQUIL[[#This Row],[CODIGO]]="","",GUAYAQUIL[[#This Row],[COSTO UNIT Conv]]*GUAYAQUIL[[#This Row],[Stock Actual Kgs]]),"")</f>
        <v>49.480380000000011</v>
      </c>
      <c r="AB495" s="33">
        <f ca="1">+IFERROR(IF(GUAYAQUIL[[#This Row],[CODIGO]]="","",$J$3-O495),"")</f>
        <v>9</v>
      </c>
      <c r="AC495" s="34" t="str">
        <f ca="1">IF(GUAYAQUIL[[#This Row],[CODIGO]]="","",IF(S495&lt;=0,"CADUCADO",IF(AND(S495&gt;0,S495&lt;=21),"FECHA CORTA",IF(AND(S495&gt;=22,S495&lt;=26),"PROXIMOS FECHA CORTA", "VIGENTE"))))</f>
        <v>VIGENTE</v>
      </c>
      <c r="AD495" s="37">
        <f>+IF(GUAYAQUIL[[#This Row],[CODIGO]]="","",GUAYAQUIL[[#This Row],[Stock Actual Unds]]*GUAYAQUIL[[#This Row],[Gramaje]]*GUAYAQUIL[[#This Row],[Conversión]])/1000</f>
        <v>3.5999999999999997E-2</v>
      </c>
    </row>
    <row r="496" spans="1:30">
      <c r="A496" s="24" t="str">
        <f>+IFERROR(IF(GUAYAQUIL[[#This Row],[CODIGO]]="","",VLOOKUP(GUAYAQUIL[[#This Row],[CODIGO]],MAESTRO!$A:$J,10,FALSE)),"")</f>
        <v>MACHACHI</v>
      </c>
      <c r="B496" s="24" t="str">
        <f>+IFERROR(IF(GUAYAQUIL[[#This Row],[CODIGO]]="","",VLOOKUP(GUAYAQUIL[[#This Row],[CODIGO]],MAESTRO!$A:$Q,17,FALSE)),"")</f>
        <v>BEBIDAS LACTEAS</v>
      </c>
      <c r="C496" s="24" t="str">
        <f>+IFERROR(IF(GUAYAQUIL[[#This Row],[CODIGO]]="","",VLOOKUP(GUAYAQUIL[[#This Row],[CODIGO]],MAESTRO!$A:$BA,53,FALSE)),"")</f>
        <v xml:space="preserve">Luis Armendariz                         </v>
      </c>
      <c r="D496" s="24" t="str">
        <f>+IFERROR(IF(GUAYAQUIL[[#This Row],[CODIGO]]="","",VLOOKUP(GUAYAQUIL[[#This Row],[CODIGO]],MAESTRO!$A:$D,4,FALSE)),"")</f>
        <v>REGENERIS</v>
      </c>
      <c r="E496" s="24" t="str">
        <f>+IFERROR(IF(GUAYAQUIL[[#This Row],[CODIGO]]="","",VLOOKUP(GUAYAQUIL[[#This Row],[CODIGO]],MAESTRO!$A:$F,6,FALSE)),"")</f>
        <v>REGENERIS BEBIBLE BOTELLA FAMILIAR</v>
      </c>
      <c r="F496" s="42" t="str">
        <f>IF(GUAYAQUIL[[#This Row],[CODIGO]]="","",$K$6)</f>
        <v>GUAYAQUIL</v>
      </c>
      <c r="G496" s="42">
        <f>IF(GUAYAQUIL[[#This Row],[CODIGO]]="","",7711)</f>
        <v>7711</v>
      </c>
      <c r="H496" s="42">
        <f>IF(GUAYAQUIL[[#This Row],[CODIGO]]="","",1001)</f>
        <v>1001</v>
      </c>
      <c r="I496" s="258" t="s">
        <v>3209</v>
      </c>
      <c r="J496" s="25" t="str">
        <f>IFERROR((VLOOKUP(GUAYAQUIL[[#This Row],[CODIGO]],MAESTRO!A:B,2,FALSE)),"")</f>
        <v>RGN BBLE DZNO BOT 1000G</v>
      </c>
      <c r="K496" s="35">
        <v>36</v>
      </c>
      <c r="L496" s="38">
        <f>+IFERROR(IF(GUAYAQUIL[[#This Row],[CODIGO]]="","",VLOOKUP(GUAYAQUIL[[#This Row],[CODIGO]],MAESTRO!$A:$BF,58,FALSE)),"")</f>
        <v>1</v>
      </c>
      <c r="M496" s="27">
        <f>+IFERROR(IF(GUAYAQUIL[[#This Row],[CODIGO]]="","",VLOOKUP(GUAYAQUIL[[#This Row],[CODIGO]],MAESTRO!A:N,14,FALSE)),"")</f>
        <v>1</v>
      </c>
      <c r="N496" s="28">
        <f>+IFERROR(IF(GUAYAQUIL[[#This Row],[CODIGO]]="","",VLOOKUP(GUAYAQUIL[[#This Row],[CODIGO]],MAESTRO!A:P,16,FALSE)),"")</f>
        <v>45</v>
      </c>
      <c r="O496" s="45">
        <v>45617</v>
      </c>
      <c r="P496" s="72" t="str">
        <f t="shared" si="35"/>
        <v>jueves</v>
      </c>
      <c r="Q496" s="29">
        <f>IFERROR(IF(GUAYAQUIL[[#This Row],[CODIGO]]="","",IF(GUAYAQUIL[[#This Row],[Fecha Cad]]="","",(GUAYAQUIL[[#This Row],[Fecha Cad]]-GUAYAQUIL[[#This Row],[VIDA UTIL (Días)]]))+1),"")</f>
        <v>45611</v>
      </c>
      <c r="R496" s="45">
        <v>45655</v>
      </c>
      <c r="S496" s="30">
        <f t="shared" ca="1" si="36"/>
        <v>31</v>
      </c>
      <c r="T496" s="31">
        <f t="shared" ca="1" si="37"/>
        <v>0.68888888888888888</v>
      </c>
      <c r="U496" s="286">
        <v>18</v>
      </c>
      <c r="V496" s="265">
        <f>+IFERROR(IF(GUAYAQUIL[[#This Row],[CODIGO]]="","",GUAYAQUIL[[#This Row],[Stock Actual Unds]]*GUAYAQUIL[[#This Row],[Gramaje]]*GUAYAQUIL[[#This Row],[Conversión]]),"")</f>
        <v>18</v>
      </c>
      <c r="W496" s="270">
        <f t="shared" si="38"/>
        <v>6</v>
      </c>
      <c r="X496" s="32">
        <f t="shared" si="39"/>
        <v>0.8666666666666667</v>
      </c>
      <c r="Y496" s="236">
        <f>IFERROR(VLOOKUP(GUAYAQUIL[[#This Row],[CODIGO]],MAESTRO!A:BI,21,FALSE),0)</f>
        <v>1.3744550000000002</v>
      </c>
      <c r="Z496" s="237">
        <f>+IFERROR(IF(GUAYAQUIL[[#This Row],[CODIGO]]="","",GUAYAQUIL[[#This Row],[COSTO UNIT base]]*GUAYAQUIL[[#This Row],[Conversión]]),"")</f>
        <v>1.3744550000000002</v>
      </c>
      <c r="AA496" s="236">
        <f>+IFERROR(IF(GUAYAQUIL[[#This Row],[CODIGO]]="","",GUAYAQUIL[[#This Row],[COSTO UNIT Conv]]*GUAYAQUIL[[#This Row],[Stock Actual Kgs]]),"")</f>
        <v>24.740190000000005</v>
      </c>
      <c r="AB496" s="33">
        <f ca="1">+IFERROR(IF(GUAYAQUIL[[#This Row],[CODIGO]]="","",$J$3-O496),"")</f>
        <v>7</v>
      </c>
      <c r="AC496" s="34" t="str">
        <f ca="1">IF(GUAYAQUIL[[#This Row],[CODIGO]]="","",IF(S496&lt;=0,"CADUCADO",IF(AND(S496&gt;0,S496&lt;=21),"FECHA CORTA",IF(AND(S496&gt;=22,S496&lt;=26),"PROXIMOS FECHA CORTA", "VIGENTE"))))</f>
        <v>VIGENTE</v>
      </c>
      <c r="AD496" s="37">
        <f>+IF(GUAYAQUIL[[#This Row],[CODIGO]]="","",GUAYAQUIL[[#This Row],[Stock Actual Unds]]*GUAYAQUIL[[#This Row],[Gramaje]]*GUAYAQUIL[[#This Row],[Conversión]])/1000</f>
        <v>1.7999999999999999E-2</v>
      </c>
    </row>
    <row r="497" spans="1:30">
      <c r="A497" s="24" t="str">
        <f>+IFERROR(IF(GUAYAQUIL[[#This Row],[CODIGO]]="","",VLOOKUP(GUAYAQUIL[[#This Row],[CODIGO]],MAESTRO!$A:$J,10,FALSE)),"")</f>
        <v>MACHACHI</v>
      </c>
      <c r="B497" s="24" t="str">
        <f>+IFERROR(IF(GUAYAQUIL[[#This Row],[CODIGO]]="","",VLOOKUP(GUAYAQUIL[[#This Row],[CODIGO]],MAESTRO!$A:$Q,17,FALSE)),"")</f>
        <v>BEBIDAS LACTEAS</v>
      </c>
      <c r="C497" s="24" t="str">
        <f>+IFERROR(IF(GUAYAQUIL[[#This Row],[CODIGO]]="","",VLOOKUP(GUAYAQUIL[[#This Row],[CODIGO]],MAESTRO!$A:$BA,53,FALSE)),"")</f>
        <v xml:space="preserve">Luis Armendariz                         </v>
      </c>
      <c r="D497" s="24" t="str">
        <f>+IFERROR(IF(GUAYAQUIL[[#This Row],[CODIGO]]="","",VLOOKUP(GUAYAQUIL[[#This Row],[CODIGO]],MAESTRO!$A:$D,4,FALSE)),"")</f>
        <v>REGENERIS</v>
      </c>
      <c r="E497" s="24" t="str">
        <f>+IFERROR(IF(GUAYAQUIL[[#This Row],[CODIGO]]="","",VLOOKUP(GUAYAQUIL[[#This Row],[CODIGO]],MAESTRO!$A:$F,6,FALSE)),"")</f>
        <v>REGENERIS BEBIBLE BOTELLA PERSONAL</v>
      </c>
      <c r="F497" s="42" t="str">
        <f>IF(GUAYAQUIL[[#This Row],[CODIGO]]="","",$K$6)</f>
        <v>GUAYAQUIL</v>
      </c>
      <c r="G497" s="209">
        <f>IF(GUAYAQUIL[[#This Row],[CODIGO]]="","",7711)</f>
        <v>7711</v>
      </c>
      <c r="H497" s="209">
        <f>IF(GUAYAQUIL[[#This Row],[CODIGO]]="","",1001)</f>
        <v>1001</v>
      </c>
      <c r="I497" s="258" t="s">
        <v>3212</v>
      </c>
      <c r="J497" s="25" t="str">
        <f>IFERROR((VLOOKUP(GUAYAQUIL[[#This Row],[CODIGO]],MAESTRO!A:B,2,FALSE)),"")</f>
        <v>RGN BBLE FTLLA BOT 180G</v>
      </c>
      <c r="K497" s="35">
        <v>756</v>
      </c>
      <c r="L497" s="38">
        <f>+IFERROR(IF(GUAYAQUIL[[#This Row],[CODIGO]]="","",VLOOKUP(GUAYAQUIL[[#This Row],[CODIGO]],MAESTRO!$A:$BF,58,FALSE)),"")</f>
        <v>1</v>
      </c>
      <c r="M497" s="27">
        <f>+IFERROR(IF(GUAYAQUIL[[#This Row],[CODIGO]]="","",VLOOKUP(GUAYAQUIL[[#This Row],[CODIGO]],MAESTRO!A:N,14,FALSE)),"")</f>
        <v>0.18</v>
      </c>
      <c r="N497" s="28">
        <f>+IFERROR(IF(GUAYAQUIL[[#This Row],[CODIGO]]="","",VLOOKUP(GUAYAQUIL[[#This Row],[CODIGO]],MAESTRO!A:P,16,FALSE)),"")</f>
        <v>45</v>
      </c>
      <c r="O497" s="45">
        <v>45605</v>
      </c>
      <c r="P497" s="72" t="str">
        <f t="shared" si="35"/>
        <v>sábado</v>
      </c>
      <c r="Q497" s="29">
        <f>IFERROR(IF(GUAYAQUIL[[#This Row],[CODIGO]]="","",IF(GUAYAQUIL[[#This Row],[Fecha Cad]]="","",(GUAYAQUIL[[#This Row],[Fecha Cad]]-GUAYAQUIL[[#This Row],[VIDA UTIL (Días)]]))+1),"")</f>
        <v>45595</v>
      </c>
      <c r="R497" s="45">
        <v>45639</v>
      </c>
      <c r="S497" s="30">
        <f t="shared" ca="1" si="36"/>
        <v>15</v>
      </c>
      <c r="T497" s="31">
        <f t="shared" ca="1" si="37"/>
        <v>0.33333333333333331</v>
      </c>
      <c r="U497" s="286">
        <v>151</v>
      </c>
      <c r="V497" s="265">
        <f>+IFERROR(IF(GUAYAQUIL[[#This Row],[CODIGO]]="","",GUAYAQUIL[[#This Row],[Stock Actual Unds]]*GUAYAQUIL[[#This Row],[Gramaje]]*GUAYAQUIL[[#This Row],[Conversión]]),"")</f>
        <v>27.18</v>
      </c>
      <c r="W497" s="270">
        <f t="shared" si="38"/>
        <v>10</v>
      </c>
      <c r="X497" s="32">
        <f t="shared" si="39"/>
        <v>0.77777777777777779</v>
      </c>
      <c r="Y497" s="236">
        <f>IFERROR(VLOOKUP(GUAYAQUIL[[#This Row],[CODIGO]],MAESTRO!A:BI,21,FALSE),0)</f>
        <v>0.30145500000000003</v>
      </c>
      <c r="Z497" s="237">
        <f>+IFERROR(IF(GUAYAQUIL[[#This Row],[CODIGO]]="","",GUAYAQUIL[[#This Row],[COSTO UNIT base]]*GUAYAQUIL[[#This Row],[Conversión]]),"")</f>
        <v>0.30145500000000003</v>
      </c>
      <c r="AA497" s="236">
        <f>+IFERROR(IF(GUAYAQUIL[[#This Row],[CODIGO]]="","",GUAYAQUIL[[#This Row],[COSTO UNIT Conv]]*GUAYAQUIL[[#This Row],[Stock Actual Kgs]]),"")</f>
        <v>8.1935469000000012</v>
      </c>
      <c r="AB497" s="33">
        <f ca="1">+IFERROR(IF(GUAYAQUIL[[#This Row],[CODIGO]]="","",$J$3-O497),"")</f>
        <v>19</v>
      </c>
      <c r="AC497" s="34" t="str">
        <f ca="1">IF(GUAYAQUIL[[#This Row],[CODIGO]]="","",IF(S497&lt;=0,"CADUCADO",IF(AND(S497&gt;0,S497&lt;=21),"FECHA CORTA",IF(AND(S497&gt;=22,S497&lt;=26),"PROXIMOS FECHA CORTA", "VIGENTE"))))</f>
        <v>FECHA CORTA</v>
      </c>
      <c r="AD497" s="37">
        <f>+IF(GUAYAQUIL[[#This Row],[CODIGO]]="","",GUAYAQUIL[[#This Row],[Stock Actual Unds]]*GUAYAQUIL[[#This Row],[Gramaje]]*GUAYAQUIL[[#This Row],[Conversión]])/1000</f>
        <v>2.7179999999999999E-2</v>
      </c>
    </row>
    <row r="498" spans="1:30">
      <c r="A498" s="24" t="str">
        <f>+IFERROR(IF(GUAYAQUIL[[#This Row],[CODIGO]]="","",VLOOKUP(GUAYAQUIL[[#This Row],[CODIGO]],MAESTRO!$A:$J,10,FALSE)),"")</f>
        <v>MACHACHI</v>
      </c>
      <c r="B498" s="24" t="str">
        <f>+IFERROR(IF(GUAYAQUIL[[#This Row],[CODIGO]]="","",VLOOKUP(GUAYAQUIL[[#This Row],[CODIGO]],MAESTRO!$A:$Q,17,FALSE)),"")</f>
        <v>BEBIDAS LACTEAS</v>
      </c>
      <c r="C498" s="24" t="str">
        <f>+IFERROR(IF(GUAYAQUIL[[#This Row],[CODIGO]]="","",VLOOKUP(GUAYAQUIL[[#This Row],[CODIGO]],MAESTRO!$A:$BA,53,FALSE)),"")</f>
        <v xml:space="preserve">Luis Armendariz                         </v>
      </c>
      <c r="D498" s="24" t="str">
        <f>+IFERROR(IF(GUAYAQUIL[[#This Row],[CODIGO]]="","",VLOOKUP(GUAYAQUIL[[#This Row],[CODIGO]],MAESTRO!$A:$D,4,FALSE)),"")</f>
        <v>REGENERIS</v>
      </c>
      <c r="E498" s="24" t="str">
        <f>+IFERROR(IF(GUAYAQUIL[[#This Row],[CODIGO]]="","",VLOOKUP(GUAYAQUIL[[#This Row],[CODIGO]],MAESTRO!$A:$F,6,FALSE)),"")</f>
        <v>REGENERIS BEBIBLE BOTELLA PERSONAL</v>
      </c>
      <c r="F498" s="42" t="str">
        <f>IF(GUAYAQUIL[[#This Row],[CODIGO]]="","",$K$6)</f>
        <v>GUAYAQUIL</v>
      </c>
      <c r="G498" s="42">
        <f>IF(GUAYAQUIL[[#This Row],[CODIGO]]="","",7711)</f>
        <v>7711</v>
      </c>
      <c r="H498" s="42">
        <f>IF(GUAYAQUIL[[#This Row],[CODIGO]]="","",1001)</f>
        <v>1001</v>
      </c>
      <c r="I498" s="258" t="s">
        <v>3212</v>
      </c>
      <c r="J498" s="25" t="str">
        <f>IFERROR((VLOOKUP(GUAYAQUIL[[#This Row],[CODIGO]],MAESTRO!A:B,2,FALSE)),"")</f>
        <v>RGN BBLE FTLLA BOT 180G</v>
      </c>
      <c r="K498" s="35">
        <v>324</v>
      </c>
      <c r="L498" s="38">
        <f>+IFERROR(IF(GUAYAQUIL[[#This Row],[CODIGO]]="","",VLOOKUP(GUAYAQUIL[[#This Row],[CODIGO]],MAESTRO!$A:$BF,58,FALSE)),"")</f>
        <v>1</v>
      </c>
      <c r="M498" s="27">
        <f>+IFERROR(IF(GUAYAQUIL[[#This Row],[CODIGO]]="","",VLOOKUP(GUAYAQUIL[[#This Row],[CODIGO]],MAESTRO!A:N,14,FALSE)),"")</f>
        <v>0.18</v>
      </c>
      <c r="N498" s="28">
        <f>+IFERROR(IF(GUAYAQUIL[[#This Row],[CODIGO]]="","",VLOOKUP(GUAYAQUIL[[#This Row],[CODIGO]],MAESTRO!A:P,16,FALSE)),"")</f>
        <v>45</v>
      </c>
      <c r="O498" s="45">
        <v>45608</v>
      </c>
      <c r="P498" s="72" t="str">
        <f t="shared" si="35"/>
        <v>martes</v>
      </c>
      <c r="Q498" s="29">
        <f>IFERROR(IF(GUAYAQUIL[[#This Row],[CODIGO]]="","",IF(GUAYAQUIL[[#This Row],[Fecha Cad]]="","",(GUAYAQUIL[[#This Row],[Fecha Cad]]-GUAYAQUIL[[#This Row],[VIDA UTIL (Días)]]))+1),"")</f>
        <v>45596</v>
      </c>
      <c r="R498" s="45">
        <v>45640</v>
      </c>
      <c r="S498" s="30">
        <f t="shared" ca="1" si="36"/>
        <v>16</v>
      </c>
      <c r="T498" s="31">
        <f t="shared" ca="1" si="37"/>
        <v>0.35555555555555557</v>
      </c>
      <c r="U498" s="286">
        <v>132</v>
      </c>
      <c r="V498" s="265">
        <f>+IFERROR(IF(GUAYAQUIL[[#This Row],[CODIGO]]="","",GUAYAQUIL[[#This Row],[Stock Actual Unds]]*GUAYAQUIL[[#This Row],[Gramaje]]*GUAYAQUIL[[#This Row],[Conversión]]),"")</f>
        <v>23.759999999999998</v>
      </c>
      <c r="W498" s="270">
        <f t="shared" si="38"/>
        <v>12</v>
      </c>
      <c r="X498" s="32">
        <f t="shared" si="39"/>
        <v>0.73333333333333339</v>
      </c>
      <c r="Y498" s="236">
        <f>IFERROR(VLOOKUP(GUAYAQUIL[[#This Row],[CODIGO]],MAESTRO!A:BI,21,FALSE),0)</f>
        <v>0.30145500000000003</v>
      </c>
      <c r="Z498" s="237">
        <f>+IFERROR(IF(GUAYAQUIL[[#This Row],[CODIGO]]="","",GUAYAQUIL[[#This Row],[COSTO UNIT base]]*GUAYAQUIL[[#This Row],[Conversión]]),"")</f>
        <v>0.30145500000000003</v>
      </c>
      <c r="AA498" s="236">
        <f>+IFERROR(IF(GUAYAQUIL[[#This Row],[CODIGO]]="","",GUAYAQUIL[[#This Row],[COSTO UNIT Conv]]*GUAYAQUIL[[#This Row],[Stock Actual Kgs]]),"")</f>
        <v>7.1625708000000001</v>
      </c>
      <c r="AB498" s="33">
        <f ca="1">+IFERROR(IF(GUAYAQUIL[[#This Row],[CODIGO]]="","",$J$3-O498),"")</f>
        <v>16</v>
      </c>
      <c r="AC498" s="34" t="str">
        <f ca="1">IF(GUAYAQUIL[[#This Row],[CODIGO]]="","",IF(S498&lt;=0,"CADUCADO",IF(AND(S498&gt;0,S498&lt;=21),"FECHA CORTA",IF(AND(S498&gt;=22,S498&lt;=26),"PROXIMOS FECHA CORTA", "VIGENTE"))))</f>
        <v>FECHA CORTA</v>
      </c>
      <c r="AD498" s="37">
        <f>+IF(GUAYAQUIL[[#This Row],[CODIGO]]="","",GUAYAQUIL[[#This Row],[Stock Actual Unds]]*GUAYAQUIL[[#This Row],[Gramaje]]*GUAYAQUIL[[#This Row],[Conversión]])/1000</f>
        <v>2.3759999999999996E-2</v>
      </c>
    </row>
    <row r="499" spans="1:30">
      <c r="A499" s="24" t="str">
        <f>+IFERROR(IF(GUAYAQUIL[[#This Row],[CODIGO]]="","",VLOOKUP(GUAYAQUIL[[#This Row],[CODIGO]],MAESTRO!$A:$J,10,FALSE)),"")</f>
        <v>MACHACHI</v>
      </c>
      <c r="B499" s="24" t="str">
        <f>+IFERROR(IF(GUAYAQUIL[[#This Row],[CODIGO]]="","",VLOOKUP(GUAYAQUIL[[#This Row],[CODIGO]],MAESTRO!$A:$Q,17,FALSE)),"")</f>
        <v>BEBIDAS LACTEAS</v>
      </c>
      <c r="C499" s="24" t="str">
        <f>+IFERROR(IF(GUAYAQUIL[[#This Row],[CODIGO]]="","",VLOOKUP(GUAYAQUIL[[#This Row],[CODIGO]],MAESTRO!$A:$BA,53,FALSE)),"")</f>
        <v xml:space="preserve">Luis Armendariz                         </v>
      </c>
      <c r="D499" s="24" t="str">
        <f>+IFERROR(IF(GUAYAQUIL[[#This Row],[CODIGO]]="","",VLOOKUP(GUAYAQUIL[[#This Row],[CODIGO]],MAESTRO!$A:$D,4,FALSE)),"")</f>
        <v>REGENERIS</v>
      </c>
      <c r="E499" s="24" t="str">
        <f>+IFERROR(IF(GUAYAQUIL[[#This Row],[CODIGO]]="","",VLOOKUP(GUAYAQUIL[[#This Row],[CODIGO]],MAESTRO!$A:$F,6,FALSE)),"")</f>
        <v>REGENERIS BEBIBLE BOTELLA PERSONAL</v>
      </c>
      <c r="F499" s="42" t="str">
        <f>IF(GUAYAQUIL[[#This Row],[CODIGO]]="","",$K$6)</f>
        <v>GUAYAQUIL</v>
      </c>
      <c r="G499" s="209">
        <f>IF(GUAYAQUIL[[#This Row],[CODIGO]]="","",7711)</f>
        <v>7711</v>
      </c>
      <c r="H499" s="209">
        <f>IF(GUAYAQUIL[[#This Row],[CODIGO]]="","",1001)</f>
        <v>1001</v>
      </c>
      <c r="I499" s="258" t="s">
        <v>3212</v>
      </c>
      <c r="J499" s="25" t="str">
        <f>IFERROR((VLOOKUP(GUAYAQUIL[[#This Row],[CODIGO]],MAESTRO!A:B,2,FALSE)),"")</f>
        <v>RGN BBLE FTLLA BOT 180G</v>
      </c>
      <c r="K499" s="35">
        <v>540</v>
      </c>
      <c r="L499" s="38">
        <f>+IFERROR(IF(GUAYAQUIL[[#This Row],[CODIGO]]="","",VLOOKUP(GUAYAQUIL[[#This Row],[CODIGO]],MAESTRO!$A:$BF,58,FALSE)),"")</f>
        <v>1</v>
      </c>
      <c r="M499" s="27">
        <f>+IFERROR(IF(GUAYAQUIL[[#This Row],[CODIGO]]="","",VLOOKUP(GUAYAQUIL[[#This Row],[CODIGO]],MAESTRO!A:N,14,FALSE)),"")</f>
        <v>0.18</v>
      </c>
      <c r="N499" s="28">
        <f>+IFERROR(IF(GUAYAQUIL[[#This Row],[CODIGO]]="","",VLOOKUP(GUAYAQUIL[[#This Row],[CODIGO]],MAESTRO!A:P,16,FALSE)),"")</f>
        <v>45</v>
      </c>
      <c r="O499" s="45">
        <v>45612</v>
      </c>
      <c r="P499" s="72" t="str">
        <f t="shared" si="35"/>
        <v>sábado</v>
      </c>
      <c r="Q499" s="29">
        <f>IFERROR(IF(GUAYAQUIL[[#This Row],[CODIGO]]="","",IF(GUAYAQUIL[[#This Row],[Fecha Cad]]="","",(GUAYAQUIL[[#This Row],[Fecha Cad]]-GUAYAQUIL[[#This Row],[VIDA UTIL (Días)]]))+1),"")</f>
        <v>45604</v>
      </c>
      <c r="R499" s="45">
        <v>45648</v>
      </c>
      <c r="S499" s="30">
        <f t="shared" ca="1" si="36"/>
        <v>24</v>
      </c>
      <c r="T499" s="31">
        <f t="shared" ca="1" si="37"/>
        <v>0.53333333333333333</v>
      </c>
      <c r="U499" s="286">
        <v>393</v>
      </c>
      <c r="V499" s="265">
        <f>+IFERROR(IF(GUAYAQUIL[[#This Row],[CODIGO]]="","",GUAYAQUIL[[#This Row],[Stock Actual Unds]]*GUAYAQUIL[[#This Row],[Gramaje]]*GUAYAQUIL[[#This Row],[Conversión]]),"")</f>
        <v>70.739999999999995</v>
      </c>
      <c r="W499" s="270">
        <f t="shared" si="38"/>
        <v>8</v>
      </c>
      <c r="X499" s="32">
        <f t="shared" si="39"/>
        <v>0.82222222222222219</v>
      </c>
      <c r="Y499" s="236">
        <f>IFERROR(VLOOKUP(GUAYAQUIL[[#This Row],[CODIGO]],MAESTRO!A:BI,21,FALSE),0)</f>
        <v>0.30145500000000003</v>
      </c>
      <c r="Z499" s="237">
        <f>+IFERROR(IF(GUAYAQUIL[[#This Row],[CODIGO]]="","",GUAYAQUIL[[#This Row],[COSTO UNIT base]]*GUAYAQUIL[[#This Row],[Conversión]]),"")</f>
        <v>0.30145500000000003</v>
      </c>
      <c r="AA499" s="236">
        <f>+IFERROR(IF(GUAYAQUIL[[#This Row],[CODIGO]]="","",GUAYAQUIL[[#This Row],[COSTO UNIT Conv]]*GUAYAQUIL[[#This Row],[Stock Actual Kgs]]),"")</f>
        <v>21.324926699999999</v>
      </c>
      <c r="AB499" s="33">
        <f ca="1">+IFERROR(IF(GUAYAQUIL[[#This Row],[CODIGO]]="","",$J$3-O499),"")</f>
        <v>12</v>
      </c>
      <c r="AC499" s="34" t="str">
        <f ca="1">IF(GUAYAQUIL[[#This Row],[CODIGO]]="","",IF(S499&lt;=0,"CADUCADO",IF(AND(S499&gt;0,S499&lt;=21),"FECHA CORTA",IF(AND(S499&gt;=22,S499&lt;=26),"PROXIMOS FECHA CORTA", "VIGENTE"))))</f>
        <v>PROXIMOS FECHA CORTA</v>
      </c>
      <c r="AD499" s="37">
        <f>+IF(GUAYAQUIL[[#This Row],[CODIGO]]="","",GUAYAQUIL[[#This Row],[Stock Actual Unds]]*GUAYAQUIL[[#This Row],[Gramaje]]*GUAYAQUIL[[#This Row],[Conversión]])/1000</f>
        <v>7.0739999999999997E-2</v>
      </c>
    </row>
    <row r="500" spans="1:30">
      <c r="A500" s="24" t="str">
        <f>+IFERROR(IF(GUAYAQUIL[[#This Row],[CODIGO]]="","",VLOOKUP(GUAYAQUIL[[#This Row],[CODIGO]],MAESTRO!$A:$J,10,FALSE)),"")</f>
        <v>MACHACHI</v>
      </c>
      <c r="B500" s="24" t="str">
        <f>+IFERROR(IF(GUAYAQUIL[[#This Row],[CODIGO]]="","",VLOOKUP(GUAYAQUIL[[#This Row],[CODIGO]],MAESTRO!$A:$Q,17,FALSE)),"")</f>
        <v>BEBIDAS LACTEAS</v>
      </c>
      <c r="C500" s="24" t="str">
        <f>+IFERROR(IF(GUAYAQUIL[[#This Row],[CODIGO]]="","",VLOOKUP(GUAYAQUIL[[#This Row],[CODIGO]],MAESTRO!$A:$BA,53,FALSE)),"")</f>
        <v xml:space="preserve">Luis Armendariz                         </v>
      </c>
      <c r="D500" s="24" t="str">
        <f>+IFERROR(IF(GUAYAQUIL[[#This Row],[CODIGO]]="","",VLOOKUP(GUAYAQUIL[[#This Row],[CODIGO]],MAESTRO!$A:$D,4,FALSE)),"")</f>
        <v>REGENERIS</v>
      </c>
      <c r="E500" s="24" t="str">
        <f>+IFERROR(IF(GUAYAQUIL[[#This Row],[CODIGO]]="","",VLOOKUP(GUAYAQUIL[[#This Row],[CODIGO]],MAESTRO!$A:$F,6,FALSE)),"")</f>
        <v>REGENERIS BEBIBLE BOTELLA PERSONAL</v>
      </c>
      <c r="F500" s="42" t="str">
        <f>IF(GUAYAQUIL[[#This Row],[CODIGO]]="","",$K$6)</f>
        <v>GUAYAQUIL</v>
      </c>
      <c r="G500" s="42">
        <f>IF(GUAYAQUIL[[#This Row],[CODIGO]]="","",7711)</f>
        <v>7711</v>
      </c>
      <c r="H500" s="42">
        <f>IF(GUAYAQUIL[[#This Row],[CODIGO]]="","",1001)</f>
        <v>1001</v>
      </c>
      <c r="I500" s="258" t="s">
        <v>3212</v>
      </c>
      <c r="J500" s="25" t="str">
        <f>IFERROR((VLOOKUP(GUAYAQUIL[[#This Row],[CODIGO]],MAESTRO!A:B,2,FALSE)),"")</f>
        <v>RGN BBLE FTLLA BOT 180G</v>
      </c>
      <c r="K500" s="35">
        <v>0</v>
      </c>
      <c r="L500" s="38">
        <f>+IFERROR(IF(GUAYAQUIL[[#This Row],[CODIGO]]="","",VLOOKUP(GUAYAQUIL[[#This Row],[CODIGO]],MAESTRO!$A:$BF,58,FALSE)),"")</f>
        <v>1</v>
      </c>
      <c r="M500" s="27">
        <f>+IFERROR(IF(GUAYAQUIL[[#This Row],[CODIGO]]="","",VLOOKUP(GUAYAQUIL[[#This Row],[CODIGO]],MAESTRO!A:N,14,FALSE)),"")</f>
        <v>0.18</v>
      </c>
      <c r="N500" s="28">
        <f>+IFERROR(IF(GUAYAQUIL[[#This Row],[CODIGO]]="","",VLOOKUP(GUAYAQUIL[[#This Row],[CODIGO]],MAESTRO!A:P,16,FALSE)),"")</f>
        <v>45</v>
      </c>
      <c r="O500" s="45">
        <v>45611</v>
      </c>
      <c r="P500" s="72" t="str">
        <f t="shared" si="35"/>
        <v>viernes</v>
      </c>
      <c r="Q500" s="29">
        <f>IFERROR(IF(GUAYAQUIL[[#This Row],[CODIGO]]="","",IF(GUAYAQUIL[[#This Row],[Fecha Cad]]="","",(GUAYAQUIL[[#This Row],[Fecha Cad]]-GUAYAQUIL[[#This Row],[VIDA UTIL (Días)]]))+1),"")</f>
        <v>45611</v>
      </c>
      <c r="R500" s="45">
        <v>45655</v>
      </c>
      <c r="S500" s="30">
        <f t="shared" ca="1" si="36"/>
        <v>31</v>
      </c>
      <c r="T500" s="31">
        <f t="shared" ca="1" si="37"/>
        <v>0.68888888888888888</v>
      </c>
      <c r="U500" s="286">
        <v>1</v>
      </c>
      <c r="V500" s="265">
        <f>+IFERROR(IF(GUAYAQUIL[[#This Row],[CODIGO]]="","",GUAYAQUIL[[#This Row],[Stock Actual Unds]]*GUAYAQUIL[[#This Row],[Gramaje]]*GUAYAQUIL[[#This Row],[Conversión]]),"")</f>
        <v>0.18</v>
      </c>
      <c r="W500" s="270">
        <f t="shared" si="38"/>
        <v>0</v>
      </c>
      <c r="X500" s="32">
        <f t="shared" si="39"/>
        <v>1</v>
      </c>
      <c r="Y500" s="236">
        <f>IFERROR(VLOOKUP(GUAYAQUIL[[#This Row],[CODIGO]],MAESTRO!A:BI,21,FALSE),0)</f>
        <v>0.30145500000000003</v>
      </c>
      <c r="Z500" s="237">
        <f>+IFERROR(IF(GUAYAQUIL[[#This Row],[CODIGO]]="","",GUAYAQUIL[[#This Row],[COSTO UNIT base]]*GUAYAQUIL[[#This Row],[Conversión]]),"")</f>
        <v>0.30145500000000003</v>
      </c>
      <c r="AA500" s="236">
        <f>+IFERROR(IF(GUAYAQUIL[[#This Row],[CODIGO]]="","",GUAYAQUIL[[#This Row],[COSTO UNIT Conv]]*GUAYAQUIL[[#This Row],[Stock Actual Kgs]]),"")</f>
        <v>5.4261900000000002E-2</v>
      </c>
      <c r="AB500" s="33">
        <f ca="1">+IFERROR(IF(GUAYAQUIL[[#This Row],[CODIGO]]="","",$J$3-O500),"")</f>
        <v>13</v>
      </c>
      <c r="AC500" s="34" t="str">
        <f ca="1">IF(GUAYAQUIL[[#This Row],[CODIGO]]="","",IF(S500&lt;=0,"CADUCADO",IF(AND(S500&gt;0,S500&lt;=21),"FECHA CORTA",IF(AND(S500&gt;=22,S500&lt;=26),"PROXIMOS FECHA CORTA", "VIGENTE"))))</f>
        <v>VIGENTE</v>
      </c>
      <c r="AD500" s="37">
        <f>+IF(GUAYAQUIL[[#This Row],[CODIGO]]="","",GUAYAQUIL[[#This Row],[Stock Actual Unds]]*GUAYAQUIL[[#This Row],[Gramaje]]*GUAYAQUIL[[#This Row],[Conversión]])/1000</f>
        <v>1.7999999999999998E-4</v>
      </c>
    </row>
    <row r="501" spans="1:30">
      <c r="A501" s="24" t="str">
        <f>+IFERROR(IF(GUAYAQUIL[[#This Row],[CODIGO]]="","",VLOOKUP(GUAYAQUIL[[#This Row],[CODIGO]],MAESTRO!$A:$J,10,FALSE)),"")</f>
        <v>MACHACHI</v>
      </c>
      <c r="B501" s="24" t="str">
        <f>+IFERROR(IF(GUAYAQUIL[[#This Row],[CODIGO]]="","",VLOOKUP(GUAYAQUIL[[#This Row],[CODIGO]],MAESTRO!$A:$Q,17,FALSE)),"")</f>
        <v>BEBIDAS LACTEAS</v>
      </c>
      <c r="C501" s="24" t="str">
        <f>+IFERROR(IF(GUAYAQUIL[[#This Row],[CODIGO]]="","",VLOOKUP(GUAYAQUIL[[#This Row],[CODIGO]],MAESTRO!$A:$BA,53,FALSE)),"")</f>
        <v xml:space="preserve">Luis Armendariz                         </v>
      </c>
      <c r="D501" s="24" t="str">
        <f>+IFERROR(IF(GUAYAQUIL[[#This Row],[CODIGO]]="","",VLOOKUP(GUAYAQUIL[[#This Row],[CODIGO]],MAESTRO!$A:$D,4,FALSE)),"")</f>
        <v>REGENERIS</v>
      </c>
      <c r="E501" s="24" t="str">
        <f>+IFERROR(IF(GUAYAQUIL[[#This Row],[CODIGO]]="","",VLOOKUP(GUAYAQUIL[[#This Row],[CODIGO]],MAESTRO!$A:$F,6,FALSE)),"")</f>
        <v>REGENERIS BEBIBLE BOTELLA PERSONAL</v>
      </c>
      <c r="F501" s="42" t="str">
        <f>IF(GUAYAQUIL[[#This Row],[CODIGO]]="","",$K$6)</f>
        <v>GUAYAQUIL</v>
      </c>
      <c r="G501" s="209">
        <f>IF(GUAYAQUIL[[#This Row],[CODIGO]]="","",7711)</f>
        <v>7711</v>
      </c>
      <c r="H501" s="209">
        <f>IF(GUAYAQUIL[[#This Row],[CODIGO]]="","",1001)</f>
        <v>1001</v>
      </c>
      <c r="I501" s="258" t="s">
        <v>3212</v>
      </c>
      <c r="J501" s="25" t="str">
        <f>IFERROR((VLOOKUP(GUAYAQUIL[[#This Row],[CODIGO]],MAESTRO!A:B,2,FALSE)),"")</f>
        <v>RGN BBLE FTLLA BOT 180G</v>
      </c>
      <c r="K501" s="35">
        <v>540</v>
      </c>
      <c r="L501" s="38">
        <f>+IFERROR(IF(GUAYAQUIL[[#This Row],[CODIGO]]="","",VLOOKUP(GUAYAQUIL[[#This Row],[CODIGO]],MAESTRO!$A:$BF,58,FALSE)),"")</f>
        <v>1</v>
      </c>
      <c r="M501" s="27">
        <f>+IFERROR(IF(GUAYAQUIL[[#This Row],[CODIGO]]="","",VLOOKUP(GUAYAQUIL[[#This Row],[CODIGO]],MAESTRO!A:N,14,FALSE)),"")</f>
        <v>0.18</v>
      </c>
      <c r="N501" s="28">
        <f>+IFERROR(IF(GUAYAQUIL[[#This Row],[CODIGO]]="","",VLOOKUP(GUAYAQUIL[[#This Row],[CODIGO]],MAESTRO!A:P,16,FALSE)),"")</f>
        <v>45</v>
      </c>
      <c r="O501" s="45">
        <v>45615</v>
      </c>
      <c r="P501" s="72" t="str">
        <f t="shared" si="35"/>
        <v>martes</v>
      </c>
      <c r="Q501" s="29">
        <f>IFERROR(IF(GUAYAQUIL[[#This Row],[CODIGO]]="","",IF(GUAYAQUIL[[#This Row],[Fecha Cad]]="","",(GUAYAQUIL[[#This Row],[Fecha Cad]]-GUAYAQUIL[[#This Row],[VIDA UTIL (Días)]]))+1),"")</f>
        <v>45609</v>
      </c>
      <c r="R501" s="45">
        <v>45653</v>
      </c>
      <c r="S501" s="30">
        <f t="shared" ca="1" si="36"/>
        <v>29</v>
      </c>
      <c r="T501" s="31">
        <f t="shared" ca="1" si="37"/>
        <v>0.64444444444444449</v>
      </c>
      <c r="U501" s="286">
        <v>540</v>
      </c>
      <c r="V501" s="265">
        <f>+IFERROR(IF(GUAYAQUIL[[#This Row],[CODIGO]]="","",GUAYAQUIL[[#This Row],[Stock Actual Unds]]*GUAYAQUIL[[#This Row],[Gramaje]]*GUAYAQUIL[[#This Row],[Conversión]]),"")</f>
        <v>97.2</v>
      </c>
      <c r="W501" s="270">
        <f t="shared" si="38"/>
        <v>6</v>
      </c>
      <c r="X501" s="32">
        <f t="shared" si="39"/>
        <v>0.8666666666666667</v>
      </c>
      <c r="Y501" s="236">
        <f>IFERROR(VLOOKUP(GUAYAQUIL[[#This Row],[CODIGO]],MAESTRO!A:BI,21,FALSE),0)</f>
        <v>0.30145500000000003</v>
      </c>
      <c r="Z501" s="237">
        <f>+IFERROR(IF(GUAYAQUIL[[#This Row],[CODIGO]]="","",GUAYAQUIL[[#This Row],[COSTO UNIT base]]*GUAYAQUIL[[#This Row],[Conversión]]),"")</f>
        <v>0.30145500000000003</v>
      </c>
      <c r="AA501" s="236">
        <f>+IFERROR(IF(GUAYAQUIL[[#This Row],[CODIGO]]="","",GUAYAQUIL[[#This Row],[COSTO UNIT Conv]]*GUAYAQUIL[[#This Row],[Stock Actual Kgs]]),"")</f>
        <v>29.301426000000003</v>
      </c>
      <c r="AB501" s="33">
        <f ca="1">+IFERROR(IF(GUAYAQUIL[[#This Row],[CODIGO]]="","",$J$3-O501),"")</f>
        <v>9</v>
      </c>
      <c r="AC501" s="34" t="str">
        <f ca="1">IF(GUAYAQUIL[[#This Row],[CODIGO]]="","",IF(S501&lt;=0,"CADUCADO",IF(AND(S501&gt;0,S501&lt;=21),"FECHA CORTA",IF(AND(S501&gt;=22,S501&lt;=26),"PROXIMOS FECHA CORTA", "VIGENTE"))))</f>
        <v>VIGENTE</v>
      </c>
      <c r="AD501" s="37">
        <f>+IF(GUAYAQUIL[[#This Row],[CODIGO]]="","",GUAYAQUIL[[#This Row],[Stock Actual Unds]]*GUAYAQUIL[[#This Row],[Gramaje]]*GUAYAQUIL[[#This Row],[Conversión]])/1000</f>
        <v>9.7200000000000009E-2</v>
      </c>
    </row>
    <row r="502" spans="1:30">
      <c r="A502" s="42" t="str">
        <f>+IFERROR(IF(GUAYAQUIL[[#This Row],[CODIGO]]="","",VLOOKUP(GUAYAQUIL[[#This Row],[CODIGO]],MAESTRO!$A:$J,10,FALSE)),"")</f>
        <v>MACHACHI</v>
      </c>
      <c r="B502" s="42" t="str">
        <f>+IFERROR(IF(GUAYAQUIL[[#This Row],[CODIGO]]="","",VLOOKUP(GUAYAQUIL[[#This Row],[CODIGO]],MAESTRO!$A:$Q,17,FALSE)),"")</f>
        <v>BEBIDAS LACTEAS</v>
      </c>
      <c r="C502" s="42" t="str">
        <f>+IFERROR(IF(GUAYAQUIL[[#This Row],[CODIGO]]="","",VLOOKUP(GUAYAQUIL[[#This Row],[CODIGO]],MAESTRO!$A:$BA,53,FALSE)),"")</f>
        <v xml:space="preserve">Luis Armendariz                         </v>
      </c>
      <c r="D502" s="42" t="str">
        <f>+IFERROR(IF(GUAYAQUIL[[#This Row],[CODIGO]]="","",VLOOKUP(GUAYAQUIL[[#This Row],[CODIGO]],MAESTRO!$A:$D,4,FALSE)),"")</f>
        <v>REGENERIS</v>
      </c>
      <c r="E502" s="42" t="str">
        <f>+IFERROR(IF(GUAYAQUIL[[#This Row],[CODIGO]]="","",VLOOKUP(GUAYAQUIL[[#This Row],[CODIGO]],MAESTRO!$A:$F,6,FALSE)),"")</f>
        <v>REGENERIS BEBIBLE BOTELLA PERSONAL</v>
      </c>
      <c r="F502" s="42" t="str">
        <f>IF(GUAYAQUIL[[#This Row],[CODIGO]]="","",$K$6)</f>
        <v>GUAYAQUIL</v>
      </c>
      <c r="G502" s="42">
        <f>IF(GUAYAQUIL[[#This Row],[CODIGO]]="","",7711)</f>
        <v>7711</v>
      </c>
      <c r="H502" s="42">
        <f>IF(GUAYAQUIL[[#This Row],[CODIGO]]="","",1001)</f>
        <v>1001</v>
      </c>
      <c r="I502" s="258" t="s">
        <v>3212</v>
      </c>
      <c r="J502" s="25" t="str">
        <f>IFERROR((VLOOKUP(GUAYAQUIL[[#This Row],[CODIGO]],MAESTRO!A:B,2,FALSE)),"")</f>
        <v>RGN BBLE FTLLA BOT 180G</v>
      </c>
      <c r="K502" s="35">
        <v>216</v>
      </c>
      <c r="L502" s="205">
        <f>+IFERROR(IF(GUAYAQUIL[[#This Row],[CODIGO]]="","",VLOOKUP(GUAYAQUIL[[#This Row],[CODIGO]],MAESTRO!$A:$BF,58,FALSE)),"")</f>
        <v>1</v>
      </c>
      <c r="M502" s="27">
        <f>+IFERROR(IF(GUAYAQUIL[[#This Row],[CODIGO]]="","",VLOOKUP(GUAYAQUIL[[#This Row],[CODIGO]],MAESTRO!A:N,14,FALSE)),"")</f>
        <v>0.18</v>
      </c>
      <c r="N502" s="290">
        <f>+IFERROR(IF(GUAYAQUIL[[#This Row],[CODIGO]]="","",VLOOKUP(GUAYAQUIL[[#This Row],[CODIGO]],MAESTRO!A:P,16,FALSE)),"")</f>
        <v>45</v>
      </c>
      <c r="O502" s="45">
        <v>45616</v>
      </c>
      <c r="P502" s="292" t="str">
        <f t="shared" si="35"/>
        <v>miércoles</v>
      </c>
      <c r="Q502" s="278">
        <f>IFERROR(IF(GUAYAQUIL[[#This Row],[CODIGO]]="","",IF(GUAYAQUIL[[#This Row],[Fecha Cad]]="","",(GUAYAQUIL[[#This Row],[Fecha Cad]]-GUAYAQUIL[[#This Row],[VIDA UTIL (Días)]]))+1),"")</f>
        <v>45609</v>
      </c>
      <c r="R502" s="45">
        <v>45653</v>
      </c>
      <c r="S502" s="30">
        <f t="shared" ca="1" si="36"/>
        <v>29</v>
      </c>
      <c r="T502" s="294">
        <f t="shared" ca="1" si="37"/>
        <v>0.64444444444444449</v>
      </c>
      <c r="U502" s="286">
        <v>216</v>
      </c>
      <c r="V502" s="265">
        <f>+IFERROR(IF(GUAYAQUIL[[#This Row],[CODIGO]]="","",GUAYAQUIL[[#This Row],[Stock Actual Unds]]*GUAYAQUIL[[#This Row],[Gramaje]]*GUAYAQUIL[[#This Row],[Conversión]]),"")</f>
        <v>38.879999999999995</v>
      </c>
      <c r="W502" s="299">
        <f t="shared" si="38"/>
        <v>7</v>
      </c>
      <c r="X502" s="44">
        <f t="shared" si="39"/>
        <v>0.84444444444444444</v>
      </c>
      <c r="Y502" s="236">
        <f>IFERROR(VLOOKUP(GUAYAQUIL[[#This Row],[CODIGO]],MAESTRO!A:BI,21,FALSE),0)</f>
        <v>0.30145500000000003</v>
      </c>
      <c r="Z502" s="237">
        <f>+IFERROR(IF(GUAYAQUIL[[#This Row],[CODIGO]]="","",GUAYAQUIL[[#This Row],[COSTO UNIT base]]*GUAYAQUIL[[#This Row],[Conversión]]),"")</f>
        <v>0.30145500000000003</v>
      </c>
      <c r="AA502" s="236">
        <f>+IFERROR(IF(GUAYAQUIL[[#This Row],[CODIGO]]="","",GUAYAQUIL[[#This Row],[COSTO UNIT Conv]]*GUAYAQUIL[[#This Row],[Stock Actual Kgs]]),"")</f>
        <v>11.7205704</v>
      </c>
      <c r="AB502" s="180">
        <f ca="1">+IFERROR(IF(GUAYAQUIL[[#This Row],[CODIGO]]="","",$J$3-O502),"")</f>
        <v>8</v>
      </c>
      <c r="AC502" s="35" t="str">
        <f ca="1">IF(GUAYAQUIL[[#This Row],[CODIGO]]="","",IF(S502&lt;=0,"CADUCADO",IF(AND(S502&gt;0,S502&lt;=21),"FECHA CORTA",IF(AND(S502&gt;=22,S502&lt;=26),"PROXIMOS FECHA CORTA", "VIGENTE"))))</f>
        <v>VIGENTE</v>
      </c>
      <c r="AD502" s="37">
        <f>+IF(GUAYAQUIL[[#This Row],[CODIGO]]="","",GUAYAQUIL[[#This Row],[Stock Actual Unds]]*GUAYAQUIL[[#This Row],[Gramaje]]*GUAYAQUIL[[#This Row],[Conversión]])/1000</f>
        <v>3.8879999999999998E-2</v>
      </c>
    </row>
    <row r="503" spans="1:30">
      <c r="A503" s="42" t="str">
        <f>+IFERROR(IF(GUAYAQUIL[[#This Row],[CODIGO]]="","",VLOOKUP(GUAYAQUIL[[#This Row],[CODIGO]],MAESTRO!$A:$J,10,FALSE)),"")</f>
        <v>MACHACHI</v>
      </c>
      <c r="B503" s="42" t="str">
        <f>+IFERROR(IF(GUAYAQUIL[[#This Row],[CODIGO]]="","",VLOOKUP(GUAYAQUIL[[#This Row],[CODIGO]],MAESTRO!$A:$Q,17,FALSE)),"")</f>
        <v>BEBIDAS LACTEAS</v>
      </c>
      <c r="C503" s="42" t="str">
        <f>+IFERROR(IF(GUAYAQUIL[[#This Row],[CODIGO]]="","",VLOOKUP(GUAYAQUIL[[#This Row],[CODIGO]],MAESTRO!$A:$BA,53,FALSE)),"")</f>
        <v xml:space="preserve">Luis Armendariz                         </v>
      </c>
      <c r="D503" s="42" t="str">
        <f>+IFERROR(IF(GUAYAQUIL[[#This Row],[CODIGO]]="","",VLOOKUP(GUAYAQUIL[[#This Row],[CODIGO]],MAESTRO!$A:$D,4,FALSE)),"")</f>
        <v>REGENERIS</v>
      </c>
      <c r="E503" s="42" t="str">
        <f>+IFERROR(IF(GUAYAQUIL[[#This Row],[CODIGO]]="","",VLOOKUP(GUAYAQUIL[[#This Row],[CODIGO]],MAESTRO!$A:$F,6,FALSE)),"")</f>
        <v>REGENERIS BEBIBLE BOTELLA FAMILIAR</v>
      </c>
      <c r="F503" s="42" t="str">
        <f>IF(GUAYAQUIL[[#This Row],[CODIGO]]="","",$K$6)</f>
        <v>GUAYAQUIL</v>
      </c>
      <c r="G503" s="209">
        <f>IF(GUAYAQUIL[[#This Row],[CODIGO]]="","",7711)</f>
        <v>7711</v>
      </c>
      <c r="H503" s="209">
        <f>IF(GUAYAQUIL[[#This Row],[CODIGO]]="","",1001)</f>
        <v>1001</v>
      </c>
      <c r="I503" s="258" t="s">
        <v>4228</v>
      </c>
      <c r="J503" s="25" t="str">
        <f>IFERROR((VLOOKUP(GUAYAQUIL[[#This Row],[CODIGO]],MAESTRO!A:B,2,FALSE)),"")</f>
        <v>RGN BBLE FTLLA BOT 1000G</v>
      </c>
      <c r="K503" s="35">
        <v>54</v>
      </c>
      <c r="L503" s="205">
        <f>+IFERROR(IF(GUAYAQUIL[[#This Row],[CODIGO]]="","",VLOOKUP(GUAYAQUIL[[#This Row],[CODIGO]],MAESTRO!$A:$BF,58,FALSE)),"")</f>
        <v>1</v>
      </c>
      <c r="M503" s="27">
        <f>+IFERROR(IF(GUAYAQUIL[[#This Row],[CODIGO]]="","",VLOOKUP(GUAYAQUIL[[#This Row],[CODIGO]],MAESTRO!A:N,14,FALSE)),"")</f>
        <v>1</v>
      </c>
      <c r="N503" s="290">
        <f>+IFERROR(IF(GUAYAQUIL[[#This Row],[CODIGO]]="","",VLOOKUP(GUAYAQUIL[[#This Row],[CODIGO]],MAESTRO!A:P,16,FALSE)),"")</f>
        <v>45</v>
      </c>
      <c r="O503" s="45">
        <v>45608</v>
      </c>
      <c r="P503" s="292" t="str">
        <f t="shared" si="35"/>
        <v>martes</v>
      </c>
      <c r="Q503" s="278">
        <f>IFERROR(IF(GUAYAQUIL[[#This Row],[CODIGO]]="","",IF(GUAYAQUIL[[#This Row],[Fecha Cad]]="","",(GUAYAQUIL[[#This Row],[Fecha Cad]]-GUAYAQUIL[[#This Row],[VIDA UTIL (Días)]]))+1),"")</f>
        <v>45604</v>
      </c>
      <c r="R503" s="45">
        <v>45648</v>
      </c>
      <c r="S503" s="30">
        <f t="shared" ca="1" si="36"/>
        <v>24</v>
      </c>
      <c r="T503" s="294">
        <f t="shared" ca="1" si="37"/>
        <v>0.53333333333333333</v>
      </c>
      <c r="U503" s="286">
        <v>1</v>
      </c>
      <c r="V503" s="265">
        <f>+IFERROR(IF(GUAYAQUIL[[#This Row],[CODIGO]]="","",GUAYAQUIL[[#This Row],[Stock Actual Unds]]*GUAYAQUIL[[#This Row],[Gramaje]]*GUAYAQUIL[[#This Row],[Conversión]]),"")</f>
        <v>1</v>
      </c>
      <c r="W503" s="299">
        <f t="shared" si="38"/>
        <v>4</v>
      </c>
      <c r="X503" s="44">
        <f t="shared" si="39"/>
        <v>0.91111111111111109</v>
      </c>
      <c r="Y503" s="236">
        <f>IFERROR(VLOOKUP(GUAYAQUIL[[#This Row],[CODIGO]],MAESTRO!A:BI,21,FALSE),0)</f>
        <v>1.3619949999999998</v>
      </c>
      <c r="Z503" s="237">
        <f>+IFERROR(IF(GUAYAQUIL[[#This Row],[CODIGO]]="","",GUAYAQUIL[[#This Row],[COSTO UNIT base]]*GUAYAQUIL[[#This Row],[Conversión]]),"")</f>
        <v>1.3619949999999998</v>
      </c>
      <c r="AA503" s="236">
        <f>+IFERROR(IF(GUAYAQUIL[[#This Row],[CODIGO]]="","",GUAYAQUIL[[#This Row],[COSTO UNIT Conv]]*GUAYAQUIL[[#This Row],[Stock Actual Kgs]]),"")</f>
        <v>1.3619949999999998</v>
      </c>
      <c r="AB503" s="180">
        <f ca="1">+IFERROR(IF(GUAYAQUIL[[#This Row],[CODIGO]]="","",$J$3-O503),"")</f>
        <v>16</v>
      </c>
      <c r="AC503" s="35" t="str">
        <f ca="1">IF(GUAYAQUIL[[#This Row],[CODIGO]]="","",IF(S503&lt;=0,"CADUCADO",IF(AND(S503&gt;0,S503&lt;=21),"FECHA CORTA",IF(AND(S503&gt;=22,S503&lt;=26),"PROXIMOS FECHA CORTA", "VIGENTE"))))</f>
        <v>PROXIMOS FECHA CORTA</v>
      </c>
      <c r="AD503" s="37">
        <f>+IF(GUAYAQUIL[[#This Row],[CODIGO]]="","",GUAYAQUIL[[#This Row],[Stock Actual Unds]]*GUAYAQUIL[[#This Row],[Gramaje]]*GUAYAQUIL[[#This Row],[Conversión]])/1000</f>
        <v>1E-3</v>
      </c>
    </row>
    <row r="504" spans="1:30">
      <c r="A504" s="42" t="str">
        <f>+IFERROR(IF(GUAYAQUIL[[#This Row],[CODIGO]]="","",VLOOKUP(GUAYAQUIL[[#This Row],[CODIGO]],MAESTRO!$A:$J,10,FALSE)),"")</f>
        <v>MACHACHI</v>
      </c>
      <c r="B504" s="42" t="str">
        <f>+IFERROR(IF(GUAYAQUIL[[#This Row],[CODIGO]]="","",VLOOKUP(GUAYAQUIL[[#This Row],[CODIGO]],MAESTRO!$A:$Q,17,FALSE)),"")</f>
        <v>BEBIDAS LACTEAS</v>
      </c>
      <c r="C504" s="42" t="str">
        <f>+IFERROR(IF(GUAYAQUIL[[#This Row],[CODIGO]]="","",VLOOKUP(GUAYAQUIL[[#This Row],[CODIGO]],MAESTRO!$A:$BA,53,FALSE)),"")</f>
        <v xml:space="preserve">Luis Armendariz                         </v>
      </c>
      <c r="D504" s="42" t="str">
        <f>+IFERROR(IF(GUAYAQUIL[[#This Row],[CODIGO]]="","",VLOOKUP(GUAYAQUIL[[#This Row],[CODIGO]],MAESTRO!$A:$D,4,FALSE)),"")</f>
        <v>REGENERIS</v>
      </c>
      <c r="E504" s="42" t="str">
        <f>+IFERROR(IF(GUAYAQUIL[[#This Row],[CODIGO]]="","",VLOOKUP(GUAYAQUIL[[#This Row],[CODIGO]],MAESTRO!$A:$F,6,FALSE)),"")</f>
        <v>REGENERIS BEBIBLE BOTELLA FAMILIAR</v>
      </c>
      <c r="F504" s="42" t="str">
        <f>IF(GUAYAQUIL[[#This Row],[CODIGO]]="","",$K$6)</f>
        <v>GUAYAQUIL</v>
      </c>
      <c r="G504" s="42">
        <f>IF(GUAYAQUIL[[#This Row],[CODIGO]]="","",7711)</f>
        <v>7711</v>
      </c>
      <c r="H504" s="42">
        <f>IF(GUAYAQUIL[[#This Row],[CODIGO]]="","",1001)</f>
        <v>1001</v>
      </c>
      <c r="I504" s="258" t="s">
        <v>4228</v>
      </c>
      <c r="J504" s="25" t="str">
        <f>IFERROR((VLOOKUP(GUAYAQUIL[[#This Row],[CODIGO]],MAESTRO!A:B,2,FALSE)),"")</f>
        <v>RGN BBLE FTLLA BOT 1000G</v>
      </c>
      <c r="K504" s="35">
        <v>72</v>
      </c>
      <c r="L504" s="205">
        <f>+IFERROR(IF(GUAYAQUIL[[#This Row],[CODIGO]]="","",VLOOKUP(GUAYAQUIL[[#This Row],[CODIGO]],MAESTRO!$A:$BF,58,FALSE)),"")</f>
        <v>1</v>
      </c>
      <c r="M504" s="27">
        <f>+IFERROR(IF(GUAYAQUIL[[#This Row],[CODIGO]]="","",VLOOKUP(GUAYAQUIL[[#This Row],[CODIGO]],MAESTRO!A:N,14,FALSE)),"")</f>
        <v>1</v>
      </c>
      <c r="N504" s="290">
        <f>+IFERROR(IF(GUAYAQUIL[[#This Row],[CODIGO]]="","",VLOOKUP(GUAYAQUIL[[#This Row],[CODIGO]],MAESTRO!A:P,16,FALSE)),"")</f>
        <v>45</v>
      </c>
      <c r="O504" s="45">
        <v>45612</v>
      </c>
      <c r="P504" s="292" t="str">
        <f t="shared" si="35"/>
        <v>sábado</v>
      </c>
      <c r="Q504" s="278">
        <f>IFERROR(IF(GUAYAQUIL[[#This Row],[CODIGO]]="","",IF(GUAYAQUIL[[#This Row],[Fecha Cad]]="","",(GUAYAQUIL[[#This Row],[Fecha Cad]]-GUAYAQUIL[[#This Row],[VIDA UTIL (Días)]]))+1),"")</f>
        <v>45610</v>
      </c>
      <c r="R504" s="45">
        <v>45654</v>
      </c>
      <c r="S504" s="30">
        <f t="shared" ca="1" si="36"/>
        <v>30</v>
      </c>
      <c r="T504" s="294">
        <f t="shared" ca="1" si="37"/>
        <v>0.66666666666666663</v>
      </c>
      <c r="U504" s="286">
        <v>42</v>
      </c>
      <c r="V504" s="265">
        <f>+IFERROR(IF(GUAYAQUIL[[#This Row],[CODIGO]]="","",GUAYAQUIL[[#This Row],[Stock Actual Unds]]*GUAYAQUIL[[#This Row],[Gramaje]]*GUAYAQUIL[[#This Row],[Conversión]]),"")</f>
        <v>42</v>
      </c>
      <c r="W504" s="299">
        <f t="shared" si="38"/>
        <v>2</v>
      </c>
      <c r="X504" s="44">
        <f t="shared" si="39"/>
        <v>0.9555555555555556</v>
      </c>
      <c r="Y504" s="236">
        <f>IFERROR(VLOOKUP(GUAYAQUIL[[#This Row],[CODIGO]],MAESTRO!A:BI,21,FALSE),0)</f>
        <v>1.3619949999999998</v>
      </c>
      <c r="Z504" s="237">
        <f>+IFERROR(IF(GUAYAQUIL[[#This Row],[CODIGO]]="","",GUAYAQUIL[[#This Row],[COSTO UNIT base]]*GUAYAQUIL[[#This Row],[Conversión]]),"")</f>
        <v>1.3619949999999998</v>
      </c>
      <c r="AA504" s="236">
        <f>+IFERROR(IF(GUAYAQUIL[[#This Row],[CODIGO]]="","",GUAYAQUIL[[#This Row],[COSTO UNIT Conv]]*GUAYAQUIL[[#This Row],[Stock Actual Kgs]]),"")</f>
        <v>57.203789999999991</v>
      </c>
      <c r="AB504" s="180">
        <f ca="1">+IFERROR(IF(GUAYAQUIL[[#This Row],[CODIGO]]="","",$J$3-O504),"")</f>
        <v>12</v>
      </c>
      <c r="AC504" s="35" t="str">
        <f ca="1">IF(GUAYAQUIL[[#This Row],[CODIGO]]="","",IF(S504&lt;=0,"CADUCADO",IF(AND(S504&gt;0,S504&lt;=21),"FECHA CORTA",IF(AND(S504&gt;=22,S504&lt;=26),"PROXIMOS FECHA CORTA", "VIGENTE"))))</f>
        <v>VIGENTE</v>
      </c>
      <c r="AD504" s="37">
        <f>+IF(GUAYAQUIL[[#This Row],[CODIGO]]="","",GUAYAQUIL[[#This Row],[Stock Actual Unds]]*GUAYAQUIL[[#This Row],[Gramaje]]*GUAYAQUIL[[#This Row],[Conversión]])/1000</f>
        <v>4.2000000000000003E-2</v>
      </c>
    </row>
    <row r="505" spans="1:30">
      <c r="A505" s="42" t="str">
        <f>+IFERROR(IF(GUAYAQUIL[[#This Row],[CODIGO]]="","",VLOOKUP(GUAYAQUIL[[#This Row],[CODIGO]],MAESTRO!$A:$J,10,FALSE)),"")</f>
        <v>MACHACHI</v>
      </c>
      <c r="B505" s="42" t="str">
        <f>+IFERROR(IF(GUAYAQUIL[[#This Row],[CODIGO]]="","",VLOOKUP(GUAYAQUIL[[#This Row],[CODIGO]],MAESTRO!$A:$Q,17,FALSE)),"")</f>
        <v>BEBIDAS LACTEAS</v>
      </c>
      <c r="C505" s="42" t="str">
        <f>+IFERROR(IF(GUAYAQUIL[[#This Row],[CODIGO]]="","",VLOOKUP(GUAYAQUIL[[#This Row],[CODIGO]],MAESTRO!$A:$BA,53,FALSE)),"")</f>
        <v xml:space="preserve">Luis Armendariz                         </v>
      </c>
      <c r="D505" s="42" t="str">
        <f>+IFERROR(IF(GUAYAQUIL[[#This Row],[CODIGO]]="","",VLOOKUP(GUAYAQUIL[[#This Row],[CODIGO]],MAESTRO!$A:$D,4,FALSE)),"")</f>
        <v>REGENERIS</v>
      </c>
      <c r="E505" s="42" t="str">
        <f>+IFERROR(IF(GUAYAQUIL[[#This Row],[CODIGO]]="","",VLOOKUP(GUAYAQUIL[[#This Row],[CODIGO]],MAESTRO!$A:$F,6,FALSE)),"")</f>
        <v>REGENERIS BEBIBLE BOTELLA FAMILIAR</v>
      </c>
      <c r="F505" s="42" t="str">
        <f>IF(GUAYAQUIL[[#This Row],[CODIGO]]="","",$K$6)</f>
        <v>GUAYAQUIL</v>
      </c>
      <c r="G505" s="209">
        <f>IF(GUAYAQUIL[[#This Row],[CODIGO]]="","",7711)</f>
        <v>7711</v>
      </c>
      <c r="H505" s="209">
        <f>IF(GUAYAQUIL[[#This Row],[CODIGO]]="","",1001)</f>
        <v>1001</v>
      </c>
      <c r="I505" s="258" t="s">
        <v>4228</v>
      </c>
      <c r="J505" s="25" t="str">
        <f>IFERROR((VLOOKUP(GUAYAQUIL[[#This Row],[CODIGO]],MAESTRO!A:B,2,FALSE)),"")</f>
        <v>RGN BBLE FTLLA BOT 1000G</v>
      </c>
      <c r="K505" s="35">
        <v>72</v>
      </c>
      <c r="L505" s="205">
        <f>+IFERROR(IF(GUAYAQUIL[[#This Row],[CODIGO]]="","",VLOOKUP(GUAYAQUIL[[#This Row],[CODIGO]],MAESTRO!$A:$BF,58,FALSE)),"")</f>
        <v>1</v>
      </c>
      <c r="M505" s="27">
        <f>+IFERROR(IF(GUAYAQUIL[[#This Row],[CODIGO]]="","",VLOOKUP(GUAYAQUIL[[#This Row],[CODIGO]],MAESTRO!A:N,14,FALSE)),"")</f>
        <v>1</v>
      </c>
      <c r="N505" s="290">
        <f>+IFERROR(IF(GUAYAQUIL[[#This Row],[CODIGO]]="","",VLOOKUP(GUAYAQUIL[[#This Row],[CODIGO]],MAESTRO!A:P,16,FALSE)),"")</f>
        <v>45</v>
      </c>
      <c r="O505" s="45">
        <v>45615</v>
      </c>
      <c r="P505" s="292" t="str">
        <f t="shared" si="35"/>
        <v>martes</v>
      </c>
      <c r="Q505" s="278">
        <f>IFERROR(IF(GUAYAQUIL[[#This Row],[CODIGO]]="","",IF(GUAYAQUIL[[#This Row],[Fecha Cad]]="","",(GUAYAQUIL[[#This Row],[Fecha Cad]]-GUAYAQUIL[[#This Row],[VIDA UTIL (Días)]]))+1),"")</f>
        <v>45610</v>
      </c>
      <c r="R505" s="45">
        <v>45654</v>
      </c>
      <c r="S505" s="30">
        <f t="shared" ca="1" si="36"/>
        <v>30</v>
      </c>
      <c r="T505" s="294">
        <f t="shared" ca="1" si="37"/>
        <v>0.66666666666666663</v>
      </c>
      <c r="U505" s="286">
        <v>72</v>
      </c>
      <c r="V505" s="265">
        <f>+IFERROR(IF(GUAYAQUIL[[#This Row],[CODIGO]]="","",GUAYAQUIL[[#This Row],[Stock Actual Unds]]*GUAYAQUIL[[#This Row],[Gramaje]]*GUAYAQUIL[[#This Row],[Conversión]]),"")</f>
        <v>72</v>
      </c>
      <c r="W505" s="299">
        <f t="shared" si="38"/>
        <v>5</v>
      </c>
      <c r="X505" s="44">
        <f t="shared" si="39"/>
        <v>0.88888888888888884</v>
      </c>
      <c r="Y505" s="236">
        <f>IFERROR(VLOOKUP(GUAYAQUIL[[#This Row],[CODIGO]],MAESTRO!A:BI,21,FALSE),0)</f>
        <v>1.3619949999999998</v>
      </c>
      <c r="Z505" s="237">
        <f>+IFERROR(IF(GUAYAQUIL[[#This Row],[CODIGO]]="","",GUAYAQUIL[[#This Row],[COSTO UNIT base]]*GUAYAQUIL[[#This Row],[Conversión]]),"")</f>
        <v>1.3619949999999998</v>
      </c>
      <c r="AA505" s="236">
        <f>+IFERROR(IF(GUAYAQUIL[[#This Row],[CODIGO]]="","",GUAYAQUIL[[#This Row],[COSTO UNIT Conv]]*GUAYAQUIL[[#This Row],[Stock Actual Kgs]]),"")</f>
        <v>98.063639999999992</v>
      </c>
      <c r="AB505" s="180">
        <f ca="1">+IFERROR(IF(GUAYAQUIL[[#This Row],[CODIGO]]="","",$J$3-O505),"")</f>
        <v>9</v>
      </c>
      <c r="AC505" s="35" t="str">
        <f ca="1">IF(GUAYAQUIL[[#This Row],[CODIGO]]="","",IF(S505&lt;=0,"CADUCADO",IF(AND(S505&gt;0,S505&lt;=21),"FECHA CORTA",IF(AND(S505&gt;=22,S505&lt;=26),"PROXIMOS FECHA CORTA", "VIGENTE"))))</f>
        <v>VIGENTE</v>
      </c>
      <c r="AD505" s="37">
        <f>+IF(GUAYAQUIL[[#This Row],[CODIGO]]="","",GUAYAQUIL[[#This Row],[Stock Actual Unds]]*GUAYAQUIL[[#This Row],[Gramaje]]*GUAYAQUIL[[#This Row],[Conversión]])/1000</f>
        <v>7.1999999999999995E-2</v>
      </c>
    </row>
    <row r="506" spans="1:30">
      <c r="A506" s="42" t="str">
        <f>+IFERROR(IF(GUAYAQUIL[[#This Row],[CODIGO]]="","",VLOOKUP(GUAYAQUIL[[#This Row],[CODIGO]],MAESTRO!$A:$J,10,FALSE)),"")</f>
        <v>MACHACHI</v>
      </c>
      <c r="B506" s="42" t="str">
        <f>+IFERROR(IF(GUAYAQUIL[[#This Row],[CODIGO]]="","",VLOOKUP(GUAYAQUIL[[#This Row],[CODIGO]],MAESTRO!$A:$Q,17,FALSE)),"")</f>
        <v>BEBIDAS LACTEAS</v>
      </c>
      <c r="C506" s="42" t="str">
        <f>+IFERROR(IF(GUAYAQUIL[[#This Row],[CODIGO]]="","",VLOOKUP(GUAYAQUIL[[#This Row],[CODIGO]],MAESTRO!$A:$BA,53,FALSE)),"")</f>
        <v xml:space="preserve">Luis Armendariz                         </v>
      </c>
      <c r="D506" s="42" t="str">
        <f>+IFERROR(IF(GUAYAQUIL[[#This Row],[CODIGO]]="","",VLOOKUP(GUAYAQUIL[[#This Row],[CODIGO]],MAESTRO!$A:$D,4,FALSE)),"")</f>
        <v>REGENERIS</v>
      </c>
      <c r="E506" s="42" t="str">
        <f>+IFERROR(IF(GUAYAQUIL[[#This Row],[CODIGO]]="","",VLOOKUP(GUAYAQUIL[[#This Row],[CODIGO]],MAESTRO!$A:$F,6,FALSE)),"")</f>
        <v>REGENERIS BEBIBLE BOTELLA FAMILIAR</v>
      </c>
      <c r="F506" s="42" t="str">
        <f>IF(GUAYAQUIL[[#This Row],[CODIGO]]="","",$K$6)</f>
        <v>GUAYAQUIL</v>
      </c>
      <c r="G506" s="42">
        <f>IF(GUAYAQUIL[[#This Row],[CODIGO]]="","",7711)</f>
        <v>7711</v>
      </c>
      <c r="H506" s="42">
        <f>IF(GUAYAQUIL[[#This Row],[CODIGO]]="","",1001)</f>
        <v>1001</v>
      </c>
      <c r="I506" s="258" t="s">
        <v>4228</v>
      </c>
      <c r="J506" s="25" t="str">
        <f>IFERROR((VLOOKUP(GUAYAQUIL[[#This Row],[CODIGO]],MAESTRO!A:B,2,FALSE)),"")</f>
        <v>RGN BBLE FTLLA BOT 1000G</v>
      </c>
      <c r="K506" s="35">
        <v>54</v>
      </c>
      <c r="L506" s="205">
        <f>+IFERROR(IF(GUAYAQUIL[[#This Row],[CODIGO]]="","",VLOOKUP(GUAYAQUIL[[#This Row],[CODIGO]],MAESTRO!$A:$BF,58,FALSE)),"")</f>
        <v>1</v>
      </c>
      <c r="M506" s="27">
        <f>+IFERROR(IF(GUAYAQUIL[[#This Row],[CODIGO]]="","",VLOOKUP(GUAYAQUIL[[#This Row],[CODIGO]],MAESTRO!A:N,14,FALSE)),"")</f>
        <v>1</v>
      </c>
      <c r="N506" s="290">
        <f>+IFERROR(IF(GUAYAQUIL[[#This Row],[CODIGO]]="","",VLOOKUP(GUAYAQUIL[[#This Row],[CODIGO]],MAESTRO!A:P,16,FALSE)),"")</f>
        <v>45</v>
      </c>
      <c r="O506" s="45">
        <v>45616</v>
      </c>
      <c r="P506" s="292" t="str">
        <f t="shared" si="35"/>
        <v>miércoles</v>
      </c>
      <c r="Q506" s="278">
        <f>IFERROR(IF(GUAYAQUIL[[#This Row],[CODIGO]]="","",IF(GUAYAQUIL[[#This Row],[Fecha Cad]]="","",(GUAYAQUIL[[#This Row],[Fecha Cad]]-GUAYAQUIL[[#This Row],[VIDA UTIL (Días)]]))+1),"")</f>
        <v>45615</v>
      </c>
      <c r="R506" s="45">
        <v>45659</v>
      </c>
      <c r="S506" s="30">
        <f t="shared" ca="1" si="36"/>
        <v>35</v>
      </c>
      <c r="T506" s="294">
        <f t="shared" ca="1" si="37"/>
        <v>0.77777777777777779</v>
      </c>
      <c r="U506" s="286">
        <v>54</v>
      </c>
      <c r="V506" s="265">
        <f>+IFERROR(IF(GUAYAQUIL[[#This Row],[CODIGO]]="","",GUAYAQUIL[[#This Row],[Stock Actual Unds]]*GUAYAQUIL[[#This Row],[Gramaje]]*GUAYAQUIL[[#This Row],[Conversión]]),"")</f>
        <v>54</v>
      </c>
      <c r="W506" s="299">
        <f t="shared" si="38"/>
        <v>1</v>
      </c>
      <c r="X506" s="44">
        <f t="shared" si="39"/>
        <v>0.97777777777777775</v>
      </c>
      <c r="Y506" s="236">
        <f>IFERROR(VLOOKUP(GUAYAQUIL[[#This Row],[CODIGO]],MAESTRO!A:BI,21,FALSE),0)</f>
        <v>1.3619949999999998</v>
      </c>
      <c r="Z506" s="237">
        <f>+IFERROR(IF(GUAYAQUIL[[#This Row],[CODIGO]]="","",GUAYAQUIL[[#This Row],[COSTO UNIT base]]*GUAYAQUIL[[#This Row],[Conversión]]),"")</f>
        <v>1.3619949999999998</v>
      </c>
      <c r="AA506" s="236">
        <f>+IFERROR(IF(GUAYAQUIL[[#This Row],[CODIGO]]="","",GUAYAQUIL[[#This Row],[COSTO UNIT Conv]]*GUAYAQUIL[[#This Row],[Stock Actual Kgs]]),"")</f>
        <v>73.547729999999987</v>
      </c>
      <c r="AB506" s="180">
        <f ca="1">+IFERROR(IF(GUAYAQUIL[[#This Row],[CODIGO]]="","",$J$3-O506),"")</f>
        <v>8</v>
      </c>
      <c r="AC506" s="35" t="str">
        <f ca="1">IF(GUAYAQUIL[[#This Row],[CODIGO]]="","",IF(S506&lt;=0,"CADUCADO",IF(AND(S506&gt;0,S506&lt;=21),"FECHA CORTA",IF(AND(S506&gt;=22,S506&lt;=26),"PROXIMOS FECHA CORTA", "VIGENTE"))))</f>
        <v>VIGENTE</v>
      </c>
      <c r="AD506" s="37">
        <f>+IF(GUAYAQUIL[[#This Row],[CODIGO]]="","",GUAYAQUIL[[#This Row],[Stock Actual Unds]]*GUAYAQUIL[[#This Row],[Gramaje]]*GUAYAQUIL[[#This Row],[Conversión]])/1000</f>
        <v>5.3999999999999999E-2</v>
      </c>
    </row>
    <row r="507" spans="1:30">
      <c r="A507" s="24" t="str">
        <f>+IFERROR(IF(GUAYAQUIL[[#This Row],[CODIGO]]="","",VLOOKUP(GUAYAQUIL[[#This Row],[CODIGO]],MAESTRO!$A:$J,10,FALSE)),"")</f>
        <v>MACHACHI</v>
      </c>
      <c r="B507" s="24" t="str">
        <f>+IFERROR(IF(GUAYAQUIL[[#This Row],[CODIGO]]="","",VLOOKUP(GUAYAQUIL[[#This Row],[CODIGO]],MAESTRO!$A:$Q,17,FALSE)),"")</f>
        <v>BEBIDAS LACTEAS</v>
      </c>
      <c r="C507" s="24" t="str">
        <f>+IFERROR(IF(GUAYAQUIL[[#This Row],[CODIGO]]="","",VLOOKUP(GUAYAQUIL[[#This Row],[CODIGO]],MAESTRO!$A:$BA,53,FALSE)),"")</f>
        <v xml:space="preserve">Luis Armendariz                         </v>
      </c>
      <c r="D507" s="24" t="str">
        <f>+IFERROR(IF(GUAYAQUIL[[#This Row],[CODIGO]]="","",VLOOKUP(GUAYAQUIL[[#This Row],[CODIGO]],MAESTRO!$A:$D,4,FALSE)),"")</f>
        <v>REGENERIS</v>
      </c>
      <c r="E507" s="24" t="str">
        <f>+IFERROR(IF(GUAYAQUIL[[#This Row],[CODIGO]]="","",VLOOKUP(GUAYAQUIL[[#This Row],[CODIGO]],MAESTRO!$A:$F,6,FALSE)),"")</f>
        <v>REGENERIS REGULAR BOTELLA FAMILIAR</v>
      </c>
      <c r="F507" s="42" t="str">
        <f>IF(GUAYAQUIL[[#This Row],[CODIGO]]="","",$K$6)</f>
        <v>GUAYAQUIL</v>
      </c>
      <c r="G507" s="209">
        <f>IF(GUAYAQUIL[[#This Row],[CODIGO]]="","",7711)</f>
        <v>7711</v>
      </c>
      <c r="H507" s="209">
        <f>IF(GUAYAQUIL[[#This Row],[CODIGO]]="","",1001)</f>
        <v>1001</v>
      </c>
      <c r="I507" s="258" t="s">
        <v>4231</v>
      </c>
      <c r="J507" s="25" t="str">
        <f>IFERROR((VLOOKUP(GUAYAQUIL[[#This Row],[CODIGO]],MAESTRO!A:B,2,FALSE)),"")</f>
        <v>RGN TZOS MOR BOT 1750G</v>
      </c>
      <c r="K507" s="35">
        <v>84</v>
      </c>
      <c r="L507" s="38">
        <f>+IFERROR(IF(GUAYAQUIL[[#This Row],[CODIGO]]="","",VLOOKUP(GUAYAQUIL[[#This Row],[CODIGO]],MAESTRO!$A:$BF,58,FALSE)),"")</f>
        <v>1</v>
      </c>
      <c r="M507" s="27">
        <f>+IFERROR(IF(GUAYAQUIL[[#This Row],[CODIGO]]="","",VLOOKUP(GUAYAQUIL[[#This Row],[CODIGO]],MAESTRO!A:N,14,FALSE)),"")</f>
        <v>1.75</v>
      </c>
      <c r="N507" s="28">
        <f>+IFERROR(IF(GUAYAQUIL[[#This Row],[CODIGO]]="","",VLOOKUP(GUAYAQUIL[[#This Row],[CODIGO]],MAESTRO!A:P,16,FALSE)),"")</f>
        <v>45</v>
      </c>
      <c r="O507" s="45">
        <v>45596</v>
      </c>
      <c r="P507" s="72" t="str">
        <f t="shared" si="35"/>
        <v>jueves</v>
      </c>
      <c r="Q507" s="29">
        <f>IFERROR(IF(GUAYAQUIL[[#This Row],[CODIGO]]="","",IF(GUAYAQUIL[[#This Row],[Fecha Cad]]="","",(GUAYAQUIL[[#This Row],[Fecha Cad]]-GUAYAQUIL[[#This Row],[VIDA UTIL (Días)]]))+1),"")</f>
        <v>45587</v>
      </c>
      <c r="R507" s="45">
        <v>45631</v>
      </c>
      <c r="S507" s="30">
        <f t="shared" ca="1" si="36"/>
        <v>7</v>
      </c>
      <c r="T507" s="31">
        <f t="shared" ca="1" si="37"/>
        <v>0.15555555555555556</v>
      </c>
      <c r="U507" s="286">
        <v>9</v>
      </c>
      <c r="V507" s="265">
        <f>+IFERROR(IF(GUAYAQUIL[[#This Row],[CODIGO]]="","",GUAYAQUIL[[#This Row],[Stock Actual Unds]]*GUAYAQUIL[[#This Row],[Gramaje]]*GUAYAQUIL[[#This Row],[Conversión]]),"")</f>
        <v>15.75</v>
      </c>
      <c r="W507" s="270">
        <f t="shared" si="38"/>
        <v>9</v>
      </c>
      <c r="X507" s="32">
        <f t="shared" si="39"/>
        <v>0.8</v>
      </c>
      <c r="Y507" s="236">
        <f>IFERROR(VLOOKUP(GUAYAQUIL[[#This Row],[CODIGO]],MAESTRO!A:BI,21,FALSE),0)</f>
        <v>2.3769900000000002</v>
      </c>
      <c r="Z507" s="237">
        <f>+IFERROR(IF(GUAYAQUIL[[#This Row],[CODIGO]]="","",GUAYAQUIL[[#This Row],[COSTO UNIT base]]*GUAYAQUIL[[#This Row],[Conversión]]),"")</f>
        <v>2.3769900000000002</v>
      </c>
      <c r="AA507" s="236">
        <f>+IFERROR(IF(GUAYAQUIL[[#This Row],[CODIGO]]="","",GUAYAQUIL[[#This Row],[COSTO UNIT Conv]]*GUAYAQUIL[[#This Row],[Stock Actual Kgs]]),"")</f>
        <v>37.437592500000001</v>
      </c>
      <c r="AB507" s="33">
        <f ca="1">+IFERROR(IF(GUAYAQUIL[[#This Row],[CODIGO]]="","",$J$3-O507),"")</f>
        <v>28</v>
      </c>
      <c r="AC507" s="34" t="str">
        <f ca="1">IF(GUAYAQUIL[[#This Row],[CODIGO]]="","",IF(S507&lt;=0,"CADUCADO",IF(AND(S507&gt;0,S507&lt;=21),"FECHA CORTA",IF(AND(S507&gt;=22,S507&lt;=26),"PROXIMOS FECHA CORTA", "VIGENTE"))))</f>
        <v>FECHA CORTA</v>
      </c>
      <c r="AD507" s="37">
        <f>+IF(GUAYAQUIL[[#This Row],[CODIGO]]="","",GUAYAQUIL[[#This Row],[Stock Actual Unds]]*GUAYAQUIL[[#This Row],[Gramaje]]*GUAYAQUIL[[#This Row],[Conversión]])/1000</f>
        <v>1.575E-2</v>
      </c>
    </row>
    <row r="508" spans="1:30">
      <c r="A508" s="24" t="str">
        <f>+IFERROR(IF(GUAYAQUIL[[#This Row],[CODIGO]]="","",VLOOKUP(GUAYAQUIL[[#This Row],[CODIGO]],MAESTRO!$A:$J,10,FALSE)),"")</f>
        <v>MACHACHI</v>
      </c>
      <c r="B508" s="24" t="str">
        <f>+IFERROR(IF(GUAYAQUIL[[#This Row],[CODIGO]]="","",VLOOKUP(GUAYAQUIL[[#This Row],[CODIGO]],MAESTRO!$A:$Q,17,FALSE)),"")</f>
        <v>BEBIDAS LACTEAS</v>
      </c>
      <c r="C508" s="24" t="str">
        <f>+IFERROR(IF(GUAYAQUIL[[#This Row],[CODIGO]]="","",VLOOKUP(GUAYAQUIL[[#This Row],[CODIGO]],MAESTRO!$A:$BA,53,FALSE)),"")</f>
        <v xml:space="preserve">Luis Armendariz                         </v>
      </c>
      <c r="D508" s="24" t="str">
        <f>+IFERROR(IF(GUAYAQUIL[[#This Row],[CODIGO]]="","",VLOOKUP(GUAYAQUIL[[#This Row],[CODIGO]],MAESTRO!$A:$D,4,FALSE)),"")</f>
        <v>REGENERIS</v>
      </c>
      <c r="E508" s="24" t="str">
        <f>+IFERROR(IF(GUAYAQUIL[[#This Row],[CODIGO]]="","",VLOOKUP(GUAYAQUIL[[#This Row],[CODIGO]],MAESTRO!$A:$F,6,FALSE)),"")</f>
        <v>REGENERIS REGULAR BOTELLA FAMILIAR</v>
      </c>
      <c r="F508" s="42" t="str">
        <f>IF(GUAYAQUIL[[#This Row],[CODIGO]]="","",$K$6)</f>
        <v>GUAYAQUIL</v>
      </c>
      <c r="G508" s="42">
        <f>IF(GUAYAQUIL[[#This Row],[CODIGO]]="","",7711)</f>
        <v>7711</v>
      </c>
      <c r="H508" s="42">
        <f>IF(GUAYAQUIL[[#This Row],[CODIGO]]="","",1001)</f>
        <v>1001</v>
      </c>
      <c r="I508" s="258" t="s">
        <v>4231</v>
      </c>
      <c r="J508" s="25" t="str">
        <f>IFERROR((VLOOKUP(GUAYAQUIL[[#This Row],[CODIGO]],MAESTRO!A:B,2,FALSE)),"")</f>
        <v>RGN TZOS MOR BOT 1750G</v>
      </c>
      <c r="K508" s="35">
        <v>144</v>
      </c>
      <c r="L508" s="38">
        <f>+IFERROR(IF(GUAYAQUIL[[#This Row],[CODIGO]]="","",VLOOKUP(GUAYAQUIL[[#This Row],[CODIGO]],MAESTRO!$A:$BF,58,FALSE)),"")</f>
        <v>1</v>
      </c>
      <c r="M508" s="27">
        <f>+IFERROR(IF(GUAYAQUIL[[#This Row],[CODIGO]]="","",VLOOKUP(GUAYAQUIL[[#This Row],[CODIGO]],MAESTRO!A:N,14,FALSE)),"")</f>
        <v>1.75</v>
      </c>
      <c r="N508" s="28">
        <f>+IFERROR(IF(GUAYAQUIL[[#This Row],[CODIGO]]="","",VLOOKUP(GUAYAQUIL[[#This Row],[CODIGO]],MAESTRO!A:P,16,FALSE)),"")</f>
        <v>45</v>
      </c>
      <c r="O508" s="45">
        <v>45605</v>
      </c>
      <c r="P508" s="72" t="str">
        <f t="shared" si="35"/>
        <v>sábado</v>
      </c>
      <c r="Q508" s="29">
        <f>IFERROR(IF(GUAYAQUIL[[#This Row],[CODIGO]]="","",IF(GUAYAQUIL[[#This Row],[Fecha Cad]]="","",(GUAYAQUIL[[#This Row],[Fecha Cad]]-GUAYAQUIL[[#This Row],[VIDA UTIL (Días)]]))+1),"")</f>
        <v>45596</v>
      </c>
      <c r="R508" s="45">
        <v>45640</v>
      </c>
      <c r="S508" s="30">
        <f t="shared" ca="1" si="36"/>
        <v>16</v>
      </c>
      <c r="T508" s="31">
        <f t="shared" ca="1" si="37"/>
        <v>0.35555555555555557</v>
      </c>
      <c r="U508" s="286">
        <v>101</v>
      </c>
      <c r="V508" s="265">
        <f>+IFERROR(IF(GUAYAQUIL[[#This Row],[CODIGO]]="","",GUAYAQUIL[[#This Row],[Stock Actual Unds]]*GUAYAQUIL[[#This Row],[Gramaje]]*GUAYAQUIL[[#This Row],[Conversión]]),"")</f>
        <v>176.75</v>
      </c>
      <c r="W508" s="270">
        <f t="shared" si="38"/>
        <v>9</v>
      </c>
      <c r="X508" s="32">
        <f t="shared" si="39"/>
        <v>0.8</v>
      </c>
      <c r="Y508" s="236">
        <f>IFERROR(VLOOKUP(GUAYAQUIL[[#This Row],[CODIGO]],MAESTRO!A:BI,21,FALSE),0)</f>
        <v>2.3769900000000002</v>
      </c>
      <c r="Z508" s="237">
        <f>+IFERROR(IF(GUAYAQUIL[[#This Row],[CODIGO]]="","",GUAYAQUIL[[#This Row],[COSTO UNIT base]]*GUAYAQUIL[[#This Row],[Conversión]]),"")</f>
        <v>2.3769900000000002</v>
      </c>
      <c r="AA508" s="236">
        <f>+IFERROR(IF(GUAYAQUIL[[#This Row],[CODIGO]]="","",GUAYAQUIL[[#This Row],[COSTO UNIT Conv]]*GUAYAQUIL[[#This Row],[Stock Actual Kgs]]),"")</f>
        <v>420.13298250000003</v>
      </c>
      <c r="AB508" s="33">
        <f ca="1">+IFERROR(IF(GUAYAQUIL[[#This Row],[CODIGO]]="","",$J$3-O508),"")</f>
        <v>19</v>
      </c>
      <c r="AC508" s="34" t="str">
        <f ca="1">IF(GUAYAQUIL[[#This Row],[CODIGO]]="","",IF(S508&lt;=0,"CADUCADO",IF(AND(S508&gt;0,S508&lt;=21),"FECHA CORTA",IF(AND(S508&gt;=22,S508&lt;=26),"PROXIMOS FECHA CORTA", "VIGENTE"))))</f>
        <v>FECHA CORTA</v>
      </c>
      <c r="AD508" s="37">
        <f>+IF(GUAYAQUIL[[#This Row],[CODIGO]]="","",GUAYAQUIL[[#This Row],[Stock Actual Unds]]*GUAYAQUIL[[#This Row],[Gramaje]]*GUAYAQUIL[[#This Row],[Conversión]])/1000</f>
        <v>0.17674999999999999</v>
      </c>
    </row>
    <row r="509" spans="1:30">
      <c r="A509" s="24" t="str">
        <f>+IFERROR(IF(GUAYAQUIL[[#This Row],[CODIGO]]="","",VLOOKUP(GUAYAQUIL[[#This Row],[CODIGO]],MAESTRO!$A:$J,10,FALSE)),"")</f>
        <v>MACHACHI</v>
      </c>
      <c r="B509" s="24" t="str">
        <f>+IFERROR(IF(GUAYAQUIL[[#This Row],[CODIGO]]="","",VLOOKUP(GUAYAQUIL[[#This Row],[CODIGO]],MAESTRO!$A:$Q,17,FALSE)),"")</f>
        <v>BEBIDAS LACTEAS</v>
      </c>
      <c r="C509" s="24" t="str">
        <f>+IFERROR(IF(GUAYAQUIL[[#This Row],[CODIGO]]="","",VLOOKUP(GUAYAQUIL[[#This Row],[CODIGO]],MAESTRO!$A:$BA,53,FALSE)),"")</f>
        <v xml:space="preserve">Luis Armendariz                         </v>
      </c>
      <c r="D509" s="24" t="str">
        <f>+IFERROR(IF(GUAYAQUIL[[#This Row],[CODIGO]]="","",VLOOKUP(GUAYAQUIL[[#This Row],[CODIGO]],MAESTRO!$A:$D,4,FALSE)),"")</f>
        <v>REGENERIS</v>
      </c>
      <c r="E509" s="24" t="str">
        <f>+IFERROR(IF(GUAYAQUIL[[#This Row],[CODIGO]]="","",VLOOKUP(GUAYAQUIL[[#This Row],[CODIGO]],MAESTRO!$A:$F,6,FALSE)),"")</f>
        <v>REGENERIS REGULAR BOTELLA FAMILIAR</v>
      </c>
      <c r="F509" s="42" t="str">
        <f>IF(GUAYAQUIL[[#This Row],[CODIGO]]="","",$K$6)</f>
        <v>GUAYAQUIL</v>
      </c>
      <c r="G509" s="209">
        <f>IF(GUAYAQUIL[[#This Row],[CODIGO]]="","",7711)</f>
        <v>7711</v>
      </c>
      <c r="H509" s="209">
        <f>IF(GUAYAQUIL[[#This Row],[CODIGO]]="","",1001)</f>
        <v>1001</v>
      </c>
      <c r="I509" s="258" t="s">
        <v>4231</v>
      </c>
      <c r="J509" s="25" t="str">
        <f>IFERROR((VLOOKUP(GUAYAQUIL[[#This Row],[CODIGO]],MAESTRO!A:B,2,FALSE)),"")</f>
        <v>RGN TZOS MOR BOT 1750G</v>
      </c>
      <c r="K509" s="35">
        <v>72</v>
      </c>
      <c r="L509" s="38">
        <f>+IFERROR(IF(GUAYAQUIL[[#This Row],[CODIGO]]="","",VLOOKUP(GUAYAQUIL[[#This Row],[CODIGO]],MAESTRO!$A:$BF,58,FALSE)),"")</f>
        <v>1</v>
      </c>
      <c r="M509" s="27">
        <f>+IFERROR(IF(GUAYAQUIL[[#This Row],[CODIGO]]="","",VLOOKUP(GUAYAQUIL[[#This Row],[CODIGO]],MAESTRO!A:N,14,FALSE)),"")</f>
        <v>1.75</v>
      </c>
      <c r="N509" s="28">
        <f>+IFERROR(IF(GUAYAQUIL[[#This Row],[CODIGO]]="","",VLOOKUP(GUAYAQUIL[[#This Row],[CODIGO]],MAESTRO!A:P,16,FALSE)),"")</f>
        <v>45</v>
      </c>
      <c r="O509" s="45">
        <v>45616</v>
      </c>
      <c r="P509" s="72" t="str">
        <f t="shared" si="35"/>
        <v>miércoles</v>
      </c>
      <c r="Q509" s="29">
        <f>IFERROR(IF(GUAYAQUIL[[#This Row],[CODIGO]]="","",IF(GUAYAQUIL[[#This Row],[Fecha Cad]]="","",(GUAYAQUIL[[#This Row],[Fecha Cad]]-GUAYAQUIL[[#This Row],[VIDA UTIL (Días)]]))+1),"")</f>
        <v>45608</v>
      </c>
      <c r="R509" s="45">
        <v>45652</v>
      </c>
      <c r="S509" s="30">
        <f t="shared" ca="1" si="36"/>
        <v>28</v>
      </c>
      <c r="T509" s="31">
        <f t="shared" ca="1" si="37"/>
        <v>0.62222222222222223</v>
      </c>
      <c r="U509" s="286">
        <v>65</v>
      </c>
      <c r="V509" s="265">
        <f>+IFERROR(IF(GUAYAQUIL[[#This Row],[CODIGO]]="","",GUAYAQUIL[[#This Row],[Stock Actual Unds]]*GUAYAQUIL[[#This Row],[Gramaje]]*GUAYAQUIL[[#This Row],[Conversión]]),"")</f>
        <v>113.75</v>
      </c>
      <c r="W509" s="270">
        <f t="shared" si="38"/>
        <v>8</v>
      </c>
      <c r="X509" s="32">
        <f t="shared" si="39"/>
        <v>0.82222222222222219</v>
      </c>
      <c r="Y509" s="236">
        <f>IFERROR(VLOOKUP(GUAYAQUIL[[#This Row],[CODIGO]],MAESTRO!A:BI,21,FALSE),0)</f>
        <v>2.3769900000000002</v>
      </c>
      <c r="Z509" s="237">
        <f>+IFERROR(IF(GUAYAQUIL[[#This Row],[CODIGO]]="","",GUAYAQUIL[[#This Row],[COSTO UNIT base]]*GUAYAQUIL[[#This Row],[Conversión]]),"")</f>
        <v>2.3769900000000002</v>
      </c>
      <c r="AA509" s="236">
        <f>+IFERROR(IF(GUAYAQUIL[[#This Row],[CODIGO]]="","",GUAYAQUIL[[#This Row],[COSTO UNIT Conv]]*GUAYAQUIL[[#This Row],[Stock Actual Kgs]]),"")</f>
        <v>270.38261249999999</v>
      </c>
      <c r="AB509" s="33">
        <f ca="1">+IFERROR(IF(GUAYAQUIL[[#This Row],[CODIGO]]="","",$J$3-O509),"")</f>
        <v>8</v>
      </c>
      <c r="AC509" s="34" t="str">
        <f ca="1">IF(GUAYAQUIL[[#This Row],[CODIGO]]="","",IF(S509&lt;=0,"CADUCADO",IF(AND(S509&gt;0,S509&lt;=21),"FECHA CORTA",IF(AND(S509&gt;=22,S509&lt;=26),"PROXIMOS FECHA CORTA", "VIGENTE"))))</f>
        <v>VIGENTE</v>
      </c>
      <c r="AD509" s="37">
        <f>+IF(GUAYAQUIL[[#This Row],[CODIGO]]="","",GUAYAQUIL[[#This Row],[Stock Actual Unds]]*GUAYAQUIL[[#This Row],[Gramaje]]*GUAYAQUIL[[#This Row],[Conversión]])/1000</f>
        <v>0.11375</v>
      </c>
    </row>
    <row r="510" spans="1:30">
      <c r="A510" s="24" t="str">
        <f>+IFERROR(IF(GUAYAQUIL[[#This Row],[CODIGO]]="","",VLOOKUP(GUAYAQUIL[[#This Row],[CODIGO]],MAESTRO!$A:$J,10,FALSE)),"")</f>
        <v>MACHACHI</v>
      </c>
      <c r="B510" s="24" t="str">
        <f>+IFERROR(IF(GUAYAQUIL[[#This Row],[CODIGO]]="","",VLOOKUP(GUAYAQUIL[[#This Row],[CODIGO]],MAESTRO!$A:$Q,17,FALSE)),"")</f>
        <v>BEBIDAS LACTEAS</v>
      </c>
      <c r="C510" s="24" t="str">
        <f>+IFERROR(IF(GUAYAQUIL[[#This Row],[CODIGO]]="","",VLOOKUP(GUAYAQUIL[[#This Row],[CODIGO]],MAESTRO!$A:$BA,53,FALSE)),"")</f>
        <v xml:space="preserve">Luis Armendariz                         </v>
      </c>
      <c r="D510" s="24" t="str">
        <f>+IFERROR(IF(GUAYAQUIL[[#This Row],[CODIGO]]="","",VLOOKUP(GUAYAQUIL[[#This Row],[CODIGO]],MAESTRO!$A:$D,4,FALSE)),"")</f>
        <v>REGENERIS</v>
      </c>
      <c r="E510" s="24" t="str">
        <f>+IFERROR(IF(GUAYAQUIL[[#This Row],[CODIGO]]="","",VLOOKUP(GUAYAQUIL[[#This Row],[CODIGO]],MAESTRO!$A:$F,6,FALSE)),"")</f>
        <v>REGENERIS REGULAR BOTELLA FAMILIAR</v>
      </c>
      <c r="F510" s="42" t="str">
        <f>IF(GUAYAQUIL[[#This Row],[CODIGO]]="","",$K$6)</f>
        <v>GUAYAQUIL</v>
      </c>
      <c r="G510" s="42">
        <f>IF(GUAYAQUIL[[#This Row],[CODIGO]]="","",7711)</f>
        <v>7711</v>
      </c>
      <c r="H510" s="42">
        <f>IF(GUAYAQUIL[[#This Row],[CODIGO]]="","",1001)</f>
        <v>1001</v>
      </c>
      <c r="I510" s="258" t="s">
        <v>2429</v>
      </c>
      <c r="J510" s="25" t="str">
        <f>IFERROR((VLOOKUP(GUAYAQUIL[[#This Row],[CODIGO]],MAESTRO!A:B,2,FALSE)),"")</f>
        <v>RGN TZOS DZNO BOT 1750G</v>
      </c>
      <c r="K510" s="35">
        <v>180</v>
      </c>
      <c r="L510" s="38">
        <f>+IFERROR(IF(GUAYAQUIL[[#This Row],[CODIGO]]="","",VLOOKUP(GUAYAQUIL[[#This Row],[CODIGO]],MAESTRO!$A:$BF,58,FALSE)),"")</f>
        <v>1</v>
      </c>
      <c r="M510" s="27">
        <f>+IFERROR(IF(GUAYAQUIL[[#This Row],[CODIGO]]="","",VLOOKUP(GUAYAQUIL[[#This Row],[CODIGO]],MAESTRO!A:N,14,FALSE)),"")</f>
        <v>1.75</v>
      </c>
      <c r="N510" s="28">
        <f>+IFERROR(IF(GUAYAQUIL[[#This Row],[CODIGO]]="","",VLOOKUP(GUAYAQUIL[[#This Row],[CODIGO]],MAESTRO!A:P,16,FALSE)),"")</f>
        <v>45</v>
      </c>
      <c r="O510" s="45">
        <v>45616</v>
      </c>
      <c r="P510" s="72" t="str">
        <f t="shared" si="35"/>
        <v>miércoles</v>
      </c>
      <c r="Q510" s="29">
        <f>IFERROR(IF(GUAYAQUIL[[#This Row],[CODIGO]]="","",IF(GUAYAQUIL[[#This Row],[Fecha Cad]]="","",(GUAYAQUIL[[#This Row],[Fecha Cad]]-GUAYAQUIL[[#This Row],[VIDA UTIL (Días)]]))+1),"")</f>
        <v>45615</v>
      </c>
      <c r="R510" s="45">
        <v>45659</v>
      </c>
      <c r="S510" s="30">
        <f t="shared" ca="1" si="36"/>
        <v>35</v>
      </c>
      <c r="T510" s="31">
        <f t="shared" ca="1" si="37"/>
        <v>0.77777777777777779</v>
      </c>
      <c r="U510" s="286">
        <v>174</v>
      </c>
      <c r="V510" s="265">
        <f>+IFERROR(IF(GUAYAQUIL[[#This Row],[CODIGO]]="","",GUAYAQUIL[[#This Row],[Stock Actual Unds]]*GUAYAQUIL[[#This Row],[Gramaje]]*GUAYAQUIL[[#This Row],[Conversión]]),"")</f>
        <v>304.5</v>
      </c>
      <c r="W510" s="270">
        <f t="shared" si="38"/>
        <v>1</v>
      </c>
      <c r="X510" s="32">
        <f t="shared" si="39"/>
        <v>0.97777777777777775</v>
      </c>
      <c r="Y510" s="236">
        <f>IFERROR(VLOOKUP(GUAYAQUIL[[#This Row],[CODIGO]],MAESTRO!A:BI,21,FALSE),0)</f>
        <v>2.36903</v>
      </c>
      <c r="Z510" s="237">
        <f>+IFERROR(IF(GUAYAQUIL[[#This Row],[CODIGO]]="","",GUAYAQUIL[[#This Row],[COSTO UNIT base]]*GUAYAQUIL[[#This Row],[Conversión]]),"")</f>
        <v>2.36903</v>
      </c>
      <c r="AA510" s="236">
        <f>+IFERROR(IF(GUAYAQUIL[[#This Row],[CODIGO]]="","",GUAYAQUIL[[#This Row],[COSTO UNIT Conv]]*GUAYAQUIL[[#This Row],[Stock Actual Kgs]]),"")</f>
        <v>721.36963500000002</v>
      </c>
      <c r="AB510" s="33">
        <f ca="1">+IFERROR(IF(GUAYAQUIL[[#This Row],[CODIGO]]="","",$J$3-O510),"")</f>
        <v>8</v>
      </c>
      <c r="AC510" s="34" t="str">
        <f ca="1">IF(GUAYAQUIL[[#This Row],[CODIGO]]="","",IF(S510&lt;=0,"CADUCADO",IF(AND(S510&gt;0,S510&lt;=21),"FECHA CORTA",IF(AND(S510&gt;=22,S510&lt;=26),"PROXIMOS FECHA CORTA", "VIGENTE"))))</f>
        <v>VIGENTE</v>
      </c>
      <c r="AD510" s="37">
        <f>+IF(GUAYAQUIL[[#This Row],[CODIGO]]="","",GUAYAQUIL[[#This Row],[Stock Actual Unds]]*GUAYAQUIL[[#This Row],[Gramaje]]*GUAYAQUIL[[#This Row],[Conversión]])/1000</f>
        <v>0.30449999999999999</v>
      </c>
    </row>
    <row r="511" spans="1:30">
      <c r="A511" s="24" t="str">
        <f>+IFERROR(IF(GUAYAQUIL[[#This Row],[CODIGO]]="","",VLOOKUP(GUAYAQUIL[[#This Row],[CODIGO]],MAESTRO!$A:$J,10,FALSE)),"")</f>
        <v>MACHACHI</v>
      </c>
      <c r="B511" s="24" t="str">
        <f>+IFERROR(IF(GUAYAQUIL[[#This Row],[CODIGO]]="","",VLOOKUP(GUAYAQUIL[[#This Row],[CODIGO]],MAESTRO!$A:$Q,17,FALSE)),"")</f>
        <v>BEBIDAS LACTEAS</v>
      </c>
      <c r="C511" s="24" t="str">
        <f>+IFERROR(IF(GUAYAQUIL[[#This Row],[CODIGO]]="","",VLOOKUP(GUAYAQUIL[[#This Row],[CODIGO]],MAESTRO!$A:$BA,53,FALSE)),"")</f>
        <v xml:space="preserve">Luis Armendariz                         </v>
      </c>
      <c r="D511" s="24" t="str">
        <f>+IFERROR(IF(GUAYAQUIL[[#This Row],[CODIGO]]="","",VLOOKUP(GUAYAQUIL[[#This Row],[CODIGO]],MAESTRO!$A:$D,4,FALSE)),"")</f>
        <v>REGENERIS</v>
      </c>
      <c r="E511" s="24" t="str">
        <f>+IFERROR(IF(GUAYAQUIL[[#This Row],[CODIGO]]="","",VLOOKUP(GUAYAQUIL[[#This Row],[CODIGO]],MAESTRO!$A:$F,6,FALSE)),"")</f>
        <v>REGENERIS REGULAR BOTELLA FAMILIAR</v>
      </c>
      <c r="F511" s="42" t="str">
        <f>IF(GUAYAQUIL[[#This Row],[CODIGO]]="","",$K$6)</f>
        <v>GUAYAQUIL</v>
      </c>
      <c r="G511" s="209">
        <f>IF(GUAYAQUIL[[#This Row],[CODIGO]]="","",7711)</f>
        <v>7711</v>
      </c>
      <c r="H511" s="209">
        <f>IF(GUAYAQUIL[[#This Row],[CODIGO]]="","",1001)</f>
        <v>1001</v>
      </c>
      <c r="I511" s="258" t="s">
        <v>3127</v>
      </c>
      <c r="J511" s="25" t="str">
        <f>IFERROR((VLOOKUP(GUAYAQUIL[[#This Row],[CODIGO]],MAESTRO!A:B,2,FALSE)),"")</f>
        <v>RGN TZOS MOR BOT 1000G</v>
      </c>
      <c r="K511" s="35">
        <v>18</v>
      </c>
      <c r="L511" s="38">
        <f>+IFERROR(IF(GUAYAQUIL[[#This Row],[CODIGO]]="","",VLOOKUP(GUAYAQUIL[[#This Row],[CODIGO]],MAESTRO!$A:$BF,58,FALSE)),"")</f>
        <v>1</v>
      </c>
      <c r="M511" s="27">
        <f>+IFERROR(IF(GUAYAQUIL[[#This Row],[CODIGO]]="","",VLOOKUP(GUAYAQUIL[[#This Row],[CODIGO]],MAESTRO!A:N,14,FALSE)),"")</f>
        <v>1</v>
      </c>
      <c r="N511" s="28">
        <f>+IFERROR(IF(GUAYAQUIL[[#This Row],[CODIGO]]="","",VLOOKUP(GUAYAQUIL[[#This Row],[CODIGO]],MAESTRO!A:P,16,FALSE)),"")</f>
        <v>45</v>
      </c>
      <c r="O511" s="29">
        <v>45604</v>
      </c>
      <c r="P511" s="72" t="str">
        <f t="shared" si="35"/>
        <v>viernes</v>
      </c>
      <c r="Q511" s="29">
        <f>IFERROR(IF(GUAYAQUIL[[#This Row],[CODIGO]]="","",IF(GUAYAQUIL[[#This Row],[Fecha Cad]]="","",(GUAYAQUIL[[#This Row],[Fecha Cad]]-GUAYAQUIL[[#This Row],[VIDA UTIL (Días)]]))+1),"")</f>
        <v>45596</v>
      </c>
      <c r="R511" s="29">
        <v>45640</v>
      </c>
      <c r="S511" s="30">
        <f t="shared" ca="1" si="36"/>
        <v>16</v>
      </c>
      <c r="T511" s="31">
        <f t="shared" ca="1" si="37"/>
        <v>0.35555555555555557</v>
      </c>
      <c r="U511" s="286">
        <v>0</v>
      </c>
      <c r="V511" s="266">
        <f>+IFERROR(IF(GUAYAQUIL[[#This Row],[CODIGO]]="","",GUAYAQUIL[[#This Row],[Stock Actual Unds]]*GUAYAQUIL[[#This Row],[Gramaje]]*GUAYAQUIL[[#This Row],[Conversión]]),"")</f>
        <v>0</v>
      </c>
      <c r="W511" s="270">
        <f t="shared" si="38"/>
        <v>8</v>
      </c>
      <c r="X511" s="32">
        <f t="shared" si="39"/>
        <v>0.82222222222222219</v>
      </c>
      <c r="Y511" s="236">
        <f>IFERROR(VLOOKUP(GUAYAQUIL[[#This Row],[CODIGO]],MAESTRO!A:BI,21,FALSE),0)</f>
        <v>1.4067150000000002</v>
      </c>
      <c r="Z511" s="237">
        <f>+IFERROR(IF(GUAYAQUIL[[#This Row],[CODIGO]]="","",GUAYAQUIL[[#This Row],[COSTO UNIT base]]*GUAYAQUIL[[#This Row],[Conversión]]),"")</f>
        <v>1.4067150000000002</v>
      </c>
      <c r="AA511" s="236">
        <f>+IFERROR(IF(GUAYAQUIL[[#This Row],[CODIGO]]="","",GUAYAQUIL[[#This Row],[COSTO UNIT Conv]]*GUAYAQUIL[[#This Row],[Stock Actual Kgs]]),"")</f>
        <v>0</v>
      </c>
      <c r="AB511" s="33">
        <f ca="1">+IFERROR(IF(GUAYAQUIL[[#This Row],[CODIGO]]="","",$J$3-O511),"")</f>
        <v>20</v>
      </c>
      <c r="AC511" s="34" t="str">
        <f ca="1">IF(GUAYAQUIL[[#This Row],[CODIGO]]="","",IF(S511&lt;=0,"CADUCADO",IF(AND(S511&gt;0,S511&lt;=21),"FECHA CORTA",IF(AND(S511&gt;=22,S511&lt;=26),"PROXIMOS FECHA CORTA", "VIGENTE"))))</f>
        <v>FECHA CORTA</v>
      </c>
      <c r="AD511" s="37">
        <f>+IF(GUAYAQUIL[[#This Row],[CODIGO]]="","",GUAYAQUIL[[#This Row],[Stock Actual Unds]]*GUAYAQUIL[[#This Row],[Gramaje]]*GUAYAQUIL[[#This Row],[Conversión]])/1000</f>
        <v>0</v>
      </c>
    </row>
    <row r="512" spans="1:30">
      <c r="A512" s="24" t="str">
        <f>+IFERROR(IF(GUAYAQUIL[[#This Row],[CODIGO]]="","",VLOOKUP(GUAYAQUIL[[#This Row],[CODIGO]],MAESTRO!$A:$J,10,FALSE)),"")</f>
        <v>MACHACHI</v>
      </c>
      <c r="B512" s="24" t="str">
        <f>+IFERROR(IF(GUAYAQUIL[[#This Row],[CODIGO]]="","",VLOOKUP(GUAYAQUIL[[#This Row],[CODIGO]],MAESTRO!$A:$Q,17,FALSE)),"")</f>
        <v>BEBIDAS LACTEAS</v>
      </c>
      <c r="C512" s="24" t="str">
        <f>+IFERROR(IF(GUAYAQUIL[[#This Row],[CODIGO]]="","",VLOOKUP(GUAYAQUIL[[#This Row],[CODIGO]],MAESTRO!$A:$BA,53,FALSE)),"")</f>
        <v xml:space="preserve">Luis Armendariz                         </v>
      </c>
      <c r="D512" s="24" t="str">
        <f>+IFERROR(IF(GUAYAQUIL[[#This Row],[CODIGO]]="","",VLOOKUP(GUAYAQUIL[[#This Row],[CODIGO]],MAESTRO!$A:$D,4,FALSE)),"")</f>
        <v>REGENERIS</v>
      </c>
      <c r="E512" s="24" t="str">
        <f>+IFERROR(IF(GUAYAQUIL[[#This Row],[CODIGO]]="","",VLOOKUP(GUAYAQUIL[[#This Row],[CODIGO]],MAESTRO!$A:$F,6,FALSE)),"")</f>
        <v>REGENERIS REGULAR BOTELLA FAMILIAR</v>
      </c>
      <c r="F512" s="42" t="str">
        <f>IF(GUAYAQUIL[[#This Row],[CODIGO]]="","",$K$6)</f>
        <v>GUAYAQUIL</v>
      </c>
      <c r="G512" s="42">
        <f>IF(GUAYAQUIL[[#This Row],[CODIGO]]="","",7711)</f>
        <v>7711</v>
      </c>
      <c r="H512" s="42">
        <f>IF(GUAYAQUIL[[#This Row],[CODIGO]]="","",1001)</f>
        <v>1001</v>
      </c>
      <c r="I512" s="257" t="s">
        <v>3127</v>
      </c>
      <c r="J512" s="25" t="str">
        <f>IFERROR((VLOOKUP(GUAYAQUIL[[#This Row],[CODIGO]],MAESTRO!A:B,2,FALSE)),"")</f>
        <v>RGN TZOS MOR BOT 1000G</v>
      </c>
      <c r="K512" s="26">
        <v>18</v>
      </c>
      <c r="L512" s="38">
        <f>+IFERROR(IF(GUAYAQUIL[[#This Row],[CODIGO]]="","",VLOOKUP(GUAYAQUIL[[#This Row],[CODIGO]],MAESTRO!$A:$BF,58,FALSE)),"")</f>
        <v>1</v>
      </c>
      <c r="M512" s="27">
        <f>+IFERROR(IF(GUAYAQUIL[[#This Row],[CODIGO]]="","",VLOOKUP(GUAYAQUIL[[#This Row],[CODIGO]],MAESTRO!A:N,14,FALSE)),"")</f>
        <v>1</v>
      </c>
      <c r="N512" s="28">
        <f>+IFERROR(IF(GUAYAQUIL[[#This Row],[CODIGO]]="","",VLOOKUP(GUAYAQUIL[[#This Row],[CODIGO]],MAESTRO!A:P,16,FALSE)),"")</f>
        <v>45</v>
      </c>
      <c r="O512" s="29">
        <v>45605</v>
      </c>
      <c r="P512" s="72" t="str">
        <f t="shared" si="35"/>
        <v>sábado</v>
      </c>
      <c r="Q512" s="29">
        <f>IFERROR(IF(GUAYAQUIL[[#This Row],[CODIGO]]="","",IF(GUAYAQUIL[[#This Row],[Fecha Cad]]="","",(GUAYAQUIL[[#This Row],[Fecha Cad]]-GUAYAQUIL[[#This Row],[VIDA UTIL (Días)]]))+1),"")</f>
        <v>45596</v>
      </c>
      <c r="R512" s="29">
        <v>45640</v>
      </c>
      <c r="S512" s="30">
        <f t="shared" ca="1" si="36"/>
        <v>16</v>
      </c>
      <c r="T512" s="31">
        <f t="shared" ca="1" si="37"/>
        <v>0.35555555555555557</v>
      </c>
      <c r="U512" s="286">
        <v>18</v>
      </c>
      <c r="V512" s="267">
        <f>+IFERROR(IF(GUAYAQUIL[[#This Row],[CODIGO]]="","",GUAYAQUIL[[#This Row],[Stock Actual Unds]]*GUAYAQUIL[[#This Row],[Gramaje]]*GUAYAQUIL[[#This Row],[Conversión]]),"")</f>
        <v>18</v>
      </c>
      <c r="W512" s="270">
        <f t="shared" si="38"/>
        <v>9</v>
      </c>
      <c r="X512" s="32">
        <f t="shared" si="39"/>
        <v>0.8</v>
      </c>
      <c r="Y512" s="236">
        <f>IFERROR(VLOOKUP(GUAYAQUIL[[#This Row],[CODIGO]],MAESTRO!A:BI,21,FALSE),0)</f>
        <v>1.4067150000000002</v>
      </c>
      <c r="Z512" s="237">
        <f>+IFERROR(IF(GUAYAQUIL[[#This Row],[CODIGO]]="","",GUAYAQUIL[[#This Row],[COSTO UNIT base]]*GUAYAQUIL[[#This Row],[Conversión]]),"")</f>
        <v>1.4067150000000002</v>
      </c>
      <c r="AA512" s="236">
        <f>+IFERROR(IF(GUAYAQUIL[[#This Row],[CODIGO]]="","",GUAYAQUIL[[#This Row],[COSTO UNIT Conv]]*GUAYAQUIL[[#This Row],[Stock Actual Kgs]]),"")</f>
        <v>25.320870000000003</v>
      </c>
      <c r="AB512" s="33">
        <f ca="1">+IFERROR(IF(GUAYAQUIL[[#This Row],[CODIGO]]="","",$J$3-O512),"")</f>
        <v>19</v>
      </c>
      <c r="AC512" s="34" t="str">
        <f ca="1">IF(GUAYAQUIL[[#This Row],[CODIGO]]="","",IF(S512&lt;=0,"CADUCADO",IF(AND(S512&gt;0,S512&lt;=21),"FECHA CORTA",IF(AND(S512&gt;=22,S512&lt;=26),"PROXIMOS FECHA CORTA", "VIGENTE"))))</f>
        <v>FECHA CORTA</v>
      </c>
      <c r="AD512" s="37">
        <f>+IF(GUAYAQUIL[[#This Row],[CODIGO]]="","",GUAYAQUIL[[#This Row],[Stock Actual Unds]]*GUAYAQUIL[[#This Row],[Gramaje]]*GUAYAQUIL[[#This Row],[Conversión]])/1000</f>
        <v>1.7999999999999999E-2</v>
      </c>
    </row>
    <row r="513" spans="1:30">
      <c r="A513" s="42" t="str">
        <f>+IFERROR(IF(GUAYAQUIL[[#This Row],[CODIGO]]="","",VLOOKUP(GUAYAQUIL[[#This Row],[CODIGO]],MAESTRO!$A:$J,10,FALSE)),"")</f>
        <v>MACHACHI</v>
      </c>
      <c r="B513" s="42" t="str">
        <f>+IFERROR(IF(GUAYAQUIL[[#This Row],[CODIGO]]="","",VLOOKUP(GUAYAQUIL[[#This Row],[CODIGO]],MAESTRO!$A:$Q,17,FALSE)),"")</f>
        <v>BEBIDAS LACTEAS</v>
      </c>
      <c r="C513" s="42" t="str">
        <f>+IFERROR(IF(GUAYAQUIL[[#This Row],[CODIGO]]="","",VLOOKUP(GUAYAQUIL[[#This Row],[CODIGO]],MAESTRO!$A:$BA,53,FALSE)),"")</f>
        <v xml:space="preserve">Luis Armendariz                         </v>
      </c>
      <c r="D513" s="42" t="str">
        <f>+IFERROR(IF(GUAYAQUIL[[#This Row],[CODIGO]]="","",VLOOKUP(GUAYAQUIL[[#This Row],[CODIGO]],MAESTRO!$A:$D,4,FALSE)),"")</f>
        <v>REGENERIS</v>
      </c>
      <c r="E513" s="42" t="str">
        <f>+IFERROR(IF(GUAYAQUIL[[#This Row],[CODIGO]]="","",VLOOKUP(GUAYAQUIL[[#This Row],[CODIGO]],MAESTRO!$A:$F,6,FALSE)),"")</f>
        <v>REGENERIS REGULAR BOTELLA FAMILIAR</v>
      </c>
      <c r="F513" s="42" t="str">
        <f>IF(GUAYAQUIL[[#This Row],[CODIGO]]="","",$K$6)</f>
        <v>GUAYAQUIL</v>
      </c>
      <c r="G513" s="209">
        <f>IF(GUAYAQUIL[[#This Row],[CODIGO]]="","",7711)</f>
        <v>7711</v>
      </c>
      <c r="H513" s="209">
        <f>IF(GUAYAQUIL[[#This Row],[CODIGO]]="","",1001)</f>
        <v>1001</v>
      </c>
      <c r="I513" s="258" t="s">
        <v>3127</v>
      </c>
      <c r="J513" s="25" t="str">
        <f>IFERROR((VLOOKUP(GUAYAQUIL[[#This Row],[CODIGO]],MAESTRO!A:B,2,FALSE)),"")</f>
        <v>RGN TZOS MOR BOT 1000G</v>
      </c>
      <c r="K513" s="35">
        <v>90</v>
      </c>
      <c r="L513" s="205">
        <f>+IFERROR(IF(GUAYAQUIL[[#This Row],[CODIGO]]="","",VLOOKUP(GUAYAQUIL[[#This Row],[CODIGO]],MAESTRO!$A:$BF,58,FALSE)),"")</f>
        <v>1</v>
      </c>
      <c r="M513" s="27">
        <f>+IFERROR(IF(GUAYAQUIL[[#This Row],[CODIGO]]="","",VLOOKUP(GUAYAQUIL[[#This Row],[CODIGO]],MAESTRO!A:N,14,FALSE)),"")</f>
        <v>1</v>
      </c>
      <c r="N513" s="290">
        <f>+IFERROR(IF(GUAYAQUIL[[#This Row],[CODIGO]]="","",VLOOKUP(GUAYAQUIL[[#This Row],[CODIGO]],MAESTRO!A:P,16,FALSE)),"")</f>
        <v>45</v>
      </c>
      <c r="O513" s="45">
        <v>45616</v>
      </c>
      <c r="P513" s="292" t="str">
        <f t="shared" si="35"/>
        <v>miércoles</v>
      </c>
      <c r="Q513" s="278">
        <f>IFERROR(IF(GUAYAQUIL[[#This Row],[CODIGO]]="","",IF(GUAYAQUIL[[#This Row],[Fecha Cad]]="","",(GUAYAQUIL[[#This Row],[Fecha Cad]]-GUAYAQUIL[[#This Row],[VIDA UTIL (Días)]]))+1),"")</f>
        <v>45610</v>
      </c>
      <c r="R513" s="45">
        <v>45654</v>
      </c>
      <c r="S513" s="30">
        <f t="shared" ca="1" si="36"/>
        <v>30</v>
      </c>
      <c r="T513" s="294">
        <f t="shared" ca="1" si="37"/>
        <v>0.66666666666666663</v>
      </c>
      <c r="U513" s="295">
        <v>89</v>
      </c>
      <c r="V513" s="265">
        <f>+IFERROR(IF(GUAYAQUIL[[#This Row],[CODIGO]]="","",GUAYAQUIL[[#This Row],[Stock Actual Unds]]*GUAYAQUIL[[#This Row],[Gramaje]]*GUAYAQUIL[[#This Row],[Conversión]]),"")</f>
        <v>89</v>
      </c>
      <c r="W513" s="299">
        <f t="shared" si="38"/>
        <v>6</v>
      </c>
      <c r="X513" s="44">
        <f t="shared" si="39"/>
        <v>0.8666666666666667</v>
      </c>
      <c r="Y513" s="236">
        <f>IFERROR(VLOOKUP(GUAYAQUIL[[#This Row],[CODIGO]],MAESTRO!A:BI,21,FALSE),0)</f>
        <v>1.4067150000000002</v>
      </c>
      <c r="Z513" s="237">
        <f>+IFERROR(IF(GUAYAQUIL[[#This Row],[CODIGO]]="","",GUAYAQUIL[[#This Row],[COSTO UNIT base]]*GUAYAQUIL[[#This Row],[Conversión]]),"")</f>
        <v>1.4067150000000002</v>
      </c>
      <c r="AA513" s="236">
        <f>+IFERROR(IF(GUAYAQUIL[[#This Row],[CODIGO]]="","",GUAYAQUIL[[#This Row],[COSTO UNIT Conv]]*GUAYAQUIL[[#This Row],[Stock Actual Kgs]]),"")</f>
        <v>125.19763500000002</v>
      </c>
      <c r="AB513" s="180">
        <f ca="1">+IFERROR(IF(GUAYAQUIL[[#This Row],[CODIGO]]="","",$J$3-O513),"")</f>
        <v>8</v>
      </c>
      <c r="AC513" s="35" t="str">
        <f ca="1">IF(GUAYAQUIL[[#This Row],[CODIGO]]="","",IF(S513&lt;=0,"CADUCADO",IF(AND(S513&gt;0,S513&lt;=21),"FECHA CORTA",IF(AND(S513&gt;=22,S513&lt;=26),"PROXIMOS FECHA CORTA", "VIGENTE"))))</f>
        <v>VIGENTE</v>
      </c>
      <c r="AD513" s="37">
        <f>+IF(GUAYAQUIL[[#This Row],[CODIGO]]="","",GUAYAQUIL[[#This Row],[Stock Actual Unds]]*GUAYAQUIL[[#This Row],[Gramaje]]*GUAYAQUIL[[#This Row],[Conversión]])/1000</f>
        <v>8.8999999999999996E-2</v>
      </c>
    </row>
    <row r="514" spans="1:30">
      <c r="A514" s="42" t="str">
        <f>+IFERROR(IF(GUAYAQUIL[[#This Row],[CODIGO]]="","",VLOOKUP(GUAYAQUIL[[#This Row],[CODIGO]],MAESTRO!$A:$J,10,FALSE)),"")</f>
        <v>MACHACHI</v>
      </c>
      <c r="B514" s="42" t="str">
        <f>+IFERROR(IF(GUAYAQUIL[[#This Row],[CODIGO]]="","",VLOOKUP(GUAYAQUIL[[#This Row],[CODIGO]],MAESTRO!$A:$Q,17,FALSE)),"")</f>
        <v>BEBIDAS LACTEAS</v>
      </c>
      <c r="C514" s="42" t="str">
        <f>+IFERROR(IF(GUAYAQUIL[[#This Row],[CODIGO]]="","",VLOOKUP(GUAYAQUIL[[#This Row],[CODIGO]],MAESTRO!$A:$BA,53,FALSE)),"")</f>
        <v xml:space="preserve">Luis Armendariz                         </v>
      </c>
      <c r="D514" s="42" t="str">
        <f>+IFERROR(IF(GUAYAQUIL[[#This Row],[CODIGO]]="","",VLOOKUP(GUAYAQUIL[[#This Row],[CODIGO]],MAESTRO!$A:$D,4,FALSE)),"")</f>
        <v>REGENERIS</v>
      </c>
      <c r="E514" s="42" t="str">
        <f>+IFERROR(IF(GUAYAQUIL[[#This Row],[CODIGO]]="","",VLOOKUP(GUAYAQUIL[[#This Row],[CODIGO]],MAESTRO!$A:$F,6,FALSE)),"")</f>
        <v>REGENERIS REGULAR BOTELLA FAMILIAR</v>
      </c>
      <c r="F514" s="42" t="str">
        <f>IF(GUAYAQUIL[[#This Row],[CODIGO]]="","",$K$6)</f>
        <v>GUAYAQUIL</v>
      </c>
      <c r="G514" s="42">
        <f>IF(GUAYAQUIL[[#This Row],[CODIGO]]="","",7711)</f>
        <v>7711</v>
      </c>
      <c r="H514" s="42">
        <f>IF(GUAYAQUIL[[#This Row],[CODIGO]]="","",1001)</f>
        <v>1001</v>
      </c>
      <c r="I514" s="258" t="s">
        <v>4078</v>
      </c>
      <c r="J514" s="25" t="str">
        <f>IFERROR((VLOOKUP(GUAYAQUIL[[#This Row],[CODIGO]],MAESTRO!A:B,2,FALSE)),"")</f>
        <v>RGN TZOS FTLLA BOT 1000G</v>
      </c>
      <c r="K514" s="35">
        <v>90</v>
      </c>
      <c r="L514" s="205">
        <f>+IFERROR(IF(GUAYAQUIL[[#This Row],[CODIGO]]="","",VLOOKUP(GUAYAQUIL[[#This Row],[CODIGO]],MAESTRO!$A:$BF,58,FALSE)),"")</f>
        <v>1</v>
      </c>
      <c r="M514" s="27">
        <f>+IFERROR(IF(GUAYAQUIL[[#This Row],[CODIGO]]="","",VLOOKUP(GUAYAQUIL[[#This Row],[CODIGO]],MAESTRO!A:N,14,FALSE)),"")</f>
        <v>1</v>
      </c>
      <c r="N514" s="290">
        <f>+IFERROR(IF(GUAYAQUIL[[#This Row],[CODIGO]]="","",VLOOKUP(GUAYAQUIL[[#This Row],[CODIGO]],MAESTRO!A:P,16,FALSE)),"")</f>
        <v>45</v>
      </c>
      <c r="O514" s="45">
        <v>45612</v>
      </c>
      <c r="P514" s="292" t="str">
        <f t="shared" si="35"/>
        <v>sábado</v>
      </c>
      <c r="Q514" s="278">
        <f>IFERROR(IF(GUAYAQUIL[[#This Row],[CODIGO]]="","",IF(GUAYAQUIL[[#This Row],[Fecha Cad]]="","",(GUAYAQUIL[[#This Row],[Fecha Cad]]-GUAYAQUIL[[#This Row],[VIDA UTIL (Días)]]))+1),"")</f>
        <v>45608</v>
      </c>
      <c r="R514" s="45">
        <v>45652</v>
      </c>
      <c r="S514" s="30">
        <f t="shared" ca="1" si="36"/>
        <v>28</v>
      </c>
      <c r="T514" s="294">
        <f t="shared" ca="1" si="37"/>
        <v>0.62222222222222223</v>
      </c>
      <c r="U514" s="295">
        <v>25</v>
      </c>
      <c r="V514" s="265">
        <f>+IFERROR(IF(GUAYAQUIL[[#This Row],[CODIGO]]="","",GUAYAQUIL[[#This Row],[Stock Actual Unds]]*GUAYAQUIL[[#This Row],[Gramaje]]*GUAYAQUIL[[#This Row],[Conversión]]),"")</f>
        <v>25</v>
      </c>
      <c r="W514" s="299">
        <f t="shared" si="38"/>
        <v>4</v>
      </c>
      <c r="X514" s="44">
        <f t="shared" si="39"/>
        <v>0.91111111111111109</v>
      </c>
      <c r="Y514" s="236">
        <f>IFERROR(VLOOKUP(GUAYAQUIL[[#This Row],[CODIGO]],MAESTRO!A:BI,21,FALSE),0)</f>
        <v>1.3933150000000001</v>
      </c>
      <c r="Z514" s="237">
        <f>+IFERROR(IF(GUAYAQUIL[[#This Row],[CODIGO]]="","",GUAYAQUIL[[#This Row],[COSTO UNIT base]]*GUAYAQUIL[[#This Row],[Conversión]]),"")</f>
        <v>1.3933150000000001</v>
      </c>
      <c r="AA514" s="236">
        <f>+IFERROR(IF(GUAYAQUIL[[#This Row],[CODIGO]]="","",GUAYAQUIL[[#This Row],[COSTO UNIT Conv]]*GUAYAQUIL[[#This Row],[Stock Actual Kgs]]),"")</f>
        <v>34.832875000000001</v>
      </c>
      <c r="AB514" s="180">
        <f ca="1">+IFERROR(IF(GUAYAQUIL[[#This Row],[CODIGO]]="","",$J$3-O514),"")</f>
        <v>12</v>
      </c>
      <c r="AC514" s="35" t="str">
        <f ca="1">IF(GUAYAQUIL[[#This Row],[CODIGO]]="","",IF(S514&lt;=0,"CADUCADO",IF(AND(S514&gt;0,S514&lt;=21),"FECHA CORTA",IF(AND(S514&gt;=22,S514&lt;=26),"PROXIMOS FECHA CORTA", "VIGENTE"))))</f>
        <v>VIGENTE</v>
      </c>
      <c r="AD514" s="37">
        <f>+IF(GUAYAQUIL[[#This Row],[CODIGO]]="","",GUAYAQUIL[[#This Row],[Stock Actual Unds]]*GUAYAQUIL[[#This Row],[Gramaje]]*GUAYAQUIL[[#This Row],[Conversión]])/1000</f>
        <v>2.5000000000000001E-2</v>
      </c>
    </row>
    <row r="515" spans="1:30">
      <c r="A515" s="42" t="str">
        <f>+IFERROR(IF(GUAYAQUIL[[#This Row],[CODIGO]]="","",VLOOKUP(GUAYAQUIL[[#This Row],[CODIGO]],MAESTRO!$A:$J,10,FALSE)),"")</f>
        <v>MACHACHI</v>
      </c>
      <c r="B515" s="42" t="str">
        <f>+IFERROR(IF(GUAYAQUIL[[#This Row],[CODIGO]]="","",VLOOKUP(GUAYAQUIL[[#This Row],[CODIGO]],MAESTRO!$A:$Q,17,FALSE)),"")</f>
        <v>BEBIDAS LACTEAS</v>
      </c>
      <c r="C515" s="42" t="str">
        <f>+IFERROR(IF(GUAYAQUIL[[#This Row],[CODIGO]]="","",VLOOKUP(GUAYAQUIL[[#This Row],[CODIGO]],MAESTRO!$A:$BA,53,FALSE)),"")</f>
        <v xml:space="preserve">Luis Armendariz                         </v>
      </c>
      <c r="D515" s="42" t="str">
        <f>+IFERROR(IF(GUAYAQUIL[[#This Row],[CODIGO]]="","",VLOOKUP(GUAYAQUIL[[#This Row],[CODIGO]],MAESTRO!$A:$D,4,FALSE)),"")</f>
        <v>REGENERIS</v>
      </c>
      <c r="E515" s="42" t="str">
        <f>+IFERROR(IF(GUAYAQUIL[[#This Row],[CODIGO]]="","",VLOOKUP(GUAYAQUIL[[#This Row],[CODIGO]],MAESTRO!$A:$F,6,FALSE)),"")</f>
        <v>REGENERIS REGULAR BOTELLA FAMILIAR</v>
      </c>
      <c r="F515" s="42" t="str">
        <f>IF(GUAYAQUIL[[#This Row],[CODIGO]]="","",$K$6)</f>
        <v>GUAYAQUIL</v>
      </c>
      <c r="G515" s="209">
        <f>IF(GUAYAQUIL[[#This Row],[CODIGO]]="","",7711)</f>
        <v>7711</v>
      </c>
      <c r="H515" s="209">
        <f>IF(GUAYAQUIL[[#This Row],[CODIGO]]="","",1001)</f>
        <v>1001</v>
      </c>
      <c r="I515" s="258" t="s">
        <v>4078</v>
      </c>
      <c r="J515" s="25" t="str">
        <f>IFERROR((VLOOKUP(GUAYAQUIL[[#This Row],[CODIGO]],MAESTRO!A:B,2,FALSE)),"")</f>
        <v>RGN TZOS FTLLA BOT 1000G</v>
      </c>
      <c r="K515" s="35">
        <v>108</v>
      </c>
      <c r="L515" s="205">
        <f>+IFERROR(IF(GUAYAQUIL[[#This Row],[CODIGO]]="","",VLOOKUP(GUAYAQUIL[[#This Row],[CODIGO]],MAESTRO!$A:$BF,58,FALSE)),"")</f>
        <v>1</v>
      </c>
      <c r="M515" s="27">
        <f>+IFERROR(IF(GUAYAQUIL[[#This Row],[CODIGO]]="","",VLOOKUP(GUAYAQUIL[[#This Row],[CODIGO]],MAESTRO!A:N,14,FALSE)),"")</f>
        <v>1</v>
      </c>
      <c r="N515" s="290">
        <f>+IFERROR(IF(GUAYAQUIL[[#This Row],[CODIGO]]="","",VLOOKUP(GUAYAQUIL[[#This Row],[CODIGO]],MAESTRO!A:P,16,FALSE)),"")</f>
        <v>45</v>
      </c>
      <c r="O515" s="45">
        <v>45615</v>
      </c>
      <c r="P515" s="292" t="str">
        <f t="shared" si="35"/>
        <v>martes</v>
      </c>
      <c r="Q515" s="278">
        <f>IFERROR(IF(GUAYAQUIL[[#This Row],[CODIGO]]="","",IF(GUAYAQUIL[[#This Row],[Fecha Cad]]="","",(GUAYAQUIL[[#This Row],[Fecha Cad]]-GUAYAQUIL[[#This Row],[VIDA UTIL (Días)]]))+1),"")</f>
        <v>45610</v>
      </c>
      <c r="R515" s="45">
        <v>45654</v>
      </c>
      <c r="S515" s="30">
        <f t="shared" ca="1" si="36"/>
        <v>30</v>
      </c>
      <c r="T515" s="294">
        <f t="shared" ca="1" si="37"/>
        <v>0.66666666666666663</v>
      </c>
      <c r="U515" s="295">
        <v>108</v>
      </c>
      <c r="V515" s="265">
        <f>+IFERROR(IF(GUAYAQUIL[[#This Row],[CODIGO]]="","",GUAYAQUIL[[#This Row],[Stock Actual Unds]]*GUAYAQUIL[[#This Row],[Gramaje]]*GUAYAQUIL[[#This Row],[Conversión]]),"")</f>
        <v>108</v>
      </c>
      <c r="W515" s="299">
        <f t="shared" si="38"/>
        <v>5</v>
      </c>
      <c r="X515" s="44">
        <f t="shared" si="39"/>
        <v>0.88888888888888884</v>
      </c>
      <c r="Y515" s="236">
        <f>IFERROR(VLOOKUP(GUAYAQUIL[[#This Row],[CODIGO]],MAESTRO!A:BI,21,FALSE),0)</f>
        <v>1.3933150000000001</v>
      </c>
      <c r="Z515" s="237">
        <f>+IFERROR(IF(GUAYAQUIL[[#This Row],[CODIGO]]="","",GUAYAQUIL[[#This Row],[COSTO UNIT base]]*GUAYAQUIL[[#This Row],[Conversión]]),"")</f>
        <v>1.3933150000000001</v>
      </c>
      <c r="AA515" s="236">
        <f>+IFERROR(IF(GUAYAQUIL[[#This Row],[CODIGO]]="","",GUAYAQUIL[[#This Row],[COSTO UNIT Conv]]*GUAYAQUIL[[#This Row],[Stock Actual Kgs]]),"")</f>
        <v>150.47802000000001</v>
      </c>
      <c r="AB515" s="180">
        <f ca="1">+IFERROR(IF(GUAYAQUIL[[#This Row],[CODIGO]]="","",$J$3-O515),"")</f>
        <v>9</v>
      </c>
      <c r="AC515" s="35" t="str">
        <f ca="1">IF(GUAYAQUIL[[#This Row],[CODIGO]]="","",IF(S515&lt;=0,"CADUCADO",IF(AND(S515&gt;0,S515&lt;=21),"FECHA CORTA",IF(AND(S515&gt;=22,S515&lt;=26),"PROXIMOS FECHA CORTA", "VIGENTE"))))</f>
        <v>VIGENTE</v>
      </c>
      <c r="AD515" s="37">
        <f>+IF(GUAYAQUIL[[#This Row],[CODIGO]]="","",GUAYAQUIL[[#This Row],[Stock Actual Unds]]*GUAYAQUIL[[#This Row],[Gramaje]]*GUAYAQUIL[[#This Row],[Conversión]])/1000</f>
        <v>0.108</v>
      </c>
    </row>
    <row r="516" spans="1:30">
      <c r="A516" s="42" t="str">
        <f>+IFERROR(IF(GUAYAQUIL[[#This Row],[CODIGO]]="","",VLOOKUP(GUAYAQUIL[[#This Row],[CODIGO]],MAESTRO!$A:$J,10,FALSE)),"")</f>
        <v>MACHACHI</v>
      </c>
      <c r="B516" s="42" t="str">
        <f>+IFERROR(IF(GUAYAQUIL[[#This Row],[CODIGO]]="","",VLOOKUP(GUAYAQUIL[[#This Row],[CODIGO]],MAESTRO!$A:$Q,17,FALSE)),"")</f>
        <v>BEBIDAS LACTEAS</v>
      </c>
      <c r="C516" s="42" t="str">
        <f>+IFERROR(IF(GUAYAQUIL[[#This Row],[CODIGO]]="","",VLOOKUP(GUAYAQUIL[[#This Row],[CODIGO]],MAESTRO!$A:$BA,53,FALSE)),"")</f>
        <v xml:space="preserve">Luis Armendariz                         </v>
      </c>
      <c r="D516" s="42" t="str">
        <f>+IFERROR(IF(GUAYAQUIL[[#This Row],[CODIGO]]="","",VLOOKUP(GUAYAQUIL[[#This Row],[CODIGO]],MAESTRO!$A:$D,4,FALSE)),"")</f>
        <v>REGENERIS</v>
      </c>
      <c r="E516" s="42" t="str">
        <f>+IFERROR(IF(GUAYAQUIL[[#This Row],[CODIGO]]="","",VLOOKUP(GUAYAQUIL[[#This Row],[CODIGO]],MAESTRO!$A:$F,6,FALSE)),"")</f>
        <v>REGENERIS REGULAR BOTELLA FAMILIAR</v>
      </c>
      <c r="F516" s="42" t="str">
        <f>IF(GUAYAQUIL[[#This Row],[CODIGO]]="","",$K$6)</f>
        <v>GUAYAQUIL</v>
      </c>
      <c r="G516" s="42">
        <f>IF(GUAYAQUIL[[#This Row],[CODIGO]]="","",7711)</f>
        <v>7711</v>
      </c>
      <c r="H516" s="42">
        <f>IF(GUAYAQUIL[[#This Row],[CODIGO]]="","",1001)</f>
        <v>1001</v>
      </c>
      <c r="I516" s="258" t="s">
        <v>4078</v>
      </c>
      <c r="J516" s="25" t="str">
        <f>IFERROR((VLOOKUP(GUAYAQUIL[[#This Row],[CODIGO]],MAESTRO!A:B,2,FALSE)),"")</f>
        <v>RGN TZOS FTLLA BOT 1000G</v>
      </c>
      <c r="K516" s="35">
        <v>72</v>
      </c>
      <c r="L516" s="205">
        <f>+IFERROR(IF(GUAYAQUIL[[#This Row],[CODIGO]]="","",VLOOKUP(GUAYAQUIL[[#This Row],[CODIGO]],MAESTRO!$A:$BF,58,FALSE)),"")</f>
        <v>1</v>
      </c>
      <c r="M516" s="27">
        <f>+IFERROR(IF(GUAYAQUIL[[#This Row],[CODIGO]]="","",VLOOKUP(GUAYAQUIL[[#This Row],[CODIGO]],MAESTRO!A:N,14,FALSE)),"")</f>
        <v>1</v>
      </c>
      <c r="N516" s="290">
        <f>+IFERROR(IF(GUAYAQUIL[[#This Row],[CODIGO]]="","",VLOOKUP(GUAYAQUIL[[#This Row],[CODIGO]],MAESTRO!A:P,16,FALSE)),"")</f>
        <v>45</v>
      </c>
      <c r="O516" s="45">
        <v>45616</v>
      </c>
      <c r="P516" s="292" t="str">
        <f t="shared" si="35"/>
        <v>miércoles</v>
      </c>
      <c r="Q516" s="278">
        <f>IFERROR(IF(GUAYAQUIL[[#This Row],[CODIGO]]="","",IF(GUAYAQUIL[[#This Row],[Fecha Cad]]="","",(GUAYAQUIL[[#This Row],[Fecha Cad]]-GUAYAQUIL[[#This Row],[VIDA UTIL (Días)]]))+1),"")</f>
        <v>45610</v>
      </c>
      <c r="R516" s="45">
        <v>45654</v>
      </c>
      <c r="S516" s="30">
        <f t="shared" ca="1" si="36"/>
        <v>30</v>
      </c>
      <c r="T516" s="294">
        <f t="shared" ca="1" si="37"/>
        <v>0.66666666666666663</v>
      </c>
      <c r="U516" s="295">
        <v>72</v>
      </c>
      <c r="V516" s="265">
        <f>+IFERROR(IF(GUAYAQUIL[[#This Row],[CODIGO]]="","",GUAYAQUIL[[#This Row],[Stock Actual Unds]]*GUAYAQUIL[[#This Row],[Gramaje]]*GUAYAQUIL[[#This Row],[Conversión]]),"")</f>
        <v>72</v>
      </c>
      <c r="W516" s="299">
        <f t="shared" si="38"/>
        <v>6</v>
      </c>
      <c r="X516" s="44">
        <f t="shared" si="39"/>
        <v>0.8666666666666667</v>
      </c>
      <c r="Y516" s="236">
        <f>IFERROR(VLOOKUP(GUAYAQUIL[[#This Row],[CODIGO]],MAESTRO!A:BI,21,FALSE),0)</f>
        <v>1.3933150000000001</v>
      </c>
      <c r="Z516" s="237">
        <f>+IFERROR(IF(GUAYAQUIL[[#This Row],[CODIGO]]="","",GUAYAQUIL[[#This Row],[COSTO UNIT base]]*GUAYAQUIL[[#This Row],[Conversión]]),"")</f>
        <v>1.3933150000000001</v>
      </c>
      <c r="AA516" s="236">
        <f>+IFERROR(IF(GUAYAQUIL[[#This Row],[CODIGO]]="","",GUAYAQUIL[[#This Row],[COSTO UNIT Conv]]*GUAYAQUIL[[#This Row],[Stock Actual Kgs]]),"")</f>
        <v>100.31868</v>
      </c>
      <c r="AB516" s="180">
        <f ca="1">+IFERROR(IF(GUAYAQUIL[[#This Row],[CODIGO]]="","",$J$3-O516),"")</f>
        <v>8</v>
      </c>
      <c r="AC516" s="35" t="str">
        <f ca="1">IF(GUAYAQUIL[[#This Row],[CODIGO]]="","",IF(S516&lt;=0,"CADUCADO",IF(AND(S516&gt;0,S516&lt;=21),"FECHA CORTA",IF(AND(S516&gt;=22,S516&lt;=26),"PROXIMOS FECHA CORTA", "VIGENTE"))))</f>
        <v>VIGENTE</v>
      </c>
      <c r="AD516" s="37">
        <f>+IF(GUAYAQUIL[[#This Row],[CODIGO]]="","",GUAYAQUIL[[#This Row],[Stock Actual Unds]]*GUAYAQUIL[[#This Row],[Gramaje]]*GUAYAQUIL[[#This Row],[Conversión]])/1000</f>
        <v>7.1999999999999995E-2</v>
      </c>
    </row>
    <row r="517" spans="1:30">
      <c r="A517" s="24" t="str">
        <f>+IFERROR(IF(GUAYAQUIL[[#This Row],[CODIGO]]="","",VLOOKUP(GUAYAQUIL[[#This Row],[CODIGO]],MAESTRO!$A:$J,10,FALSE)),"")</f>
        <v>MACHACHI</v>
      </c>
      <c r="B517" s="24" t="str">
        <f>+IFERROR(IF(GUAYAQUIL[[#This Row],[CODIGO]]="","",VLOOKUP(GUAYAQUIL[[#This Row],[CODIGO]],MAESTRO!$A:$Q,17,FALSE)),"")</f>
        <v>BEBIDAS LACTEAS</v>
      </c>
      <c r="C517" s="24" t="str">
        <f>+IFERROR(IF(GUAYAQUIL[[#This Row],[CODIGO]]="","",VLOOKUP(GUAYAQUIL[[#This Row],[CODIGO]],MAESTRO!$A:$BA,53,FALSE)),"")</f>
        <v xml:space="preserve">Luis Armendariz                         </v>
      </c>
      <c r="D517" s="24" t="str">
        <f>+IFERROR(IF(GUAYAQUIL[[#This Row],[CODIGO]]="","",VLOOKUP(GUAYAQUIL[[#This Row],[CODIGO]],MAESTRO!$A:$D,4,FALSE)),"")</f>
        <v>REGENERIS</v>
      </c>
      <c r="E517" s="24" t="str">
        <f>+IFERROR(IF(GUAYAQUIL[[#This Row],[CODIGO]]="","",VLOOKUP(GUAYAQUIL[[#This Row],[CODIGO]],MAESTRO!$A:$F,6,FALSE)),"")</f>
        <v>REGENERIS REGULAR BOTELLA FAMILIAR</v>
      </c>
      <c r="F517" s="42" t="str">
        <f>IF(GUAYAQUIL[[#This Row],[CODIGO]]="","",$K$6)</f>
        <v>GUAYAQUIL</v>
      </c>
      <c r="G517" s="209">
        <f>IF(GUAYAQUIL[[#This Row],[CODIGO]]="","",7711)</f>
        <v>7711</v>
      </c>
      <c r="H517" s="209">
        <f>IF(GUAYAQUIL[[#This Row],[CODIGO]]="","",1001)</f>
        <v>1001</v>
      </c>
      <c r="I517" s="257" t="s">
        <v>4078</v>
      </c>
      <c r="J517" s="25" t="str">
        <f>IFERROR((VLOOKUP(GUAYAQUIL[[#This Row],[CODIGO]],MAESTRO!A:B,2,FALSE)),"")</f>
        <v>RGN TZOS FTLLA BOT 1000G</v>
      </c>
      <c r="K517" s="26">
        <v>72</v>
      </c>
      <c r="L517" s="38">
        <f>+IFERROR(IF(GUAYAQUIL[[#This Row],[CODIGO]]="","",VLOOKUP(GUAYAQUIL[[#This Row],[CODIGO]],MAESTRO!$A:$BF,58,FALSE)),"")</f>
        <v>1</v>
      </c>
      <c r="M517" s="27">
        <f>+IFERROR(IF(GUAYAQUIL[[#This Row],[CODIGO]]="","",VLOOKUP(GUAYAQUIL[[#This Row],[CODIGO]],MAESTRO!A:N,14,FALSE)),"")</f>
        <v>1</v>
      </c>
      <c r="N517" s="28">
        <f>+IFERROR(IF(GUAYAQUIL[[#This Row],[CODIGO]]="","",VLOOKUP(GUAYAQUIL[[#This Row],[CODIGO]],MAESTRO!A:P,16,FALSE)),"")</f>
        <v>45</v>
      </c>
      <c r="O517" s="29">
        <v>45617</v>
      </c>
      <c r="P517" s="72" t="str">
        <f t="shared" si="35"/>
        <v>jueves</v>
      </c>
      <c r="Q517" s="29">
        <f>IFERROR(IF(GUAYAQUIL[[#This Row],[CODIGO]]="","",IF(GUAYAQUIL[[#This Row],[Fecha Cad]]="","",(GUAYAQUIL[[#This Row],[Fecha Cad]]-GUAYAQUIL[[#This Row],[VIDA UTIL (Días)]]))+1),"")</f>
        <v>45615</v>
      </c>
      <c r="R517" s="29">
        <v>45659</v>
      </c>
      <c r="S517" s="30">
        <f t="shared" ca="1" si="36"/>
        <v>35</v>
      </c>
      <c r="T517" s="31">
        <f t="shared" ca="1" si="37"/>
        <v>0.77777777777777779</v>
      </c>
      <c r="U517" s="286">
        <v>36</v>
      </c>
      <c r="V517" s="267">
        <f>+IFERROR(IF(GUAYAQUIL[[#This Row],[CODIGO]]="","",GUAYAQUIL[[#This Row],[Stock Actual Unds]]*GUAYAQUIL[[#This Row],[Gramaje]]*GUAYAQUIL[[#This Row],[Conversión]]),"")</f>
        <v>36</v>
      </c>
      <c r="W517" s="270">
        <f t="shared" si="38"/>
        <v>2</v>
      </c>
      <c r="X517" s="32">
        <f t="shared" si="39"/>
        <v>0.9555555555555556</v>
      </c>
      <c r="Y517" s="236">
        <f>IFERROR(VLOOKUP(GUAYAQUIL[[#This Row],[CODIGO]],MAESTRO!A:BI,21,FALSE),0)</f>
        <v>1.3933150000000001</v>
      </c>
      <c r="Z517" s="237">
        <f>+IFERROR(IF(GUAYAQUIL[[#This Row],[CODIGO]]="","",GUAYAQUIL[[#This Row],[COSTO UNIT base]]*GUAYAQUIL[[#This Row],[Conversión]]),"")</f>
        <v>1.3933150000000001</v>
      </c>
      <c r="AA517" s="236">
        <f>+IFERROR(IF(GUAYAQUIL[[#This Row],[CODIGO]]="","",GUAYAQUIL[[#This Row],[COSTO UNIT Conv]]*GUAYAQUIL[[#This Row],[Stock Actual Kgs]]),"")</f>
        <v>50.15934</v>
      </c>
      <c r="AB517" s="33">
        <f ca="1">+IFERROR(IF(GUAYAQUIL[[#This Row],[CODIGO]]="","",$J$3-O517),"")</f>
        <v>7</v>
      </c>
      <c r="AC517" s="34" t="str">
        <f ca="1">IF(GUAYAQUIL[[#This Row],[CODIGO]]="","",IF(S517&lt;=0,"CADUCADO",IF(AND(S517&gt;0,S517&lt;=21),"FECHA CORTA",IF(AND(S517&gt;=22,S517&lt;=26),"PROXIMOS FECHA CORTA", "VIGENTE"))))</f>
        <v>VIGENTE</v>
      </c>
      <c r="AD517" s="37">
        <f>+IF(GUAYAQUIL[[#This Row],[CODIGO]]="","",GUAYAQUIL[[#This Row],[Stock Actual Unds]]*GUAYAQUIL[[#This Row],[Gramaje]]*GUAYAQUIL[[#This Row],[Conversión]])/1000</f>
        <v>3.5999999999999997E-2</v>
      </c>
    </row>
    <row r="518" spans="1:30">
      <c r="A518" s="24" t="str">
        <f>+IFERROR(IF(GUAYAQUIL[[#This Row],[CODIGO]]="","",VLOOKUP(GUAYAQUIL[[#This Row],[CODIGO]],MAESTRO!$A:$J,10,FALSE)),"")</f>
        <v>MACHACHI</v>
      </c>
      <c r="B518" s="24" t="str">
        <f>+IFERROR(IF(GUAYAQUIL[[#This Row],[CODIGO]]="","",VLOOKUP(GUAYAQUIL[[#This Row],[CODIGO]],MAESTRO!$A:$Q,17,FALSE)),"")</f>
        <v>BEBIDAS LACTEAS</v>
      </c>
      <c r="C518" s="24" t="str">
        <f>+IFERROR(IF(GUAYAQUIL[[#This Row],[CODIGO]]="","",VLOOKUP(GUAYAQUIL[[#This Row],[CODIGO]],MAESTRO!$A:$BA,53,FALSE)),"")</f>
        <v xml:space="preserve">Luis Armendariz                         </v>
      </c>
      <c r="D518" s="24" t="str">
        <f>+IFERROR(IF(GUAYAQUIL[[#This Row],[CODIGO]]="","",VLOOKUP(GUAYAQUIL[[#This Row],[CODIGO]],MAESTRO!$A:$D,4,FALSE)),"")</f>
        <v>REGENERIS</v>
      </c>
      <c r="E518" s="24" t="str">
        <f>+IFERROR(IF(GUAYAQUIL[[#This Row],[CODIGO]]="","",VLOOKUP(GUAYAQUIL[[#This Row],[CODIGO]],MAESTRO!$A:$F,6,FALSE)),"")</f>
        <v>REGENERIS REGULAR BOTELLA FAMILIAR</v>
      </c>
      <c r="F518" s="42" t="str">
        <f>IF(GUAYAQUIL[[#This Row],[CODIGO]]="","",$K$6)</f>
        <v>GUAYAQUIL</v>
      </c>
      <c r="G518" s="42">
        <f>IF(GUAYAQUIL[[#This Row],[CODIGO]]="","",7711)</f>
        <v>7711</v>
      </c>
      <c r="H518" s="42">
        <f>IF(GUAYAQUIL[[#This Row],[CODIGO]]="","",1001)</f>
        <v>1001</v>
      </c>
      <c r="I518" s="259" t="s">
        <v>3906</v>
      </c>
      <c r="J518" s="25" t="str">
        <f>IFERROR((VLOOKUP(GUAYAQUIL[[#This Row],[CODIGO]],MAESTRO!A:B,2,FALSE)),"")</f>
        <v>RGN TZOS DZNO BOT 1000G</v>
      </c>
      <c r="K518" s="35">
        <v>126</v>
      </c>
      <c r="L518" s="38">
        <f>+IFERROR(IF(GUAYAQUIL[[#This Row],[CODIGO]]="","",VLOOKUP(GUAYAQUIL[[#This Row],[CODIGO]],MAESTRO!$A:$BF,58,FALSE)),"")</f>
        <v>1</v>
      </c>
      <c r="M518" s="27">
        <f>+IFERROR(IF(GUAYAQUIL[[#This Row],[CODIGO]]="","",VLOOKUP(GUAYAQUIL[[#This Row],[CODIGO]],MAESTRO!A:N,14,FALSE)),"")</f>
        <v>1</v>
      </c>
      <c r="N518" s="28">
        <f>+IFERROR(IF(GUAYAQUIL[[#This Row],[CODIGO]]="","",VLOOKUP(GUAYAQUIL[[#This Row],[CODIGO]],MAESTRO!A:P,16,FALSE)),"")</f>
        <v>45</v>
      </c>
      <c r="O518" s="29">
        <v>45597</v>
      </c>
      <c r="P518" s="72" t="str">
        <f t="shared" si="35"/>
        <v>viernes</v>
      </c>
      <c r="Q518" s="29">
        <f>IFERROR(IF(GUAYAQUIL[[#This Row],[CODIGO]]="","",IF(GUAYAQUIL[[#This Row],[Fecha Cad]]="","",(GUAYAQUIL[[#This Row],[Fecha Cad]]-GUAYAQUIL[[#This Row],[VIDA UTIL (Días)]]))+1),"")</f>
        <v>45588</v>
      </c>
      <c r="R518" s="29">
        <v>45632</v>
      </c>
      <c r="S518" s="30">
        <f t="shared" ca="1" si="36"/>
        <v>8</v>
      </c>
      <c r="T518" s="31">
        <f t="shared" ca="1" si="37"/>
        <v>0.17777777777777778</v>
      </c>
      <c r="U518" s="286">
        <v>51</v>
      </c>
      <c r="V518" s="266">
        <f>+IFERROR(IF(GUAYAQUIL[[#This Row],[CODIGO]]="","",GUAYAQUIL[[#This Row],[Stock Actual Unds]]*GUAYAQUIL[[#This Row],[Gramaje]]*GUAYAQUIL[[#This Row],[Conversión]]),"")</f>
        <v>51</v>
      </c>
      <c r="W518" s="270">
        <f t="shared" si="38"/>
        <v>9</v>
      </c>
      <c r="X518" s="32">
        <f t="shared" si="39"/>
        <v>0.8</v>
      </c>
      <c r="Y518" s="236">
        <f>IFERROR(VLOOKUP(GUAYAQUIL[[#This Row],[CODIGO]],MAESTRO!A:BI,21,FALSE),0)</f>
        <v>1.4128499999999997</v>
      </c>
      <c r="Z518" s="237">
        <f>+IFERROR(IF(GUAYAQUIL[[#This Row],[CODIGO]]="","",GUAYAQUIL[[#This Row],[COSTO UNIT base]]*GUAYAQUIL[[#This Row],[Conversión]]),"")</f>
        <v>1.4128499999999997</v>
      </c>
      <c r="AA518" s="236">
        <f>+IFERROR(IF(GUAYAQUIL[[#This Row],[CODIGO]]="","",GUAYAQUIL[[#This Row],[COSTO UNIT Conv]]*GUAYAQUIL[[#This Row],[Stock Actual Kgs]]),"")</f>
        <v>72.05534999999999</v>
      </c>
      <c r="AB518" s="33">
        <f ca="1">+IFERROR(IF(GUAYAQUIL[[#This Row],[CODIGO]]="","",$J$3-O518),"")</f>
        <v>27</v>
      </c>
      <c r="AC518" s="34" t="str">
        <f ca="1">IF(GUAYAQUIL[[#This Row],[CODIGO]]="","",IF(S518&lt;=0,"CADUCADO",IF(AND(S518&gt;0,S518&lt;=21),"FECHA CORTA",IF(AND(S518&gt;=22,S518&lt;=26),"PROXIMOS FECHA CORTA", "VIGENTE"))))</f>
        <v>FECHA CORTA</v>
      </c>
      <c r="AD518" s="37">
        <f>+IF(GUAYAQUIL[[#This Row],[CODIGO]]="","",GUAYAQUIL[[#This Row],[Stock Actual Unds]]*GUAYAQUIL[[#This Row],[Gramaje]]*GUAYAQUIL[[#This Row],[Conversión]])/1000</f>
        <v>5.0999999999999997E-2</v>
      </c>
    </row>
    <row r="519" spans="1:30">
      <c r="A519" s="24" t="str">
        <f>+IFERROR(IF(GUAYAQUIL[[#This Row],[CODIGO]]="","",VLOOKUP(GUAYAQUIL[[#This Row],[CODIGO]],MAESTRO!$A:$J,10,FALSE)),"")</f>
        <v>MACHACHI</v>
      </c>
      <c r="B519" s="24" t="str">
        <f>+IFERROR(IF(GUAYAQUIL[[#This Row],[CODIGO]]="","",VLOOKUP(GUAYAQUIL[[#This Row],[CODIGO]],MAESTRO!$A:$Q,17,FALSE)),"")</f>
        <v>BEBIDAS LACTEAS</v>
      </c>
      <c r="C519" s="24" t="str">
        <f>+IFERROR(IF(GUAYAQUIL[[#This Row],[CODIGO]]="","",VLOOKUP(GUAYAQUIL[[#This Row],[CODIGO]],MAESTRO!$A:$BA,53,FALSE)),"")</f>
        <v xml:space="preserve">Luis Armendariz                         </v>
      </c>
      <c r="D519" s="24" t="str">
        <f>+IFERROR(IF(GUAYAQUIL[[#This Row],[CODIGO]]="","",VLOOKUP(GUAYAQUIL[[#This Row],[CODIGO]],MAESTRO!$A:$D,4,FALSE)),"")</f>
        <v>REGENERIS</v>
      </c>
      <c r="E519" s="24" t="str">
        <f>+IFERROR(IF(GUAYAQUIL[[#This Row],[CODIGO]]="","",VLOOKUP(GUAYAQUIL[[#This Row],[CODIGO]],MAESTRO!$A:$F,6,FALSE)),"")</f>
        <v>REGENERIS REGULAR BOTELLA FAMILIAR</v>
      </c>
      <c r="F519" s="42" t="str">
        <f>IF(GUAYAQUIL[[#This Row],[CODIGO]]="","",$K$6)</f>
        <v>GUAYAQUIL</v>
      </c>
      <c r="G519" s="209">
        <f>IF(GUAYAQUIL[[#This Row],[CODIGO]]="","",7711)</f>
        <v>7711</v>
      </c>
      <c r="H519" s="209">
        <f>IF(GUAYAQUIL[[#This Row],[CODIGO]]="","",1001)</f>
        <v>1001</v>
      </c>
      <c r="I519" s="259" t="s">
        <v>3906</v>
      </c>
      <c r="J519" s="25" t="str">
        <f>IFERROR((VLOOKUP(GUAYAQUIL[[#This Row],[CODIGO]],MAESTRO!A:B,2,FALSE)),"")</f>
        <v>RGN TZOS DZNO BOT 1000G</v>
      </c>
      <c r="K519" s="35">
        <v>90</v>
      </c>
      <c r="L519" s="38">
        <f>+IFERROR(IF(GUAYAQUIL[[#This Row],[CODIGO]]="","",VLOOKUP(GUAYAQUIL[[#This Row],[CODIGO]],MAESTRO!$A:$BF,58,FALSE)),"")</f>
        <v>1</v>
      </c>
      <c r="M519" s="27">
        <f>+IFERROR(IF(GUAYAQUIL[[#This Row],[CODIGO]]="","",VLOOKUP(GUAYAQUIL[[#This Row],[CODIGO]],MAESTRO!A:N,14,FALSE)),"")</f>
        <v>1</v>
      </c>
      <c r="N519" s="28">
        <f>+IFERROR(IF(GUAYAQUIL[[#This Row],[CODIGO]]="","",VLOOKUP(GUAYAQUIL[[#This Row],[CODIGO]],MAESTRO!A:P,16,FALSE)),"")</f>
        <v>45</v>
      </c>
      <c r="O519" s="29">
        <v>45615</v>
      </c>
      <c r="P519" s="72" t="str">
        <f t="shared" si="35"/>
        <v>martes</v>
      </c>
      <c r="Q519" s="29">
        <f>IFERROR(IF(GUAYAQUIL[[#This Row],[CODIGO]]="","",IF(GUAYAQUIL[[#This Row],[Fecha Cad]]="","",(GUAYAQUIL[[#This Row],[Fecha Cad]]-GUAYAQUIL[[#This Row],[VIDA UTIL (Días)]]))+1),"")</f>
        <v>45608</v>
      </c>
      <c r="R519" s="29">
        <v>45652</v>
      </c>
      <c r="S519" s="30">
        <f t="shared" ca="1" si="36"/>
        <v>28</v>
      </c>
      <c r="T519" s="31">
        <f t="shared" ca="1" si="37"/>
        <v>0.62222222222222223</v>
      </c>
      <c r="U519" s="286">
        <v>51</v>
      </c>
      <c r="V519" s="266">
        <f>+IFERROR(IF(GUAYAQUIL[[#This Row],[CODIGO]]="","",GUAYAQUIL[[#This Row],[Stock Actual Unds]]*GUAYAQUIL[[#This Row],[Gramaje]]*GUAYAQUIL[[#This Row],[Conversión]]),"")</f>
        <v>51</v>
      </c>
      <c r="W519" s="270">
        <f t="shared" si="38"/>
        <v>7</v>
      </c>
      <c r="X519" s="32">
        <f t="shared" si="39"/>
        <v>0.84444444444444444</v>
      </c>
      <c r="Y519" s="236">
        <f>IFERROR(VLOOKUP(GUAYAQUIL[[#This Row],[CODIGO]],MAESTRO!A:BI,21,FALSE),0)</f>
        <v>1.4128499999999997</v>
      </c>
      <c r="Z519" s="237">
        <f>+IFERROR(IF(GUAYAQUIL[[#This Row],[CODIGO]]="","",GUAYAQUIL[[#This Row],[COSTO UNIT base]]*GUAYAQUIL[[#This Row],[Conversión]]),"")</f>
        <v>1.4128499999999997</v>
      </c>
      <c r="AA519" s="236">
        <f>+IFERROR(IF(GUAYAQUIL[[#This Row],[CODIGO]]="","",GUAYAQUIL[[#This Row],[COSTO UNIT Conv]]*GUAYAQUIL[[#This Row],[Stock Actual Kgs]]),"")</f>
        <v>72.05534999999999</v>
      </c>
      <c r="AB519" s="33">
        <f ca="1">+IFERROR(IF(GUAYAQUIL[[#This Row],[CODIGO]]="","",$J$3-O519),"")</f>
        <v>9</v>
      </c>
      <c r="AC519" s="34" t="str">
        <f ca="1">IF(GUAYAQUIL[[#This Row],[CODIGO]]="","",IF(S519&lt;=0,"CADUCADO",IF(AND(S519&gt;0,S519&lt;=21),"FECHA CORTA",IF(AND(S519&gt;=22,S519&lt;=26),"PROXIMOS FECHA CORTA", "VIGENTE"))))</f>
        <v>VIGENTE</v>
      </c>
      <c r="AD519" s="37">
        <f>+IF(GUAYAQUIL[[#This Row],[CODIGO]]="","",GUAYAQUIL[[#This Row],[Stock Actual Unds]]*GUAYAQUIL[[#This Row],[Gramaje]]*GUAYAQUIL[[#This Row],[Conversión]])/1000</f>
        <v>5.0999999999999997E-2</v>
      </c>
    </row>
    <row r="520" spans="1:30">
      <c r="A520" s="24" t="str">
        <f>+IFERROR(IF(GUAYAQUIL[[#This Row],[CODIGO]]="","",VLOOKUP(GUAYAQUIL[[#This Row],[CODIGO]],MAESTRO!$A:$J,10,FALSE)),"")</f>
        <v>MACHACHI</v>
      </c>
      <c r="B520" s="24" t="str">
        <f>+IFERROR(IF(GUAYAQUIL[[#This Row],[CODIGO]]="","",VLOOKUP(GUAYAQUIL[[#This Row],[CODIGO]],MAESTRO!$A:$Q,17,FALSE)),"")</f>
        <v>BEBIDAS LACTEAS</v>
      </c>
      <c r="C520" s="24" t="str">
        <f>+IFERROR(IF(GUAYAQUIL[[#This Row],[CODIGO]]="","",VLOOKUP(GUAYAQUIL[[#This Row],[CODIGO]],MAESTRO!$A:$BA,53,FALSE)),"")</f>
        <v xml:space="preserve">Luis Armendariz                         </v>
      </c>
      <c r="D520" s="24" t="str">
        <f>+IFERROR(IF(GUAYAQUIL[[#This Row],[CODIGO]]="","",VLOOKUP(GUAYAQUIL[[#This Row],[CODIGO]],MAESTRO!$A:$D,4,FALSE)),"")</f>
        <v>REGENERIS</v>
      </c>
      <c r="E520" s="24" t="str">
        <f>+IFERROR(IF(GUAYAQUIL[[#This Row],[CODIGO]]="","",VLOOKUP(GUAYAQUIL[[#This Row],[CODIGO]],MAESTRO!$A:$F,6,FALSE)),"")</f>
        <v>REGENERIS REGULAR BOTELLA FAMILIAR</v>
      </c>
      <c r="F520" s="42" t="str">
        <f>IF(GUAYAQUIL[[#This Row],[CODIGO]]="","",$K$6)</f>
        <v>GUAYAQUIL</v>
      </c>
      <c r="G520" s="42">
        <f>IF(GUAYAQUIL[[#This Row],[CODIGO]]="","",7711)</f>
        <v>7711</v>
      </c>
      <c r="H520" s="42">
        <f>IF(GUAYAQUIL[[#This Row],[CODIGO]]="","",1001)</f>
        <v>1001</v>
      </c>
      <c r="I520" s="259" t="s">
        <v>3906</v>
      </c>
      <c r="J520" s="25" t="str">
        <f>IFERROR((VLOOKUP(GUAYAQUIL[[#This Row],[CODIGO]],MAESTRO!A:B,2,FALSE)),"")</f>
        <v>RGN TZOS DZNO BOT 1000G</v>
      </c>
      <c r="K520" s="35">
        <v>162</v>
      </c>
      <c r="L520" s="38">
        <f>+IFERROR(IF(GUAYAQUIL[[#This Row],[CODIGO]]="","",VLOOKUP(GUAYAQUIL[[#This Row],[CODIGO]],MAESTRO!$A:$BF,58,FALSE)),"")</f>
        <v>1</v>
      </c>
      <c r="M520" s="27">
        <f>+IFERROR(IF(GUAYAQUIL[[#This Row],[CODIGO]]="","",VLOOKUP(GUAYAQUIL[[#This Row],[CODIGO]],MAESTRO!A:N,14,FALSE)),"")</f>
        <v>1</v>
      </c>
      <c r="N520" s="28">
        <f>+IFERROR(IF(GUAYAQUIL[[#This Row],[CODIGO]]="","",VLOOKUP(GUAYAQUIL[[#This Row],[CODIGO]],MAESTRO!A:P,16,FALSE)),"")</f>
        <v>45</v>
      </c>
      <c r="O520" s="29">
        <v>45616</v>
      </c>
      <c r="P520" s="72" t="str">
        <f t="shared" ref="P520:P583" si="40">+IF(R520="","",TEXT(O520,"dddd"))</f>
        <v>miércoles</v>
      </c>
      <c r="Q520" s="29">
        <f>IFERROR(IF(GUAYAQUIL[[#This Row],[CODIGO]]="","",IF(GUAYAQUIL[[#This Row],[Fecha Cad]]="","",(GUAYAQUIL[[#This Row],[Fecha Cad]]-GUAYAQUIL[[#This Row],[VIDA UTIL (Días)]]))+1),"")</f>
        <v>45610</v>
      </c>
      <c r="R520" s="29">
        <v>45654</v>
      </c>
      <c r="S520" s="30">
        <f t="shared" ref="S520:S583" ca="1" si="41">+IFERROR(IF(R520="","",R520-$J$3),0)</f>
        <v>30</v>
      </c>
      <c r="T520" s="31">
        <f t="shared" ref="T520:T583" ca="1" si="42">IFERROR(IF(8="","",S520/N520),0)</f>
        <v>0.66666666666666663</v>
      </c>
      <c r="U520" s="286">
        <v>108</v>
      </c>
      <c r="V520" s="266">
        <f>+IFERROR(IF(GUAYAQUIL[[#This Row],[CODIGO]]="","",GUAYAQUIL[[#This Row],[Stock Actual Unds]]*GUAYAQUIL[[#This Row],[Gramaje]]*GUAYAQUIL[[#This Row],[Conversión]]),"")</f>
        <v>108</v>
      </c>
      <c r="W520" s="270">
        <f t="shared" ref="W520:W583" si="43">IFERROR(O520-Q520,0)</f>
        <v>6</v>
      </c>
      <c r="X520" s="32">
        <f t="shared" ref="X520:X583" si="44">IF(I520="","",1-(W520/N520))</f>
        <v>0.8666666666666667</v>
      </c>
      <c r="Y520" s="236">
        <f>IFERROR(VLOOKUP(GUAYAQUIL[[#This Row],[CODIGO]],MAESTRO!A:BI,21,FALSE),0)</f>
        <v>1.4128499999999997</v>
      </c>
      <c r="Z520" s="237">
        <f>+IFERROR(IF(GUAYAQUIL[[#This Row],[CODIGO]]="","",GUAYAQUIL[[#This Row],[COSTO UNIT base]]*GUAYAQUIL[[#This Row],[Conversión]]),"")</f>
        <v>1.4128499999999997</v>
      </c>
      <c r="AA520" s="236">
        <f>+IFERROR(IF(GUAYAQUIL[[#This Row],[CODIGO]]="","",GUAYAQUIL[[#This Row],[COSTO UNIT Conv]]*GUAYAQUIL[[#This Row],[Stock Actual Kgs]]),"")</f>
        <v>152.58779999999996</v>
      </c>
      <c r="AB520" s="33">
        <f ca="1">+IFERROR(IF(GUAYAQUIL[[#This Row],[CODIGO]]="","",$J$3-O520),"")</f>
        <v>8</v>
      </c>
      <c r="AC520" s="34" t="str">
        <f ca="1">IF(GUAYAQUIL[[#This Row],[CODIGO]]="","",IF(S520&lt;=0,"CADUCADO",IF(AND(S520&gt;0,S520&lt;=21),"FECHA CORTA",IF(AND(S520&gt;=22,S520&lt;=26),"PROXIMOS FECHA CORTA", "VIGENTE"))))</f>
        <v>VIGENTE</v>
      </c>
      <c r="AD520" s="37">
        <f>+IF(GUAYAQUIL[[#This Row],[CODIGO]]="","",GUAYAQUIL[[#This Row],[Stock Actual Unds]]*GUAYAQUIL[[#This Row],[Gramaje]]*GUAYAQUIL[[#This Row],[Conversión]])/1000</f>
        <v>0.108</v>
      </c>
    </row>
    <row r="521" spans="1:30">
      <c r="A521" s="24" t="str">
        <f>+IFERROR(IF(GUAYAQUIL[[#This Row],[CODIGO]]="","",VLOOKUP(GUAYAQUIL[[#This Row],[CODIGO]],MAESTRO!$A:$J,10,FALSE)),"")</f>
        <v>MACHACHI</v>
      </c>
      <c r="B521" s="24" t="str">
        <f>+IFERROR(IF(GUAYAQUIL[[#This Row],[CODIGO]]="","",VLOOKUP(GUAYAQUIL[[#This Row],[CODIGO]],MAESTRO!$A:$Q,17,FALSE)),"")</f>
        <v>BEBIDAS LACTEAS</v>
      </c>
      <c r="C521" s="24" t="str">
        <f>+IFERROR(IF(GUAYAQUIL[[#This Row],[CODIGO]]="","",VLOOKUP(GUAYAQUIL[[#This Row],[CODIGO]],MAESTRO!$A:$BA,53,FALSE)),"")</f>
        <v xml:space="preserve">Luis Armendariz                         </v>
      </c>
      <c r="D521" s="24" t="str">
        <f>+IFERROR(IF(GUAYAQUIL[[#This Row],[CODIGO]]="","",VLOOKUP(GUAYAQUIL[[#This Row],[CODIGO]],MAESTRO!$A:$D,4,FALSE)),"")</f>
        <v>REGENERIS</v>
      </c>
      <c r="E521" s="24" t="str">
        <f>+IFERROR(IF(GUAYAQUIL[[#This Row],[CODIGO]]="","",VLOOKUP(GUAYAQUIL[[#This Row],[CODIGO]],MAESTRO!$A:$F,6,FALSE)),"")</f>
        <v>REGENERIS REGULAR BOTELLA FAMILIAR</v>
      </c>
      <c r="F521" s="42" t="str">
        <f>IF(GUAYAQUIL[[#This Row],[CODIGO]]="","",$K$6)</f>
        <v>GUAYAQUIL</v>
      </c>
      <c r="G521" s="209">
        <f>IF(GUAYAQUIL[[#This Row],[CODIGO]]="","",7711)</f>
        <v>7711</v>
      </c>
      <c r="H521" s="209">
        <f>IF(GUAYAQUIL[[#This Row],[CODIGO]]="","",1001)</f>
        <v>1001</v>
      </c>
      <c r="I521" s="258" t="s">
        <v>3906</v>
      </c>
      <c r="J521" s="25" t="str">
        <f>IFERROR((VLOOKUP(GUAYAQUIL[[#This Row],[CODIGO]],MAESTRO!A:B,2,FALSE)),"")</f>
        <v>RGN TZOS DZNO BOT 1000G</v>
      </c>
      <c r="K521" s="35">
        <v>54</v>
      </c>
      <c r="L521" s="38">
        <f>+IFERROR(IF(GUAYAQUIL[[#This Row],[CODIGO]]="","",VLOOKUP(GUAYAQUIL[[#This Row],[CODIGO]],MAESTRO!$A:$BF,58,FALSE)),"")</f>
        <v>1</v>
      </c>
      <c r="M521" s="27">
        <f>+IFERROR(IF(GUAYAQUIL[[#This Row],[CODIGO]]="","",VLOOKUP(GUAYAQUIL[[#This Row],[CODIGO]],MAESTRO!A:N,14,FALSE)),"")</f>
        <v>1</v>
      </c>
      <c r="N521" s="28">
        <f>+IFERROR(IF(GUAYAQUIL[[#This Row],[CODIGO]]="","",VLOOKUP(GUAYAQUIL[[#This Row],[CODIGO]],MAESTRO!A:P,16,FALSE)),"")</f>
        <v>45</v>
      </c>
      <c r="O521" s="29">
        <v>45617</v>
      </c>
      <c r="P521" s="72" t="str">
        <f t="shared" si="40"/>
        <v>jueves</v>
      </c>
      <c r="Q521" s="29">
        <f>IFERROR(IF(GUAYAQUIL[[#This Row],[CODIGO]]="","",IF(GUAYAQUIL[[#This Row],[Fecha Cad]]="","",(GUAYAQUIL[[#This Row],[Fecha Cad]]-GUAYAQUIL[[#This Row],[VIDA UTIL (Días)]]))+1),"")</f>
        <v>45610</v>
      </c>
      <c r="R521" s="29">
        <v>45654</v>
      </c>
      <c r="S521" s="30">
        <f t="shared" ca="1" si="41"/>
        <v>30</v>
      </c>
      <c r="T521" s="31">
        <f t="shared" ca="1" si="42"/>
        <v>0.66666666666666663</v>
      </c>
      <c r="U521" s="286">
        <v>54</v>
      </c>
      <c r="V521" s="266">
        <f>+IFERROR(IF(GUAYAQUIL[[#This Row],[CODIGO]]="","",GUAYAQUIL[[#This Row],[Stock Actual Unds]]*GUAYAQUIL[[#This Row],[Gramaje]]*GUAYAQUIL[[#This Row],[Conversión]]),"")</f>
        <v>54</v>
      </c>
      <c r="W521" s="270">
        <f t="shared" si="43"/>
        <v>7</v>
      </c>
      <c r="X521" s="32">
        <f t="shared" si="44"/>
        <v>0.84444444444444444</v>
      </c>
      <c r="Y521" s="236">
        <f>IFERROR(VLOOKUP(GUAYAQUIL[[#This Row],[CODIGO]],MAESTRO!A:BI,21,FALSE),0)</f>
        <v>1.4128499999999997</v>
      </c>
      <c r="Z521" s="237">
        <f>+IFERROR(IF(GUAYAQUIL[[#This Row],[CODIGO]]="","",GUAYAQUIL[[#This Row],[COSTO UNIT base]]*GUAYAQUIL[[#This Row],[Conversión]]),"")</f>
        <v>1.4128499999999997</v>
      </c>
      <c r="AA521" s="236">
        <f>+IFERROR(IF(GUAYAQUIL[[#This Row],[CODIGO]]="","",GUAYAQUIL[[#This Row],[COSTO UNIT Conv]]*GUAYAQUIL[[#This Row],[Stock Actual Kgs]]),"")</f>
        <v>76.293899999999979</v>
      </c>
      <c r="AB521" s="33">
        <f ca="1">+IFERROR(IF(GUAYAQUIL[[#This Row],[CODIGO]]="","",$J$3-O521),"")</f>
        <v>7</v>
      </c>
      <c r="AC521" s="34" t="str">
        <f ca="1">IF(GUAYAQUIL[[#This Row],[CODIGO]]="","",IF(S521&lt;=0,"CADUCADO",IF(AND(S521&gt;0,S521&lt;=21),"FECHA CORTA",IF(AND(S521&gt;=22,S521&lt;=26),"PROXIMOS FECHA CORTA", "VIGENTE"))))</f>
        <v>VIGENTE</v>
      </c>
      <c r="AD521" s="37">
        <f>+IF(GUAYAQUIL[[#This Row],[CODIGO]]="","",GUAYAQUIL[[#This Row],[Stock Actual Unds]]*GUAYAQUIL[[#This Row],[Gramaje]]*GUAYAQUIL[[#This Row],[Conversión]])/1000</f>
        <v>5.3999999999999999E-2</v>
      </c>
    </row>
    <row r="522" spans="1:30">
      <c r="A522" s="24" t="str">
        <f>+IFERROR(IF(GUAYAQUIL[[#This Row],[CODIGO]]="","",VLOOKUP(GUAYAQUIL[[#This Row],[CODIGO]],MAESTRO!$A:$J,10,FALSE)),"")</f>
        <v>MACHACHI</v>
      </c>
      <c r="B522" s="24" t="str">
        <f>+IFERROR(IF(GUAYAQUIL[[#This Row],[CODIGO]]="","",VLOOKUP(GUAYAQUIL[[#This Row],[CODIGO]],MAESTRO!$A:$Q,17,FALSE)),"")</f>
        <v>BEBIDAS LACTEAS</v>
      </c>
      <c r="C522" s="24" t="str">
        <f>+IFERROR(IF(GUAYAQUIL[[#This Row],[CODIGO]]="","",VLOOKUP(GUAYAQUIL[[#This Row],[CODIGO]],MAESTRO!$A:$BA,53,FALSE)),"")</f>
        <v xml:space="preserve">Luis Armendariz                         </v>
      </c>
      <c r="D522" s="24" t="str">
        <f>+IFERROR(IF(GUAYAQUIL[[#This Row],[CODIGO]]="","",VLOOKUP(GUAYAQUIL[[#This Row],[CODIGO]],MAESTRO!$A:$D,4,FALSE)),"")</f>
        <v>REGENERIS</v>
      </c>
      <c r="E522" s="24" t="str">
        <f>+IFERROR(IF(GUAYAQUIL[[#This Row],[CODIGO]]="","",VLOOKUP(GUAYAQUIL[[#This Row],[CODIGO]],MAESTRO!$A:$F,6,FALSE)),"")</f>
        <v>REGENERIS REGULAR VASO</v>
      </c>
      <c r="F522" s="42" t="str">
        <f>IF(GUAYAQUIL[[#This Row],[CODIGO]]="","",$K$6)</f>
        <v>GUAYAQUIL</v>
      </c>
      <c r="G522" s="42">
        <f>IF(GUAYAQUIL[[#This Row],[CODIGO]]="","",7711)</f>
        <v>7711</v>
      </c>
      <c r="H522" s="42">
        <f>IF(GUAYAQUIL[[#This Row],[CODIGO]]="","",1001)</f>
        <v>1001</v>
      </c>
      <c r="I522" s="257" t="s">
        <v>2918</v>
      </c>
      <c r="J522" s="25" t="str">
        <f>IFERROR((VLOOKUP(GUAYAQUIL[[#This Row],[CODIGO]],MAESTRO!A:B,2,FALSE)),"")</f>
        <v>RGN TZOS DZNO VASO 150G</v>
      </c>
      <c r="K522" s="26">
        <v>108</v>
      </c>
      <c r="L522" s="38">
        <f>+IFERROR(IF(GUAYAQUIL[[#This Row],[CODIGO]]="","",VLOOKUP(GUAYAQUIL[[#This Row],[CODIGO]],MAESTRO!$A:$BF,58,FALSE)),"")</f>
        <v>1</v>
      </c>
      <c r="M522" s="27">
        <f>+IFERROR(IF(GUAYAQUIL[[#This Row],[CODIGO]]="","",VLOOKUP(GUAYAQUIL[[#This Row],[CODIGO]],MAESTRO!A:N,14,FALSE)),"")</f>
        <v>0.15</v>
      </c>
      <c r="N522" s="28">
        <f>+IFERROR(IF(GUAYAQUIL[[#This Row],[CODIGO]]="","",VLOOKUP(GUAYAQUIL[[#This Row],[CODIGO]],MAESTRO!A:P,16,FALSE)),"")</f>
        <v>45</v>
      </c>
      <c r="O522" s="29">
        <v>45609</v>
      </c>
      <c r="P522" s="72" t="str">
        <f t="shared" si="40"/>
        <v>miércoles</v>
      </c>
      <c r="Q522" s="29">
        <f>IFERROR(IF(GUAYAQUIL[[#This Row],[CODIGO]]="","",IF(GUAYAQUIL[[#This Row],[Fecha Cad]]="","",(GUAYAQUIL[[#This Row],[Fecha Cad]]-GUAYAQUIL[[#This Row],[VIDA UTIL (Días)]]))+1),"")</f>
        <v>45601</v>
      </c>
      <c r="R522" s="29">
        <v>45645</v>
      </c>
      <c r="S522" s="30">
        <f t="shared" ca="1" si="41"/>
        <v>21</v>
      </c>
      <c r="T522" s="31">
        <f t="shared" ca="1" si="42"/>
        <v>0.46666666666666667</v>
      </c>
      <c r="U522" s="286">
        <v>31</v>
      </c>
      <c r="V522" s="267">
        <f>+IFERROR(IF(GUAYAQUIL[[#This Row],[CODIGO]]="","",GUAYAQUIL[[#This Row],[Stock Actual Unds]]*GUAYAQUIL[[#This Row],[Gramaje]]*GUAYAQUIL[[#This Row],[Conversión]]),"")</f>
        <v>4.6499999999999995</v>
      </c>
      <c r="W522" s="270">
        <f t="shared" si="43"/>
        <v>8</v>
      </c>
      <c r="X522" s="32">
        <f t="shared" si="44"/>
        <v>0.82222222222222219</v>
      </c>
      <c r="Y522" s="236">
        <f>IFERROR(VLOOKUP(GUAYAQUIL[[#This Row],[CODIGO]],MAESTRO!A:BI,21,FALSE),0)</f>
        <v>0.231765</v>
      </c>
      <c r="Z522" s="237">
        <f>+IFERROR(IF(GUAYAQUIL[[#This Row],[CODIGO]]="","",GUAYAQUIL[[#This Row],[COSTO UNIT base]]*GUAYAQUIL[[#This Row],[Conversión]]),"")</f>
        <v>0.231765</v>
      </c>
      <c r="AA522" s="236">
        <f>+IFERROR(IF(GUAYAQUIL[[#This Row],[CODIGO]]="","",GUAYAQUIL[[#This Row],[COSTO UNIT Conv]]*GUAYAQUIL[[#This Row],[Stock Actual Kgs]]),"")</f>
        <v>1.0777072499999998</v>
      </c>
      <c r="AB522" s="33">
        <f ca="1">+IFERROR(IF(GUAYAQUIL[[#This Row],[CODIGO]]="","",$J$3-O522),"")</f>
        <v>15</v>
      </c>
      <c r="AC522" s="34" t="str">
        <f ca="1">IF(GUAYAQUIL[[#This Row],[CODIGO]]="","",IF(S522&lt;=0,"CADUCADO",IF(AND(S522&gt;0,S522&lt;=21),"FECHA CORTA",IF(AND(S522&gt;=22,S522&lt;=26),"PROXIMOS FECHA CORTA", "VIGENTE"))))</f>
        <v>FECHA CORTA</v>
      </c>
      <c r="AD522" s="37">
        <f>+IF(GUAYAQUIL[[#This Row],[CODIGO]]="","",GUAYAQUIL[[#This Row],[Stock Actual Unds]]*GUAYAQUIL[[#This Row],[Gramaje]]*GUAYAQUIL[[#This Row],[Conversión]])/1000</f>
        <v>4.6499999999999996E-3</v>
      </c>
    </row>
    <row r="523" spans="1:30">
      <c r="A523" s="24" t="str">
        <f>+IFERROR(IF(GUAYAQUIL[[#This Row],[CODIGO]]="","",VLOOKUP(GUAYAQUIL[[#This Row],[CODIGO]],MAESTRO!$A:$J,10,FALSE)),"")</f>
        <v>MACHACHI</v>
      </c>
      <c r="B523" s="24" t="str">
        <f>+IFERROR(IF(GUAYAQUIL[[#This Row],[CODIGO]]="","",VLOOKUP(GUAYAQUIL[[#This Row],[CODIGO]],MAESTRO!$A:$Q,17,FALSE)),"")</f>
        <v>BEBIDAS LACTEAS</v>
      </c>
      <c r="C523" s="24" t="str">
        <f>+IFERROR(IF(GUAYAQUIL[[#This Row],[CODIGO]]="","",VLOOKUP(GUAYAQUIL[[#This Row],[CODIGO]],MAESTRO!$A:$BA,53,FALSE)),"")</f>
        <v xml:space="preserve">Luis Armendariz                         </v>
      </c>
      <c r="D523" s="24" t="str">
        <f>+IFERROR(IF(GUAYAQUIL[[#This Row],[CODIGO]]="","",VLOOKUP(GUAYAQUIL[[#This Row],[CODIGO]],MAESTRO!$A:$D,4,FALSE)),"")</f>
        <v>REGENERIS</v>
      </c>
      <c r="E523" s="24" t="str">
        <f>+IFERROR(IF(GUAYAQUIL[[#This Row],[CODIGO]]="","",VLOOKUP(GUAYAQUIL[[#This Row],[CODIGO]],MAESTRO!$A:$F,6,FALSE)),"")</f>
        <v>REGENERIS REGULAR VASO</v>
      </c>
      <c r="F523" s="42" t="str">
        <f>IF(GUAYAQUIL[[#This Row],[CODIGO]]="","",$K$6)</f>
        <v>GUAYAQUIL</v>
      </c>
      <c r="G523" s="209">
        <f>IF(GUAYAQUIL[[#This Row],[CODIGO]]="","",7711)</f>
        <v>7711</v>
      </c>
      <c r="H523" s="209">
        <f>IF(GUAYAQUIL[[#This Row],[CODIGO]]="","",1001)</f>
        <v>1001</v>
      </c>
      <c r="I523" s="257" t="s">
        <v>2918</v>
      </c>
      <c r="J523" s="25" t="str">
        <f>IFERROR((VLOOKUP(GUAYAQUIL[[#This Row],[CODIGO]],MAESTRO!A:B,2,FALSE)),"")</f>
        <v>RGN TZOS DZNO VASO 150G</v>
      </c>
      <c r="K523" s="26">
        <v>108</v>
      </c>
      <c r="L523" s="38">
        <f>+IFERROR(IF(GUAYAQUIL[[#This Row],[CODIGO]]="","",VLOOKUP(GUAYAQUIL[[#This Row],[CODIGO]],MAESTRO!$A:$BF,58,FALSE)),"")</f>
        <v>1</v>
      </c>
      <c r="M523" s="27">
        <f>+IFERROR(IF(GUAYAQUIL[[#This Row],[CODIGO]]="","",VLOOKUP(GUAYAQUIL[[#This Row],[CODIGO]],MAESTRO!A:N,14,FALSE)),"")</f>
        <v>0.15</v>
      </c>
      <c r="N523" s="28">
        <f>+IFERROR(IF(GUAYAQUIL[[#This Row],[CODIGO]]="","",VLOOKUP(GUAYAQUIL[[#This Row],[CODIGO]],MAESTRO!A:P,16,FALSE)),"")</f>
        <v>45</v>
      </c>
      <c r="O523" s="29">
        <v>45612</v>
      </c>
      <c r="P523" s="72" t="str">
        <f t="shared" si="40"/>
        <v>sábado</v>
      </c>
      <c r="Q523" s="29">
        <f>IFERROR(IF(GUAYAQUIL[[#This Row],[CODIGO]]="","",IF(GUAYAQUIL[[#This Row],[Fecha Cad]]="","",(GUAYAQUIL[[#This Row],[Fecha Cad]]-GUAYAQUIL[[#This Row],[VIDA UTIL (Días)]]))+1),"")</f>
        <v>45604</v>
      </c>
      <c r="R523" s="29">
        <v>45648</v>
      </c>
      <c r="S523" s="30">
        <f t="shared" ca="1" si="41"/>
        <v>24</v>
      </c>
      <c r="T523" s="31">
        <f t="shared" ca="1" si="42"/>
        <v>0.53333333333333333</v>
      </c>
      <c r="U523" s="286">
        <v>108</v>
      </c>
      <c r="V523" s="267">
        <f>+IFERROR(IF(GUAYAQUIL[[#This Row],[CODIGO]]="","",GUAYAQUIL[[#This Row],[Stock Actual Unds]]*GUAYAQUIL[[#This Row],[Gramaje]]*GUAYAQUIL[[#This Row],[Conversión]]),"")</f>
        <v>16.2</v>
      </c>
      <c r="W523" s="270">
        <f t="shared" si="43"/>
        <v>8</v>
      </c>
      <c r="X523" s="32">
        <f t="shared" si="44"/>
        <v>0.82222222222222219</v>
      </c>
      <c r="Y523" s="236">
        <f>IFERROR(VLOOKUP(GUAYAQUIL[[#This Row],[CODIGO]],MAESTRO!A:BI,21,FALSE),0)</f>
        <v>0.231765</v>
      </c>
      <c r="Z523" s="237">
        <f>+IFERROR(IF(GUAYAQUIL[[#This Row],[CODIGO]]="","",GUAYAQUIL[[#This Row],[COSTO UNIT base]]*GUAYAQUIL[[#This Row],[Conversión]]),"")</f>
        <v>0.231765</v>
      </c>
      <c r="AA523" s="236">
        <f>+IFERROR(IF(GUAYAQUIL[[#This Row],[CODIGO]]="","",GUAYAQUIL[[#This Row],[COSTO UNIT Conv]]*GUAYAQUIL[[#This Row],[Stock Actual Kgs]]),"")</f>
        <v>3.7545929999999998</v>
      </c>
      <c r="AB523" s="33">
        <f ca="1">+IFERROR(IF(GUAYAQUIL[[#This Row],[CODIGO]]="","",$J$3-O523),"")</f>
        <v>12</v>
      </c>
      <c r="AC523" s="34" t="str">
        <f ca="1">IF(GUAYAQUIL[[#This Row],[CODIGO]]="","",IF(S523&lt;=0,"CADUCADO",IF(AND(S523&gt;0,S523&lt;=21),"FECHA CORTA",IF(AND(S523&gt;=22,S523&lt;=26),"PROXIMOS FECHA CORTA", "VIGENTE"))))</f>
        <v>PROXIMOS FECHA CORTA</v>
      </c>
      <c r="AD523" s="37">
        <f>+IF(GUAYAQUIL[[#This Row],[CODIGO]]="","",GUAYAQUIL[[#This Row],[Stock Actual Unds]]*GUAYAQUIL[[#This Row],[Gramaje]]*GUAYAQUIL[[#This Row],[Conversión]])/1000</f>
        <v>1.6199999999999999E-2</v>
      </c>
    </row>
    <row r="524" spans="1:30">
      <c r="A524" s="24" t="str">
        <f>+IFERROR(IF(GUAYAQUIL[[#This Row],[CODIGO]]="","",VLOOKUP(GUAYAQUIL[[#This Row],[CODIGO]],MAESTRO!$A:$J,10,FALSE)),"")</f>
        <v>MACHACHI</v>
      </c>
      <c r="B524" s="24" t="str">
        <f>+IFERROR(IF(GUAYAQUIL[[#This Row],[CODIGO]]="","",VLOOKUP(GUAYAQUIL[[#This Row],[CODIGO]],MAESTRO!$A:$Q,17,FALSE)),"")</f>
        <v>BEBIDAS LACTEAS</v>
      </c>
      <c r="C524" s="24" t="str">
        <f>+IFERROR(IF(GUAYAQUIL[[#This Row],[CODIGO]]="","",VLOOKUP(GUAYAQUIL[[#This Row],[CODIGO]],MAESTRO!$A:$BA,53,FALSE)),"")</f>
        <v xml:space="preserve">Luis Armendariz                         </v>
      </c>
      <c r="D524" s="24" t="str">
        <f>+IFERROR(IF(GUAYAQUIL[[#This Row],[CODIGO]]="","",VLOOKUP(GUAYAQUIL[[#This Row],[CODIGO]],MAESTRO!$A:$D,4,FALSE)),"")</f>
        <v>REGENERIS</v>
      </c>
      <c r="E524" s="24" t="str">
        <f>+IFERROR(IF(GUAYAQUIL[[#This Row],[CODIGO]]="","",VLOOKUP(GUAYAQUIL[[#This Row],[CODIGO]],MAESTRO!$A:$F,6,FALSE)),"")</f>
        <v>REGENERIS REGULAR VASO</v>
      </c>
      <c r="F524" s="42" t="str">
        <f>IF(GUAYAQUIL[[#This Row],[CODIGO]]="","",$K$6)</f>
        <v>GUAYAQUIL</v>
      </c>
      <c r="G524" s="42">
        <f>IF(GUAYAQUIL[[#This Row],[CODIGO]]="","",7711)</f>
        <v>7711</v>
      </c>
      <c r="H524" s="42">
        <f>IF(GUAYAQUIL[[#This Row],[CODIGO]]="","",1001)</f>
        <v>1001</v>
      </c>
      <c r="I524" s="258" t="s">
        <v>2918</v>
      </c>
      <c r="J524" s="25" t="str">
        <f>IFERROR((VLOOKUP(GUAYAQUIL[[#This Row],[CODIGO]],MAESTRO!A:B,2,FALSE)),"")</f>
        <v>RGN TZOS DZNO VASO 150G</v>
      </c>
      <c r="K524" s="35">
        <v>108</v>
      </c>
      <c r="L524" s="38">
        <f>+IFERROR(IF(GUAYAQUIL[[#This Row],[CODIGO]]="","",VLOOKUP(GUAYAQUIL[[#This Row],[CODIGO]],MAESTRO!$A:$BF,58,FALSE)),"")</f>
        <v>1</v>
      </c>
      <c r="M524" s="27">
        <f>+IFERROR(IF(GUAYAQUIL[[#This Row],[CODIGO]]="","",VLOOKUP(GUAYAQUIL[[#This Row],[CODIGO]],MAESTRO!A:N,14,FALSE)),"")</f>
        <v>0.15</v>
      </c>
      <c r="N524" s="28">
        <f>+IFERROR(IF(GUAYAQUIL[[#This Row],[CODIGO]]="","",VLOOKUP(GUAYAQUIL[[#This Row],[CODIGO]],MAESTRO!A:P,16,FALSE)),"")</f>
        <v>45</v>
      </c>
      <c r="O524" s="45">
        <v>45611</v>
      </c>
      <c r="P524" s="72" t="str">
        <f t="shared" si="40"/>
        <v>viernes</v>
      </c>
      <c r="Q524" s="29">
        <f>IFERROR(IF(GUAYAQUIL[[#This Row],[CODIGO]]="","",IF(GUAYAQUIL[[#This Row],[Fecha Cad]]="","",(GUAYAQUIL[[#This Row],[Fecha Cad]]-GUAYAQUIL[[#This Row],[VIDA UTIL (Días)]]))+1),"")</f>
        <v>45604</v>
      </c>
      <c r="R524" s="45">
        <v>45648</v>
      </c>
      <c r="S524" s="30">
        <f t="shared" ca="1" si="41"/>
        <v>24</v>
      </c>
      <c r="T524" s="31">
        <f t="shared" ca="1" si="42"/>
        <v>0.53333333333333333</v>
      </c>
      <c r="U524" s="286">
        <v>96</v>
      </c>
      <c r="V524" s="265">
        <f>+IFERROR(IF(GUAYAQUIL[[#This Row],[CODIGO]]="","",GUAYAQUIL[[#This Row],[Stock Actual Unds]]*GUAYAQUIL[[#This Row],[Gramaje]]*GUAYAQUIL[[#This Row],[Conversión]]),"")</f>
        <v>14.399999999999999</v>
      </c>
      <c r="W524" s="270">
        <f t="shared" si="43"/>
        <v>7</v>
      </c>
      <c r="X524" s="32">
        <f t="shared" si="44"/>
        <v>0.84444444444444444</v>
      </c>
      <c r="Y524" s="236">
        <f>IFERROR(VLOOKUP(GUAYAQUIL[[#This Row],[CODIGO]],MAESTRO!A:BI,21,FALSE),0)</f>
        <v>0.231765</v>
      </c>
      <c r="Z524" s="237">
        <f>+IFERROR(IF(GUAYAQUIL[[#This Row],[CODIGO]]="","",GUAYAQUIL[[#This Row],[COSTO UNIT base]]*GUAYAQUIL[[#This Row],[Conversión]]),"")</f>
        <v>0.231765</v>
      </c>
      <c r="AA524" s="236">
        <f>+IFERROR(IF(GUAYAQUIL[[#This Row],[CODIGO]]="","",GUAYAQUIL[[#This Row],[COSTO UNIT Conv]]*GUAYAQUIL[[#This Row],[Stock Actual Kgs]]),"")</f>
        <v>3.3374159999999997</v>
      </c>
      <c r="AB524" s="33">
        <f ca="1">+IFERROR(IF(GUAYAQUIL[[#This Row],[CODIGO]]="","",$J$3-O524),"")</f>
        <v>13</v>
      </c>
      <c r="AC524" s="34" t="str">
        <f ca="1">IF(GUAYAQUIL[[#This Row],[CODIGO]]="","",IF(S524&lt;=0,"CADUCADO",IF(AND(S524&gt;0,S524&lt;=21),"FECHA CORTA",IF(AND(S524&gt;=22,S524&lt;=26),"PROXIMOS FECHA CORTA", "VIGENTE"))))</f>
        <v>PROXIMOS FECHA CORTA</v>
      </c>
      <c r="AD524" s="37">
        <f>+IF(GUAYAQUIL[[#This Row],[CODIGO]]="","",GUAYAQUIL[[#This Row],[Stock Actual Unds]]*GUAYAQUIL[[#This Row],[Gramaje]]*GUAYAQUIL[[#This Row],[Conversión]])/1000</f>
        <v>1.4399999999999998E-2</v>
      </c>
    </row>
    <row r="525" spans="1:30">
      <c r="A525" s="24" t="str">
        <f>+IFERROR(IF(GUAYAQUIL[[#This Row],[CODIGO]]="","",VLOOKUP(GUAYAQUIL[[#This Row],[CODIGO]],MAESTRO!$A:$J,10,FALSE)),"")</f>
        <v>MACHACHI</v>
      </c>
      <c r="B525" s="24" t="str">
        <f>+IFERROR(IF(GUAYAQUIL[[#This Row],[CODIGO]]="","",VLOOKUP(GUAYAQUIL[[#This Row],[CODIGO]],MAESTRO!$A:$Q,17,FALSE)),"")</f>
        <v>BEBIDAS LACTEAS</v>
      </c>
      <c r="C525" s="24" t="str">
        <f>+IFERROR(IF(GUAYAQUIL[[#This Row],[CODIGO]]="","",VLOOKUP(GUAYAQUIL[[#This Row],[CODIGO]],MAESTRO!$A:$BA,53,FALSE)),"")</f>
        <v xml:space="preserve">Luis Armendariz                         </v>
      </c>
      <c r="D525" s="24" t="str">
        <f>+IFERROR(IF(GUAYAQUIL[[#This Row],[CODIGO]]="","",VLOOKUP(GUAYAQUIL[[#This Row],[CODIGO]],MAESTRO!$A:$D,4,FALSE)),"")</f>
        <v>REGENERIS</v>
      </c>
      <c r="E525" s="24" t="str">
        <f>+IFERROR(IF(GUAYAQUIL[[#This Row],[CODIGO]]="","",VLOOKUP(GUAYAQUIL[[#This Row],[CODIGO]],MAESTRO!$A:$F,6,FALSE)),"")</f>
        <v>REGENERIS REGULAR VASO</v>
      </c>
      <c r="F525" s="42" t="str">
        <f>IF(GUAYAQUIL[[#This Row],[CODIGO]]="","",$K$6)</f>
        <v>GUAYAQUIL</v>
      </c>
      <c r="G525" s="209">
        <f>IF(GUAYAQUIL[[#This Row],[CODIGO]]="","",7711)</f>
        <v>7711</v>
      </c>
      <c r="H525" s="209">
        <f>IF(GUAYAQUIL[[#This Row],[CODIGO]]="","",1001)</f>
        <v>1001</v>
      </c>
      <c r="I525" s="258" t="s">
        <v>2918</v>
      </c>
      <c r="J525" s="25" t="str">
        <f>IFERROR((VLOOKUP(GUAYAQUIL[[#This Row],[CODIGO]],MAESTRO!A:B,2,FALSE)),"")</f>
        <v>RGN TZOS DZNO VASO 150G</v>
      </c>
      <c r="K525" s="35">
        <v>108</v>
      </c>
      <c r="L525" s="38">
        <f>+IFERROR(IF(GUAYAQUIL[[#This Row],[CODIGO]]="","",VLOOKUP(GUAYAQUIL[[#This Row],[CODIGO]],MAESTRO!$A:$BF,58,FALSE)),"")</f>
        <v>1</v>
      </c>
      <c r="M525" s="27">
        <f>+IFERROR(IF(GUAYAQUIL[[#This Row],[CODIGO]]="","",VLOOKUP(GUAYAQUIL[[#This Row],[CODIGO]],MAESTRO!A:N,14,FALSE)),"")</f>
        <v>0.15</v>
      </c>
      <c r="N525" s="28">
        <f>+IFERROR(IF(GUAYAQUIL[[#This Row],[CODIGO]]="","",VLOOKUP(GUAYAQUIL[[#This Row],[CODIGO]],MAESTRO!A:P,16,FALSE)),"")</f>
        <v>45</v>
      </c>
      <c r="O525" s="45">
        <v>45610</v>
      </c>
      <c r="P525" s="72" t="str">
        <f t="shared" si="40"/>
        <v>jueves</v>
      </c>
      <c r="Q525" s="29">
        <f>IFERROR(IF(GUAYAQUIL[[#This Row],[CODIGO]]="","",IF(GUAYAQUIL[[#This Row],[Fecha Cad]]="","",(GUAYAQUIL[[#This Row],[Fecha Cad]]-GUAYAQUIL[[#This Row],[VIDA UTIL (Días)]]))+1),"")</f>
        <v>45601</v>
      </c>
      <c r="R525" s="45">
        <v>45645</v>
      </c>
      <c r="S525" s="30">
        <f t="shared" ca="1" si="41"/>
        <v>21</v>
      </c>
      <c r="T525" s="31">
        <f t="shared" ca="1" si="42"/>
        <v>0.46666666666666667</v>
      </c>
      <c r="U525" s="286">
        <v>108</v>
      </c>
      <c r="V525" s="265">
        <f>+IFERROR(IF(GUAYAQUIL[[#This Row],[CODIGO]]="","",GUAYAQUIL[[#This Row],[Stock Actual Unds]]*GUAYAQUIL[[#This Row],[Gramaje]]*GUAYAQUIL[[#This Row],[Conversión]]),"")</f>
        <v>16.2</v>
      </c>
      <c r="W525" s="270">
        <f t="shared" si="43"/>
        <v>9</v>
      </c>
      <c r="X525" s="32">
        <f t="shared" si="44"/>
        <v>0.8</v>
      </c>
      <c r="Y525" s="236">
        <f>IFERROR(VLOOKUP(GUAYAQUIL[[#This Row],[CODIGO]],MAESTRO!A:BI,21,FALSE),0)</f>
        <v>0.231765</v>
      </c>
      <c r="Z525" s="237">
        <f>+IFERROR(IF(GUAYAQUIL[[#This Row],[CODIGO]]="","",GUAYAQUIL[[#This Row],[COSTO UNIT base]]*GUAYAQUIL[[#This Row],[Conversión]]),"")</f>
        <v>0.231765</v>
      </c>
      <c r="AA525" s="236">
        <f>+IFERROR(IF(GUAYAQUIL[[#This Row],[CODIGO]]="","",GUAYAQUIL[[#This Row],[COSTO UNIT Conv]]*GUAYAQUIL[[#This Row],[Stock Actual Kgs]]),"")</f>
        <v>3.7545929999999998</v>
      </c>
      <c r="AB525" s="33">
        <f ca="1">+IFERROR(IF(GUAYAQUIL[[#This Row],[CODIGO]]="","",$J$3-O525),"")</f>
        <v>14</v>
      </c>
      <c r="AC525" s="34" t="str">
        <f ca="1">IF(GUAYAQUIL[[#This Row],[CODIGO]]="","",IF(S525&lt;=0,"CADUCADO",IF(AND(S525&gt;0,S525&lt;=21),"FECHA CORTA",IF(AND(S525&gt;=22,S525&lt;=26),"PROXIMOS FECHA CORTA", "VIGENTE"))))</f>
        <v>FECHA CORTA</v>
      </c>
      <c r="AD525" s="37">
        <f>+IF(GUAYAQUIL[[#This Row],[CODIGO]]="","",GUAYAQUIL[[#This Row],[Stock Actual Unds]]*GUAYAQUIL[[#This Row],[Gramaje]]*GUAYAQUIL[[#This Row],[Conversión]])/1000</f>
        <v>1.6199999999999999E-2</v>
      </c>
    </row>
    <row r="526" spans="1:30">
      <c r="A526" s="24" t="str">
        <f>+IFERROR(IF(GUAYAQUIL[[#This Row],[CODIGO]]="","",VLOOKUP(GUAYAQUIL[[#This Row],[CODIGO]],MAESTRO!$A:$J,10,FALSE)),"")</f>
        <v>MACHACHI</v>
      </c>
      <c r="B526" s="24" t="str">
        <f>+IFERROR(IF(GUAYAQUIL[[#This Row],[CODIGO]]="","",VLOOKUP(GUAYAQUIL[[#This Row],[CODIGO]],MAESTRO!$A:$Q,17,FALSE)),"")</f>
        <v>BEBIDAS LACTEAS</v>
      </c>
      <c r="C526" s="24" t="str">
        <f>+IFERROR(IF(GUAYAQUIL[[#This Row],[CODIGO]]="","",VLOOKUP(GUAYAQUIL[[#This Row],[CODIGO]],MAESTRO!$A:$BA,53,FALSE)),"")</f>
        <v xml:space="preserve">Luis Armendariz                         </v>
      </c>
      <c r="D526" s="24" t="str">
        <f>+IFERROR(IF(GUAYAQUIL[[#This Row],[CODIGO]]="","",VLOOKUP(GUAYAQUIL[[#This Row],[CODIGO]],MAESTRO!$A:$D,4,FALSE)),"")</f>
        <v>REGENERIS</v>
      </c>
      <c r="E526" s="24" t="str">
        <f>+IFERROR(IF(GUAYAQUIL[[#This Row],[CODIGO]]="","",VLOOKUP(GUAYAQUIL[[#This Row],[CODIGO]],MAESTRO!$A:$F,6,FALSE)),"")</f>
        <v>REGENERIS REGULAR VASO</v>
      </c>
      <c r="F526" s="42" t="str">
        <f>IF(GUAYAQUIL[[#This Row],[CODIGO]]="","",$K$6)</f>
        <v>GUAYAQUIL</v>
      </c>
      <c r="G526" s="42">
        <f>IF(GUAYAQUIL[[#This Row],[CODIGO]]="","",7711)</f>
        <v>7711</v>
      </c>
      <c r="H526" s="42">
        <f>IF(GUAYAQUIL[[#This Row],[CODIGO]]="","",1001)</f>
        <v>1001</v>
      </c>
      <c r="I526" s="258" t="s">
        <v>2918</v>
      </c>
      <c r="J526" s="25" t="str">
        <f>IFERROR((VLOOKUP(GUAYAQUIL[[#This Row],[CODIGO]],MAESTRO!A:B,2,FALSE)),"")</f>
        <v>RGN TZOS DZNO VASO 150G</v>
      </c>
      <c r="K526" s="35">
        <v>216</v>
      </c>
      <c r="L526" s="38">
        <f>+IFERROR(IF(GUAYAQUIL[[#This Row],[CODIGO]]="","",VLOOKUP(GUAYAQUIL[[#This Row],[CODIGO]],MAESTRO!$A:$BF,58,FALSE)),"")</f>
        <v>1</v>
      </c>
      <c r="M526" s="27">
        <f>+IFERROR(IF(GUAYAQUIL[[#This Row],[CODIGO]]="","",VLOOKUP(GUAYAQUIL[[#This Row],[CODIGO]],MAESTRO!A:N,14,FALSE)),"")</f>
        <v>0.15</v>
      </c>
      <c r="N526" s="28">
        <f>+IFERROR(IF(GUAYAQUIL[[#This Row],[CODIGO]]="","",VLOOKUP(GUAYAQUIL[[#This Row],[CODIGO]],MAESTRO!A:P,16,FALSE)),"")</f>
        <v>45</v>
      </c>
      <c r="O526" s="45">
        <v>45615</v>
      </c>
      <c r="P526" s="72" t="str">
        <f t="shared" si="40"/>
        <v>martes</v>
      </c>
      <c r="Q526" s="29">
        <f>IFERROR(IF(GUAYAQUIL[[#This Row],[CODIGO]]="","",IF(GUAYAQUIL[[#This Row],[Fecha Cad]]="","",(GUAYAQUIL[[#This Row],[Fecha Cad]]-GUAYAQUIL[[#This Row],[VIDA UTIL (Días)]]))+1),"")</f>
        <v>45604</v>
      </c>
      <c r="R526" s="45">
        <v>45648</v>
      </c>
      <c r="S526" s="30">
        <f t="shared" ca="1" si="41"/>
        <v>24</v>
      </c>
      <c r="T526" s="31">
        <f t="shared" ca="1" si="42"/>
        <v>0.53333333333333333</v>
      </c>
      <c r="U526" s="286">
        <v>216</v>
      </c>
      <c r="V526" s="265">
        <f>+IFERROR(IF(GUAYAQUIL[[#This Row],[CODIGO]]="","",GUAYAQUIL[[#This Row],[Stock Actual Unds]]*GUAYAQUIL[[#This Row],[Gramaje]]*GUAYAQUIL[[#This Row],[Conversión]]),"")</f>
        <v>32.4</v>
      </c>
      <c r="W526" s="270">
        <f t="shared" si="43"/>
        <v>11</v>
      </c>
      <c r="X526" s="32">
        <f t="shared" si="44"/>
        <v>0.75555555555555554</v>
      </c>
      <c r="Y526" s="236">
        <f>IFERROR(VLOOKUP(GUAYAQUIL[[#This Row],[CODIGO]],MAESTRO!A:BI,21,FALSE),0)</f>
        <v>0.231765</v>
      </c>
      <c r="Z526" s="237">
        <f>+IFERROR(IF(GUAYAQUIL[[#This Row],[CODIGO]]="","",GUAYAQUIL[[#This Row],[COSTO UNIT base]]*GUAYAQUIL[[#This Row],[Conversión]]),"")</f>
        <v>0.231765</v>
      </c>
      <c r="AA526" s="236">
        <f>+IFERROR(IF(GUAYAQUIL[[#This Row],[CODIGO]]="","",GUAYAQUIL[[#This Row],[COSTO UNIT Conv]]*GUAYAQUIL[[#This Row],[Stock Actual Kgs]]),"")</f>
        <v>7.5091859999999997</v>
      </c>
      <c r="AB526" s="33">
        <f ca="1">+IFERROR(IF(GUAYAQUIL[[#This Row],[CODIGO]]="","",$J$3-O526),"")</f>
        <v>9</v>
      </c>
      <c r="AC526" s="34" t="str">
        <f ca="1">IF(GUAYAQUIL[[#This Row],[CODIGO]]="","",IF(S526&lt;=0,"CADUCADO",IF(AND(S526&gt;0,S526&lt;=21),"FECHA CORTA",IF(AND(S526&gt;=22,S526&lt;=26),"PROXIMOS FECHA CORTA", "VIGENTE"))))</f>
        <v>PROXIMOS FECHA CORTA</v>
      </c>
      <c r="AD526" s="37">
        <f>+IF(GUAYAQUIL[[#This Row],[CODIGO]]="","",GUAYAQUIL[[#This Row],[Stock Actual Unds]]*GUAYAQUIL[[#This Row],[Gramaje]]*GUAYAQUIL[[#This Row],[Conversión]])/1000</f>
        <v>3.2399999999999998E-2</v>
      </c>
    </row>
    <row r="527" spans="1:30">
      <c r="A527" s="24" t="str">
        <f>+IFERROR(IF(GUAYAQUIL[[#This Row],[CODIGO]]="","",VLOOKUP(GUAYAQUIL[[#This Row],[CODIGO]],MAESTRO!$A:$J,10,FALSE)),"")</f>
        <v>MACHACHI</v>
      </c>
      <c r="B527" s="24" t="str">
        <f>+IFERROR(IF(GUAYAQUIL[[#This Row],[CODIGO]]="","",VLOOKUP(GUAYAQUIL[[#This Row],[CODIGO]],MAESTRO!$A:$Q,17,FALSE)),"")</f>
        <v>BEBIDAS LACTEAS</v>
      </c>
      <c r="C527" s="24" t="str">
        <f>+IFERROR(IF(GUAYAQUIL[[#This Row],[CODIGO]]="","",VLOOKUP(GUAYAQUIL[[#This Row],[CODIGO]],MAESTRO!$A:$BA,53,FALSE)),"")</f>
        <v xml:space="preserve">Luis Armendariz                         </v>
      </c>
      <c r="D527" s="24" t="str">
        <f>+IFERROR(IF(GUAYAQUIL[[#This Row],[CODIGO]]="","",VLOOKUP(GUAYAQUIL[[#This Row],[CODIGO]],MAESTRO!$A:$D,4,FALSE)),"")</f>
        <v>REGENERIS</v>
      </c>
      <c r="E527" s="24" t="str">
        <f>+IFERROR(IF(GUAYAQUIL[[#This Row],[CODIGO]]="","",VLOOKUP(GUAYAQUIL[[#This Row],[CODIGO]],MAESTRO!$A:$F,6,FALSE)),"")</f>
        <v>REGENERIS REGULAR VASO</v>
      </c>
      <c r="F527" s="42" t="str">
        <f>IF(GUAYAQUIL[[#This Row],[CODIGO]]="","",$K$6)</f>
        <v>GUAYAQUIL</v>
      </c>
      <c r="G527" s="209">
        <f>IF(GUAYAQUIL[[#This Row],[CODIGO]]="","",7711)</f>
        <v>7711</v>
      </c>
      <c r="H527" s="209">
        <f>IF(GUAYAQUIL[[#This Row],[CODIGO]]="","",1001)</f>
        <v>1001</v>
      </c>
      <c r="I527" s="258" t="s">
        <v>2921</v>
      </c>
      <c r="J527" s="25" t="str">
        <f>IFERROR((VLOOKUP(GUAYAQUIL[[#This Row],[CODIGO]],MAESTRO!A:B,2,FALSE)),"")</f>
        <v>RGN TZOS FTLLA VASO 150G</v>
      </c>
      <c r="K527" s="35">
        <v>216</v>
      </c>
      <c r="L527" s="38">
        <f>+IFERROR(IF(GUAYAQUIL[[#This Row],[CODIGO]]="","",VLOOKUP(GUAYAQUIL[[#This Row],[CODIGO]],MAESTRO!$A:$BF,58,FALSE)),"")</f>
        <v>1</v>
      </c>
      <c r="M527" s="27">
        <f>+IFERROR(IF(GUAYAQUIL[[#This Row],[CODIGO]]="","",VLOOKUP(GUAYAQUIL[[#This Row],[CODIGO]],MAESTRO!A:N,14,FALSE)),"")</f>
        <v>0.15</v>
      </c>
      <c r="N527" s="28">
        <f>+IFERROR(IF(GUAYAQUIL[[#This Row],[CODIGO]]="","",VLOOKUP(GUAYAQUIL[[#This Row],[CODIGO]],MAESTRO!A:P,16,FALSE)),"")</f>
        <v>45</v>
      </c>
      <c r="O527" s="45">
        <v>45603</v>
      </c>
      <c r="P527" s="72" t="str">
        <f t="shared" si="40"/>
        <v>jueves</v>
      </c>
      <c r="Q527" s="29">
        <f>IFERROR(IF(GUAYAQUIL[[#This Row],[CODIGO]]="","",IF(GUAYAQUIL[[#This Row],[Fecha Cad]]="","",(GUAYAQUIL[[#This Row],[Fecha Cad]]-GUAYAQUIL[[#This Row],[VIDA UTIL (Días)]]))+1),"")</f>
        <v>45595</v>
      </c>
      <c r="R527" s="45">
        <v>45639</v>
      </c>
      <c r="S527" s="30">
        <f t="shared" ca="1" si="41"/>
        <v>15</v>
      </c>
      <c r="T527" s="31">
        <f t="shared" ca="1" si="42"/>
        <v>0.33333333333333331</v>
      </c>
      <c r="U527" s="286">
        <v>155</v>
      </c>
      <c r="V527" s="265">
        <f>+IFERROR(IF(GUAYAQUIL[[#This Row],[CODIGO]]="","",GUAYAQUIL[[#This Row],[Stock Actual Unds]]*GUAYAQUIL[[#This Row],[Gramaje]]*GUAYAQUIL[[#This Row],[Conversión]]),"")</f>
        <v>23.25</v>
      </c>
      <c r="W527" s="270">
        <f t="shared" si="43"/>
        <v>8</v>
      </c>
      <c r="X527" s="32">
        <f t="shared" si="44"/>
        <v>0.82222222222222219</v>
      </c>
      <c r="Y527" s="236">
        <f>IFERROR(VLOOKUP(GUAYAQUIL[[#This Row],[CODIGO]],MAESTRO!A:BI,21,FALSE),0)</f>
        <v>0.234985</v>
      </c>
      <c r="Z527" s="237">
        <f>+IFERROR(IF(GUAYAQUIL[[#This Row],[CODIGO]]="","",GUAYAQUIL[[#This Row],[COSTO UNIT base]]*GUAYAQUIL[[#This Row],[Conversión]]),"")</f>
        <v>0.234985</v>
      </c>
      <c r="AA527" s="236">
        <f>+IFERROR(IF(GUAYAQUIL[[#This Row],[CODIGO]]="","",GUAYAQUIL[[#This Row],[COSTO UNIT Conv]]*GUAYAQUIL[[#This Row],[Stock Actual Kgs]]),"")</f>
        <v>5.4634012500000004</v>
      </c>
      <c r="AB527" s="33">
        <f ca="1">+IFERROR(IF(GUAYAQUIL[[#This Row],[CODIGO]]="","",$J$3-O527),"")</f>
        <v>21</v>
      </c>
      <c r="AC527" s="34" t="str">
        <f ca="1">IF(GUAYAQUIL[[#This Row],[CODIGO]]="","",IF(S527&lt;=0,"CADUCADO",IF(AND(S527&gt;0,S527&lt;=21),"FECHA CORTA",IF(AND(S527&gt;=22,S527&lt;=26),"PROXIMOS FECHA CORTA", "VIGENTE"))))</f>
        <v>FECHA CORTA</v>
      </c>
      <c r="AD527" s="37">
        <f>+IF(GUAYAQUIL[[#This Row],[CODIGO]]="","",GUAYAQUIL[[#This Row],[Stock Actual Unds]]*GUAYAQUIL[[#This Row],[Gramaje]]*GUAYAQUIL[[#This Row],[Conversión]])/1000</f>
        <v>2.325E-2</v>
      </c>
    </row>
    <row r="528" spans="1:30">
      <c r="A528" s="24" t="str">
        <f>+IFERROR(IF(GUAYAQUIL[[#This Row],[CODIGO]]="","",VLOOKUP(GUAYAQUIL[[#This Row],[CODIGO]],MAESTRO!$A:$J,10,FALSE)),"")</f>
        <v>MACHACHI</v>
      </c>
      <c r="B528" s="24" t="str">
        <f>+IFERROR(IF(GUAYAQUIL[[#This Row],[CODIGO]]="","",VLOOKUP(GUAYAQUIL[[#This Row],[CODIGO]],MAESTRO!$A:$Q,17,FALSE)),"")</f>
        <v>BEBIDAS LACTEAS</v>
      </c>
      <c r="C528" s="24" t="str">
        <f>+IFERROR(IF(GUAYAQUIL[[#This Row],[CODIGO]]="","",VLOOKUP(GUAYAQUIL[[#This Row],[CODIGO]],MAESTRO!$A:$BA,53,FALSE)),"")</f>
        <v xml:space="preserve">Luis Armendariz                         </v>
      </c>
      <c r="D528" s="24" t="str">
        <f>+IFERROR(IF(GUAYAQUIL[[#This Row],[CODIGO]]="","",VLOOKUP(GUAYAQUIL[[#This Row],[CODIGO]],MAESTRO!$A:$D,4,FALSE)),"")</f>
        <v>REGENERIS</v>
      </c>
      <c r="E528" s="24" t="str">
        <f>+IFERROR(IF(GUAYAQUIL[[#This Row],[CODIGO]]="","",VLOOKUP(GUAYAQUIL[[#This Row],[CODIGO]],MAESTRO!$A:$F,6,FALSE)),"")</f>
        <v>REGENERIS REGULAR VASO</v>
      </c>
      <c r="F528" s="42" t="str">
        <f>IF(GUAYAQUIL[[#This Row],[CODIGO]]="","",$K$6)</f>
        <v>GUAYAQUIL</v>
      </c>
      <c r="G528" s="42">
        <f>IF(GUAYAQUIL[[#This Row],[CODIGO]]="","",7711)</f>
        <v>7711</v>
      </c>
      <c r="H528" s="42">
        <f>IF(GUAYAQUIL[[#This Row],[CODIGO]]="","",1001)</f>
        <v>1001</v>
      </c>
      <c r="I528" s="258" t="s">
        <v>2921</v>
      </c>
      <c r="J528" s="25" t="str">
        <f>IFERROR((VLOOKUP(GUAYAQUIL[[#This Row],[CODIGO]],MAESTRO!A:B,2,FALSE)),"")</f>
        <v>RGN TZOS FTLLA VASO 150G</v>
      </c>
      <c r="K528" s="35">
        <v>108</v>
      </c>
      <c r="L528" s="38">
        <f>+IFERROR(IF(GUAYAQUIL[[#This Row],[CODIGO]]="","",VLOOKUP(GUAYAQUIL[[#This Row],[CODIGO]],MAESTRO!$A:$BF,58,FALSE)),"")</f>
        <v>1</v>
      </c>
      <c r="M528" s="27">
        <f>+IFERROR(IF(GUAYAQUIL[[#This Row],[CODIGO]]="","",VLOOKUP(GUAYAQUIL[[#This Row],[CODIGO]],MAESTRO!A:N,14,FALSE)),"")</f>
        <v>0.15</v>
      </c>
      <c r="N528" s="28">
        <f>+IFERROR(IF(GUAYAQUIL[[#This Row],[CODIGO]]="","",VLOOKUP(GUAYAQUIL[[#This Row],[CODIGO]],MAESTRO!A:P,16,FALSE)),"")</f>
        <v>45</v>
      </c>
      <c r="O528" s="45">
        <v>45605</v>
      </c>
      <c r="P528" s="72" t="str">
        <f t="shared" si="40"/>
        <v>sábado</v>
      </c>
      <c r="Q528" s="29">
        <f>IFERROR(IF(GUAYAQUIL[[#This Row],[CODIGO]]="","",IF(GUAYAQUIL[[#This Row],[Fecha Cad]]="","",(GUAYAQUIL[[#This Row],[Fecha Cad]]-GUAYAQUIL[[#This Row],[VIDA UTIL (Días)]]))+1),"")</f>
        <v>45600</v>
      </c>
      <c r="R528" s="45">
        <v>45644</v>
      </c>
      <c r="S528" s="30">
        <f t="shared" ca="1" si="41"/>
        <v>20</v>
      </c>
      <c r="T528" s="31">
        <f t="shared" ca="1" si="42"/>
        <v>0.44444444444444442</v>
      </c>
      <c r="U528" s="286">
        <v>110</v>
      </c>
      <c r="V528" s="265">
        <f>+IFERROR(IF(GUAYAQUIL[[#This Row],[CODIGO]]="","",GUAYAQUIL[[#This Row],[Stock Actual Unds]]*GUAYAQUIL[[#This Row],[Gramaje]]*GUAYAQUIL[[#This Row],[Conversión]]),"")</f>
        <v>16.5</v>
      </c>
      <c r="W528" s="270">
        <f t="shared" si="43"/>
        <v>5</v>
      </c>
      <c r="X528" s="32">
        <f t="shared" si="44"/>
        <v>0.88888888888888884</v>
      </c>
      <c r="Y528" s="236">
        <f>IFERROR(VLOOKUP(GUAYAQUIL[[#This Row],[CODIGO]],MAESTRO!A:BI,21,FALSE),0)</f>
        <v>0.234985</v>
      </c>
      <c r="Z528" s="237">
        <f>+IFERROR(IF(GUAYAQUIL[[#This Row],[CODIGO]]="","",GUAYAQUIL[[#This Row],[COSTO UNIT base]]*GUAYAQUIL[[#This Row],[Conversión]]),"")</f>
        <v>0.234985</v>
      </c>
      <c r="AA528" s="236">
        <f>+IFERROR(IF(GUAYAQUIL[[#This Row],[CODIGO]]="","",GUAYAQUIL[[#This Row],[COSTO UNIT Conv]]*GUAYAQUIL[[#This Row],[Stock Actual Kgs]]),"")</f>
        <v>3.8772525</v>
      </c>
      <c r="AB528" s="33">
        <f ca="1">+IFERROR(IF(GUAYAQUIL[[#This Row],[CODIGO]]="","",$J$3-O528),"")</f>
        <v>19</v>
      </c>
      <c r="AC528" s="34" t="str">
        <f ca="1">IF(GUAYAQUIL[[#This Row],[CODIGO]]="","",IF(S528&lt;=0,"CADUCADO",IF(AND(S528&gt;0,S528&lt;=21),"FECHA CORTA",IF(AND(S528&gt;=22,S528&lt;=26),"PROXIMOS FECHA CORTA", "VIGENTE"))))</f>
        <v>FECHA CORTA</v>
      </c>
      <c r="AD528" s="37">
        <f>+IF(GUAYAQUIL[[#This Row],[CODIGO]]="","",GUAYAQUIL[[#This Row],[Stock Actual Unds]]*GUAYAQUIL[[#This Row],[Gramaje]]*GUAYAQUIL[[#This Row],[Conversión]])/1000</f>
        <v>1.6500000000000001E-2</v>
      </c>
    </row>
    <row r="529" spans="1:30">
      <c r="A529" s="24" t="str">
        <f>+IFERROR(IF(GUAYAQUIL[[#This Row],[CODIGO]]="","",VLOOKUP(GUAYAQUIL[[#This Row],[CODIGO]],MAESTRO!$A:$J,10,FALSE)),"")</f>
        <v>MACHACHI</v>
      </c>
      <c r="B529" s="24" t="str">
        <f>+IFERROR(IF(GUAYAQUIL[[#This Row],[CODIGO]]="","",VLOOKUP(GUAYAQUIL[[#This Row],[CODIGO]],MAESTRO!$A:$Q,17,FALSE)),"")</f>
        <v>BEBIDAS LACTEAS</v>
      </c>
      <c r="C529" s="24" t="str">
        <f>+IFERROR(IF(GUAYAQUIL[[#This Row],[CODIGO]]="","",VLOOKUP(GUAYAQUIL[[#This Row],[CODIGO]],MAESTRO!$A:$BA,53,FALSE)),"")</f>
        <v xml:space="preserve">Luis Armendariz                         </v>
      </c>
      <c r="D529" s="24" t="str">
        <f>+IFERROR(IF(GUAYAQUIL[[#This Row],[CODIGO]]="","",VLOOKUP(GUAYAQUIL[[#This Row],[CODIGO]],MAESTRO!$A:$D,4,FALSE)),"")</f>
        <v>REGENERIS</v>
      </c>
      <c r="E529" s="24" t="str">
        <f>+IFERROR(IF(GUAYAQUIL[[#This Row],[CODIGO]]="","",VLOOKUP(GUAYAQUIL[[#This Row],[CODIGO]],MAESTRO!$A:$F,6,FALSE)),"")</f>
        <v>REGENERIS REGULAR VASO</v>
      </c>
      <c r="F529" s="42" t="str">
        <f>IF(GUAYAQUIL[[#This Row],[CODIGO]]="","",$K$6)</f>
        <v>GUAYAQUIL</v>
      </c>
      <c r="G529" s="209">
        <f>IF(GUAYAQUIL[[#This Row],[CODIGO]]="","",7711)</f>
        <v>7711</v>
      </c>
      <c r="H529" s="209">
        <f>IF(GUAYAQUIL[[#This Row],[CODIGO]]="","",1001)</f>
        <v>1001</v>
      </c>
      <c r="I529" s="258" t="s">
        <v>2921</v>
      </c>
      <c r="J529" s="25" t="str">
        <f>IFERROR((VLOOKUP(GUAYAQUIL[[#This Row],[CODIGO]],MAESTRO!A:B,2,FALSE)),"")</f>
        <v>RGN TZOS FTLLA VASO 150G</v>
      </c>
      <c r="K529" s="35">
        <v>108</v>
      </c>
      <c r="L529" s="38">
        <f>+IFERROR(IF(GUAYAQUIL[[#This Row],[CODIGO]]="","",VLOOKUP(GUAYAQUIL[[#This Row],[CODIGO]],MAESTRO!$A:$BF,58,FALSE)),"")</f>
        <v>1</v>
      </c>
      <c r="M529" s="27">
        <f>+IFERROR(IF(GUAYAQUIL[[#This Row],[CODIGO]]="","",VLOOKUP(GUAYAQUIL[[#This Row],[CODIGO]],MAESTRO!A:N,14,FALSE)),"")</f>
        <v>0.15</v>
      </c>
      <c r="N529" s="28">
        <f>+IFERROR(IF(GUAYAQUIL[[#This Row],[CODIGO]]="","",VLOOKUP(GUAYAQUIL[[#This Row],[CODIGO]],MAESTRO!A:P,16,FALSE)),"")</f>
        <v>45</v>
      </c>
      <c r="O529" s="45">
        <v>45608</v>
      </c>
      <c r="P529" s="72" t="str">
        <f t="shared" si="40"/>
        <v>martes</v>
      </c>
      <c r="Q529" s="29">
        <f>IFERROR(IF(GUAYAQUIL[[#This Row],[CODIGO]]="","",IF(GUAYAQUIL[[#This Row],[Fecha Cad]]="","",(GUAYAQUIL[[#This Row],[Fecha Cad]]-GUAYAQUIL[[#This Row],[VIDA UTIL (Días)]]))+1),"")</f>
        <v>45596</v>
      </c>
      <c r="R529" s="45">
        <v>45640</v>
      </c>
      <c r="S529" s="30">
        <f t="shared" ca="1" si="41"/>
        <v>16</v>
      </c>
      <c r="T529" s="31">
        <f t="shared" ca="1" si="42"/>
        <v>0.35555555555555557</v>
      </c>
      <c r="U529" s="286">
        <v>73</v>
      </c>
      <c r="V529" s="265">
        <f>+IFERROR(IF(GUAYAQUIL[[#This Row],[CODIGO]]="","",GUAYAQUIL[[#This Row],[Stock Actual Unds]]*GUAYAQUIL[[#This Row],[Gramaje]]*GUAYAQUIL[[#This Row],[Conversión]]),"")</f>
        <v>10.95</v>
      </c>
      <c r="W529" s="270">
        <f t="shared" si="43"/>
        <v>12</v>
      </c>
      <c r="X529" s="32">
        <f t="shared" si="44"/>
        <v>0.73333333333333339</v>
      </c>
      <c r="Y529" s="236">
        <f>IFERROR(VLOOKUP(GUAYAQUIL[[#This Row],[CODIGO]],MAESTRO!A:BI,21,FALSE),0)</f>
        <v>0.234985</v>
      </c>
      <c r="Z529" s="237">
        <f>+IFERROR(IF(GUAYAQUIL[[#This Row],[CODIGO]]="","",GUAYAQUIL[[#This Row],[COSTO UNIT base]]*GUAYAQUIL[[#This Row],[Conversión]]),"")</f>
        <v>0.234985</v>
      </c>
      <c r="AA529" s="236">
        <f>+IFERROR(IF(GUAYAQUIL[[#This Row],[CODIGO]]="","",GUAYAQUIL[[#This Row],[COSTO UNIT Conv]]*GUAYAQUIL[[#This Row],[Stock Actual Kgs]]),"")</f>
        <v>2.5730857499999997</v>
      </c>
      <c r="AB529" s="33">
        <f ca="1">+IFERROR(IF(GUAYAQUIL[[#This Row],[CODIGO]]="","",$J$3-O529),"")</f>
        <v>16</v>
      </c>
      <c r="AC529" s="34" t="str">
        <f ca="1">IF(GUAYAQUIL[[#This Row],[CODIGO]]="","",IF(S529&lt;=0,"CADUCADO",IF(AND(S529&gt;0,S529&lt;=21),"FECHA CORTA",IF(AND(S529&gt;=22,S529&lt;=26),"PROXIMOS FECHA CORTA", "VIGENTE"))))</f>
        <v>FECHA CORTA</v>
      </c>
      <c r="AD529" s="37">
        <f>+IF(GUAYAQUIL[[#This Row],[CODIGO]]="","",GUAYAQUIL[[#This Row],[Stock Actual Unds]]*GUAYAQUIL[[#This Row],[Gramaje]]*GUAYAQUIL[[#This Row],[Conversión]])/1000</f>
        <v>1.095E-2</v>
      </c>
    </row>
    <row r="530" spans="1:30">
      <c r="A530" s="24" t="str">
        <f>+IFERROR(IF(GUAYAQUIL[[#This Row],[CODIGO]]="","",VLOOKUP(GUAYAQUIL[[#This Row],[CODIGO]],MAESTRO!$A:$J,10,FALSE)),"")</f>
        <v>MACHACHI</v>
      </c>
      <c r="B530" s="24" t="str">
        <f>+IFERROR(IF(GUAYAQUIL[[#This Row],[CODIGO]]="","",VLOOKUP(GUAYAQUIL[[#This Row],[CODIGO]],MAESTRO!$A:$Q,17,FALSE)),"")</f>
        <v>BEBIDAS LACTEAS</v>
      </c>
      <c r="C530" s="24" t="str">
        <f>+IFERROR(IF(GUAYAQUIL[[#This Row],[CODIGO]]="","",VLOOKUP(GUAYAQUIL[[#This Row],[CODIGO]],MAESTRO!$A:$BA,53,FALSE)),"")</f>
        <v xml:space="preserve">Luis Armendariz                         </v>
      </c>
      <c r="D530" s="24" t="str">
        <f>+IFERROR(IF(GUAYAQUIL[[#This Row],[CODIGO]]="","",VLOOKUP(GUAYAQUIL[[#This Row],[CODIGO]],MAESTRO!$A:$D,4,FALSE)),"")</f>
        <v>REGENERIS</v>
      </c>
      <c r="E530" s="24" t="str">
        <f>+IFERROR(IF(GUAYAQUIL[[#This Row],[CODIGO]]="","",VLOOKUP(GUAYAQUIL[[#This Row],[CODIGO]],MAESTRO!$A:$F,6,FALSE)),"")</f>
        <v>REGENERIS REGULAR VASO</v>
      </c>
      <c r="F530" s="42" t="str">
        <f>IF(GUAYAQUIL[[#This Row],[CODIGO]]="","",$K$6)</f>
        <v>GUAYAQUIL</v>
      </c>
      <c r="G530" s="42">
        <f>IF(GUAYAQUIL[[#This Row],[CODIGO]]="","",7711)</f>
        <v>7711</v>
      </c>
      <c r="H530" s="42">
        <f>IF(GUAYAQUIL[[#This Row],[CODIGO]]="","",1001)</f>
        <v>1001</v>
      </c>
      <c r="I530" s="258" t="s">
        <v>2921</v>
      </c>
      <c r="J530" s="25" t="str">
        <f>IFERROR((VLOOKUP(GUAYAQUIL[[#This Row],[CODIGO]],MAESTRO!A:B,2,FALSE)),"")</f>
        <v>RGN TZOS FTLLA VASO 150G</v>
      </c>
      <c r="K530" s="35">
        <v>108</v>
      </c>
      <c r="L530" s="38">
        <f>+IFERROR(IF(GUAYAQUIL[[#This Row],[CODIGO]]="","",VLOOKUP(GUAYAQUIL[[#This Row],[CODIGO]],MAESTRO!$A:$BF,58,FALSE)),"")</f>
        <v>1</v>
      </c>
      <c r="M530" s="27">
        <f>+IFERROR(IF(GUAYAQUIL[[#This Row],[CODIGO]]="","",VLOOKUP(GUAYAQUIL[[#This Row],[CODIGO]],MAESTRO!A:N,14,FALSE)),"")</f>
        <v>0.15</v>
      </c>
      <c r="N530" s="28">
        <f>+IFERROR(IF(GUAYAQUIL[[#This Row],[CODIGO]]="","",VLOOKUP(GUAYAQUIL[[#This Row],[CODIGO]],MAESTRO!A:P,16,FALSE)),"")</f>
        <v>45</v>
      </c>
      <c r="O530" s="45">
        <v>45612</v>
      </c>
      <c r="P530" s="72" t="str">
        <f t="shared" si="40"/>
        <v>sábado</v>
      </c>
      <c r="Q530" s="29">
        <f>IFERROR(IF(GUAYAQUIL[[#This Row],[CODIGO]]="","",IF(GUAYAQUIL[[#This Row],[Fecha Cad]]="","",(GUAYAQUIL[[#This Row],[Fecha Cad]]-GUAYAQUIL[[#This Row],[VIDA UTIL (Días)]]))+1),"")</f>
        <v>45601</v>
      </c>
      <c r="R530" s="45">
        <v>45645</v>
      </c>
      <c r="S530" s="30">
        <f t="shared" ca="1" si="41"/>
        <v>21</v>
      </c>
      <c r="T530" s="31">
        <f t="shared" ca="1" si="42"/>
        <v>0.46666666666666667</v>
      </c>
      <c r="U530" s="286">
        <v>108</v>
      </c>
      <c r="V530" s="265">
        <f>+IFERROR(IF(GUAYAQUIL[[#This Row],[CODIGO]]="","",GUAYAQUIL[[#This Row],[Stock Actual Unds]]*GUAYAQUIL[[#This Row],[Gramaje]]*GUAYAQUIL[[#This Row],[Conversión]]),"")</f>
        <v>16.2</v>
      </c>
      <c r="W530" s="270">
        <f t="shared" si="43"/>
        <v>11</v>
      </c>
      <c r="X530" s="32">
        <f t="shared" si="44"/>
        <v>0.75555555555555554</v>
      </c>
      <c r="Y530" s="236">
        <f>IFERROR(VLOOKUP(GUAYAQUIL[[#This Row],[CODIGO]],MAESTRO!A:BI,21,FALSE),0)</f>
        <v>0.234985</v>
      </c>
      <c r="Z530" s="237">
        <f>+IFERROR(IF(GUAYAQUIL[[#This Row],[CODIGO]]="","",GUAYAQUIL[[#This Row],[COSTO UNIT base]]*GUAYAQUIL[[#This Row],[Conversión]]),"")</f>
        <v>0.234985</v>
      </c>
      <c r="AA530" s="236">
        <f>+IFERROR(IF(GUAYAQUIL[[#This Row],[CODIGO]]="","",GUAYAQUIL[[#This Row],[COSTO UNIT Conv]]*GUAYAQUIL[[#This Row],[Stock Actual Kgs]]),"")</f>
        <v>3.8067569999999997</v>
      </c>
      <c r="AB530" s="33">
        <f ca="1">+IFERROR(IF(GUAYAQUIL[[#This Row],[CODIGO]]="","",$J$3-O530),"")</f>
        <v>12</v>
      </c>
      <c r="AC530" s="34" t="str">
        <f ca="1">IF(GUAYAQUIL[[#This Row],[CODIGO]]="","",IF(S530&lt;=0,"CADUCADO",IF(AND(S530&gt;0,S530&lt;=21),"FECHA CORTA",IF(AND(S530&gt;=22,S530&lt;=26),"PROXIMOS FECHA CORTA", "VIGENTE"))))</f>
        <v>FECHA CORTA</v>
      </c>
      <c r="AD530" s="37">
        <f>+IF(GUAYAQUIL[[#This Row],[CODIGO]]="","",GUAYAQUIL[[#This Row],[Stock Actual Unds]]*GUAYAQUIL[[#This Row],[Gramaje]]*GUAYAQUIL[[#This Row],[Conversión]])/1000</f>
        <v>1.6199999999999999E-2</v>
      </c>
    </row>
    <row r="531" spans="1:30">
      <c r="A531" s="24" t="str">
        <f>+IFERROR(IF(GUAYAQUIL[[#This Row],[CODIGO]]="","",VLOOKUP(GUAYAQUIL[[#This Row],[CODIGO]],MAESTRO!$A:$J,10,FALSE)),"")</f>
        <v>MACHACHI</v>
      </c>
      <c r="B531" s="24" t="str">
        <f>+IFERROR(IF(GUAYAQUIL[[#This Row],[CODIGO]]="","",VLOOKUP(GUAYAQUIL[[#This Row],[CODIGO]],MAESTRO!$A:$Q,17,FALSE)),"")</f>
        <v>BEBIDAS LACTEAS</v>
      </c>
      <c r="C531" s="24" t="str">
        <f>+IFERROR(IF(GUAYAQUIL[[#This Row],[CODIGO]]="","",VLOOKUP(GUAYAQUIL[[#This Row],[CODIGO]],MAESTRO!$A:$BA,53,FALSE)),"")</f>
        <v xml:space="preserve">Luis Armendariz                         </v>
      </c>
      <c r="D531" s="24" t="str">
        <f>+IFERROR(IF(GUAYAQUIL[[#This Row],[CODIGO]]="","",VLOOKUP(GUAYAQUIL[[#This Row],[CODIGO]],MAESTRO!$A:$D,4,FALSE)),"")</f>
        <v>REGENERIS</v>
      </c>
      <c r="E531" s="24" t="str">
        <f>+IFERROR(IF(GUAYAQUIL[[#This Row],[CODIGO]]="","",VLOOKUP(GUAYAQUIL[[#This Row],[CODIGO]],MAESTRO!$A:$F,6,FALSE)),"")</f>
        <v>REGENERIS REGULAR VASO</v>
      </c>
      <c r="F531" s="42" t="str">
        <f>IF(GUAYAQUIL[[#This Row],[CODIGO]]="","",$K$6)</f>
        <v>GUAYAQUIL</v>
      </c>
      <c r="G531" s="209">
        <f>IF(GUAYAQUIL[[#This Row],[CODIGO]]="","",7711)</f>
        <v>7711</v>
      </c>
      <c r="H531" s="209">
        <f>IF(GUAYAQUIL[[#This Row],[CODIGO]]="","",1001)</f>
        <v>1001</v>
      </c>
      <c r="I531" s="258" t="s">
        <v>2921</v>
      </c>
      <c r="J531" s="25" t="str">
        <f>IFERROR((VLOOKUP(GUAYAQUIL[[#This Row],[CODIGO]],MAESTRO!A:B,2,FALSE)),"")</f>
        <v>RGN TZOS FTLLA VASO 150G</v>
      </c>
      <c r="K531" s="35">
        <v>216</v>
      </c>
      <c r="L531" s="38">
        <f>+IFERROR(IF(GUAYAQUIL[[#This Row],[CODIGO]]="","",VLOOKUP(GUAYAQUIL[[#This Row],[CODIGO]],MAESTRO!$A:$BF,58,FALSE)),"")</f>
        <v>1</v>
      </c>
      <c r="M531" s="27">
        <f>+IFERROR(IF(GUAYAQUIL[[#This Row],[CODIGO]]="","",VLOOKUP(GUAYAQUIL[[#This Row],[CODIGO]],MAESTRO!A:N,14,FALSE)),"")</f>
        <v>0.15</v>
      </c>
      <c r="N531" s="28">
        <f>+IFERROR(IF(GUAYAQUIL[[#This Row],[CODIGO]]="","",VLOOKUP(GUAYAQUIL[[#This Row],[CODIGO]],MAESTRO!A:P,16,FALSE)),"")</f>
        <v>45</v>
      </c>
      <c r="O531" s="29">
        <v>45611</v>
      </c>
      <c r="P531" s="72" t="str">
        <f t="shared" si="40"/>
        <v>viernes</v>
      </c>
      <c r="Q531" s="29">
        <f>IFERROR(IF(GUAYAQUIL[[#This Row],[CODIGO]]="","",IF(GUAYAQUIL[[#This Row],[Fecha Cad]]="","",(GUAYAQUIL[[#This Row],[Fecha Cad]]-GUAYAQUIL[[#This Row],[VIDA UTIL (Días)]]))+1),"")</f>
        <v>45601</v>
      </c>
      <c r="R531" s="29">
        <v>45645</v>
      </c>
      <c r="S531" s="30">
        <f t="shared" ca="1" si="41"/>
        <v>21</v>
      </c>
      <c r="T531" s="31">
        <f t="shared" ca="1" si="42"/>
        <v>0.46666666666666667</v>
      </c>
      <c r="U531" s="286">
        <v>192</v>
      </c>
      <c r="V531" s="266">
        <f>+IFERROR(IF(GUAYAQUIL[[#This Row],[CODIGO]]="","",GUAYAQUIL[[#This Row],[Stock Actual Unds]]*GUAYAQUIL[[#This Row],[Gramaje]]*GUAYAQUIL[[#This Row],[Conversión]]),"")</f>
        <v>28.799999999999997</v>
      </c>
      <c r="W531" s="270">
        <f t="shared" si="43"/>
        <v>10</v>
      </c>
      <c r="X531" s="32">
        <f t="shared" si="44"/>
        <v>0.77777777777777779</v>
      </c>
      <c r="Y531" s="236">
        <f>IFERROR(VLOOKUP(GUAYAQUIL[[#This Row],[CODIGO]],MAESTRO!A:BI,21,FALSE),0)</f>
        <v>0.234985</v>
      </c>
      <c r="Z531" s="237">
        <f>+IFERROR(IF(GUAYAQUIL[[#This Row],[CODIGO]]="","",GUAYAQUIL[[#This Row],[COSTO UNIT base]]*GUAYAQUIL[[#This Row],[Conversión]]),"")</f>
        <v>0.234985</v>
      </c>
      <c r="AA531" s="236">
        <f>+IFERROR(IF(GUAYAQUIL[[#This Row],[CODIGO]]="","",GUAYAQUIL[[#This Row],[COSTO UNIT Conv]]*GUAYAQUIL[[#This Row],[Stock Actual Kgs]]),"")</f>
        <v>6.7675679999999989</v>
      </c>
      <c r="AB531" s="33">
        <f ca="1">+IFERROR(IF(GUAYAQUIL[[#This Row],[CODIGO]]="","",$J$3-O531),"")</f>
        <v>13</v>
      </c>
      <c r="AC531" s="34" t="str">
        <f ca="1">IF(GUAYAQUIL[[#This Row],[CODIGO]]="","",IF(S531&lt;=0,"CADUCADO",IF(AND(S531&gt;0,S531&lt;=21),"FECHA CORTA",IF(AND(S531&gt;=22,S531&lt;=26),"PROXIMOS FECHA CORTA", "VIGENTE"))))</f>
        <v>FECHA CORTA</v>
      </c>
      <c r="AD531" s="37">
        <f>+IF(GUAYAQUIL[[#This Row],[CODIGO]]="","",GUAYAQUIL[[#This Row],[Stock Actual Unds]]*GUAYAQUIL[[#This Row],[Gramaje]]*GUAYAQUIL[[#This Row],[Conversión]])/1000</f>
        <v>2.8799999999999996E-2</v>
      </c>
    </row>
    <row r="532" spans="1:30">
      <c r="A532" s="24" t="str">
        <f>+IFERROR(IF(GUAYAQUIL[[#This Row],[CODIGO]]="","",VLOOKUP(GUAYAQUIL[[#This Row],[CODIGO]],MAESTRO!$A:$J,10,FALSE)),"")</f>
        <v>MACHACHI</v>
      </c>
      <c r="B532" s="24" t="str">
        <f>+IFERROR(IF(GUAYAQUIL[[#This Row],[CODIGO]]="","",VLOOKUP(GUAYAQUIL[[#This Row],[CODIGO]],MAESTRO!$A:$Q,17,FALSE)),"")</f>
        <v>BEBIDAS LACTEAS</v>
      </c>
      <c r="C532" s="24" t="str">
        <f>+IFERROR(IF(GUAYAQUIL[[#This Row],[CODIGO]]="","",VLOOKUP(GUAYAQUIL[[#This Row],[CODIGO]],MAESTRO!$A:$BA,53,FALSE)),"")</f>
        <v xml:space="preserve">Luis Armendariz                         </v>
      </c>
      <c r="D532" s="24" t="str">
        <f>+IFERROR(IF(GUAYAQUIL[[#This Row],[CODIGO]]="","",VLOOKUP(GUAYAQUIL[[#This Row],[CODIGO]],MAESTRO!$A:$D,4,FALSE)),"")</f>
        <v>REGENERIS</v>
      </c>
      <c r="E532" s="24" t="str">
        <f>+IFERROR(IF(GUAYAQUIL[[#This Row],[CODIGO]]="","",VLOOKUP(GUAYAQUIL[[#This Row],[CODIGO]],MAESTRO!$A:$F,6,FALSE)),"")</f>
        <v>REGENERIS REGULAR VASO</v>
      </c>
      <c r="F532" s="42" t="str">
        <f>IF(GUAYAQUIL[[#This Row],[CODIGO]]="","",$K$6)</f>
        <v>GUAYAQUIL</v>
      </c>
      <c r="G532" s="42">
        <f>IF(GUAYAQUIL[[#This Row],[CODIGO]]="","",7711)</f>
        <v>7711</v>
      </c>
      <c r="H532" s="42">
        <f>IF(GUAYAQUIL[[#This Row],[CODIGO]]="","",1001)</f>
        <v>1001</v>
      </c>
      <c r="I532" s="258" t="s">
        <v>2921</v>
      </c>
      <c r="J532" s="25" t="str">
        <f>IFERROR((VLOOKUP(GUAYAQUIL[[#This Row],[CODIGO]],MAESTRO!A:B,2,FALSE)),"")</f>
        <v>RGN TZOS FTLLA VASO 150G</v>
      </c>
      <c r="K532" s="35">
        <v>216</v>
      </c>
      <c r="L532" s="38">
        <f>+IFERROR(IF(GUAYAQUIL[[#This Row],[CODIGO]]="","",VLOOKUP(GUAYAQUIL[[#This Row],[CODIGO]],MAESTRO!$A:$BF,58,FALSE)),"")</f>
        <v>1</v>
      </c>
      <c r="M532" s="27">
        <f>+IFERROR(IF(GUAYAQUIL[[#This Row],[CODIGO]]="","",VLOOKUP(GUAYAQUIL[[#This Row],[CODIGO]],MAESTRO!A:N,14,FALSE)),"")</f>
        <v>0.15</v>
      </c>
      <c r="N532" s="28">
        <f>+IFERROR(IF(GUAYAQUIL[[#This Row],[CODIGO]]="","",VLOOKUP(GUAYAQUIL[[#This Row],[CODIGO]],MAESTRO!A:P,16,FALSE)),"")</f>
        <v>45</v>
      </c>
      <c r="O532" s="29">
        <v>45615</v>
      </c>
      <c r="P532" s="72" t="str">
        <f t="shared" si="40"/>
        <v>martes</v>
      </c>
      <c r="Q532" s="29">
        <f>IFERROR(IF(GUAYAQUIL[[#This Row],[CODIGO]]="","",IF(GUAYAQUIL[[#This Row],[Fecha Cad]]="","",(GUAYAQUIL[[#This Row],[Fecha Cad]]-GUAYAQUIL[[#This Row],[VIDA UTIL (Días)]]))+1),"")</f>
        <v>45603</v>
      </c>
      <c r="R532" s="29">
        <v>45647</v>
      </c>
      <c r="S532" s="30">
        <f t="shared" ca="1" si="41"/>
        <v>23</v>
      </c>
      <c r="T532" s="31">
        <f t="shared" ca="1" si="42"/>
        <v>0.51111111111111107</v>
      </c>
      <c r="U532" s="286">
        <v>204</v>
      </c>
      <c r="V532" s="266">
        <f>+IFERROR(IF(GUAYAQUIL[[#This Row],[CODIGO]]="","",GUAYAQUIL[[#This Row],[Stock Actual Unds]]*GUAYAQUIL[[#This Row],[Gramaje]]*GUAYAQUIL[[#This Row],[Conversión]]),"")</f>
        <v>30.599999999999998</v>
      </c>
      <c r="W532" s="270">
        <f t="shared" si="43"/>
        <v>12</v>
      </c>
      <c r="X532" s="32">
        <f t="shared" si="44"/>
        <v>0.73333333333333339</v>
      </c>
      <c r="Y532" s="236">
        <f>IFERROR(VLOOKUP(GUAYAQUIL[[#This Row],[CODIGO]],MAESTRO!A:BI,21,FALSE),0)</f>
        <v>0.234985</v>
      </c>
      <c r="Z532" s="237">
        <f>+IFERROR(IF(GUAYAQUIL[[#This Row],[CODIGO]]="","",GUAYAQUIL[[#This Row],[COSTO UNIT base]]*GUAYAQUIL[[#This Row],[Conversión]]),"")</f>
        <v>0.234985</v>
      </c>
      <c r="AA532" s="236">
        <f>+IFERROR(IF(GUAYAQUIL[[#This Row],[CODIGO]]="","",GUAYAQUIL[[#This Row],[COSTO UNIT Conv]]*GUAYAQUIL[[#This Row],[Stock Actual Kgs]]),"")</f>
        <v>7.1905409999999996</v>
      </c>
      <c r="AB532" s="33">
        <f ca="1">+IFERROR(IF(GUAYAQUIL[[#This Row],[CODIGO]]="","",$J$3-O532),"")</f>
        <v>9</v>
      </c>
      <c r="AC532" s="34" t="str">
        <f ca="1">IF(GUAYAQUIL[[#This Row],[CODIGO]]="","",IF(S532&lt;=0,"CADUCADO",IF(AND(S532&gt;0,S532&lt;=21),"FECHA CORTA",IF(AND(S532&gt;=22,S532&lt;=26),"PROXIMOS FECHA CORTA", "VIGENTE"))))</f>
        <v>PROXIMOS FECHA CORTA</v>
      </c>
      <c r="AD532" s="37">
        <f>+IF(GUAYAQUIL[[#This Row],[CODIGO]]="","",GUAYAQUIL[[#This Row],[Stock Actual Unds]]*GUAYAQUIL[[#This Row],[Gramaje]]*GUAYAQUIL[[#This Row],[Conversión]])/1000</f>
        <v>3.0599999999999999E-2</v>
      </c>
    </row>
    <row r="533" spans="1:30">
      <c r="A533" s="24" t="str">
        <f>+IFERROR(IF(GUAYAQUIL[[#This Row],[CODIGO]]="","",VLOOKUP(GUAYAQUIL[[#This Row],[CODIGO]],MAESTRO!$A:$J,10,FALSE)),"")</f>
        <v>MACHACHI</v>
      </c>
      <c r="B533" s="24" t="str">
        <f>+IFERROR(IF(GUAYAQUIL[[#This Row],[CODIGO]]="","",VLOOKUP(GUAYAQUIL[[#This Row],[CODIGO]],MAESTRO!$A:$Q,17,FALSE)),"")</f>
        <v>BEBIDAS LACTEAS</v>
      </c>
      <c r="C533" s="24" t="str">
        <f>+IFERROR(IF(GUAYAQUIL[[#This Row],[CODIGO]]="","",VLOOKUP(GUAYAQUIL[[#This Row],[CODIGO]],MAESTRO!$A:$BA,53,FALSE)),"")</f>
        <v xml:space="preserve">Luis Armendariz                         </v>
      </c>
      <c r="D533" s="24" t="str">
        <f>+IFERROR(IF(GUAYAQUIL[[#This Row],[CODIGO]]="","",VLOOKUP(GUAYAQUIL[[#This Row],[CODIGO]],MAESTRO!$A:$D,4,FALSE)),"")</f>
        <v>REGENERIS</v>
      </c>
      <c r="E533" s="24" t="str">
        <f>+IFERROR(IF(GUAYAQUIL[[#This Row],[CODIGO]]="","",VLOOKUP(GUAYAQUIL[[#This Row],[CODIGO]],MAESTRO!$A:$F,6,FALSE)),"")</f>
        <v>REGENERIS REGULAR VASO</v>
      </c>
      <c r="F533" s="42" t="str">
        <f>IF(GUAYAQUIL[[#This Row],[CODIGO]]="","",$K$6)</f>
        <v>GUAYAQUIL</v>
      </c>
      <c r="G533" s="209">
        <f>IF(GUAYAQUIL[[#This Row],[CODIGO]]="","",7711)</f>
        <v>7711</v>
      </c>
      <c r="H533" s="209">
        <f>IF(GUAYAQUIL[[#This Row],[CODIGO]]="","",1001)</f>
        <v>1001</v>
      </c>
      <c r="I533" s="258" t="s">
        <v>2217</v>
      </c>
      <c r="J533" s="25" t="str">
        <f>IFERROR((VLOOKUP(GUAYAQUIL[[#This Row],[CODIGO]],MAESTRO!A:B,2,FALSE)),"")</f>
        <v>RGN TZOS MOR VASO 150 G</v>
      </c>
      <c r="K533" s="35">
        <v>108</v>
      </c>
      <c r="L533" s="38">
        <f>+IFERROR(IF(GUAYAQUIL[[#This Row],[CODIGO]]="","",VLOOKUP(GUAYAQUIL[[#This Row],[CODIGO]],MAESTRO!$A:$BF,58,FALSE)),"")</f>
        <v>1</v>
      </c>
      <c r="M533" s="27">
        <f>+IFERROR(IF(GUAYAQUIL[[#This Row],[CODIGO]]="","",VLOOKUP(GUAYAQUIL[[#This Row],[CODIGO]],MAESTRO!A:N,14,FALSE)),"")</f>
        <v>0.15</v>
      </c>
      <c r="N533" s="28">
        <f>+IFERROR(IF(GUAYAQUIL[[#This Row],[CODIGO]]="","",VLOOKUP(GUAYAQUIL[[#This Row],[CODIGO]],MAESTRO!A:P,16,FALSE)),"")</f>
        <v>45</v>
      </c>
      <c r="O533" s="29">
        <v>45597</v>
      </c>
      <c r="P533" s="72" t="str">
        <f t="shared" si="40"/>
        <v>viernes</v>
      </c>
      <c r="Q533" s="29">
        <f>IFERROR(IF(GUAYAQUIL[[#This Row],[CODIGO]]="","",IF(GUAYAQUIL[[#This Row],[Fecha Cad]]="","",(GUAYAQUIL[[#This Row],[Fecha Cad]]-GUAYAQUIL[[#This Row],[VIDA UTIL (Días)]]))+1),"")</f>
        <v>45588</v>
      </c>
      <c r="R533" s="29">
        <v>45632</v>
      </c>
      <c r="S533" s="30">
        <f t="shared" ca="1" si="41"/>
        <v>8</v>
      </c>
      <c r="T533" s="31">
        <f t="shared" ca="1" si="42"/>
        <v>0.17777777777777778</v>
      </c>
      <c r="U533" s="286">
        <v>78</v>
      </c>
      <c r="V533" s="265">
        <f>+IFERROR(IF(GUAYAQUIL[[#This Row],[CODIGO]]="","",GUAYAQUIL[[#This Row],[Stock Actual Unds]]*GUAYAQUIL[[#This Row],[Gramaje]]*GUAYAQUIL[[#This Row],[Conversión]]),"")</f>
        <v>11.7</v>
      </c>
      <c r="W533" s="270">
        <f t="shared" si="43"/>
        <v>9</v>
      </c>
      <c r="X533" s="32">
        <f t="shared" si="44"/>
        <v>0.8</v>
      </c>
      <c r="Y533" s="236">
        <f>IFERROR(VLOOKUP(GUAYAQUIL[[#This Row],[CODIGO]],MAESTRO!A:BI,21,FALSE),0)</f>
        <v>0.231685</v>
      </c>
      <c r="Z533" s="237">
        <f>+IFERROR(IF(GUAYAQUIL[[#This Row],[CODIGO]]="","",GUAYAQUIL[[#This Row],[COSTO UNIT base]]*GUAYAQUIL[[#This Row],[Conversión]]),"")</f>
        <v>0.231685</v>
      </c>
      <c r="AA533" s="236">
        <f>+IFERROR(IF(GUAYAQUIL[[#This Row],[CODIGO]]="","",GUAYAQUIL[[#This Row],[COSTO UNIT Conv]]*GUAYAQUIL[[#This Row],[Stock Actual Kgs]]),"")</f>
        <v>2.7107144999999999</v>
      </c>
      <c r="AB533" s="33">
        <f ca="1">+IFERROR(IF(GUAYAQUIL[[#This Row],[CODIGO]]="","",$J$3-O533),"")</f>
        <v>27</v>
      </c>
      <c r="AC533" s="34" t="str">
        <f ca="1">IF(GUAYAQUIL[[#This Row],[CODIGO]]="","",IF(S533&lt;=0,"CADUCADO",IF(AND(S533&gt;0,S533&lt;=21),"FECHA CORTA",IF(AND(S533&gt;=22,S533&lt;=26),"PROXIMOS FECHA CORTA", "VIGENTE"))))</f>
        <v>FECHA CORTA</v>
      </c>
      <c r="AD533" s="37">
        <f>+IF(GUAYAQUIL[[#This Row],[CODIGO]]="","",GUAYAQUIL[[#This Row],[Stock Actual Unds]]*GUAYAQUIL[[#This Row],[Gramaje]]*GUAYAQUIL[[#This Row],[Conversión]])/1000</f>
        <v>1.1699999999999999E-2</v>
      </c>
    </row>
    <row r="534" spans="1:30">
      <c r="A534" s="24" t="str">
        <f>+IFERROR(IF(GUAYAQUIL[[#This Row],[CODIGO]]="","",VLOOKUP(GUAYAQUIL[[#This Row],[CODIGO]],MAESTRO!$A:$J,10,FALSE)),"")</f>
        <v>MACHACHI</v>
      </c>
      <c r="B534" s="24" t="str">
        <f>+IFERROR(IF(GUAYAQUIL[[#This Row],[CODIGO]]="","",VLOOKUP(GUAYAQUIL[[#This Row],[CODIGO]],MAESTRO!$A:$Q,17,FALSE)),"")</f>
        <v>BEBIDAS LACTEAS</v>
      </c>
      <c r="C534" s="24" t="str">
        <f>+IFERROR(IF(GUAYAQUIL[[#This Row],[CODIGO]]="","",VLOOKUP(GUAYAQUIL[[#This Row],[CODIGO]],MAESTRO!$A:$BA,53,FALSE)),"")</f>
        <v xml:space="preserve">Luis Armendariz                         </v>
      </c>
      <c r="D534" s="24" t="str">
        <f>+IFERROR(IF(GUAYAQUIL[[#This Row],[CODIGO]]="","",VLOOKUP(GUAYAQUIL[[#This Row],[CODIGO]],MAESTRO!$A:$D,4,FALSE)),"")</f>
        <v>REGENERIS</v>
      </c>
      <c r="E534" s="24" t="str">
        <f>+IFERROR(IF(GUAYAQUIL[[#This Row],[CODIGO]]="","",VLOOKUP(GUAYAQUIL[[#This Row],[CODIGO]],MAESTRO!$A:$F,6,FALSE)),"")</f>
        <v>REGENERIS REGULAR VASO</v>
      </c>
      <c r="F534" s="42" t="str">
        <f>IF(GUAYAQUIL[[#This Row],[CODIGO]]="","",$K$6)</f>
        <v>GUAYAQUIL</v>
      </c>
      <c r="G534" s="42">
        <f>IF(GUAYAQUIL[[#This Row],[CODIGO]]="","",7711)</f>
        <v>7711</v>
      </c>
      <c r="H534" s="42">
        <f>IF(GUAYAQUIL[[#This Row],[CODIGO]]="","",1001)</f>
        <v>1001</v>
      </c>
      <c r="I534" s="257" t="s">
        <v>2217</v>
      </c>
      <c r="J534" s="25" t="str">
        <f>IFERROR((VLOOKUP(GUAYAQUIL[[#This Row],[CODIGO]],MAESTRO!A:B,2,FALSE)),"")</f>
        <v>RGN TZOS MOR VASO 150 G</v>
      </c>
      <c r="K534" s="26">
        <v>108</v>
      </c>
      <c r="L534" s="38">
        <f>+IFERROR(IF(GUAYAQUIL[[#This Row],[CODIGO]]="","",VLOOKUP(GUAYAQUIL[[#This Row],[CODIGO]],MAESTRO!$A:$BF,58,FALSE)),"")</f>
        <v>1</v>
      </c>
      <c r="M534" s="27">
        <f>+IFERROR(IF(GUAYAQUIL[[#This Row],[CODIGO]]="","",VLOOKUP(GUAYAQUIL[[#This Row],[CODIGO]],MAESTRO!A:N,14,FALSE)),"")</f>
        <v>0.15</v>
      </c>
      <c r="N534" s="28">
        <f>+IFERROR(IF(GUAYAQUIL[[#This Row],[CODIGO]]="","",VLOOKUP(GUAYAQUIL[[#This Row],[CODIGO]],MAESTRO!A:P,16,FALSE)),"")</f>
        <v>45</v>
      </c>
      <c r="O534" s="29">
        <v>45601</v>
      </c>
      <c r="P534" s="72" t="str">
        <f t="shared" si="40"/>
        <v>martes</v>
      </c>
      <c r="Q534" s="29">
        <f>IFERROR(IF(GUAYAQUIL[[#This Row],[CODIGO]]="","",IF(GUAYAQUIL[[#This Row],[Fecha Cad]]="","",(GUAYAQUIL[[#This Row],[Fecha Cad]]-GUAYAQUIL[[#This Row],[VIDA UTIL (Días)]]))+1),"")</f>
        <v>45591</v>
      </c>
      <c r="R534" s="29">
        <v>45635</v>
      </c>
      <c r="S534" s="30">
        <f t="shared" ca="1" si="41"/>
        <v>11</v>
      </c>
      <c r="T534" s="31">
        <f t="shared" ca="1" si="42"/>
        <v>0.24444444444444444</v>
      </c>
      <c r="U534" s="286">
        <v>56</v>
      </c>
      <c r="V534" s="267">
        <f>+IFERROR(IF(GUAYAQUIL[[#This Row],[CODIGO]]="","",GUAYAQUIL[[#This Row],[Stock Actual Unds]]*GUAYAQUIL[[#This Row],[Gramaje]]*GUAYAQUIL[[#This Row],[Conversión]]),"")</f>
        <v>8.4</v>
      </c>
      <c r="W534" s="270">
        <f t="shared" si="43"/>
        <v>10</v>
      </c>
      <c r="X534" s="32">
        <f t="shared" si="44"/>
        <v>0.77777777777777779</v>
      </c>
      <c r="Y534" s="236">
        <f>IFERROR(VLOOKUP(GUAYAQUIL[[#This Row],[CODIGO]],MAESTRO!A:BI,21,FALSE),0)</f>
        <v>0.231685</v>
      </c>
      <c r="Z534" s="237">
        <f>+IFERROR(IF(GUAYAQUIL[[#This Row],[CODIGO]]="","",GUAYAQUIL[[#This Row],[COSTO UNIT base]]*GUAYAQUIL[[#This Row],[Conversión]]),"")</f>
        <v>0.231685</v>
      </c>
      <c r="AA534" s="236">
        <f>+IFERROR(IF(GUAYAQUIL[[#This Row],[CODIGO]]="","",GUAYAQUIL[[#This Row],[COSTO UNIT Conv]]*GUAYAQUIL[[#This Row],[Stock Actual Kgs]]),"")</f>
        <v>1.9461540000000002</v>
      </c>
      <c r="AB534" s="33">
        <f ca="1">+IFERROR(IF(GUAYAQUIL[[#This Row],[CODIGO]]="","",$J$3-O534),"")</f>
        <v>23</v>
      </c>
      <c r="AC534" s="34" t="str">
        <f ca="1">IF(GUAYAQUIL[[#This Row],[CODIGO]]="","",IF(S534&lt;=0,"CADUCADO",IF(AND(S534&gt;0,S534&lt;=21),"FECHA CORTA",IF(AND(S534&gt;=22,S534&lt;=26),"PROXIMOS FECHA CORTA", "VIGENTE"))))</f>
        <v>FECHA CORTA</v>
      </c>
      <c r="AD534" s="37">
        <f>+IF(GUAYAQUIL[[#This Row],[CODIGO]]="","",GUAYAQUIL[[#This Row],[Stock Actual Unds]]*GUAYAQUIL[[#This Row],[Gramaje]]*GUAYAQUIL[[#This Row],[Conversión]])/1000</f>
        <v>8.4000000000000012E-3</v>
      </c>
    </row>
    <row r="535" spans="1:30">
      <c r="A535" s="24" t="str">
        <f>+IFERROR(IF(GUAYAQUIL[[#This Row],[CODIGO]]="","",VLOOKUP(GUAYAQUIL[[#This Row],[CODIGO]],MAESTRO!$A:$J,10,FALSE)),"")</f>
        <v>MACHACHI</v>
      </c>
      <c r="B535" s="24" t="str">
        <f>+IFERROR(IF(GUAYAQUIL[[#This Row],[CODIGO]]="","",VLOOKUP(GUAYAQUIL[[#This Row],[CODIGO]],MAESTRO!$A:$Q,17,FALSE)),"")</f>
        <v>BEBIDAS LACTEAS</v>
      </c>
      <c r="C535" s="24" t="str">
        <f>+IFERROR(IF(GUAYAQUIL[[#This Row],[CODIGO]]="","",VLOOKUP(GUAYAQUIL[[#This Row],[CODIGO]],MAESTRO!$A:$BA,53,FALSE)),"")</f>
        <v xml:space="preserve">Luis Armendariz                         </v>
      </c>
      <c r="D535" s="24" t="str">
        <f>+IFERROR(IF(GUAYAQUIL[[#This Row],[CODIGO]]="","",VLOOKUP(GUAYAQUIL[[#This Row],[CODIGO]],MAESTRO!$A:$D,4,FALSE)),"")</f>
        <v>REGENERIS</v>
      </c>
      <c r="E535" s="24" t="str">
        <f>+IFERROR(IF(GUAYAQUIL[[#This Row],[CODIGO]]="","",VLOOKUP(GUAYAQUIL[[#This Row],[CODIGO]],MAESTRO!$A:$F,6,FALSE)),"")</f>
        <v>REGENERIS REGULAR VASO</v>
      </c>
      <c r="F535" s="42" t="str">
        <f>IF(GUAYAQUIL[[#This Row],[CODIGO]]="","",$K$6)</f>
        <v>GUAYAQUIL</v>
      </c>
      <c r="G535" s="209">
        <f>IF(GUAYAQUIL[[#This Row],[CODIGO]]="","",7711)</f>
        <v>7711</v>
      </c>
      <c r="H535" s="209">
        <f>IF(GUAYAQUIL[[#This Row],[CODIGO]]="","",1001)</f>
        <v>1001</v>
      </c>
      <c r="I535" s="257" t="s">
        <v>2217</v>
      </c>
      <c r="J535" s="25" t="str">
        <f>IFERROR((VLOOKUP(GUAYAQUIL[[#This Row],[CODIGO]],MAESTRO!A:B,2,FALSE)),"")</f>
        <v>RGN TZOS MOR VASO 150 G</v>
      </c>
      <c r="K535" s="26">
        <v>108</v>
      </c>
      <c r="L535" s="38">
        <f>+IFERROR(IF(GUAYAQUIL[[#This Row],[CODIGO]]="","",VLOOKUP(GUAYAQUIL[[#This Row],[CODIGO]],MAESTRO!$A:$BF,58,FALSE)),"")</f>
        <v>1</v>
      </c>
      <c r="M535" s="27">
        <f>+IFERROR(IF(GUAYAQUIL[[#This Row],[CODIGO]]="","",VLOOKUP(GUAYAQUIL[[#This Row],[CODIGO]],MAESTRO!A:N,14,FALSE)),"")</f>
        <v>0.15</v>
      </c>
      <c r="N535" s="28">
        <f>+IFERROR(IF(GUAYAQUIL[[#This Row],[CODIGO]]="","",VLOOKUP(GUAYAQUIL[[#This Row],[CODIGO]],MAESTRO!A:P,16,FALSE)),"")</f>
        <v>45</v>
      </c>
      <c r="O535" s="29">
        <v>45609</v>
      </c>
      <c r="P535" s="72" t="str">
        <f t="shared" si="40"/>
        <v>miércoles</v>
      </c>
      <c r="Q535" s="29">
        <f>IFERROR(IF(GUAYAQUIL[[#This Row],[CODIGO]]="","",IF(GUAYAQUIL[[#This Row],[Fecha Cad]]="","",(GUAYAQUIL[[#This Row],[Fecha Cad]]-GUAYAQUIL[[#This Row],[VIDA UTIL (Días)]]))+1),"")</f>
        <v>45601</v>
      </c>
      <c r="R535" s="29">
        <v>45645</v>
      </c>
      <c r="S535" s="30">
        <f t="shared" ca="1" si="41"/>
        <v>21</v>
      </c>
      <c r="T535" s="31">
        <f t="shared" ca="1" si="42"/>
        <v>0.46666666666666667</v>
      </c>
      <c r="U535" s="286">
        <v>84</v>
      </c>
      <c r="V535" s="267">
        <f>+IFERROR(IF(GUAYAQUIL[[#This Row],[CODIGO]]="","",GUAYAQUIL[[#This Row],[Stock Actual Unds]]*GUAYAQUIL[[#This Row],[Gramaje]]*GUAYAQUIL[[#This Row],[Conversión]]),"")</f>
        <v>12.6</v>
      </c>
      <c r="W535" s="270">
        <f t="shared" si="43"/>
        <v>8</v>
      </c>
      <c r="X535" s="32">
        <f t="shared" si="44"/>
        <v>0.82222222222222219</v>
      </c>
      <c r="Y535" s="236">
        <f>IFERROR(VLOOKUP(GUAYAQUIL[[#This Row],[CODIGO]],MAESTRO!A:BI,21,FALSE),0)</f>
        <v>0.231685</v>
      </c>
      <c r="Z535" s="237">
        <f>+IFERROR(IF(GUAYAQUIL[[#This Row],[CODIGO]]="","",GUAYAQUIL[[#This Row],[COSTO UNIT base]]*GUAYAQUIL[[#This Row],[Conversión]]),"")</f>
        <v>0.231685</v>
      </c>
      <c r="AA535" s="236">
        <f>+IFERROR(IF(GUAYAQUIL[[#This Row],[CODIGO]]="","",GUAYAQUIL[[#This Row],[COSTO UNIT Conv]]*GUAYAQUIL[[#This Row],[Stock Actual Kgs]]),"")</f>
        <v>2.9192309999999999</v>
      </c>
      <c r="AB535" s="33">
        <f ca="1">+IFERROR(IF(GUAYAQUIL[[#This Row],[CODIGO]]="","",$J$3-O535),"")</f>
        <v>15</v>
      </c>
      <c r="AC535" s="34" t="str">
        <f ca="1">IF(GUAYAQUIL[[#This Row],[CODIGO]]="","",IF(S535&lt;=0,"CADUCADO",IF(AND(S535&gt;0,S535&lt;=21),"FECHA CORTA",IF(AND(S535&gt;=22,S535&lt;=26),"PROXIMOS FECHA CORTA", "VIGENTE"))))</f>
        <v>FECHA CORTA</v>
      </c>
      <c r="AD535" s="37">
        <f>+IF(GUAYAQUIL[[#This Row],[CODIGO]]="","",GUAYAQUIL[[#This Row],[Stock Actual Unds]]*GUAYAQUIL[[#This Row],[Gramaje]]*GUAYAQUIL[[#This Row],[Conversión]])/1000</f>
        <v>1.26E-2</v>
      </c>
    </row>
    <row r="536" spans="1:30">
      <c r="A536" s="24" t="str">
        <f>+IFERROR(IF(GUAYAQUIL[[#This Row],[CODIGO]]="","",VLOOKUP(GUAYAQUIL[[#This Row],[CODIGO]],MAESTRO!$A:$J,10,FALSE)),"")</f>
        <v>MACHACHI</v>
      </c>
      <c r="B536" s="24" t="str">
        <f>+IFERROR(IF(GUAYAQUIL[[#This Row],[CODIGO]]="","",VLOOKUP(GUAYAQUIL[[#This Row],[CODIGO]],MAESTRO!$A:$Q,17,FALSE)),"")</f>
        <v>BEBIDAS LACTEAS</v>
      </c>
      <c r="C536" s="24" t="str">
        <f>+IFERROR(IF(GUAYAQUIL[[#This Row],[CODIGO]]="","",VLOOKUP(GUAYAQUIL[[#This Row],[CODIGO]],MAESTRO!$A:$BA,53,FALSE)),"")</f>
        <v xml:space="preserve">Luis Armendariz                         </v>
      </c>
      <c r="D536" s="24" t="str">
        <f>+IFERROR(IF(GUAYAQUIL[[#This Row],[CODIGO]]="","",VLOOKUP(GUAYAQUIL[[#This Row],[CODIGO]],MAESTRO!$A:$D,4,FALSE)),"")</f>
        <v>REGENERIS</v>
      </c>
      <c r="E536" s="24" t="str">
        <f>+IFERROR(IF(GUAYAQUIL[[#This Row],[CODIGO]]="","",VLOOKUP(GUAYAQUIL[[#This Row],[CODIGO]],MAESTRO!$A:$F,6,FALSE)),"")</f>
        <v>REGENERIS REGULAR VASO</v>
      </c>
      <c r="F536" s="42" t="str">
        <f>IF(GUAYAQUIL[[#This Row],[CODIGO]]="","",$K$6)</f>
        <v>GUAYAQUIL</v>
      </c>
      <c r="G536" s="42">
        <f>IF(GUAYAQUIL[[#This Row],[CODIGO]]="","",7711)</f>
        <v>7711</v>
      </c>
      <c r="H536" s="42">
        <f>IF(GUAYAQUIL[[#This Row],[CODIGO]]="","",1001)</f>
        <v>1001</v>
      </c>
      <c r="I536" s="257" t="s">
        <v>2217</v>
      </c>
      <c r="J536" s="25" t="str">
        <f>IFERROR((VLOOKUP(GUAYAQUIL[[#This Row],[CODIGO]],MAESTRO!A:B,2,FALSE)),"")</f>
        <v>RGN TZOS MOR VASO 150 G</v>
      </c>
      <c r="K536" s="26">
        <v>108</v>
      </c>
      <c r="L536" s="38">
        <f>+IFERROR(IF(GUAYAQUIL[[#This Row],[CODIGO]]="","",VLOOKUP(GUAYAQUIL[[#This Row],[CODIGO]],MAESTRO!$A:$BF,58,FALSE)),"")</f>
        <v>1</v>
      </c>
      <c r="M536" s="27">
        <f>+IFERROR(IF(GUAYAQUIL[[#This Row],[CODIGO]]="","",VLOOKUP(GUAYAQUIL[[#This Row],[CODIGO]],MAESTRO!A:N,14,FALSE)),"")</f>
        <v>0.15</v>
      </c>
      <c r="N536" s="28">
        <f>+IFERROR(IF(GUAYAQUIL[[#This Row],[CODIGO]]="","",VLOOKUP(GUAYAQUIL[[#This Row],[CODIGO]],MAESTRO!A:P,16,FALSE)),"")</f>
        <v>45</v>
      </c>
      <c r="O536" s="29">
        <v>45612</v>
      </c>
      <c r="P536" s="72" t="str">
        <f t="shared" si="40"/>
        <v>sábado</v>
      </c>
      <c r="Q536" s="29">
        <f>IFERROR(IF(GUAYAQUIL[[#This Row],[CODIGO]]="","",IF(GUAYAQUIL[[#This Row],[Fecha Cad]]="","",(GUAYAQUIL[[#This Row],[Fecha Cad]]-GUAYAQUIL[[#This Row],[VIDA UTIL (Días)]]))+1),"")</f>
        <v>45601</v>
      </c>
      <c r="R536" s="29">
        <v>45645</v>
      </c>
      <c r="S536" s="30">
        <f t="shared" ca="1" si="41"/>
        <v>21</v>
      </c>
      <c r="T536" s="31">
        <f t="shared" ca="1" si="42"/>
        <v>0.46666666666666667</v>
      </c>
      <c r="U536" s="286">
        <v>108</v>
      </c>
      <c r="V536" s="267">
        <f>+IFERROR(IF(GUAYAQUIL[[#This Row],[CODIGO]]="","",GUAYAQUIL[[#This Row],[Stock Actual Unds]]*GUAYAQUIL[[#This Row],[Gramaje]]*GUAYAQUIL[[#This Row],[Conversión]]),"")</f>
        <v>16.2</v>
      </c>
      <c r="W536" s="270">
        <f t="shared" si="43"/>
        <v>11</v>
      </c>
      <c r="X536" s="32">
        <f t="shared" si="44"/>
        <v>0.75555555555555554</v>
      </c>
      <c r="Y536" s="236">
        <f>IFERROR(VLOOKUP(GUAYAQUIL[[#This Row],[CODIGO]],MAESTRO!A:BI,21,FALSE),0)</f>
        <v>0.231685</v>
      </c>
      <c r="Z536" s="237">
        <f>+IFERROR(IF(GUAYAQUIL[[#This Row],[CODIGO]]="","",GUAYAQUIL[[#This Row],[COSTO UNIT base]]*GUAYAQUIL[[#This Row],[Conversión]]),"")</f>
        <v>0.231685</v>
      </c>
      <c r="AA536" s="236">
        <f>+IFERROR(IF(GUAYAQUIL[[#This Row],[CODIGO]]="","",GUAYAQUIL[[#This Row],[COSTO UNIT Conv]]*GUAYAQUIL[[#This Row],[Stock Actual Kgs]]),"")</f>
        <v>3.7532969999999999</v>
      </c>
      <c r="AB536" s="33">
        <f ca="1">+IFERROR(IF(GUAYAQUIL[[#This Row],[CODIGO]]="","",$J$3-O536),"")</f>
        <v>12</v>
      </c>
      <c r="AC536" s="34" t="str">
        <f ca="1">IF(GUAYAQUIL[[#This Row],[CODIGO]]="","",IF(S536&lt;=0,"CADUCADO",IF(AND(S536&gt;0,S536&lt;=21),"FECHA CORTA",IF(AND(S536&gt;=22,S536&lt;=26),"PROXIMOS FECHA CORTA", "VIGENTE"))))</f>
        <v>FECHA CORTA</v>
      </c>
      <c r="AD536" s="37">
        <f>+IF(GUAYAQUIL[[#This Row],[CODIGO]]="","",GUAYAQUIL[[#This Row],[Stock Actual Unds]]*GUAYAQUIL[[#This Row],[Gramaje]]*GUAYAQUIL[[#This Row],[Conversión]])/1000</f>
        <v>1.6199999999999999E-2</v>
      </c>
    </row>
    <row r="537" spans="1:30">
      <c r="A537" s="24" t="str">
        <f>+IFERROR(IF(GUAYAQUIL[[#This Row],[CODIGO]]="","",VLOOKUP(GUAYAQUIL[[#This Row],[CODIGO]],MAESTRO!$A:$J,10,FALSE)),"")</f>
        <v>MACHACHI</v>
      </c>
      <c r="B537" s="24" t="str">
        <f>+IFERROR(IF(GUAYAQUIL[[#This Row],[CODIGO]]="","",VLOOKUP(GUAYAQUIL[[#This Row],[CODIGO]],MAESTRO!$A:$Q,17,FALSE)),"")</f>
        <v>BEBIDAS LACTEAS</v>
      </c>
      <c r="C537" s="24" t="str">
        <f>+IFERROR(IF(GUAYAQUIL[[#This Row],[CODIGO]]="","",VLOOKUP(GUAYAQUIL[[#This Row],[CODIGO]],MAESTRO!$A:$BA,53,FALSE)),"")</f>
        <v xml:space="preserve">Luis Armendariz                         </v>
      </c>
      <c r="D537" s="24" t="str">
        <f>+IFERROR(IF(GUAYAQUIL[[#This Row],[CODIGO]]="","",VLOOKUP(GUAYAQUIL[[#This Row],[CODIGO]],MAESTRO!$A:$D,4,FALSE)),"")</f>
        <v>REGENERIS</v>
      </c>
      <c r="E537" s="24" t="str">
        <f>+IFERROR(IF(GUAYAQUIL[[#This Row],[CODIGO]]="","",VLOOKUP(GUAYAQUIL[[#This Row],[CODIGO]],MAESTRO!$A:$F,6,FALSE)),"")</f>
        <v>REGENERIS REGULAR VASO</v>
      </c>
      <c r="F537" s="42" t="str">
        <f>IF(GUAYAQUIL[[#This Row],[CODIGO]]="","",$K$6)</f>
        <v>GUAYAQUIL</v>
      </c>
      <c r="G537" s="209">
        <f>IF(GUAYAQUIL[[#This Row],[CODIGO]]="","",7711)</f>
        <v>7711</v>
      </c>
      <c r="H537" s="209">
        <f>IF(GUAYAQUIL[[#This Row],[CODIGO]]="","",1001)</f>
        <v>1001</v>
      </c>
      <c r="I537" s="258" t="s">
        <v>2217</v>
      </c>
      <c r="J537" s="25" t="str">
        <f>IFERROR((VLOOKUP(GUAYAQUIL[[#This Row],[CODIGO]],MAESTRO!A:B,2,FALSE)),"")</f>
        <v>RGN TZOS MOR VASO 150 G</v>
      </c>
      <c r="K537" s="35">
        <v>108</v>
      </c>
      <c r="L537" s="38">
        <f>+IFERROR(IF(GUAYAQUIL[[#This Row],[CODIGO]]="","",VLOOKUP(GUAYAQUIL[[#This Row],[CODIGO]],MAESTRO!$A:$BF,58,FALSE)),"")</f>
        <v>1</v>
      </c>
      <c r="M537" s="27">
        <f>+IFERROR(IF(GUAYAQUIL[[#This Row],[CODIGO]]="","",VLOOKUP(GUAYAQUIL[[#This Row],[CODIGO]],MAESTRO!A:N,14,FALSE)),"")</f>
        <v>0.15</v>
      </c>
      <c r="N537" s="28">
        <f>+IFERROR(IF(GUAYAQUIL[[#This Row],[CODIGO]]="","",VLOOKUP(GUAYAQUIL[[#This Row],[CODIGO]],MAESTRO!A:P,16,FALSE)),"")</f>
        <v>45</v>
      </c>
      <c r="O537" s="29">
        <v>45611</v>
      </c>
      <c r="P537" s="72" t="str">
        <f t="shared" si="40"/>
        <v>viernes</v>
      </c>
      <c r="Q537" s="29">
        <f>IFERROR(IF(GUAYAQUIL[[#This Row],[CODIGO]]="","",IF(GUAYAQUIL[[#This Row],[Fecha Cad]]="","",(GUAYAQUIL[[#This Row],[Fecha Cad]]-GUAYAQUIL[[#This Row],[VIDA UTIL (Días)]]))+1),"")</f>
        <v>45601</v>
      </c>
      <c r="R537" s="29">
        <v>45645</v>
      </c>
      <c r="S537" s="30">
        <f t="shared" ca="1" si="41"/>
        <v>21</v>
      </c>
      <c r="T537" s="31">
        <f t="shared" ca="1" si="42"/>
        <v>0.46666666666666667</v>
      </c>
      <c r="U537" s="286">
        <v>108</v>
      </c>
      <c r="V537" s="266">
        <f>+IFERROR(IF(GUAYAQUIL[[#This Row],[CODIGO]]="","",GUAYAQUIL[[#This Row],[Stock Actual Unds]]*GUAYAQUIL[[#This Row],[Gramaje]]*GUAYAQUIL[[#This Row],[Conversión]]),"")</f>
        <v>16.2</v>
      </c>
      <c r="W537" s="270">
        <f t="shared" si="43"/>
        <v>10</v>
      </c>
      <c r="X537" s="32">
        <f t="shared" si="44"/>
        <v>0.77777777777777779</v>
      </c>
      <c r="Y537" s="236">
        <f>IFERROR(VLOOKUP(GUAYAQUIL[[#This Row],[CODIGO]],MAESTRO!A:BI,21,FALSE),0)</f>
        <v>0.231685</v>
      </c>
      <c r="Z537" s="237">
        <f>+IFERROR(IF(GUAYAQUIL[[#This Row],[CODIGO]]="","",GUAYAQUIL[[#This Row],[COSTO UNIT base]]*GUAYAQUIL[[#This Row],[Conversión]]),"")</f>
        <v>0.231685</v>
      </c>
      <c r="AA537" s="236">
        <f>+IFERROR(IF(GUAYAQUIL[[#This Row],[CODIGO]]="","",GUAYAQUIL[[#This Row],[COSTO UNIT Conv]]*GUAYAQUIL[[#This Row],[Stock Actual Kgs]]),"")</f>
        <v>3.7532969999999999</v>
      </c>
      <c r="AB537" s="33">
        <f ca="1">+IFERROR(IF(GUAYAQUIL[[#This Row],[CODIGO]]="","",$J$3-O537),"")</f>
        <v>13</v>
      </c>
      <c r="AC537" s="34" t="str">
        <f ca="1">IF(GUAYAQUIL[[#This Row],[CODIGO]]="","",IF(S537&lt;=0,"CADUCADO",IF(AND(S537&gt;0,S537&lt;=21),"FECHA CORTA",IF(AND(S537&gt;=22,S537&lt;=26),"PROXIMOS FECHA CORTA", "VIGENTE"))))</f>
        <v>FECHA CORTA</v>
      </c>
      <c r="AD537" s="37">
        <f>+IF(GUAYAQUIL[[#This Row],[CODIGO]]="","",GUAYAQUIL[[#This Row],[Stock Actual Unds]]*GUAYAQUIL[[#This Row],[Gramaje]]*GUAYAQUIL[[#This Row],[Conversión]])/1000</f>
        <v>1.6199999999999999E-2</v>
      </c>
    </row>
    <row r="538" spans="1:30">
      <c r="A538" s="24" t="str">
        <f>+IFERROR(IF(GUAYAQUIL[[#This Row],[CODIGO]]="","",VLOOKUP(GUAYAQUIL[[#This Row],[CODIGO]],MAESTRO!$A:$J,10,FALSE)),"")</f>
        <v>MACHACHI</v>
      </c>
      <c r="B538" s="24" t="str">
        <f>+IFERROR(IF(GUAYAQUIL[[#This Row],[CODIGO]]="","",VLOOKUP(GUAYAQUIL[[#This Row],[CODIGO]],MAESTRO!$A:$Q,17,FALSE)),"")</f>
        <v>BEBIDAS LACTEAS</v>
      </c>
      <c r="C538" s="24" t="str">
        <f>+IFERROR(IF(GUAYAQUIL[[#This Row],[CODIGO]]="","",VLOOKUP(GUAYAQUIL[[#This Row],[CODIGO]],MAESTRO!$A:$BA,53,FALSE)),"")</f>
        <v xml:space="preserve">Luis Armendariz                         </v>
      </c>
      <c r="D538" s="24" t="str">
        <f>+IFERROR(IF(GUAYAQUIL[[#This Row],[CODIGO]]="","",VLOOKUP(GUAYAQUIL[[#This Row],[CODIGO]],MAESTRO!$A:$D,4,FALSE)),"")</f>
        <v>REGENERIS</v>
      </c>
      <c r="E538" s="24" t="str">
        <f>+IFERROR(IF(GUAYAQUIL[[#This Row],[CODIGO]]="","",VLOOKUP(GUAYAQUIL[[#This Row],[CODIGO]],MAESTRO!$A:$F,6,FALSE)),"")</f>
        <v>REGENERIS REGULAR VASO</v>
      </c>
      <c r="F538" s="42" t="str">
        <f>IF(GUAYAQUIL[[#This Row],[CODIGO]]="","",$K$6)</f>
        <v>GUAYAQUIL</v>
      </c>
      <c r="G538" s="42">
        <f>IF(GUAYAQUIL[[#This Row],[CODIGO]]="","",7711)</f>
        <v>7711</v>
      </c>
      <c r="H538" s="42">
        <f>IF(GUAYAQUIL[[#This Row],[CODIGO]]="","",1001)</f>
        <v>1001</v>
      </c>
      <c r="I538" s="258" t="s">
        <v>2217</v>
      </c>
      <c r="J538" s="25" t="str">
        <f>IFERROR((VLOOKUP(GUAYAQUIL[[#This Row],[CODIGO]],MAESTRO!A:B,2,FALSE)),"")</f>
        <v>RGN TZOS MOR VASO 150 G</v>
      </c>
      <c r="K538" s="35">
        <v>108</v>
      </c>
      <c r="L538" s="38">
        <f>+IFERROR(IF(GUAYAQUIL[[#This Row],[CODIGO]]="","",VLOOKUP(GUAYAQUIL[[#This Row],[CODIGO]],MAESTRO!$A:$BF,58,FALSE)),"")</f>
        <v>1</v>
      </c>
      <c r="M538" s="27">
        <f>+IFERROR(IF(GUAYAQUIL[[#This Row],[CODIGO]]="","",VLOOKUP(GUAYAQUIL[[#This Row],[CODIGO]],MAESTRO!A:N,14,FALSE)),"")</f>
        <v>0.15</v>
      </c>
      <c r="N538" s="28">
        <f>+IFERROR(IF(GUAYAQUIL[[#This Row],[CODIGO]]="","",VLOOKUP(GUAYAQUIL[[#This Row],[CODIGO]],MAESTRO!A:P,16,FALSE)),"")</f>
        <v>45</v>
      </c>
      <c r="O538" s="29">
        <v>45610</v>
      </c>
      <c r="P538" s="72" t="str">
        <f t="shared" si="40"/>
        <v>jueves</v>
      </c>
      <c r="Q538" s="29">
        <f>IFERROR(IF(GUAYAQUIL[[#This Row],[CODIGO]]="","",IF(GUAYAQUIL[[#This Row],[Fecha Cad]]="","",(GUAYAQUIL[[#This Row],[Fecha Cad]]-GUAYAQUIL[[#This Row],[VIDA UTIL (Días)]]))+1),"")</f>
        <v>45601</v>
      </c>
      <c r="R538" s="29">
        <v>45645</v>
      </c>
      <c r="S538" s="30">
        <f t="shared" ca="1" si="41"/>
        <v>21</v>
      </c>
      <c r="T538" s="31">
        <f t="shared" ca="1" si="42"/>
        <v>0.46666666666666667</v>
      </c>
      <c r="U538" s="286">
        <v>108</v>
      </c>
      <c r="V538" s="266">
        <f>+IFERROR(IF(GUAYAQUIL[[#This Row],[CODIGO]]="","",GUAYAQUIL[[#This Row],[Stock Actual Unds]]*GUAYAQUIL[[#This Row],[Gramaje]]*GUAYAQUIL[[#This Row],[Conversión]]),"")</f>
        <v>16.2</v>
      </c>
      <c r="W538" s="270">
        <f t="shared" si="43"/>
        <v>9</v>
      </c>
      <c r="X538" s="32">
        <f t="shared" si="44"/>
        <v>0.8</v>
      </c>
      <c r="Y538" s="236">
        <f>IFERROR(VLOOKUP(GUAYAQUIL[[#This Row],[CODIGO]],MAESTRO!A:BI,21,FALSE),0)</f>
        <v>0.231685</v>
      </c>
      <c r="Z538" s="237">
        <f>+IFERROR(IF(GUAYAQUIL[[#This Row],[CODIGO]]="","",GUAYAQUIL[[#This Row],[COSTO UNIT base]]*GUAYAQUIL[[#This Row],[Conversión]]),"")</f>
        <v>0.231685</v>
      </c>
      <c r="AA538" s="236">
        <f>+IFERROR(IF(GUAYAQUIL[[#This Row],[CODIGO]]="","",GUAYAQUIL[[#This Row],[COSTO UNIT Conv]]*GUAYAQUIL[[#This Row],[Stock Actual Kgs]]),"")</f>
        <v>3.7532969999999999</v>
      </c>
      <c r="AB538" s="33">
        <f ca="1">+IFERROR(IF(GUAYAQUIL[[#This Row],[CODIGO]]="","",$J$3-O538),"")</f>
        <v>14</v>
      </c>
      <c r="AC538" s="34" t="str">
        <f ca="1">IF(GUAYAQUIL[[#This Row],[CODIGO]]="","",IF(S538&lt;=0,"CADUCADO",IF(AND(S538&gt;0,S538&lt;=21),"FECHA CORTA",IF(AND(S538&gt;=22,S538&lt;=26),"PROXIMOS FECHA CORTA", "VIGENTE"))))</f>
        <v>FECHA CORTA</v>
      </c>
      <c r="AD538" s="37">
        <f>+IF(GUAYAQUIL[[#This Row],[CODIGO]]="","",GUAYAQUIL[[#This Row],[Stock Actual Unds]]*GUAYAQUIL[[#This Row],[Gramaje]]*GUAYAQUIL[[#This Row],[Conversión]])/1000</f>
        <v>1.6199999999999999E-2</v>
      </c>
    </row>
    <row r="539" spans="1:30">
      <c r="A539" s="24" t="str">
        <f>+IFERROR(IF(GUAYAQUIL[[#This Row],[CODIGO]]="","",VLOOKUP(GUAYAQUIL[[#This Row],[CODIGO]],MAESTRO!$A:$J,10,FALSE)),"")</f>
        <v>MACHACHI</v>
      </c>
      <c r="B539" s="24" t="str">
        <f>+IFERROR(IF(GUAYAQUIL[[#This Row],[CODIGO]]="","",VLOOKUP(GUAYAQUIL[[#This Row],[CODIGO]],MAESTRO!$A:$Q,17,FALSE)),"")</f>
        <v>BEBIDAS LACTEAS</v>
      </c>
      <c r="C539" s="24" t="str">
        <f>+IFERROR(IF(GUAYAQUIL[[#This Row],[CODIGO]]="","",VLOOKUP(GUAYAQUIL[[#This Row],[CODIGO]],MAESTRO!$A:$BA,53,FALSE)),"")</f>
        <v xml:space="preserve">Luis Armendariz                         </v>
      </c>
      <c r="D539" s="24" t="str">
        <f>+IFERROR(IF(GUAYAQUIL[[#This Row],[CODIGO]]="","",VLOOKUP(GUAYAQUIL[[#This Row],[CODIGO]],MAESTRO!$A:$D,4,FALSE)),"")</f>
        <v>REGENERIS</v>
      </c>
      <c r="E539" s="24" t="str">
        <f>+IFERROR(IF(GUAYAQUIL[[#This Row],[CODIGO]]="","",VLOOKUP(GUAYAQUIL[[#This Row],[CODIGO]],MAESTRO!$A:$F,6,FALSE)),"")</f>
        <v>REGENERIS REGULAR VASO</v>
      </c>
      <c r="F539" s="42" t="str">
        <f>IF(GUAYAQUIL[[#This Row],[CODIGO]]="","",$K$6)</f>
        <v>GUAYAQUIL</v>
      </c>
      <c r="G539" s="209">
        <f>IF(GUAYAQUIL[[#This Row],[CODIGO]]="","",7711)</f>
        <v>7711</v>
      </c>
      <c r="H539" s="209">
        <f>IF(GUAYAQUIL[[#This Row],[CODIGO]]="","",1001)</f>
        <v>1001</v>
      </c>
      <c r="I539" s="257" t="s">
        <v>2217</v>
      </c>
      <c r="J539" s="25" t="str">
        <f>IFERROR((VLOOKUP(GUAYAQUIL[[#This Row],[CODIGO]],MAESTRO!A:B,2,FALSE)),"")</f>
        <v>RGN TZOS MOR VASO 150 G</v>
      </c>
      <c r="K539" s="26">
        <v>108</v>
      </c>
      <c r="L539" s="38">
        <f>+IFERROR(IF(GUAYAQUIL[[#This Row],[CODIGO]]="","",VLOOKUP(GUAYAQUIL[[#This Row],[CODIGO]],MAESTRO!$A:$BF,58,FALSE)),"")</f>
        <v>1</v>
      </c>
      <c r="M539" s="27">
        <f>+IFERROR(IF(GUAYAQUIL[[#This Row],[CODIGO]]="","",VLOOKUP(GUAYAQUIL[[#This Row],[CODIGO]],MAESTRO!A:N,14,FALSE)),"")</f>
        <v>0.15</v>
      </c>
      <c r="N539" s="28">
        <f>+IFERROR(IF(GUAYAQUIL[[#This Row],[CODIGO]]="","",VLOOKUP(GUAYAQUIL[[#This Row],[CODIGO]],MAESTRO!A:P,16,FALSE)),"")</f>
        <v>45</v>
      </c>
      <c r="O539" s="29">
        <v>45615</v>
      </c>
      <c r="P539" s="72" t="str">
        <f t="shared" si="40"/>
        <v>martes</v>
      </c>
      <c r="Q539" s="29">
        <f>IFERROR(IF(GUAYAQUIL[[#This Row],[CODIGO]]="","",IF(GUAYAQUIL[[#This Row],[Fecha Cad]]="","",(GUAYAQUIL[[#This Row],[Fecha Cad]]-GUAYAQUIL[[#This Row],[VIDA UTIL (Días)]]))+1),"")</f>
        <v>45604</v>
      </c>
      <c r="R539" s="29">
        <v>45648</v>
      </c>
      <c r="S539" s="30">
        <f t="shared" ca="1" si="41"/>
        <v>24</v>
      </c>
      <c r="T539" s="31">
        <f t="shared" ca="1" si="42"/>
        <v>0.53333333333333333</v>
      </c>
      <c r="U539" s="286">
        <v>102</v>
      </c>
      <c r="V539" s="267">
        <f>+IFERROR(IF(GUAYAQUIL[[#This Row],[CODIGO]]="","",GUAYAQUIL[[#This Row],[Stock Actual Unds]]*GUAYAQUIL[[#This Row],[Gramaje]]*GUAYAQUIL[[#This Row],[Conversión]]),"")</f>
        <v>15.299999999999999</v>
      </c>
      <c r="W539" s="270">
        <f t="shared" si="43"/>
        <v>11</v>
      </c>
      <c r="X539" s="32">
        <f t="shared" si="44"/>
        <v>0.75555555555555554</v>
      </c>
      <c r="Y539" s="236">
        <f>IFERROR(VLOOKUP(GUAYAQUIL[[#This Row],[CODIGO]],MAESTRO!A:BI,21,FALSE),0)</f>
        <v>0.231685</v>
      </c>
      <c r="Z539" s="237">
        <f>+IFERROR(IF(GUAYAQUIL[[#This Row],[CODIGO]]="","",GUAYAQUIL[[#This Row],[COSTO UNIT base]]*GUAYAQUIL[[#This Row],[Conversión]]),"")</f>
        <v>0.231685</v>
      </c>
      <c r="AA539" s="236">
        <f>+IFERROR(IF(GUAYAQUIL[[#This Row],[CODIGO]]="","",GUAYAQUIL[[#This Row],[COSTO UNIT Conv]]*GUAYAQUIL[[#This Row],[Stock Actual Kgs]]),"")</f>
        <v>3.5447804999999999</v>
      </c>
      <c r="AB539" s="33">
        <f ca="1">+IFERROR(IF(GUAYAQUIL[[#This Row],[CODIGO]]="","",$J$3-O539),"")</f>
        <v>9</v>
      </c>
      <c r="AC539" s="34" t="str">
        <f ca="1">IF(GUAYAQUIL[[#This Row],[CODIGO]]="","",IF(S539&lt;=0,"CADUCADO",IF(AND(S539&gt;0,S539&lt;=21),"FECHA CORTA",IF(AND(S539&gt;=22,S539&lt;=26),"PROXIMOS FECHA CORTA", "VIGENTE"))))</f>
        <v>PROXIMOS FECHA CORTA</v>
      </c>
      <c r="AD539" s="37">
        <f>+IF(GUAYAQUIL[[#This Row],[CODIGO]]="","",GUAYAQUIL[[#This Row],[Stock Actual Unds]]*GUAYAQUIL[[#This Row],[Gramaje]]*GUAYAQUIL[[#This Row],[Conversión]])/1000</f>
        <v>1.5299999999999999E-2</v>
      </c>
    </row>
    <row r="540" spans="1:30">
      <c r="A540" s="24" t="str">
        <f>+IFERROR(IF(GUAYAQUIL[[#This Row],[CODIGO]]="","",VLOOKUP(GUAYAQUIL[[#This Row],[CODIGO]],MAESTRO!$A:$J,10,FALSE)),"")</f>
        <v>MULTIEMPAQUE</v>
      </c>
      <c r="B540" s="24" t="str">
        <f>+IFERROR(IF(GUAYAQUIL[[#This Row],[CODIGO]]="","",VLOOKUP(GUAYAQUIL[[#This Row],[CODIGO]],MAESTRO!$A:$Q,17,FALSE)),"")</f>
        <v>BEBIDAS LACTEAS</v>
      </c>
      <c r="C540" s="24" t="str">
        <f>+IFERROR(IF(GUAYAQUIL[[#This Row],[CODIGO]]="","",VLOOKUP(GUAYAQUIL[[#This Row],[CODIGO]],MAESTRO!$A:$BA,53,FALSE)),"")</f>
        <v xml:space="preserve">Luis Armendariz                         </v>
      </c>
      <c r="D540" s="24" t="str">
        <f>+IFERROR(IF(GUAYAQUIL[[#This Row],[CODIGO]]="","",VLOOKUP(GUAYAQUIL[[#This Row],[CODIGO]],MAESTRO!$A:$D,4,FALSE)),"")</f>
        <v>AVENA ALPINA</v>
      </c>
      <c r="E540" s="24" t="str">
        <f>+IFERROR(IF(GUAYAQUIL[[#This Row],[CODIGO]]="","",VLOOKUP(GUAYAQUIL[[#This Row],[CODIGO]],MAESTRO!$A:$F,6,FALSE)),"")</f>
        <v>AVENA VASO</v>
      </c>
      <c r="F540" s="42" t="str">
        <f>IF(GUAYAQUIL[[#This Row],[CODIGO]]="","",$K$6)</f>
        <v>GUAYAQUIL</v>
      </c>
      <c r="G540" s="42">
        <f>IF(GUAYAQUIL[[#This Row],[CODIGO]]="","",7711)</f>
        <v>7711</v>
      </c>
      <c r="H540" s="42">
        <f>IF(GUAYAQUIL[[#This Row],[CODIGO]]="","",1001)</f>
        <v>1001</v>
      </c>
      <c r="I540" s="257" t="s">
        <v>4880</v>
      </c>
      <c r="J540" s="25" t="str">
        <f>IFERROR((VLOOKUP(GUAYAQUIL[[#This Row],[CODIGO]],MAESTRO!A:B,2,FALSE)),"")</f>
        <v>MPLX4 AVENA CAN VASO 250G</v>
      </c>
      <c r="K540" s="26">
        <v>24</v>
      </c>
      <c r="L540" s="38">
        <f>+IFERROR(IF(GUAYAQUIL[[#This Row],[CODIGO]]="","",VLOOKUP(GUAYAQUIL[[#This Row],[CODIGO]],MAESTRO!$A:$BF,58,FALSE)),"")</f>
        <v>1</v>
      </c>
      <c r="M540" s="27">
        <f>+IFERROR(IF(GUAYAQUIL[[#This Row],[CODIGO]]="","",VLOOKUP(GUAYAQUIL[[#This Row],[CODIGO]],MAESTRO!A:N,14,FALSE)),"")</f>
        <v>1</v>
      </c>
      <c r="N540" s="28">
        <f>+IFERROR(IF(GUAYAQUIL[[#This Row],[CODIGO]]="","",VLOOKUP(GUAYAQUIL[[#This Row],[CODIGO]],MAESTRO!A:P,16,FALSE)),"")</f>
        <v>180</v>
      </c>
      <c r="O540" s="29">
        <v>45518</v>
      </c>
      <c r="P540" s="72" t="str">
        <f t="shared" si="40"/>
        <v>miércoles</v>
      </c>
      <c r="Q540" s="29">
        <f>IFERROR(IF(GUAYAQUIL[[#This Row],[CODIGO]]="","",IF(GUAYAQUIL[[#This Row],[Fecha Cad]]="","",(GUAYAQUIL[[#This Row],[Fecha Cad]]-GUAYAQUIL[[#This Row],[VIDA UTIL (Días)]]))+1),"")</f>
        <v>45484</v>
      </c>
      <c r="R540" s="29">
        <v>45663</v>
      </c>
      <c r="S540" s="30">
        <f t="shared" ca="1" si="41"/>
        <v>39</v>
      </c>
      <c r="T540" s="31">
        <f t="shared" ca="1" si="42"/>
        <v>0.21666666666666667</v>
      </c>
      <c r="U540" s="286">
        <v>7</v>
      </c>
      <c r="V540" s="267">
        <f>+IFERROR(IF(GUAYAQUIL[[#This Row],[CODIGO]]="","",GUAYAQUIL[[#This Row],[Stock Actual Unds]]*GUAYAQUIL[[#This Row],[Gramaje]]*GUAYAQUIL[[#This Row],[Conversión]]),"")</f>
        <v>7</v>
      </c>
      <c r="W540" s="270">
        <f t="shared" si="43"/>
        <v>34</v>
      </c>
      <c r="X540" s="32">
        <f t="shared" si="44"/>
        <v>0.81111111111111112</v>
      </c>
      <c r="Y540" s="236">
        <f>IFERROR(VLOOKUP(GUAYAQUIL[[#This Row],[CODIGO]],MAESTRO!A:BI,21,FALSE),0)</f>
        <v>1.795145</v>
      </c>
      <c r="Z540" s="237">
        <f>+IFERROR(IF(GUAYAQUIL[[#This Row],[CODIGO]]="","",GUAYAQUIL[[#This Row],[COSTO UNIT base]]*GUAYAQUIL[[#This Row],[Conversión]]),"")</f>
        <v>1.795145</v>
      </c>
      <c r="AA540" s="236">
        <f>+IFERROR(IF(GUAYAQUIL[[#This Row],[CODIGO]]="","",GUAYAQUIL[[#This Row],[COSTO UNIT Conv]]*GUAYAQUIL[[#This Row],[Stock Actual Kgs]]),"")</f>
        <v>12.566015</v>
      </c>
      <c r="AB540" s="33">
        <f ca="1">+IFERROR(IF(GUAYAQUIL[[#This Row],[CODIGO]]="","",$J$3-O540),"")</f>
        <v>106</v>
      </c>
      <c r="AC540" s="34" t="str">
        <f ca="1">IF(GUAYAQUIL[[#This Row],[CODIGO]]="","",IF(S540&lt;=0,"CADUCADO",IF(AND(S540&gt;0,S540&lt;=21),"FECHA CORTA",IF(AND(S540&gt;=22,S540&lt;=26),"PROXIMOS FECHA CORTA", "VIGENTE"))))</f>
        <v>VIGENTE</v>
      </c>
      <c r="AD540" s="37">
        <f>+IF(GUAYAQUIL[[#This Row],[CODIGO]]="","",GUAYAQUIL[[#This Row],[Stock Actual Unds]]*GUAYAQUIL[[#This Row],[Gramaje]]*GUAYAQUIL[[#This Row],[Conversión]])/1000</f>
        <v>7.0000000000000001E-3</v>
      </c>
    </row>
    <row r="541" spans="1:30">
      <c r="A541" s="24" t="str">
        <f>+IFERROR(IF(GUAYAQUIL[[#This Row],[CODIGO]]="","",VLOOKUP(GUAYAQUIL[[#This Row],[CODIGO]],MAESTRO!$A:$J,10,FALSE)),"")</f>
        <v>MULTIEMPAQUE</v>
      </c>
      <c r="B541" s="24" t="str">
        <f>+IFERROR(IF(GUAYAQUIL[[#This Row],[CODIGO]]="","",VLOOKUP(GUAYAQUIL[[#This Row],[CODIGO]],MAESTRO!$A:$Q,17,FALSE)),"")</f>
        <v>BEBIDAS LACTEAS</v>
      </c>
      <c r="C541" s="24" t="str">
        <f>+IFERROR(IF(GUAYAQUIL[[#This Row],[CODIGO]]="","",VLOOKUP(GUAYAQUIL[[#This Row],[CODIGO]],MAESTRO!$A:$BA,53,FALSE)),"")</f>
        <v xml:space="preserve">Luis Armendariz                         </v>
      </c>
      <c r="D541" s="24" t="str">
        <f>+IFERROR(IF(GUAYAQUIL[[#This Row],[CODIGO]]="","",VLOOKUP(GUAYAQUIL[[#This Row],[CODIGO]],MAESTRO!$A:$D,4,FALSE)),"")</f>
        <v>AVENA ALPINA</v>
      </c>
      <c r="E541" s="24" t="str">
        <f>+IFERROR(IF(GUAYAQUIL[[#This Row],[CODIGO]]="","",VLOOKUP(GUAYAQUIL[[#This Row],[CODIGO]],MAESTRO!$A:$F,6,FALSE)),"")</f>
        <v>AVENA VASO</v>
      </c>
      <c r="F541" s="42" t="str">
        <f>IF(GUAYAQUIL[[#This Row],[CODIGO]]="","",$K$6)</f>
        <v>GUAYAQUIL</v>
      </c>
      <c r="G541" s="209">
        <f>IF(GUAYAQUIL[[#This Row],[CODIGO]]="","",7711)</f>
        <v>7711</v>
      </c>
      <c r="H541" s="209">
        <f>IF(GUAYAQUIL[[#This Row],[CODIGO]]="","",1001)</f>
        <v>1001</v>
      </c>
      <c r="I541" s="259" t="s">
        <v>4880</v>
      </c>
      <c r="J541" s="25" t="str">
        <f>IFERROR((VLOOKUP(GUAYAQUIL[[#This Row],[CODIGO]],MAESTRO!A:B,2,FALSE)),"")</f>
        <v>MPLX4 AVENA CAN VASO 250G</v>
      </c>
      <c r="K541" s="35">
        <v>36</v>
      </c>
      <c r="L541" s="38">
        <f>+IFERROR(IF(GUAYAQUIL[[#This Row],[CODIGO]]="","",VLOOKUP(GUAYAQUIL[[#This Row],[CODIGO]],MAESTRO!$A:$BF,58,FALSE)),"")</f>
        <v>1</v>
      </c>
      <c r="M541" s="27">
        <f>+IFERROR(IF(GUAYAQUIL[[#This Row],[CODIGO]]="","",VLOOKUP(GUAYAQUIL[[#This Row],[CODIGO]],MAESTRO!A:N,14,FALSE)),"")</f>
        <v>1</v>
      </c>
      <c r="N541" s="28">
        <f>+IFERROR(IF(GUAYAQUIL[[#This Row],[CODIGO]]="","",VLOOKUP(GUAYAQUIL[[#This Row],[CODIGO]],MAESTRO!A:P,16,FALSE)),"")</f>
        <v>180</v>
      </c>
      <c r="O541" s="29">
        <v>45588</v>
      </c>
      <c r="P541" s="72" t="str">
        <f t="shared" si="40"/>
        <v>miércoles</v>
      </c>
      <c r="Q541" s="29">
        <f>IFERROR(IF(GUAYAQUIL[[#This Row],[CODIGO]]="","",IF(GUAYAQUIL[[#This Row],[Fecha Cad]]="","",(GUAYAQUIL[[#This Row],[Fecha Cad]]-GUAYAQUIL[[#This Row],[VIDA UTIL (Días)]]))+1),"")</f>
        <v>45526</v>
      </c>
      <c r="R541" s="29">
        <v>45705</v>
      </c>
      <c r="S541" s="30">
        <f t="shared" ca="1" si="41"/>
        <v>81</v>
      </c>
      <c r="T541" s="31">
        <f t="shared" ca="1" si="42"/>
        <v>0.45</v>
      </c>
      <c r="U541" s="286">
        <v>9</v>
      </c>
      <c r="V541" s="266">
        <f>+IFERROR(IF(GUAYAQUIL[[#This Row],[CODIGO]]="","",GUAYAQUIL[[#This Row],[Stock Actual Unds]]*GUAYAQUIL[[#This Row],[Gramaje]]*GUAYAQUIL[[#This Row],[Conversión]]),"")</f>
        <v>9</v>
      </c>
      <c r="W541" s="270">
        <f t="shared" si="43"/>
        <v>62</v>
      </c>
      <c r="X541" s="32">
        <f t="shared" si="44"/>
        <v>0.65555555555555556</v>
      </c>
      <c r="Y541" s="236">
        <f>IFERROR(VLOOKUP(GUAYAQUIL[[#This Row],[CODIGO]],MAESTRO!A:BI,21,FALSE),0)</f>
        <v>1.795145</v>
      </c>
      <c r="Z541" s="237">
        <f>+IFERROR(IF(GUAYAQUIL[[#This Row],[CODIGO]]="","",GUAYAQUIL[[#This Row],[COSTO UNIT base]]*GUAYAQUIL[[#This Row],[Conversión]]),"")</f>
        <v>1.795145</v>
      </c>
      <c r="AA541" s="236">
        <f>+IFERROR(IF(GUAYAQUIL[[#This Row],[CODIGO]]="","",GUAYAQUIL[[#This Row],[COSTO UNIT Conv]]*GUAYAQUIL[[#This Row],[Stock Actual Kgs]]),"")</f>
        <v>16.156305</v>
      </c>
      <c r="AB541" s="33">
        <f ca="1">+IFERROR(IF(GUAYAQUIL[[#This Row],[CODIGO]]="","",$J$3-O541),"")</f>
        <v>36</v>
      </c>
      <c r="AC541" s="34" t="str">
        <f ca="1">IF(GUAYAQUIL[[#This Row],[CODIGO]]="","",IF(S541&lt;=0,"CADUCADO",IF(AND(S541&gt;0,S541&lt;=21),"FECHA CORTA",IF(AND(S541&gt;=22,S541&lt;=26),"PROXIMOS FECHA CORTA", "VIGENTE"))))</f>
        <v>VIGENTE</v>
      </c>
      <c r="AD541" s="37">
        <f>+IF(GUAYAQUIL[[#This Row],[CODIGO]]="","",GUAYAQUIL[[#This Row],[Stock Actual Unds]]*GUAYAQUIL[[#This Row],[Gramaje]]*GUAYAQUIL[[#This Row],[Conversión]])/1000</f>
        <v>8.9999999999999993E-3</v>
      </c>
    </row>
    <row r="542" spans="1:30">
      <c r="A542" s="24" t="str">
        <f>+IFERROR(IF(GUAYAQUIL[[#This Row],[CODIGO]]="","",VLOOKUP(GUAYAQUIL[[#This Row],[CODIGO]],MAESTRO!$A:$J,10,FALSE)),"")</f>
        <v>MULTIEMPAQUE</v>
      </c>
      <c r="B542" s="24" t="str">
        <f>+IFERROR(IF(GUAYAQUIL[[#This Row],[CODIGO]]="","",VLOOKUP(GUAYAQUIL[[#This Row],[CODIGO]],MAESTRO!$A:$Q,17,FALSE)),"")</f>
        <v>BEBIDAS LACTEAS</v>
      </c>
      <c r="C542" s="24" t="str">
        <f>+IFERROR(IF(GUAYAQUIL[[#This Row],[CODIGO]]="","",VLOOKUP(GUAYAQUIL[[#This Row],[CODIGO]],MAESTRO!$A:$BA,53,FALSE)),"")</f>
        <v xml:space="preserve">Luis Armendariz                         </v>
      </c>
      <c r="D542" s="24" t="str">
        <f>+IFERROR(IF(GUAYAQUIL[[#This Row],[CODIGO]]="","",VLOOKUP(GUAYAQUIL[[#This Row],[CODIGO]],MAESTRO!$A:$D,4,FALSE)),"")</f>
        <v>AVENA ALPINA</v>
      </c>
      <c r="E542" s="24" t="str">
        <f>+IFERROR(IF(GUAYAQUIL[[#This Row],[CODIGO]]="","",VLOOKUP(GUAYAQUIL[[#This Row],[CODIGO]],MAESTRO!$A:$F,6,FALSE)),"")</f>
        <v>AVENA VASO</v>
      </c>
      <c r="F542" s="42" t="str">
        <f>IF(GUAYAQUIL[[#This Row],[CODIGO]]="","",$K$6)</f>
        <v>GUAYAQUIL</v>
      </c>
      <c r="G542" s="42">
        <f>IF(GUAYAQUIL[[#This Row],[CODIGO]]="","",7711)</f>
        <v>7711</v>
      </c>
      <c r="H542" s="42">
        <f>IF(GUAYAQUIL[[#This Row],[CODIGO]]="","",1001)</f>
        <v>1001</v>
      </c>
      <c r="I542" s="258" t="s">
        <v>4880</v>
      </c>
      <c r="J542" s="25" t="str">
        <f>IFERROR((VLOOKUP(GUAYAQUIL[[#This Row],[CODIGO]],MAESTRO!A:B,2,FALSE)),"")</f>
        <v>MPLX4 AVENA CAN VASO 250G</v>
      </c>
      <c r="K542" s="35">
        <v>24</v>
      </c>
      <c r="L542" s="38">
        <f>+IFERROR(IF(GUAYAQUIL[[#This Row],[CODIGO]]="","",VLOOKUP(GUAYAQUIL[[#This Row],[CODIGO]],MAESTRO!$A:$BF,58,FALSE)),"")</f>
        <v>1</v>
      </c>
      <c r="M542" s="27">
        <f>+IFERROR(IF(GUAYAQUIL[[#This Row],[CODIGO]]="","",VLOOKUP(GUAYAQUIL[[#This Row],[CODIGO]],MAESTRO!A:N,14,FALSE)),"")</f>
        <v>1</v>
      </c>
      <c r="N542" s="28">
        <f>+IFERROR(IF(GUAYAQUIL[[#This Row],[CODIGO]]="","",VLOOKUP(GUAYAQUIL[[#This Row],[CODIGO]],MAESTRO!A:P,16,FALSE)),"")</f>
        <v>180</v>
      </c>
      <c r="O542" s="29">
        <v>45608</v>
      </c>
      <c r="P542" s="72" t="str">
        <f t="shared" si="40"/>
        <v>martes</v>
      </c>
      <c r="Q542" s="29">
        <f>IFERROR(IF(GUAYAQUIL[[#This Row],[CODIGO]]="","",IF(GUAYAQUIL[[#This Row],[Fecha Cad]]="","",(GUAYAQUIL[[#This Row],[Fecha Cad]]-GUAYAQUIL[[#This Row],[VIDA UTIL (Días)]]))+1),"")</f>
        <v>45584</v>
      </c>
      <c r="R542" s="29">
        <v>45763</v>
      </c>
      <c r="S542" s="30">
        <f t="shared" ca="1" si="41"/>
        <v>139</v>
      </c>
      <c r="T542" s="31">
        <f t="shared" ca="1" si="42"/>
        <v>0.77222222222222225</v>
      </c>
      <c r="U542" s="286">
        <v>21</v>
      </c>
      <c r="V542" s="266">
        <f>+IFERROR(IF(GUAYAQUIL[[#This Row],[CODIGO]]="","",GUAYAQUIL[[#This Row],[Stock Actual Unds]]*GUAYAQUIL[[#This Row],[Gramaje]]*GUAYAQUIL[[#This Row],[Conversión]]),"")</f>
        <v>21</v>
      </c>
      <c r="W542" s="270">
        <f t="shared" si="43"/>
        <v>24</v>
      </c>
      <c r="X542" s="32">
        <f t="shared" si="44"/>
        <v>0.8666666666666667</v>
      </c>
      <c r="Y542" s="236">
        <f>IFERROR(VLOOKUP(GUAYAQUIL[[#This Row],[CODIGO]],MAESTRO!A:BI,21,FALSE),0)</f>
        <v>1.795145</v>
      </c>
      <c r="Z542" s="237">
        <f>+IFERROR(IF(GUAYAQUIL[[#This Row],[CODIGO]]="","",GUAYAQUIL[[#This Row],[COSTO UNIT base]]*GUAYAQUIL[[#This Row],[Conversión]]),"")</f>
        <v>1.795145</v>
      </c>
      <c r="AA542" s="236">
        <f>+IFERROR(IF(GUAYAQUIL[[#This Row],[CODIGO]]="","",GUAYAQUIL[[#This Row],[COSTO UNIT Conv]]*GUAYAQUIL[[#This Row],[Stock Actual Kgs]]),"")</f>
        <v>37.698045</v>
      </c>
      <c r="AB542" s="33">
        <f ca="1">+IFERROR(IF(GUAYAQUIL[[#This Row],[CODIGO]]="","",$J$3-O542),"")</f>
        <v>16</v>
      </c>
      <c r="AC542" s="34" t="str">
        <f ca="1">IF(GUAYAQUIL[[#This Row],[CODIGO]]="","",IF(S542&lt;=0,"CADUCADO",IF(AND(S542&gt;0,S542&lt;=21),"FECHA CORTA",IF(AND(S542&gt;=22,S542&lt;=26),"PROXIMOS FECHA CORTA", "VIGENTE"))))</f>
        <v>VIGENTE</v>
      </c>
      <c r="AD542" s="37">
        <f>+IF(GUAYAQUIL[[#This Row],[CODIGO]]="","",GUAYAQUIL[[#This Row],[Stock Actual Unds]]*GUAYAQUIL[[#This Row],[Gramaje]]*GUAYAQUIL[[#This Row],[Conversión]])/1000</f>
        <v>2.1000000000000001E-2</v>
      </c>
    </row>
    <row r="543" spans="1:30">
      <c r="A543" s="24" t="str">
        <f>+IFERROR(IF(GUAYAQUIL[[#This Row],[CODIGO]]="","",VLOOKUP(GUAYAQUIL[[#This Row],[CODIGO]],MAESTRO!$A:$J,10,FALSE)),"")</f>
        <v>MACHACHI</v>
      </c>
      <c r="B543" s="24" t="str">
        <f>+IFERROR(IF(GUAYAQUIL[[#This Row],[CODIGO]]="","",VLOOKUP(GUAYAQUIL[[#This Row],[CODIGO]],MAESTRO!$A:$Q,17,FALSE)),"")</f>
        <v>BEBIDAS LACTEAS</v>
      </c>
      <c r="C543" s="24" t="str">
        <f>+IFERROR(IF(GUAYAQUIL[[#This Row],[CODIGO]]="","",VLOOKUP(GUAYAQUIL[[#This Row],[CODIGO]],MAESTRO!$A:$BA,53,FALSE)),"")</f>
        <v xml:space="preserve">Luis Armendariz                         </v>
      </c>
      <c r="D543" s="24" t="str">
        <f>+IFERROR(IF(GUAYAQUIL[[#This Row],[CODIGO]]="","",VLOOKUP(GUAYAQUIL[[#This Row],[CODIGO]],MAESTRO!$A:$D,4,FALSE)),"")</f>
        <v>REGENERIS</v>
      </c>
      <c r="E543" s="24" t="str">
        <f>+IFERROR(IF(GUAYAQUIL[[#This Row],[CODIGO]]="","",VLOOKUP(GUAYAQUIL[[#This Row],[CODIGO]],MAESTRO!$A:$F,6,FALSE)),"")</f>
        <v>REGENERIS CEREAL BOTELLA PERSONAL</v>
      </c>
      <c r="F543" s="42" t="str">
        <f>IF(GUAYAQUIL[[#This Row],[CODIGO]]="","",$K$6)</f>
        <v>GUAYAQUIL</v>
      </c>
      <c r="G543" s="209">
        <f>IF(GUAYAQUIL[[#This Row],[CODIGO]]="","",7711)</f>
        <v>7711</v>
      </c>
      <c r="H543" s="209">
        <f>IF(GUAYAQUIL[[#This Row],[CODIGO]]="","",1001)</f>
        <v>1001</v>
      </c>
      <c r="I543" s="257" t="s">
        <v>1156</v>
      </c>
      <c r="J543" s="25" t="str">
        <f>IFERROR((VLOOKUP(GUAYAQUIL[[#This Row],[CODIGO]],MAESTRO!A:B,2,FALSE)),"")</f>
        <v>RGN CER GDLLA BOT 180G</v>
      </c>
      <c r="K543" s="26">
        <v>108</v>
      </c>
      <c r="L543" s="38">
        <f>+IFERROR(IF(GUAYAQUIL[[#This Row],[CODIGO]]="","",VLOOKUP(GUAYAQUIL[[#This Row],[CODIGO]],MAESTRO!$A:$BF,58,FALSE)),"")</f>
        <v>1</v>
      </c>
      <c r="M543" s="27">
        <f>+IFERROR(IF(GUAYAQUIL[[#This Row],[CODIGO]]="","",VLOOKUP(GUAYAQUIL[[#This Row],[CODIGO]],MAESTRO!A:N,14,FALSE)),"")</f>
        <v>0.18</v>
      </c>
      <c r="N543" s="28">
        <f>+IFERROR(IF(GUAYAQUIL[[#This Row],[CODIGO]]="","",VLOOKUP(GUAYAQUIL[[#This Row],[CODIGO]],MAESTRO!A:P,16,FALSE)),"")</f>
        <v>45</v>
      </c>
      <c r="O543" s="29">
        <v>45591</v>
      </c>
      <c r="P543" s="72" t="str">
        <f t="shared" si="40"/>
        <v>sábado</v>
      </c>
      <c r="Q543" s="29">
        <f>IFERROR(IF(GUAYAQUIL[[#This Row],[CODIGO]]="","",IF(GUAYAQUIL[[#This Row],[Fecha Cad]]="","",(GUAYAQUIL[[#This Row],[Fecha Cad]]-GUAYAQUIL[[#This Row],[VIDA UTIL (Días)]]))+1),"")</f>
        <v>45590</v>
      </c>
      <c r="R543" s="29">
        <v>45634</v>
      </c>
      <c r="S543" s="30">
        <f t="shared" ca="1" si="41"/>
        <v>10</v>
      </c>
      <c r="T543" s="31">
        <f t="shared" ca="1" si="42"/>
        <v>0.22222222222222221</v>
      </c>
      <c r="U543" s="286">
        <v>22</v>
      </c>
      <c r="V543" s="267">
        <f>+IFERROR(IF(GUAYAQUIL[[#This Row],[CODIGO]]="","",GUAYAQUIL[[#This Row],[Stock Actual Unds]]*GUAYAQUIL[[#This Row],[Gramaje]]*GUAYAQUIL[[#This Row],[Conversión]]),"")</f>
        <v>3.96</v>
      </c>
      <c r="W543" s="270">
        <f t="shared" si="43"/>
        <v>1</v>
      </c>
      <c r="X543" s="32">
        <f t="shared" si="44"/>
        <v>0.97777777777777775</v>
      </c>
      <c r="Y543" s="236">
        <f>IFERROR(VLOOKUP(GUAYAQUIL[[#This Row],[CODIGO]],MAESTRO!A:BI,21,FALSE),0)</f>
        <v>0.28275</v>
      </c>
      <c r="Z543" s="237">
        <f>+IFERROR(IF(GUAYAQUIL[[#This Row],[CODIGO]]="","",GUAYAQUIL[[#This Row],[COSTO UNIT base]]*GUAYAQUIL[[#This Row],[Conversión]]),"")</f>
        <v>0.28275</v>
      </c>
      <c r="AA543" s="236">
        <f>+IFERROR(IF(GUAYAQUIL[[#This Row],[CODIGO]]="","",GUAYAQUIL[[#This Row],[COSTO UNIT Conv]]*GUAYAQUIL[[#This Row],[Stock Actual Kgs]]),"")</f>
        <v>1.1196900000000001</v>
      </c>
      <c r="AB543" s="33">
        <f ca="1">+IFERROR(IF(GUAYAQUIL[[#This Row],[CODIGO]]="","",$J$3-O543),"")</f>
        <v>33</v>
      </c>
      <c r="AC543" s="34" t="str">
        <f ca="1">IF(GUAYAQUIL[[#This Row],[CODIGO]]="","",IF(S543&lt;=0,"CADUCADO",IF(AND(S543&gt;0,S543&lt;=21),"FECHA CORTA",IF(AND(S543&gt;=22,S543&lt;=26),"PROXIMOS FECHA CORTA", "VIGENTE"))))</f>
        <v>FECHA CORTA</v>
      </c>
      <c r="AD543" s="37">
        <f>+IF(GUAYAQUIL[[#This Row],[CODIGO]]="","",GUAYAQUIL[[#This Row],[Stock Actual Unds]]*GUAYAQUIL[[#This Row],[Gramaje]]*GUAYAQUIL[[#This Row],[Conversión]])/1000</f>
        <v>3.96E-3</v>
      </c>
    </row>
    <row r="544" spans="1:30">
      <c r="A544" s="24" t="str">
        <f>+IFERROR(IF(GUAYAQUIL[[#This Row],[CODIGO]]="","",VLOOKUP(GUAYAQUIL[[#This Row],[CODIGO]],MAESTRO!$A:$J,10,FALSE)),"")</f>
        <v>MACHACHI</v>
      </c>
      <c r="B544" s="24" t="str">
        <f>+IFERROR(IF(GUAYAQUIL[[#This Row],[CODIGO]]="","",VLOOKUP(GUAYAQUIL[[#This Row],[CODIGO]],MAESTRO!$A:$Q,17,FALSE)),"")</f>
        <v>BEBIDAS LACTEAS</v>
      </c>
      <c r="C544" s="24" t="str">
        <f>+IFERROR(IF(GUAYAQUIL[[#This Row],[CODIGO]]="","",VLOOKUP(GUAYAQUIL[[#This Row],[CODIGO]],MAESTRO!$A:$BA,53,FALSE)),"")</f>
        <v xml:space="preserve">Luis Armendariz                         </v>
      </c>
      <c r="D544" s="24" t="str">
        <f>+IFERROR(IF(GUAYAQUIL[[#This Row],[CODIGO]]="","",VLOOKUP(GUAYAQUIL[[#This Row],[CODIGO]],MAESTRO!$A:$D,4,FALSE)),"")</f>
        <v>REGENERIS</v>
      </c>
      <c r="E544" s="24" t="str">
        <f>+IFERROR(IF(GUAYAQUIL[[#This Row],[CODIGO]]="","",VLOOKUP(GUAYAQUIL[[#This Row],[CODIGO]],MAESTRO!$A:$F,6,FALSE)),"")</f>
        <v>REGENERIS CEREAL BOTELLA PERSONAL</v>
      </c>
      <c r="F544" s="42" t="str">
        <f>IF(GUAYAQUIL[[#This Row],[CODIGO]]="","",$K$6)</f>
        <v>GUAYAQUIL</v>
      </c>
      <c r="G544" s="42">
        <f>IF(GUAYAQUIL[[#This Row],[CODIGO]]="","",7711)</f>
        <v>7711</v>
      </c>
      <c r="H544" s="42">
        <f>IF(GUAYAQUIL[[#This Row],[CODIGO]]="","",1001)</f>
        <v>1001</v>
      </c>
      <c r="I544" s="257" t="s">
        <v>1156</v>
      </c>
      <c r="J544" s="25" t="str">
        <f>IFERROR((VLOOKUP(GUAYAQUIL[[#This Row],[CODIGO]],MAESTRO!A:B,2,FALSE)),"")</f>
        <v>RGN CER GDLLA BOT 180G</v>
      </c>
      <c r="K544" s="26">
        <v>108</v>
      </c>
      <c r="L544" s="38">
        <f>+IFERROR(IF(GUAYAQUIL[[#This Row],[CODIGO]]="","",VLOOKUP(GUAYAQUIL[[#This Row],[CODIGO]],MAESTRO!$A:$BF,58,FALSE)),"")</f>
        <v>1</v>
      </c>
      <c r="M544" s="27">
        <f>+IFERROR(IF(GUAYAQUIL[[#This Row],[CODIGO]]="","",VLOOKUP(GUAYAQUIL[[#This Row],[CODIGO]],MAESTRO!A:N,14,FALSE)),"")</f>
        <v>0.18</v>
      </c>
      <c r="N544" s="28">
        <f>+IFERROR(IF(GUAYAQUIL[[#This Row],[CODIGO]]="","",VLOOKUP(GUAYAQUIL[[#This Row],[CODIGO]],MAESTRO!A:P,16,FALSE)),"")</f>
        <v>45</v>
      </c>
      <c r="O544" s="29">
        <v>45608</v>
      </c>
      <c r="P544" s="72" t="str">
        <f t="shared" si="40"/>
        <v>martes</v>
      </c>
      <c r="Q544" s="29">
        <f>IFERROR(IF(GUAYAQUIL[[#This Row],[CODIGO]]="","",IF(GUAYAQUIL[[#This Row],[Fecha Cad]]="","",(GUAYAQUIL[[#This Row],[Fecha Cad]]-GUAYAQUIL[[#This Row],[VIDA UTIL (Días)]]))+1),"")</f>
        <v>45603</v>
      </c>
      <c r="R544" s="29">
        <v>45647</v>
      </c>
      <c r="S544" s="30">
        <f t="shared" ca="1" si="41"/>
        <v>23</v>
      </c>
      <c r="T544" s="31">
        <f t="shared" ca="1" si="42"/>
        <v>0.51111111111111107</v>
      </c>
      <c r="U544" s="286">
        <v>77</v>
      </c>
      <c r="V544" s="267">
        <f>+IFERROR(IF(GUAYAQUIL[[#This Row],[CODIGO]]="","",GUAYAQUIL[[#This Row],[Stock Actual Unds]]*GUAYAQUIL[[#This Row],[Gramaje]]*GUAYAQUIL[[#This Row],[Conversión]]),"")</f>
        <v>13.86</v>
      </c>
      <c r="W544" s="270">
        <f t="shared" si="43"/>
        <v>5</v>
      </c>
      <c r="X544" s="32">
        <f t="shared" si="44"/>
        <v>0.88888888888888884</v>
      </c>
      <c r="Y544" s="236">
        <f>IFERROR(VLOOKUP(GUAYAQUIL[[#This Row],[CODIGO]],MAESTRO!A:BI,21,FALSE),0)</f>
        <v>0.28275</v>
      </c>
      <c r="Z544" s="237">
        <f>+IFERROR(IF(GUAYAQUIL[[#This Row],[CODIGO]]="","",GUAYAQUIL[[#This Row],[COSTO UNIT base]]*GUAYAQUIL[[#This Row],[Conversión]]),"")</f>
        <v>0.28275</v>
      </c>
      <c r="AA544" s="236">
        <f>+IFERROR(IF(GUAYAQUIL[[#This Row],[CODIGO]]="","",GUAYAQUIL[[#This Row],[COSTO UNIT Conv]]*GUAYAQUIL[[#This Row],[Stock Actual Kgs]]),"")</f>
        <v>3.9189149999999997</v>
      </c>
      <c r="AB544" s="33">
        <f ca="1">+IFERROR(IF(GUAYAQUIL[[#This Row],[CODIGO]]="","",$J$3-O544),"")</f>
        <v>16</v>
      </c>
      <c r="AC544" s="34" t="str">
        <f ca="1">IF(GUAYAQUIL[[#This Row],[CODIGO]]="","",IF(S544&lt;=0,"CADUCADO",IF(AND(S544&gt;0,S544&lt;=21),"FECHA CORTA",IF(AND(S544&gt;=22,S544&lt;=26),"PROXIMOS FECHA CORTA", "VIGENTE"))))</f>
        <v>PROXIMOS FECHA CORTA</v>
      </c>
      <c r="AD544" s="37">
        <f>+IF(GUAYAQUIL[[#This Row],[CODIGO]]="","",GUAYAQUIL[[#This Row],[Stock Actual Unds]]*GUAYAQUIL[[#This Row],[Gramaje]]*GUAYAQUIL[[#This Row],[Conversión]])/1000</f>
        <v>1.3859999999999999E-2</v>
      </c>
    </row>
    <row r="545" spans="1:30">
      <c r="A545" s="24" t="str">
        <f>+IFERROR(IF(GUAYAQUIL[[#This Row],[CODIGO]]="","",VLOOKUP(GUAYAQUIL[[#This Row],[CODIGO]],MAESTRO!$A:$J,10,FALSE)),"")</f>
        <v>MACHACHI</v>
      </c>
      <c r="B545" s="24" t="str">
        <f>+IFERROR(IF(GUAYAQUIL[[#This Row],[CODIGO]]="","",VLOOKUP(GUAYAQUIL[[#This Row],[CODIGO]],MAESTRO!$A:$Q,17,FALSE)),"")</f>
        <v>BEBIDAS LACTEAS</v>
      </c>
      <c r="C545" s="24" t="str">
        <f>+IFERROR(IF(GUAYAQUIL[[#This Row],[CODIGO]]="","",VLOOKUP(GUAYAQUIL[[#This Row],[CODIGO]],MAESTRO!$A:$BA,53,FALSE)),"")</f>
        <v xml:space="preserve">Luis Armendariz                         </v>
      </c>
      <c r="D545" s="24" t="str">
        <f>+IFERROR(IF(GUAYAQUIL[[#This Row],[CODIGO]]="","",VLOOKUP(GUAYAQUIL[[#This Row],[CODIGO]],MAESTRO!$A:$D,4,FALSE)),"")</f>
        <v>BON YURT</v>
      </c>
      <c r="E545" s="24" t="str">
        <f>+IFERROR(IF(GUAYAQUIL[[#This Row],[CODIGO]]="","",VLOOKUP(GUAYAQUIL[[#This Row],[CODIGO]],MAESTRO!$A:$F,6,FALSE)),"")</f>
        <v>BON YURT MINI</v>
      </c>
      <c r="F545" s="42" t="str">
        <f>IF(GUAYAQUIL[[#This Row],[CODIGO]]="","",$K$6)</f>
        <v>GUAYAQUIL</v>
      </c>
      <c r="G545" s="209">
        <f>IF(GUAYAQUIL[[#This Row],[CODIGO]]="","",7711)</f>
        <v>7711</v>
      </c>
      <c r="H545" s="209">
        <f>IF(GUAYAQUIL[[#This Row],[CODIGO]]="","",1001)</f>
        <v>1001</v>
      </c>
      <c r="I545" s="257" t="s">
        <v>2574</v>
      </c>
      <c r="J545" s="25" t="str">
        <f>IFERROR((VLOOKUP(GUAYAQUIL[[#This Row],[CODIGO]],MAESTRO!A:B,2,FALSE)),"")</f>
        <v>BY MINI CRUNFRE VASO 90G</v>
      </c>
      <c r="K545" s="26">
        <v>980</v>
      </c>
      <c r="L545" s="38">
        <f>+IFERROR(IF(GUAYAQUIL[[#This Row],[CODIGO]]="","",VLOOKUP(GUAYAQUIL[[#This Row],[CODIGO]],MAESTRO!$A:$BF,58,FALSE)),"")</f>
        <v>1</v>
      </c>
      <c r="M545" s="27">
        <f>+IFERROR(IF(GUAYAQUIL[[#This Row],[CODIGO]]="","",VLOOKUP(GUAYAQUIL[[#This Row],[CODIGO]],MAESTRO!A:N,14,FALSE)),"")</f>
        <v>0.09</v>
      </c>
      <c r="N545" s="28">
        <f>+IFERROR(IF(GUAYAQUIL[[#This Row],[CODIGO]]="","",VLOOKUP(GUAYAQUIL[[#This Row],[CODIGO]],MAESTRO!A:P,16,FALSE)),"")</f>
        <v>45</v>
      </c>
      <c r="O545" s="29">
        <v>45608</v>
      </c>
      <c r="P545" s="72" t="str">
        <f t="shared" si="40"/>
        <v>martes</v>
      </c>
      <c r="Q545" s="29">
        <f>IFERROR(IF(GUAYAQUIL[[#This Row],[CODIGO]]="","",IF(GUAYAQUIL[[#This Row],[Fecha Cad]]="","",(GUAYAQUIL[[#This Row],[Fecha Cad]]-GUAYAQUIL[[#This Row],[VIDA UTIL (Días)]]))+1),"")</f>
        <v>45596</v>
      </c>
      <c r="R545" s="29">
        <v>45640</v>
      </c>
      <c r="S545" s="30">
        <f t="shared" ca="1" si="41"/>
        <v>16</v>
      </c>
      <c r="T545" s="31">
        <f t="shared" ca="1" si="42"/>
        <v>0.35555555555555557</v>
      </c>
      <c r="U545" s="286">
        <v>22</v>
      </c>
      <c r="V545" s="267">
        <f>+IFERROR(IF(GUAYAQUIL[[#This Row],[CODIGO]]="","",GUAYAQUIL[[#This Row],[Stock Actual Unds]]*GUAYAQUIL[[#This Row],[Gramaje]]*GUAYAQUIL[[#This Row],[Conversión]]),"")</f>
        <v>1.98</v>
      </c>
      <c r="W545" s="270">
        <f t="shared" si="43"/>
        <v>12</v>
      </c>
      <c r="X545" s="32">
        <f t="shared" si="44"/>
        <v>0.73333333333333339</v>
      </c>
      <c r="Y545" s="236">
        <f>IFERROR(VLOOKUP(GUAYAQUIL[[#This Row],[CODIGO]],MAESTRO!A:BI,21,FALSE),0)</f>
        <v>0.20507500000000001</v>
      </c>
      <c r="Z545" s="237">
        <f>+IFERROR(IF(GUAYAQUIL[[#This Row],[CODIGO]]="","",GUAYAQUIL[[#This Row],[COSTO UNIT base]]*GUAYAQUIL[[#This Row],[Conversión]]),"")</f>
        <v>0.20507500000000001</v>
      </c>
      <c r="AA545" s="236">
        <f>+IFERROR(IF(GUAYAQUIL[[#This Row],[CODIGO]]="","",GUAYAQUIL[[#This Row],[COSTO UNIT Conv]]*GUAYAQUIL[[#This Row],[Stock Actual Kgs]]),"")</f>
        <v>0.40604850000000003</v>
      </c>
      <c r="AB545" s="33">
        <f ca="1">+IFERROR(IF(GUAYAQUIL[[#This Row],[CODIGO]]="","",$J$3-O545),"")</f>
        <v>16</v>
      </c>
      <c r="AC545" s="34" t="str">
        <f ca="1">IF(GUAYAQUIL[[#This Row],[CODIGO]]="","",IF(S545&lt;=0,"CADUCADO",IF(AND(S545&gt;0,S545&lt;=21),"FECHA CORTA",IF(AND(S545&gt;=22,S545&lt;=26),"PROXIMOS FECHA CORTA", "VIGENTE"))))</f>
        <v>FECHA CORTA</v>
      </c>
      <c r="AD545" s="37">
        <f>+IF(GUAYAQUIL[[#This Row],[CODIGO]]="","",GUAYAQUIL[[#This Row],[Stock Actual Unds]]*GUAYAQUIL[[#This Row],[Gramaje]]*GUAYAQUIL[[#This Row],[Conversión]])/1000</f>
        <v>1.98E-3</v>
      </c>
    </row>
    <row r="546" spans="1:30">
      <c r="A546" s="24" t="str">
        <f>+IFERROR(IF(GUAYAQUIL[[#This Row],[CODIGO]]="","",VLOOKUP(GUAYAQUIL[[#This Row],[CODIGO]],MAESTRO!$A:$J,10,FALSE)),"")</f>
        <v>MACHACHI</v>
      </c>
      <c r="B546" s="24" t="str">
        <f>+IFERROR(IF(GUAYAQUIL[[#This Row],[CODIGO]]="","",VLOOKUP(GUAYAQUIL[[#This Row],[CODIGO]],MAESTRO!$A:$Q,17,FALSE)),"")</f>
        <v>BEBIDAS LACTEAS</v>
      </c>
      <c r="C546" s="24" t="str">
        <f>+IFERROR(IF(GUAYAQUIL[[#This Row],[CODIGO]]="","",VLOOKUP(GUAYAQUIL[[#This Row],[CODIGO]],MAESTRO!$A:$BA,53,FALSE)),"")</f>
        <v xml:space="preserve">Luis Armendariz                         </v>
      </c>
      <c r="D546" s="24" t="str">
        <f>+IFERROR(IF(GUAYAQUIL[[#This Row],[CODIGO]]="","",VLOOKUP(GUAYAQUIL[[#This Row],[CODIGO]],MAESTRO!$A:$D,4,FALSE)),"")</f>
        <v>BON YURT</v>
      </c>
      <c r="E546" s="24" t="str">
        <f>+IFERROR(IF(GUAYAQUIL[[#This Row],[CODIGO]]="","",VLOOKUP(GUAYAQUIL[[#This Row],[CODIGO]],MAESTRO!$A:$F,6,FALSE)),"")</f>
        <v>BON YURT MINI</v>
      </c>
      <c r="F546" s="42" t="str">
        <f>IF(GUAYAQUIL[[#This Row],[CODIGO]]="","",$K$6)</f>
        <v>GUAYAQUIL</v>
      </c>
      <c r="G546" s="42">
        <f>IF(GUAYAQUIL[[#This Row],[CODIGO]]="","",7711)</f>
        <v>7711</v>
      </c>
      <c r="H546" s="42">
        <f>IF(GUAYAQUIL[[#This Row],[CODIGO]]="","",1001)</f>
        <v>1001</v>
      </c>
      <c r="I546" s="258" t="s">
        <v>2574</v>
      </c>
      <c r="J546" s="25" t="str">
        <f>IFERROR((VLOOKUP(GUAYAQUIL[[#This Row],[CODIGO]],MAESTRO!A:B,2,FALSE)),"")</f>
        <v>BY MINI CRUNFRE VASO 90G</v>
      </c>
      <c r="K546" s="35">
        <v>700</v>
      </c>
      <c r="L546" s="38">
        <f>+IFERROR(IF(GUAYAQUIL[[#This Row],[CODIGO]]="","",VLOOKUP(GUAYAQUIL[[#This Row],[CODIGO]],MAESTRO!$A:$BF,58,FALSE)),"")</f>
        <v>1</v>
      </c>
      <c r="M546" s="27">
        <f>+IFERROR(IF(GUAYAQUIL[[#This Row],[CODIGO]]="","",VLOOKUP(GUAYAQUIL[[#This Row],[CODIGO]],MAESTRO!A:N,14,FALSE)),"")</f>
        <v>0.09</v>
      </c>
      <c r="N546" s="28">
        <f>+IFERROR(IF(GUAYAQUIL[[#This Row],[CODIGO]]="","",VLOOKUP(GUAYAQUIL[[#This Row],[CODIGO]],MAESTRO!A:P,16,FALSE)),"")</f>
        <v>45</v>
      </c>
      <c r="O546" s="29">
        <v>45612</v>
      </c>
      <c r="P546" s="72" t="str">
        <f t="shared" si="40"/>
        <v>sábado</v>
      </c>
      <c r="Q546" s="29">
        <f>IFERROR(IF(GUAYAQUIL[[#This Row],[CODIGO]]="","",IF(GUAYAQUIL[[#This Row],[Fecha Cad]]="","",(GUAYAQUIL[[#This Row],[Fecha Cad]]-GUAYAQUIL[[#This Row],[VIDA UTIL (Días)]]))+1),"")</f>
        <v>45603</v>
      </c>
      <c r="R546" s="29">
        <v>45647</v>
      </c>
      <c r="S546" s="30">
        <f t="shared" ca="1" si="41"/>
        <v>23</v>
      </c>
      <c r="T546" s="31">
        <f t="shared" ca="1" si="42"/>
        <v>0.51111111111111107</v>
      </c>
      <c r="U546" s="286">
        <v>700</v>
      </c>
      <c r="V546" s="266">
        <f>+IFERROR(IF(GUAYAQUIL[[#This Row],[CODIGO]]="","",GUAYAQUIL[[#This Row],[Stock Actual Unds]]*GUAYAQUIL[[#This Row],[Gramaje]]*GUAYAQUIL[[#This Row],[Conversión]]),"")</f>
        <v>63</v>
      </c>
      <c r="W546" s="270">
        <f t="shared" si="43"/>
        <v>9</v>
      </c>
      <c r="X546" s="32">
        <f t="shared" si="44"/>
        <v>0.8</v>
      </c>
      <c r="Y546" s="236">
        <f>IFERROR(VLOOKUP(GUAYAQUIL[[#This Row],[CODIGO]],MAESTRO!A:BI,21,FALSE),0)</f>
        <v>0.20507500000000001</v>
      </c>
      <c r="Z546" s="237">
        <f>+IFERROR(IF(GUAYAQUIL[[#This Row],[CODIGO]]="","",GUAYAQUIL[[#This Row],[COSTO UNIT base]]*GUAYAQUIL[[#This Row],[Conversión]]),"")</f>
        <v>0.20507500000000001</v>
      </c>
      <c r="AA546" s="236">
        <f>+IFERROR(IF(GUAYAQUIL[[#This Row],[CODIGO]]="","",GUAYAQUIL[[#This Row],[COSTO UNIT Conv]]*GUAYAQUIL[[#This Row],[Stock Actual Kgs]]),"")</f>
        <v>12.919725</v>
      </c>
      <c r="AB546" s="33">
        <f ca="1">+IFERROR(IF(GUAYAQUIL[[#This Row],[CODIGO]]="","",$J$3-O546),"")</f>
        <v>12</v>
      </c>
      <c r="AC546" s="34" t="str">
        <f ca="1">IF(GUAYAQUIL[[#This Row],[CODIGO]]="","",IF(S546&lt;=0,"CADUCADO",IF(AND(S546&gt;0,S546&lt;=21),"FECHA CORTA",IF(AND(S546&gt;=22,S546&lt;=26),"PROXIMOS FECHA CORTA", "VIGENTE"))))</f>
        <v>PROXIMOS FECHA CORTA</v>
      </c>
      <c r="AD546" s="37">
        <f>+IF(GUAYAQUIL[[#This Row],[CODIGO]]="","",GUAYAQUIL[[#This Row],[Stock Actual Unds]]*GUAYAQUIL[[#This Row],[Gramaje]]*GUAYAQUIL[[#This Row],[Conversión]])/1000</f>
        <v>6.3E-2</v>
      </c>
    </row>
    <row r="547" spans="1:30">
      <c r="A547" s="24" t="str">
        <f>+IFERROR(IF(GUAYAQUIL[[#This Row],[CODIGO]]="","",VLOOKUP(GUAYAQUIL[[#This Row],[CODIGO]],MAESTRO!$A:$J,10,FALSE)),"")</f>
        <v>MACHACHI</v>
      </c>
      <c r="B547" s="24" t="str">
        <f>+IFERROR(IF(GUAYAQUIL[[#This Row],[CODIGO]]="","",VLOOKUP(GUAYAQUIL[[#This Row],[CODIGO]],MAESTRO!$A:$Q,17,FALSE)),"")</f>
        <v>BEBIDAS LACTEAS</v>
      </c>
      <c r="C547" s="24" t="str">
        <f>+IFERROR(IF(GUAYAQUIL[[#This Row],[CODIGO]]="","",VLOOKUP(GUAYAQUIL[[#This Row],[CODIGO]],MAESTRO!$A:$BA,53,FALSE)),"")</f>
        <v xml:space="preserve">Luis Armendariz                         </v>
      </c>
      <c r="D547" s="24" t="str">
        <f>+IFERROR(IF(GUAYAQUIL[[#This Row],[CODIGO]]="","",VLOOKUP(GUAYAQUIL[[#This Row],[CODIGO]],MAESTRO!$A:$D,4,FALSE)),"")</f>
        <v>BON YURT</v>
      </c>
      <c r="E547" s="24" t="str">
        <f>+IFERROR(IF(GUAYAQUIL[[#This Row],[CODIGO]]="","",VLOOKUP(GUAYAQUIL[[#This Row],[CODIGO]],MAESTRO!$A:$F,6,FALSE)),"")</f>
        <v>BON YURT MINI</v>
      </c>
      <c r="F547" s="42" t="str">
        <f>IF(GUAYAQUIL[[#This Row],[CODIGO]]="","",$K$6)</f>
        <v>GUAYAQUIL</v>
      </c>
      <c r="G547" s="209">
        <f>IF(GUAYAQUIL[[#This Row],[CODIGO]]="","",7711)</f>
        <v>7711</v>
      </c>
      <c r="H547" s="209">
        <f>IF(GUAYAQUIL[[#This Row],[CODIGO]]="","",1001)</f>
        <v>1001</v>
      </c>
      <c r="I547" s="258" t="s">
        <v>2574</v>
      </c>
      <c r="J547" s="25" t="str">
        <f>IFERROR((VLOOKUP(GUAYAQUIL[[#This Row],[CODIGO]],MAESTRO!A:B,2,FALSE)),"")</f>
        <v>BY MINI CRUNFRE VASO 90G</v>
      </c>
      <c r="K547" s="35">
        <v>840</v>
      </c>
      <c r="L547" s="38">
        <f>+IFERROR(IF(GUAYAQUIL[[#This Row],[CODIGO]]="","",VLOOKUP(GUAYAQUIL[[#This Row],[CODIGO]],MAESTRO!$A:$BF,58,FALSE)),"")</f>
        <v>1</v>
      </c>
      <c r="M547" s="27">
        <f>+IFERROR(IF(GUAYAQUIL[[#This Row],[CODIGO]]="","",VLOOKUP(GUAYAQUIL[[#This Row],[CODIGO]],MAESTRO!A:N,14,FALSE)),"")</f>
        <v>0.09</v>
      </c>
      <c r="N547" s="28">
        <f>+IFERROR(IF(GUAYAQUIL[[#This Row],[CODIGO]]="","",VLOOKUP(GUAYAQUIL[[#This Row],[CODIGO]],MAESTRO!A:P,16,FALSE)),"")</f>
        <v>45</v>
      </c>
      <c r="O547" s="29">
        <v>45611</v>
      </c>
      <c r="P547" s="72" t="str">
        <f t="shared" si="40"/>
        <v>viernes</v>
      </c>
      <c r="Q547" s="29">
        <f>IFERROR(IF(GUAYAQUIL[[#This Row],[CODIGO]]="","",IF(GUAYAQUIL[[#This Row],[Fecha Cad]]="","",(GUAYAQUIL[[#This Row],[Fecha Cad]]-GUAYAQUIL[[#This Row],[VIDA UTIL (Días)]]))+1),"")</f>
        <v>45603</v>
      </c>
      <c r="R547" s="29">
        <v>45647</v>
      </c>
      <c r="S547" s="30">
        <f t="shared" ca="1" si="41"/>
        <v>23</v>
      </c>
      <c r="T547" s="31">
        <f t="shared" ca="1" si="42"/>
        <v>0.51111111111111107</v>
      </c>
      <c r="U547" s="286">
        <v>733</v>
      </c>
      <c r="V547" s="266">
        <f>+IFERROR(IF(GUAYAQUIL[[#This Row],[CODIGO]]="","",GUAYAQUIL[[#This Row],[Stock Actual Unds]]*GUAYAQUIL[[#This Row],[Gramaje]]*GUAYAQUIL[[#This Row],[Conversión]]),"")</f>
        <v>65.97</v>
      </c>
      <c r="W547" s="270">
        <f t="shared" si="43"/>
        <v>8</v>
      </c>
      <c r="X547" s="32">
        <f t="shared" si="44"/>
        <v>0.82222222222222219</v>
      </c>
      <c r="Y547" s="236">
        <f>IFERROR(VLOOKUP(GUAYAQUIL[[#This Row],[CODIGO]],MAESTRO!A:BI,21,FALSE),0)</f>
        <v>0.20507500000000001</v>
      </c>
      <c r="Z547" s="237">
        <f>+IFERROR(IF(GUAYAQUIL[[#This Row],[CODIGO]]="","",GUAYAQUIL[[#This Row],[COSTO UNIT base]]*GUAYAQUIL[[#This Row],[Conversión]]),"")</f>
        <v>0.20507500000000001</v>
      </c>
      <c r="AA547" s="236">
        <f>+IFERROR(IF(GUAYAQUIL[[#This Row],[CODIGO]]="","",GUAYAQUIL[[#This Row],[COSTO UNIT Conv]]*GUAYAQUIL[[#This Row],[Stock Actual Kgs]]),"")</f>
        <v>13.528797750000001</v>
      </c>
      <c r="AB547" s="33">
        <f ca="1">+IFERROR(IF(GUAYAQUIL[[#This Row],[CODIGO]]="","",$J$3-O547),"")</f>
        <v>13</v>
      </c>
      <c r="AC547" s="34" t="str">
        <f ca="1">IF(GUAYAQUIL[[#This Row],[CODIGO]]="","",IF(S547&lt;=0,"CADUCADO",IF(AND(S547&gt;0,S547&lt;=21),"FECHA CORTA",IF(AND(S547&gt;=22,S547&lt;=26),"PROXIMOS FECHA CORTA", "VIGENTE"))))</f>
        <v>PROXIMOS FECHA CORTA</v>
      </c>
      <c r="AD547" s="37">
        <f>+IF(GUAYAQUIL[[#This Row],[CODIGO]]="","",GUAYAQUIL[[#This Row],[Stock Actual Unds]]*GUAYAQUIL[[#This Row],[Gramaje]]*GUAYAQUIL[[#This Row],[Conversión]])/1000</f>
        <v>6.5970000000000001E-2</v>
      </c>
    </row>
    <row r="548" spans="1:30">
      <c r="A548" s="24" t="str">
        <f>+IFERROR(IF(GUAYAQUIL[[#This Row],[CODIGO]]="","",VLOOKUP(GUAYAQUIL[[#This Row],[CODIGO]],MAESTRO!$A:$J,10,FALSE)),"")</f>
        <v>MACHACHI</v>
      </c>
      <c r="B548" s="24" t="str">
        <f>+IFERROR(IF(GUAYAQUIL[[#This Row],[CODIGO]]="","",VLOOKUP(GUAYAQUIL[[#This Row],[CODIGO]],MAESTRO!$A:$Q,17,FALSE)),"")</f>
        <v>BEBIDAS LACTEAS</v>
      </c>
      <c r="C548" s="24" t="str">
        <f>+IFERROR(IF(GUAYAQUIL[[#This Row],[CODIGO]]="","",VLOOKUP(GUAYAQUIL[[#This Row],[CODIGO]],MAESTRO!$A:$BA,53,FALSE)),"")</f>
        <v xml:space="preserve">Luis Armendariz                         </v>
      </c>
      <c r="D548" s="24" t="str">
        <f>+IFERROR(IF(GUAYAQUIL[[#This Row],[CODIGO]]="","",VLOOKUP(GUAYAQUIL[[#This Row],[CODIGO]],MAESTRO!$A:$D,4,FALSE)),"")</f>
        <v>BON YURT</v>
      </c>
      <c r="E548" s="24" t="str">
        <f>+IFERROR(IF(GUAYAQUIL[[#This Row],[CODIGO]]="","",VLOOKUP(GUAYAQUIL[[#This Row],[CODIGO]],MAESTRO!$A:$F,6,FALSE)),"")</f>
        <v>BON YURT MINI</v>
      </c>
      <c r="F548" s="42" t="str">
        <f>IF(GUAYAQUIL[[#This Row],[CODIGO]]="","",$K$6)</f>
        <v>GUAYAQUIL</v>
      </c>
      <c r="G548" s="42">
        <f>IF(GUAYAQUIL[[#This Row],[CODIGO]]="","",7711)</f>
        <v>7711</v>
      </c>
      <c r="H548" s="42">
        <f>IF(GUAYAQUIL[[#This Row],[CODIGO]]="","",1001)</f>
        <v>1001</v>
      </c>
      <c r="I548" s="257" t="s">
        <v>2574</v>
      </c>
      <c r="J548" s="25" t="str">
        <f>IFERROR((VLOOKUP(GUAYAQUIL[[#This Row],[CODIGO]],MAESTRO!A:B,2,FALSE)),"")</f>
        <v>BY MINI CRUNFRE VASO 90G</v>
      </c>
      <c r="K548" s="26">
        <v>1050</v>
      </c>
      <c r="L548" s="38">
        <f>+IFERROR(IF(GUAYAQUIL[[#This Row],[CODIGO]]="","",VLOOKUP(GUAYAQUIL[[#This Row],[CODIGO]],MAESTRO!$A:$BF,58,FALSE)),"")</f>
        <v>1</v>
      </c>
      <c r="M548" s="27">
        <f>+IFERROR(IF(GUAYAQUIL[[#This Row],[CODIGO]]="","",VLOOKUP(GUAYAQUIL[[#This Row],[CODIGO]],MAESTRO!A:N,14,FALSE)),"")</f>
        <v>0.09</v>
      </c>
      <c r="N548" s="28">
        <f>+IFERROR(IF(GUAYAQUIL[[#This Row],[CODIGO]]="","",VLOOKUP(GUAYAQUIL[[#This Row],[CODIGO]],MAESTRO!A:P,16,FALSE)),"")</f>
        <v>45</v>
      </c>
      <c r="O548" s="29">
        <v>45615</v>
      </c>
      <c r="P548" s="72" t="str">
        <f t="shared" si="40"/>
        <v>martes</v>
      </c>
      <c r="Q548" s="29">
        <f>IFERROR(IF(GUAYAQUIL[[#This Row],[CODIGO]]="","",IF(GUAYAQUIL[[#This Row],[Fecha Cad]]="","",(GUAYAQUIL[[#This Row],[Fecha Cad]]-GUAYAQUIL[[#This Row],[VIDA UTIL (Días)]]))+1),"")</f>
        <v>45603</v>
      </c>
      <c r="R548" s="29">
        <v>45647</v>
      </c>
      <c r="S548" s="30">
        <f t="shared" ca="1" si="41"/>
        <v>23</v>
      </c>
      <c r="T548" s="31">
        <f t="shared" ca="1" si="42"/>
        <v>0.51111111111111107</v>
      </c>
      <c r="U548" s="286">
        <v>1050</v>
      </c>
      <c r="V548" s="267">
        <f>+IFERROR(IF(GUAYAQUIL[[#This Row],[CODIGO]]="","",GUAYAQUIL[[#This Row],[Stock Actual Unds]]*GUAYAQUIL[[#This Row],[Gramaje]]*GUAYAQUIL[[#This Row],[Conversión]]),"")</f>
        <v>94.5</v>
      </c>
      <c r="W548" s="270">
        <f t="shared" si="43"/>
        <v>12</v>
      </c>
      <c r="X548" s="32">
        <f t="shared" si="44"/>
        <v>0.73333333333333339</v>
      </c>
      <c r="Y548" s="236">
        <f>IFERROR(VLOOKUP(GUAYAQUIL[[#This Row],[CODIGO]],MAESTRO!A:BI,21,FALSE),0)</f>
        <v>0.20507500000000001</v>
      </c>
      <c r="Z548" s="237">
        <f>+IFERROR(IF(GUAYAQUIL[[#This Row],[CODIGO]]="","",GUAYAQUIL[[#This Row],[COSTO UNIT base]]*GUAYAQUIL[[#This Row],[Conversión]]),"")</f>
        <v>0.20507500000000001</v>
      </c>
      <c r="AA548" s="236">
        <f>+IFERROR(IF(GUAYAQUIL[[#This Row],[CODIGO]]="","",GUAYAQUIL[[#This Row],[COSTO UNIT Conv]]*GUAYAQUIL[[#This Row],[Stock Actual Kgs]]),"")</f>
        <v>19.3795875</v>
      </c>
      <c r="AB548" s="33">
        <f ca="1">+IFERROR(IF(GUAYAQUIL[[#This Row],[CODIGO]]="","",$J$3-O548),"")</f>
        <v>9</v>
      </c>
      <c r="AC548" s="34" t="str">
        <f ca="1">IF(GUAYAQUIL[[#This Row],[CODIGO]]="","",IF(S548&lt;=0,"CADUCADO",IF(AND(S548&gt;0,S548&lt;=21),"FECHA CORTA",IF(AND(S548&gt;=22,S548&lt;=26),"PROXIMOS FECHA CORTA", "VIGENTE"))))</f>
        <v>PROXIMOS FECHA CORTA</v>
      </c>
      <c r="AD548" s="37">
        <f>+IF(GUAYAQUIL[[#This Row],[CODIGO]]="","",GUAYAQUIL[[#This Row],[Stock Actual Unds]]*GUAYAQUIL[[#This Row],[Gramaje]]*GUAYAQUIL[[#This Row],[Conversión]])/1000</f>
        <v>9.4500000000000001E-2</v>
      </c>
    </row>
    <row r="549" spans="1:30">
      <c r="A549" s="24" t="str">
        <f>+IFERROR(IF(GUAYAQUIL[[#This Row],[CODIGO]]="","",VLOOKUP(GUAYAQUIL[[#This Row],[CODIGO]],MAESTRO!$A:$J,10,FALSE)),"")</f>
        <v>MACHACHI</v>
      </c>
      <c r="B549" s="24" t="str">
        <f>+IFERROR(IF(GUAYAQUIL[[#This Row],[CODIGO]]="","",VLOOKUP(GUAYAQUIL[[#This Row],[CODIGO]],MAESTRO!$A:$Q,17,FALSE)),"")</f>
        <v>BEBIDAS LACTEAS</v>
      </c>
      <c r="C549" s="24" t="str">
        <f>+IFERROR(IF(GUAYAQUIL[[#This Row],[CODIGO]]="","",VLOOKUP(GUAYAQUIL[[#This Row],[CODIGO]],MAESTRO!$A:$BA,53,FALSE)),"")</f>
        <v xml:space="preserve">Luis Armendariz                         </v>
      </c>
      <c r="D549" s="24" t="str">
        <f>+IFERROR(IF(GUAYAQUIL[[#This Row],[CODIGO]]="","",VLOOKUP(GUAYAQUIL[[#This Row],[CODIGO]],MAESTRO!$A:$D,4,FALSE)),"")</f>
        <v>BON YURT</v>
      </c>
      <c r="E549" s="24" t="str">
        <f>+IFERROR(IF(GUAYAQUIL[[#This Row],[CODIGO]]="","",VLOOKUP(GUAYAQUIL[[#This Row],[CODIGO]],MAESTRO!$A:$F,6,FALSE)),"")</f>
        <v>BON YURT MINI</v>
      </c>
      <c r="F549" s="42" t="str">
        <f>IF(GUAYAQUIL[[#This Row],[CODIGO]]="","",$K$6)</f>
        <v>GUAYAQUIL</v>
      </c>
      <c r="G549" s="209">
        <f>IF(GUAYAQUIL[[#This Row],[CODIGO]]="","",7711)</f>
        <v>7711</v>
      </c>
      <c r="H549" s="209">
        <f>IF(GUAYAQUIL[[#This Row],[CODIGO]]="","",1001)</f>
        <v>1001</v>
      </c>
      <c r="I549" s="257" t="s">
        <v>2574</v>
      </c>
      <c r="J549" s="25" t="str">
        <f>IFERROR((VLOOKUP(GUAYAQUIL[[#This Row],[CODIGO]],MAESTRO!A:B,2,FALSE)),"")</f>
        <v>BY MINI CRUNFRE VASO 90G</v>
      </c>
      <c r="K549" s="26">
        <v>630</v>
      </c>
      <c r="L549" s="38">
        <f>+IFERROR(IF(GUAYAQUIL[[#This Row],[CODIGO]]="","",VLOOKUP(GUAYAQUIL[[#This Row],[CODIGO]],MAESTRO!$A:$BF,58,FALSE)),"")</f>
        <v>1</v>
      </c>
      <c r="M549" s="27">
        <f>+IFERROR(IF(GUAYAQUIL[[#This Row],[CODIGO]]="","",VLOOKUP(GUAYAQUIL[[#This Row],[CODIGO]],MAESTRO!A:N,14,FALSE)),"")</f>
        <v>0.09</v>
      </c>
      <c r="N549" s="28">
        <f>+IFERROR(IF(GUAYAQUIL[[#This Row],[CODIGO]]="","",VLOOKUP(GUAYAQUIL[[#This Row],[CODIGO]],MAESTRO!A:P,16,FALSE)),"")</f>
        <v>45</v>
      </c>
      <c r="O549" s="29">
        <v>45616</v>
      </c>
      <c r="P549" s="72" t="str">
        <f t="shared" si="40"/>
        <v>miércoles</v>
      </c>
      <c r="Q549" s="29">
        <f>IFERROR(IF(GUAYAQUIL[[#This Row],[CODIGO]]="","",IF(GUAYAQUIL[[#This Row],[Fecha Cad]]="","",(GUAYAQUIL[[#This Row],[Fecha Cad]]-GUAYAQUIL[[#This Row],[VIDA UTIL (Días)]]))+1),"")</f>
        <v>45610</v>
      </c>
      <c r="R549" s="29">
        <v>45654</v>
      </c>
      <c r="S549" s="30">
        <f t="shared" ca="1" si="41"/>
        <v>30</v>
      </c>
      <c r="T549" s="31">
        <f t="shared" ca="1" si="42"/>
        <v>0.66666666666666663</v>
      </c>
      <c r="U549" s="286">
        <v>70</v>
      </c>
      <c r="V549" s="267">
        <f>+IFERROR(IF(GUAYAQUIL[[#This Row],[CODIGO]]="","",GUAYAQUIL[[#This Row],[Stock Actual Unds]]*GUAYAQUIL[[#This Row],[Gramaje]]*GUAYAQUIL[[#This Row],[Conversión]]),"")</f>
        <v>6.3</v>
      </c>
      <c r="W549" s="270">
        <f t="shared" si="43"/>
        <v>6</v>
      </c>
      <c r="X549" s="32">
        <f t="shared" si="44"/>
        <v>0.8666666666666667</v>
      </c>
      <c r="Y549" s="236">
        <f>IFERROR(VLOOKUP(GUAYAQUIL[[#This Row],[CODIGO]],MAESTRO!A:BI,21,FALSE),0)</f>
        <v>0.20507500000000001</v>
      </c>
      <c r="Z549" s="237">
        <f>+IFERROR(IF(GUAYAQUIL[[#This Row],[CODIGO]]="","",GUAYAQUIL[[#This Row],[COSTO UNIT base]]*GUAYAQUIL[[#This Row],[Conversión]]),"")</f>
        <v>0.20507500000000001</v>
      </c>
      <c r="AA549" s="236">
        <f>+IFERROR(IF(GUAYAQUIL[[#This Row],[CODIGO]]="","",GUAYAQUIL[[#This Row],[COSTO UNIT Conv]]*GUAYAQUIL[[#This Row],[Stock Actual Kgs]]),"")</f>
        <v>1.2919725</v>
      </c>
      <c r="AB549" s="33">
        <f ca="1">+IFERROR(IF(GUAYAQUIL[[#This Row],[CODIGO]]="","",$J$3-O549),"")</f>
        <v>8</v>
      </c>
      <c r="AC549" s="34" t="str">
        <f ca="1">IF(GUAYAQUIL[[#This Row],[CODIGO]]="","",IF(S549&lt;=0,"CADUCADO",IF(AND(S549&gt;0,S549&lt;=21),"FECHA CORTA",IF(AND(S549&gt;=22,S549&lt;=26),"PROXIMOS FECHA CORTA", "VIGENTE"))))</f>
        <v>VIGENTE</v>
      </c>
      <c r="AD549" s="37">
        <f>+IF(GUAYAQUIL[[#This Row],[CODIGO]]="","",GUAYAQUIL[[#This Row],[Stock Actual Unds]]*GUAYAQUIL[[#This Row],[Gramaje]]*GUAYAQUIL[[#This Row],[Conversión]])/1000</f>
        <v>6.3E-3</v>
      </c>
    </row>
    <row r="550" spans="1:30">
      <c r="A550" s="24" t="str">
        <f>+IFERROR(IF(GUAYAQUIL[[#This Row],[CODIGO]]="","",VLOOKUP(GUAYAQUIL[[#This Row],[CODIGO]],MAESTRO!$A:$J,10,FALSE)),"")</f>
        <v>MACHACHI</v>
      </c>
      <c r="B550" s="24" t="str">
        <f>+IFERROR(IF(GUAYAQUIL[[#This Row],[CODIGO]]="","",VLOOKUP(GUAYAQUIL[[#This Row],[CODIGO]],MAESTRO!$A:$Q,17,FALSE)),"")</f>
        <v>BEBIDAS LACTEAS</v>
      </c>
      <c r="C550" s="24" t="str">
        <f>+IFERROR(IF(GUAYAQUIL[[#This Row],[CODIGO]]="","",VLOOKUP(GUAYAQUIL[[#This Row],[CODIGO]],MAESTRO!$A:$BA,53,FALSE)),"")</f>
        <v xml:space="preserve">Luis Armendariz                         </v>
      </c>
      <c r="D550" s="24" t="str">
        <f>+IFERROR(IF(GUAYAQUIL[[#This Row],[CODIGO]]="","",VLOOKUP(GUAYAQUIL[[#This Row],[CODIGO]],MAESTRO!$A:$D,4,FALSE)),"")</f>
        <v>BON YURT</v>
      </c>
      <c r="E550" s="24" t="str">
        <f>+IFERROR(IF(GUAYAQUIL[[#This Row],[CODIGO]]="","",VLOOKUP(GUAYAQUIL[[#This Row],[CODIGO]],MAESTRO!$A:$F,6,FALSE)),"")</f>
        <v>BON YURT MINI</v>
      </c>
      <c r="F550" s="42" t="str">
        <f>IF(GUAYAQUIL[[#This Row],[CODIGO]]="","",$K$6)</f>
        <v>GUAYAQUIL</v>
      </c>
      <c r="G550" s="42">
        <f>IF(GUAYAQUIL[[#This Row],[CODIGO]]="","",7711)</f>
        <v>7711</v>
      </c>
      <c r="H550" s="42">
        <f>IF(GUAYAQUIL[[#This Row],[CODIGO]]="","",1001)</f>
        <v>1001</v>
      </c>
      <c r="I550" s="258" t="s">
        <v>2574</v>
      </c>
      <c r="J550" s="25" t="str">
        <f>IFERROR((VLOOKUP(GUAYAQUIL[[#This Row],[CODIGO]],MAESTRO!A:B,2,FALSE)),"")</f>
        <v>BY MINI CRUNFRE VASO 90G</v>
      </c>
      <c r="K550" s="35">
        <v>560</v>
      </c>
      <c r="L550" s="38">
        <f>+IFERROR(IF(GUAYAQUIL[[#This Row],[CODIGO]]="","",VLOOKUP(GUAYAQUIL[[#This Row],[CODIGO]],MAESTRO!$A:$BF,58,FALSE)),"")</f>
        <v>1</v>
      </c>
      <c r="M550" s="27">
        <f>+IFERROR(IF(GUAYAQUIL[[#This Row],[CODIGO]]="","",VLOOKUP(GUAYAQUIL[[#This Row],[CODIGO]],MAESTRO!A:N,14,FALSE)),"")</f>
        <v>0.09</v>
      </c>
      <c r="N550" s="28">
        <f>+IFERROR(IF(GUAYAQUIL[[#This Row],[CODIGO]]="","",VLOOKUP(GUAYAQUIL[[#This Row],[CODIGO]],MAESTRO!A:P,16,FALSE)),"")</f>
        <v>45</v>
      </c>
      <c r="O550" s="29">
        <v>45617</v>
      </c>
      <c r="P550" s="72" t="str">
        <f t="shared" si="40"/>
        <v>jueves</v>
      </c>
      <c r="Q550" s="29">
        <f>IFERROR(IF(GUAYAQUIL[[#This Row],[CODIGO]]="","",IF(GUAYAQUIL[[#This Row],[Fecha Cad]]="","",(GUAYAQUIL[[#This Row],[Fecha Cad]]-GUAYAQUIL[[#This Row],[VIDA UTIL (Días)]]))+1),"")</f>
        <v>45610</v>
      </c>
      <c r="R550" s="45">
        <v>45654</v>
      </c>
      <c r="S550" s="30">
        <f t="shared" ca="1" si="41"/>
        <v>30</v>
      </c>
      <c r="T550" s="31">
        <f t="shared" ca="1" si="42"/>
        <v>0.66666666666666663</v>
      </c>
      <c r="U550" s="286">
        <v>560</v>
      </c>
      <c r="V550" s="265">
        <f>+IFERROR(IF(GUAYAQUIL[[#This Row],[CODIGO]]="","",GUAYAQUIL[[#This Row],[Stock Actual Unds]]*GUAYAQUIL[[#This Row],[Gramaje]]*GUAYAQUIL[[#This Row],[Conversión]]),"")</f>
        <v>50.4</v>
      </c>
      <c r="W550" s="270">
        <f t="shared" si="43"/>
        <v>7</v>
      </c>
      <c r="X550" s="32">
        <f t="shared" si="44"/>
        <v>0.84444444444444444</v>
      </c>
      <c r="Y550" s="236">
        <f>IFERROR(VLOOKUP(GUAYAQUIL[[#This Row],[CODIGO]],MAESTRO!A:BI,21,FALSE),0)</f>
        <v>0.20507500000000001</v>
      </c>
      <c r="Z550" s="237">
        <f>+IFERROR(IF(GUAYAQUIL[[#This Row],[CODIGO]]="","",GUAYAQUIL[[#This Row],[COSTO UNIT base]]*GUAYAQUIL[[#This Row],[Conversión]]),"")</f>
        <v>0.20507500000000001</v>
      </c>
      <c r="AA550" s="236">
        <f>+IFERROR(IF(GUAYAQUIL[[#This Row],[CODIGO]]="","",GUAYAQUIL[[#This Row],[COSTO UNIT Conv]]*GUAYAQUIL[[#This Row],[Stock Actual Kgs]]),"")</f>
        <v>10.33578</v>
      </c>
      <c r="AB550" s="33">
        <f ca="1">+IFERROR(IF(GUAYAQUIL[[#This Row],[CODIGO]]="","",$J$3-O550),"")</f>
        <v>7</v>
      </c>
      <c r="AC550" s="34" t="str">
        <f ca="1">IF(GUAYAQUIL[[#This Row],[CODIGO]]="","",IF(S550&lt;=0,"CADUCADO",IF(AND(S550&gt;0,S550&lt;=21),"FECHA CORTA",IF(AND(S550&gt;=22,S550&lt;=26),"PROXIMOS FECHA CORTA", "VIGENTE"))))</f>
        <v>VIGENTE</v>
      </c>
      <c r="AD550" s="37">
        <f>+IF(GUAYAQUIL[[#This Row],[CODIGO]]="","",GUAYAQUIL[[#This Row],[Stock Actual Unds]]*GUAYAQUIL[[#This Row],[Gramaje]]*GUAYAQUIL[[#This Row],[Conversión]])/1000</f>
        <v>5.04E-2</v>
      </c>
    </row>
    <row r="551" spans="1:30">
      <c r="A551" s="24" t="str">
        <f>+IFERROR(IF(GUAYAQUIL[[#This Row],[CODIGO]]="","",VLOOKUP(GUAYAQUIL[[#This Row],[CODIGO]],MAESTRO!$A:$J,10,FALSE)),"")</f>
        <v>SAN GABRIEL</v>
      </c>
      <c r="B551" s="24" t="str">
        <f>+IFERROR(IF(GUAYAQUIL[[#This Row],[CODIGO]]="","",VLOOKUP(GUAYAQUIL[[#This Row],[CODIGO]],MAESTRO!$A:$Q,17,FALSE)),"")</f>
        <v>QUESOS Y GRASAS</v>
      </c>
      <c r="C551" s="24" t="str">
        <f>+IFERROR(IF(GUAYAQUIL[[#This Row],[CODIGO]]="","",VLOOKUP(GUAYAQUIL[[#This Row],[CODIGO]],MAESTRO!$A:$BA,53,FALSE)),"")</f>
        <v xml:space="preserve">Esteban Montenegro                      </v>
      </c>
      <c r="D551" s="24" t="str">
        <f>+IFERROR(IF(GUAYAQUIL[[#This Row],[CODIGO]]="","",VLOOKUP(GUAYAQUIL[[#This Row],[CODIGO]],MAESTRO!$A:$D,4,FALSE)),"")</f>
        <v>QUESO MOZARELLA KIOSKO</v>
      </c>
      <c r="E551" s="24" t="str">
        <f>+IFERROR(IF(GUAYAQUIL[[#This Row],[CODIGO]]="","",VLOOKUP(GUAYAQUIL[[#This Row],[CODIGO]],MAESTRO!$A:$F,6,FALSE)),"")</f>
        <v>QUESO MOZARELLA PIZZA KIOSKO BLOQUE</v>
      </c>
      <c r="F551" s="42" t="str">
        <f>IF(GUAYAQUIL[[#This Row],[CODIGO]]="","",$K$6)</f>
        <v>GUAYAQUIL</v>
      </c>
      <c r="G551" s="209">
        <f>IF(GUAYAQUIL[[#This Row],[CODIGO]]="","",7711)</f>
        <v>7711</v>
      </c>
      <c r="H551" s="209">
        <f>IF(GUAYAQUIL[[#This Row],[CODIGO]]="","",1001)</f>
        <v>1001</v>
      </c>
      <c r="I551" s="258" t="s">
        <v>4427</v>
      </c>
      <c r="J551" s="25" t="str">
        <f>IFERROR((VLOOKUP(GUAYAQUIL[[#This Row],[CODIGO]],MAESTRO!A:B,2,FALSE)),"")</f>
        <v>Q MOZAR PIZZ KIOSKO AL PESO</v>
      </c>
      <c r="K551" s="35">
        <v>64</v>
      </c>
      <c r="L551" s="38">
        <f>+IFERROR(IF(GUAYAQUIL[[#This Row],[CODIGO]]="","",VLOOKUP(GUAYAQUIL[[#This Row],[CODIGO]],MAESTRO!$A:$BF,58,FALSE)),"")</f>
        <v>3</v>
      </c>
      <c r="M551" s="27">
        <f>+IFERROR(IF(GUAYAQUIL[[#This Row],[CODIGO]]="","",VLOOKUP(GUAYAQUIL[[#This Row],[CODIGO]],MAESTRO!A:N,14,FALSE)),"")</f>
        <v>1</v>
      </c>
      <c r="N551" s="28">
        <f>+IFERROR(IF(GUAYAQUIL[[#This Row],[CODIGO]]="","",VLOOKUP(GUAYAQUIL[[#This Row],[CODIGO]],MAESTRO!A:P,16,FALSE)),"")</f>
        <v>40</v>
      </c>
      <c r="O551" s="29">
        <v>45615</v>
      </c>
      <c r="P551" s="72" t="str">
        <f t="shared" si="40"/>
        <v>martes</v>
      </c>
      <c r="Q551" s="29">
        <f>IFERROR(IF(GUAYAQUIL[[#This Row],[CODIGO]]="","",IF(GUAYAQUIL[[#This Row],[Fecha Cad]]="","",(GUAYAQUIL[[#This Row],[Fecha Cad]]-GUAYAQUIL[[#This Row],[VIDA UTIL (Días)]]))+1),"")</f>
        <v>45610</v>
      </c>
      <c r="R551" s="45">
        <v>45649</v>
      </c>
      <c r="S551" s="30">
        <f t="shared" ca="1" si="41"/>
        <v>25</v>
      </c>
      <c r="T551" s="31">
        <f t="shared" ca="1" si="42"/>
        <v>0.625</v>
      </c>
      <c r="U551" s="286">
        <v>20</v>
      </c>
      <c r="V551" s="265">
        <f>+IFERROR(IF(GUAYAQUIL[[#This Row],[CODIGO]]="","",GUAYAQUIL[[#This Row],[Stock Actual Unds]]*GUAYAQUIL[[#This Row],[Gramaje]]*GUAYAQUIL[[#This Row],[Conversión]]),"")</f>
        <v>60</v>
      </c>
      <c r="W551" s="270">
        <f t="shared" si="43"/>
        <v>5</v>
      </c>
      <c r="X551" s="32">
        <f t="shared" si="44"/>
        <v>0.875</v>
      </c>
      <c r="Y551" s="236">
        <f>IFERROR(VLOOKUP(GUAYAQUIL[[#This Row],[CODIGO]],MAESTRO!A:BI,21,FALSE),0)</f>
        <v>5.7276199999999999</v>
      </c>
      <c r="Z551" s="237">
        <f>+IFERROR(IF(GUAYAQUIL[[#This Row],[CODIGO]]="","",GUAYAQUIL[[#This Row],[COSTO UNIT base]]*GUAYAQUIL[[#This Row],[Conversión]]),"")</f>
        <v>17.182859999999998</v>
      </c>
      <c r="AA551" s="236">
        <f>+IFERROR(IF(GUAYAQUIL[[#This Row],[CODIGO]]="","",GUAYAQUIL[[#This Row],[COSTO UNIT Conv]]*GUAYAQUIL[[#This Row],[Stock Actual Kgs]]),"")</f>
        <v>1030.9715999999999</v>
      </c>
      <c r="AB551" s="33">
        <f ca="1">+IFERROR(IF(GUAYAQUIL[[#This Row],[CODIGO]]="","",$J$3-O551),"")</f>
        <v>9</v>
      </c>
      <c r="AC551" s="34" t="str">
        <f ca="1">IF(GUAYAQUIL[[#This Row],[CODIGO]]="","",IF(S551&lt;=0,"CADUCADO",IF(AND(S551&gt;0,S551&lt;=21),"FECHA CORTA",IF(AND(S551&gt;=22,S551&lt;=26),"PROXIMOS FECHA CORTA", "VIGENTE"))))</f>
        <v>PROXIMOS FECHA CORTA</v>
      </c>
      <c r="AD551" s="37">
        <f>+IF(GUAYAQUIL[[#This Row],[CODIGO]]="","",GUAYAQUIL[[#This Row],[Stock Actual Unds]]*GUAYAQUIL[[#This Row],[Gramaje]]*GUAYAQUIL[[#This Row],[Conversión]])/1000</f>
        <v>0.06</v>
      </c>
    </row>
    <row r="552" spans="1:30">
      <c r="A552" s="24" t="str">
        <f>+IFERROR(IF(GUAYAQUIL[[#This Row],[CODIGO]]="","",VLOOKUP(GUAYAQUIL[[#This Row],[CODIGO]],MAESTRO!$A:$J,10,FALSE)),"")</f>
        <v>SAN GABRIEL</v>
      </c>
      <c r="B552" s="24" t="str">
        <f>+IFERROR(IF(GUAYAQUIL[[#This Row],[CODIGO]]="","",VLOOKUP(GUAYAQUIL[[#This Row],[CODIGO]],MAESTRO!$A:$Q,17,FALSE)),"")</f>
        <v>QUESOS Y GRASAS</v>
      </c>
      <c r="C552" s="24" t="str">
        <f>+IFERROR(IF(GUAYAQUIL[[#This Row],[CODIGO]]="","",VLOOKUP(GUAYAQUIL[[#This Row],[CODIGO]],MAESTRO!$A:$BA,53,FALSE)),"")</f>
        <v xml:space="preserve">Esteban Montenegro                      </v>
      </c>
      <c r="D552" s="24" t="str">
        <f>+IFERROR(IF(GUAYAQUIL[[#This Row],[CODIGO]]="","",VLOOKUP(GUAYAQUIL[[#This Row],[CODIGO]],MAESTRO!$A:$D,4,FALSE)),"")</f>
        <v>QUESO MOZARELLA KIOSKO</v>
      </c>
      <c r="E552" s="24" t="str">
        <f>+IFERROR(IF(GUAYAQUIL[[#This Row],[CODIGO]]="","",VLOOKUP(GUAYAQUIL[[#This Row],[CODIGO]],MAESTRO!$A:$F,6,FALSE)),"")</f>
        <v>QUESO MOZARELLA PIZZA KIOSKO BLOQUE</v>
      </c>
      <c r="F552" s="42" t="str">
        <f>IF(GUAYAQUIL[[#This Row],[CODIGO]]="","",$K$6)</f>
        <v>GUAYAQUIL</v>
      </c>
      <c r="G552" s="42">
        <f>IF(GUAYAQUIL[[#This Row],[CODIGO]]="","",7711)</f>
        <v>7711</v>
      </c>
      <c r="H552" s="42">
        <f>IF(GUAYAQUIL[[#This Row],[CODIGO]]="","",1001)</f>
        <v>1001</v>
      </c>
      <c r="I552" s="258" t="s">
        <v>4427</v>
      </c>
      <c r="J552" s="25" t="str">
        <f>IFERROR((VLOOKUP(GUAYAQUIL[[#This Row],[CODIGO]],MAESTRO!A:B,2,FALSE)),"")</f>
        <v>Q MOZAR PIZZ KIOSKO AL PESO</v>
      </c>
      <c r="K552" s="35">
        <v>100</v>
      </c>
      <c r="L552" s="38">
        <f>+IFERROR(IF(GUAYAQUIL[[#This Row],[CODIGO]]="","",VLOOKUP(GUAYAQUIL[[#This Row],[CODIGO]],MAESTRO!$A:$BF,58,FALSE)),"")</f>
        <v>3</v>
      </c>
      <c r="M552" s="27">
        <f>+IFERROR(IF(GUAYAQUIL[[#This Row],[CODIGO]]="","",VLOOKUP(GUAYAQUIL[[#This Row],[CODIGO]],MAESTRO!A:N,14,FALSE)),"")</f>
        <v>1</v>
      </c>
      <c r="N552" s="28">
        <f>+IFERROR(IF(GUAYAQUIL[[#This Row],[CODIGO]]="","",VLOOKUP(GUAYAQUIL[[#This Row],[CODIGO]],MAESTRO!A:P,16,FALSE)),"")</f>
        <v>40</v>
      </c>
      <c r="O552" s="29">
        <v>45616</v>
      </c>
      <c r="P552" s="72" t="str">
        <f t="shared" si="40"/>
        <v>miércoles</v>
      </c>
      <c r="Q552" s="29">
        <f>IFERROR(IF(GUAYAQUIL[[#This Row],[CODIGO]]="","",IF(GUAYAQUIL[[#This Row],[Fecha Cad]]="","",(GUAYAQUIL[[#This Row],[Fecha Cad]]-GUAYAQUIL[[#This Row],[VIDA UTIL (Días)]]))+1),"")</f>
        <v>45610</v>
      </c>
      <c r="R552" s="29">
        <v>45649</v>
      </c>
      <c r="S552" s="30">
        <f t="shared" ca="1" si="41"/>
        <v>25</v>
      </c>
      <c r="T552" s="31">
        <f t="shared" ca="1" si="42"/>
        <v>0.625</v>
      </c>
      <c r="U552" s="286">
        <v>100</v>
      </c>
      <c r="V552" s="266">
        <f>+IFERROR(IF(GUAYAQUIL[[#This Row],[CODIGO]]="","",GUAYAQUIL[[#This Row],[Stock Actual Unds]]*GUAYAQUIL[[#This Row],[Gramaje]]*GUAYAQUIL[[#This Row],[Conversión]]),"")</f>
        <v>300</v>
      </c>
      <c r="W552" s="270">
        <f t="shared" si="43"/>
        <v>6</v>
      </c>
      <c r="X552" s="32">
        <f t="shared" si="44"/>
        <v>0.85</v>
      </c>
      <c r="Y552" s="236">
        <f>IFERROR(VLOOKUP(GUAYAQUIL[[#This Row],[CODIGO]],MAESTRO!A:BI,21,FALSE),0)</f>
        <v>5.7276199999999999</v>
      </c>
      <c r="Z552" s="237">
        <f>+IFERROR(IF(GUAYAQUIL[[#This Row],[CODIGO]]="","",GUAYAQUIL[[#This Row],[COSTO UNIT base]]*GUAYAQUIL[[#This Row],[Conversión]]),"")</f>
        <v>17.182859999999998</v>
      </c>
      <c r="AA552" s="236">
        <f>+IFERROR(IF(GUAYAQUIL[[#This Row],[CODIGO]]="","",GUAYAQUIL[[#This Row],[COSTO UNIT Conv]]*GUAYAQUIL[[#This Row],[Stock Actual Kgs]]),"")</f>
        <v>5154.8579999999993</v>
      </c>
      <c r="AB552" s="33">
        <f ca="1">+IFERROR(IF(GUAYAQUIL[[#This Row],[CODIGO]]="","",$J$3-O552),"")</f>
        <v>8</v>
      </c>
      <c r="AC552" s="34" t="str">
        <f ca="1">IF(GUAYAQUIL[[#This Row],[CODIGO]]="","",IF(S552&lt;=0,"CADUCADO",IF(AND(S552&gt;0,S552&lt;=21),"FECHA CORTA",IF(AND(S552&gt;=22,S552&lt;=26),"PROXIMOS FECHA CORTA", "VIGENTE"))))</f>
        <v>PROXIMOS FECHA CORTA</v>
      </c>
      <c r="AD552" s="37">
        <f>+IF(GUAYAQUIL[[#This Row],[CODIGO]]="","",GUAYAQUIL[[#This Row],[Stock Actual Unds]]*GUAYAQUIL[[#This Row],[Gramaje]]*GUAYAQUIL[[#This Row],[Conversión]])/1000</f>
        <v>0.3</v>
      </c>
    </row>
    <row r="553" spans="1:30">
      <c r="A553" s="24" t="str">
        <f>+IFERROR(IF(GUAYAQUIL[[#This Row],[CODIGO]]="","",VLOOKUP(GUAYAQUIL[[#This Row],[CODIGO]],MAESTRO!$A:$J,10,FALSE)),"")</f>
        <v>SAN GABRIEL</v>
      </c>
      <c r="B553" s="24" t="str">
        <f>+IFERROR(IF(GUAYAQUIL[[#This Row],[CODIGO]]="","",VLOOKUP(GUAYAQUIL[[#This Row],[CODIGO]],MAESTRO!$A:$Q,17,FALSE)),"")</f>
        <v>QUESOS Y GRASAS</v>
      </c>
      <c r="C553" s="24" t="str">
        <f>+IFERROR(IF(GUAYAQUIL[[#This Row],[CODIGO]]="","",VLOOKUP(GUAYAQUIL[[#This Row],[CODIGO]],MAESTRO!$A:$BA,53,FALSE)),"")</f>
        <v xml:space="preserve">Esteban Montenegro                      </v>
      </c>
      <c r="D553" s="24" t="str">
        <f>+IFERROR(IF(GUAYAQUIL[[#This Row],[CODIGO]]="","",VLOOKUP(GUAYAQUIL[[#This Row],[CODIGO]],MAESTRO!$A:$D,4,FALSE)),"")</f>
        <v>QUESO MOZARELLA KIOSKO</v>
      </c>
      <c r="E553" s="24" t="str">
        <f>+IFERROR(IF(GUAYAQUIL[[#This Row],[CODIGO]]="","",VLOOKUP(GUAYAQUIL[[#This Row],[CODIGO]],MAESTRO!$A:$F,6,FALSE)),"")</f>
        <v>QUESO MOZARELLA PIZZA KIOSKO BLOQUE</v>
      </c>
      <c r="F553" s="42" t="str">
        <f>IF(GUAYAQUIL[[#This Row],[CODIGO]]="","",$K$6)</f>
        <v>GUAYAQUIL</v>
      </c>
      <c r="G553" s="209">
        <f>IF(GUAYAQUIL[[#This Row],[CODIGO]]="","",7711)</f>
        <v>7711</v>
      </c>
      <c r="H553" s="209">
        <f>IF(GUAYAQUIL[[#This Row],[CODIGO]]="","",1001)</f>
        <v>1001</v>
      </c>
      <c r="I553" s="258" t="s">
        <v>4427</v>
      </c>
      <c r="J553" s="25" t="str">
        <f>IFERROR((VLOOKUP(GUAYAQUIL[[#This Row],[CODIGO]],MAESTRO!A:B,2,FALSE)),"")</f>
        <v>Q MOZAR PIZZ KIOSKO AL PESO</v>
      </c>
      <c r="K553" s="35">
        <v>190</v>
      </c>
      <c r="L553" s="38">
        <f>+IFERROR(IF(GUAYAQUIL[[#This Row],[CODIGO]]="","",VLOOKUP(GUAYAQUIL[[#This Row],[CODIGO]],MAESTRO!$A:$BF,58,FALSE)),"")</f>
        <v>3</v>
      </c>
      <c r="M553" s="27">
        <f>+IFERROR(IF(GUAYAQUIL[[#This Row],[CODIGO]]="","",VLOOKUP(GUAYAQUIL[[#This Row],[CODIGO]],MAESTRO!A:N,14,FALSE)),"")</f>
        <v>1</v>
      </c>
      <c r="N553" s="28">
        <f>+IFERROR(IF(GUAYAQUIL[[#This Row],[CODIGO]]="","",VLOOKUP(GUAYAQUIL[[#This Row],[CODIGO]],MAESTRO!A:P,16,FALSE)),"")</f>
        <v>40</v>
      </c>
      <c r="O553" s="29">
        <v>45617</v>
      </c>
      <c r="P553" s="72" t="str">
        <f t="shared" si="40"/>
        <v>jueves</v>
      </c>
      <c r="Q553" s="29">
        <f>IFERROR(IF(GUAYAQUIL[[#This Row],[CODIGO]]="","",IF(GUAYAQUIL[[#This Row],[Fecha Cad]]="","",(GUAYAQUIL[[#This Row],[Fecha Cad]]-GUAYAQUIL[[#This Row],[VIDA UTIL (Días)]]))+1),"")</f>
        <v>45611</v>
      </c>
      <c r="R553" s="29">
        <v>45650</v>
      </c>
      <c r="S553" s="30">
        <f t="shared" ca="1" si="41"/>
        <v>26</v>
      </c>
      <c r="T553" s="31">
        <f t="shared" ca="1" si="42"/>
        <v>0.65</v>
      </c>
      <c r="U553" s="286">
        <v>190</v>
      </c>
      <c r="V553" s="266">
        <f>+IFERROR(IF(GUAYAQUIL[[#This Row],[CODIGO]]="","",GUAYAQUIL[[#This Row],[Stock Actual Unds]]*GUAYAQUIL[[#This Row],[Gramaje]]*GUAYAQUIL[[#This Row],[Conversión]]),"")</f>
        <v>570</v>
      </c>
      <c r="W553" s="270">
        <f t="shared" si="43"/>
        <v>6</v>
      </c>
      <c r="X553" s="32">
        <f t="shared" si="44"/>
        <v>0.85</v>
      </c>
      <c r="Y553" s="236">
        <f>IFERROR(VLOOKUP(GUAYAQUIL[[#This Row],[CODIGO]],MAESTRO!A:BI,21,FALSE),0)</f>
        <v>5.7276199999999999</v>
      </c>
      <c r="Z553" s="237">
        <f>+IFERROR(IF(GUAYAQUIL[[#This Row],[CODIGO]]="","",GUAYAQUIL[[#This Row],[COSTO UNIT base]]*GUAYAQUIL[[#This Row],[Conversión]]),"")</f>
        <v>17.182859999999998</v>
      </c>
      <c r="AA553" s="236">
        <f>+IFERROR(IF(GUAYAQUIL[[#This Row],[CODIGO]]="","",GUAYAQUIL[[#This Row],[COSTO UNIT Conv]]*GUAYAQUIL[[#This Row],[Stock Actual Kgs]]),"")</f>
        <v>9794.2301999999981</v>
      </c>
      <c r="AB553" s="33">
        <f ca="1">+IFERROR(IF(GUAYAQUIL[[#This Row],[CODIGO]]="","",$J$3-O553),"")</f>
        <v>7</v>
      </c>
      <c r="AC553" s="34" t="str">
        <f ca="1">IF(GUAYAQUIL[[#This Row],[CODIGO]]="","",IF(S553&lt;=0,"CADUCADO",IF(AND(S553&gt;0,S553&lt;=21),"FECHA CORTA",IF(AND(S553&gt;=22,S553&lt;=26),"PROXIMOS FECHA CORTA", "VIGENTE"))))</f>
        <v>PROXIMOS FECHA CORTA</v>
      </c>
      <c r="AD553" s="37">
        <f>+IF(GUAYAQUIL[[#This Row],[CODIGO]]="","",GUAYAQUIL[[#This Row],[Stock Actual Unds]]*GUAYAQUIL[[#This Row],[Gramaje]]*GUAYAQUIL[[#This Row],[Conversión]])/1000</f>
        <v>0.56999999999999995</v>
      </c>
    </row>
    <row r="554" spans="1:30">
      <c r="A554" s="24" t="str">
        <f>+IFERROR(IF(GUAYAQUIL[[#This Row],[CODIGO]]="","",VLOOKUP(GUAYAQUIL[[#This Row],[CODIGO]],MAESTRO!$A:$J,10,FALSE)),"")</f>
        <v>SAN GABRIEL</v>
      </c>
      <c r="B554" s="24" t="str">
        <f>+IFERROR(IF(GUAYAQUIL[[#This Row],[CODIGO]]="","",VLOOKUP(GUAYAQUIL[[#This Row],[CODIGO]],MAESTRO!$A:$Q,17,FALSE)),"")</f>
        <v>QUESOS Y GRASAS</v>
      </c>
      <c r="C554" s="24" t="str">
        <f>+IFERROR(IF(GUAYAQUIL[[#This Row],[CODIGO]]="","",VLOOKUP(GUAYAQUIL[[#This Row],[CODIGO]],MAESTRO!$A:$BA,53,FALSE)),"")</f>
        <v xml:space="preserve">Esteban Montenegro                      </v>
      </c>
      <c r="D554" s="24" t="str">
        <f>+IFERROR(IF(GUAYAQUIL[[#This Row],[CODIGO]]="","",VLOOKUP(GUAYAQUIL[[#This Row],[CODIGO]],MAESTRO!$A:$D,4,FALSE)),"")</f>
        <v>QUESO SEMIMADURO KIOSKO</v>
      </c>
      <c r="E554" s="24" t="str">
        <f>+IFERROR(IF(GUAYAQUIL[[#This Row],[CODIGO]]="","",VLOOKUP(GUAYAQUIL[[#This Row],[CODIGO]],MAESTRO!$A:$F,6,FALSE)),"")</f>
        <v>QUESO ANDINO KIOSKO BLOQUE</v>
      </c>
      <c r="F554" s="42" t="str">
        <f>IF(GUAYAQUIL[[#This Row],[CODIGO]]="","",$K$6)</f>
        <v>GUAYAQUIL</v>
      </c>
      <c r="G554" s="42">
        <f>IF(GUAYAQUIL[[#This Row],[CODIGO]]="","",7711)</f>
        <v>7711</v>
      </c>
      <c r="H554" s="42">
        <f>IF(GUAYAQUIL[[#This Row],[CODIGO]]="","",1001)</f>
        <v>1001</v>
      </c>
      <c r="I554" s="258" t="s">
        <v>1170</v>
      </c>
      <c r="J554" s="25" t="str">
        <f>IFERROR((VLOOKUP(GUAYAQUIL[[#This Row],[CODIGO]],MAESTRO!A:B,2,FALSE)),"")</f>
        <v>Q ANDINO KIOSKO RUEDA 450G</v>
      </c>
      <c r="K554" s="35">
        <v>36</v>
      </c>
      <c r="L554" s="38">
        <f>+IFERROR(IF(GUAYAQUIL[[#This Row],[CODIGO]]="","",VLOOKUP(GUAYAQUIL[[#This Row],[CODIGO]],MAESTRO!$A:$BF,58,FALSE)),"")</f>
        <v>1</v>
      </c>
      <c r="M554" s="27">
        <f>+IFERROR(IF(GUAYAQUIL[[#This Row],[CODIGO]]="","",VLOOKUP(GUAYAQUIL[[#This Row],[CODIGO]],MAESTRO!A:N,14,FALSE)),"")</f>
        <v>0.45</v>
      </c>
      <c r="N554" s="28">
        <f>+IFERROR(IF(GUAYAQUIL[[#This Row],[CODIGO]]="","",VLOOKUP(GUAYAQUIL[[#This Row],[CODIGO]],MAESTRO!A:P,16,FALSE)),"")</f>
        <v>90</v>
      </c>
      <c r="O554" s="29">
        <v>45615</v>
      </c>
      <c r="P554" s="72" t="str">
        <f t="shared" si="40"/>
        <v>martes</v>
      </c>
      <c r="Q554" s="29">
        <f>IFERROR(IF(GUAYAQUIL[[#This Row],[CODIGO]]="","",IF(GUAYAQUIL[[#This Row],[Fecha Cad]]="","",(GUAYAQUIL[[#This Row],[Fecha Cad]]-GUAYAQUIL[[#This Row],[VIDA UTIL (Días)]]))+1),"")</f>
        <v>45610</v>
      </c>
      <c r="R554" s="29">
        <v>45699</v>
      </c>
      <c r="S554" s="30">
        <f t="shared" ca="1" si="41"/>
        <v>75</v>
      </c>
      <c r="T554" s="31">
        <f t="shared" ca="1" si="42"/>
        <v>0.83333333333333337</v>
      </c>
      <c r="U554" s="286">
        <v>19</v>
      </c>
      <c r="V554" s="266">
        <f>+IFERROR(IF(GUAYAQUIL[[#This Row],[CODIGO]]="","",GUAYAQUIL[[#This Row],[Stock Actual Unds]]*GUAYAQUIL[[#This Row],[Gramaje]]*GUAYAQUIL[[#This Row],[Conversión]]),"")</f>
        <v>8.5500000000000007</v>
      </c>
      <c r="W554" s="270">
        <f t="shared" si="43"/>
        <v>5</v>
      </c>
      <c r="X554" s="32">
        <f t="shared" si="44"/>
        <v>0.94444444444444442</v>
      </c>
      <c r="Y554" s="236">
        <f>IFERROR(VLOOKUP(GUAYAQUIL[[#This Row],[CODIGO]],MAESTRO!A:BI,21,FALSE),0)</f>
        <v>3.27454</v>
      </c>
      <c r="Z554" s="237">
        <f>+IFERROR(IF(GUAYAQUIL[[#This Row],[CODIGO]]="","",GUAYAQUIL[[#This Row],[COSTO UNIT base]]*GUAYAQUIL[[#This Row],[Conversión]]),"")</f>
        <v>3.27454</v>
      </c>
      <c r="AA554" s="236">
        <f>+IFERROR(IF(GUAYAQUIL[[#This Row],[CODIGO]]="","",GUAYAQUIL[[#This Row],[COSTO UNIT Conv]]*GUAYAQUIL[[#This Row],[Stock Actual Kgs]]),"")</f>
        <v>27.997317000000002</v>
      </c>
      <c r="AB554" s="33">
        <f ca="1">+IFERROR(IF(GUAYAQUIL[[#This Row],[CODIGO]]="","",$J$3-O554),"")</f>
        <v>9</v>
      </c>
      <c r="AC554" s="34" t="str">
        <f ca="1">IF(GUAYAQUIL[[#This Row],[CODIGO]]="","",IF(S554&lt;=0,"CADUCADO",IF(AND(S554&gt;0,S554&lt;=21),"FECHA CORTA",IF(AND(S554&gt;=22,S554&lt;=26),"PROXIMOS FECHA CORTA", "VIGENTE"))))</f>
        <v>VIGENTE</v>
      </c>
      <c r="AD554" s="37">
        <f>+IF(GUAYAQUIL[[#This Row],[CODIGO]]="","",GUAYAQUIL[[#This Row],[Stock Actual Unds]]*GUAYAQUIL[[#This Row],[Gramaje]]*GUAYAQUIL[[#This Row],[Conversión]])/1000</f>
        <v>8.5500000000000003E-3</v>
      </c>
    </row>
    <row r="555" spans="1:30">
      <c r="A555" s="24" t="str">
        <f>+IFERROR(IF(GUAYAQUIL[[#This Row],[CODIGO]]="","",VLOOKUP(GUAYAQUIL[[#This Row],[CODIGO]],MAESTRO!$A:$J,10,FALSE)),"")</f>
        <v>SAN GABRIEL</v>
      </c>
      <c r="B555" s="24" t="str">
        <f>+IFERROR(IF(GUAYAQUIL[[#This Row],[CODIGO]]="","",VLOOKUP(GUAYAQUIL[[#This Row],[CODIGO]],MAESTRO!$A:$Q,17,FALSE)),"")</f>
        <v>QUESOS Y GRASAS</v>
      </c>
      <c r="C555" s="24" t="str">
        <f>+IFERROR(IF(GUAYAQUIL[[#This Row],[CODIGO]]="","",VLOOKUP(GUAYAQUIL[[#This Row],[CODIGO]],MAESTRO!$A:$BA,53,FALSE)),"")</f>
        <v xml:space="preserve">Esteban Montenegro                      </v>
      </c>
      <c r="D555" s="24" t="str">
        <f>+IFERROR(IF(GUAYAQUIL[[#This Row],[CODIGO]]="","",VLOOKUP(GUAYAQUIL[[#This Row],[CODIGO]],MAESTRO!$A:$D,4,FALSE)),"")</f>
        <v>QUESO SEMIMADURO KIOSKO</v>
      </c>
      <c r="E555" s="24" t="str">
        <f>+IFERROR(IF(GUAYAQUIL[[#This Row],[CODIGO]]="","",VLOOKUP(GUAYAQUIL[[#This Row],[CODIGO]],MAESTRO!$A:$F,6,FALSE)),"")</f>
        <v>QUESO ANDINO KIOSKO BLOQUE</v>
      </c>
      <c r="F555" s="42" t="str">
        <f>IF(GUAYAQUIL[[#This Row],[CODIGO]]="","",$K$6)</f>
        <v>GUAYAQUIL</v>
      </c>
      <c r="G555" s="209">
        <f>IF(GUAYAQUIL[[#This Row],[CODIGO]]="","",7711)</f>
        <v>7711</v>
      </c>
      <c r="H555" s="209">
        <f>IF(GUAYAQUIL[[#This Row],[CODIGO]]="","",1001)</f>
        <v>1001</v>
      </c>
      <c r="I555" s="257" t="s">
        <v>1170</v>
      </c>
      <c r="J555" s="25" t="str">
        <f>IFERROR((VLOOKUP(GUAYAQUIL[[#This Row],[CODIGO]],MAESTRO!A:B,2,FALSE)),"")</f>
        <v>Q ANDINO KIOSKO RUEDA 450G</v>
      </c>
      <c r="K555" s="26">
        <v>36</v>
      </c>
      <c r="L555" s="38">
        <f>+IFERROR(IF(GUAYAQUIL[[#This Row],[CODIGO]]="","",VLOOKUP(GUAYAQUIL[[#This Row],[CODIGO]],MAESTRO!$A:$BF,58,FALSE)),"")</f>
        <v>1</v>
      </c>
      <c r="M555" s="27">
        <f>+IFERROR(IF(GUAYAQUIL[[#This Row],[CODIGO]]="","",VLOOKUP(GUAYAQUIL[[#This Row],[CODIGO]],MAESTRO!A:N,14,FALSE)),"")</f>
        <v>0.45</v>
      </c>
      <c r="N555" s="28">
        <f>+IFERROR(IF(GUAYAQUIL[[#This Row],[CODIGO]]="","",VLOOKUP(GUAYAQUIL[[#This Row],[CODIGO]],MAESTRO!A:P,16,FALSE)),"")</f>
        <v>90</v>
      </c>
      <c r="O555" s="29">
        <v>45617</v>
      </c>
      <c r="P555" s="72" t="str">
        <f t="shared" si="40"/>
        <v>jueves</v>
      </c>
      <c r="Q555" s="29">
        <f>IFERROR(IF(GUAYAQUIL[[#This Row],[CODIGO]]="","",IF(GUAYAQUIL[[#This Row],[Fecha Cad]]="","",(GUAYAQUIL[[#This Row],[Fecha Cad]]-GUAYAQUIL[[#This Row],[VIDA UTIL (Días)]]))+1),"")</f>
        <v>45610</v>
      </c>
      <c r="R555" s="29">
        <v>45699</v>
      </c>
      <c r="S555" s="30">
        <f t="shared" ca="1" si="41"/>
        <v>75</v>
      </c>
      <c r="T555" s="31">
        <f t="shared" ca="1" si="42"/>
        <v>0.83333333333333337</v>
      </c>
      <c r="U555" s="286">
        <v>36</v>
      </c>
      <c r="V555" s="267">
        <f>+IFERROR(IF(GUAYAQUIL[[#This Row],[CODIGO]]="","",GUAYAQUIL[[#This Row],[Stock Actual Unds]]*GUAYAQUIL[[#This Row],[Gramaje]]*GUAYAQUIL[[#This Row],[Conversión]]),"")</f>
        <v>16.2</v>
      </c>
      <c r="W555" s="270">
        <f t="shared" si="43"/>
        <v>7</v>
      </c>
      <c r="X555" s="32">
        <f t="shared" si="44"/>
        <v>0.92222222222222228</v>
      </c>
      <c r="Y555" s="236">
        <f>IFERROR(VLOOKUP(GUAYAQUIL[[#This Row],[CODIGO]],MAESTRO!A:BI,21,FALSE),0)</f>
        <v>3.27454</v>
      </c>
      <c r="Z555" s="237">
        <f>+IFERROR(IF(GUAYAQUIL[[#This Row],[CODIGO]]="","",GUAYAQUIL[[#This Row],[COSTO UNIT base]]*GUAYAQUIL[[#This Row],[Conversión]]),"")</f>
        <v>3.27454</v>
      </c>
      <c r="AA555" s="236">
        <f>+IFERROR(IF(GUAYAQUIL[[#This Row],[CODIGO]]="","",GUAYAQUIL[[#This Row],[COSTO UNIT Conv]]*GUAYAQUIL[[#This Row],[Stock Actual Kgs]]),"")</f>
        <v>53.047547999999999</v>
      </c>
      <c r="AB555" s="33">
        <f ca="1">+IFERROR(IF(GUAYAQUIL[[#This Row],[CODIGO]]="","",$J$3-O555),"")</f>
        <v>7</v>
      </c>
      <c r="AC555" s="34" t="str">
        <f ca="1">IF(GUAYAQUIL[[#This Row],[CODIGO]]="","",IF(S555&lt;=0,"CADUCADO",IF(AND(S555&gt;0,S555&lt;=21),"FECHA CORTA",IF(AND(S555&gt;=22,S555&lt;=26),"PROXIMOS FECHA CORTA", "VIGENTE"))))</f>
        <v>VIGENTE</v>
      </c>
      <c r="AD555" s="37">
        <f>+IF(GUAYAQUIL[[#This Row],[CODIGO]]="","",GUAYAQUIL[[#This Row],[Stock Actual Unds]]*GUAYAQUIL[[#This Row],[Gramaje]]*GUAYAQUIL[[#This Row],[Conversión]])/1000</f>
        <v>1.6199999999999999E-2</v>
      </c>
    </row>
    <row r="556" spans="1:30">
      <c r="A556" s="24" t="str">
        <f>+IFERROR(IF(GUAYAQUIL[[#This Row],[CODIGO]]="","",VLOOKUP(GUAYAQUIL[[#This Row],[CODIGO]],MAESTRO!$A:$J,10,FALSE)),"")</f>
        <v>SAN GABRIEL</v>
      </c>
      <c r="B556" s="24" t="str">
        <f>+IFERROR(IF(GUAYAQUIL[[#This Row],[CODIGO]]="","",VLOOKUP(GUAYAQUIL[[#This Row],[CODIGO]],MAESTRO!$A:$Q,17,FALSE)),"")</f>
        <v>QUESOS Y GRASAS</v>
      </c>
      <c r="C556" s="24" t="str">
        <f>+IFERROR(IF(GUAYAQUIL[[#This Row],[CODIGO]]="","",VLOOKUP(GUAYAQUIL[[#This Row],[CODIGO]],MAESTRO!$A:$BA,53,FALSE)),"")</f>
        <v xml:space="preserve">Esteban Montenegro                      </v>
      </c>
      <c r="D556" s="24" t="str">
        <f>+IFERROR(IF(GUAYAQUIL[[#This Row],[CODIGO]]="","",VLOOKUP(GUAYAQUIL[[#This Row],[CODIGO]],MAESTRO!$A:$D,4,FALSE)),"")</f>
        <v>QUESO FUNDIDO</v>
      </c>
      <c r="E556" s="24" t="str">
        <f>+IFERROR(IF(GUAYAQUIL[[#This Row],[CODIGO]]="","",VLOOKUP(GUAYAQUIL[[#This Row],[CODIGO]],MAESTRO!$A:$F,6,FALSE)),"")</f>
        <v>QUESO FUNDIDO</v>
      </c>
      <c r="F556" s="42" t="str">
        <f>IF(GUAYAQUIL[[#This Row],[CODIGO]]="","",$K$6)</f>
        <v>GUAYAQUIL</v>
      </c>
      <c r="G556" s="42">
        <f>IF(GUAYAQUIL[[#This Row],[CODIGO]]="","",7711)</f>
        <v>7711</v>
      </c>
      <c r="H556" s="42">
        <f>IF(GUAYAQUIL[[#This Row],[CODIGO]]="","",1001)</f>
        <v>1001</v>
      </c>
      <c r="I556" s="257" t="s">
        <v>1697</v>
      </c>
      <c r="J556" s="25" t="str">
        <f>IFERROR((VLOOKUP(GUAYAQUIL[[#This Row],[CODIGO]],MAESTRO!A:B,2,FALSE)),"")</f>
        <v>Q ESPAR CHED KIOSKO DOYP 200G</v>
      </c>
      <c r="K556" s="26">
        <v>140</v>
      </c>
      <c r="L556" s="38">
        <f>+IFERROR(IF(GUAYAQUIL[[#This Row],[CODIGO]]="","",VLOOKUP(GUAYAQUIL[[#This Row],[CODIGO]],MAESTRO!$A:$BF,58,FALSE)),"")</f>
        <v>1</v>
      </c>
      <c r="M556" s="27">
        <f>+IFERROR(IF(GUAYAQUIL[[#This Row],[CODIGO]]="","",VLOOKUP(GUAYAQUIL[[#This Row],[CODIGO]],MAESTRO!A:N,14,FALSE)),"")</f>
        <v>0.2</v>
      </c>
      <c r="N556" s="28">
        <f>+IFERROR(IF(GUAYAQUIL[[#This Row],[CODIGO]]="","",VLOOKUP(GUAYAQUIL[[#This Row],[CODIGO]],MAESTRO!A:P,16,FALSE)),"")</f>
        <v>90</v>
      </c>
      <c r="O556" s="29">
        <v>45604</v>
      </c>
      <c r="P556" s="72" t="str">
        <f t="shared" si="40"/>
        <v>viernes</v>
      </c>
      <c r="Q556" s="29">
        <f>IFERROR(IF(GUAYAQUIL[[#This Row],[CODIGO]]="","",IF(GUAYAQUIL[[#This Row],[Fecha Cad]]="","",(GUAYAQUIL[[#This Row],[Fecha Cad]]-GUAYAQUIL[[#This Row],[VIDA UTIL (Días)]]))+1),"")</f>
        <v>45597</v>
      </c>
      <c r="R556" s="29">
        <v>45686</v>
      </c>
      <c r="S556" s="30">
        <f t="shared" ca="1" si="41"/>
        <v>62</v>
      </c>
      <c r="T556" s="31">
        <f t="shared" ca="1" si="42"/>
        <v>0.68888888888888888</v>
      </c>
      <c r="U556" s="286">
        <v>83</v>
      </c>
      <c r="V556" s="267">
        <f>+IFERROR(IF(GUAYAQUIL[[#This Row],[CODIGO]]="","",GUAYAQUIL[[#This Row],[Stock Actual Unds]]*GUAYAQUIL[[#This Row],[Gramaje]]*GUAYAQUIL[[#This Row],[Conversión]]),"")</f>
        <v>16.600000000000001</v>
      </c>
      <c r="W556" s="270">
        <f t="shared" si="43"/>
        <v>7</v>
      </c>
      <c r="X556" s="32">
        <f t="shared" si="44"/>
        <v>0.92222222222222228</v>
      </c>
      <c r="Y556" s="236">
        <f>IFERROR(VLOOKUP(GUAYAQUIL[[#This Row],[CODIGO]],MAESTRO!A:BI,21,FALSE),0)</f>
        <v>0.47434500000000002</v>
      </c>
      <c r="Z556" s="237">
        <f>+IFERROR(IF(GUAYAQUIL[[#This Row],[CODIGO]]="","",GUAYAQUIL[[#This Row],[COSTO UNIT base]]*GUAYAQUIL[[#This Row],[Conversión]]),"")</f>
        <v>0.47434500000000002</v>
      </c>
      <c r="AA556" s="236">
        <f>+IFERROR(IF(GUAYAQUIL[[#This Row],[CODIGO]]="","",GUAYAQUIL[[#This Row],[COSTO UNIT Conv]]*GUAYAQUIL[[#This Row],[Stock Actual Kgs]]),"")</f>
        <v>7.8741270000000005</v>
      </c>
      <c r="AB556" s="33">
        <f ca="1">+IFERROR(IF(GUAYAQUIL[[#This Row],[CODIGO]]="","",$J$3-O556),"")</f>
        <v>20</v>
      </c>
      <c r="AC556" s="34" t="str">
        <f ca="1">IF(GUAYAQUIL[[#This Row],[CODIGO]]="","",IF(S556&lt;=0,"CADUCADO",IF(AND(S556&gt;0,S556&lt;=21),"FECHA CORTA",IF(AND(S556&gt;=22,S556&lt;=26),"PROXIMOS FECHA CORTA", "VIGENTE"))))</f>
        <v>VIGENTE</v>
      </c>
      <c r="AD556" s="37">
        <f>+IF(GUAYAQUIL[[#This Row],[CODIGO]]="","",GUAYAQUIL[[#This Row],[Stock Actual Unds]]*GUAYAQUIL[[#This Row],[Gramaje]]*GUAYAQUIL[[#This Row],[Conversión]])/1000</f>
        <v>1.66E-2</v>
      </c>
    </row>
    <row r="557" spans="1:30">
      <c r="A557" s="24" t="str">
        <f>+IFERROR(IF(GUAYAQUIL[[#This Row],[CODIGO]]="","",VLOOKUP(GUAYAQUIL[[#This Row],[CODIGO]],MAESTRO!$A:$J,10,FALSE)),"")</f>
        <v>SAN GABRIEL</v>
      </c>
      <c r="B557" s="24" t="str">
        <f>+IFERROR(IF(GUAYAQUIL[[#This Row],[CODIGO]]="","",VLOOKUP(GUAYAQUIL[[#This Row],[CODIGO]],MAESTRO!$A:$Q,17,FALSE)),"")</f>
        <v>QUESOS Y GRASAS</v>
      </c>
      <c r="C557" s="24" t="str">
        <f>+IFERROR(IF(GUAYAQUIL[[#This Row],[CODIGO]]="","",VLOOKUP(GUAYAQUIL[[#This Row],[CODIGO]],MAESTRO!$A:$BA,53,FALSE)),"")</f>
        <v xml:space="preserve">Esteban Montenegro                      </v>
      </c>
      <c r="D557" s="24" t="str">
        <f>+IFERROR(IF(GUAYAQUIL[[#This Row],[CODIGO]]="","",VLOOKUP(GUAYAQUIL[[#This Row],[CODIGO]],MAESTRO!$A:$D,4,FALSE)),"")</f>
        <v>QUESO FUNDIDO</v>
      </c>
      <c r="E557" s="24" t="str">
        <f>+IFERROR(IF(GUAYAQUIL[[#This Row],[CODIGO]]="","",VLOOKUP(GUAYAQUIL[[#This Row],[CODIGO]],MAESTRO!$A:$F,6,FALSE)),"")</f>
        <v>QUESO FUNDIDO</v>
      </c>
      <c r="F557" s="42" t="str">
        <f>IF(GUAYAQUIL[[#This Row],[CODIGO]]="","",$K$6)</f>
        <v>GUAYAQUIL</v>
      </c>
      <c r="G557" s="209">
        <f>IF(GUAYAQUIL[[#This Row],[CODIGO]]="","",7711)</f>
        <v>7711</v>
      </c>
      <c r="H557" s="209">
        <f>IF(GUAYAQUIL[[#This Row],[CODIGO]]="","",1001)</f>
        <v>1001</v>
      </c>
      <c r="I557" s="258" t="s">
        <v>1697</v>
      </c>
      <c r="J557" s="25" t="str">
        <f>IFERROR((VLOOKUP(GUAYAQUIL[[#This Row],[CODIGO]],MAESTRO!A:B,2,FALSE)),"")</f>
        <v>Q ESPAR CHED KIOSKO DOYP 200G</v>
      </c>
      <c r="K557" s="35">
        <v>70</v>
      </c>
      <c r="L557" s="38">
        <f>+IFERROR(IF(GUAYAQUIL[[#This Row],[CODIGO]]="","",VLOOKUP(GUAYAQUIL[[#This Row],[CODIGO]],MAESTRO!$A:$BF,58,FALSE)),"")</f>
        <v>1</v>
      </c>
      <c r="M557" s="27">
        <f>+IFERROR(IF(GUAYAQUIL[[#This Row],[CODIGO]]="","",VLOOKUP(GUAYAQUIL[[#This Row],[CODIGO]],MAESTRO!A:N,14,FALSE)),"")</f>
        <v>0.2</v>
      </c>
      <c r="N557" s="28">
        <f>+IFERROR(IF(GUAYAQUIL[[#This Row],[CODIGO]]="","",VLOOKUP(GUAYAQUIL[[#This Row],[CODIGO]],MAESTRO!A:P,16,FALSE)),"")</f>
        <v>90</v>
      </c>
      <c r="O557" s="29">
        <v>45610</v>
      </c>
      <c r="P557" s="72" t="str">
        <f t="shared" si="40"/>
        <v>jueves</v>
      </c>
      <c r="Q557" s="29">
        <f>IFERROR(IF(GUAYAQUIL[[#This Row],[CODIGO]]="","",IF(GUAYAQUIL[[#This Row],[Fecha Cad]]="","",(GUAYAQUIL[[#This Row],[Fecha Cad]]-GUAYAQUIL[[#This Row],[VIDA UTIL (Días)]]))+1),"")</f>
        <v>45597</v>
      </c>
      <c r="R557" s="29">
        <v>45686</v>
      </c>
      <c r="S557" s="30">
        <f t="shared" ca="1" si="41"/>
        <v>62</v>
      </c>
      <c r="T557" s="31">
        <f t="shared" ca="1" si="42"/>
        <v>0.68888888888888888</v>
      </c>
      <c r="U557" s="286">
        <v>70</v>
      </c>
      <c r="V557" s="265">
        <f>+IFERROR(IF(GUAYAQUIL[[#This Row],[CODIGO]]="","",GUAYAQUIL[[#This Row],[Stock Actual Unds]]*GUAYAQUIL[[#This Row],[Gramaje]]*GUAYAQUIL[[#This Row],[Conversión]]),"")</f>
        <v>14</v>
      </c>
      <c r="W557" s="270">
        <f t="shared" si="43"/>
        <v>13</v>
      </c>
      <c r="X557" s="32">
        <f t="shared" si="44"/>
        <v>0.85555555555555562</v>
      </c>
      <c r="Y557" s="236">
        <f>IFERROR(VLOOKUP(GUAYAQUIL[[#This Row],[CODIGO]],MAESTRO!A:BI,21,FALSE),0)</f>
        <v>0.47434500000000002</v>
      </c>
      <c r="Z557" s="237">
        <f>+IFERROR(IF(GUAYAQUIL[[#This Row],[CODIGO]]="","",GUAYAQUIL[[#This Row],[COSTO UNIT base]]*GUAYAQUIL[[#This Row],[Conversión]]),"")</f>
        <v>0.47434500000000002</v>
      </c>
      <c r="AA557" s="236">
        <f>+IFERROR(IF(GUAYAQUIL[[#This Row],[CODIGO]]="","",GUAYAQUIL[[#This Row],[COSTO UNIT Conv]]*GUAYAQUIL[[#This Row],[Stock Actual Kgs]]),"")</f>
        <v>6.6408300000000002</v>
      </c>
      <c r="AB557" s="33">
        <f ca="1">+IFERROR(IF(GUAYAQUIL[[#This Row],[CODIGO]]="","",$J$3-O557),"")</f>
        <v>14</v>
      </c>
      <c r="AC557" s="34" t="str">
        <f ca="1">IF(GUAYAQUIL[[#This Row],[CODIGO]]="","",IF(S557&lt;=0,"CADUCADO",IF(AND(S557&gt;0,S557&lt;=21),"FECHA CORTA",IF(AND(S557&gt;=22,S557&lt;=26),"PROXIMOS FECHA CORTA", "VIGENTE"))))</f>
        <v>VIGENTE</v>
      </c>
      <c r="AD557" s="37">
        <f>+IF(GUAYAQUIL[[#This Row],[CODIGO]]="","",GUAYAQUIL[[#This Row],[Stock Actual Unds]]*GUAYAQUIL[[#This Row],[Gramaje]]*GUAYAQUIL[[#This Row],[Conversión]])/1000</f>
        <v>1.4E-2</v>
      </c>
    </row>
    <row r="558" spans="1:30">
      <c r="A558" s="24" t="str">
        <f>+IFERROR(IF(GUAYAQUIL[[#This Row],[CODIGO]]="","",VLOOKUP(GUAYAQUIL[[#This Row],[CODIGO]],MAESTRO!$A:$J,10,FALSE)),"")</f>
        <v>SAN GABRIEL</v>
      </c>
      <c r="B558" s="24" t="str">
        <f>+IFERROR(IF(GUAYAQUIL[[#This Row],[CODIGO]]="","",VLOOKUP(GUAYAQUIL[[#This Row],[CODIGO]],MAESTRO!$A:$Q,17,FALSE)),"")</f>
        <v>QUESOS Y GRASAS</v>
      </c>
      <c r="C558" s="24" t="str">
        <f>+IFERROR(IF(GUAYAQUIL[[#This Row],[CODIGO]]="","",VLOOKUP(GUAYAQUIL[[#This Row],[CODIGO]],MAESTRO!$A:$BA,53,FALSE)),"")</f>
        <v xml:space="preserve">Esteban Montenegro                      </v>
      </c>
      <c r="D558" s="24" t="str">
        <f>+IFERROR(IF(GUAYAQUIL[[#This Row],[CODIGO]]="","",VLOOKUP(GUAYAQUIL[[#This Row],[CODIGO]],MAESTRO!$A:$D,4,FALSE)),"")</f>
        <v>QUESO FUNDIDO</v>
      </c>
      <c r="E558" s="24" t="str">
        <f>+IFERROR(IF(GUAYAQUIL[[#This Row],[CODIGO]]="","",VLOOKUP(GUAYAQUIL[[#This Row],[CODIGO]],MAESTRO!$A:$F,6,FALSE)),"")</f>
        <v>QUESO FUNDIDO</v>
      </c>
      <c r="F558" s="42" t="str">
        <f>IF(GUAYAQUIL[[#This Row],[CODIGO]]="","",$K$6)</f>
        <v>GUAYAQUIL</v>
      </c>
      <c r="G558" s="42">
        <f>IF(GUAYAQUIL[[#This Row],[CODIGO]]="","",7711)</f>
        <v>7711</v>
      </c>
      <c r="H558" s="42">
        <f>IF(GUAYAQUIL[[#This Row],[CODIGO]]="","",1001)</f>
        <v>1001</v>
      </c>
      <c r="I558" s="258" t="s">
        <v>1697</v>
      </c>
      <c r="J558" s="25" t="str">
        <f>IFERROR((VLOOKUP(GUAYAQUIL[[#This Row],[CODIGO]],MAESTRO!A:B,2,FALSE)),"")</f>
        <v>Q ESPAR CHED KIOSKO DOYP 200G</v>
      </c>
      <c r="K558" s="35">
        <v>140</v>
      </c>
      <c r="L558" s="38">
        <f>+IFERROR(IF(GUAYAQUIL[[#This Row],[CODIGO]]="","",VLOOKUP(GUAYAQUIL[[#This Row],[CODIGO]],MAESTRO!$A:$BF,58,FALSE)),"")</f>
        <v>1</v>
      </c>
      <c r="M558" s="27">
        <f>+IFERROR(IF(GUAYAQUIL[[#This Row],[CODIGO]]="","",VLOOKUP(GUAYAQUIL[[#This Row],[CODIGO]],MAESTRO!A:N,14,FALSE)),"")</f>
        <v>0.2</v>
      </c>
      <c r="N558" s="28">
        <f>+IFERROR(IF(GUAYAQUIL[[#This Row],[CODIGO]]="","",VLOOKUP(GUAYAQUIL[[#This Row],[CODIGO]],MAESTRO!A:P,16,FALSE)),"")</f>
        <v>90</v>
      </c>
      <c r="O558" s="29">
        <v>45615</v>
      </c>
      <c r="P558" s="72" t="str">
        <f t="shared" si="40"/>
        <v>martes</v>
      </c>
      <c r="Q558" s="29">
        <f>IFERROR(IF(GUAYAQUIL[[#This Row],[CODIGO]]="","",IF(GUAYAQUIL[[#This Row],[Fecha Cad]]="","",(GUAYAQUIL[[#This Row],[Fecha Cad]]-GUAYAQUIL[[#This Row],[VIDA UTIL (Días)]]))+1),"")</f>
        <v>45611</v>
      </c>
      <c r="R558" s="29">
        <v>45700</v>
      </c>
      <c r="S558" s="30">
        <f t="shared" ca="1" si="41"/>
        <v>76</v>
      </c>
      <c r="T558" s="31">
        <f t="shared" ca="1" si="42"/>
        <v>0.84444444444444444</v>
      </c>
      <c r="U558" s="286">
        <v>140</v>
      </c>
      <c r="V558" s="266">
        <f>+IFERROR(IF(GUAYAQUIL[[#This Row],[CODIGO]]="","",GUAYAQUIL[[#This Row],[Stock Actual Unds]]*GUAYAQUIL[[#This Row],[Gramaje]]*GUAYAQUIL[[#This Row],[Conversión]]),"")</f>
        <v>28</v>
      </c>
      <c r="W558" s="270">
        <f t="shared" si="43"/>
        <v>4</v>
      </c>
      <c r="X558" s="32">
        <f t="shared" si="44"/>
        <v>0.9555555555555556</v>
      </c>
      <c r="Y558" s="236">
        <f>IFERROR(VLOOKUP(GUAYAQUIL[[#This Row],[CODIGO]],MAESTRO!A:BI,21,FALSE),0)</f>
        <v>0.47434500000000002</v>
      </c>
      <c r="Z558" s="237">
        <f>+IFERROR(IF(GUAYAQUIL[[#This Row],[CODIGO]]="","",GUAYAQUIL[[#This Row],[COSTO UNIT base]]*GUAYAQUIL[[#This Row],[Conversión]]),"")</f>
        <v>0.47434500000000002</v>
      </c>
      <c r="AA558" s="236">
        <f>+IFERROR(IF(GUAYAQUIL[[#This Row],[CODIGO]]="","",GUAYAQUIL[[#This Row],[COSTO UNIT Conv]]*GUAYAQUIL[[#This Row],[Stock Actual Kgs]]),"")</f>
        <v>13.28166</v>
      </c>
      <c r="AB558" s="33">
        <f ca="1">+IFERROR(IF(GUAYAQUIL[[#This Row],[CODIGO]]="","",$J$3-O558),"")</f>
        <v>9</v>
      </c>
      <c r="AC558" s="34" t="str">
        <f ca="1">IF(GUAYAQUIL[[#This Row],[CODIGO]]="","",IF(S558&lt;=0,"CADUCADO",IF(AND(S558&gt;0,S558&lt;=21),"FECHA CORTA",IF(AND(S558&gt;=22,S558&lt;=26),"PROXIMOS FECHA CORTA", "VIGENTE"))))</f>
        <v>VIGENTE</v>
      </c>
      <c r="AD558" s="37">
        <f>+IF(GUAYAQUIL[[#This Row],[CODIGO]]="","",GUAYAQUIL[[#This Row],[Stock Actual Unds]]*GUAYAQUIL[[#This Row],[Gramaje]]*GUAYAQUIL[[#This Row],[Conversión]])/1000</f>
        <v>2.8000000000000001E-2</v>
      </c>
    </row>
    <row r="559" spans="1:30">
      <c r="A559" s="24" t="str">
        <f>+IFERROR(IF(GUAYAQUIL[[#This Row],[CODIGO]]="","",VLOOKUP(GUAYAQUIL[[#This Row],[CODIGO]],MAESTRO!$A:$J,10,FALSE)),"")</f>
        <v>SAN GABRIEL</v>
      </c>
      <c r="B559" s="24" t="str">
        <f>+IFERROR(IF(GUAYAQUIL[[#This Row],[CODIGO]]="","",VLOOKUP(GUAYAQUIL[[#This Row],[CODIGO]],MAESTRO!$A:$Q,17,FALSE)),"")</f>
        <v>QUESOS Y GRASAS</v>
      </c>
      <c r="C559" s="24" t="str">
        <f>+IFERROR(IF(GUAYAQUIL[[#This Row],[CODIGO]]="","",VLOOKUP(GUAYAQUIL[[#This Row],[CODIGO]],MAESTRO!$A:$BA,53,FALSE)),"")</f>
        <v xml:space="preserve">Esteban Montenegro                      </v>
      </c>
      <c r="D559" s="24" t="str">
        <f>+IFERROR(IF(GUAYAQUIL[[#This Row],[CODIGO]]="","",VLOOKUP(GUAYAQUIL[[#This Row],[CODIGO]],MAESTRO!$A:$D,4,FALSE)),"")</f>
        <v>QUESO FUNDIDO</v>
      </c>
      <c r="E559" s="24" t="str">
        <f>+IFERROR(IF(GUAYAQUIL[[#This Row],[CODIGO]]="","",VLOOKUP(GUAYAQUIL[[#This Row],[CODIGO]],MAESTRO!$A:$F,6,FALSE)),"")</f>
        <v>QUESO FUNDIDO</v>
      </c>
      <c r="F559" s="42" t="str">
        <f>IF(GUAYAQUIL[[#This Row],[CODIGO]]="","",$K$6)</f>
        <v>GUAYAQUIL</v>
      </c>
      <c r="G559" s="209">
        <f>IF(GUAYAQUIL[[#This Row],[CODIGO]]="","",7711)</f>
        <v>7711</v>
      </c>
      <c r="H559" s="209">
        <f>IF(GUAYAQUIL[[#This Row],[CODIGO]]="","",1001)</f>
        <v>1001</v>
      </c>
      <c r="I559" s="257" t="s">
        <v>1697</v>
      </c>
      <c r="J559" s="25" t="str">
        <f>IFERROR((VLOOKUP(GUAYAQUIL[[#This Row],[CODIGO]],MAESTRO!A:B,2,FALSE)),"")</f>
        <v>Q ESPAR CHED KIOSKO DOYP 200G</v>
      </c>
      <c r="K559" s="26">
        <v>70</v>
      </c>
      <c r="L559" s="38">
        <f>+IFERROR(IF(GUAYAQUIL[[#This Row],[CODIGO]]="","",VLOOKUP(GUAYAQUIL[[#This Row],[CODIGO]],MAESTRO!$A:$BF,58,FALSE)),"")</f>
        <v>1</v>
      </c>
      <c r="M559" s="27">
        <f>+IFERROR(IF(GUAYAQUIL[[#This Row],[CODIGO]]="","",VLOOKUP(GUAYAQUIL[[#This Row],[CODIGO]],MAESTRO!A:N,14,FALSE)),"")</f>
        <v>0.2</v>
      </c>
      <c r="N559" s="28">
        <f>+IFERROR(IF(GUAYAQUIL[[#This Row],[CODIGO]]="","",VLOOKUP(GUAYAQUIL[[#This Row],[CODIGO]],MAESTRO!A:P,16,FALSE)),"")</f>
        <v>90</v>
      </c>
      <c r="O559" s="29">
        <v>45616</v>
      </c>
      <c r="P559" s="72" t="str">
        <f t="shared" si="40"/>
        <v>miércoles</v>
      </c>
      <c r="Q559" s="29">
        <f>IFERROR(IF(GUAYAQUIL[[#This Row],[CODIGO]]="","",IF(GUAYAQUIL[[#This Row],[Fecha Cad]]="","",(GUAYAQUIL[[#This Row],[Fecha Cad]]-GUAYAQUIL[[#This Row],[VIDA UTIL (Días)]]))+1),"")</f>
        <v>45611</v>
      </c>
      <c r="R559" s="29">
        <v>45700</v>
      </c>
      <c r="S559" s="30">
        <f t="shared" ca="1" si="41"/>
        <v>76</v>
      </c>
      <c r="T559" s="31">
        <f t="shared" ca="1" si="42"/>
        <v>0.84444444444444444</v>
      </c>
      <c r="U559" s="286">
        <v>70</v>
      </c>
      <c r="V559" s="267">
        <f>+IFERROR(IF(GUAYAQUIL[[#This Row],[CODIGO]]="","",GUAYAQUIL[[#This Row],[Stock Actual Unds]]*GUAYAQUIL[[#This Row],[Gramaje]]*GUAYAQUIL[[#This Row],[Conversión]]),"")</f>
        <v>14</v>
      </c>
      <c r="W559" s="270">
        <f t="shared" si="43"/>
        <v>5</v>
      </c>
      <c r="X559" s="32">
        <f t="shared" si="44"/>
        <v>0.94444444444444442</v>
      </c>
      <c r="Y559" s="236">
        <f>IFERROR(VLOOKUP(GUAYAQUIL[[#This Row],[CODIGO]],MAESTRO!A:BI,21,FALSE),0)</f>
        <v>0.47434500000000002</v>
      </c>
      <c r="Z559" s="237">
        <f>+IFERROR(IF(GUAYAQUIL[[#This Row],[CODIGO]]="","",GUAYAQUIL[[#This Row],[COSTO UNIT base]]*GUAYAQUIL[[#This Row],[Conversión]]),"")</f>
        <v>0.47434500000000002</v>
      </c>
      <c r="AA559" s="236">
        <f>+IFERROR(IF(GUAYAQUIL[[#This Row],[CODIGO]]="","",GUAYAQUIL[[#This Row],[COSTO UNIT Conv]]*GUAYAQUIL[[#This Row],[Stock Actual Kgs]]),"")</f>
        <v>6.6408300000000002</v>
      </c>
      <c r="AB559" s="33">
        <f ca="1">+IFERROR(IF(GUAYAQUIL[[#This Row],[CODIGO]]="","",$J$3-O559),"")</f>
        <v>8</v>
      </c>
      <c r="AC559" s="34" t="str">
        <f ca="1">IF(GUAYAQUIL[[#This Row],[CODIGO]]="","",IF(S559&lt;=0,"CADUCADO",IF(AND(S559&gt;0,S559&lt;=21),"FECHA CORTA",IF(AND(S559&gt;=22,S559&lt;=26),"PROXIMOS FECHA CORTA", "VIGENTE"))))</f>
        <v>VIGENTE</v>
      </c>
      <c r="AD559" s="37">
        <f>+IF(GUAYAQUIL[[#This Row],[CODIGO]]="","",GUAYAQUIL[[#This Row],[Stock Actual Unds]]*GUAYAQUIL[[#This Row],[Gramaje]]*GUAYAQUIL[[#This Row],[Conversión]])/1000</f>
        <v>1.4E-2</v>
      </c>
    </row>
    <row r="560" spans="1:30">
      <c r="A560" s="24" t="str">
        <f>+IFERROR(IF(GUAYAQUIL[[#This Row],[CODIGO]]="","",VLOOKUP(GUAYAQUIL[[#This Row],[CODIGO]],MAESTRO!$A:$J,10,FALSE)),"")</f>
        <v>SAN GABRIEL</v>
      </c>
      <c r="B560" s="24" t="str">
        <f>+IFERROR(IF(GUAYAQUIL[[#This Row],[CODIGO]]="","",VLOOKUP(GUAYAQUIL[[#This Row],[CODIGO]],MAESTRO!$A:$Q,17,FALSE)),"")</f>
        <v>QUESOS Y GRASAS</v>
      </c>
      <c r="C560" s="24" t="str">
        <f>+IFERROR(IF(GUAYAQUIL[[#This Row],[CODIGO]]="","",VLOOKUP(GUAYAQUIL[[#This Row],[CODIGO]],MAESTRO!$A:$BA,53,FALSE)),"")</f>
        <v xml:space="preserve">Esteban Montenegro                      </v>
      </c>
      <c r="D560" s="24" t="str">
        <f>+IFERROR(IF(GUAYAQUIL[[#This Row],[CODIGO]]="","",VLOOKUP(GUAYAQUIL[[#This Row],[CODIGO]],MAESTRO!$A:$D,4,FALSE)),"")</f>
        <v>QUESO FUNDIDO</v>
      </c>
      <c r="E560" s="24" t="str">
        <f>+IFERROR(IF(GUAYAQUIL[[#This Row],[CODIGO]]="","",VLOOKUP(GUAYAQUIL[[#This Row],[CODIGO]],MAESTRO!$A:$F,6,FALSE)),"")</f>
        <v>QUESO FUNDIDO</v>
      </c>
      <c r="F560" s="42" t="str">
        <f>IF(GUAYAQUIL[[#This Row],[CODIGO]]="","",$K$6)</f>
        <v>GUAYAQUIL</v>
      </c>
      <c r="G560" s="42">
        <f>IF(GUAYAQUIL[[#This Row],[CODIGO]]="","",7711)</f>
        <v>7711</v>
      </c>
      <c r="H560" s="42">
        <f>IF(GUAYAQUIL[[#This Row],[CODIGO]]="","",1001)</f>
        <v>1001</v>
      </c>
      <c r="I560" s="257" t="s">
        <v>1697</v>
      </c>
      <c r="J560" s="25" t="str">
        <f>IFERROR((VLOOKUP(GUAYAQUIL[[#This Row],[CODIGO]],MAESTRO!A:B,2,FALSE)),"")</f>
        <v>Q ESPAR CHED KIOSKO DOYP 200G</v>
      </c>
      <c r="K560" s="26">
        <v>70</v>
      </c>
      <c r="L560" s="38">
        <f>+IFERROR(IF(GUAYAQUIL[[#This Row],[CODIGO]]="","",VLOOKUP(GUAYAQUIL[[#This Row],[CODIGO]],MAESTRO!$A:$BF,58,FALSE)),"")</f>
        <v>1</v>
      </c>
      <c r="M560" s="27">
        <f>+IFERROR(IF(GUAYAQUIL[[#This Row],[CODIGO]]="","",VLOOKUP(GUAYAQUIL[[#This Row],[CODIGO]],MAESTRO!A:N,14,FALSE)),"")</f>
        <v>0.2</v>
      </c>
      <c r="N560" s="28">
        <f>+IFERROR(IF(GUAYAQUIL[[#This Row],[CODIGO]]="","",VLOOKUP(GUAYAQUIL[[#This Row],[CODIGO]],MAESTRO!A:P,16,FALSE)),"")</f>
        <v>90</v>
      </c>
      <c r="O560" s="29">
        <v>45617</v>
      </c>
      <c r="P560" s="72" t="str">
        <f t="shared" si="40"/>
        <v>jueves</v>
      </c>
      <c r="Q560" s="29">
        <f>IFERROR(IF(GUAYAQUIL[[#This Row],[CODIGO]]="","",IF(GUAYAQUIL[[#This Row],[Fecha Cad]]="","",(GUAYAQUIL[[#This Row],[Fecha Cad]]-GUAYAQUIL[[#This Row],[VIDA UTIL (Días)]]))+1),"")</f>
        <v>45611</v>
      </c>
      <c r="R560" s="29">
        <v>45700</v>
      </c>
      <c r="S560" s="30">
        <f t="shared" ca="1" si="41"/>
        <v>76</v>
      </c>
      <c r="T560" s="31">
        <f t="shared" ca="1" si="42"/>
        <v>0.84444444444444444</v>
      </c>
      <c r="U560" s="286">
        <v>70</v>
      </c>
      <c r="V560" s="267">
        <f>+IFERROR(IF(GUAYAQUIL[[#This Row],[CODIGO]]="","",GUAYAQUIL[[#This Row],[Stock Actual Unds]]*GUAYAQUIL[[#This Row],[Gramaje]]*GUAYAQUIL[[#This Row],[Conversión]]),"")</f>
        <v>14</v>
      </c>
      <c r="W560" s="270">
        <f t="shared" si="43"/>
        <v>6</v>
      </c>
      <c r="X560" s="32">
        <f t="shared" si="44"/>
        <v>0.93333333333333335</v>
      </c>
      <c r="Y560" s="236">
        <f>IFERROR(VLOOKUP(GUAYAQUIL[[#This Row],[CODIGO]],MAESTRO!A:BI,21,FALSE),0)</f>
        <v>0.47434500000000002</v>
      </c>
      <c r="Z560" s="237">
        <f>+IFERROR(IF(GUAYAQUIL[[#This Row],[CODIGO]]="","",GUAYAQUIL[[#This Row],[COSTO UNIT base]]*GUAYAQUIL[[#This Row],[Conversión]]),"")</f>
        <v>0.47434500000000002</v>
      </c>
      <c r="AA560" s="236">
        <f>+IFERROR(IF(GUAYAQUIL[[#This Row],[CODIGO]]="","",GUAYAQUIL[[#This Row],[COSTO UNIT Conv]]*GUAYAQUIL[[#This Row],[Stock Actual Kgs]]),"")</f>
        <v>6.6408300000000002</v>
      </c>
      <c r="AB560" s="33">
        <f ca="1">+IFERROR(IF(GUAYAQUIL[[#This Row],[CODIGO]]="","",$J$3-O560),"")</f>
        <v>7</v>
      </c>
      <c r="AC560" s="34" t="str">
        <f ca="1">IF(GUAYAQUIL[[#This Row],[CODIGO]]="","",IF(S560&lt;=0,"CADUCADO",IF(AND(S560&gt;0,S560&lt;=21),"FECHA CORTA",IF(AND(S560&gt;=22,S560&lt;=26),"PROXIMOS FECHA CORTA", "VIGENTE"))))</f>
        <v>VIGENTE</v>
      </c>
      <c r="AD560" s="37">
        <f>+IF(GUAYAQUIL[[#This Row],[CODIGO]]="","",GUAYAQUIL[[#This Row],[Stock Actual Unds]]*GUAYAQUIL[[#This Row],[Gramaje]]*GUAYAQUIL[[#This Row],[Conversión]])/1000</f>
        <v>1.4E-2</v>
      </c>
    </row>
    <row r="561" spans="1:30">
      <c r="A561" s="24" t="str">
        <f>+IFERROR(IF(GUAYAQUIL[[#This Row],[CODIGO]]="","",VLOOKUP(GUAYAQUIL[[#This Row],[CODIGO]],MAESTRO!$A:$J,10,FALSE)),"")</f>
        <v>SAN GABRIEL</v>
      </c>
      <c r="B561" s="24" t="str">
        <f>+IFERROR(IF(GUAYAQUIL[[#This Row],[CODIGO]]="","",VLOOKUP(GUAYAQUIL[[#This Row],[CODIGO]],MAESTRO!$A:$Q,17,FALSE)),"")</f>
        <v>QUESOS Y GRASAS</v>
      </c>
      <c r="C561" s="24" t="str">
        <f>+IFERROR(IF(GUAYAQUIL[[#This Row],[CODIGO]]="","",VLOOKUP(GUAYAQUIL[[#This Row],[CODIGO]],MAESTRO!$A:$BA,53,FALSE)),"")</f>
        <v xml:space="preserve">Esteban Montenegro                      </v>
      </c>
      <c r="D561" s="24" t="str">
        <f>+IFERROR(IF(GUAYAQUIL[[#This Row],[CODIGO]]="","",VLOOKUP(GUAYAQUIL[[#This Row],[CODIGO]],MAESTRO!$A:$D,4,FALSE)),"")</f>
        <v>QUESO MOZARELLA KIOSKO</v>
      </c>
      <c r="E561" s="24" t="str">
        <f>+IFERROR(IF(GUAYAQUIL[[#This Row],[CODIGO]]="","",VLOOKUP(GUAYAQUIL[[#This Row],[CODIGO]],MAESTRO!$A:$F,6,FALSE)),"")</f>
        <v>QUESO MOZARELLA PIZZA KIOSKO TAJADO</v>
      </c>
      <c r="F561" s="42" t="str">
        <f>IF(GUAYAQUIL[[#This Row],[CODIGO]]="","",$K$6)</f>
        <v>GUAYAQUIL</v>
      </c>
      <c r="G561" s="209">
        <f>IF(GUAYAQUIL[[#This Row],[CODIGO]]="","",7711)</f>
        <v>7711</v>
      </c>
      <c r="H561" s="209">
        <f>IF(GUAYAQUIL[[#This Row],[CODIGO]]="","",1001)</f>
        <v>1001</v>
      </c>
      <c r="I561" s="257" t="s">
        <v>3560</v>
      </c>
      <c r="J561" s="25" t="str">
        <f>IFERROR((VLOOKUP(GUAYAQUIL[[#This Row],[CODIGO]],MAESTRO!A:B,2,FALSE)),"")</f>
        <v>Q MOZAR KIOSKO 10 LONJ 150G</v>
      </c>
      <c r="K561" s="26">
        <v>0</v>
      </c>
      <c r="L561" s="38">
        <f>+IFERROR(IF(GUAYAQUIL[[#This Row],[CODIGO]]="","",VLOOKUP(GUAYAQUIL[[#This Row],[CODIGO]],MAESTRO!$A:$BF,58,FALSE)),"")</f>
        <v>1</v>
      </c>
      <c r="M561" s="27">
        <f>+IFERROR(IF(GUAYAQUIL[[#This Row],[CODIGO]]="","",VLOOKUP(GUAYAQUIL[[#This Row],[CODIGO]],MAESTRO!A:N,14,FALSE)),"")</f>
        <v>0.15</v>
      </c>
      <c r="N561" s="28">
        <f>+IFERROR(IF(GUAYAQUIL[[#This Row],[CODIGO]]="","",VLOOKUP(GUAYAQUIL[[#This Row],[CODIGO]],MAESTRO!A:P,16,FALSE)),"")</f>
        <v>30</v>
      </c>
      <c r="O561" s="29">
        <v>45603</v>
      </c>
      <c r="P561" s="72" t="str">
        <f t="shared" si="40"/>
        <v>jueves</v>
      </c>
      <c r="Q561" s="29">
        <f>IFERROR(IF(GUAYAQUIL[[#This Row],[CODIGO]]="","",IF(GUAYAQUIL[[#This Row],[Fecha Cad]]="","",(GUAYAQUIL[[#This Row],[Fecha Cad]]-GUAYAQUIL[[#This Row],[VIDA UTIL (Días)]]))+1),"")</f>
        <v>45603</v>
      </c>
      <c r="R561" s="29">
        <v>45632</v>
      </c>
      <c r="S561" s="30">
        <f t="shared" ca="1" si="41"/>
        <v>8</v>
      </c>
      <c r="T561" s="31">
        <f t="shared" ca="1" si="42"/>
        <v>0.26666666666666666</v>
      </c>
      <c r="U561" s="286">
        <v>38</v>
      </c>
      <c r="V561" s="267">
        <f>+IFERROR(IF(GUAYAQUIL[[#This Row],[CODIGO]]="","",GUAYAQUIL[[#This Row],[Stock Actual Unds]]*GUAYAQUIL[[#This Row],[Gramaje]]*GUAYAQUIL[[#This Row],[Conversión]]),"")</f>
        <v>5.7</v>
      </c>
      <c r="W561" s="270">
        <f t="shared" si="43"/>
        <v>0</v>
      </c>
      <c r="X561" s="32">
        <f t="shared" si="44"/>
        <v>1</v>
      </c>
      <c r="Y561" s="236">
        <f>IFERROR(VLOOKUP(GUAYAQUIL[[#This Row],[CODIGO]],MAESTRO!A:BI,21,FALSE),0)</f>
        <v>1.178895</v>
      </c>
      <c r="Z561" s="237">
        <f>+IFERROR(IF(GUAYAQUIL[[#This Row],[CODIGO]]="","",GUAYAQUIL[[#This Row],[COSTO UNIT base]]*GUAYAQUIL[[#This Row],[Conversión]]),"")</f>
        <v>1.178895</v>
      </c>
      <c r="AA561" s="236">
        <f>+IFERROR(IF(GUAYAQUIL[[#This Row],[CODIGO]]="","",GUAYAQUIL[[#This Row],[COSTO UNIT Conv]]*GUAYAQUIL[[#This Row],[Stock Actual Kgs]]),"")</f>
        <v>6.7197015000000002</v>
      </c>
      <c r="AB561" s="33">
        <f ca="1">+IFERROR(IF(GUAYAQUIL[[#This Row],[CODIGO]]="","",$J$3-O561),"")</f>
        <v>21</v>
      </c>
      <c r="AC561" s="34" t="str">
        <f ca="1">IF(GUAYAQUIL[[#This Row],[CODIGO]]="","",IF(S561&lt;=0,"CADUCADO",IF(AND(S561&gt;0,S561&lt;=21),"FECHA CORTA",IF(AND(S561&gt;=22,S561&lt;=26),"PROXIMOS FECHA CORTA", "VIGENTE"))))</f>
        <v>FECHA CORTA</v>
      </c>
      <c r="AD561" s="37">
        <f>+IF(GUAYAQUIL[[#This Row],[CODIGO]]="","",GUAYAQUIL[[#This Row],[Stock Actual Unds]]*GUAYAQUIL[[#This Row],[Gramaje]]*GUAYAQUIL[[#This Row],[Conversión]])/1000</f>
        <v>5.7000000000000002E-3</v>
      </c>
    </row>
    <row r="562" spans="1:30">
      <c r="A562" s="24" t="str">
        <f>+IFERROR(IF(GUAYAQUIL[[#This Row],[CODIGO]]="","",VLOOKUP(GUAYAQUIL[[#This Row],[CODIGO]],MAESTRO!$A:$J,10,FALSE)),"")</f>
        <v>SAN GABRIEL</v>
      </c>
      <c r="B562" s="24" t="str">
        <f>+IFERROR(IF(GUAYAQUIL[[#This Row],[CODIGO]]="","",VLOOKUP(GUAYAQUIL[[#This Row],[CODIGO]],MAESTRO!$A:$Q,17,FALSE)),"")</f>
        <v>QUESOS Y GRASAS</v>
      </c>
      <c r="C562" s="24" t="str">
        <f>+IFERROR(IF(GUAYAQUIL[[#This Row],[CODIGO]]="","",VLOOKUP(GUAYAQUIL[[#This Row],[CODIGO]],MAESTRO!$A:$BA,53,FALSE)),"")</f>
        <v xml:space="preserve">Esteban Montenegro                      </v>
      </c>
      <c r="D562" s="24" t="str">
        <f>+IFERROR(IF(GUAYAQUIL[[#This Row],[CODIGO]]="","",VLOOKUP(GUAYAQUIL[[#This Row],[CODIGO]],MAESTRO!$A:$D,4,FALSE)),"")</f>
        <v>QUESO MOZARELLA KIOSKO</v>
      </c>
      <c r="E562" s="24" t="str">
        <f>+IFERROR(IF(GUAYAQUIL[[#This Row],[CODIGO]]="","",VLOOKUP(GUAYAQUIL[[#This Row],[CODIGO]],MAESTRO!$A:$F,6,FALSE)),"")</f>
        <v>QUESO MOZARELLA PIZZA KIOSKO TAJADO</v>
      </c>
      <c r="F562" s="42" t="str">
        <f>IF(GUAYAQUIL[[#This Row],[CODIGO]]="","",$K$6)</f>
        <v>GUAYAQUIL</v>
      </c>
      <c r="G562" s="42">
        <f>IF(GUAYAQUIL[[#This Row],[CODIGO]]="","",7711)</f>
        <v>7711</v>
      </c>
      <c r="H562" s="42">
        <f>IF(GUAYAQUIL[[#This Row],[CODIGO]]="","",1001)</f>
        <v>1001</v>
      </c>
      <c r="I562" s="257" t="s">
        <v>3560</v>
      </c>
      <c r="J562" s="25" t="str">
        <f>IFERROR((VLOOKUP(GUAYAQUIL[[#This Row],[CODIGO]],MAESTRO!A:B,2,FALSE)),"")</f>
        <v>Q MOZAR KIOSKO 10 LONJ 150G</v>
      </c>
      <c r="K562" s="26">
        <v>830</v>
      </c>
      <c r="L562" s="38">
        <f>+IFERROR(IF(GUAYAQUIL[[#This Row],[CODIGO]]="","",VLOOKUP(GUAYAQUIL[[#This Row],[CODIGO]],MAESTRO!$A:$BF,58,FALSE)),"")</f>
        <v>1</v>
      </c>
      <c r="M562" s="27">
        <f>+IFERROR(IF(GUAYAQUIL[[#This Row],[CODIGO]]="","",VLOOKUP(GUAYAQUIL[[#This Row],[CODIGO]],MAESTRO!A:N,14,FALSE)),"")</f>
        <v>0.15</v>
      </c>
      <c r="N562" s="28">
        <f>+IFERROR(IF(GUAYAQUIL[[#This Row],[CODIGO]]="","",VLOOKUP(GUAYAQUIL[[#This Row],[CODIGO]],MAESTRO!A:P,16,FALSE)),"")</f>
        <v>30</v>
      </c>
      <c r="O562" s="29">
        <v>45611</v>
      </c>
      <c r="P562" s="72" t="str">
        <f t="shared" si="40"/>
        <v>viernes</v>
      </c>
      <c r="Q562" s="29">
        <f>IFERROR(IF(GUAYAQUIL[[#This Row],[CODIGO]]="","",IF(GUAYAQUIL[[#This Row],[Fecha Cad]]="","",(GUAYAQUIL[[#This Row],[Fecha Cad]]-GUAYAQUIL[[#This Row],[VIDA UTIL (Días)]]))+1),"")</f>
        <v>45608</v>
      </c>
      <c r="R562" s="29">
        <v>45637</v>
      </c>
      <c r="S562" s="30">
        <f t="shared" ca="1" si="41"/>
        <v>13</v>
      </c>
      <c r="T562" s="31">
        <f t="shared" ca="1" si="42"/>
        <v>0.43333333333333335</v>
      </c>
      <c r="U562" s="286">
        <v>28</v>
      </c>
      <c r="V562" s="267">
        <f>+IFERROR(IF(GUAYAQUIL[[#This Row],[CODIGO]]="","",GUAYAQUIL[[#This Row],[Stock Actual Unds]]*GUAYAQUIL[[#This Row],[Gramaje]]*GUAYAQUIL[[#This Row],[Conversión]]),"")</f>
        <v>4.2</v>
      </c>
      <c r="W562" s="270">
        <f t="shared" si="43"/>
        <v>3</v>
      </c>
      <c r="X562" s="32">
        <f t="shared" si="44"/>
        <v>0.9</v>
      </c>
      <c r="Y562" s="236">
        <f>IFERROR(VLOOKUP(GUAYAQUIL[[#This Row],[CODIGO]],MAESTRO!A:BI,21,FALSE),0)</f>
        <v>1.178895</v>
      </c>
      <c r="Z562" s="237">
        <f>+IFERROR(IF(GUAYAQUIL[[#This Row],[CODIGO]]="","",GUAYAQUIL[[#This Row],[COSTO UNIT base]]*GUAYAQUIL[[#This Row],[Conversión]]),"")</f>
        <v>1.178895</v>
      </c>
      <c r="AA562" s="236">
        <f>+IFERROR(IF(GUAYAQUIL[[#This Row],[CODIGO]]="","",GUAYAQUIL[[#This Row],[COSTO UNIT Conv]]*GUAYAQUIL[[#This Row],[Stock Actual Kgs]]),"")</f>
        <v>4.9513590000000001</v>
      </c>
      <c r="AB562" s="33">
        <f ca="1">+IFERROR(IF(GUAYAQUIL[[#This Row],[CODIGO]]="","",$J$3-O562),"")</f>
        <v>13</v>
      </c>
      <c r="AC562" s="34" t="str">
        <f ca="1">IF(GUAYAQUIL[[#This Row],[CODIGO]]="","",IF(S562&lt;=0,"CADUCADO",IF(AND(S562&gt;0,S562&lt;=21),"FECHA CORTA",IF(AND(S562&gt;=22,S562&lt;=26),"PROXIMOS FECHA CORTA", "VIGENTE"))))</f>
        <v>FECHA CORTA</v>
      </c>
      <c r="AD562" s="37">
        <f>+IF(GUAYAQUIL[[#This Row],[CODIGO]]="","",GUAYAQUIL[[#This Row],[Stock Actual Unds]]*GUAYAQUIL[[#This Row],[Gramaje]]*GUAYAQUIL[[#This Row],[Conversión]])/1000</f>
        <v>4.2000000000000006E-3</v>
      </c>
    </row>
    <row r="563" spans="1:30">
      <c r="A563" s="24" t="str">
        <f>+IFERROR(IF(GUAYAQUIL[[#This Row],[CODIGO]]="","",VLOOKUP(GUAYAQUIL[[#This Row],[CODIGO]],MAESTRO!$A:$J,10,FALSE)),"")</f>
        <v>SAN GABRIEL</v>
      </c>
      <c r="B563" s="24" t="str">
        <f>+IFERROR(IF(GUAYAQUIL[[#This Row],[CODIGO]]="","",VLOOKUP(GUAYAQUIL[[#This Row],[CODIGO]],MAESTRO!$A:$Q,17,FALSE)),"")</f>
        <v>QUESOS Y GRASAS</v>
      </c>
      <c r="C563" s="24" t="str">
        <f>+IFERROR(IF(GUAYAQUIL[[#This Row],[CODIGO]]="","",VLOOKUP(GUAYAQUIL[[#This Row],[CODIGO]],MAESTRO!$A:$BA,53,FALSE)),"")</f>
        <v xml:space="preserve">Esteban Montenegro                      </v>
      </c>
      <c r="D563" s="24" t="str">
        <f>+IFERROR(IF(GUAYAQUIL[[#This Row],[CODIGO]]="","",VLOOKUP(GUAYAQUIL[[#This Row],[CODIGO]],MAESTRO!$A:$D,4,FALSE)),"")</f>
        <v>QUESO MOZARELLA KIOSKO</v>
      </c>
      <c r="E563" s="24" t="str">
        <f>+IFERROR(IF(GUAYAQUIL[[#This Row],[CODIGO]]="","",VLOOKUP(GUAYAQUIL[[#This Row],[CODIGO]],MAESTRO!$A:$F,6,FALSE)),"")</f>
        <v>QUESO MOZARELLA PIZZA KIOSKO TAJADO</v>
      </c>
      <c r="F563" s="42" t="str">
        <f>IF(GUAYAQUIL[[#This Row],[CODIGO]]="","",$K$6)</f>
        <v>GUAYAQUIL</v>
      </c>
      <c r="G563" s="209">
        <f>IF(GUAYAQUIL[[#This Row],[CODIGO]]="","",7711)</f>
        <v>7711</v>
      </c>
      <c r="H563" s="209">
        <f>IF(GUAYAQUIL[[#This Row],[CODIGO]]="","",1001)</f>
        <v>1001</v>
      </c>
      <c r="I563" s="258" t="s">
        <v>3560</v>
      </c>
      <c r="J563" s="25" t="str">
        <f>IFERROR((VLOOKUP(GUAYAQUIL[[#This Row],[CODIGO]],MAESTRO!A:B,2,FALSE)),"")</f>
        <v>Q MOZAR KIOSKO 10 LONJ 150G</v>
      </c>
      <c r="K563" s="35">
        <v>220</v>
      </c>
      <c r="L563" s="38">
        <f>+IFERROR(IF(GUAYAQUIL[[#This Row],[CODIGO]]="","",VLOOKUP(GUAYAQUIL[[#This Row],[CODIGO]],MAESTRO!$A:$BF,58,FALSE)),"")</f>
        <v>1</v>
      </c>
      <c r="M563" s="27">
        <f>+IFERROR(IF(GUAYAQUIL[[#This Row],[CODIGO]]="","",VLOOKUP(GUAYAQUIL[[#This Row],[CODIGO]],MAESTRO!A:N,14,FALSE)),"")</f>
        <v>0.15</v>
      </c>
      <c r="N563" s="28">
        <f>+IFERROR(IF(GUAYAQUIL[[#This Row],[CODIGO]]="","",VLOOKUP(GUAYAQUIL[[#This Row],[CODIGO]],MAESTRO!A:P,16,FALSE)),"")</f>
        <v>30</v>
      </c>
      <c r="O563" s="29">
        <v>45611</v>
      </c>
      <c r="P563" s="72" t="str">
        <f t="shared" si="40"/>
        <v>viernes</v>
      </c>
      <c r="Q563" s="29">
        <f>IFERROR(IF(GUAYAQUIL[[#This Row],[CODIGO]]="","",IF(GUAYAQUIL[[#This Row],[Fecha Cad]]="","",(GUAYAQUIL[[#This Row],[Fecha Cad]]-GUAYAQUIL[[#This Row],[VIDA UTIL (Días)]]))+1),"")</f>
        <v>45609</v>
      </c>
      <c r="R563" s="29">
        <v>45638</v>
      </c>
      <c r="S563" s="30">
        <f t="shared" ca="1" si="41"/>
        <v>14</v>
      </c>
      <c r="T563" s="31">
        <f t="shared" ca="1" si="42"/>
        <v>0.46666666666666667</v>
      </c>
      <c r="U563" s="286">
        <v>220</v>
      </c>
      <c r="V563" s="265">
        <f>+IFERROR(IF(GUAYAQUIL[[#This Row],[CODIGO]]="","",GUAYAQUIL[[#This Row],[Stock Actual Unds]]*GUAYAQUIL[[#This Row],[Gramaje]]*GUAYAQUIL[[#This Row],[Conversión]]),"")</f>
        <v>33</v>
      </c>
      <c r="W563" s="270">
        <f t="shared" si="43"/>
        <v>2</v>
      </c>
      <c r="X563" s="32">
        <f t="shared" si="44"/>
        <v>0.93333333333333335</v>
      </c>
      <c r="Y563" s="236">
        <f>IFERROR(VLOOKUP(GUAYAQUIL[[#This Row],[CODIGO]],MAESTRO!A:BI,21,FALSE),0)</f>
        <v>1.178895</v>
      </c>
      <c r="Z563" s="237">
        <f>+IFERROR(IF(GUAYAQUIL[[#This Row],[CODIGO]]="","",GUAYAQUIL[[#This Row],[COSTO UNIT base]]*GUAYAQUIL[[#This Row],[Conversión]]),"")</f>
        <v>1.178895</v>
      </c>
      <c r="AA563" s="236">
        <f>+IFERROR(IF(GUAYAQUIL[[#This Row],[CODIGO]]="","",GUAYAQUIL[[#This Row],[COSTO UNIT Conv]]*GUAYAQUIL[[#This Row],[Stock Actual Kgs]]),"")</f>
        <v>38.903534999999998</v>
      </c>
      <c r="AB563" s="33">
        <f ca="1">+IFERROR(IF(GUAYAQUIL[[#This Row],[CODIGO]]="","",$J$3-O563),"")</f>
        <v>13</v>
      </c>
      <c r="AC563" s="34" t="str">
        <f ca="1">IF(GUAYAQUIL[[#This Row],[CODIGO]]="","",IF(S563&lt;=0,"CADUCADO",IF(AND(S563&gt;0,S563&lt;=21),"FECHA CORTA",IF(AND(S563&gt;=22,S563&lt;=26),"PROXIMOS FECHA CORTA", "VIGENTE"))))</f>
        <v>FECHA CORTA</v>
      </c>
      <c r="AD563" s="37">
        <f>+IF(GUAYAQUIL[[#This Row],[CODIGO]]="","",GUAYAQUIL[[#This Row],[Stock Actual Unds]]*GUAYAQUIL[[#This Row],[Gramaje]]*GUAYAQUIL[[#This Row],[Conversión]])/1000</f>
        <v>3.3000000000000002E-2</v>
      </c>
    </row>
    <row r="564" spans="1:30">
      <c r="A564" s="24" t="str">
        <f>+IFERROR(IF(GUAYAQUIL[[#This Row],[CODIGO]]="","",VLOOKUP(GUAYAQUIL[[#This Row],[CODIGO]],MAESTRO!$A:$J,10,FALSE)),"")</f>
        <v>SAN GABRIEL</v>
      </c>
      <c r="B564" s="24" t="str">
        <f>+IFERROR(IF(GUAYAQUIL[[#This Row],[CODIGO]]="","",VLOOKUP(GUAYAQUIL[[#This Row],[CODIGO]],MAESTRO!$A:$Q,17,FALSE)),"")</f>
        <v>QUESOS Y GRASAS</v>
      </c>
      <c r="C564" s="24" t="str">
        <f>+IFERROR(IF(GUAYAQUIL[[#This Row],[CODIGO]]="","",VLOOKUP(GUAYAQUIL[[#This Row],[CODIGO]],MAESTRO!$A:$BA,53,FALSE)),"")</f>
        <v xml:space="preserve">Esteban Montenegro                      </v>
      </c>
      <c r="D564" s="24" t="str">
        <f>+IFERROR(IF(GUAYAQUIL[[#This Row],[CODIGO]]="","",VLOOKUP(GUAYAQUIL[[#This Row],[CODIGO]],MAESTRO!$A:$D,4,FALSE)),"")</f>
        <v>QUESO MOZARELLA KIOSKO</v>
      </c>
      <c r="E564" s="24" t="str">
        <f>+IFERROR(IF(GUAYAQUIL[[#This Row],[CODIGO]]="","",VLOOKUP(GUAYAQUIL[[#This Row],[CODIGO]],MAESTRO!$A:$F,6,FALSE)),"")</f>
        <v>QUESO MOZARELLA PIZZA KIOSKO TAJADO</v>
      </c>
      <c r="F564" s="42" t="str">
        <f>IF(GUAYAQUIL[[#This Row],[CODIGO]]="","",$K$6)</f>
        <v>GUAYAQUIL</v>
      </c>
      <c r="G564" s="42">
        <f>IF(GUAYAQUIL[[#This Row],[CODIGO]]="","",7711)</f>
        <v>7711</v>
      </c>
      <c r="H564" s="42">
        <f>IF(GUAYAQUIL[[#This Row],[CODIGO]]="","",1001)</f>
        <v>1001</v>
      </c>
      <c r="I564" s="258" t="s">
        <v>3560</v>
      </c>
      <c r="J564" s="25" t="str">
        <f>IFERROR((VLOOKUP(GUAYAQUIL[[#This Row],[CODIGO]],MAESTRO!A:B,2,FALSE)),"")</f>
        <v>Q MOZAR KIOSKO 10 LONJ 150G</v>
      </c>
      <c r="K564" s="35">
        <v>139</v>
      </c>
      <c r="L564" s="38">
        <f>+IFERROR(IF(GUAYAQUIL[[#This Row],[CODIGO]]="","",VLOOKUP(GUAYAQUIL[[#This Row],[CODIGO]],MAESTRO!$A:$BF,58,FALSE)),"")</f>
        <v>1</v>
      </c>
      <c r="M564" s="27">
        <f>+IFERROR(IF(GUAYAQUIL[[#This Row],[CODIGO]]="","",VLOOKUP(GUAYAQUIL[[#This Row],[CODIGO]],MAESTRO!A:N,14,FALSE)),"")</f>
        <v>0.15</v>
      </c>
      <c r="N564" s="28">
        <f>+IFERROR(IF(GUAYAQUIL[[#This Row],[CODIGO]]="","",VLOOKUP(GUAYAQUIL[[#This Row],[CODIGO]],MAESTRO!A:P,16,FALSE)),"")</f>
        <v>30</v>
      </c>
      <c r="O564" s="45">
        <v>45615</v>
      </c>
      <c r="P564" s="72" t="str">
        <f t="shared" si="40"/>
        <v>martes</v>
      </c>
      <c r="Q564" s="29">
        <f>IFERROR(IF(GUAYAQUIL[[#This Row],[CODIGO]]="","",IF(GUAYAQUIL[[#This Row],[Fecha Cad]]="","",(GUAYAQUIL[[#This Row],[Fecha Cad]]-GUAYAQUIL[[#This Row],[VIDA UTIL (Días)]]))+1),"")</f>
        <v>45611</v>
      </c>
      <c r="R564" s="45">
        <v>45640</v>
      </c>
      <c r="S564" s="30">
        <f t="shared" ca="1" si="41"/>
        <v>16</v>
      </c>
      <c r="T564" s="31">
        <f t="shared" ca="1" si="42"/>
        <v>0.53333333333333333</v>
      </c>
      <c r="U564" s="286">
        <v>139</v>
      </c>
      <c r="V564" s="265">
        <f>+IFERROR(IF(GUAYAQUIL[[#This Row],[CODIGO]]="","",GUAYAQUIL[[#This Row],[Stock Actual Unds]]*GUAYAQUIL[[#This Row],[Gramaje]]*GUAYAQUIL[[#This Row],[Conversión]]),"")</f>
        <v>20.849999999999998</v>
      </c>
      <c r="W564" s="270">
        <f t="shared" si="43"/>
        <v>4</v>
      </c>
      <c r="X564" s="32">
        <f t="shared" si="44"/>
        <v>0.8666666666666667</v>
      </c>
      <c r="Y564" s="236">
        <f>IFERROR(VLOOKUP(GUAYAQUIL[[#This Row],[CODIGO]],MAESTRO!A:BI,21,FALSE),0)</f>
        <v>1.178895</v>
      </c>
      <c r="Z564" s="237">
        <f>+IFERROR(IF(GUAYAQUIL[[#This Row],[CODIGO]]="","",GUAYAQUIL[[#This Row],[COSTO UNIT base]]*GUAYAQUIL[[#This Row],[Conversión]]),"")</f>
        <v>1.178895</v>
      </c>
      <c r="AA564" s="236">
        <f>+IFERROR(IF(GUAYAQUIL[[#This Row],[CODIGO]]="","",GUAYAQUIL[[#This Row],[COSTO UNIT Conv]]*GUAYAQUIL[[#This Row],[Stock Actual Kgs]]),"")</f>
        <v>24.579960749999998</v>
      </c>
      <c r="AB564" s="33">
        <f ca="1">+IFERROR(IF(GUAYAQUIL[[#This Row],[CODIGO]]="","",$J$3-O564),"")</f>
        <v>9</v>
      </c>
      <c r="AC564" s="34" t="str">
        <f ca="1">IF(GUAYAQUIL[[#This Row],[CODIGO]]="","",IF(S564&lt;=0,"CADUCADO",IF(AND(S564&gt;0,S564&lt;=21),"FECHA CORTA",IF(AND(S564&gt;=22,S564&lt;=26),"PROXIMOS FECHA CORTA", "VIGENTE"))))</f>
        <v>FECHA CORTA</v>
      </c>
      <c r="AD564" s="37">
        <f>+IF(GUAYAQUIL[[#This Row],[CODIGO]]="","",GUAYAQUIL[[#This Row],[Stock Actual Unds]]*GUAYAQUIL[[#This Row],[Gramaje]]*GUAYAQUIL[[#This Row],[Conversión]])/1000</f>
        <v>2.0849999999999997E-2</v>
      </c>
    </row>
    <row r="565" spans="1:30">
      <c r="A565" s="24" t="str">
        <f>+IFERROR(IF(GUAYAQUIL[[#This Row],[CODIGO]]="","",VLOOKUP(GUAYAQUIL[[#This Row],[CODIGO]],MAESTRO!$A:$J,10,FALSE)),"")</f>
        <v>SAN GABRIEL</v>
      </c>
      <c r="B565" s="24" t="str">
        <f>+IFERROR(IF(GUAYAQUIL[[#This Row],[CODIGO]]="","",VLOOKUP(GUAYAQUIL[[#This Row],[CODIGO]],MAESTRO!$A:$Q,17,FALSE)),"")</f>
        <v>QUESOS Y GRASAS</v>
      </c>
      <c r="C565" s="24" t="str">
        <f>+IFERROR(IF(GUAYAQUIL[[#This Row],[CODIGO]]="","",VLOOKUP(GUAYAQUIL[[#This Row],[CODIGO]],MAESTRO!$A:$BA,53,FALSE)),"")</f>
        <v xml:space="preserve">Esteban Montenegro                      </v>
      </c>
      <c r="D565" s="24" t="str">
        <f>+IFERROR(IF(GUAYAQUIL[[#This Row],[CODIGO]]="","",VLOOKUP(GUAYAQUIL[[#This Row],[CODIGO]],MAESTRO!$A:$D,4,FALSE)),"")</f>
        <v>QUESO MOZARELLA KIOSKO</v>
      </c>
      <c r="E565" s="24" t="str">
        <f>+IFERROR(IF(GUAYAQUIL[[#This Row],[CODIGO]]="","",VLOOKUP(GUAYAQUIL[[#This Row],[CODIGO]],MAESTRO!$A:$F,6,FALSE)),"")</f>
        <v>QUESO MOZARELLA PIZZA KIOSKO TAJADO</v>
      </c>
      <c r="F565" s="42" t="str">
        <f>IF(GUAYAQUIL[[#This Row],[CODIGO]]="","",$K$6)</f>
        <v>GUAYAQUIL</v>
      </c>
      <c r="G565" s="209">
        <f>IF(GUAYAQUIL[[#This Row],[CODIGO]]="","",7711)</f>
        <v>7711</v>
      </c>
      <c r="H565" s="209">
        <f>IF(GUAYAQUIL[[#This Row],[CODIGO]]="","",1001)</f>
        <v>1001</v>
      </c>
      <c r="I565" s="258" t="s">
        <v>3560</v>
      </c>
      <c r="J565" s="25" t="str">
        <f>IFERROR((VLOOKUP(GUAYAQUIL[[#This Row],[CODIGO]],MAESTRO!A:B,2,FALSE)),"")</f>
        <v>Q MOZAR KIOSKO 10 LONJ 150G</v>
      </c>
      <c r="K565" s="35">
        <v>161</v>
      </c>
      <c r="L565" s="38">
        <f>+IFERROR(IF(GUAYAQUIL[[#This Row],[CODIGO]]="","",VLOOKUP(GUAYAQUIL[[#This Row],[CODIGO]],MAESTRO!$A:$BF,58,FALSE)),"")</f>
        <v>1</v>
      </c>
      <c r="M565" s="27">
        <f>+IFERROR(IF(GUAYAQUIL[[#This Row],[CODIGO]]="","",VLOOKUP(GUAYAQUIL[[#This Row],[CODIGO]],MAESTRO!A:N,14,FALSE)),"")</f>
        <v>0.15</v>
      </c>
      <c r="N565" s="28">
        <f>+IFERROR(IF(GUAYAQUIL[[#This Row],[CODIGO]]="","",VLOOKUP(GUAYAQUIL[[#This Row],[CODIGO]],MAESTRO!A:P,16,FALSE)),"")</f>
        <v>30</v>
      </c>
      <c r="O565" s="45">
        <v>45615</v>
      </c>
      <c r="P565" s="72" t="str">
        <f t="shared" si="40"/>
        <v>martes</v>
      </c>
      <c r="Q565" s="29">
        <f>IFERROR(IF(GUAYAQUIL[[#This Row],[CODIGO]]="","",IF(GUAYAQUIL[[#This Row],[Fecha Cad]]="","",(GUAYAQUIL[[#This Row],[Fecha Cad]]-GUAYAQUIL[[#This Row],[VIDA UTIL (Días)]]))+1),"")</f>
        <v>45609</v>
      </c>
      <c r="R565" s="45">
        <v>45638</v>
      </c>
      <c r="S565" s="30">
        <f t="shared" ca="1" si="41"/>
        <v>14</v>
      </c>
      <c r="T565" s="31">
        <f t="shared" ca="1" si="42"/>
        <v>0.46666666666666667</v>
      </c>
      <c r="U565" s="286">
        <v>161</v>
      </c>
      <c r="V565" s="265">
        <f>+IFERROR(IF(GUAYAQUIL[[#This Row],[CODIGO]]="","",GUAYAQUIL[[#This Row],[Stock Actual Unds]]*GUAYAQUIL[[#This Row],[Gramaje]]*GUAYAQUIL[[#This Row],[Conversión]]),"")</f>
        <v>24.15</v>
      </c>
      <c r="W565" s="270">
        <f t="shared" si="43"/>
        <v>6</v>
      </c>
      <c r="X565" s="32">
        <f t="shared" si="44"/>
        <v>0.8</v>
      </c>
      <c r="Y565" s="236">
        <f>IFERROR(VLOOKUP(GUAYAQUIL[[#This Row],[CODIGO]],MAESTRO!A:BI,21,FALSE),0)</f>
        <v>1.178895</v>
      </c>
      <c r="Z565" s="237">
        <f>+IFERROR(IF(GUAYAQUIL[[#This Row],[CODIGO]]="","",GUAYAQUIL[[#This Row],[COSTO UNIT base]]*GUAYAQUIL[[#This Row],[Conversión]]),"")</f>
        <v>1.178895</v>
      </c>
      <c r="AA565" s="236">
        <f>+IFERROR(IF(GUAYAQUIL[[#This Row],[CODIGO]]="","",GUAYAQUIL[[#This Row],[COSTO UNIT Conv]]*GUAYAQUIL[[#This Row],[Stock Actual Kgs]]),"")</f>
        <v>28.470314249999998</v>
      </c>
      <c r="AB565" s="33">
        <f ca="1">+IFERROR(IF(GUAYAQUIL[[#This Row],[CODIGO]]="","",$J$3-O565),"")</f>
        <v>9</v>
      </c>
      <c r="AC565" s="34" t="str">
        <f ca="1">IF(GUAYAQUIL[[#This Row],[CODIGO]]="","",IF(S565&lt;=0,"CADUCADO",IF(AND(S565&gt;0,S565&lt;=21),"FECHA CORTA",IF(AND(S565&gt;=22,S565&lt;=26),"PROXIMOS FECHA CORTA", "VIGENTE"))))</f>
        <v>FECHA CORTA</v>
      </c>
      <c r="AD565" s="37">
        <f>+IF(GUAYAQUIL[[#This Row],[CODIGO]]="","",GUAYAQUIL[[#This Row],[Stock Actual Unds]]*GUAYAQUIL[[#This Row],[Gramaje]]*GUAYAQUIL[[#This Row],[Conversión]])/1000</f>
        <v>2.4149999999999998E-2</v>
      </c>
    </row>
    <row r="566" spans="1:30">
      <c r="A566" s="24" t="str">
        <f>+IFERROR(IF(GUAYAQUIL[[#This Row],[CODIGO]]="","",VLOOKUP(GUAYAQUIL[[#This Row],[CODIGO]],MAESTRO!$A:$J,10,FALSE)),"")</f>
        <v>SAN GABRIEL</v>
      </c>
      <c r="B566" s="24" t="str">
        <f>+IFERROR(IF(GUAYAQUIL[[#This Row],[CODIGO]]="","",VLOOKUP(GUAYAQUIL[[#This Row],[CODIGO]],MAESTRO!$A:$Q,17,FALSE)),"")</f>
        <v>QUESOS Y GRASAS</v>
      </c>
      <c r="C566" s="24" t="str">
        <f>+IFERROR(IF(GUAYAQUIL[[#This Row],[CODIGO]]="","",VLOOKUP(GUAYAQUIL[[#This Row],[CODIGO]],MAESTRO!$A:$BA,53,FALSE)),"")</f>
        <v xml:space="preserve">Esteban Montenegro                      </v>
      </c>
      <c r="D566" s="24" t="str">
        <f>+IFERROR(IF(GUAYAQUIL[[#This Row],[CODIGO]]="","",VLOOKUP(GUAYAQUIL[[#This Row],[CODIGO]],MAESTRO!$A:$D,4,FALSE)),"")</f>
        <v>QUESO MOZARELLA KIOSKO</v>
      </c>
      <c r="E566" s="24" t="str">
        <f>+IFERROR(IF(GUAYAQUIL[[#This Row],[CODIGO]]="","",VLOOKUP(GUAYAQUIL[[#This Row],[CODIGO]],MAESTRO!$A:$F,6,FALSE)),"")</f>
        <v>QUESO MOZARELLA PIZZA KIOSKO TAJADO</v>
      </c>
      <c r="F566" s="42" t="str">
        <f>IF(GUAYAQUIL[[#This Row],[CODIGO]]="","",$K$6)</f>
        <v>GUAYAQUIL</v>
      </c>
      <c r="G566" s="42">
        <f>IF(GUAYAQUIL[[#This Row],[CODIGO]]="","",7711)</f>
        <v>7711</v>
      </c>
      <c r="H566" s="42">
        <f>IF(GUAYAQUIL[[#This Row],[CODIGO]]="","",1001)</f>
        <v>1001</v>
      </c>
      <c r="I566" s="258" t="s">
        <v>3560</v>
      </c>
      <c r="J566" s="25" t="str">
        <f>IFERROR((VLOOKUP(GUAYAQUIL[[#This Row],[CODIGO]],MAESTRO!A:B,2,FALSE)),"")</f>
        <v>Q MOZAR KIOSKO 10 LONJ 150G</v>
      </c>
      <c r="K566" s="35">
        <v>300</v>
      </c>
      <c r="L566" s="38">
        <f>+IFERROR(IF(GUAYAQUIL[[#This Row],[CODIGO]]="","",VLOOKUP(GUAYAQUIL[[#This Row],[CODIGO]],MAESTRO!$A:$BF,58,FALSE)),"")</f>
        <v>1</v>
      </c>
      <c r="M566" s="27">
        <f>+IFERROR(IF(GUAYAQUIL[[#This Row],[CODIGO]]="","",VLOOKUP(GUAYAQUIL[[#This Row],[CODIGO]],MAESTRO!A:N,14,FALSE)),"")</f>
        <v>0.15</v>
      </c>
      <c r="N566" s="28">
        <f>+IFERROR(IF(GUAYAQUIL[[#This Row],[CODIGO]]="","",VLOOKUP(GUAYAQUIL[[#This Row],[CODIGO]],MAESTRO!A:P,16,FALSE)),"")</f>
        <v>30</v>
      </c>
      <c r="O566" s="45">
        <v>45616</v>
      </c>
      <c r="P566" s="72" t="str">
        <f t="shared" si="40"/>
        <v>miércoles</v>
      </c>
      <c r="Q566" s="29">
        <f>IFERROR(IF(GUAYAQUIL[[#This Row],[CODIGO]]="","",IF(GUAYAQUIL[[#This Row],[Fecha Cad]]="","",(GUAYAQUIL[[#This Row],[Fecha Cad]]-GUAYAQUIL[[#This Row],[VIDA UTIL (Días)]]))+1),"")</f>
        <v>45611</v>
      </c>
      <c r="R566" s="45">
        <v>45640</v>
      </c>
      <c r="S566" s="30">
        <f t="shared" ca="1" si="41"/>
        <v>16</v>
      </c>
      <c r="T566" s="31">
        <f t="shared" ca="1" si="42"/>
        <v>0.53333333333333333</v>
      </c>
      <c r="U566" s="286">
        <v>300</v>
      </c>
      <c r="V566" s="265">
        <f>+IFERROR(IF(GUAYAQUIL[[#This Row],[CODIGO]]="","",GUAYAQUIL[[#This Row],[Stock Actual Unds]]*GUAYAQUIL[[#This Row],[Gramaje]]*GUAYAQUIL[[#This Row],[Conversión]]),"")</f>
        <v>45</v>
      </c>
      <c r="W566" s="270">
        <f t="shared" si="43"/>
        <v>5</v>
      </c>
      <c r="X566" s="32">
        <f t="shared" si="44"/>
        <v>0.83333333333333337</v>
      </c>
      <c r="Y566" s="236">
        <f>IFERROR(VLOOKUP(GUAYAQUIL[[#This Row],[CODIGO]],MAESTRO!A:BI,21,FALSE),0)</f>
        <v>1.178895</v>
      </c>
      <c r="Z566" s="237">
        <f>+IFERROR(IF(GUAYAQUIL[[#This Row],[CODIGO]]="","",GUAYAQUIL[[#This Row],[COSTO UNIT base]]*GUAYAQUIL[[#This Row],[Conversión]]),"")</f>
        <v>1.178895</v>
      </c>
      <c r="AA566" s="236">
        <f>+IFERROR(IF(GUAYAQUIL[[#This Row],[CODIGO]]="","",GUAYAQUIL[[#This Row],[COSTO UNIT Conv]]*GUAYAQUIL[[#This Row],[Stock Actual Kgs]]),"")</f>
        <v>53.050274999999999</v>
      </c>
      <c r="AB566" s="33">
        <f ca="1">+IFERROR(IF(GUAYAQUIL[[#This Row],[CODIGO]]="","",$J$3-O566),"")</f>
        <v>8</v>
      </c>
      <c r="AC566" s="34" t="str">
        <f ca="1">IF(GUAYAQUIL[[#This Row],[CODIGO]]="","",IF(S566&lt;=0,"CADUCADO",IF(AND(S566&gt;0,S566&lt;=21),"FECHA CORTA",IF(AND(S566&gt;=22,S566&lt;=26),"PROXIMOS FECHA CORTA", "VIGENTE"))))</f>
        <v>FECHA CORTA</v>
      </c>
      <c r="AD566" s="37">
        <f>+IF(GUAYAQUIL[[#This Row],[CODIGO]]="","",GUAYAQUIL[[#This Row],[Stock Actual Unds]]*GUAYAQUIL[[#This Row],[Gramaje]]*GUAYAQUIL[[#This Row],[Conversión]])/1000</f>
        <v>4.4999999999999998E-2</v>
      </c>
    </row>
    <row r="567" spans="1:30">
      <c r="A567" s="24" t="str">
        <f>+IFERROR(IF(GUAYAQUIL[[#This Row],[CODIGO]]="","",VLOOKUP(GUAYAQUIL[[#This Row],[CODIGO]],MAESTRO!$A:$J,10,FALSE)),"")</f>
        <v>SAN GABRIEL</v>
      </c>
      <c r="B567" s="24" t="str">
        <f>+IFERROR(IF(GUAYAQUIL[[#This Row],[CODIGO]]="","",VLOOKUP(GUAYAQUIL[[#This Row],[CODIGO]],MAESTRO!$A:$Q,17,FALSE)),"")</f>
        <v>QUESOS Y GRASAS</v>
      </c>
      <c r="C567" s="24" t="str">
        <f>+IFERROR(IF(GUAYAQUIL[[#This Row],[CODIGO]]="","",VLOOKUP(GUAYAQUIL[[#This Row],[CODIGO]],MAESTRO!$A:$BA,53,FALSE)),"")</f>
        <v xml:space="preserve">Esteban Montenegro                      </v>
      </c>
      <c r="D567" s="24" t="str">
        <f>+IFERROR(IF(GUAYAQUIL[[#This Row],[CODIGO]]="","",VLOOKUP(GUAYAQUIL[[#This Row],[CODIGO]],MAESTRO!$A:$D,4,FALSE)),"")</f>
        <v>QUESO MOZARELLA KIOSKO</v>
      </c>
      <c r="E567" s="24" t="str">
        <f>+IFERROR(IF(GUAYAQUIL[[#This Row],[CODIGO]]="","",VLOOKUP(GUAYAQUIL[[#This Row],[CODIGO]],MAESTRO!$A:$F,6,FALSE)),"")</f>
        <v>QUESO MOZARELLA PIZZA KIOSKO TAJADO</v>
      </c>
      <c r="F567" s="42" t="str">
        <f>IF(GUAYAQUIL[[#This Row],[CODIGO]]="","",$K$6)</f>
        <v>GUAYAQUIL</v>
      </c>
      <c r="G567" s="209">
        <f>IF(GUAYAQUIL[[#This Row],[CODIGO]]="","",7711)</f>
        <v>7711</v>
      </c>
      <c r="H567" s="209">
        <f>IF(GUAYAQUIL[[#This Row],[CODIGO]]="","",1001)</f>
        <v>1001</v>
      </c>
      <c r="I567" s="258" t="s">
        <v>3560</v>
      </c>
      <c r="J567" s="25" t="str">
        <f>IFERROR((VLOOKUP(GUAYAQUIL[[#This Row],[CODIGO]],MAESTRO!A:B,2,FALSE)),"")</f>
        <v>Q MOZAR KIOSKO 10 LONJ 150G</v>
      </c>
      <c r="K567" s="35">
        <v>300</v>
      </c>
      <c r="L567" s="38">
        <f>+IFERROR(IF(GUAYAQUIL[[#This Row],[CODIGO]]="","",VLOOKUP(GUAYAQUIL[[#This Row],[CODIGO]],MAESTRO!$A:$BF,58,FALSE)),"")</f>
        <v>1</v>
      </c>
      <c r="M567" s="27">
        <f>+IFERROR(IF(GUAYAQUIL[[#This Row],[CODIGO]]="","",VLOOKUP(GUAYAQUIL[[#This Row],[CODIGO]],MAESTRO!A:N,14,FALSE)),"")</f>
        <v>0.15</v>
      </c>
      <c r="N567" s="28">
        <f>+IFERROR(IF(GUAYAQUIL[[#This Row],[CODIGO]]="","",VLOOKUP(GUAYAQUIL[[#This Row],[CODIGO]],MAESTRO!A:P,16,FALSE)),"")</f>
        <v>30</v>
      </c>
      <c r="O567" s="45">
        <v>45617</v>
      </c>
      <c r="P567" s="72" t="str">
        <f t="shared" si="40"/>
        <v>jueves</v>
      </c>
      <c r="Q567" s="29">
        <f>IFERROR(IF(GUAYAQUIL[[#This Row],[CODIGO]]="","",IF(GUAYAQUIL[[#This Row],[Fecha Cad]]="","",(GUAYAQUIL[[#This Row],[Fecha Cad]]-GUAYAQUIL[[#This Row],[VIDA UTIL (Días)]]))+1),"")</f>
        <v>45615</v>
      </c>
      <c r="R567" s="45">
        <v>45644</v>
      </c>
      <c r="S567" s="30">
        <f t="shared" ca="1" si="41"/>
        <v>20</v>
      </c>
      <c r="T567" s="31">
        <f t="shared" ca="1" si="42"/>
        <v>0.66666666666666663</v>
      </c>
      <c r="U567" s="286">
        <v>300</v>
      </c>
      <c r="V567" s="265">
        <f>+IFERROR(IF(GUAYAQUIL[[#This Row],[CODIGO]]="","",GUAYAQUIL[[#This Row],[Stock Actual Unds]]*GUAYAQUIL[[#This Row],[Gramaje]]*GUAYAQUIL[[#This Row],[Conversión]]),"")</f>
        <v>45</v>
      </c>
      <c r="W567" s="270">
        <f t="shared" si="43"/>
        <v>2</v>
      </c>
      <c r="X567" s="32">
        <f t="shared" si="44"/>
        <v>0.93333333333333335</v>
      </c>
      <c r="Y567" s="236">
        <f>IFERROR(VLOOKUP(GUAYAQUIL[[#This Row],[CODIGO]],MAESTRO!A:BI,21,FALSE),0)</f>
        <v>1.178895</v>
      </c>
      <c r="Z567" s="237">
        <f>+IFERROR(IF(GUAYAQUIL[[#This Row],[CODIGO]]="","",GUAYAQUIL[[#This Row],[COSTO UNIT base]]*GUAYAQUIL[[#This Row],[Conversión]]),"")</f>
        <v>1.178895</v>
      </c>
      <c r="AA567" s="236">
        <f>+IFERROR(IF(GUAYAQUIL[[#This Row],[CODIGO]]="","",GUAYAQUIL[[#This Row],[COSTO UNIT Conv]]*GUAYAQUIL[[#This Row],[Stock Actual Kgs]]),"")</f>
        <v>53.050274999999999</v>
      </c>
      <c r="AB567" s="33">
        <f ca="1">+IFERROR(IF(GUAYAQUIL[[#This Row],[CODIGO]]="","",$J$3-O567),"")</f>
        <v>7</v>
      </c>
      <c r="AC567" s="34" t="str">
        <f ca="1">IF(GUAYAQUIL[[#This Row],[CODIGO]]="","",IF(S567&lt;=0,"CADUCADO",IF(AND(S567&gt;0,S567&lt;=21),"FECHA CORTA",IF(AND(S567&gt;=22,S567&lt;=26),"PROXIMOS FECHA CORTA", "VIGENTE"))))</f>
        <v>FECHA CORTA</v>
      </c>
      <c r="AD567" s="37">
        <f>+IF(GUAYAQUIL[[#This Row],[CODIGO]]="","",GUAYAQUIL[[#This Row],[Stock Actual Unds]]*GUAYAQUIL[[#This Row],[Gramaje]]*GUAYAQUIL[[#This Row],[Conversión]])/1000</f>
        <v>4.4999999999999998E-2</v>
      </c>
    </row>
    <row r="568" spans="1:30">
      <c r="A568" s="42" t="str">
        <f>+IFERROR(IF(GUAYAQUIL[[#This Row],[CODIGO]]="","",VLOOKUP(GUAYAQUIL[[#This Row],[CODIGO]],MAESTRO!$A:$J,10,FALSE)),"")</f>
        <v>MACHACHI</v>
      </c>
      <c r="B568" s="42" t="str">
        <f>+IFERROR(IF(GUAYAQUIL[[#This Row],[CODIGO]]="","",VLOOKUP(GUAYAQUIL[[#This Row],[CODIGO]],MAESTRO!$A:$Q,17,FALSE)),"")</f>
        <v>BEBIDAS LACTEAS</v>
      </c>
      <c r="C568" s="42" t="str">
        <f>+IFERROR(IF(GUAYAQUIL[[#This Row],[CODIGO]]="","",VLOOKUP(GUAYAQUIL[[#This Row],[CODIGO]],MAESTRO!$A:$BA,53,FALSE)),"")</f>
        <v xml:space="preserve">Luis Armendariz                         </v>
      </c>
      <c r="D568" s="42" t="str">
        <f>+IFERROR(IF(GUAYAQUIL[[#This Row],[CODIGO]]="","",VLOOKUP(GUAYAQUIL[[#This Row],[CODIGO]],MAESTRO!$A:$D,4,FALSE)),"")</f>
        <v>YOGURT FINESSE</v>
      </c>
      <c r="E568" s="42" t="str">
        <f>+IFERROR(IF(GUAYAQUIL[[#This Row],[CODIGO]]="","",VLOOKUP(GUAYAQUIL[[#This Row],[CODIGO]],MAESTRO!$A:$F,6,FALSE)),"")</f>
        <v>YOGURT FINESSE DESLACT BOTELLA FAMILIAR</v>
      </c>
      <c r="F568" s="42" t="str">
        <f>IF(GUAYAQUIL[[#This Row],[CODIGO]]="","",$K$6)</f>
        <v>GUAYAQUIL</v>
      </c>
      <c r="G568" s="42">
        <f>IF(GUAYAQUIL[[#This Row],[CODIGO]]="","",7711)</f>
        <v>7711</v>
      </c>
      <c r="H568" s="42">
        <f>IF(GUAYAQUIL[[#This Row],[CODIGO]]="","",1001)</f>
        <v>1001</v>
      </c>
      <c r="I568" s="258" t="s">
        <v>2843</v>
      </c>
      <c r="J568" s="25" t="str">
        <f>IFERROR((VLOOKUP(GUAYAQUIL[[#This Row],[CODIGO]],MAESTRO!A:B,2,FALSE)),"")</f>
        <v>YOG FNSSE DURAZNO BOT 950G</v>
      </c>
      <c r="K568" s="35">
        <v>36</v>
      </c>
      <c r="L568" s="205">
        <f>+IFERROR(IF(GUAYAQUIL[[#This Row],[CODIGO]]="","",VLOOKUP(GUAYAQUIL[[#This Row],[CODIGO]],MAESTRO!$A:$BF,58,FALSE)),"")</f>
        <v>1</v>
      </c>
      <c r="M568" s="27">
        <f>+IFERROR(IF(GUAYAQUIL[[#This Row],[CODIGO]]="","",VLOOKUP(GUAYAQUIL[[#This Row],[CODIGO]],MAESTRO!A:N,14,FALSE)),"")</f>
        <v>0.95</v>
      </c>
      <c r="N568" s="290">
        <f>+IFERROR(IF(GUAYAQUIL[[#This Row],[CODIGO]]="","",VLOOKUP(GUAYAQUIL[[#This Row],[CODIGO]],MAESTRO!A:P,16,FALSE)),"")</f>
        <v>45</v>
      </c>
      <c r="O568" s="45">
        <v>45612</v>
      </c>
      <c r="P568" s="292" t="str">
        <f t="shared" si="40"/>
        <v>sábado</v>
      </c>
      <c r="Q568" s="278">
        <f>IFERROR(IF(GUAYAQUIL[[#This Row],[CODIGO]]="","",IF(GUAYAQUIL[[#This Row],[Fecha Cad]]="","",(GUAYAQUIL[[#This Row],[Fecha Cad]]-GUAYAQUIL[[#This Row],[VIDA UTIL (Días)]]))+1),"")</f>
        <v>45611</v>
      </c>
      <c r="R568" s="45">
        <v>45655</v>
      </c>
      <c r="S568" s="30">
        <f t="shared" ca="1" si="41"/>
        <v>31</v>
      </c>
      <c r="T568" s="294">
        <f t="shared" ca="1" si="42"/>
        <v>0.68888888888888888</v>
      </c>
      <c r="U568" s="295">
        <v>36</v>
      </c>
      <c r="V568" s="265">
        <f>+IFERROR(IF(GUAYAQUIL[[#This Row],[CODIGO]]="","",GUAYAQUIL[[#This Row],[Stock Actual Unds]]*GUAYAQUIL[[#This Row],[Gramaje]]*GUAYAQUIL[[#This Row],[Conversión]]),"")</f>
        <v>34.199999999999996</v>
      </c>
      <c r="W568" s="299">
        <f t="shared" si="43"/>
        <v>1</v>
      </c>
      <c r="X568" s="44">
        <f t="shared" si="44"/>
        <v>0.97777777777777775</v>
      </c>
      <c r="Y568" s="236">
        <f>IFERROR(VLOOKUP(GUAYAQUIL[[#This Row],[CODIGO]],MAESTRO!A:BI,21,FALSE),0)</f>
        <v>1.4163950000000001</v>
      </c>
      <c r="Z568" s="237">
        <f>+IFERROR(IF(GUAYAQUIL[[#This Row],[CODIGO]]="","",GUAYAQUIL[[#This Row],[COSTO UNIT base]]*GUAYAQUIL[[#This Row],[Conversión]]),"")</f>
        <v>1.4163950000000001</v>
      </c>
      <c r="AA568" s="236">
        <f>+IFERROR(IF(GUAYAQUIL[[#This Row],[CODIGO]]="","",GUAYAQUIL[[#This Row],[COSTO UNIT Conv]]*GUAYAQUIL[[#This Row],[Stock Actual Kgs]]),"")</f>
        <v>48.440708999999998</v>
      </c>
      <c r="AB568" s="180">
        <f ca="1">+IFERROR(IF(GUAYAQUIL[[#This Row],[CODIGO]]="","",$J$3-O568),"")</f>
        <v>12</v>
      </c>
      <c r="AC568" s="35" t="str">
        <f ca="1">IF(GUAYAQUIL[[#This Row],[CODIGO]]="","",IF(S568&lt;=0,"CADUCADO",IF(AND(S568&gt;0,S568&lt;=21),"FECHA CORTA",IF(AND(S568&gt;=22,S568&lt;=26),"PROXIMOS FECHA CORTA", "VIGENTE"))))</f>
        <v>VIGENTE</v>
      </c>
      <c r="AD568" s="37">
        <f>+IF(GUAYAQUIL[[#This Row],[CODIGO]]="","",GUAYAQUIL[[#This Row],[Stock Actual Unds]]*GUAYAQUIL[[#This Row],[Gramaje]]*GUAYAQUIL[[#This Row],[Conversión]])/1000</f>
        <v>3.4199999999999994E-2</v>
      </c>
    </row>
    <row r="569" spans="1:30">
      <c r="A569" s="24" t="str">
        <f>+IFERROR(IF(GUAYAQUIL[[#This Row],[CODIGO]]="","",VLOOKUP(GUAYAQUIL[[#This Row],[CODIGO]],MAESTRO!$A:$J,10,FALSE)),"")</f>
        <v>MACHACHI</v>
      </c>
      <c r="B569" s="24" t="str">
        <f>+IFERROR(IF(GUAYAQUIL[[#This Row],[CODIGO]]="","",VLOOKUP(GUAYAQUIL[[#This Row],[CODIGO]],MAESTRO!$A:$Q,17,FALSE)),"")</f>
        <v>BEBIDAS LACTEAS</v>
      </c>
      <c r="C569" s="24" t="str">
        <f>+IFERROR(IF(GUAYAQUIL[[#This Row],[CODIGO]]="","",VLOOKUP(GUAYAQUIL[[#This Row],[CODIGO]],MAESTRO!$A:$BA,53,FALSE)),"")</f>
        <v xml:space="preserve">Luis Armendariz                         </v>
      </c>
      <c r="D569" s="24" t="str">
        <f>+IFERROR(IF(GUAYAQUIL[[#This Row],[CODIGO]]="","",VLOOKUP(GUAYAQUIL[[#This Row],[CODIGO]],MAESTRO!$A:$D,4,FALSE)),"")</f>
        <v>YOGURT FINESSE</v>
      </c>
      <c r="E569" s="24" t="str">
        <f>+IFERROR(IF(GUAYAQUIL[[#This Row],[CODIGO]]="","",VLOOKUP(GUAYAQUIL[[#This Row],[CODIGO]],MAESTRO!$A:$F,6,FALSE)),"")</f>
        <v>YOGURT FINESSE DESLACT BOTELLA FAMILIAR</v>
      </c>
      <c r="F569" s="42" t="str">
        <f>IF(GUAYAQUIL[[#This Row],[CODIGO]]="","",$K$6)</f>
        <v>GUAYAQUIL</v>
      </c>
      <c r="G569" s="209">
        <f>IF(GUAYAQUIL[[#This Row],[CODIGO]]="","",7711)</f>
        <v>7711</v>
      </c>
      <c r="H569" s="209">
        <f>IF(GUAYAQUIL[[#This Row],[CODIGO]]="","",1001)</f>
        <v>1001</v>
      </c>
      <c r="I569" s="258" t="s">
        <v>2843</v>
      </c>
      <c r="J569" s="25" t="str">
        <f>IFERROR((VLOOKUP(GUAYAQUIL[[#This Row],[CODIGO]],MAESTRO!A:B,2,FALSE)),"")</f>
        <v>YOG FNSSE DURAZNO BOT 950G</v>
      </c>
      <c r="K569" s="35">
        <v>54</v>
      </c>
      <c r="L569" s="38">
        <f>+IFERROR(IF(GUAYAQUIL[[#This Row],[CODIGO]]="","",VLOOKUP(GUAYAQUIL[[#This Row],[CODIGO]],MAESTRO!$A:$BF,58,FALSE)),"")</f>
        <v>1</v>
      </c>
      <c r="M569" s="27">
        <f>+IFERROR(IF(GUAYAQUIL[[#This Row],[CODIGO]]="","",VLOOKUP(GUAYAQUIL[[#This Row],[CODIGO]],MAESTRO!A:N,14,FALSE)),"")</f>
        <v>0.95</v>
      </c>
      <c r="N569" s="28">
        <f>+IFERROR(IF(GUAYAQUIL[[#This Row],[CODIGO]]="","",VLOOKUP(GUAYAQUIL[[#This Row],[CODIGO]],MAESTRO!A:P,16,FALSE)),"")</f>
        <v>45</v>
      </c>
      <c r="O569" s="45">
        <v>45615</v>
      </c>
      <c r="P569" s="72" t="str">
        <f t="shared" si="40"/>
        <v>martes</v>
      </c>
      <c r="Q569" s="29">
        <f>IFERROR(IF(GUAYAQUIL[[#This Row],[CODIGO]]="","",IF(GUAYAQUIL[[#This Row],[Fecha Cad]]="","",(GUAYAQUIL[[#This Row],[Fecha Cad]]-GUAYAQUIL[[#This Row],[VIDA UTIL (Días)]]))+1),"")</f>
        <v>45611</v>
      </c>
      <c r="R569" s="45">
        <v>45655</v>
      </c>
      <c r="S569" s="30">
        <f t="shared" ca="1" si="41"/>
        <v>31</v>
      </c>
      <c r="T569" s="31">
        <f t="shared" ca="1" si="42"/>
        <v>0.68888888888888888</v>
      </c>
      <c r="U569" s="286">
        <v>54</v>
      </c>
      <c r="V569" s="265">
        <f>+IFERROR(IF(GUAYAQUIL[[#This Row],[CODIGO]]="","",GUAYAQUIL[[#This Row],[Stock Actual Unds]]*GUAYAQUIL[[#This Row],[Gramaje]]*GUAYAQUIL[[#This Row],[Conversión]]),"")</f>
        <v>51.3</v>
      </c>
      <c r="W569" s="270">
        <f t="shared" si="43"/>
        <v>4</v>
      </c>
      <c r="X569" s="32">
        <f t="shared" si="44"/>
        <v>0.91111111111111109</v>
      </c>
      <c r="Y569" s="236">
        <f>IFERROR(VLOOKUP(GUAYAQUIL[[#This Row],[CODIGO]],MAESTRO!A:BI,21,FALSE),0)</f>
        <v>1.4163950000000001</v>
      </c>
      <c r="Z569" s="237">
        <f>+IFERROR(IF(GUAYAQUIL[[#This Row],[CODIGO]]="","",GUAYAQUIL[[#This Row],[COSTO UNIT base]]*GUAYAQUIL[[#This Row],[Conversión]]),"")</f>
        <v>1.4163950000000001</v>
      </c>
      <c r="AA569" s="236">
        <f>+IFERROR(IF(GUAYAQUIL[[#This Row],[CODIGO]]="","",GUAYAQUIL[[#This Row],[COSTO UNIT Conv]]*GUAYAQUIL[[#This Row],[Stock Actual Kgs]]),"")</f>
        <v>72.661063499999997</v>
      </c>
      <c r="AB569" s="33">
        <f ca="1">+IFERROR(IF(GUAYAQUIL[[#This Row],[CODIGO]]="","",$J$3-O569),"")</f>
        <v>9</v>
      </c>
      <c r="AC569" s="34" t="str">
        <f ca="1">IF(GUAYAQUIL[[#This Row],[CODIGO]]="","",IF(S569&lt;=0,"CADUCADO",IF(AND(S569&gt;0,S569&lt;=21),"FECHA CORTA",IF(AND(S569&gt;=22,S569&lt;=26),"PROXIMOS FECHA CORTA", "VIGENTE"))))</f>
        <v>VIGENTE</v>
      </c>
      <c r="AD569" s="37">
        <f>+IF(GUAYAQUIL[[#This Row],[CODIGO]]="","",GUAYAQUIL[[#This Row],[Stock Actual Unds]]*GUAYAQUIL[[#This Row],[Gramaje]]*GUAYAQUIL[[#This Row],[Conversión]])/1000</f>
        <v>5.1299999999999998E-2</v>
      </c>
    </row>
    <row r="570" spans="1:30">
      <c r="A570" s="24" t="str">
        <f>+IFERROR(IF(GUAYAQUIL[[#This Row],[CODIGO]]="","",VLOOKUP(GUAYAQUIL[[#This Row],[CODIGO]],MAESTRO!$A:$J,10,FALSE)),"")</f>
        <v>MACHACHI</v>
      </c>
      <c r="B570" s="24" t="str">
        <f>+IFERROR(IF(GUAYAQUIL[[#This Row],[CODIGO]]="","",VLOOKUP(GUAYAQUIL[[#This Row],[CODIGO]],MAESTRO!$A:$Q,17,FALSE)),"")</f>
        <v>BEBIDAS LACTEAS</v>
      </c>
      <c r="C570" s="24" t="str">
        <f>+IFERROR(IF(GUAYAQUIL[[#This Row],[CODIGO]]="","",VLOOKUP(GUAYAQUIL[[#This Row],[CODIGO]],MAESTRO!$A:$BA,53,FALSE)),"")</f>
        <v xml:space="preserve">Luis Armendariz                         </v>
      </c>
      <c r="D570" s="24" t="str">
        <f>+IFERROR(IF(GUAYAQUIL[[#This Row],[CODIGO]]="","",VLOOKUP(GUAYAQUIL[[#This Row],[CODIGO]],MAESTRO!$A:$D,4,FALSE)),"")</f>
        <v>YOGURT FINESSE</v>
      </c>
      <c r="E570" s="24" t="str">
        <f>+IFERROR(IF(GUAYAQUIL[[#This Row],[CODIGO]]="","",VLOOKUP(GUAYAQUIL[[#This Row],[CODIGO]],MAESTRO!$A:$F,6,FALSE)),"")</f>
        <v>YOGURT FINESSE DESLACT BOTELLA FAMILIAR</v>
      </c>
      <c r="F570" s="42" t="str">
        <f>IF(GUAYAQUIL[[#This Row],[CODIGO]]="","",$K$6)</f>
        <v>GUAYAQUIL</v>
      </c>
      <c r="G570" s="42">
        <f>IF(GUAYAQUIL[[#This Row],[CODIGO]]="","",7711)</f>
        <v>7711</v>
      </c>
      <c r="H570" s="42">
        <f>IF(GUAYAQUIL[[#This Row],[CODIGO]]="","",1001)</f>
        <v>1001</v>
      </c>
      <c r="I570" s="258" t="s">
        <v>1715</v>
      </c>
      <c r="J570" s="25" t="str">
        <f>IFERROR((VLOOKUP(GUAYAQUIL[[#This Row],[CODIGO]],MAESTRO!A:B,2,FALSE)),"")</f>
        <v>YOG FNSSE DURAZNO BOT 1670G</v>
      </c>
      <c r="K570" s="35">
        <v>24</v>
      </c>
      <c r="L570" s="38">
        <f>+IFERROR(IF(GUAYAQUIL[[#This Row],[CODIGO]]="","",VLOOKUP(GUAYAQUIL[[#This Row],[CODIGO]],MAESTRO!$A:$BF,58,FALSE)),"")</f>
        <v>1</v>
      </c>
      <c r="M570" s="27">
        <f>+IFERROR(IF(GUAYAQUIL[[#This Row],[CODIGO]]="","",VLOOKUP(GUAYAQUIL[[#This Row],[CODIGO]],MAESTRO!A:N,14,FALSE)),"")</f>
        <v>1.67</v>
      </c>
      <c r="N570" s="28">
        <f>+IFERROR(IF(GUAYAQUIL[[#This Row],[CODIGO]]="","",VLOOKUP(GUAYAQUIL[[#This Row],[CODIGO]],MAESTRO!A:P,16,FALSE)),"")</f>
        <v>45</v>
      </c>
      <c r="O570" s="45">
        <v>45615</v>
      </c>
      <c r="P570" s="72" t="str">
        <f t="shared" si="40"/>
        <v>martes</v>
      </c>
      <c r="Q570" s="29">
        <f>IFERROR(IF(GUAYAQUIL[[#This Row],[CODIGO]]="","",IF(GUAYAQUIL[[#This Row],[Fecha Cad]]="","",(GUAYAQUIL[[#This Row],[Fecha Cad]]-GUAYAQUIL[[#This Row],[VIDA UTIL (Días)]]))+1),"")</f>
        <v>45609</v>
      </c>
      <c r="R570" s="45">
        <v>45653</v>
      </c>
      <c r="S570" s="30">
        <f t="shared" ca="1" si="41"/>
        <v>29</v>
      </c>
      <c r="T570" s="31">
        <f t="shared" ca="1" si="42"/>
        <v>0.64444444444444449</v>
      </c>
      <c r="U570" s="286">
        <v>21</v>
      </c>
      <c r="V570" s="265">
        <f>+IFERROR(IF(GUAYAQUIL[[#This Row],[CODIGO]]="","",GUAYAQUIL[[#This Row],[Stock Actual Unds]]*GUAYAQUIL[[#This Row],[Gramaje]]*GUAYAQUIL[[#This Row],[Conversión]]),"")</f>
        <v>35.07</v>
      </c>
      <c r="W570" s="270">
        <f t="shared" si="43"/>
        <v>6</v>
      </c>
      <c r="X570" s="32">
        <f t="shared" si="44"/>
        <v>0.8666666666666667</v>
      </c>
      <c r="Y570" s="236">
        <f>IFERROR(VLOOKUP(GUAYAQUIL[[#This Row],[CODIGO]],MAESTRO!A:BI,21,FALSE),0)</f>
        <v>2.4125399999999999</v>
      </c>
      <c r="Z570" s="237">
        <f>+IFERROR(IF(GUAYAQUIL[[#This Row],[CODIGO]]="","",GUAYAQUIL[[#This Row],[COSTO UNIT base]]*GUAYAQUIL[[#This Row],[Conversión]]),"")</f>
        <v>2.4125399999999999</v>
      </c>
      <c r="AA570" s="236">
        <f>+IFERROR(IF(GUAYAQUIL[[#This Row],[CODIGO]]="","",GUAYAQUIL[[#This Row],[COSTO UNIT Conv]]*GUAYAQUIL[[#This Row],[Stock Actual Kgs]]),"")</f>
        <v>84.607777799999994</v>
      </c>
      <c r="AB570" s="33">
        <f ca="1">+IFERROR(IF(GUAYAQUIL[[#This Row],[CODIGO]]="","",$J$3-O570),"")</f>
        <v>9</v>
      </c>
      <c r="AC570" s="34" t="str">
        <f ca="1">IF(GUAYAQUIL[[#This Row],[CODIGO]]="","",IF(S570&lt;=0,"CADUCADO",IF(AND(S570&gt;0,S570&lt;=21),"FECHA CORTA",IF(AND(S570&gt;=22,S570&lt;=26),"PROXIMOS FECHA CORTA", "VIGENTE"))))</f>
        <v>VIGENTE</v>
      </c>
      <c r="AD570" s="37">
        <f>+IF(GUAYAQUIL[[#This Row],[CODIGO]]="","",GUAYAQUIL[[#This Row],[Stock Actual Unds]]*GUAYAQUIL[[#This Row],[Gramaje]]*GUAYAQUIL[[#This Row],[Conversión]])/1000</f>
        <v>3.5069999999999997E-2</v>
      </c>
    </row>
    <row r="571" spans="1:30">
      <c r="A571" s="24" t="str">
        <f>+IFERROR(IF(GUAYAQUIL[[#This Row],[CODIGO]]="","",VLOOKUP(GUAYAQUIL[[#This Row],[CODIGO]],MAESTRO!$A:$J,10,FALSE)),"")</f>
        <v>MACHACHI</v>
      </c>
      <c r="B571" s="24" t="str">
        <f>+IFERROR(IF(GUAYAQUIL[[#This Row],[CODIGO]]="","",VLOOKUP(GUAYAQUIL[[#This Row],[CODIGO]],MAESTRO!$A:$Q,17,FALSE)),"")</f>
        <v>BEBIDAS LACTEAS</v>
      </c>
      <c r="C571" s="24" t="str">
        <f>+IFERROR(IF(GUAYAQUIL[[#This Row],[CODIGO]]="","",VLOOKUP(GUAYAQUIL[[#This Row],[CODIGO]],MAESTRO!$A:$BA,53,FALSE)),"")</f>
        <v xml:space="preserve">Luis Armendariz                         </v>
      </c>
      <c r="D571" s="24" t="str">
        <f>+IFERROR(IF(GUAYAQUIL[[#This Row],[CODIGO]]="","",VLOOKUP(GUAYAQUIL[[#This Row],[CODIGO]],MAESTRO!$A:$D,4,FALSE)),"")</f>
        <v>YOGURT FINESSE</v>
      </c>
      <c r="E571" s="24" t="str">
        <f>+IFERROR(IF(GUAYAQUIL[[#This Row],[CODIGO]]="","",VLOOKUP(GUAYAQUIL[[#This Row],[CODIGO]],MAESTRO!$A:$F,6,FALSE)),"")</f>
        <v>YOGURT FINESSE DESLACT BOTELLA FAMILIAR</v>
      </c>
      <c r="F571" s="42" t="str">
        <f>IF(GUAYAQUIL[[#This Row],[CODIGO]]="","",$K$6)</f>
        <v>GUAYAQUIL</v>
      </c>
      <c r="G571" s="209">
        <f>IF(GUAYAQUIL[[#This Row],[CODIGO]]="","",7711)</f>
        <v>7711</v>
      </c>
      <c r="H571" s="209">
        <f>IF(GUAYAQUIL[[#This Row],[CODIGO]]="","",1001)</f>
        <v>1001</v>
      </c>
      <c r="I571" s="258" t="s">
        <v>1715</v>
      </c>
      <c r="J571" s="25" t="str">
        <f>IFERROR((VLOOKUP(GUAYAQUIL[[#This Row],[CODIGO]],MAESTRO!A:B,2,FALSE)),"")</f>
        <v>YOG FNSSE DURAZNO BOT 1670G</v>
      </c>
      <c r="K571" s="35">
        <v>72</v>
      </c>
      <c r="L571" s="38">
        <f>+IFERROR(IF(GUAYAQUIL[[#This Row],[CODIGO]]="","",VLOOKUP(GUAYAQUIL[[#This Row],[CODIGO]],MAESTRO!$A:$BF,58,FALSE)),"")</f>
        <v>1</v>
      </c>
      <c r="M571" s="27">
        <f>+IFERROR(IF(GUAYAQUIL[[#This Row],[CODIGO]]="","",VLOOKUP(GUAYAQUIL[[#This Row],[CODIGO]],MAESTRO!A:N,14,FALSE)),"")</f>
        <v>1.67</v>
      </c>
      <c r="N571" s="28">
        <f>+IFERROR(IF(GUAYAQUIL[[#This Row],[CODIGO]]="","",VLOOKUP(GUAYAQUIL[[#This Row],[CODIGO]],MAESTRO!A:P,16,FALSE)),"")</f>
        <v>45</v>
      </c>
      <c r="O571" s="29">
        <v>45616</v>
      </c>
      <c r="P571" s="72" t="str">
        <f t="shared" si="40"/>
        <v>miércoles</v>
      </c>
      <c r="Q571" s="29">
        <f>IFERROR(IF(GUAYAQUIL[[#This Row],[CODIGO]]="","",IF(GUAYAQUIL[[#This Row],[Fecha Cad]]="","",(GUAYAQUIL[[#This Row],[Fecha Cad]]-GUAYAQUIL[[#This Row],[VIDA UTIL (Días)]]))+1),"")</f>
        <v>45609</v>
      </c>
      <c r="R571" s="29">
        <v>45653</v>
      </c>
      <c r="S571" s="30">
        <f t="shared" ca="1" si="41"/>
        <v>29</v>
      </c>
      <c r="T571" s="31">
        <f t="shared" ca="1" si="42"/>
        <v>0.64444444444444449</v>
      </c>
      <c r="U571" s="35">
        <v>72</v>
      </c>
      <c r="V571" s="266">
        <f>+IFERROR(IF(GUAYAQUIL[[#This Row],[CODIGO]]="","",GUAYAQUIL[[#This Row],[Stock Actual Unds]]*GUAYAQUIL[[#This Row],[Gramaje]]*GUAYAQUIL[[#This Row],[Conversión]]),"")</f>
        <v>120.24</v>
      </c>
      <c r="W571" s="270">
        <f t="shared" si="43"/>
        <v>7</v>
      </c>
      <c r="X571" s="32">
        <f t="shared" si="44"/>
        <v>0.84444444444444444</v>
      </c>
      <c r="Y571" s="236">
        <f>IFERROR(VLOOKUP(GUAYAQUIL[[#This Row],[CODIGO]],MAESTRO!A:BI,21,FALSE),0)</f>
        <v>2.4125399999999999</v>
      </c>
      <c r="Z571" s="237">
        <f>+IFERROR(IF(GUAYAQUIL[[#This Row],[CODIGO]]="","",GUAYAQUIL[[#This Row],[COSTO UNIT base]]*GUAYAQUIL[[#This Row],[Conversión]]),"")</f>
        <v>2.4125399999999999</v>
      </c>
      <c r="AA571" s="236">
        <f>+IFERROR(IF(GUAYAQUIL[[#This Row],[CODIGO]]="","",GUAYAQUIL[[#This Row],[COSTO UNIT Conv]]*GUAYAQUIL[[#This Row],[Stock Actual Kgs]]),"")</f>
        <v>290.0838096</v>
      </c>
      <c r="AB571" s="33">
        <f ca="1">+IFERROR(IF(GUAYAQUIL[[#This Row],[CODIGO]]="","",$J$3-O571),"")</f>
        <v>8</v>
      </c>
      <c r="AC571" s="34" t="str">
        <f ca="1">IF(GUAYAQUIL[[#This Row],[CODIGO]]="","",IF(S571&lt;=0,"CADUCADO",IF(AND(S571&gt;0,S571&lt;=21),"FECHA CORTA",IF(AND(S571&gt;=22,S571&lt;=26),"PROXIMOS FECHA CORTA", "VIGENTE"))))</f>
        <v>VIGENTE</v>
      </c>
      <c r="AD571" s="37">
        <f>+IF(GUAYAQUIL[[#This Row],[CODIGO]]="","",GUAYAQUIL[[#This Row],[Stock Actual Unds]]*GUAYAQUIL[[#This Row],[Gramaje]]*GUAYAQUIL[[#This Row],[Conversión]])/1000</f>
        <v>0.12024</v>
      </c>
    </row>
    <row r="572" spans="1:30">
      <c r="A572" s="24" t="str">
        <f>+IFERROR(IF(GUAYAQUIL[[#This Row],[CODIGO]]="","",VLOOKUP(GUAYAQUIL[[#This Row],[CODIGO]],MAESTRO!$A:$J,10,FALSE)),"")</f>
        <v>SAN GABRIEL</v>
      </c>
      <c r="B572" s="24" t="str">
        <f>+IFERROR(IF(GUAYAQUIL[[#This Row],[CODIGO]]="","",VLOOKUP(GUAYAQUIL[[#This Row],[CODIGO]],MAESTRO!$A:$Q,17,FALSE)),"")</f>
        <v>QUESOS Y GRASAS</v>
      </c>
      <c r="C572" s="24" t="str">
        <f>+IFERROR(IF(GUAYAQUIL[[#This Row],[CODIGO]]="","",VLOOKUP(GUAYAQUIL[[#This Row],[CODIGO]],MAESTRO!$A:$BA,53,FALSE)),"")</f>
        <v xml:space="preserve">Esteban Montenegro                      </v>
      </c>
      <c r="D572" s="24" t="str">
        <f>+IFERROR(IF(GUAYAQUIL[[#This Row],[CODIGO]]="","",VLOOKUP(GUAYAQUIL[[#This Row],[CODIGO]],MAESTRO!$A:$D,4,FALSE)),"")</f>
        <v>QUESO SEMIMADURO KIOSKO</v>
      </c>
      <c r="E572" s="24" t="str">
        <f>+IFERROR(IF(GUAYAQUIL[[#This Row],[CODIGO]]="","",VLOOKUP(GUAYAQUIL[[#This Row],[CODIGO]],MAESTRO!$A:$F,6,FALSE)),"")</f>
        <v>QUESO SEMIMADURO HIERBAS KIOSKO BLOQUE</v>
      </c>
      <c r="F572" s="42" t="str">
        <f>IF(GUAYAQUIL[[#This Row],[CODIGO]]="","",$K$6)</f>
        <v>GUAYAQUIL</v>
      </c>
      <c r="G572" s="42">
        <f>IF(GUAYAQUIL[[#This Row],[CODIGO]]="","",7711)</f>
        <v>7711</v>
      </c>
      <c r="H572" s="42">
        <f>IF(GUAYAQUIL[[#This Row],[CODIGO]]="","",1001)</f>
        <v>1001</v>
      </c>
      <c r="I572" s="258" t="s">
        <v>3606</v>
      </c>
      <c r="J572" s="25" t="str">
        <f>IFERROR((VLOOKUP(GUAYAQUIL[[#This Row],[CODIGO]],MAESTRO!A:B,2,FALSE)),"")</f>
        <v>Q HIERBAS SEMIMAD KIOSKO 400G</v>
      </c>
      <c r="K572" s="35">
        <v>36</v>
      </c>
      <c r="L572" s="38">
        <f>+IFERROR(IF(GUAYAQUIL[[#This Row],[CODIGO]]="","",VLOOKUP(GUAYAQUIL[[#This Row],[CODIGO]],MAESTRO!$A:$BF,58,FALSE)),"")</f>
        <v>1</v>
      </c>
      <c r="M572" s="27">
        <f>+IFERROR(IF(GUAYAQUIL[[#This Row],[CODIGO]]="","",VLOOKUP(GUAYAQUIL[[#This Row],[CODIGO]],MAESTRO!A:N,14,FALSE)),"")</f>
        <v>0.4</v>
      </c>
      <c r="N572" s="28">
        <f>+IFERROR(IF(GUAYAQUIL[[#This Row],[CODIGO]]="","",VLOOKUP(GUAYAQUIL[[#This Row],[CODIGO]],MAESTRO!A:P,16,FALSE)),"")</f>
        <v>90</v>
      </c>
      <c r="O572" s="29">
        <v>45611</v>
      </c>
      <c r="P572" s="72" t="str">
        <f t="shared" si="40"/>
        <v>viernes</v>
      </c>
      <c r="Q572" s="29">
        <f>IFERROR(IF(GUAYAQUIL[[#This Row],[CODIGO]]="","",IF(GUAYAQUIL[[#This Row],[Fecha Cad]]="","",(GUAYAQUIL[[#This Row],[Fecha Cad]]-GUAYAQUIL[[#This Row],[VIDA UTIL (Días)]]))+1),"")</f>
        <v>45596</v>
      </c>
      <c r="R572" s="29">
        <v>45685</v>
      </c>
      <c r="S572" s="30">
        <f t="shared" ca="1" si="41"/>
        <v>61</v>
      </c>
      <c r="T572" s="31">
        <f t="shared" ca="1" si="42"/>
        <v>0.67777777777777781</v>
      </c>
      <c r="U572" s="35">
        <v>13</v>
      </c>
      <c r="V572" s="266">
        <f>+IFERROR(IF(GUAYAQUIL[[#This Row],[CODIGO]]="","",GUAYAQUIL[[#This Row],[Stock Actual Unds]]*GUAYAQUIL[[#This Row],[Gramaje]]*GUAYAQUIL[[#This Row],[Conversión]]),"")</f>
        <v>5.2</v>
      </c>
      <c r="W572" s="270">
        <f t="shared" si="43"/>
        <v>15</v>
      </c>
      <c r="X572" s="32">
        <f t="shared" si="44"/>
        <v>0.83333333333333337</v>
      </c>
      <c r="Y572" s="236">
        <f>IFERROR(VLOOKUP(GUAYAQUIL[[#This Row],[CODIGO]],MAESTRO!A:BI,21,FALSE),0)</f>
        <v>3.6822549999999996</v>
      </c>
      <c r="Z572" s="237">
        <f>+IFERROR(IF(GUAYAQUIL[[#This Row],[CODIGO]]="","",GUAYAQUIL[[#This Row],[COSTO UNIT base]]*GUAYAQUIL[[#This Row],[Conversión]]),"")</f>
        <v>3.6822549999999996</v>
      </c>
      <c r="AA572" s="236">
        <f>+IFERROR(IF(GUAYAQUIL[[#This Row],[CODIGO]]="","",GUAYAQUIL[[#This Row],[COSTO UNIT Conv]]*GUAYAQUIL[[#This Row],[Stock Actual Kgs]]),"")</f>
        <v>19.147725999999999</v>
      </c>
      <c r="AB572" s="33">
        <f ca="1">+IFERROR(IF(GUAYAQUIL[[#This Row],[CODIGO]]="","",$J$3-O572),"")</f>
        <v>13</v>
      </c>
      <c r="AC572" s="34" t="str">
        <f ca="1">IF(GUAYAQUIL[[#This Row],[CODIGO]]="","",IF(S572&lt;=0,"CADUCADO",IF(AND(S572&gt;0,S572&lt;=21),"FECHA CORTA",IF(AND(S572&gt;=22,S572&lt;=26),"PROXIMOS FECHA CORTA", "VIGENTE"))))</f>
        <v>VIGENTE</v>
      </c>
      <c r="AD572" s="37">
        <f>+IF(GUAYAQUIL[[#This Row],[CODIGO]]="","",GUAYAQUIL[[#This Row],[Stock Actual Unds]]*GUAYAQUIL[[#This Row],[Gramaje]]*GUAYAQUIL[[#This Row],[Conversión]])/1000</f>
        <v>5.1999999999999998E-3</v>
      </c>
    </row>
    <row r="573" spans="1:30">
      <c r="A573" s="24" t="str">
        <f>+IFERROR(IF(GUAYAQUIL[[#This Row],[CODIGO]]="","",VLOOKUP(GUAYAQUIL[[#This Row],[CODIGO]],MAESTRO!$A:$J,10,FALSE)),"")</f>
        <v>SAN GABRIEL</v>
      </c>
      <c r="B573" s="24" t="str">
        <f>+IFERROR(IF(GUAYAQUIL[[#This Row],[CODIGO]]="","",VLOOKUP(GUAYAQUIL[[#This Row],[CODIGO]],MAESTRO!$A:$Q,17,FALSE)),"")</f>
        <v>QUESOS Y GRASAS</v>
      </c>
      <c r="C573" s="24" t="str">
        <f>+IFERROR(IF(GUAYAQUIL[[#This Row],[CODIGO]]="","",VLOOKUP(GUAYAQUIL[[#This Row],[CODIGO]],MAESTRO!$A:$BA,53,FALSE)),"")</f>
        <v xml:space="preserve">Esteban Montenegro                      </v>
      </c>
      <c r="D573" s="24" t="str">
        <f>+IFERROR(IF(GUAYAQUIL[[#This Row],[CODIGO]]="","",VLOOKUP(GUAYAQUIL[[#This Row],[CODIGO]],MAESTRO!$A:$D,4,FALSE)),"")</f>
        <v>QUESO SEMIMADURO KIOSKO</v>
      </c>
      <c r="E573" s="24" t="str">
        <f>+IFERROR(IF(GUAYAQUIL[[#This Row],[CODIGO]]="","",VLOOKUP(GUAYAQUIL[[#This Row],[CODIGO]],MAESTRO!$A:$F,6,FALSE)),"")</f>
        <v>QUESO PROVOLONE KIOSKO TAJADO</v>
      </c>
      <c r="F573" s="42" t="str">
        <f>IF(GUAYAQUIL[[#This Row],[CODIGO]]="","",$K$6)</f>
        <v>GUAYAQUIL</v>
      </c>
      <c r="G573" s="209">
        <f>IF(GUAYAQUIL[[#This Row],[CODIGO]]="","",7711)</f>
        <v>7711</v>
      </c>
      <c r="H573" s="209">
        <f>IF(GUAYAQUIL[[#This Row],[CODIGO]]="","",1001)</f>
        <v>1001</v>
      </c>
      <c r="I573" s="258" t="s">
        <v>3887</v>
      </c>
      <c r="J573" s="25" t="str">
        <f>IFERROR((VLOOKUP(GUAYAQUIL[[#This Row],[CODIGO]],MAESTRO!A:B,2,FALSE)),"")</f>
        <v>Q PROVO AHUM KIOSKO 10 LONJ 150G</v>
      </c>
      <c r="K573" s="35">
        <v>110</v>
      </c>
      <c r="L573" s="38">
        <f>+IFERROR(IF(GUAYAQUIL[[#This Row],[CODIGO]]="","",VLOOKUP(GUAYAQUIL[[#This Row],[CODIGO]],MAESTRO!$A:$BF,58,FALSE)),"")</f>
        <v>1</v>
      </c>
      <c r="M573" s="27">
        <f>+IFERROR(IF(GUAYAQUIL[[#This Row],[CODIGO]]="","",VLOOKUP(GUAYAQUIL[[#This Row],[CODIGO]],MAESTRO!A:N,14,FALSE)),"")</f>
        <v>0.15</v>
      </c>
      <c r="N573" s="28">
        <f>+IFERROR(IF(GUAYAQUIL[[#This Row],[CODIGO]]="","",VLOOKUP(GUAYAQUIL[[#This Row],[CODIGO]],MAESTRO!A:P,16,FALSE)),"")</f>
        <v>60</v>
      </c>
      <c r="O573" s="29">
        <v>45615</v>
      </c>
      <c r="P573" s="72" t="str">
        <f t="shared" si="40"/>
        <v>martes</v>
      </c>
      <c r="Q573" s="29">
        <f>IFERROR(IF(GUAYAQUIL[[#This Row],[CODIGO]]="","",IF(GUAYAQUIL[[#This Row],[Fecha Cad]]="","",(GUAYAQUIL[[#This Row],[Fecha Cad]]-GUAYAQUIL[[#This Row],[VIDA UTIL (Días)]]))+1),"")</f>
        <v>45602</v>
      </c>
      <c r="R573" s="29">
        <v>45661</v>
      </c>
      <c r="S573" s="30">
        <f t="shared" ca="1" si="41"/>
        <v>37</v>
      </c>
      <c r="T573" s="31">
        <f t="shared" ca="1" si="42"/>
        <v>0.6166666666666667</v>
      </c>
      <c r="U573" s="286">
        <v>96</v>
      </c>
      <c r="V573" s="266">
        <f>+IFERROR(IF(GUAYAQUIL[[#This Row],[CODIGO]]="","",GUAYAQUIL[[#This Row],[Stock Actual Unds]]*GUAYAQUIL[[#This Row],[Gramaje]]*GUAYAQUIL[[#This Row],[Conversión]]),"")</f>
        <v>14.399999999999999</v>
      </c>
      <c r="W573" s="270">
        <f t="shared" si="43"/>
        <v>13</v>
      </c>
      <c r="X573" s="32">
        <f t="shared" si="44"/>
        <v>0.78333333333333333</v>
      </c>
      <c r="Y573" s="236">
        <f>IFERROR(VLOOKUP(GUAYAQUIL[[#This Row],[CODIGO]],MAESTRO!A:BI,21,FALSE),0)</f>
        <v>1.219535</v>
      </c>
      <c r="Z573" s="237">
        <f>+IFERROR(IF(GUAYAQUIL[[#This Row],[CODIGO]]="","",GUAYAQUIL[[#This Row],[COSTO UNIT base]]*GUAYAQUIL[[#This Row],[Conversión]]),"")</f>
        <v>1.219535</v>
      </c>
      <c r="AA573" s="236">
        <f>+IFERROR(IF(GUAYAQUIL[[#This Row],[CODIGO]]="","",GUAYAQUIL[[#This Row],[COSTO UNIT Conv]]*GUAYAQUIL[[#This Row],[Stock Actual Kgs]]),"")</f>
        <v>17.561304</v>
      </c>
      <c r="AB573" s="33">
        <f ca="1">+IFERROR(IF(GUAYAQUIL[[#This Row],[CODIGO]]="","",$J$3-O573),"")</f>
        <v>9</v>
      </c>
      <c r="AC573" s="34" t="str">
        <f ca="1">IF(GUAYAQUIL[[#This Row],[CODIGO]]="","",IF(S573&lt;=0,"CADUCADO",IF(AND(S573&gt;0,S573&lt;=21),"FECHA CORTA",IF(AND(S573&gt;=22,S573&lt;=26),"PROXIMOS FECHA CORTA", "VIGENTE"))))</f>
        <v>VIGENTE</v>
      </c>
      <c r="AD573" s="37">
        <f>+IF(GUAYAQUIL[[#This Row],[CODIGO]]="","",GUAYAQUIL[[#This Row],[Stock Actual Unds]]*GUAYAQUIL[[#This Row],[Gramaje]]*GUAYAQUIL[[#This Row],[Conversión]])/1000</f>
        <v>1.4399999999999998E-2</v>
      </c>
    </row>
    <row r="574" spans="1:30">
      <c r="A574" s="24" t="str">
        <f>+IFERROR(IF(GUAYAQUIL[[#This Row],[CODIGO]]="","",VLOOKUP(GUAYAQUIL[[#This Row],[CODIGO]],MAESTRO!$A:$J,10,FALSE)),"")</f>
        <v>SAN GABRIEL</v>
      </c>
      <c r="B574" s="24" t="str">
        <f>+IFERROR(IF(GUAYAQUIL[[#This Row],[CODIGO]]="","",VLOOKUP(GUAYAQUIL[[#This Row],[CODIGO]],MAESTRO!$A:$Q,17,FALSE)),"")</f>
        <v>QUESOS Y GRASAS</v>
      </c>
      <c r="C574" s="24" t="str">
        <f>+IFERROR(IF(GUAYAQUIL[[#This Row],[CODIGO]]="","",VLOOKUP(GUAYAQUIL[[#This Row],[CODIGO]],MAESTRO!$A:$BA,53,FALSE)),"")</f>
        <v xml:space="preserve">Esteban Montenegro                      </v>
      </c>
      <c r="D574" s="24" t="str">
        <f>+IFERROR(IF(GUAYAQUIL[[#This Row],[CODIGO]]="","",VLOOKUP(GUAYAQUIL[[#This Row],[CODIGO]],MAESTRO!$A:$D,4,FALSE)),"")</f>
        <v>QUESO SEMIMADURO KIOSKO</v>
      </c>
      <c r="E574" s="24" t="str">
        <f>+IFERROR(IF(GUAYAQUIL[[#This Row],[CODIGO]]="","",VLOOKUP(GUAYAQUIL[[#This Row],[CODIGO]],MAESTRO!$A:$F,6,FALSE)),"")</f>
        <v>QUESO PROVOLONE KIOSKO TAJADO</v>
      </c>
      <c r="F574" s="24" t="str">
        <f>IF(GUAYAQUIL[[#This Row],[CODIGO]]="","",$K$6)</f>
        <v>GUAYAQUIL</v>
      </c>
      <c r="G574" s="24">
        <f>IF(GUAYAQUIL[[#This Row],[CODIGO]]="","",7711)</f>
        <v>7711</v>
      </c>
      <c r="H574" s="24">
        <f>IF(GUAYAQUIL[[#This Row],[CODIGO]]="","",1001)</f>
        <v>1001</v>
      </c>
      <c r="I574" s="257" t="s">
        <v>3887</v>
      </c>
      <c r="J574" s="25" t="str">
        <f>IFERROR((VLOOKUP(GUAYAQUIL[[#This Row],[CODIGO]],MAESTRO!A:B,2,FALSE)),"")</f>
        <v>Q PROVO AHUM KIOSKO 10 LONJ 150G</v>
      </c>
      <c r="K574" s="26">
        <v>40</v>
      </c>
      <c r="L574" s="38">
        <f>+IFERROR(IF(GUAYAQUIL[[#This Row],[CODIGO]]="","",VLOOKUP(GUAYAQUIL[[#This Row],[CODIGO]],MAESTRO!$A:$BF,58,FALSE)),"")</f>
        <v>1</v>
      </c>
      <c r="M574" s="27">
        <f>+IFERROR(IF(GUAYAQUIL[[#This Row],[CODIGO]]="","",VLOOKUP(GUAYAQUIL[[#This Row],[CODIGO]],MAESTRO!A:N,14,FALSE)),"")</f>
        <v>0.15</v>
      </c>
      <c r="N574" s="28">
        <f>+IFERROR(IF(GUAYAQUIL[[#This Row],[CODIGO]]="","",VLOOKUP(GUAYAQUIL[[#This Row],[CODIGO]],MAESTRO!A:P,16,FALSE)),"")</f>
        <v>60</v>
      </c>
      <c r="O574" s="29">
        <v>45615</v>
      </c>
      <c r="P574" s="72" t="str">
        <f t="shared" si="40"/>
        <v>martes</v>
      </c>
      <c r="Q574" s="29">
        <f>IFERROR(IF(GUAYAQUIL[[#This Row],[CODIGO]]="","",IF(GUAYAQUIL[[#This Row],[Fecha Cad]]="","",(GUAYAQUIL[[#This Row],[Fecha Cad]]-GUAYAQUIL[[#This Row],[VIDA UTIL (Días)]]))+1),"")</f>
        <v>45608</v>
      </c>
      <c r="R574" s="29">
        <v>45667</v>
      </c>
      <c r="S574" s="30">
        <f t="shared" ca="1" si="41"/>
        <v>43</v>
      </c>
      <c r="T574" s="31">
        <f t="shared" ca="1" si="42"/>
        <v>0.71666666666666667</v>
      </c>
      <c r="U574" s="286">
        <v>40</v>
      </c>
      <c r="V574" s="267">
        <f>+IFERROR(IF(GUAYAQUIL[[#This Row],[CODIGO]]="","",GUAYAQUIL[[#This Row],[Stock Actual Unds]]*GUAYAQUIL[[#This Row],[Gramaje]]*GUAYAQUIL[[#This Row],[Conversión]]),"")</f>
        <v>6</v>
      </c>
      <c r="W574" s="270">
        <f t="shared" si="43"/>
        <v>7</v>
      </c>
      <c r="X574" s="32">
        <f t="shared" si="44"/>
        <v>0.8833333333333333</v>
      </c>
      <c r="Y574" s="236">
        <f>IFERROR(VLOOKUP(GUAYAQUIL[[#This Row],[CODIGO]],MAESTRO!A:BI,21,FALSE),0)</f>
        <v>1.219535</v>
      </c>
      <c r="Z574" s="237">
        <f>+IFERROR(IF(GUAYAQUIL[[#This Row],[CODIGO]]="","",GUAYAQUIL[[#This Row],[COSTO UNIT base]]*GUAYAQUIL[[#This Row],[Conversión]]),"")</f>
        <v>1.219535</v>
      </c>
      <c r="AA574" s="236">
        <f>+IFERROR(IF(GUAYAQUIL[[#This Row],[CODIGO]]="","",GUAYAQUIL[[#This Row],[COSTO UNIT Conv]]*GUAYAQUIL[[#This Row],[Stock Actual Kgs]]),"")</f>
        <v>7.3172100000000002</v>
      </c>
      <c r="AB574" s="33">
        <f ca="1">+IFERROR(IF(GUAYAQUIL[[#This Row],[CODIGO]]="","",$J$3-O574),"")</f>
        <v>9</v>
      </c>
      <c r="AC574" s="34" t="str">
        <f ca="1">IF(GUAYAQUIL[[#This Row],[CODIGO]]="","",IF(S574&lt;=0,"CADUCADO",IF(AND(S574&gt;0,S574&lt;=21),"FECHA CORTA",IF(AND(S574&gt;=22,S574&lt;=26),"PROXIMOS FECHA CORTA", "VIGENTE"))))</f>
        <v>VIGENTE</v>
      </c>
      <c r="AD574" s="37">
        <f>+IF(GUAYAQUIL[[#This Row],[CODIGO]]="","",GUAYAQUIL[[#This Row],[Stock Actual Unds]]*GUAYAQUIL[[#This Row],[Gramaje]]*GUAYAQUIL[[#This Row],[Conversión]])/1000</f>
        <v>6.0000000000000001E-3</v>
      </c>
    </row>
    <row r="575" spans="1:30">
      <c r="A575" s="24" t="str">
        <f>+IFERROR(IF(GUAYAQUIL[[#This Row],[CODIGO]]="","",VLOOKUP(GUAYAQUIL[[#This Row],[CODIGO]],MAESTRO!$A:$J,10,FALSE)),"")</f>
        <v>MACHACHI</v>
      </c>
      <c r="B575" s="24" t="str">
        <f>+IFERROR(IF(GUAYAQUIL[[#This Row],[CODIGO]]="","",VLOOKUP(GUAYAQUIL[[#This Row],[CODIGO]],MAESTRO!$A:$Q,17,FALSE)),"")</f>
        <v>BEBIDAS LACTEAS</v>
      </c>
      <c r="C575" s="24" t="str">
        <f>+IFERROR(IF(GUAYAQUIL[[#This Row],[CODIGO]]="","",VLOOKUP(GUAYAQUIL[[#This Row],[CODIGO]],MAESTRO!$A:$BA,53,FALSE)),"")</f>
        <v xml:space="preserve">Luis Armendariz                         </v>
      </c>
      <c r="D575" s="24" t="str">
        <f>+IFERROR(IF(GUAYAQUIL[[#This Row],[CODIGO]]="","",VLOOKUP(GUAYAQUIL[[#This Row],[CODIGO]],MAESTRO!$A:$D,4,FALSE)),"")</f>
        <v>YOGURT FINESSE</v>
      </c>
      <c r="E575" s="24" t="str">
        <f>+IFERROR(IF(GUAYAQUIL[[#This Row],[CODIGO]]="","",VLOOKUP(GUAYAQUIL[[#This Row],[CODIGO]],MAESTRO!$A:$F,6,FALSE)),"")</f>
        <v>YOGURT FINESSE DESLACT BOTELLA PERSONAL</v>
      </c>
      <c r="F575" s="42" t="str">
        <f>IF(GUAYAQUIL[[#This Row],[CODIGO]]="","",$K$6)</f>
        <v>GUAYAQUIL</v>
      </c>
      <c r="G575" s="209">
        <f>IF(GUAYAQUIL[[#This Row],[CODIGO]]="","",7711)</f>
        <v>7711</v>
      </c>
      <c r="H575" s="209">
        <f>IF(GUAYAQUIL[[#This Row],[CODIGO]]="","",1001)</f>
        <v>1001</v>
      </c>
      <c r="I575" s="257" t="s">
        <v>4413</v>
      </c>
      <c r="J575" s="25" t="str">
        <f>IFERROR((VLOOKUP(GUAYAQUIL[[#This Row],[CODIGO]],MAESTRO!A:B,2,FALSE)),"")</f>
        <v>YOG FNSSE FRTROJ BOT 180G</v>
      </c>
      <c r="K575" s="26">
        <v>216</v>
      </c>
      <c r="L575" s="38">
        <f>+IFERROR(IF(GUAYAQUIL[[#This Row],[CODIGO]]="","",VLOOKUP(GUAYAQUIL[[#This Row],[CODIGO]],MAESTRO!$A:$BF,58,FALSE)),"")</f>
        <v>1</v>
      </c>
      <c r="M575" s="27">
        <f>+IFERROR(IF(GUAYAQUIL[[#This Row],[CODIGO]]="","",VLOOKUP(GUAYAQUIL[[#This Row],[CODIGO]],MAESTRO!A:N,14,FALSE)),"")</f>
        <v>0.18</v>
      </c>
      <c r="N575" s="28">
        <f>+IFERROR(IF(GUAYAQUIL[[#This Row],[CODIGO]]="","",VLOOKUP(GUAYAQUIL[[#This Row],[CODIGO]],MAESTRO!A:P,16,FALSE)),"")</f>
        <v>45</v>
      </c>
      <c r="O575" s="29">
        <v>45608</v>
      </c>
      <c r="P575" s="72" t="str">
        <f t="shared" si="40"/>
        <v>martes</v>
      </c>
      <c r="Q575" s="29">
        <f>IFERROR(IF(GUAYAQUIL[[#This Row],[CODIGO]]="","",IF(GUAYAQUIL[[#This Row],[Fecha Cad]]="","",(GUAYAQUIL[[#This Row],[Fecha Cad]]-GUAYAQUIL[[#This Row],[VIDA UTIL (Días)]]))+1),"")</f>
        <v>45596</v>
      </c>
      <c r="R575" s="29">
        <v>45640</v>
      </c>
      <c r="S575" s="30">
        <f t="shared" ca="1" si="41"/>
        <v>16</v>
      </c>
      <c r="T575" s="31">
        <f t="shared" ca="1" si="42"/>
        <v>0.35555555555555557</v>
      </c>
      <c r="U575" s="286">
        <v>36</v>
      </c>
      <c r="V575" s="267">
        <f>+IFERROR(IF(GUAYAQUIL[[#This Row],[CODIGO]]="","",GUAYAQUIL[[#This Row],[Stock Actual Unds]]*GUAYAQUIL[[#This Row],[Gramaje]]*GUAYAQUIL[[#This Row],[Conversión]]),"")</f>
        <v>6.4799999999999995</v>
      </c>
      <c r="W575" s="270">
        <f t="shared" si="43"/>
        <v>12</v>
      </c>
      <c r="X575" s="32">
        <f t="shared" si="44"/>
        <v>0.73333333333333339</v>
      </c>
      <c r="Y575" s="236">
        <f>IFERROR(VLOOKUP(GUAYAQUIL[[#This Row],[CODIGO]],MAESTRO!A:BI,21,FALSE),0)</f>
        <v>0.30833500000000003</v>
      </c>
      <c r="Z575" s="237">
        <f>+IFERROR(IF(GUAYAQUIL[[#This Row],[CODIGO]]="","",GUAYAQUIL[[#This Row],[COSTO UNIT base]]*GUAYAQUIL[[#This Row],[Conversión]]),"")</f>
        <v>0.30833500000000003</v>
      </c>
      <c r="AA575" s="236">
        <f>+IFERROR(IF(GUAYAQUIL[[#This Row],[CODIGO]]="","",GUAYAQUIL[[#This Row],[COSTO UNIT Conv]]*GUAYAQUIL[[#This Row],[Stock Actual Kgs]]),"")</f>
        <v>1.9980108000000001</v>
      </c>
      <c r="AB575" s="33">
        <f ca="1">+IFERROR(IF(GUAYAQUIL[[#This Row],[CODIGO]]="","",$J$3-O575),"")</f>
        <v>16</v>
      </c>
      <c r="AC575" s="34" t="str">
        <f ca="1">IF(GUAYAQUIL[[#This Row],[CODIGO]]="","",IF(S575&lt;=0,"CADUCADO",IF(AND(S575&gt;0,S575&lt;=21),"FECHA CORTA",IF(AND(S575&gt;=22,S575&lt;=26),"PROXIMOS FECHA CORTA", "VIGENTE"))))</f>
        <v>FECHA CORTA</v>
      </c>
      <c r="AD575" s="37">
        <f>+IF(GUAYAQUIL[[#This Row],[CODIGO]]="","",GUAYAQUIL[[#This Row],[Stock Actual Unds]]*GUAYAQUIL[[#This Row],[Gramaje]]*GUAYAQUIL[[#This Row],[Conversión]])/1000</f>
        <v>6.4799999999999996E-3</v>
      </c>
    </row>
    <row r="576" spans="1:30">
      <c r="A576" s="24" t="str">
        <f>+IFERROR(IF(GUAYAQUIL[[#This Row],[CODIGO]]="","",VLOOKUP(GUAYAQUIL[[#This Row],[CODIGO]],MAESTRO!$A:$J,10,FALSE)),"")</f>
        <v>MACHACHI</v>
      </c>
      <c r="B576" s="24" t="str">
        <f>+IFERROR(IF(GUAYAQUIL[[#This Row],[CODIGO]]="","",VLOOKUP(GUAYAQUIL[[#This Row],[CODIGO]],MAESTRO!$A:$Q,17,FALSE)),"")</f>
        <v>BEBIDAS LACTEAS</v>
      </c>
      <c r="C576" s="24" t="str">
        <f>+IFERROR(IF(GUAYAQUIL[[#This Row],[CODIGO]]="","",VLOOKUP(GUAYAQUIL[[#This Row],[CODIGO]],MAESTRO!$A:$BA,53,FALSE)),"")</f>
        <v xml:space="preserve">Luis Armendariz                         </v>
      </c>
      <c r="D576" s="24" t="str">
        <f>+IFERROR(IF(GUAYAQUIL[[#This Row],[CODIGO]]="","",VLOOKUP(GUAYAQUIL[[#This Row],[CODIGO]],MAESTRO!$A:$D,4,FALSE)),"")</f>
        <v>YOGURT FINESSE</v>
      </c>
      <c r="E576" s="24" t="str">
        <f>+IFERROR(IF(GUAYAQUIL[[#This Row],[CODIGO]]="","",VLOOKUP(GUAYAQUIL[[#This Row],[CODIGO]],MAESTRO!$A:$F,6,FALSE)),"")</f>
        <v>YOGURT FINESSE DESLACT BOTELLA PERSONAL</v>
      </c>
      <c r="F576" s="42" t="str">
        <f>IF(GUAYAQUIL[[#This Row],[CODIGO]]="","",$K$6)</f>
        <v>GUAYAQUIL</v>
      </c>
      <c r="G576" s="42">
        <f>IF(GUAYAQUIL[[#This Row],[CODIGO]]="","",7711)</f>
        <v>7711</v>
      </c>
      <c r="H576" s="42">
        <f>IF(GUAYAQUIL[[#This Row],[CODIGO]]="","",1001)</f>
        <v>1001</v>
      </c>
      <c r="I576" s="257" t="s">
        <v>4413</v>
      </c>
      <c r="J576" s="25" t="str">
        <f>IFERROR((VLOOKUP(GUAYAQUIL[[#This Row],[CODIGO]],MAESTRO!A:B,2,FALSE)),"")</f>
        <v>YOG FNSSE FRTROJ BOT 180G</v>
      </c>
      <c r="K576" s="26">
        <v>216</v>
      </c>
      <c r="L576" s="38">
        <f>+IFERROR(IF(GUAYAQUIL[[#This Row],[CODIGO]]="","",VLOOKUP(GUAYAQUIL[[#This Row],[CODIGO]],MAESTRO!$A:$BF,58,FALSE)),"")</f>
        <v>1</v>
      </c>
      <c r="M576" s="27">
        <f>+IFERROR(IF(GUAYAQUIL[[#This Row],[CODIGO]]="","",VLOOKUP(GUAYAQUIL[[#This Row],[CODIGO]],MAESTRO!A:N,14,FALSE)),"")</f>
        <v>0.18</v>
      </c>
      <c r="N576" s="28">
        <f>+IFERROR(IF(GUAYAQUIL[[#This Row],[CODIGO]]="","",VLOOKUP(GUAYAQUIL[[#This Row],[CODIGO]],MAESTRO!A:P,16,FALSE)),"")</f>
        <v>45</v>
      </c>
      <c r="O576" s="29">
        <v>45612</v>
      </c>
      <c r="P576" s="72" t="str">
        <f t="shared" si="40"/>
        <v>sábado</v>
      </c>
      <c r="Q576" s="29">
        <f>IFERROR(IF(GUAYAQUIL[[#This Row],[CODIGO]]="","",IF(GUAYAQUIL[[#This Row],[Fecha Cad]]="","",(GUAYAQUIL[[#This Row],[Fecha Cad]]-GUAYAQUIL[[#This Row],[VIDA UTIL (Días)]]))+1),"")</f>
        <v>45609</v>
      </c>
      <c r="R576" s="29">
        <v>45653</v>
      </c>
      <c r="S576" s="30">
        <f t="shared" ca="1" si="41"/>
        <v>29</v>
      </c>
      <c r="T576" s="31">
        <f t="shared" ca="1" si="42"/>
        <v>0.64444444444444449</v>
      </c>
      <c r="U576" s="286">
        <v>84</v>
      </c>
      <c r="V576" s="267">
        <f>+IFERROR(IF(GUAYAQUIL[[#This Row],[CODIGO]]="","",GUAYAQUIL[[#This Row],[Stock Actual Unds]]*GUAYAQUIL[[#This Row],[Gramaje]]*GUAYAQUIL[[#This Row],[Conversión]]),"")</f>
        <v>15.12</v>
      </c>
      <c r="W576" s="270">
        <f t="shared" si="43"/>
        <v>3</v>
      </c>
      <c r="X576" s="32">
        <f t="shared" si="44"/>
        <v>0.93333333333333335</v>
      </c>
      <c r="Y576" s="236">
        <f>IFERROR(VLOOKUP(GUAYAQUIL[[#This Row],[CODIGO]],MAESTRO!A:BI,21,FALSE),0)</f>
        <v>0.30833500000000003</v>
      </c>
      <c r="Z576" s="237">
        <f>+IFERROR(IF(GUAYAQUIL[[#This Row],[CODIGO]]="","",GUAYAQUIL[[#This Row],[COSTO UNIT base]]*GUAYAQUIL[[#This Row],[Conversión]]),"")</f>
        <v>0.30833500000000003</v>
      </c>
      <c r="AA576" s="236">
        <f>+IFERROR(IF(GUAYAQUIL[[#This Row],[CODIGO]]="","",GUAYAQUIL[[#This Row],[COSTO UNIT Conv]]*GUAYAQUIL[[#This Row],[Stock Actual Kgs]]),"")</f>
        <v>4.6620252000000004</v>
      </c>
      <c r="AB576" s="33">
        <f ca="1">+IFERROR(IF(GUAYAQUIL[[#This Row],[CODIGO]]="","",$J$3-O576),"")</f>
        <v>12</v>
      </c>
      <c r="AC576" s="34" t="str">
        <f ca="1">IF(GUAYAQUIL[[#This Row],[CODIGO]]="","",IF(S576&lt;=0,"CADUCADO",IF(AND(S576&gt;0,S576&lt;=21),"FECHA CORTA",IF(AND(S576&gt;=22,S576&lt;=26),"PROXIMOS FECHA CORTA", "VIGENTE"))))</f>
        <v>VIGENTE</v>
      </c>
      <c r="AD576" s="37">
        <f>+IF(GUAYAQUIL[[#This Row],[CODIGO]]="","",GUAYAQUIL[[#This Row],[Stock Actual Unds]]*GUAYAQUIL[[#This Row],[Gramaje]]*GUAYAQUIL[[#This Row],[Conversión]])/1000</f>
        <v>1.512E-2</v>
      </c>
    </row>
    <row r="577" spans="1:30">
      <c r="A577" s="24" t="str">
        <f>+IFERROR(IF(GUAYAQUIL[[#This Row],[CODIGO]]="","",VLOOKUP(GUAYAQUIL[[#This Row],[CODIGO]],MAESTRO!$A:$J,10,FALSE)),"")</f>
        <v>MACHACHI</v>
      </c>
      <c r="B577" s="24" t="str">
        <f>+IFERROR(IF(GUAYAQUIL[[#This Row],[CODIGO]]="","",VLOOKUP(GUAYAQUIL[[#This Row],[CODIGO]],MAESTRO!$A:$Q,17,FALSE)),"")</f>
        <v>BEBIDAS LACTEAS</v>
      </c>
      <c r="C577" s="24" t="str">
        <f>+IFERROR(IF(GUAYAQUIL[[#This Row],[CODIGO]]="","",VLOOKUP(GUAYAQUIL[[#This Row],[CODIGO]],MAESTRO!$A:$BA,53,FALSE)),"")</f>
        <v xml:space="preserve">Luis Armendariz                         </v>
      </c>
      <c r="D577" s="24" t="str">
        <f>+IFERROR(IF(GUAYAQUIL[[#This Row],[CODIGO]]="","",VLOOKUP(GUAYAQUIL[[#This Row],[CODIGO]],MAESTRO!$A:$D,4,FALSE)),"")</f>
        <v>YOGURT FINESSE</v>
      </c>
      <c r="E577" s="24" t="str">
        <f>+IFERROR(IF(GUAYAQUIL[[#This Row],[CODIGO]]="","",VLOOKUP(GUAYAQUIL[[#This Row],[CODIGO]],MAESTRO!$A:$F,6,FALSE)),"")</f>
        <v>YOGURT FINESSE DESLACT BOTELLA PERSONAL</v>
      </c>
      <c r="F577" s="42" t="str">
        <f>IF(GUAYAQUIL[[#This Row],[CODIGO]]="","",$K$6)</f>
        <v>GUAYAQUIL</v>
      </c>
      <c r="G577" s="209">
        <f>IF(GUAYAQUIL[[#This Row],[CODIGO]]="","",7711)</f>
        <v>7711</v>
      </c>
      <c r="H577" s="209">
        <f>IF(GUAYAQUIL[[#This Row],[CODIGO]]="","",1001)</f>
        <v>1001</v>
      </c>
      <c r="I577" s="258" t="s">
        <v>4413</v>
      </c>
      <c r="J577" s="25" t="str">
        <f>IFERROR((VLOOKUP(GUAYAQUIL[[#This Row],[CODIGO]],MAESTRO!A:B,2,FALSE)),"")</f>
        <v>YOG FNSSE FRTROJ BOT 180G</v>
      </c>
      <c r="K577" s="35">
        <v>108</v>
      </c>
      <c r="L577" s="38">
        <f>+IFERROR(IF(GUAYAQUIL[[#This Row],[CODIGO]]="","",VLOOKUP(GUAYAQUIL[[#This Row],[CODIGO]],MAESTRO!$A:$BF,58,FALSE)),"")</f>
        <v>1</v>
      </c>
      <c r="M577" s="27">
        <f>+IFERROR(IF(GUAYAQUIL[[#This Row],[CODIGO]]="","",VLOOKUP(GUAYAQUIL[[#This Row],[CODIGO]],MAESTRO!A:N,14,FALSE)),"")</f>
        <v>0.18</v>
      </c>
      <c r="N577" s="28">
        <f>+IFERROR(IF(GUAYAQUIL[[#This Row],[CODIGO]]="","",VLOOKUP(GUAYAQUIL[[#This Row],[CODIGO]],MAESTRO!A:P,16,FALSE)),"")</f>
        <v>45</v>
      </c>
      <c r="O577" s="45">
        <v>45616</v>
      </c>
      <c r="P577" s="72" t="str">
        <f t="shared" si="40"/>
        <v>miércoles</v>
      </c>
      <c r="Q577" s="29">
        <f>IFERROR(IF(GUAYAQUIL[[#This Row],[CODIGO]]="","",IF(GUAYAQUIL[[#This Row],[Fecha Cad]]="","",(GUAYAQUIL[[#This Row],[Fecha Cad]]-GUAYAQUIL[[#This Row],[VIDA UTIL (Días)]]))+1),"")</f>
        <v>45609</v>
      </c>
      <c r="R577" s="45">
        <v>45653</v>
      </c>
      <c r="S577" s="30">
        <f t="shared" ca="1" si="41"/>
        <v>29</v>
      </c>
      <c r="T577" s="31">
        <f t="shared" ca="1" si="42"/>
        <v>0.64444444444444449</v>
      </c>
      <c r="U577" s="286">
        <v>108</v>
      </c>
      <c r="V577" s="265">
        <f>+IFERROR(IF(GUAYAQUIL[[#This Row],[CODIGO]]="","",GUAYAQUIL[[#This Row],[Stock Actual Unds]]*GUAYAQUIL[[#This Row],[Gramaje]]*GUAYAQUIL[[#This Row],[Conversión]]),"")</f>
        <v>19.439999999999998</v>
      </c>
      <c r="W577" s="270">
        <f t="shared" si="43"/>
        <v>7</v>
      </c>
      <c r="X577" s="32">
        <f t="shared" si="44"/>
        <v>0.84444444444444444</v>
      </c>
      <c r="Y577" s="236">
        <f>IFERROR(VLOOKUP(GUAYAQUIL[[#This Row],[CODIGO]],MAESTRO!A:BI,21,FALSE),0)</f>
        <v>0.30833500000000003</v>
      </c>
      <c r="Z577" s="237">
        <f>+IFERROR(IF(GUAYAQUIL[[#This Row],[CODIGO]]="","",GUAYAQUIL[[#This Row],[COSTO UNIT base]]*GUAYAQUIL[[#This Row],[Conversión]]),"")</f>
        <v>0.30833500000000003</v>
      </c>
      <c r="AA577" s="236">
        <f>+IFERROR(IF(GUAYAQUIL[[#This Row],[CODIGO]]="","",GUAYAQUIL[[#This Row],[COSTO UNIT Conv]]*GUAYAQUIL[[#This Row],[Stock Actual Kgs]]),"")</f>
        <v>5.9940324</v>
      </c>
      <c r="AB577" s="33">
        <f ca="1">+IFERROR(IF(GUAYAQUIL[[#This Row],[CODIGO]]="","",$J$3-O577),"")</f>
        <v>8</v>
      </c>
      <c r="AC577" s="34" t="str">
        <f ca="1">IF(GUAYAQUIL[[#This Row],[CODIGO]]="","",IF(S577&lt;=0,"CADUCADO",IF(AND(S577&gt;0,S577&lt;=21),"FECHA CORTA",IF(AND(S577&gt;=22,S577&lt;=26),"PROXIMOS FECHA CORTA", "VIGENTE"))))</f>
        <v>VIGENTE</v>
      </c>
      <c r="AD577" s="37">
        <f>+IF(GUAYAQUIL[[#This Row],[CODIGO]]="","",GUAYAQUIL[[#This Row],[Stock Actual Unds]]*GUAYAQUIL[[#This Row],[Gramaje]]*GUAYAQUIL[[#This Row],[Conversión]])/1000</f>
        <v>1.9439999999999999E-2</v>
      </c>
    </row>
    <row r="578" spans="1:30">
      <c r="A578" s="24" t="str">
        <f>+IFERROR(IF(GUAYAQUIL[[#This Row],[CODIGO]]="","",VLOOKUP(GUAYAQUIL[[#This Row],[CODIGO]],MAESTRO!$A:$J,10,FALSE)),"")</f>
        <v>MACHACHI</v>
      </c>
      <c r="B578" s="24" t="str">
        <f>+IFERROR(IF(GUAYAQUIL[[#This Row],[CODIGO]]="","",VLOOKUP(GUAYAQUIL[[#This Row],[CODIGO]],MAESTRO!$A:$Q,17,FALSE)),"")</f>
        <v>BEBIDAS LACTEAS</v>
      </c>
      <c r="C578" s="24" t="str">
        <f>+IFERROR(IF(GUAYAQUIL[[#This Row],[CODIGO]]="","",VLOOKUP(GUAYAQUIL[[#This Row],[CODIGO]],MAESTRO!$A:$BA,53,FALSE)),"")</f>
        <v xml:space="preserve">Luis Armendariz                         </v>
      </c>
      <c r="D578" s="24" t="str">
        <f>+IFERROR(IF(GUAYAQUIL[[#This Row],[CODIGO]]="","",VLOOKUP(GUAYAQUIL[[#This Row],[CODIGO]],MAESTRO!$A:$D,4,FALSE)),"")</f>
        <v>YOGURT FINESSE</v>
      </c>
      <c r="E578" s="24" t="str">
        <f>+IFERROR(IF(GUAYAQUIL[[#This Row],[CODIGO]]="","",VLOOKUP(GUAYAQUIL[[#This Row],[CODIGO]],MAESTRO!$A:$F,6,FALSE)),"")</f>
        <v>YOGURT FINESSE DESLACT BOTELLA PERSONAL</v>
      </c>
      <c r="F578" s="42" t="str">
        <f>IF(GUAYAQUIL[[#This Row],[CODIGO]]="","",$K$6)</f>
        <v>GUAYAQUIL</v>
      </c>
      <c r="G578" s="42">
        <f>IF(GUAYAQUIL[[#This Row],[CODIGO]]="","",7711)</f>
        <v>7711</v>
      </c>
      <c r="H578" s="42">
        <f>IF(GUAYAQUIL[[#This Row],[CODIGO]]="","",1001)</f>
        <v>1001</v>
      </c>
      <c r="I578" s="258" t="s">
        <v>4413</v>
      </c>
      <c r="J578" s="25" t="str">
        <f>IFERROR((VLOOKUP(GUAYAQUIL[[#This Row],[CODIGO]],MAESTRO!A:B,2,FALSE)),"")</f>
        <v>YOG FNSSE FRTROJ BOT 180G</v>
      </c>
      <c r="K578" s="35">
        <v>108</v>
      </c>
      <c r="L578" s="38">
        <f>+IFERROR(IF(GUAYAQUIL[[#This Row],[CODIGO]]="","",VLOOKUP(GUAYAQUIL[[#This Row],[CODIGO]],MAESTRO!$A:$BF,58,FALSE)),"")</f>
        <v>1</v>
      </c>
      <c r="M578" s="27">
        <f>+IFERROR(IF(GUAYAQUIL[[#This Row],[CODIGO]]="","",VLOOKUP(GUAYAQUIL[[#This Row],[CODIGO]],MAESTRO!A:N,14,FALSE)),"")</f>
        <v>0.18</v>
      </c>
      <c r="N578" s="28">
        <f>+IFERROR(IF(GUAYAQUIL[[#This Row],[CODIGO]]="","",VLOOKUP(GUAYAQUIL[[#This Row],[CODIGO]],MAESTRO!A:P,16,FALSE)),"")</f>
        <v>45</v>
      </c>
      <c r="O578" s="45">
        <v>45617</v>
      </c>
      <c r="P578" s="72" t="str">
        <f t="shared" si="40"/>
        <v>jueves</v>
      </c>
      <c r="Q578" s="29">
        <f>IFERROR(IF(GUAYAQUIL[[#This Row],[CODIGO]]="","",IF(GUAYAQUIL[[#This Row],[Fecha Cad]]="","",(GUAYAQUIL[[#This Row],[Fecha Cad]]-GUAYAQUIL[[#This Row],[VIDA UTIL (Días)]]))+1),"")</f>
        <v>45609</v>
      </c>
      <c r="R578" s="45">
        <v>45653</v>
      </c>
      <c r="S578" s="30">
        <f t="shared" ca="1" si="41"/>
        <v>29</v>
      </c>
      <c r="T578" s="31">
        <f t="shared" ca="1" si="42"/>
        <v>0.64444444444444449</v>
      </c>
      <c r="U578" s="286">
        <v>108</v>
      </c>
      <c r="V578" s="265">
        <f>+IFERROR(IF(GUAYAQUIL[[#This Row],[CODIGO]]="","",GUAYAQUIL[[#This Row],[Stock Actual Unds]]*GUAYAQUIL[[#This Row],[Gramaje]]*GUAYAQUIL[[#This Row],[Conversión]]),"")</f>
        <v>19.439999999999998</v>
      </c>
      <c r="W578" s="270">
        <f t="shared" si="43"/>
        <v>8</v>
      </c>
      <c r="X578" s="32">
        <f t="shared" si="44"/>
        <v>0.82222222222222219</v>
      </c>
      <c r="Y578" s="236">
        <f>IFERROR(VLOOKUP(GUAYAQUIL[[#This Row],[CODIGO]],MAESTRO!A:BI,21,FALSE),0)</f>
        <v>0.30833500000000003</v>
      </c>
      <c r="Z578" s="237">
        <f>+IFERROR(IF(GUAYAQUIL[[#This Row],[CODIGO]]="","",GUAYAQUIL[[#This Row],[COSTO UNIT base]]*GUAYAQUIL[[#This Row],[Conversión]]),"")</f>
        <v>0.30833500000000003</v>
      </c>
      <c r="AA578" s="236">
        <f>+IFERROR(IF(GUAYAQUIL[[#This Row],[CODIGO]]="","",GUAYAQUIL[[#This Row],[COSTO UNIT Conv]]*GUAYAQUIL[[#This Row],[Stock Actual Kgs]]),"")</f>
        <v>5.9940324</v>
      </c>
      <c r="AB578" s="33">
        <f ca="1">+IFERROR(IF(GUAYAQUIL[[#This Row],[CODIGO]]="","",$J$3-O578),"")</f>
        <v>7</v>
      </c>
      <c r="AC578" s="34" t="str">
        <f ca="1">IF(GUAYAQUIL[[#This Row],[CODIGO]]="","",IF(S578&lt;=0,"CADUCADO",IF(AND(S578&gt;0,S578&lt;=21),"FECHA CORTA",IF(AND(S578&gt;=22,S578&lt;=26),"PROXIMOS FECHA CORTA", "VIGENTE"))))</f>
        <v>VIGENTE</v>
      </c>
      <c r="AD578" s="37">
        <f>+IF(GUAYAQUIL[[#This Row],[CODIGO]]="","",GUAYAQUIL[[#This Row],[Stock Actual Unds]]*GUAYAQUIL[[#This Row],[Gramaje]]*GUAYAQUIL[[#This Row],[Conversión]])/1000</f>
        <v>1.9439999999999999E-2</v>
      </c>
    </row>
    <row r="579" spans="1:30">
      <c r="A579" s="24" t="str">
        <f>+IFERROR(IF(GUAYAQUIL[[#This Row],[CODIGO]]="","",VLOOKUP(GUAYAQUIL[[#This Row],[CODIGO]],MAESTRO!$A:$J,10,FALSE)),"")</f>
        <v>MACHACHI</v>
      </c>
      <c r="B579" s="24" t="str">
        <f>+IFERROR(IF(GUAYAQUIL[[#This Row],[CODIGO]]="","",VLOOKUP(GUAYAQUIL[[#This Row],[CODIGO]],MAESTRO!$A:$Q,17,FALSE)),"")</f>
        <v>BEBIDAS LACTEAS</v>
      </c>
      <c r="C579" s="24" t="str">
        <f>+IFERROR(IF(GUAYAQUIL[[#This Row],[CODIGO]]="","",VLOOKUP(GUAYAQUIL[[#This Row],[CODIGO]],MAESTRO!$A:$BA,53,FALSE)),"")</f>
        <v xml:space="preserve">Luis Armendariz                         </v>
      </c>
      <c r="D579" s="24" t="str">
        <f>+IFERROR(IF(GUAYAQUIL[[#This Row],[CODIGO]]="","",VLOOKUP(GUAYAQUIL[[#This Row],[CODIGO]],MAESTRO!$A:$D,4,FALSE)),"")</f>
        <v>REGENERIS</v>
      </c>
      <c r="E579" s="24" t="str">
        <f>+IFERROR(IF(GUAYAQUIL[[#This Row],[CODIGO]]="","",VLOOKUP(GUAYAQUIL[[#This Row],[CODIGO]],MAESTRO!$A:$F,6,FALSE)),"")</f>
        <v>REGENERIS CEREAL BOTELLA FAMILIAR</v>
      </c>
      <c r="F579" s="42" t="str">
        <f>IF(GUAYAQUIL[[#This Row],[CODIGO]]="","",$K$6)</f>
        <v>GUAYAQUIL</v>
      </c>
      <c r="G579" s="209">
        <f>IF(GUAYAQUIL[[#This Row],[CODIGO]]="","",7711)</f>
        <v>7711</v>
      </c>
      <c r="H579" s="209">
        <f>IF(GUAYAQUIL[[#This Row],[CODIGO]]="","",1001)</f>
        <v>1001</v>
      </c>
      <c r="I579" s="258" t="s">
        <v>1871</v>
      </c>
      <c r="J579" s="25" t="str">
        <f>IFERROR((VLOOKUP(GUAYAQUIL[[#This Row],[CODIGO]],MAESTRO!A:B,2,FALSE)),"")</f>
        <v>RGN CER PITA BOT 1750G ECU</v>
      </c>
      <c r="K579" s="35">
        <v>120</v>
      </c>
      <c r="L579" s="38">
        <f>+IFERROR(IF(GUAYAQUIL[[#This Row],[CODIGO]]="","",VLOOKUP(GUAYAQUIL[[#This Row],[CODIGO]],MAESTRO!$A:$BF,58,FALSE)),"")</f>
        <v>1</v>
      </c>
      <c r="M579" s="27">
        <f>+IFERROR(IF(GUAYAQUIL[[#This Row],[CODIGO]]="","",VLOOKUP(GUAYAQUIL[[#This Row],[CODIGO]],MAESTRO!A:N,14,FALSE)),"")</f>
        <v>1.75</v>
      </c>
      <c r="N579" s="28">
        <f>+IFERROR(IF(GUAYAQUIL[[#This Row],[CODIGO]]="","",VLOOKUP(GUAYAQUIL[[#This Row],[CODIGO]],MAESTRO!A:P,16,FALSE)),"")</f>
        <v>45</v>
      </c>
      <c r="O579" s="29">
        <v>45595</v>
      </c>
      <c r="P579" s="72" t="str">
        <f t="shared" si="40"/>
        <v>miércoles</v>
      </c>
      <c r="Q579" s="29">
        <f>IFERROR(IF(GUAYAQUIL[[#This Row],[CODIGO]]="","",IF(GUAYAQUIL[[#This Row],[Fecha Cad]]="","",(GUAYAQUIL[[#This Row],[Fecha Cad]]-GUAYAQUIL[[#This Row],[VIDA UTIL (Días)]]))+1),"")</f>
        <v>45590</v>
      </c>
      <c r="R579" s="29">
        <v>45634</v>
      </c>
      <c r="S579" s="30">
        <f t="shared" ca="1" si="41"/>
        <v>10</v>
      </c>
      <c r="T579" s="31">
        <f t="shared" ca="1" si="42"/>
        <v>0.22222222222222221</v>
      </c>
      <c r="U579" s="286">
        <v>102</v>
      </c>
      <c r="V579" s="266">
        <f>+IFERROR(IF(GUAYAQUIL[[#This Row],[CODIGO]]="","",GUAYAQUIL[[#This Row],[Stock Actual Unds]]*GUAYAQUIL[[#This Row],[Gramaje]]*GUAYAQUIL[[#This Row],[Conversión]]),"")</f>
        <v>178.5</v>
      </c>
      <c r="W579" s="270">
        <f t="shared" si="43"/>
        <v>5</v>
      </c>
      <c r="X579" s="32">
        <f t="shared" si="44"/>
        <v>0.88888888888888884</v>
      </c>
      <c r="Y579" s="236">
        <f>IFERROR(VLOOKUP(GUAYAQUIL[[#This Row],[CODIGO]],MAESTRO!A:BI,21,FALSE),0)</f>
        <v>2.48414</v>
      </c>
      <c r="Z579" s="237">
        <f>+IFERROR(IF(GUAYAQUIL[[#This Row],[CODIGO]]="","",GUAYAQUIL[[#This Row],[COSTO UNIT base]]*GUAYAQUIL[[#This Row],[Conversión]]),"")</f>
        <v>2.48414</v>
      </c>
      <c r="AA579" s="236">
        <f>+IFERROR(IF(GUAYAQUIL[[#This Row],[CODIGO]]="","",GUAYAQUIL[[#This Row],[COSTO UNIT Conv]]*GUAYAQUIL[[#This Row],[Stock Actual Kgs]]),"")</f>
        <v>443.41899000000001</v>
      </c>
      <c r="AB579" s="33">
        <f ca="1">+IFERROR(IF(GUAYAQUIL[[#This Row],[CODIGO]]="","",$J$3-O579),"")</f>
        <v>29</v>
      </c>
      <c r="AC579" s="34" t="str">
        <f ca="1">IF(GUAYAQUIL[[#This Row],[CODIGO]]="","",IF(S579&lt;=0,"CADUCADO",IF(AND(S579&gt;0,S579&lt;=21),"FECHA CORTA",IF(AND(S579&gt;=22,S579&lt;=26),"PROXIMOS FECHA CORTA", "VIGENTE"))))</f>
        <v>FECHA CORTA</v>
      </c>
      <c r="AD579" s="37">
        <f>+IF(GUAYAQUIL[[#This Row],[CODIGO]]="","",GUAYAQUIL[[#This Row],[Stock Actual Unds]]*GUAYAQUIL[[#This Row],[Gramaje]]*GUAYAQUIL[[#This Row],[Conversión]])/1000</f>
        <v>0.17849999999999999</v>
      </c>
    </row>
    <row r="580" spans="1:30">
      <c r="A580" s="24" t="str">
        <f>+IFERROR(IF(GUAYAQUIL[[#This Row],[CODIGO]]="","",VLOOKUP(GUAYAQUIL[[#This Row],[CODIGO]],MAESTRO!$A:$J,10,FALSE)),"")</f>
        <v>MACHACHI</v>
      </c>
      <c r="B580" s="24" t="str">
        <f>+IFERROR(IF(GUAYAQUIL[[#This Row],[CODIGO]]="","",VLOOKUP(GUAYAQUIL[[#This Row],[CODIGO]],MAESTRO!$A:$Q,17,FALSE)),"")</f>
        <v>BEBIDAS LACTEAS</v>
      </c>
      <c r="C580" s="24" t="str">
        <f>+IFERROR(IF(GUAYAQUIL[[#This Row],[CODIGO]]="","",VLOOKUP(GUAYAQUIL[[#This Row],[CODIGO]],MAESTRO!$A:$BA,53,FALSE)),"")</f>
        <v xml:space="preserve">Luis Armendariz                         </v>
      </c>
      <c r="D580" s="24" t="str">
        <f>+IFERROR(IF(GUAYAQUIL[[#This Row],[CODIGO]]="","",VLOOKUP(GUAYAQUIL[[#This Row],[CODIGO]],MAESTRO!$A:$D,4,FALSE)),"")</f>
        <v>REGENERIS</v>
      </c>
      <c r="E580" s="24" t="str">
        <f>+IFERROR(IF(GUAYAQUIL[[#This Row],[CODIGO]]="","",VLOOKUP(GUAYAQUIL[[#This Row],[CODIGO]],MAESTRO!$A:$F,6,FALSE)),"")</f>
        <v>REGENERIS CEREAL BOTELLA FAMILIAR</v>
      </c>
      <c r="F580" s="42" t="str">
        <f>IF(GUAYAQUIL[[#This Row],[CODIGO]]="","",$K$6)</f>
        <v>GUAYAQUIL</v>
      </c>
      <c r="G580" s="42">
        <f>IF(GUAYAQUIL[[#This Row],[CODIGO]]="","",7711)</f>
        <v>7711</v>
      </c>
      <c r="H580" s="42">
        <f>IF(GUAYAQUIL[[#This Row],[CODIGO]]="","",1001)</f>
        <v>1001</v>
      </c>
      <c r="I580" s="258" t="s">
        <v>1871</v>
      </c>
      <c r="J580" s="25" t="str">
        <f>IFERROR((VLOOKUP(GUAYAQUIL[[#This Row],[CODIGO]],MAESTRO!A:B,2,FALSE)),"")</f>
        <v>RGN CER PITA BOT 1750G ECU</v>
      </c>
      <c r="K580" s="35">
        <v>24</v>
      </c>
      <c r="L580" s="38">
        <f>+IFERROR(IF(GUAYAQUIL[[#This Row],[CODIGO]]="","",VLOOKUP(GUAYAQUIL[[#This Row],[CODIGO]],MAESTRO!$A:$BF,58,FALSE)),"")</f>
        <v>1</v>
      </c>
      <c r="M580" s="27">
        <f>+IFERROR(IF(GUAYAQUIL[[#This Row],[CODIGO]]="","",VLOOKUP(GUAYAQUIL[[#This Row],[CODIGO]],MAESTRO!A:N,14,FALSE)),"")</f>
        <v>1.75</v>
      </c>
      <c r="N580" s="28">
        <f>+IFERROR(IF(GUAYAQUIL[[#This Row],[CODIGO]]="","",VLOOKUP(GUAYAQUIL[[#This Row],[CODIGO]],MAESTRO!A:P,16,FALSE)),"")</f>
        <v>45</v>
      </c>
      <c r="O580" s="29">
        <v>45597</v>
      </c>
      <c r="P580" s="72" t="str">
        <f t="shared" si="40"/>
        <v>viernes</v>
      </c>
      <c r="Q580" s="29">
        <f>IFERROR(IF(GUAYAQUIL[[#This Row],[CODIGO]]="","",IF(GUAYAQUIL[[#This Row],[Fecha Cad]]="","",(GUAYAQUIL[[#This Row],[Fecha Cad]]-GUAYAQUIL[[#This Row],[VIDA UTIL (Días)]]))+1),"")</f>
        <v>45597</v>
      </c>
      <c r="R580" s="29">
        <v>45641</v>
      </c>
      <c r="S580" s="30">
        <f t="shared" ca="1" si="41"/>
        <v>17</v>
      </c>
      <c r="T580" s="31">
        <f t="shared" ca="1" si="42"/>
        <v>0.37777777777777777</v>
      </c>
      <c r="U580" s="286">
        <v>3</v>
      </c>
      <c r="V580" s="266">
        <f>+IFERROR(IF(GUAYAQUIL[[#This Row],[CODIGO]]="","",GUAYAQUIL[[#This Row],[Stock Actual Unds]]*GUAYAQUIL[[#This Row],[Gramaje]]*GUAYAQUIL[[#This Row],[Conversión]]),"")</f>
        <v>5.25</v>
      </c>
      <c r="W580" s="270">
        <f t="shared" si="43"/>
        <v>0</v>
      </c>
      <c r="X580" s="32">
        <f t="shared" si="44"/>
        <v>1</v>
      </c>
      <c r="Y580" s="236">
        <f>IFERROR(VLOOKUP(GUAYAQUIL[[#This Row],[CODIGO]],MAESTRO!A:BI,21,FALSE),0)</f>
        <v>2.48414</v>
      </c>
      <c r="Z580" s="237">
        <f>+IFERROR(IF(GUAYAQUIL[[#This Row],[CODIGO]]="","",GUAYAQUIL[[#This Row],[COSTO UNIT base]]*GUAYAQUIL[[#This Row],[Conversión]]),"")</f>
        <v>2.48414</v>
      </c>
      <c r="AA580" s="236">
        <f>+IFERROR(IF(GUAYAQUIL[[#This Row],[CODIGO]]="","",GUAYAQUIL[[#This Row],[COSTO UNIT Conv]]*GUAYAQUIL[[#This Row],[Stock Actual Kgs]]),"")</f>
        <v>13.041734999999999</v>
      </c>
      <c r="AB580" s="33">
        <f ca="1">+IFERROR(IF(GUAYAQUIL[[#This Row],[CODIGO]]="","",$J$3-O580),"")</f>
        <v>27</v>
      </c>
      <c r="AC580" s="34" t="str">
        <f ca="1">IF(GUAYAQUIL[[#This Row],[CODIGO]]="","",IF(S580&lt;=0,"CADUCADO",IF(AND(S580&gt;0,S580&lt;=21),"FECHA CORTA",IF(AND(S580&gt;=22,S580&lt;=26),"PROXIMOS FECHA CORTA", "VIGENTE"))))</f>
        <v>FECHA CORTA</v>
      </c>
      <c r="AD580" s="37">
        <f>+IF(GUAYAQUIL[[#This Row],[CODIGO]]="","",GUAYAQUIL[[#This Row],[Stock Actual Unds]]*GUAYAQUIL[[#This Row],[Gramaje]]*GUAYAQUIL[[#This Row],[Conversión]])/1000</f>
        <v>5.2500000000000003E-3</v>
      </c>
    </row>
    <row r="581" spans="1:30">
      <c r="A581" s="24" t="str">
        <f>+IFERROR(IF(GUAYAQUIL[[#This Row],[CODIGO]]="","",VLOOKUP(GUAYAQUIL[[#This Row],[CODIGO]],MAESTRO!$A:$J,10,FALSE)),"")</f>
        <v>MACHACHI</v>
      </c>
      <c r="B581" s="24" t="str">
        <f>+IFERROR(IF(GUAYAQUIL[[#This Row],[CODIGO]]="","",VLOOKUP(GUAYAQUIL[[#This Row],[CODIGO]],MAESTRO!$A:$Q,17,FALSE)),"")</f>
        <v>BEBIDAS LACTEAS</v>
      </c>
      <c r="C581" s="24" t="str">
        <f>+IFERROR(IF(GUAYAQUIL[[#This Row],[CODIGO]]="","",VLOOKUP(GUAYAQUIL[[#This Row],[CODIGO]],MAESTRO!$A:$BA,53,FALSE)),"")</f>
        <v xml:space="preserve">Luis Armendariz                         </v>
      </c>
      <c r="D581" s="24" t="str">
        <f>+IFERROR(IF(GUAYAQUIL[[#This Row],[CODIGO]]="","",VLOOKUP(GUAYAQUIL[[#This Row],[CODIGO]],MAESTRO!$A:$D,4,FALSE)),"")</f>
        <v>REGENERIS</v>
      </c>
      <c r="E581" s="24" t="str">
        <f>+IFERROR(IF(GUAYAQUIL[[#This Row],[CODIGO]]="","",VLOOKUP(GUAYAQUIL[[#This Row],[CODIGO]],MAESTRO!$A:$F,6,FALSE)),"")</f>
        <v>REGENERIS CEREAL BOTELLA FAMILIAR</v>
      </c>
      <c r="F581" s="42" t="str">
        <f>IF(GUAYAQUIL[[#This Row],[CODIGO]]="","",$K$6)</f>
        <v>GUAYAQUIL</v>
      </c>
      <c r="G581" s="209">
        <f>IF(GUAYAQUIL[[#This Row],[CODIGO]]="","",7711)</f>
        <v>7711</v>
      </c>
      <c r="H581" s="209">
        <f>IF(GUAYAQUIL[[#This Row],[CODIGO]]="","",1001)</f>
        <v>1001</v>
      </c>
      <c r="I581" s="258" t="s">
        <v>1871</v>
      </c>
      <c r="J581" s="25" t="str">
        <f>IFERROR((VLOOKUP(GUAYAQUIL[[#This Row],[CODIGO]],MAESTRO!A:B,2,FALSE)),"")</f>
        <v>RGN CER PITA BOT 1750G ECU</v>
      </c>
      <c r="K581" s="35">
        <v>156</v>
      </c>
      <c r="L581" s="38">
        <f>+IFERROR(IF(GUAYAQUIL[[#This Row],[CODIGO]]="","",VLOOKUP(GUAYAQUIL[[#This Row],[CODIGO]],MAESTRO!$A:$BF,58,FALSE)),"")</f>
        <v>1</v>
      </c>
      <c r="M581" s="27">
        <f>+IFERROR(IF(GUAYAQUIL[[#This Row],[CODIGO]]="","",VLOOKUP(GUAYAQUIL[[#This Row],[CODIGO]],MAESTRO!A:N,14,FALSE)),"")</f>
        <v>1.75</v>
      </c>
      <c r="N581" s="28">
        <f>+IFERROR(IF(GUAYAQUIL[[#This Row],[CODIGO]]="","",VLOOKUP(GUAYAQUIL[[#This Row],[CODIGO]],MAESTRO!A:P,16,FALSE)),"")</f>
        <v>45</v>
      </c>
      <c r="O581" s="29">
        <v>45597</v>
      </c>
      <c r="P581" s="72" t="str">
        <f t="shared" si="40"/>
        <v>viernes</v>
      </c>
      <c r="Q581" s="29">
        <f>IFERROR(IF(GUAYAQUIL[[#This Row],[CODIGO]]="","",IF(GUAYAQUIL[[#This Row],[Fecha Cad]]="","",(GUAYAQUIL[[#This Row],[Fecha Cad]]-GUAYAQUIL[[#This Row],[VIDA UTIL (Días)]]))+1),"")</f>
        <v>45596</v>
      </c>
      <c r="R581" s="29">
        <v>45640</v>
      </c>
      <c r="S581" s="30">
        <f t="shared" ca="1" si="41"/>
        <v>16</v>
      </c>
      <c r="T581" s="31">
        <f t="shared" ca="1" si="42"/>
        <v>0.35555555555555557</v>
      </c>
      <c r="U581" s="286">
        <v>69</v>
      </c>
      <c r="V581" s="265">
        <f>+IFERROR(IF(GUAYAQUIL[[#This Row],[CODIGO]]="","",GUAYAQUIL[[#This Row],[Stock Actual Unds]]*GUAYAQUIL[[#This Row],[Gramaje]]*GUAYAQUIL[[#This Row],[Conversión]]),"")</f>
        <v>120.75</v>
      </c>
      <c r="W581" s="270">
        <f t="shared" si="43"/>
        <v>1</v>
      </c>
      <c r="X581" s="32">
        <f t="shared" si="44"/>
        <v>0.97777777777777775</v>
      </c>
      <c r="Y581" s="236">
        <f>IFERROR(VLOOKUP(GUAYAQUIL[[#This Row],[CODIGO]],MAESTRO!A:BI,21,FALSE),0)</f>
        <v>2.48414</v>
      </c>
      <c r="Z581" s="237">
        <f>+IFERROR(IF(GUAYAQUIL[[#This Row],[CODIGO]]="","",GUAYAQUIL[[#This Row],[COSTO UNIT base]]*GUAYAQUIL[[#This Row],[Conversión]]),"")</f>
        <v>2.48414</v>
      </c>
      <c r="AA581" s="236">
        <f>+IFERROR(IF(GUAYAQUIL[[#This Row],[CODIGO]]="","",GUAYAQUIL[[#This Row],[COSTO UNIT Conv]]*GUAYAQUIL[[#This Row],[Stock Actual Kgs]]),"")</f>
        <v>299.95990499999999</v>
      </c>
      <c r="AB581" s="33">
        <f ca="1">+IFERROR(IF(GUAYAQUIL[[#This Row],[CODIGO]]="","",$J$3-O581),"")</f>
        <v>27</v>
      </c>
      <c r="AC581" s="34" t="str">
        <f ca="1">IF(GUAYAQUIL[[#This Row],[CODIGO]]="","",IF(S581&lt;=0,"CADUCADO",IF(AND(S581&gt;0,S581&lt;=21),"FECHA CORTA",IF(AND(S581&gt;=22,S581&lt;=26),"PROXIMOS FECHA CORTA", "VIGENTE"))))</f>
        <v>FECHA CORTA</v>
      </c>
      <c r="AD581" s="37">
        <f>+IF(GUAYAQUIL[[#This Row],[CODIGO]]="","",GUAYAQUIL[[#This Row],[Stock Actual Unds]]*GUAYAQUIL[[#This Row],[Gramaje]]*GUAYAQUIL[[#This Row],[Conversión]])/1000</f>
        <v>0.12075</v>
      </c>
    </row>
    <row r="582" spans="1:30">
      <c r="A582" s="24" t="str">
        <f>+IFERROR(IF(GUAYAQUIL[[#This Row],[CODIGO]]="","",VLOOKUP(GUAYAQUIL[[#This Row],[CODIGO]],MAESTRO!$A:$J,10,FALSE)),"")</f>
        <v>MACHACHI</v>
      </c>
      <c r="B582" s="24" t="str">
        <f>+IFERROR(IF(GUAYAQUIL[[#This Row],[CODIGO]]="","",VLOOKUP(GUAYAQUIL[[#This Row],[CODIGO]],MAESTRO!$A:$Q,17,FALSE)),"")</f>
        <v>BEBIDAS LACTEAS</v>
      </c>
      <c r="C582" s="24" t="str">
        <f>+IFERROR(IF(GUAYAQUIL[[#This Row],[CODIGO]]="","",VLOOKUP(GUAYAQUIL[[#This Row],[CODIGO]],MAESTRO!$A:$BA,53,FALSE)),"")</f>
        <v xml:space="preserve">Luis Armendariz                         </v>
      </c>
      <c r="D582" s="24" t="str">
        <f>+IFERROR(IF(GUAYAQUIL[[#This Row],[CODIGO]]="","",VLOOKUP(GUAYAQUIL[[#This Row],[CODIGO]],MAESTRO!$A:$D,4,FALSE)),"")</f>
        <v>REGENERIS</v>
      </c>
      <c r="E582" s="24" t="str">
        <f>+IFERROR(IF(GUAYAQUIL[[#This Row],[CODIGO]]="","",VLOOKUP(GUAYAQUIL[[#This Row],[CODIGO]],MAESTRO!$A:$F,6,FALSE)),"")</f>
        <v>REGENERIS CEREAL BOTELLA FAMILIAR</v>
      </c>
      <c r="F582" s="42" t="str">
        <f>IF(GUAYAQUIL[[#This Row],[CODIGO]]="","",$K$6)</f>
        <v>GUAYAQUIL</v>
      </c>
      <c r="G582" s="42">
        <f>IF(GUAYAQUIL[[#This Row],[CODIGO]]="","",7711)</f>
        <v>7711</v>
      </c>
      <c r="H582" s="42">
        <f>IF(GUAYAQUIL[[#This Row],[CODIGO]]="","",1001)</f>
        <v>1001</v>
      </c>
      <c r="I582" s="258" t="s">
        <v>1871</v>
      </c>
      <c r="J582" s="25" t="str">
        <f>IFERROR((VLOOKUP(GUAYAQUIL[[#This Row],[CODIGO]],MAESTRO!A:B,2,FALSE)),"")</f>
        <v>RGN CER PITA BOT 1750G ECU</v>
      </c>
      <c r="K582" s="35">
        <v>84</v>
      </c>
      <c r="L582" s="38">
        <f>+IFERROR(IF(GUAYAQUIL[[#This Row],[CODIGO]]="","",VLOOKUP(GUAYAQUIL[[#This Row],[CODIGO]],MAESTRO!$A:$BF,58,FALSE)),"")</f>
        <v>1</v>
      </c>
      <c r="M582" s="27">
        <f>+IFERROR(IF(GUAYAQUIL[[#This Row],[CODIGO]]="","",VLOOKUP(GUAYAQUIL[[#This Row],[CODIGO]],MAESTRO!A:N,14,FALSE)),"")</f>
        <v>1.75</v>
      </c>
      <c r="N582" s="28">
        <f>+IFERROR(IF(GUAYAQUIL[[#This Row],[CODIGO]]="","",VLOOKUP(GUAYAQUIL[[#This Row],[CODIGO]],MAESTRO!A:P,16,FALSE)),"")</f>
        <v>45</v>
      </c>
      <c r="O582" s="29">
        <v>45601</v>
      </c>
      <c r="P582" s="72" t="str">
        <f t="shared" si="40"/>
        <v>martes</v>
      </c>
      <c r="Q582" s="29">
        <f>IFERROR(IF(GUAYAQUIL[[#This Row],[CODIGO]]="","",IF(GUAYAQUIL[[#This Row],[Fecha Cad]]="","",(GUAYAQUIL[[#This Row],[Fecha Cad]]-GUAYAQUIL[[#This Row],[VIDA UTIL (Días)]]))+1),"")</f>
        <v>45597</v>
      </c>
      <c r="R582" s="29">
        <v>45641</v>
      </c>
      <c r="S582" s="30">
        <f t="shared" ca="1" si="41"/>
        <v>17</v>
      </c>
      <c r="T582" s="31">
        <f t="shared" ca="1" si="42"/>
        <v>0.37777777777777777</v>
      </c>
      <c r="U582" s="286">
        <v>84</v>
      </c>
      <c r="V582" s="266">
        <f>+IFERROR(IF(GUAYAQUIL[[#This Row],[CODIGO]]="","",GUAYAQUIL[[#This Row],[Stock Actual Unds]]*GUAYAQUIL[[#This Row],[Gramaje]]*GUAYAQUIL[[#This Row],[Conversión]]),"")</f>
        <v>147</v>
      </c>
      <c r="W582" s="270">
        <f t="shared" si="43"/>
        <v>4</v>
      </c>
      <c r="X582" s="32">
        <f t="shared" si="44"/>
        <v>0.91111111111111109</v>
      </c>
      <c r="Y582" s="236">
        <f>IFERROR(VLOOKUP(GUAYAQUIL[[#This Row],[CODIGO]],MAESTRO!A:BI,21,FALSE),0)</f>
        <v>2.48414</v>
      </c>
      <c r="Z582" s="237">
        <f>+IFERROR(IF(GUAYAQUIL[[#This Row],[CODIGO]]="","",GUAYAQUIL[[#This Row],[COSTO UNIT base]]*GUAYAQUIL[[#This Row],[Conversión]]),"")</f>
        <v>2.48414</v>
      </c>
      <c r="AA582" s="236">
        <f>+IFERROR(IF(GUAYAQUIL[[#This Row],[CODIGO]]="","",GUAYAQUIL[[#This Row],[COSTO UNIT Conv]]*GUAYAQUIL[[#This Row],[Stock Actual Kgs]]),"")</f>
        <v>365.16858000000002</v>
      </c>
      <c r="AB582" s="33">
        <f ca="1">+IFERROR(IF(GUAYAQUIL[[#This Row],[CODIGO]]="","",$J$3-O582),"")</f>
        <v>23</v>
      </c>
      <c r="AC582" s="34" t="str">
        <f ca="1">IF(GUAYAQUIL[[#This Row],[CODIGO]]="","",IF(S582&lt;=0,"CADUCADO",IF(AND(S582&gt;0,S582&lt;=21),"FECHA CORTA",IF(AND(S582&gt;=22,S582&lt;=26),"PROXIMOS FECHA CORTA", "VIGENTE"))))</f>
        <v>FECHA CORTA</v>
      </c>
      <c r="AD582" s="37">
        <f>+IF(GUAYAQUIL[[#This Row],[CODIGO]]="","",GUAYAQUIL[[#This Row],[Stock Actual Unds]]*GUAYAQUIL[[#This Row],[Gramaje]]*GUAYAQUIL[[#This Row],[Conversión]])/1000</f>
        <v>0.14699999999999999</v>
      </c>
    </row>
    <row r="583" spans="1:30">
      <c r="A583" s="24" t="str">
        <f>+IFERROR(IF(GUAYAQUIL[[#This Row],[CODIGO]]="","",VLOOKUP(GUAYAQUIL[[#This Row],[CODIGO]],MAESTRO!$A:$J,10,FALSE)),"")</f>
        <v>MACHACHI</v>
      </c>
      <c r="B583" s="24" t="str">
        <f>+IFERROR(IF(GUAYAQUIL[[#This Row],[CODIGO]]="","",VLOOKUP(GUAYAQUIL[[#This Row],[CODIGO]],MAESTRO!$A:$Q,17,FALSE)),"")</f>
        <v>BEBIDAS LACTEAS</v>
      </c>
      <c r="C583" s="24" t="str">
        <f>+IFERROR(IF(GUAYAQUIL[[#This Row],[CODIGO]]="","",VLOOKUP(GUAYAQUIL[[#This Row],[CODIGO]],MAESTRO!$A:$BA,53,FALSE)),"")</f>
        <v xml:space="preserve">Luis Armendariz                         </v>
      </c>
      <c r="D583" s="24" t="str">
        <f>+IFERROR(IF(GUAYAQUIL[[#This Row],[CODIGO]]="","",VLOOKUP(GUAYAQUIL[[#This Row],[CODIGO]],MAESTRO!$A:$D,4,FALSE)),"")</f>
        <v>REGENERIS</v>
      </c>
      <c r="E583" s="24" t="str">
        <f>+IFERROR(IF(GUAYAQUIL[[#This Row],[CODIGO]]="","",VLOOKUP(GUAYAQUIL[[#This Row],[CODIGO]],MAESTRO!$A:$F,6,FALSE)),"")</f>
        <v>REGENERIS CEREAL BOTELLA FAMILIAR</v>
      </c>
      <c r="F583" s="42" t="str">
        <f>IF(GUAYAQUIL[[#This Row],[CODIGO]]="","",$K$6)</f>
        <v>GUAYAQUIL</v>
      </c>
      <c r="G583" s="209">
        <f>IF(GUAYAQUIL[[#This Row],[CODIGO]]="","",7711)</f>
        <v>7711</v>
      </c>
      <c r="H583" s="209">
        <f>IF(GUAYAQUIL[[#This Row],[CODIGO]]="","",1001)</f>
        <v>1001</v>
      </c>
      <c r="I583" s="258" t="s">
        <v>1871</v>
      </c>
      <c r="J583" s="25" t="str">
        <f>IFERROR((VLOOKUP(GUAYAQUIL[[#This Row],[CODIGO]],MAESTRO!A:B,2,FALSE)),"")</f>
        <v>RGN CER PITA BOT 1750G ECU</v>
      </c>
      <c r="K583" s="35">
        <v>180</v>
      </c>
      <c r="L583" s="38">
        <f>+IFERROR(IF(GUAYAQUIL[[#This Row],[CODIGO]]="","",VLOOKUP(GUAYAQUIL[[#This Row],[CODIGO]],MAESTRO!$A:$BF,58,FALSE)),"")</f>
        <v>1</v>
      </c>
      <c r="M583" s="27">
        <f>+IFERROR(IF(GUAYAQUIL[[#This Row],[CODIGO]]="","",VLOOKUP(GUAYAQUIL[[#This Row],[CODIGO]],MAESTRO!A:N,14,FALSE)),"")</f>
        <v>1.75</v>
      </c>
      <c r="N583" s="28">
        <f>+IFERROR(IF(GUAYAQUIL[[#This Row],[CODIGO]]="","",VLOOKUP(GUAYAQUIL[[#This Row],[CODIGO]],MAESTRO!A:P,16,FALSE)),"")</f>
        <v>45</v>
      </c>
      <c r="O583" s="29">
        <v>45616</v>
      </c>
      <c r="P583" s="72" t="str">
        <f t="shared" si="40"/>
        <v>miércoles</v>
      </c>
      <c r="Q583" s="29">
        <f>IFERROR(IF(GUAYAQUIL[[#This Row],[CODIGO]]="","",IF(GUAYAQUIL[[#This Row],[Fecha Cad]]="","",(GUAYAQUIL[[#This Row],[Fecha Cad]]-GUAYAQUIL[[#This Row],[VIDA UTIL (Días)]]))+1),"")</f>
        <v>45615</v>
      </c>
      <c r="R583" s="29">
        <v>45659</v>
      </c>
      <c r="S583" s="30">
        <f t="shared" ca="1" si="41"/>
        <v>35</v>
      </c>
      <c r="T583" s="31">
        <f t="shared" ca="1" si="42"/>
        <v>0.77777777777777779</v>
      </c>
      <c r="U583" s="286">
        <v>127</v>
      </c>
      <c r="V583" s="266">
        <f>+IFERROR(IF(GUAYAQUIL[[#This Row],[CODIGO]]="","",GUAYAQUIL[[#This Row],[Stock Actual Unds]]*GUAYAQUIL[[#This Row],[Gramaje]]*GUAYAQUIL[[#This Row],[Conversión]]),"")</f>
        <v>222.25</v>
      </c>
      <c r="W583" s="270">
        <f t="shared" si="43"/>
        <v>1</v>
      </c>
      <c r="X583" s="32">
        <f t="shared" si="44"/>
        <v>0.97777777777777775</v>
      </c>
      <c r="Y583" s="236">
        <f>IFERROR(VLOOKUP(GUAYAQUIL[[#This Row],[CODIGO]],MAESTRO!A:BI,21,FALSE),0)</f>
        <v>2.48414</v>
      </c>
      <c r="Z583" s="237">
        <f>+IFERROR(IF(GUAYAQUIL[[#This Row],[CODIGO]]="","",GUAYAQUIL[[#This Row],[COSTO UNIT base]]*GUAYAQUIL[[#This Row],[Conversión]]),"")</f>
        <v>2.48414</v>
      </c>
      <c r="AA583" s="236">
        <f>+IFERROR(IF(GUAYAQUIL[[#This Row],[CODIGO]]="","",GUAYAQUIL[[#This Row],[COSTO UNIT Conv]]*GUAYAQUIL[[#This Row],[Stock Actual Kgs]]),"")</f>
        <v>552.10011499999996</v>
      </c>
      <c r="AB583" s="33">
        <f ca="1">+IFERROR(IF(GUAYAQUIL[[#This Row],[CODIGO]]="","",$J$3-O583),"")</f>
        <v>8</v>
      </c>
      <c r="AC583" s="34" t="str">
        <f ca="1">IF(GUAYAQUIL[[#This Row],[CODIGO]]="","",IF(S583&lt;=0,"CADUCADO",IF(AND(S583&gt;0,S583&lt;=21),"FECHA CORTA",IF(AND(S583&gt;=22,S583&lt;=26),"PROXIMOS FECHA CORTA", "VIGENTE"))))</f>
        <v>VIGENTE</v>
      </c>
      <c r="AD583" s="37">
        <f>+IF(GUAYAQUIL[[#This Row],[CODIGO]]="","",GUAYAQUIL[[#This Row],[Stock Actual Unds]]*GUAYAQUIL[[#This Row],[Gramaje]]*GUAYAQUIL[[#This Row],[Conversión]])/1000</f>
        <v>0.22225</v>
      </c>
    </row>
    <row r="584" spans="1:30">
      <c r="A584" s="24" t="str">
        <f>+IFERROR(IF(GUAYAQUIL[[#This Row],[CODIGO]]="","",VLOOKUP(GUAYAQUIL[[#This Row],[CODIGO]],MAESTRO!$A:$J,10,FALSE)),"")</f>
        <v>MACHACHI</v>
      </c>
      <c r="B584" s="24" t="str">
        <f>+IFERROR(IF(GUAYAQUIL[[#This Row],[CODIGO]]="","",VLOOKUP(GUAYAQUIL[[#This Row],[CODIGO]],MAESTRO!$A:$Q,17,FALSE)),"")</f>
        <v>BEBIDAS LACTEAS</v>
      </c>
      <c r="C584" s="24" t="str">
        <f>+IFERROR(IF(GUAYAQUIL[[#This Row],[CODIGO]]="","",VLOOKUP(GUAYAQUIL[[#This Row],[CODIGO]],MAESTRO!$A:$BA,53,FALSE)),"")</f>
        <v xml:space="preserve">Luis Armendariz                         </v>
      </c>
      <c r="D584" s="24" t="str">
        <f>+IFERROR(IF(GUAYAQUIL[[#This Row],[CODIGO]]="","",VLOOKUP(GUAYAQUIL[[#This Row],[CODIGO]],MAESTRO!$A:$D,4,FALSE)),"")</f>
        <v>REGENERIS</v>
      </c>
      <c r="E584" s="24" t="str">
        <f>+IFERROR(IF(GUAYAQUIL[[#This Row],[CODIGO]]="","",VLOOKUP(GUAYAQUIL[[#This Row],[CODIGO]],MAESTRO!$A:$F,6,FALSE)),"")</f>
        <v>REGENERIS CEREAL BOTELLA FAMILIAR</v>
      </c>
      <c r="F584" s="42" t="str">
        <f>IF(GUAYAQUIL[[#This Row],[CODIGO]]="","",$K$6)</f>
        <v>GUAYAQUIL</v>
      </c>
      <c r="G584" s="42">
        <f>IF(GUAYAQUIL[[#This Row],[CODIGO]]="","",7711)</f>
        <v>7711</v>
      </c>
      <c r="H584" s="42">
        <f>IF(GUAYAQUIL[[#This Row],[CODIGO]]="","",1001)</f>
        <v>1001</v>
      </c>
      <c r="I584" s="258" t="s">
        <v>1871</v>
      </c>
      <c r="J584" s="25" t="str">
        <f>IFERROR((VLOOKUP(GUAYAQUIL[[#This Row],[CODIGO]],MAESTRO!A:B,2,FALSE)),"")</f>
        <v>RGN CER PITA BOT 1750G ECU</v>
      </c>
      <c r="K584" s="35">
        <v>48</v>
      </c>
      <c r="L584" s="38">
        <f>+IFERROR(IF(GUAYAQUIL[[#This Row],[CODIGO]]="","",VLOOKUP(GUAYAQUIL[[#This Row],[CODIGO]],MAESTRO!$A:$BF,58,FALSE)),"")</f>
        <v>1</v>
      </c>
      <c r="M584" s="27">
        <f>+IFERROR(IF(GUAYAQUIL[[#This Row],[CODIGO]]="","",VLOOKUP(GUAYAQUIL[[#This Row],[CODIGO]],MAESTRO!A:N,14,FALSE)),"")</f>
        <v>1.75</v>
      </c>
      <c r="N584" s="28">
        <f>+IFERROR(IF(GUAYAQUIL[[#This Row],[CODIGO]]="","",VLOOKUP(GUAYAQUIL[[#This Row],[CODIGO]],MAESTRO!A:P,16,FALSE)),"")</f>
        <v>45</v>
      </c>
      <c r="O584" s="45">
        <v>45617</v>
      </c>
      <c r="P584" s="72" t="str">
        <f t="shared" ref="P584:P647" si="45">+IF(R584="","",TEXT(O584,"dddd"))</f>
        <v>jueves</v>
      </c>
      <c r="Q584" s="29">
        <f>IFERROR(IF(GUAYAQUIL[[#This Row],[CODIGO]]="","",IF(GUAYAQUIL[[#This Row],[Fecha Cad]]="","",(GUAYAQUIL[[#This Row],[Fecha Cad]]-GUAYAQUIL[[#This Row],[VIDA UTIL (Días)]]))+1),"")</f>
        <v>45615</v>
      </c>
      <c r="R584" s="45">
        <v>45659</v>
      </c>
      <c r="S584" s="30">
        <f t="shared" ref="S584:S647" ca="1" si="46">+IFERROR(IF(R584="","",R584-$J$3),0)</f>
        <v>35</v>
      </c>
      <c r="T584" s="31">
        <f t="shared" ref="T584:T647" ca="1" si="47">IFERROR(IF(8="","",S584/N584),0)</f>
        <v>0.77777777777777779</v>
      </c>
      <c r="U584" s="286">
        <v>48</v>
      </c>
      <c r="V584" s="265">
        <f>+IFERROR(IF(GUAYAQUIL[[#This Row],[CODIGO]]="","",GUAYAQUIL[[#This Row],[Stock Actual Unds]]*GUAYAQUIL[[#This Row],[Gramaje]]*GUAYAQUIL[[#This Row],[Conversión]]),"")</f>
        <v>84</v>
      </c>
      <c r="W584" s="270">
        <f t="shared" ref="W584:W647" si="48">IFERROR(O584-Q584,0)</f>
        <v>2</v>
      </c>
      <c r="X584" s="32">
        <f t="shared" ref="X584:X647" si="49">IF(I584="","",1-(W584/N584))</f>
        <v>0.9555555555555556</v>
      </c>
      <c r="Y584" s="236">
        <f>IFERROR(VLOOKUP(GUAYAQUIL[[#This Row],[CODIGO]],MAESTRO!A:BI,21,FALSE),0)</f>
        <v>2.48414</v>
      </c>
      <c r="Z584" s="237">
        <f>+IFERROR(IF(GUAYAQUIL[[#This Row],[CODIGO]]="","",GUAYAQUIL[[#This Row],[COSTO UNIT base]]*GUAYAQUIL[[#This Row],[Conversión]]),"")</f>
        <v>2.48414</v>
      </c>
      <c r="AA584" s="236">
        <f>+IFERROR(IF(GUAYAQUIL[[#This Row],[CODIGO]]="","",GUAYAQUIL[[#This Row],[COSTO UNIT Conv]]*GUAYAQUIL[[#This Row],[Stock Actual Kgs]]),"")</f>
        <v>208.66775999999999</v>
      </c>
      <c r="AB584" s="33">
        <f ca="1">+IFERROR(IF(GUAYAQUIL[[#This Row],[CODIGO]]="","",$J$3-O584),"")</f>
        <v>7</v>
      </c>
      <c r="AC584" s="34" t="str">
        <f ca="1">IF(GUAYAQUIL[[#This Row],[CODIGO]]="","",IF(S584&lt;=0,"CADUCADO",IF(AND(S584&gt;0,S584&lt;=21),"FECHA CORTA",IF(AND(S584&gt;=22,S584&lt;=26),"PROXIMOS FECHA CORTA", "VIGENTE"))))</f>
        <v>VIGENTE</v>
      </c>
      <c r="AD584" s="37">
        <f>+IF(GUAYAQUIL[[#This Row],[CODIGO]]="","",GUAYAQUIL[[#This Row],[Stock Actual Unds]]*GUAYAQUIL[[#This Row],[Gramaje]]*GUAYAQUIL[[#This Row],[Conversión]])/1000</f>
        <v>8.4000000000000005E-2</v>
      </c>
    </row>
    <row r="585" spans="1:30">
      <c r="A585" s="24" t="str">
        <f>+IFERROR(IF(GUAYAQUIL[[#This Row],[CODIGO]]="","",VLOOKUP(GUAYAQUIL[[#This Row],[CODIGO]],MAESTRO!$A:$J,10,FALSE)),"")</f>
        <v>MULTIEMPAQUE_MACH</v>
      </c>
      <c r="B585" s="24" t="str">
        <f>+IFERROR(IF(GUAYAQUIL[[#This Row],[CODIGO]]="","",VLOOKUP(GUAYAQUIL[[#This Row],[CODIGO]],MAESTRO!$A:$Q,17,FALSE)),"")</f>
        <v>BEBIDAS LACTEAS</v>
      </c>
      <c r="C585" s="24" t="str">
        <f>+IFERROR(IF(GUAYAQUIL[[#This Row],[CODIGO]]="","",VLOOKUP(GUAYAQUIL[[#This Row],[CODIGO]],MAESTRO!$A:$BA,53,FALSE)),"")</f>
        <v xml:space="preserve">Luis Armendariz                         </v>
      </c>
      <c r="D585" s="24" t="str">
        <f>+IFERROR(IF(GUAYAQUIL[[#This Row],[CODIGO]]="","",VLOOKUP(GUAYAQUIL[[#This Row],[CODIGO]],MAESTRO!$A:$D,4,FALSE)),"")</f>
        <v>REGENERIS</v>
      </c>
      <c r="E585" s="24" t="str">
        <f>+IFERROR(IF(GUAYAQUIL[[#This Row],[CODIGO]]="","",VLOOKUP(GUAYAQUIL[[#This Row],[CODIGO]],MAESTRO!$A:$F,6,FALSE)),"")</f>
        <v>REGENERIS REGULAR VASO</v>
      </c>
      <c r="F585" s="42" t="str">
        <f>IF(GUAYAQUIL[[#This Row],[CODIGO]]="","",$K$6)</f>
        <v>GUAYAQUIL</v>
      </c>
      <c r="G585" s="209">
        <f>IF(GUAYAQUIL[[#This Row],[CODIGO]]="","",7711)</f>
        <v>7711</v>
      </c>
      <c r="H585" s="209">
        <f>IF(GUAYAQUIL[[#This Row],[CODIGO]]="","",1001)</f>
        <v>1001</v>
      </c>
      <c r="I585" s="258" t="s">
        <v>771</v>
      </c>
      <c r="J585" s="25" t="str">
        <f>IFERROR((VLOOKUP(GUAYAQUIL[[#This Row],[CODIGO]],MAESTRO!A:B,2,FALSE)),"")</f>
        <v>MPLX6 RGN TZOS MULTSAB VASO 150G</v>
      </c>
      <c r="K585" s="35">
        <v>36</v>
      </c>
      <c r="L585" s="38">
        <f>+IFERROR(IF(GUAYAQUIL[[#This Row],[CODIGO]]="","",VLOOKUP(GUAYAQUIL[[#This Row],[CODIGO]],MAESTRO!$A:$BF,58,FALSE)),"")</f>
        <v>1</v>
      </c>
      <c r="M585" s="27">
        <f>+IFERROR(IF(GUAYAQUIL[[#This Row],[CODIGO]]="","",VLOOKUP(GUAYAQUIL[[#This Row],[CODIGO]],MAESTRO!A:N,14,FALSE)),"")</f>
        <v>0.9</v>
      </c>
      <c r="N585" s="28">
        <f>+IFERROR(IF(GUAYAQUIL[[#This Row],[CODIGO]]="","",VLOOKUP(GUAYAQUIL[[#This Row],[CODIGO]],MAESTRO!A:P,16,FALSE)),"")</f>
        <v>45</v>
      </c>
      <c r="O585" s="45">
        <v>45608</v>
      </c>
      <c r="P585" s="72" t="str">
        <f t="shared" si="45"/>
        <v>martes</v>
      </c>
      <c r="Q585" s="29">
        <f>IFERROR(IF(GUAYAQUIL[[#This Row],[CODIGO]]="","",IF(GUAYAQUIL[[#This Row],[Fecha Cad]]="","",(GUAYAQUIL[[#This Row],[Fecha Cad]]-GUAYAQUIL[[#This Row],[VIDA UTIL (Días)]]))+1),"")</f>
        <v>45595</v>
      </c>
      <c r="R585" s="45">
        <v>45639</v>
      </c>
      <c r="S585" s="30">
        <f t="shared" ca="1" si="46"/>
        <v>15</v>
      </c>
      <c r="T585" s="31">
        <f t="shared" ca="1" si="47"/>
        <v>0.33333333333333331</v>
      </c>
      <c r="U585" s="286">
        <v>10</v>
      </c>
      <c r="V585" s="265">
        <f>+IFERROR(IF(GUAYAQUIL[[#This Row],[CODIGO]]="","",GUAYAQUIL[[#This Row],[Stock Actual Unds]]*GUAYAQUIL[[#This Row],[Gramaje]]*GUAYAQUIL[[#This Row],[Conversión]]),"")</f>
        <v>9</v>
      </c>
      <c r="W585" s="270">
        <f t="shared" si="48"/>
        <v>13</v>
      </c>
      <c r="X585" s="32">
        <f t="shared" si="49"/>
        <v>0.71111111111111114</v>
      </c>
      <c r="Y585" s="236">
        <f>IFERROR(VLOOKUP(GUAYAQUIL[[#This Row],[CODIGO]],MAESTRO!A:BI,21,FALSE),0)</f>
        <v>1.50911</v>
      </c>
      <c r="Z585" s="237">
        <f>+IFERROR(IF(GUAYAQUIL[[#This Row],[CODIGO]]="","",GUAYAQUIL[[#This Row],[COSTO UNIT base]]*GUAYAQUIL[[#This Row],[Conversión]]),"")</f>
        <v>1.50911</v>
      </c>
      <c r="AA585" s="236">
        <f>+IFERROR(IF(GUAYAQUIL[[#This Row],[CODIGO]]="","",GUAYAQUIL[[#This Row],[COSTO UNIT Conv]]*GUAYAQUIL[[#This Row],[Stock Actual Kgs]]),"")</f>
        <v>13.581989999999999</v>
      </c>
      <c r="AB585" s="33">
        <f ca="1">+IFERROR(IF(GUAYAQUIL[[#This Row],[CODIGO]]="","",$J$3-O585),"")</f>
        <v>16</v>
      </c>
      <c r="AC585" s="34" t="str">
        <f ca="1">IF(GUAYAQUIL[[#This Row],[CODIGO]]="","",IF(S585&lt;=0,"CADUCADO",IF(AND(S585&gt;0,S585&lt;=21),"FECHA CORTA",IF(AND(S585&gt;=22,S585&lt;=26),"PROXIMOS FECHA CORTA", "VIGENTE"))))</f>
        <v>FECHA CORTA</v>
      </c>
      <c r="AD585" s="37">
        <f>+IF(GUAYAQUIL[[#This Row],[CODIGO]]="","",GUAYAQUIL[[#This Row],[Stock Actual Unds]]*GUAYAQUIL[[#This Row],[Gramaje]]*GUAYAQUIL[[#This Row],[Conversión]])/1000</f>
        <v>8.9999999999999993E-3</v>
      </c>
    </row>
    <row r="586" spans="1:30">
      <c r="A586" s="24" t="str">
        <f>+IFERROR(IF(GUAYAQUIL[[#This Row],[CODIGO]]="","",VLOOKUP(GUAYAQUIL[[#This Row],[CODIGO]],MAESTRO!$A:$J,10,FALSE)),"")</f>
        <v>MULTIEMPAQUE_MACH</v>
      </c>
      <c r="B586" s="24" t="str">
        <f>+IFERROR(IF(GUAYAQUIL[[#This Row],[CODIGO]]="","",VLOOKUP(GUAYAQUIL[[#This Row],[CODIGO]],MAESTRO!$A:$Q,17,FALSE)),"")</f>
        <v>BEBIDAS LACTEAS</v>
      </c>
      <c r="C586" s="24" t="str">
        <f>+IFERROR(IF(GUAYAQUIL[[#This Row],[CODIGO]]="","",VLOOKUP(GUAYAQUIL[[#This Row],[CODIGO]],MAESTRO!$A:$BA,53,FALSE)),"")</f>
        <v xml:space="preserve">Luis Armendariz                         </v>
      </c>
      <c r="D586" s="24" t="str">
        <f>+IFERROR(IF(GUAYAQUIL[[#This Row],[CODIGO]]="","",VLOOKUP(GUAYAQUIL[[#This Row],[CODIGO]],MAESTRO!$A:$D,4,FALSE)),"")</f>
        <v>REGENERIS</v>
      </c>
      <c r="E586" s="24" t="str">
        <f>+IFERROR(IF(GUAYAQUIL[[#This Row],[CODIGO]]="","",VLOOKUP(GUAYAQUIL[[#This Row],[CODIGO]],MAESTRO!$A:$F,6,FALSE)),"")</f>
        <v>REGENERIS REGULAR VASO</v>
      </c>
      <c r="F586" s="42" t="str">
        <f>IF(GUAYAQUIL[[#This Row],[CODIGO]]="","",$K$6)</f>
        <v>GUAYAQUIL</v>
      </c>
      <c r="G586" s="42">
        <f>IF(GUAYAQUIL[[#This Row],[CODIGO]]="","",7711)</f>
        <v>7711</v>
      </c>
      <c r="H586" s="42">
        <f>IF(GUAYAQUIL[[#This Row],[CODIGO]]="","",1001)</f>
        <v>1001</v>
      </c>
      <c r="I586" s="258" t="s">
        <v>771</v>
      </c>
      <c r="J586" s="25" t="str">
        <f>IFERROR((VLOOKUP(GUAYAQUIL[[#This Row],[CODIGO]],MAESTRO!A:B,2,FALSE)),"")</f>
        <v>MPLX6 RGN TZOS MULTSAB VASO 150G</v>
      </c>
      <c r="K586" s="35">
        <v>360</v>
      </c>
      <c r="L586" s="38">
        <f>+IFERROR(IF(GUAYAQUIL[[#This Row],[CODIGO]]="","",VLOOKUP(GUAYAQUIL[[#This Row],[CODIGO]],MAESTRO!$A:$BF,58,FALSE)),"")</f>
        <v>1</v>
      </c>
      <c r="M586" s="27">
        <f>+IFERROR(IF(GUAYAQUIL[[#This Row],[CODIGO]]="","",VLOOKUP(GUAYAQUIL[[#This Row],[CODIGO]],MAESTRO!A:N,14,FALSE)),"")</f>
        <v>0.9</v>
      </c>
      <c r="N586" s="28">
        <f>+IFERROR(IF(GUAYAQUIL[[#This Row],[CODIGO]]="","",VLOOKUP(GUAYAQUIL[[#This Row],[CODIGO]],MAESTRO!A:P,16,FALSE)),"")</f>
        <v>45</v>
      </c>
      <c r="O586" s="45">
        <v>45617</v>
      </c>
      <c r="P586" s="72" t="str">
        <f t="shared" si="45"/>
        <v>jueves</v>
      </c>
      <c r="Q586" s="29">
        <f>IFERROR(IF(GUAYAQUIL[[#This Row],[CODIGO]]="","",IF(GUAYAQUIL[[#This Row],[Fecha Cad]]="","",(GUAYAQUIL[[#This Row],[Fecha Cad]]-GUAYAQUIL[[#This Row],[VIDA UTIL (Días)]]))+1),"")</f>
        <v>45612</v>
      </c>
      <c r="R586" s="45">
        <v>45656</v>
      </c>
      <c r="S586" s="30">
        <f t="shared" ca="1" si="46"/>
        <v>32</v>
      </c>
      <c r="T586" s="31">
        <f t="shared" ca="1" si="47"/>
        <v>0.71111111111111114</v>
      </c>
      <c r="U586" s="286">
        <v>50</v>
      </c>
      <c r="V586" s="265">
        <f>+IFERROR(IF(GUAYAQUIL[[#This Row],[CODIGO]]="","",GUAYAQUIL[[#This Row],[Stock Actual Unds]]*GUAYAQUIL[[#This Row],[Gramaje]]*GUAYAQUIL[[#This Row],[Conversión]]),"")</f>
        <v>45</v>
      </c>
      <c r="W586" s="270">
        <f t="shared" si="48"/>
        <v>5</v>
      </c>
      <c r="X586" s="32">
        <f t="shared" si="49"/>
        <v>0.88888888888888884</v>
      </c>
      <c r="Y586" s="236">
        <f>IFERROR(VLOOKUP(GUAYAQUIL[[#This Row],[CODIGO]],MAESTRO!A:BI,21,FALSE),0)</f>
        <v>1.50911</v>
      </c>
      <c r="Z586" s="237">
        <f>+IFERROR(IF(GUAYAQUIL[[#This Row],[CODIGO]]="","",GUAYAQUIL[[#This Row],[COSTO UNIT base]]*GUAYAQUIL[[#This Row],[Conversión]]),"")</f>
        <v>1.50911</v>
      </c>
      <c r="AA586" s="236">
        <f>+IFERROR(IF(GUAYAQUIL[[#This Row],[CODIGO]]="","",GUAYAQUIL[[#This Row],[COSTO UNIT Conv]]*GUAYAQUIL[[#This Row],[Stock Actual Kgs]]),"")</f>
        <v>67.909949999999995</v>
      </c>
      <c r="AB586" s="33">
        <f ca="1">+IFERROR(IF(GUAYAQUIL[[#This Row],[CODIGO]]="","",$J$3-O586),"")</f>
        <v>7</v>
      </c>
      <c r="AC586" s="34" t="str">
        <f ca="1">IF(GUAYAQUIL[[#This Row],[CODIGO]]="","",IF(S586&lt;=0,"CADUCADO",IF(AND(S586&gt;0,S586&lt;=21),"FECHA CORTA",IF(AND(S586&gt;=22,S586&lt;=26),"PROXIMOS FECHA CORTA", "VIGENTE"))))</f>
        <v>VIGENTE</v>
      </c>
      <c r="AD586" s="37">
        <f>+IF(GUAYAQUIL[[#This Row],[CODIGO]]="","",GUAYAQUIL[[#This Row],[Stock Actual Unds]]*GUAYAQUIL[[#This Row],[Gramaje]]*GUAYAQUIL[[#This Row],[Conversión]])/1000</f>
        <v>4.4999999999999998E-2</v>
      </c>
    </row>
    <row r="587" spans="1:30">
      <c r="A587" s="24" t="str">
        <f>+IFERROR(IF(GUAYAQUIL[[#This Row],[CODIGO]]="","",VLOOKUP(GUAYAQUIL[[#This Row],[CODIGO]],MAESTRO!$A:$J,10,FALSE)),"")</f>
        <v>MACHACHI</v>
      </c>
      <c r="B587" s="24" t="str">
        <f>+IFERROR(IF(GUAYAQUIL[[#This Row],[CODIGO]]="","",VLOOKUP(GUAYAQUIL[[#This Row],[CODIGO]],MAESTRO!$A:$Q,17,FALSE)),"")</f>
        <v>BEBIDAS LACTEAS</v>
      </c>
      <c r="C587" s="24" t="str">
        <f>+IFERROR(IF(GUAYAQUIL[[#This Row],[CODIGO]]="","",VLOOKUP(GUAYAQUIL[[#This Row],[CODIGO]],MAESTRO!$A:$BA,53,FALSE)),"")</f>
        <v xml:space="preserve">Luis Armendariz                         </v>
      </c>
      <c r="D587" s="24" t="str">
        <f>+IFERROR(IF(GUAYAQUIL[[#This Row],[CODIGO]]="","",VLOOKUP(GUAYAQUIL[[#This Row],[CODIGO]],MAESTRO!$A:$D,4,FALSE)),"")</f>
        <v>BON YURT</v>
      </c>
      <c r="E587" s="24" t="str">
        <f>+IFERROR(IF(GUAYAQUIL[[#This Row],[CODIGO]]="","",VLOOKUP(GUAYAQUIL[[#This Row],[CODIGO]],MAESTRO!$A:$F,6,FALSE)),"")</f>
        <v>BON YURT MINI</v>
      </c>
      <c r="F587" s="42" t="str">
        <f>IF(GUAYAQUIL[[#This Row],[CODIGO]]="","",$K$6)</f>
        <v>GUAYAQUIL</v>
      </c>
      <c r="G587" s="209">
        <f>IF(GUAYAQUIL[[#This Row],[CODIGO]]="","",7711)</f>
        <v>7711</v>
      </c>
      <c r="H587" s="209">
        <f>IF(GUAYAQUIL[[#This Row],[CODIGO]]="","",1001)</f>
        <v>1001</v>
      </c>
      <c r="I587" s="258" t="s">
        <v>3243</v>
      </c>
      <c r="J587" s="25" t="str">
        <f>IFERROR((VLOOKUP(GUAYAQUIL[[#This Row],[CODIGO]],MAESTRO!A:B,2,FALSE)),"")</f>
        <v>BON YURT MINI HOJUELAS 87G</v>
      </c>
      <c r="K587" s="35">
        <v>630</v>
      </c>
      <c r="L587" s="38">
        <f>+IFERROR(IF(GUAYAQUIL[[#This Row],[CODIGO]]="","",VLOOKUP(GUAYAQUIL[[#This Row],[CODIGO]],MAESTRO!$A:$BF,58,FALSE)),"")</f>
        <v>1</v>
      </c>
      <c r="M587" s="27">
        <f>+IFERROR(IF(GUAYAQUIL[[#This Row],[CODIGO]]="","",VLOOKUP(GUAYAQUIL[[#This Row],[CODIGO]],MAESTRO!A:N,14,FALSE)),"")</f>
        <v>8.6999999999999994E-2</v>
      </c>
      <c r="N587" s="28">
        <f>+IFERROR(IF(GUAYAQUIL[[#This Row],[CODIGO]]="","",VLOOKUP(GUAYAQUIL[[#This Row],[CODIGO]],MAESTRO!A:P,16,FALSE)),"")</f>
        <v>45</v>
      </c>
      <c r="O587" s="45">
        <v>45608</v>
      </c>
      <c r="P587" s="72" t="str">
        <f t="shared" si="45"/>
        <v>martes</v>
      </c>
      <c r="Q587" s="29">
        <f>IFERROR(IF(GUAYAQUIL[[#This Row],[CODIGO]]="","",IF(GUAYAQUIL[[#This Row],[Fecha Cad]]="","",(GUAYAQUIL[[#This Row],[Fecha Cad]]-GUAYAQUIL[[#This Row],[VIDA UTIL (Días)]]))+1),"")</f>
        <v>45596</v>
      </c>
      <c r="R587" s="45">
        <v>45640</v>
      </c>
      <c r="S587" s="30">
        <f t="shared" ca="1" si="46"/>
        <v>16</v>
      </c>
      <c r="T587" s="31">
        <f t="shared" ca="1" si="47"/>
        <v>0.35555555555555557</v>
      </c>
      <c r="U587" s="286">
        <v>7</v>
      </c>
      <c r="V587" s="265">
        <f>+IFERROR(IF(GUAYAQUIL[[#This Row],[CODIGO]]="","",GUAYAQUIL[[#This Row],[Stock Actual Unds]]*GUAYAQUIL[[#This Row],[Gramaje]]*GUAYAQUIL[[#This Row],[Conversión]]),"")</f>
        <v>0.60899999999999999</v>
      </c>
      <c r="W587" s="270">
        <f t="shared" si="48"/>
        <v>12</v>
      </c>
      <c r="X587" s="32">
        <f t="shared" si="49"/>
        <v>0.73333333333333339</v>
      </c>
      <c r="Y587" s="236">
        <f>IFERROR(VLOOKUP(GUAYAQUIL[[#This Row],[CODIGO]],MAESTRO!A:BI,21,FALSE),0)</f>
        <v>0.20752000000000001</v>
      </c>
      <c r="Z587" s="237">
        <f>+IFERROR(IF(GUAYAQUIL[[#This Row],[CODIGO]]="","",GUAYAQUIL[[#This Row],[COSTO UNIT base]]*GUAYAQUIL[[#This Row],[Conversión]]),"")</f>
        <v>0.20752000000000001</v>
      </c>
      <c r="AA587" s="236">
        <f>+IFERROR(IF(GUAYAQUIL[[#This Row],[CODIGO]]="","",GUAYAQUIL[[#This Row],[COSTO UNIT Conv]]*GUAYAQUIL[[#This Row],[Stock Actual Kgs]]),"")</f>
        <v>0.12637967999999999</v>
      </c>
      <c r="AB587" s="33">
        <f ca="1">+IFERROR(IF(GUAYAQUIL[[#This Row],[CODIGO]]="","",$J$3-O587),"")</f>
        <v>16</v>
      </c>
      <c r="AC587" s="34" t="str">
        <f ca="1">IF(GUAYAQUIL[[#This Row],[CODIGO]]="","",IF(S587&lt;=0,"CADUCADO",IF(AND(S587&gt;0,S587&lt;=21),"FECHA CORTA",IF(AND(S587&gt;=22,S587&lt;=26),"PROXIMOS FECHA CORTA", "VIGENTE"))))</f>
        <v>FECHA CORTA</v>
      </c>
      <c r="AD587" s="37">
        <f>+IF(GUAYAQUIL[[#This Row],[CODIGO]]="","",GUAYAQUIL[[#This Row],[Stock Actual Unds]]*GUAYAQUIL[[#This Row],[Gramaje]]*GUAYAQUIL[[#This Row],[Conversión]])/1000</f>
        <v>6.0899999999999995E-4</v>
      </c>
    </row>
    <row r="588" spans="1:30">
      <c r="A588" s="24" t="str">
        <f>+IFERROR(IF(GUAYAQUIL[[#This Row],[CODIGO]]="","",VLOOKUP(GUAYAQUIL[[#This Row],[CODIGO]],MAESTRO!$A:$J,10,FALSE)),"")</f>
        <v>MACHACHI</v>
      </c>
      <c r="B588" s="24" t="str">
        <f>+IFERROR(IF(GUAYAQUIL[[#This Row],[CODIGO]]="","",VLOOKUP(GUAYAQUIL[[#This Row],[CODIGO]],MAESTRO!$A:$Q,17,FALSE)),"")</f>
        <v>BEBIDAS LACTEAS</v>
      </c>
      <c r="C588" s="24" t="str">
        <f>+IFERROR(IF(GUAYAQUIL[[#This Row],[CODIGO]]="","",VLOOKUP(GUAYAQUIL[[#This Row],[CODIGO]],MAESTRO!$A:$BA,53,FALSE)),"")</f>
        <v xml:space="preserve">Luis Armendariz                         </v>
      </c>
      <c r="D588" s="24" t="str">
        <f>+IFERROR(IF(GUAYAQUIL[[#This Row],[CODIGO]]="","",VLOOKUP(GUAYAQUIL[[#This Row],[CODIGO]],MAESTRO!$A:$D,4,FALSE)),"")</f>
        <v>BON YURT</v>
      </c>
      <c r="E588" s="24" t="str">
        <f>+IFERROR(IF(GUAYAQUIL[[#This Row],[CODIGO]]="","",VLOOKUP(GUAYAQUIL[[#This Row],[CODIGO]],MAESTRO!$A:$F,6,FALSE)),"")</f>
        <v>BON YURT MINI</v>
      </c>
      <c r="F588" s="42" t="str">
        <f>IF(GUAYAQUIL[[#This Row],[CODIGO]]="","",$K$6)</f>
        <v>GUAYAQUIL</v>
      </c>
      <c r="G588" s="42">
        <f>IF(GUAYAQUIL[[#This Row],[CODIGO]]="","",7711)</f>
        <v>7711</v>
      </c>
      <c r="H588" s="42">
        <f>IF(GUAYAQUIL[[#This Row],[CODIGO]]="","",1001)</f>
        <v>1001</v>
      </c>
      <c r="I588" s="258" t="s">
        <v>3243</v>
      </c>
      <c r="J588" s="25" t="str">
        <f>IFERROR((VLOOKUP(GUAYAQUIL[[#This Row],[CODIGO]],MAESTRO!A:B,2,FALSE)),"")</f>
        <v>BON YURT MINI HOJUELAS 87G</v>
      </c>
      <c r="K588" s="35">
        <v>420</v>
      </c>
      <c r="L588" s="38">
        <f>+IFERROR(IF(GUAYAQUIL[[#This Row],[CODIGO]]="","",VLOOKUP(GUAYAQUIL[[#This Row],[CODIGO]],MAESTRO!$A:$BF,58,FALSE)),"")</f>
        <v>1</v>
      </c>
      <c r="M588" s="27">
        <f>+IFERROR(IF(GUAYAQUIL[[#This Row],[CODIGO]]="","",VLOOKUP(GUAYAQUIL[[#This Row],[CODIGO]],MAESTRO!A:N,14,FALSE)),"")</f>
        <v>8.6999999999999994E-2</v>
      </c>
      <c r="N588" s="28">
        <f>+IFERROR(IF(GUAYAQUIL[[#This Row],[CODIGO]]="","",VLOOKUP(GUAYAQUIL[[#This Row],[CODIGO]],MAESTRO!A:P,16,FALSE)),"")</f>
        <v>45</v>
      </c>
      <c r="O588" s="45">
        <v>45612</v>
      </c>
      <c r="P588" s="72" t="str">
        <f t="shared" si="45"/>
        <v>sábado</v>
      </c>
      <c r="Q588" s="29">
        <f>IFERROR(IF(GUAYAQUIL[[#This Row],[CODIGO]]="","",IF(GUAYAQUIL[[#This Row],[Fecha Cad]]="","",(GUAYAQUIL[[#This Row],[Fecha Cad]]-GUAYAQUIL[[#This Row],[VIDA UTIL (Días)]]))+1),"")</f>
        <v>45603</v>
      </c>
      <c r="R588" s="45">
        <v>45647</v>
      </c>
      <c r="S588" s="30">
        <f t="shared" ca="1" si="46"/>
        <v>23</v>
      </c>
      <c r="T588" s="31">
        <f t="shared" ca="1" si="47"/>
        <v>0.51111111111111107</v>
      </c>
      <c r="U588" s="286">
        <v>318</v>
      </c>
      <c r="V588" s="265">
        <f>+IFERROR(IF(GUAYAQUIL[[#This Row],[CODIGO]]="","",GUAYAQUIL[[#This Row],[Stock Actual Unds]]*GUAYAQUIL[[#This Row],[Gramaje]]*GUAYAQUIL[[#This Row],[Conversión]]),"")</f>
        <v>27.665999999999997</v>
      </c>
      <c r="W588" s="270">
        <f t="shared" si="48"/>
        <v>9</v>
      </c>
      <c r="X588" s="32">
        <f t="shared" si="49"/>
        <v>0.8</v>
      </c>
      <c r="Y588" s="236">
        <f>IFERROR(VLOOKUP(GUAYAQUIL[[#This Row],[CODIGO]],MAESTRO!A:BI,21,FALSE),0)</f>
        <v>0.20752000000000001</v>
      </c>
      <c r="Z588" s="237">
        <f>+IFERROR(IF(GUAYAQUIL[[#This Row],[CODIGO]]="","",GUAYAQUIL[[#This Row],[COSTO UNIT base]]*GUAYAQUIL[[#This Row],[Conversión]]),"")</f>
        <v>0.20752000000000001</v>
      </c>
      <c r="AA588" s="236">
        <f>+IFERROR(IF(GUAYAQUIL[[#This Row],[CODIGO]]="","",GUAYAQUIL[[#This Row],[COSTO UNIT Conv]]*GUAYAQUIL[[#This Row],[Stock Actual Kgs]]),"")</f>
        <v>5.7412483199999995</v>
      </c>
      <c r="AB588" s="33">
        <f ca="1">+IFERROR(IF(GUAYAQUIL[[#This Row],[CODIGO]]="","",$J$3-O588),"")</f>
        <v>12</v>
      </c>
      <c r="AC588" s="34" t="str">
        <f ca="1">IF(GUAYAQUIL[[#This Row],[CODIGO]]="","",IF(S588&lt;=0,"CADUCADO",IF(AND(S588&gt;0,S588&lt;=21),"FECHA CORTA",IF(AND(S588&gt;=22,S588&lt;=26),"PROXIMOS FECHA CORTA", "VIGENTE"))))</f>
        <v>PROXIMOS FECHA CORTA</v>
      </c>
      <c r="AD588" s="37">
        <f>+IF(GUAYAQUIL[[#This Row],[CODIGO]]="","",GUAYAQUIL[[#This Row],[Stock Actual Unds]]*GUAYAQUIL[[#This Row],[Gramaje]]*GUAYAQUIL[[#This Row],[Conversión]])/1000</f>
        <v>2.7665999999999996E-2</v>
      </c>
    </row>
    <row r="589" spans="1:30">
      <c r="A589" s="24" t="str">
        <f>+IFERROR(IF(GUAYAQUIL[[#This Row],[CODIGO]]="","",VLOOKUP(GUAYAQUIL[[#This Row],[CODIGO]],MAESTRO!$A:$J,10,FALSE)),"")</f>
        <v>MACHACHI</v>
      </c>
      <c r="B589" s="24" t="str">
        <f>+IFERROR(IF(GUAYAQUIL[[#This Row],[CODIGO]]="","",VLOOKUP(GUAYAQUIL[[#This Row],[CODIGO]],MAESTRO!$A:$Q,17,FALSE)),"")</f>
        <v>BEBIDAS LACTEAS</v>
      </c>
      <c r="C589" s="24" t="str">
        <f>+IFERROR(IF(GUAYAQUIL[[#This Row],[CODIGO]]="","",VLOOKUP(GUAYAQUIL[[#This Row],[CODIGO]],MAESTRO!$A:$BA,53,FALSE)),"")</f>
        <v xml:space="preserve">Luis Armendariz                         </v>
      </c>
      <c r="D589" s="24" t="str">
        <f>+IFERROR(IF(GUAYAQUIL[[#This Row],[CODIGO]]="","",VLOOKUP(GUAYAQUIL[[#This Row],[CODIGO]],MAESTRO!$A:$D,4,FALSE)),"")</f>
        <v>BON YURT</v>
      </c>
      <c r="E589" s="24" t="str">
        <f>+IFERROR(IF(GUAYAQUIL[[#This Row],[CODIGO]]="","",VLOOKUP(GUAYAQUIL[[#This Row],[CODIGO]],MAESTRO!$A:$F,6,FALSE)),"")</f>
        <v>BON YURT MINI</v>
      </c>
      <c r="F589" s="42" t="str">
        <f>IF(GUAYAQUIL[[#This Row],[CODIGO]]="","",$K$6)</f>
        <v>GUAYAQUIL</v>
      </c>
      <c r="G589" s="209">
        <f>IF(GUAYAQUIL[[#This Row],[CODIGO]]="","",7711)</f>
        <v>7711</v>
      </c>
      <c r="H589" s="209">
        <f>IF(GUAYAQUIL[[#This Row],[CODIGO]]="","",1001)</f>
        <v>1001</v>
      </c>
      <c r="I589" s="258" t="s">
        <v>3243</v>
      </c>
      <c r="J589" s="25" t="str">
        <f>IFERROR((VLOOKUP(GUAYAQUIL[[#This Row],[CODIGO]],MAESTRO!A:B,2,FALSE)),"")</f>
        <v>BON YURT MINI HOJUELAS 87G</v>
      </c>
      <c r="K589" s="35">
        <v>1050</v>
      </c>
      <c r="L589" s="38">
        <f>+IFERROR(IF(GUAYAQUIL[[#This Row],[CODIGO]]="","",VLOOKUP(GUAYAQUIL[[#This Row],[CODIGO]],MAESTRO!$A:$BF,58,FALSE)),"")</f>
        <v>1</v>
      </c>
      <c r="M589" s="27">
        <f>+IFERROR(IF(GUAYAQUIL[[#This Row],[CODIGO]]="","",VLOOKUP(GUAYAQUIL[[#This Row],[CODIGO]],MAESTRO!A:N,14,FALSE)),"")</f>
        <v>8.6999999999999994E-2</v>
      </c>
      <c r="N589" s="28">
        <f>+IFERROR(IF(GUAYAQUIL[[#This Row],[CODIGO]]="","",VLOOKUP(GUAYAQUIL[[#This Row],[CODIGO]],MAESTRO!A:P,16,FALSE)),"")</f>
        <v>45</v>
      </c>
      <c r="O589" s="45">
        <v>45615</v>
      </c>
      <c r="P589" s="72" t="str">
        <f t="shared" si="45"/>
        <v>martes</v>
      </c>
      <c r="Q589" s="29">
        <f>IFERROR(IF(GUAYAQUIL[[#This Row],[CODIGO]]="","",IF(GUAYAQUIL[[#This Row],[Fecha Cad]]="","",(GUAYAQUIL[[#This Row],[Fecha Cad]]-GUAYAQUIL[[#This Row],[VIDA UTIL (Días)]]))+1),"")</f>
        <v>45603</v>
      </c>
      <c r="R589" s="45">
        <v>45647</v>
      </c>
      <c r="S589" s="30">
        <f t="shared" ca="1" si="46"/>
        <v>23</v>
      </c>
      <c r="T589" s="31">
        <f t="shared" ca="1" si="47"/>
        <v>0.51111111111111107</v>
      </c>
      <c r="U589" s="286">
        <v>1050</v>
      </c>
      <c r="V589" s="265">
        <f>+IFERROR(IF(GUAYAQUIL[[#This Row],[CODIGO]]="","",GUAYAQUIL[[#This Row],[Stock Actual Unds]]*GUAYAQUIL[[#This Row],[Gramaje]]*GUAYAQUIL[[#This Row],[Conversión]]),"")</f>
        <v>91.35</v>
      </c>
      <c r="W589" s="270">
        <f t="shared" si="48"/>
        <v>12</v>
      </c>
      <c r="X589" s="32">
        <f t="shared" si="49"/>
        <v>0.73333333333333339</v>
      </c>
      <c r="Y589" s="236">
        <f>IFERROR(VLOOKUP(GUAYAQUIL[[#This Row],[CODIGO]],MAESTRO!A:BI,21,FALSE),0)</f>
        <v>0.20752000000000001</v>
      </c>
      <c r="Z589" s="237">
        <f>+IFERROR(IF(GUAYAQUIL[[#This Row],[CODIGO]]="","",GUAYAQUIL[[#This Row],[COSTO UNIT base]]*GUAYAQUIL[[#This Row],[Conversión]]),"")</f>
        <v>0.20752000000000001</v>
      </c>
      <c r="AA589" s="236">
        <f>+IFERROR(IF(GUAYAQUIL[[#This Row],[CODIGO]]="","",GUAYAQUIL[[#This Row],[COSTO UNIT Conv]]*GUAYAQUIL[[#This Row],[Stock Actual Kgs]]),"")</f>
        <v>18.956952000000001</v>
      </c>
      <c r="AB589" s="33">
        <f ca="1">+IFERROR(IF(GUAYAQUIL[[#This Row],[CODIGO]]="","",$J$3-O589),"")</f>
        <v>9</v>
      </c>
      <c r="AC589" s="34" t="str">
        <f ca="1">IF(GUAYAQUIL[[#This Row],[CODIGO]]="","",IF(S589&lt;=0,"CADUCADO",IF(AND(S589&gt;0,S589&lt;=21),"FECHA CORTA",IF(AND(S589&gt;=22,S589&lt;=26),"PROXIMOS FECHA CORTA", "VIGENTE"))))</f>
        <v>PROXIMOS FECHA CORTA</v>
      </c>
      <c r="AD589" s="37">
        <f>+IF(GUAYAQUIL[[#This Row],[CODIGO]]="","",GUAYAQUIL[[#This Row],[Stock Actual Unds]]*GUAYAQUIL[[#This Row],[Gramaje]]*GUAYAQUIL[[#This Row],[Conversión]])/1000</f>
        <v>9.1350000000000001E-2</v>
      </c>
    </row>
    <row r="590" spans="1:30">
      <c r="A590" s="24" t="str">
        <f>+IFERROR(IF(GUAYAQUIL[[#This Row],[CODIGO]]="","",VLOOKUP(GUAYAQUIL[[#This Row],[CODIGO]],MAESTRO!$A:$J,10,FALSE)),"")</f>
        <v>MACHACHI</v>
      </c>
      <c r="B590" s="24" t="str">
        <f>+IFERROR(IF(GUAYAQUIL[[#This Row],[CODIGO]]="","",VLOOKUP(GUAYAQUIL[[#This Row],[CODIGO]],MAESTRO!$A:$Q,17,FALSE)),"")</f>
        <v>BEBIDAS LACTEAS</v>
      </c>
      <c r="C590" s="24" t="str">
        <f>+IFERROR(IF(GUAYAQUIL[[#This Row],[CODIGO]]="","",VLOOKUP(GUAYAQUIL[[#This Row],[CODIGO]],MAESTRO!$A:$BA,53,FALSE)),"")</f>
        <v xml:space="preserve">Luis Armendariz                         </v>
      </c>
      <c r="D590" s="24" t="str">
        <f>+IFERROR(IF(GUAYAQUIL[[#This Row],[CODIGO]]="","",VLOOKUP(GUAYAQUIL[[#This Row],[CODIGO]],MAESTRO!$A:$D,4,FALSE)),"")</f>
        <v>BON YURT</v>
      </c>
      <c r="E590" s="24" t="str">
        <f>+IFERROR(IF(GUAYAQUIL[[#This Row],[CODIGO]]="","",VLOOKUP(GUAYAQUIL[[#This Row],[CODIGO]],MAESTRO!$A:$F,6,FALSE)),"")</f>
        <v>BON YURT MINI</v>
      </c>
      <c r="F590" s="42" t="str">
        <f>IF(GUAYAQUIL[[#This Row],[CODIGO]]="","",$K$6)</f>
        <v>GUAYAQUIL</v>
      </c>
      <c r="G590" s="42">
        <f>IF(GUAYAQUIL[[#This Row],[CODIGO]]="","",7711)</f>
        <v>7711</v>
      </c>
      <c r="H590" s="42">
        <f>IF(GUAYAQUIL[[#This Row],[CODIGO]]="","",1001)</f>
        <v>1001</v>
      </c>
      <c r="I590" s="257" t="s">
        <v>3243</v>
      </c>
      <c r="J590" s="25" t="str">
        <f>IFERROR((VLOOKUP(GUAYAQUIL[[#This Row],[CODIGO]],MAESTRO!A:B,2,FALSE)),"")</f>
        <v>BON YURT MINI HOJUELAS 87G</v>
      </c>
      <c r="K590" s="26">
        <v>560</v>
      </c>
      <c r="L590" s="38">
        <f>+IFERROR(IF(GUAYAQUIL[[#This Row],[CODIGO]]="","",VLOOKUP(GUAYAQUIL[[#This Row],[CODIGO]],MAESTRO!$A:$BF,58,FALSE)),"")</f>
        <v>1</v>
      </c>
      <c r="M590" s="27">
        <f>+IFERROR(IF(GUAYAQUIL[[#This Row],[CODIGO]]="","",VLOOKUP(GUAYAQUIL[[#This Row],[CODIGO]],MAESTRO!A:N,14,FALSE)),"")</f>
        <v>8.6999999999999994E-2</v>
      </c>
      <c r="N590" s="28">
        <f>+IFERROR(IF(GUAYAQUIL[[#This Row],[CODIGO]]="","",VLOOKUP(GUAYAQUIL[[#This Row],[CODIGO]],MAESTRO!A:P,16,FALSE)),"")</f>
        <v>45</v>
      </c>
      <c r="O590" s="29">
        <v>45616</v>
      </c>
      <c r="P590" s="72" t="str">
        <f t="shared" si="45"/>
        <v>miércoles</v>
      </c>
      <c r="Q590" s="29">
        <f>IFERROR(IF(GUAYAQUIL[[#This Row],[CODIGO]]="","",IF(GUAYAQUIL[[#This Row],[Fecha Cad]]="","",(GUAYAQUIL[[#This Row],[Fecha Cad]]-GUAYAQUIL[[#This Row],[VIDA UTIL (Días)]]))+1),"")</f>
        <v>45610</v>
      </c>
      <c r="R590" s="29">
        <v>45654</v>
      </c>
      <c r="S590" s="30">
        <f t="shared" ca="1" si="46"/>
        <v>30</v>
      </c>
      <c r="T590" s="31">
        <f t="shared" ca="1" si="47"/>
        <v>0.66666666666666663</v>
      </c>
      <c r="U590" s="286">
        <v>560</v>
      </c>
      <c r="V590" s="267">
        <f>+IFERROR(IF(GUAYAQUIL[[#This Row],[CODIGO]]="","",GUAYAQUIL[[#This Row],[Stock Actual Unds]]*GUAYAQUIL[[#This Row],[Gramaje]]*GUAYAQUIL[[#This Row],[Conversión]]),"")</f>
        <v>48.72</v>
      </c>
      <c r="W590" s="270">
        <f t="shared" si="48"/>
        <v>6</v>
      </c>
      <c r="X590" s="32">
        <f t="shared" si="49"/>
        <v>0.8666666666666667</v>
      </c>
      <c r="Y590" s="236">
        <f>IFERROR(VLOOKUP(GUAYAQUIL[[#This Row],[CODIGO]],MAESTRO!A:BI,21,FALSE),0)</f>
        <v>0.20752000000000001</v>
      </c>
      <c r="Z590" s="237">
        <f>+IFERROR(IF(GUAYAQUIL[[#This Row],[CODIGO]]="","",GUAYAQUIL[[#This Row],[COSTO UNIT base]]*GUAYAQUIL[[#This Row],[Conversión]]),"")</f>
        <v>0.20752000000000001</v>
      </c>
      <c r="AA590" s="236">
        <f>+IFERROR(IF(GUAYAQUIL[[#This Row],[CODIGO]]="","",GUAYAQUIL[[#This Row],[COSTO UNIT Conv]]*GUAYAQUIL[[#This Row],[Stock Actual Kgs]]),"")</f>
        <v>10.1103744</v>
      </c>
      <c r="AB590" s="33">
        <f ca="1">+IFERROR(IF(GUAYAQUIL[[#This Row],[CODIGO]]="","",$J$3-O590),"")</f>
        <v>8</v>
      </c>
      <c r="AC590" s="34" t="str">
        <f ca="1">IF(GUAYAQUIL[[#This Row],[CODIGO]]="","",IF(S590&lt;=0,"CADUCADO",IF(AND(S590&gt;0,S590&lt;=21),"FECHA CORTA",IF(AND(S590&gt;=22,S590&lt;=26),"PROXIMOS FECHA CORTA", "VIGENTE"))))</f>
        <v>VIGENTE</v>
      </c>
      <c r="AD590" s="37">
        <f>+IF(GUAYAQUIL[[#This Row],[CODIGO]]="","",GUAYAQUIL[[#This Row],[Stock Actual Unds]]*GUAYAQUIL[[#This Row],[Gramaje]]*GUAYAQUIL[[#This Row],[Conversión]])/1000</f>
        <v>4.8719999999999999E-2</v>
      </c>
    </row>
    <row r="591" spans="1:30">
      <c r="A591" s="24" t="str">
        <f>+IFERROR(IF(GUAYAQUIL[[#This Row],[CODIGO]]="","",VLOOKUP(GUAYAQUIL[[#This Row],[CODIGO]],MAESTRO!$A:$J,10,FALSE)),"")</f>
        <v>MACHACHI</v>
      </c>
      <c r="B591" s="24" t="str">
        <f>+IFERROR(IF(GUAYAQUIL[[#This Row],[CODIGO]]="","",VLOOKUP(GUAYAQUIL[[#This Row],[CODIGO]],MAESTRO!$A:$Q,17,FALSE)),"")</f>
        <v>BEBIDAS LACTEAS</v>
      </c>
      <c r="C591" s="24" t="str">
        <f>+IFERROR(IF(GUAYAQUIL[[#This Row],[CODIGO]]="","",VLOOKUP(GUAYAQUIL[[#This Row],[CODIGO]],MAESTRO!$A:$BA,53,FALSE)),"")</f>
        <v xml:space="preserve">Luis Armendariz                         </v>
      </c>
      <c r="D591" s="24" t="str">
        <f>+IFERROR(IF(GUAYAQUIL[[#This Row],[CODIGO]]="","",VLOOKUP(GUAYAQUIL[[#This Row],[CODIGO]],MAESTRO!$A:$D,4,FALSE)),"")</f>
        <v>BON YURT</v>
      </c>
      <c r="E591" s="24" t="str">
        <f>+IFERROR(IF(GUAYAQUIL[[#This Row],[CODIGO]]="","",VLOOKUP(GUAYAQUIL[[#This Row],[CODIGO]],MAESTRO!$A:$F,6,FALSE)),"")</f>
        <v>BON YURT MINI</v>
      </c>
      <c r="F591" s="42" t="str">
        <f>IF(GUAYAQUIL[[#This Row],[CODIGO]]="","",$K$6)</f>
        <v>GUAYAQUIL</v>
      </c>
      <c r="G591" s="209">
        <f>IF(GUAYAQUIL[[#This Row],[CODIGO]]="","",7711)</f>
        <v>7711</v>
      </c>
      <c r="H591" s="209">
        <f>IF(GUAYAQUIL[[#This Row],[CODIGO]]="","",1001)</f>
        <v>1001</v>
      </c>
      <c r="I591" s="257" t="s">
        <v>3243</v>
      </c>
      <c r="J591" s="25" t="str">
        <f>IFERROR((VLOOKUP(GUAYAQUIL[[#This Row],[CODIGO]],MAESTRO!A:B,2,FALSE)),"")</f>
        <v>BON YURT MINI HOJUELAS 87G</v>
      </c>
      <c r="K591" s="26">
        <v>420</v>
      </c>
      <c r="L591" s="38">
        <f>+IFERROR(IF(GUAYAQUIL[[#This Row],[CODIGO]]="","",VLOOKUP(GUAYAQUIL[[#This Row],[CODIGO]],MAESTRO!$A:$BF,58,FALSE)),"")</f>
        <v>1</v>
      </c>
      <c r="M591" s="27">
        <f>+IFERROR(IF(GUAYAQUIL[[#This Row],[CODIGO]]="","",VLOOKUP(GUAYAQUIL[[#This Row],[CODIGO]],MAESTRO!A:N,14,FALSE)),"")</f>
        <v>8.6999999999999994E-2</v>
      </c>
      <c r="N591" s="28">
        <f>+IFERROR(IF(GUAYAQUIL[[#This Row],[CODIGO]]="","",VLOOKUP(GUAYAQUIL[[#This Row],[CODIGO]],MAESTRO!A:P,16,FALSE)),"")</f>
        <v>45</v>
      </c>
      <c r="O591" s="29">
        <v>45617</v>
      </c>
      <c r="P591" s="72" t="str">
        <f t="shared" si="45"/>
        <v>jueves</v>
      </c>
      <c r="Q591" s="29">
        <f>IFERROR(IF(GUAYAQUIL[[#This Row],[CODIGO]]="","",IF(GUAYAQUIL[[#This Row],[Fecha Cad]]="","",(GUAYAQUIL[[#This Row],[Fecha Cad]]-GUAYAQUIL[[#This Row],[VIDA UTIL (Días)]]))+1),"")</f>
        <v>45610</v>
      </c>
      <c r="R591" s="29">
        <v>45654</v>
      </c>
      <c r="S591" s="30">
        <f t="shared" ca="1" si="46"/>
        <v>30</v>
      </c>
      <c r="T591" s="31">
        <f t="shared" ca="1" si="47"/>
        <v>0.66666666666666663</v>
      </c>
      <c r="U591" s="286">
        <v>420</v>
      </c>
      <c r="V591" s="267">
        <f>+IFERROR(IF(GUAYAQUIL[[#This Row],[CODIGO]]="","",GUAYAQUIL[[#This Row],[Stock Actual Unds]]*GUAYAQUIL[[#This Row],[Gramaje]]*GUAYAQUIL[[#This Row],[Conversión]]),"")</f>
        <v>36.54</v>
      </c>
      <c r="W591" s="270">
        <f t="shared" si="48"/>
        <v>7</v>
      </c>
      <c r="X591" s="32">
        <f t="shared" si="49"/>
        <v>0.84444444444444444</v>
      </c>
      <c r="Y591" s="236">
        <f>IFERROR(VLOOKUP(GUAYAQUIL[[#This Row],[CODIGO]],MAESTRO!A:BI,21,FALSE),0)</f>
        <v>0.20752000000000001</v>
      </c>
      <c r="Z591" s="237">
        <f>+IFERROR(IF(GUAYAQUIL[[#This Row],[CODIGO]]="","",GUAYAQUIL[[#This Row],[COSTO UNIT base]]*GUAYAQUIL[[#This Row],[Conversión]]),"")</f>
        <v>0.20752000000000001</v>
      </c>
      <c r="AA591" s="236">
        <f>+IFERROR(IF(GUAYAQUIL[[#This Row],[CODIGO]]="","",GUAYAQUIL[[#This Row],[COSTO UNIT Conv]]*GUAYAQUIL[[#This Row],[Stock Actual Kgs]]),"")</f>
        <v>7.5827808000000001</v>
      </c>
      <c r="AB591" s="33">
        <f ca="1">+IFERROR(IF(GUAYAQUIL[[#This Row],[CODIGO]]="","",$J$3-O591),"")</f>
        <v>7</v>
      </c>
      <c r="AC591" s="34" t="str">
        <f ca="1">IF(GUAYAQUIL[[#This Row],[CODIGO]]="","",IF(S591&lt;=0,"CADUCADO",IF(AND(S591&gt;0,S591&lt;=21),"FECHA CORTA",IF(AND(S591&gt;=22,S591&lt;=26),"PROXIMOS FECHA CORTA", "VIGENTE"))))</f>
        <v>VIGENTE</v>
      </c>
      <c r="AD591" s="37">
        <f>+IF(GUAYAQUIL[[#This Row],[CODIGO]]="","",GUAYAQUIL[[#This Row],[Stock Actual Unds]]*GUAYAQUIL[[#This Row],[Gramaje]]*GUAYAQUIL[[#This Row],[Conversión]])/1000</f>
        <v>3.6539999999999996E-2</v>
      </c>
    </row>
    <row r="592" spans="1:30">
      <c r="A592" s="24" t="str">
        <f>+IFERROR(IF(GUAYAQUIL[[#This Row],[CODIGO]]="","",VLOOKUP(GUAYAQUIL[[#This Row],[CODIGO]],MAESTRO!$A:$J,10,FALSE)),"")</f>
        <v>MACHACHI</v>
      </c>
      <c r="B592" s="24" t="str">
        <f>+IFERROR(IF(GUAYAQUIL[[#This Row],[CODIGO]]="","",VLOOKUP(GUAYAQUIL[[#This Row],[CODIGO]],MAESTRO!$A:$Q,17,FALSE)),"")</f>
        <v>BEBIDAS LACTEAS</v>
      </c>
      <c r="C592" s="24" t="str">
        <f>+IFERROR(IF(GUAYAQUIL[[#This Row],[CODIGO]]="","",VLOOKUP(GUAYAQUIL[[#This Row],[CODIGO]],MAESTRO!$A:$BA,53,FALSE)),"")</f>
        <v xml:space="preserve">Luis Armendariz                         </v>
      </c>
      <c r="D592" s="24" t="str">
        <f>+IFERROR(IF(GUAYAQUIL[[#This Row],[CODIGO]]="","",VLOOKUP(GUAYAQUIL[[#This Row],[CODIGO]],MAESTRO!$A:$D,4,FALSE)),"")</f>
        <v>YOGURT FINESSE</v>
      </c>
      <c r="E592" s="24" t="str">
        <f>+IFERROR(IF(GUAYAQUIL[[#This Row],[CODIGO]]="","",VLOOKUP(GUAYAQUIL[[#This Row],[CODIGO]],MAESTRO!$A:$F,6,FALSE)),"")</f>
        <v>YOGURT FINESSE DESLACT BOTELLA FAMILIAR</v>
      </c>
      <c r="F592" s="42" t="str">
        <f>IF(GUAYAQUIL[[#This Row],[CODIGO]]="","",$K$6)</f>
        <v>GUAYAQUIL</v>
      </c>
      <c r="G592" s="42">
        <f>IF(GUAYAQUIL[[#This Row],[CODIGO]]="","",7711)</f>
        <v>7711</v>
      </c>
      <c r="H592" s="42">
        <f>IF(GUAYAQUIL[[#This Row],[CODIGO]]="","",1001)</f>
        <v>1001</v>
      </c>
      <c r="I592" s="258" t="s">
        <v>4313</v>
      </c>
      <c r="J592" s="25" t="str">
        <f>IFERROR((VLOOKUP(GUAYAQUIL[[#This Row],[CODIGO]],MAESTRO!A:B,2,FALSE)),"")</f>
        <v>YOG FNSSE VAINILLA 950</v>
      </c>
      <c r="K592" s="35">
        <v>54</v>
      </c>
      <c r="L592" s="38">
        <f>+IFERROR(IF(GUAYAQUIL[[#This Row],[CODIGO]]="","",VLOOKUP(GUAYAQUIL[[#This Row],[CODIGO]],MAESTRO!$A:$BF,58,FALSE)),"")</f>
        <v>1</v>
      </c>
      <c r="M592" s="27">
        <f>+IFERROR(IF(GUAYAQUIL[[#This Row],[CODIGO]]="","",VLOOKUP(GUAYAQUIL[[#This Row],[CODIGO]],MAESTRO!A:N,14,FALSE)),"")</f>
        <v>0.95</v>
      </c>
      <c r="N592" s="28">
        <f>+IFERROR(IF(GUAYAQUIL[[#This Row],[CODIGO]]="","",VLOOKUP(GUAYAQUIL[[#This Row],[CODIGO]],MAESTRO!A:P,16,FALSE)),"")</f>
        <v>45</v>
      </c>
      <c r="O592" s="29">
        <v>45612</v>
      </c>
      <c r="P592" s="72" t="str">
        <f t="shared" si="45"/>
        <v>sábado</v>
      </c>
      <c r="Q592" s="29">
        <f>IFERROR(IF(GUAYAQUIL[[#This Row],[CODIGO]]="","",IF(GUAYAQUIL[[#This Row],[Fecha Cad]]="","",(GUAYAQUIL[[#This Row],[Fecha Cad]]-GUAYAQUIL[[#This Row],[VIDA UTIL (Días)]]))+1),"")</f>
        <v>45609</v>
      </c>
      <c r="R592" s="29">
        <v>45653</v>
      </c>
      <c r="S592" s="30">
        <f t="shared" ca="1" si="46"/>
        <v>29</v>
      </c>
      <c r="T592" s="31">
        <f t="shared" ca="1" si="47"/>
        <v>0.64444444444444449</v>
      </c>
      <c r="U592" s="286">
        <v>13</v>
      </c>
      <c r="V592" s="266">
        <f>+IFERROR(IF(GUAYAQUIL[[#This Row],[CODIGO]]="","",GUAYAQUIL[[#This Row],[Stock Actual Unds]]*GUAYAQUIL[[#This Row],[Gramaje]]*GUAYAQUIL[[#This Row],[Conversión]]),"")</f>
        <v>12.35</v>
      </c>
      <c r="W592" s="270">
        <f t="shared" si="48"/>
        <v>3</v>
      </c>
      <c r="X592" s="32">
        <f t="shared" si="49"/>
        <v>0.93333333333333335</v>
      </c>
      <c r="Y592" s="236">
        <f>IFERROR(VLOOKUP(GUAYAQUIL[[#This Row],[CODIGO]],MAESTRO!A:BI,21,FALSE),0)</f>
        <v>1.24322</v>
      </c>
      <c r="Z592" s="237">
        <f>+IFERROR(IF(GUAYAQUIL[[#This Row],[CODIGO]]="","",GUAYAQUIL[[#This Row],[COSTO UNIT base]]*GUAYAQUIL[[#This Row],[Conversión]]),"")</f>
        <v>1.24322</v>
      </c>
      <c r="AA592" s="236">
        <f>+IFERROR(IF(GUAYAQUIL[[#This Row],[CODIGO]]="","",GUAYAQUIL[[#This Row],[COSTO UNIT Conv]]*GUAYAQUIL[[#This Row],[Stock Actual Kgs]]),"")</f>
        <v>15.353766999999999</v>
      </c>
      <c r="AB592" s="33">
        <f ca="1">+IFERROR(IF(GUAYAQUIL[[#This Row],[CODIGO]]="","",$J$3-O592),"")</f>
        <v>12</v>
      </c>
      <c r="AC592" s="34" t="str">
        <f ca="1">IF(GUAYAQUIL[[#This Row],[CODIGO]]="","",IF(S592&lt;=0,"CADUCADO",IF(AND(S592&gt;0,S592&lt;=21),"FECHA CORTA",IF(AND(S592&gt;=22,S592&lt;=26),"PROXIMOS FECHA CORTA", "VIGENTE"))))</f>
        <v>VIGENTE</v>
      </c>
      <c r="AD592" s="37">
        <f>+IF(GUAYAQUIL[[#This Row],[CODIGO]]="","",GUAYAQUIL[[#This Row],[Stock Actual Unds]]*GUAYAQUIL[[#This Row],[Gramaje]]*GUAYAQUIL[[#This Row],[Conversión]])/1000</f>
        <v>1.235E-2</v>
      </c>
    </row>
    <row r="593" spans="1:30">
      <c r="A593" s="24" t="str">
        <f>+IFERROR(IF(GUAYAQUIL[[#This Row],[CODIGO]]="","",VLOOKUP(GUAYAQUIL[[#This Row],[CODIGO]],MAESTRO!$A:$J,10,FALSE)),"")</f>
        <v>MACHACHI</v>
      </c>
      <c r="B593" s="24" t="str">
        <f>+IFERROR(IF(GUAYAQUIL[[#This Row],[CODIGO]]="","",VLOOKUP(GUAYAQUIL[[#This Row],[CODIGO]],MAESTRO!$A:$Q,17,FALSE)),"")</f>
        <v>BEBIDAS LACTEAS</v>
      </c>
      <c r="C593" s="24" t="str">
        <f>+IFERROR(IF(GUAYAQUIL[[#This Row],[CODIGO]]="","",VLOOKUP(GUAYAQUIL[[#This Row],[CODIGO]],MAESTRO!$A:$BA,53,FALSE)),"")</f>
        <v xml:space="preserve">Luis Armendariz                         </v>
      </c>
      <c r="D593" s="24" t="str">
        <f>+IFERROR(IF(GUAYAQUIL[[#This Row],[CODIGO]]="","",VLOOKUP(GUAYAQUIL[[#This Row],[CODIGO]],MAESTRO!$A:$D,4,FALSE)),"")</f>
        <v>YOGURT FINESSE</v>
      </c>
      <c r="E593" s="24" t="str">
        <f>+IFERROR(IF(GUAYAQUIL[[#This Row],[CODIGO]]="","",VLOOKUP(GUAYAQUIL[[#This Row],[CODIGO]],MAESTRO!$A:$F,6,FALSE)),"")</f>
        <v>YOGURT FINESSE DESLACT BOTELLA FAMILIAR</v>
      </c>
      <c r="F593" s="42" t="str">
        <f>IF(GUAYAQUIL[[#This Row],[CODIGO]]="","",$K$6)</f>
        <v>GUAYAQUIL</v>
      </c>
      <c r="G593" s="209">
        <f>IF(GUAYAQUIL[[#This Row],[CODIGO]]="","",7711)</f>
        <v>7711</v>
      </c>
      <c r="H593" s="209">
        <f>IF(GUAYAQUIL[[#This Row],[CODIGO]]="","",1001)</f>
        <v>1001</v>
      </c>
      <c r="I593" s="258" t="s">
        <v>4313</v>
      </c>
      <c r="J593" s="25" t="str">
        <f>IFERROR((VLOOKUP(GUAYAQUIL[[#This Row],[CODIGO]],MAESTRO!A:B,2,FALSE)),"")</f>
        <v>YOG FNSSE VAINILLA 950</v>
      </c>
      <c r="K593" s="35">
        <v>54</v>
      </c>
      <c r="L593" s="38">
        <f>+IFERROR(IF(GUAYAQUIL[[#This Row],[CODIGO]]="","",VLOOKUP(GUAYAQUIL[[#This Row],[CODIGO]],MAESTRO!$A:$BF,58,FALSE)),"")</f>
        <v>1</v>
      </c>
      <c r="M593" s="27">
        <f>+IFERROR(IF(GUAYAQUIL[[#This Row],[CODIGO]]="","",VLOOKUP(GUAYAQUIL[[#This Row],[CODIGO]],MAESTRO!A:N,14,FALSE)),"")</f>
        <v>0.95</v>
      </c>
      <c r="N593" s="28">
        <f>+IFERROR(IF(GUAYAQUIL[[#This Row],[CODIGO]]="","",VLOOKUP(GUAYAQUIL[[#This Row],[CODIGO]],MAESTRO!A:P,16,FALSE)),"")</f>
        <v>45</v>
      </c>
      <c r="O593" s="29">
        <v>45615</v>
      </c>
      <c r="P593" s="72" t="str">
        <f t="shared" si="45"/>
        <v>martes</v>
      </c>
      <c r="Q593" s="29">
        <f>IFERROR(IF(GUAYAQUIL[[#This Row],[CODIGO]]="","",IF(GUAYAQUIL[[#This Row],[Fecha Cad]]="","",(GUAYAQUIL[[#This Row],[Fecha Cad]]-GUAYAQUIL[[#This Row],[VIDA UTIL (Días)]]))+1),"")</f>
        <v>45609</v>
      </c>
      <c r="R593" s="29">
        <v>45653</v>
      </c>
      <c r="S593" s="30">
        <f t="shared" ca="1" si="46"/>
        <v>29</v>
      </c>
      <c r="T593" s="31">
        <f t="shared" ca="1" si="47"/>
        <v>0.64444444444444449</v>
      </c>
      <c r="U593" s="286">
        <v>54</v>
      </c>
      <c r="V593" s="266">
        <f>+IFERROR(IF(GUAYAQUIL[[#This Row],[CODIGO]]="","",GUAYAQUIL[[#This Row],[Stock Actual Unds]]*GUAYAQUIL[[#This Row],[Gramaje]]*GUAYAQUIL[[#This Row],[Conversión]]),"")</f>
        <v>51.3</v>
      </c>
      <c r="W593" s="270">
        <f t="shared" si="48"/>
        <v>6</v>
      </c>
      <c r="X593" s="32">
        <f t="shared" si="49"/>
        <v>0.8666666666666667</v>
      </c>
      <c r="Y593" s="236">
        <f>IFERROR(VLOOKUP(GUAYAQUIL[[#This Row],[CODIGO]],MAESTRO!A:BI,21,FALSE),0)</f>
        <v>1.24322</v>
      </c>
      <c r="Z593" s="237">
        <f>+IFERROR(IF(GUAYAQUIL[[#This Row],[CODIGO]]="","",GUAYAQUIL[[#This Row],[COSTO UNIT base]]*GUAYAQUIL[[#This Row],[Conversión]]),"")</f>
        <v>1.24322</v>
      </c>
      <c r="AA593" s="236">
        <f>+IFERROR(IF(GUAYAQUIL[[#This Row],[CODIGO]]="","",GUAYAQUIL[[#This Row],[COSTO UNIT Conv]]*GUAYAQUIL[[#This Row],[Stock Actual Kgs]]),"")</f>
        <v>63.777185999999993</v>
      </c>
      <c r="AB593" s="33">
        <f ca="1">+IFERROR(IF(GUAYAQUIL[[#This Row],[CODIGO]]="","",$J$3-O593),"")</f>
        <v>9</v>
      </c>
      <c r="AC593" s="34" t="str">
        <f ca="1">IF(GUAYAQUIL[[#This Row],[CODIGO]]="","",IF(S593&lt;=0,"CADUCADO",IF(AND(S593&gt;0,S593&lt;=21),"FECHA CORTA",IF(AND(S593&gt;=22,S593&lt;=26),"PROXIMOS FECHA CORTA", "VIGENTE"))))</f>
        <v>VIGENTE</v>
      </c>
      <c r="AD593" s="37">
        <f>+IF(GUAYAQUIL[[#This Row],[CODIGO]]="","",GUAYAQUIL[[#This Row],[Stock Actual Unds]]*GUAYAQUIL[[#This Row],[Gramaje]]*GUAYAQUIL[[#This Row],[Conversión]])/1000</f>
        <v>5.1299999999999998E-2</v>
      </c>
    </row>
    <row r="594" spans="1:30">
      <c r="A594" s="24" t="str">
        <f>+IFERROR(IF(GUAYAQUIL[[#This Row],[CODIGO]]="","",VLOOKUP(GUAYAQUIL[[#This Row],[CODIGO]],MAESTRO!$A:$J,10,FALSE)),"")</f>
        <v>MACHACHI</v>
      </c>
      <c r="B594" s="24" t="str">
        <f>+IFERROR(IF(GUAYAQUIL[[#This Row],[CODIGO]]="","",VLOOKUP(GUAYAQUIL[[#This Row],[CODIGO]],MAESTRO!$A:$Q,17,FALSE)),"")</f>
        <v>BEBIDAS LACTEAS</v>
      </c>
      <c r="C594" s="24" t="str">
        <f>+IFERROR(IF(GUAYAQUIL[[#This Row],[CODIGO]]="","",VLOOKUP(GUAYAQUIL[[#This Row],[CODIGO]],MAESTRO!$A:$BA,53,FALSE)),"")</f>
        <v xml:space="preserve">Luis Armendariz                         </v>
      </c>
      <c r="D594" s="24" t="str">
        <f>+IFERROR(IF(GUAYAQUIL[[#This Row],[CODIGO]]="","",VLOOKUP(GUAYAQUIL[[#This Row],[CODIGO]],MAESTRO!$A:$D,4,FALSE)),"")</f>
        <v>YOGURT FINESSE</v>
      </c>
      <c r="E594" s="24" t="str">
        <f>+IFERROR(IF(GUAYAQUIL[[#This Row],[CODIGO]]="","",VLOOKUP(GUAYAQUIL[[#This Row],[CODIGO]],MAESTRO!$A:$F,6,FALSE)),"")</f>
        <v>YOGURT FINESSE DESLACT BOTELLA FAMILIAR</v>
      </c>
      <c r="F594" s="42" t="str">
        <f>IF(GUAYAQUIL[[#This Row],[CODIGO]]="","",$K$6)</f>
        <v>GUAYAQUIL</v>
      </c>
      <c r="G594" s="42">
        <f>IF(GUAYAQUIL[[#This Row],[CODIGO]]="","",7711)</f>
        <v>7711</v>
      </c>
      <c r="H594" s="42">
        <f>IF(GUAYAQUIL[[#This Row],[CODIGO]]="","",1001)</f>
        <v>1001</v>
      </c>
      <c r="I594" s="258" t="s">
        <v>4313</v>
      </c>
      <c r="J594" s="25" t="str">
        <f>IFERROR((VLOOKUP(GUAYAQUIL[[#This Row],[CODIGO]],MAESTRO!A:B,2,FALSE)),"")</f>
        <v>YOG FNSSE VAINILLA 950</v>
      </c>
      <c r="K594" s="35">
        <v>36</v>
      </c>
      <c r="L594" s="38">
        <f>+IFERROR(IF(GUAYAQUIL[[#This Row],[CODIGO]]="","",VLOOKUP(GUAYAQUIL[[#This Row],[CODIGO]],MAESTRO!$A:$BF,58,FALSE)),"")</f>
        <v>1</v>
      </c>
      <c r="M594" s="27">
        <f>+IFERROR(IF(GUAYAQUIL[[#This Row],[CODIGO]]="","",VLOOKUP(GUAYAQUIL[[#This Row],[CODIGO]],MAESTRO!A:N,14,FALSE)),"")</f>
        <v>0.95</v>
      </c>
      <c r="N594" s="28">
        <f>+IFERROR(IF(GUAYAQUIL[[#This Row],[CODIGO]]="","",VLOOKUP(GUAYAQUIL[[#This Row],[CODIGO]],MAESTRO!A:P,16,FALSE)),"")</f>
        <v>45</v>
      </c>
      <c r="O594" s="29">
        <v>45616</v>
      </c>
      <c r="P594" s="72" t="str">
        <f t="shared" si="45"/>
        <v>miércoles</v>
      </c>
      <c r="Q594" s="29">
        <f>IFERROR(IF(GUAYAQUIL[[#This Row],[CODIGO]]="","",IF(GUAYAQUIL[[#This Row],[Fecha Cad]]="","",(GUAYAQUIL[[#This Row],[Fecha Cad]]-GUAYAQUIL[[#This Row],[VIDA UTIL (Días)]]))+1),"")</f>
        <v>45611</v>
      </c>
      <c r="R594" s="29">
        <v>45655</v>
      </c>
      <c r="S594" s="30">
        <f t="shared" ca="1" si="46"/>
        <v>31</v>
      </c>
      <c r="T594" s="31">
        <f t="shared" ca="1" si="47"/>
        <v>0.68888888888888888</v>
      </c>
      <c r="U594" s="286">
        <v>0</v>
      </c>
      <c r="V594" s="266">
        <f>+IFERROR(IF(GUAYAQUIL[[#This Row],[CODIGO]]="","",GUAYAQUIL[[#This Row],[Stock Actual Unds]]*GUAYAQUIL[[#This Row],[Gramaje]]*GUAYAQUIL[[#This Row],[Conversión]]),"")</f>
        <v>0</v>
      </c>
      <c r="W594" s="270">
        <f t="shared" si="48"/>
        <v>5</v>
      </c>
      <c r="X594" s="32">
        <f t="shared" si="49"/>
        <v>0.88888888888888884</v>
      </c>
      <c r="Y594" s="236">
        <f>IFERROR(VLOOKUP(GUAYAQUIL[[#This Row],[CODIGO]],MAESTRO!A:BI,21,FALSE),0)</f>
        <v>1.24322</v>
      </c>
      <c r="Z594" s="237">
        <f>+IFERROR(IF(GUAYAQUIL[[#This Row],[CODIGO]]="","",GUAYAQUIL[[#This Row],[COSTO UNIT base]]*GUAYAQUIL[[#This Row],[Conversión]]),"")</f>
        <v>1.24322</v>
      </c>
      <c r="AA594" s="236">
        <f>+IFERROR(IF(GUAYAQUIL[[#This Row],[CODIGO]]="","",GUAYAQUIL[[#This Row],[COSTO UNIT Conv]]*GUAYAQUIL[[#This Row],[Stock Actual Kgs]]),"")</f>
        <v>0</v>
      </c>
      <c r="AB594" s="33">
        <f ca="1">+IFERROR(IF(GUAYAQUIL[[#This Row],[CODIGO]]="","",$J$3-O594),"")</f>
        <v>8</v>
      </c>
      <c r="AC594" s="34" t="str">
        <f ca="1">IF(GUAYAQUIL[[#This Row],[CODIGO]]="","",IF(S594&lt;=0,"CADUCADO",IF(AND(S594&gt;0,S594&lt;=21),"FECHA CORTA",IF(AND(S594&gt;=22,S594&lt;=26),"PROXIMOS FECHA CORTA", "VIGENTE"))))</f>
        <v>VIGENTE</v>
      </c>
      <c r="AD594" s="37">
        <f>+IF(GUAYAQUIL[[#This Row],[CODIGO]]="","",GUAYAQUIL[[#This Row],[Stock Actual Unds]]*GUAYAQUIL[[#This Row],[Gramaje]]*GUAYAQUIL[[#This Row],[Conversión]])/1000</f>
        <v>0</v>
      </c>
    </row>
    <row r="595" spans="1:30">
      <c r="A595" s="24" t="str">
        <f>+IFERROR(IF(GUAYAQUIL[[#This Row],[CODIGO]]="","",VLOOKUP(GUAYAQUIL[[#This Row],[CODIGO]],MAESTRO!$A:$J,10,FALSE)),"")</f>
        <v>MACHACHI</v>
      </c>
      <c r="B595" s="24" t="str">
        <f>+IFERROR(IF(GUAYAQUIL[[#This Row],[CODIGO]]="","",VLOOKUP(GUAYAQUIL[[#This Row],[CODIGO]],MAESTRO!$A:$Q,17,FALSE)),"")</f>
        <v>BEBIDAS LACTEAS</v>
      </c>
      <c r="C595" s="24" t="str">
        <f>+IFERROR(IF(GUAYAQUIL[[#This Row],[CODIGO]]="","",VLOOKUP(GUAYAQUIL[[#This Row],[CODIGO]],MAESTRO!$A:$BA,53,FALSE)),"")</f>
        <v xml:space="preserve">Luis Armendariz                         </v>
      </c>
      <c r="D595" s="24" t="str">
        <f>+IFERROR(IF(GUAYAQUIL[[#This Row],[CODIGO]]="","",VLOOKUP(GUAYAQUIL[[#This Row],[CODIGO]],MAESTRO!$A:$D,4,FALSE)),"")</f>
        <v>YOGURT FINESSE</v>
      </c>
      <c r="E595" s="24" t="str">
        <f>+IFERROR(IF(GUAYAQUIL[[#This Row],[CODIGO]]="","",VLOOKUP(GUAYAQUIL[[#This Row],[CODIGO]],MAESTRO!$A:$F,6,FALSE)),"")</f>
        <v>YOGURT FINESSE DESLACT BOTELLA FAMILIAR</v>
      </c>
      <c r="F595" s="42" t="str">
        <f>IF(GUAYAQUIL[[#This Row],[CODIGO]]="","",$K$6)</f>
        <v>GUAYAQUIL</v>
      </c>
      <c r="G595" s="42">
        <f>IF(GUAYAQUIL[[#This Row],[CODIGO]]="","",7711)</f>
        <v>7711</v>
      </c>
      <c r="H595" s="42">
        <f>IF(GUAYAQUIL[[#This Row],[CODIGO]]="","",1001)</f>
        <v>1001</v>
      </c>
      <c r="I595" s="258" t="s">
        <v>4313</v>
      </c>
      <c r="J595" s="25" t="str">
        <f>IFERROR((VLOOKUP(GUAYAQUIL[[#This Row],[CODIGO]],MAESTRO!A:B,2,FALSE)),"")</f>
        <v>YOG FNSSE VAINILLA 950</v>
      </c>
      <c r="K595" s="35">
        <v>36</v>
      </c>
      <c r="L595" s="38">
        <f>+IFERROR(IF(GUAYAQUIL[[#This Row],[CODIGO]]="","",VLOOKUP(GUAYAQUIL[[#This Row],[CODIGO]],MAESTRO!$A:$BF,58,FALSE)),"")</f>
        <v>1</v>
      </c>
      <c r="M595" s="27">
        <f>+IFERROR(IF(GUAYAQUIL[[#This Row],[CODIGO]]="","",VLOOKUP(GUAYAQUIL[[#This Row],[CODIGO]],MAESTRO!A:N,14,FALSE)),"")</f>
        <v>0.95</v>
      </c>
      <c r="N595" s="28">
        <f>+IFERROR(IF(GUAYAQUIL[[#This Row],[CODIGO]]="","",VLOOKUP(GUAYAQUIL[[#This Row],[CODIGO]],MAESTRO!A:P,16,FALSE)),"")</f>
        <v>45</v>
      </c>
      <c r="O595" s="29">
        <v>45617</v>
      </c>
      <c r="P595" s="72" t="str">
        <f t="shared" si="45"/>
        <v>jueves</v>
      </c>
      <c r="Q595" s="29">
        <f>IFERROR(IF(GUAYAQUIL[[#This Row],[CODIGO]]="","",IF(GUAYAQUIL[[#This Row],[Fecha Cad]]="","",(GUAYAQUIL[[#This Row],[Fecha Cad]]-GUAYAQUIL[[#This Row],[VIDA UTIL (Días)]]))+1),"")</f>
        <v>45611</v>
      </c>
      <c r="R595" s="29">
        <v>45655</v>
      </c>
      <c r="S595" s="30">
        <f t="shared" ca="1" si="46"/>
        <v>31</v>
      </c>
      <c r="T595" s="31">
        <f t="shared" ca="1" si="47"/>
        <v>0.68888888888888888</v>
      </c>
      <c r="U595" s="286">
        <v>36</v>
      </c>
      <c r="V595" s="266">
        <f>+IFERROR(IF(GUAYAQUIL[[#This Row],[CODIGO]]="","",GUAYAQUIL[[#This Row],[Stock Actual Unds]]*GUAYAQUIL[[#This Row],[Gramaje]]*GUAYAQUIL[[#This Row],[Conversión]]),"")</f>
        <v>34.199999999999996</v>
      </c>
      <c r="W595" s="270">
        <f t="shared" si="48"/>
        <v>6</v>
      </c>
      <c r="X595" s="32">
        <f t="shared" si="49"/>
        <v>0.8666666666666667</v>
      </c>
      <c r="Y595" s="236">
        <f>IFERROR(VLOOKUP(GUAYAQUIL[[#This Row],[CODIGO]],MAESTRO!A:BI,21,FALSE),0)</f>
        <v>1.24322</v>
      </c>
      <c r="Z595" s="237">
        <f>+IFERROR(IF(GUAYAQUIL[[#This Row],[CODIGO]]="","",GUAYAQUIL[[#This Row],[COSTO UNIT base]]*GUAYAQUIL[[#This Row],[Conversión]]),"")</f>
        <v>1.24322</v>
      </c>
      <c r="AA595" s="236">
        <f>+IFERROR(IF(GUAYAQUIL[[#This Row],[CODIGO]]="","",GUAYAQUIL[[#This Row],[COSTO UNIT Conv]]*GUAYAQUIL[[#This Row],[Stock Actual Kgs]]),"")</f>
        <v>42.518123999999993</v>
      </c>
      <c r="AB595" s="33">
        <f ca="1">+IFERROR(IF(GUAYAQUIL[[#This Row],[CODIGO]]="","",$J$3-O595),"")</f>
        <v>7</v>
      </c>
      <c r="AC595" s="34" t="str">
        <f ca="1">IF(GUAYAQUIL[[#This Row],[CODIGO]]="","",IF(S595&lt;=0,"CADUCADO",IF(AND(S595&gt;0,S595&lt;=21),"FECHA CORTA",IF(AND(S595&gt;=22,S595&lt;=26),"PROXIMOS FECHA CORTA", "VIGENTE"))))</f>
        <v>VIGENTE</v>
      </c>
      <c r="AD595" s="37">
        <f>+IF(GUAYAQUIL[[#This Row],[CODIGO]]="","",GUAYAQUIL[[#This Row],[Stock Actual Unds]]*GUAYAQUIL[[#This Row],[Gramaje]]*GUAYAQUIL[[#This Row],[Conversión]])/1000</f>
        <v>3.4199999999999994E-2</v>
      </c>
    </row>
    <row r="596" spans="1:30">
      <c r="A596" s="24" t="str">
        <f>+IFERROR(IF(GUAYAQUIL[[#This Row],[CODIGO]]="","",VLOOKUP(GUAYAQUIL[[#This Row],[CODIGO]],MAESTRO!$A:$J,10,FALSE)),"")</f>
        <v>SAN GABRIEL</v>
      </c>
      <c r="B596" s="24" t="str">
        <f>+IFERROR(IF(GUAYAQUIL[[#This Row],[CODIGO]]="","",VLOOKUP(GUAYAQUIL[[#This Row],[CODIGO]],MAESTRO!$A:$Q,17,FALSE)),"")</f>
        <v>QUESOS Y GRASAS</v>
      </c>
      <c r="C596" s="24" t="str">
        <f>+IFERROR(IF(GUAYAQUIL[[#This Row],[CODIGO]]="","",VLOOKUP(GUAYAQUIL[[#This Row],[CODIGO]],MAESTRO!$A:$BA,53,FALSE)),"")</f>
        <v xml:space="preserve">Esteban Montenegro                      </v>
      </c>
      <c r="D596" s="24" t="str">
        <f>+IFERROR(IF(GUAYAQUIL[[#This Row],[CODIGO]]="","",VLOOKUP(GUAYAQUIL[[#This Row],[CODIGO]],MAESTRO!$A:$D,4,FALSE)),"")</f>
        <v>QUESO MOZARELLA KIOSKO</v>
      </c>
      <c r="E596" s="24" t="str">
        <f>+IFERROR(IF(GUAYAQUIL[[#This Row],[CODIGO]]="","",VLOOKUP(GUAYAQUIL[[#This Row],[CODIGO]],MAESTRO!$A:$F,6,FALSE)),"")</f>
        <v>QUESO MOZARELLA PIZZA KIOSKO TAJADO</v>
      </c>
      <c r="F596" s="42" t="str">
        <f>IF(GUAYAQUIL[[#This Row],[CODIGO]]="","",$K$6)</f>
        <v>GUAYAQUIL</v>
      </c>
      <c r="G596" s="42">
        <f>IF(GUAYAQUIL[[#This Row],[CODIGO]]="","",7711)</f>
        <v>7711</v>
      </c>
      <c r="H596" s="42">
        <f>IF(GUAYAQUIL[[#This Row],[CODIGO]]="","",1001)</f>
        <v>1001</v>
      </c>
      <c r="I596" s="257" t="s">
        <v>1878</v>
      </c>
      <c r="J596" s="25" t="str">
        <f>IFERROR((VLOOKUP(GUAYAQUIL[[#This Row],[CODIGO]],MAESTRO!A:B,2,FALSE)),"")</f>
        <v>Q MOZAR PIZZ KIOSKO LONJ AL PESO COR</v>
      </c>
      <c r="K596" s="26">
        <v>12</v>
      </c>
      <c r="L596" s="38">
        <f>+IFERROR(IF(GUAYAQUIL[[#This Row],[CODIGO]]="","",VLOOKUP(GUAYAQUIL[[#This Row],[CODIGO]],MAESTRO!$A:$BF,58,FALSE)),"")</f>
        <v>2.7</v>
      </c>
      <c r="M596" s="27">
        <f>+IFERROR(IF(GUAYAQUIL[[#This Row],[CODIGO]]="","",VLOOKUP(GUAYAQUIL[[#This Row],[CODIGO]],MAESTRO!A:N,14,FALSE)),"")</f>
        <v>1</v>
      </c>
      <c r="N596" s="28">
        <f>+IFERROR(IF(GUAYAQUIL[[#This Row],[CODIGO]]="","",VLOOKUP(GUAYAQUIL[[#This Row],[CODIGO]],MAESTRO!A:P,16,FALSE)),"")</f>
        <v>30</v>
      </c>
      <c r="O596" s="29">
        <v>45615</v>
      </c>
      <c r="P596" s="72" t="str">
        <f t="shared" si="45"/>
        <v>martes</v>
      </c>
      <c r="Q596" s="29">
        <f>IFERROR(IF(GUAYAQUIL[[#This Row],[CODIGO]]="","",IF(GUAYAQUIL[[#This Row],[Fecha Cad]]="","",(GUAYAQUIL[[#This Row],[Fecha Cad]]-GUAYAQUIL[[#This Row],[VIDA UTIL (Días)]]))+1),"")</f>
        <v>45613</v>
      </c>
      <c r="R596" s="29">
        <v>45642</v>
      </c>
      <c r="S596" s="30">
        <f t="shared" ca="1" si="46"/>
        <v>18</v>
      </c>
      <c r="T596" s="31">
        <f t="shared" ca="1" si="47"/>
        <v>0.6</v>
      </c>
      <c r="U596" s="286">
        <v>12</v>
      </c>
      <c r="V596" s="267">
        <f>+IFERROR(IF(GUAYAQUIL[[#This Row],[CODIGO]]="","",GUAYAQUIL[[#This Row],[Stock Actual Unds]]*GUAYAQUIL[[#This Row],[Gramaje]]*GUAYAQUIL[[#This Row],[Conversión]]),"")</f>
        <v>32.400000000000006</v>
      </c>
      <c r="W596" s="270">
        <f t="shared" si="48"/>
        <v>2</v>
      </c>
      <c r="X596" s="32">
        <f t="shared" si="49"/>
        <v>0.93333333333333335</v>
      </c>
      <c r="Y596" s="236">
        <f>IFERROR(VLOOKUP(GUAYAQUIL[[#This Row],[CODIGO]],MAESTRO!A:BI,21,FALSE),0)</f>
        <v>7.2692399999999999</v>
      </c>
      <c r="Z596" s="237">
        <f>+IFERROR(IF(GUAYAQUIL[[#This Row],[CODIGO]]="","",GUAYAQUIL[[#This Row],[COSTO UNIT base]]*GUAYAQUIL[[#This Row],[Conversión]]),"")</f>
        <v>19.626948000000002</v>
      </c>
      <c r="AA596" s="236">
        <f>+IFERROR(IF(GUAYAQUIL[[#This Row],[CODIGO]]="","",GUAYAQUIL[[#This Row],[COSTO UNIT Conv]]*GUAYAQUIL[[#This Row],[Stock Actual Kgs]]),"")</f>
        <v>635.91311520000022</v>
      </c>
      <c r="AB596" s="33">
        <f ca="1">+IFERROR(IF(GUAYAQUIL[[#This Row],[CODIGO]]="","",$J$3-O596),"")</f>
        <v>9</v>
      </c>
      <c r="AC596" s="34" t="str">
        <f ca="1">IF(GUAYAQUIL[[#This Row],[CODIGO]]="","",IF(S596&lt;=0,"CADUCADO",IF(AND(S596&gt;0,S596&lt;=21),"FECHA CORTA",IF(AND(S596&gt;=22,S596&lt;=26),"PROXIMOS FECHA CORTA", "VIGENTE"))))</f>
        <v>FECHA CORTA</v>
      </c>
      <c r="AD596" s="37">
        <f>+IF(GUAYAQUIL[[#This Row],[CODIGO]]="","",GUAYAQUIL[[#This Row],[Stock Actual Unds]]*GUAYAQUIL[[#This Row],[Gramaje]]*GUAYAQUIL[[#This Row],[Conversión]])/1000</f>
        <v>3.2400000000000005E-2</v>
      </c>
    </row>
    <row r="597" spans="1:30">
      <c r="A597" s="24" t="str">
        <f>+IFERROR(IF(GUAYAQUIL[[#This Row],[CODIGO]]="","",VLOOKUP(GUAYAQUIL[[#This Row],[CODIGO]],MAESTRO!$A:$J,10,FALSE)),"")</f>
        <v>SAN GABRIEL</v>
      </c>
      <c r="B597" s="24" t="str">
        <f>+IFERROR(IF(GUAYAQUIL[[#This Row],[CODIGO]]="","",VLOOKUP(GUAYAQUIL[[#This Row],[CODIGO]],MAESTRO!$A:$Q,17,FALSE)),"")</f>
        <v>QUESOS Y GRASAS</v>
      </c>
      <c r="C597" s="24" t="str">
        <f>+IFERROR(IF(GUAYAQUIL[[#This Row],[CODIGO]]="","",VLOOKUP(GUAYAQUIL[[#This Row],[CODIGO]],MAESTRO!$A:$BA,53,FALSE)),"")</f>
        <v xml:space="preserve">Esteban Montenegro                      </v>
      </c>
      <c r="D597" s="24" t="str">
        <f>+IFERROR(IF(GUAYAQUIL[[#This Row],[CODIGO]]="","",VLOOKUP(GUAYAQUIL[[#This Row],[CODIGO]],MAESTRO!$A:$D,4,FALSE)),"")</f>
        <v>QUESO MOZARELLA KIOSKO</v>
      </c>
      <c r="E597" s="24" t="str">
        <f>+IFERROR(IF(GUAYAQUIL[[#This Row],[CODIGO]]="","",VLOOKUP(GUAYAQUIL[[#This Row],[CODIGO]],MAESTRO!$A:$F,6,FALSE)),"")</f>
        <v>QUESO MOZARELLA PIZZA KIOSKO TAJADO</v>
      </c>
      <c r="F597" s="42" t="str">
        <f>IF(GUAYAQUIL[[#This Row],[CODIGO]]="","",$K$6)</f>
        <v>GUAYAQUIL</v>
      </c>
      <c r="G597" s="209">
        <f>IF(GUAYAQUIL[[#This Row],[CODIGO]]="","",7711)</f>
        <v>7711</v>
      </c>
      <c r="H597" s="209">
        <f>IF(GUAYAQUIL[[#This Row],[CODIGO]]="","",1001)</f>
        <v>1001</v>
      </c>
      <c r="I597" s="258" t="s">
        <v>1878</v>
      </c>
      <c r="J597" s="25" t="str">
        <f>IFERROR((VLOOKUP(GUAYAQUIL[[#This Row],[CODIGO]],MAESTRO!A:B,2,FALSE)),"")</f>
        <v>Q MOZAR PIZZ KIOSKO LONJ AL PESO COR</v>
      </c>
      <c r="K597" s="35">
        <v>10</v>
      </c>
      <c r="L597" s="38">
        <f>+IFERROR(IF(GUAYAQUIL[[#This Row],[CODIGO]]="","",VLOOKUP(GUAYAQUIL[[#This Row],[CODIGO]],MAESTRO!$A:$BF,58,FALSE)),"")</f>
        <v>2.7</v>
      </c>
      <c r="M597" s="27">
        <f>+IFERROR(IF(GUAYAQUIL[[#This Row],[CODIGO]]="","",VLOOKUP(GUAYAQUIL[[#This Row],[CODIGO]],MAESTRO!A:N,14,FALSE)),"")</f>
        <v>1</v>
      </c>
      <c r="N597" s="28">
        <f>+IFERROR(IF(GUAYAQUIL[[#This Row],[CODIGO]]="","",VLOOKUP(GUAYAQUIL[[#This Row],[CODIGO]],MAESTRO!A:P,16,FALSE)),"")</f>
        <v>30</v>
      </c>
      <c r="O597" s="29">
        <v>45617</v>
      </c>
      <c r="P597" s="72" t="str">
        <f t="shared" si="45"/>
        <v>jueves</v>
      </c>
      <c r="Q597" s="29">
        <f>IFERROR(IF(GUAYAQUIL[[#This Row],[CODIGO]]="","",IF(GUAYAQUIL[[#This Row],[Fecha Cad]]="","",(GUAYAQUIL[[#This Row],[Fecha Cad]]-GUAYAQUIL[[#This Row],[VIDA UTIL (Días)]]))+1),"")</f>
        <v>45616</v>
      </c>
      <c r="R597" s="29">
        <v>45645</v>
      </c>
      <c r="S597" s="30">
        <f t="shared" ca="1" si="46"/>
        <v>21</v>
      </c>
      <c r="T597" s="31">
        <f t="shared" ca="1" si="47"/>
        <v>0.7</v>
      </c>
      <c r="U597" s="286">
        <v>10</v>
      </c>
      <c r="V597" s="266">
        <f>+IFERROR(IF(GUAYAQUIL[[#This Row],[CODIGO]]="","",GUAYAQUIL[[#This Row],[Stock Actual Unds]]*GUAYAQUIL[[#This Row],[Gramaje]]*GUAYAQUIL[[#This Row],[Conversión]]),"")</f>
        <v>27</v>
      </c>
      <c r="W597" s="270">
        <f t="shared" si="48"/>
        <v>1</v>
      </c>
      <c r="X597" s="32">
        <f t="shared" si="49"/>
        <v>0.96666666666666667</v>
      </c>
      <c r="Y597" s="236">
        <f>IFERROR(VLOOKUP(GUAYAQUIL[[#This Row],[CODIGO]],MAESTRO!A:BI,21,FALSE),0)</f>
        <v>7.2692399999999999</v>
      </c>
      <c r="Z597" s="237">
        <f>+IFERROR(IF(GUAYAQUIL[[#This Row],[CODIGO]]="","",GUAYAQUIL[[#This Row],[COSTO UNIT base]]*GUAYAQUIL[[#This Row],[Conversión]]),"")</f>
        <v>19.626948000000002</v>
      </c>
      <c r="AA597" s="236">
        <f>+IFERROR(IF(GUAYAQUIL[[#This Row],[CODIGO]]="","",GUAYAQUIL[[#This Row],[COSTO UNIT Conv]]*GUAYAQUIL[[#This Row],[Stock Actual Kgs]]),"")</f>
        <v>529.92759600000011</v>
      </c>
      <c r="AB597" s="33">
        <f ca="1">+IFERROR(IF(GUAYAQUIL[[#This Row],[CODIGO]]="","",$J$3-O597),"")</f>
        <v>7</v>
      </c>
      <c r="AC597" s="34" t="str">
        <f ca="1">IF(GUAYAQUIL[[#This Row],[CODIGO]]="","",IF(S597&lt;=0,"CADUCADO",IF(AND(S597&gt;0,S597&lt;=21),"FECHA CORTA",IF(AND(S597&gt;=22,S597&lt;=26),"PROXIMOS FECHA CORTA", "VIGENTE"))))</f>
        <v>FECHA CORTA</v>
      </c>
      <c r="AD597" s="37">
        <f>+IF(GUAYAQUIL[[#This Row],[CODIGO]]="","",GUAYAQUIL[[#This Row],[Stock Actual Unds]]*GUAYAQUIL[[#This Row],[Gramaje]]*GUAYAQUIL[[#This Row],[Conversión]])/1000</f>
        <v>2.7E-2</v>
      </c>
    </row>
    <row r="598" spans="1:30">
      <c r="A598" s="24" t="str">
        <f>+IFERROR(IF(GUAYAQUIL[[#This Row],[CODIGO]]="","",VLOOKUP(GUAYAQUIL[[#This Row],[CODIGO]],MAESTRO!$A:$J,10,FALSE)),"")</f>
        <v>SAN GABRIEL</v>
      </c>
      <c r="B598" s="24" t="str">
        <f>+IFERROR(IF(GUAYAQUIL[[#This Row],[CODIGO]]="","",VLOOKUP(GUAYAQUIL[[#This Row],[CODIGO]],MAESTRO!$A:$Q,17,FALSE)),"")</f>
        <v>QUESOS Y GRASAS</v>
      </c>
      <c r="C598" s="24" t="str">
        <f>+IFERROR(IF(GUAYAQUIL[[#This Row],[CODIGO]]="","",VLOOKUP(GUAYAQUIL[[#This Row],[CODIGO]],MAESTRO!$A:$BA,53,FALSE)),"")</f>
        <v xml:space="preserve">Esteban Montenegro                      </v>
      </c>
      <c r="D598" s="24" t="str">
        <f>+IFERROR(IF(GUAYAQUIL[[#This Row],[CODIGO]]="","",VLOOKUP(GUAYAQUIL[[#This Row],[CODIGO]],MAESTRO!$A:$D,4,FALSE)),"")</f>
        <v>QUESO SEMIMADURO KIOSKO</v>
      </c>
      <c r="E598" s="24" t="str">
        <f>+IFERROR(IF(GUAYAQUIL[[#This Row],[CODIGO]]="","",VLOOKUP(GUAYAQUIL[[#This Row],[CODIGO]],MAESTRO!$A:$F,6,FALSE)),"")</f>
        <v>QUESO HOLANDES BLOQUE</v>
      </c>
      <c r="F598" s="42" t="str">
        <f>IF(GUAYAQUIL[[#This Row],[CODIGO]]="","",$K$6)</f>
        <v>GUAYAQUIL</v>
      </c>
      <c r="G598" s="42">
        <f>IF(GUAYAQUIL[[#This Row],[CODIGO]]="","",7711)</f>
        <v>7711</v>
      </c>
      <c r="H598" s="42">
        <f>IF(GUAYAQUIL[[#This Row],[CODIGO]]="","",1001)</f>
        <v>1001</v>
      </c>
      <c r="I598" s="258" t="s">
        <v>3974</v>
      </c>
      <c r="J598" s="25" t="str">
        <f>IFERROR((VLOOKUP(GUAYAQUIL[[#This Row],[CODIGO]],MAESTRO!A:B,2,FALSE)),"")</f>
        <v>Q HOLANDES KIOSKO RALLADO 1500G</v>
      </c>
      <c r="K598" s="35">
        <v>10</v>
      </c>
      <c r="L598" s="38">
        <f>+IFERROR(IF(GUAYAQUIL[[#This Row],[CODIGO]]="","",VLOOKUP(GUAYAQUIL[[#This Row],[CODIGO]],MAESTRO!$A:$BF,58,FALSE)),"")</f>
        <v>1</v>
      </c>
      <c r="M598" s="27">
        <f>+IFERROR(IF(GUAYAQUIL[[#This Row],[CODIGO]]="","",VLOOKUP(GUAYAQUIL[[#This Row],[CODIGO]],MAESTRO!A:N,14,FALSE)),"")</f>
        <v>1.5</v>
      </c>
      <c r="N598" s="28">
        <f>+IFERROR(IF(GUAYAQUIL[[#This Row],[CODIGO]]="","",VLOOKUP(GUAYAQUIL[[#This Row],[CODIGO]],MAESTRO!A:P,16,FALSE)),"")</f>
        <v>60</v>
      </c>
      <c r="O598" s="29">
        <v>45608</v>
      </c>
      <c r="P598" s="72" t="str">
        <f t="shared" si="45"/>
        <v>martes</v>
      </c>
      <c r="Q598" s="29">
        <f>IFERROR(IF(GUAYAQUIL[[#This Row],[CODIGO]]="","",IF(GUAYAQUIL[[#This Row],[Fecha Cad]]="","",(GUAYAQUIL[[#This Row],[Fecha Cad]]-GUAYAQUIL[[#This Row],[VIDA UTIL (Días)]]))+1),"")</f>
        <v>45604</v>
      </c>
      <c r="R598" s="29">
        <v>45663</v>
      </c>
      <c r="S598" s="30">
        <f t="shared" ca="1" si="46"/>
        <v>39</v>
      </c>
      <c r="T598" s="31">
        <f t="shared" ca="1" si="47"/>
        <v>0.65</v>
      </c>
      <c r="U598" s="286">
        <v>4</v>
      </c>
      <c r="V598" s="266">
        <f>+IFERROR(IF(GUAYAQUIL[[#This Row],[CODIGO]]="","",GUAYAQUIL[[#This Row],[Stock Actual Unds]]*GUAYAQUIL[[#This Row],[Gramaje]]*GUAYAQUIL[[#This Row],[Conversión]]),"")</f>
        <v>6</v>
      </c>
      <c r="W598" s="270">
        <f t="shared" si="48"/>
        <v>4</v>
      </c>
      <c r="X598" s="32">
        <f t="shared" si="49"/>
        <v>0.93333333333333335</v>
      </c>
      <c r="Y598" s="236">
        <f>IFERROR(VLOOKUP(GUAYAQUIL[[#This Row],[CODIGO]],MAESTRO!A:BI,21,FALSE),0)</f>
        <v>10.058565</v>
      </c>
      <c r="Z598" s="237">
        <f>+IFERROR(IF(GUAYAQUIL[[#This Row],[CODIGO]]="","",GUAYAQUIL[[#This Row],[COSTO UNIT base]]*GUAYAQUIL[[#This Row],[Conversión]]),"")</f>
        <v>10.058565</v>
      </c>
      <c r="AA598" s="236">
        <f>+IFERROR(IF(GUAYAQUIL[[#This Row],[CODIGO]]="","",GUAYAQUIL[[#This Row],[COSTO UNIT Conv]]*GUAYAQUIL[[#This Row],[Stock Actual Kgs]]),"")</f>
        <v>60.351389999999995</v>
      </c>
      <c r="AB598" s="33">
        <f ca="1">+IFERROR(IF(GUAYAQUIL[[#This Row],[CODIGO]]="","",$J$3-O598),"")</f>
        <v>16</v>
      </c>
      <c r="AC598" s="34" t="str">
        <f ca="1">IF(GUAYAQUIL[[#This Row],[CODIGO]]="","",IF(S598&lt;=0,"CADUCADO",IF(AND(S598&gt;0,S598&lt;=21),"FECHA CORTA",IF(AND(S598&gt;=22,S598&lt;=26),"PROXIMOS FECHA CORTA", "VIGENTE"))))</f>
        <v>VIGENTE</v>
      </c>
      <c r="AD598" s="37">
        <f>+IF(GUAYAQUIL[[#This Row],[CODIGO]]="","",GUAYAQUIL[[#This Row],[Stock Actual Unds]]*GUAYAQUIL[[#This Row],[Gramaje]]*GUAYAQUIL[[#This Row],[Conversión]])/1000</f>
        <v>6.0000000000000001E-3</v>
      </c>
    </row>
    <row r="599" spans="1:30">
      <c r="A599" s="24" t="str">
        <f>+IFERROR(IF(GUAYAQUIL[[#This Row],[CODIGO]]="","",VLOOKUP(GUAYAQUIL[[#This Row],[CODIGO]],MAESTRO!$A:$J,10,FALSE)),"")</f>
        <v>SAN GABRIEL</v>
      </c>
      <c r="B599" s="24" t="str">
        <f>+IFERROR(IF(GUAYAQUIL[[#This Row],[CODIGO]]="","",VLOOKUP(GUAYAQUIL[[#This Row],[CODIGO]],MAESTRO!$A:$Q,17,FALSE)),"")</f>
        <v>QUESOS Y GRASAS</v>
      </c>
      <c r="C599" s="24" t="str">
        <f>+IFERROR(IF(GUAYAQUIL[[#This Row],[CODIGO]]="","",VLOOKUP(GUAYAQUIL[[#This Row],[CODIGO]],MAESTRO!$A:$BA,53,FALSE)),"")</f>
        <v xml:space="preserve">Esteban Montenegro                      </v>
      </c>
      <c r="D599" s="24" t="str">
        <f>+IFERROR(IF(GUAYAQUIL[[#This Row],[CODIGO]]="","",VLOOKUP(GUAYAQUIL[[#This Row],[CODIGO]],MAESTRO!$A:$D,4,FALSE)),"")</f>
        <v>QUESO SEMIMADURO KIOSKO</v>
      </c>
      <c r="E599" s="24" t="str">
        <f>+IFERROR(IF(GUAYAQUIL[[#This Row],[CODIGO]]="","",VLOOKUP(GUAYAQUIL[[#This Row],[CODIGO]],MAESTRO!$A:$F,6,FALSE)),"")</f>
        <v>QUESO HOLANDES BLOQUE</v>
      </c>
      <c r="F599" s="42" t="str">
        <f>IF(GUAYAQUIL[[#This Row],[CODIGO]]="","",$K$6)</f>
        <v>GUAYAQUIL</v>
      </c>
      <c r="G599" s="209">
        <f>IF(GUAYAQUIL[[#This Row],[CODIGO]]="","",7711)</f>
        <v>7711</v>
      </c>
      <c r="H599" s="209">
        <f>IF(GUAYAQUIL[[#This Row],[CODIGO]]="","",1001)</f>
        <v>1001</v>
      </c>
      <c r="I599" s="257" t="s">
        <v>3974</v>
      </c>
      <c r="J599" s="25" t="str">
        <f>IFERROR((VLOOKUP(GUAYAQUIL[[#This Row],[CODIGO]],MAESTRO!A:B,2,FALSE)),"")</f>
        <v>Q HOLANDES KIOSKO RALLADO 1500G</v>
      </c>
      <c r="K599" s="26">
        <v>150</v>
      </c>
      <c r="L599" s="38">
        <f>+IFERROR(IF(GUAYAQUIL[[#This Row],[CODIGO]]="","",VLOOKUP(GUAYAQUIL[[#This Row],[CODIGO]],MAESTRO!$A:$BF,58,FALSE)),"")</f>
        <v>1</v>
      </c>
      <c r="M599" s="27">
        <f>+IFERROR(IF(GUAYAQUIL[[#This Row],[CODIGO]]="","",VLOOKUP(GUAYAQUIL[[#This Row],[CODIGO]],MAESTRO!A:N,14,FALSE)),"")</f>
        <v>1.5</v>
      </c>
      <c r="N599" s="28">
        <f>+IFERROR(IF(GUAYAQUIL[[#This Row],[CODIGO]]="","",VLOOKUP(GUAYAQUIL[[#This Row],[CODIGO]],MAESTRO!A:P,16,FALSE)),"")</f>
        <v>60</v>
      </c>
      <c r="O599" s="29">
        <v>45610</v>
      </c>
      <c r="P599" s="72" t="str">
        <f t="shared" si="45"/>
        <v>jueves</v>
      </c>
      <c r="Q599" s="29">
        <f>IFERROR(IF(GUAYAQUIL[[#This Row],[CODIGO]]="","",IF(GUAYAQUIL[[#This Row],[Fecha Cad]]="","",(GUAYAQUIL[[#This Row],[Fecha Cad]]-GUAYAQUIL[[#This Row],[VIDA UTIL (Días)]]))+1),"")</f>
        <v>45609</v>
      </c>
      <c r="R599" s="29">
        <v>45668</v>
      </c>
      <c r="S599" s="30">
        <f t="shared" ca="1" si="46"/>
        <v>44</v>
      </c>
      <c r="T599" s="31">
        <f t="shared" ca="1" si="47"/>
        <v>0.73333333333333328</v>
      </c>
      <c r="U599" s="286">
        <v>150</v>
      </c>
      <c r="V599" s="267">
        <f>+IFERROR(IF(GUAYAQUIL[[#This Row],[CODIGO]]="","",GUAYAQUIL[[#This Row],[Stock Actual Unds]]*GUAYAQUIL[[#This Row],[Gramaje]]*GUAYAQUIL[[#This Row],[Conversión]]),"")</f>
        <v>225</v>
      </c>
      <c r="W599" s="270">
        <f t="shared" si="48"/>
        <v>1</v>
      </c>
      <c r="X599" s="32">
        <f t="shared" si="49"/>
        <v>0.98333333333333328</v>
      </c>
      <c r="Y599" s="236">
        <f>IFERROR(VLOOKUP(GUAYAQUIL[[#This Row],[CODIGO]],MAESTRO!A:BI,21,FALSE),0)</f>
        <v>10.058565</v>
      </c>
      <c r="Z599" s="237">
        <f>+IFERROR(IF(GUAYAQUIL[[#This Row],[CODIGO]]="","",GUAYAQUIL[[#This Row],[COSTO UNIT base]]*GUAYAQUIL[[#This Row],[Conversión]]),"")</f>
        <v>10.058565</v>
      </c>
      <c r="AA599" s="236">
        <f>+IFERROR(IF(GUAYAQUIL[[#This Row],[CODIGO]]="","",GUAYAQUIL[[#This Row],[COSTO UNIT Conv]]*GUAYAQUIL[[#This Row],[Stock Actual Kgs]]),"")</f>
        <v>2263.1771250000002</v>
      </c>
      <c r="AB599" s="33">
        <f ca="1">+IFERROR(IF(GUAYAQUIL[[#This Row],[CODIGO]]="","",$J$3-O599),"")</f>
        <v>14</v>
      </c>
      <c r="AC599" s="34" t="str">
        <f ca="1">IF(GUAYAQUIL[[#This Row],[CODIGO]]="","",IF(S599&lt;=0,"CADUCADO",IF(AND(S599&gt;0,S599&lt;=21),"FECHA CORTA",IF(AND(S599&gt;=22,S599&lt;=26),"PROXIMOS FECHA CORTA", "VIGENTE"))))</f>
        <v>VIGENTE</v>
      </c>
      <c r="AD599" s="37">
        <f>+IF(GUAYAQUIL[[#This Row],[CODIGO]]="","",GUAYAQUIL[[#This Row],[Stock Actual Unds]]*GUAYAQUIL[[#This Row],[Gramaje]]*GUAYAQUIL[[#This Row],[Conversión]])/1000</f>
        <v>0.22500000000000001</v>
      </c>
    </row>
    <row r="600" spans="1:30">
      <c r="A600" s="24" t="str">
        <f>+IFERROR(IF(GUAYAQUIL[[#This Row],[CODIGO]]="","",VLOOKUP(GUAYAQUIL[[#This Row],[CODIGO]],MAESTRO!$A:$J,10,FALSE)),"")</f>
        <v>SAN GABRIEL</v>
      </c>
      <c r="B600" s="24" t="str">
        <f>+IFERROR(IF(GUAYAQUIL[[#This Row],[CODIGO]]="","",VLOOKUP(GUAYAQUIL[[#This Row],[CODIGO]],MAESTRO!$A:$Q,17,FALSE)),"")</f>
        <v>QUESOS Y GRASAS</v>
      </c>
      <c r="C600" s="24" t="str">
        <f>+IFERROR(IF(GUAYAQUIL[[#This Row],[CODIGO]]="","",VLOOKUP(GUAYAQUIL[[#This Row],[CODIGO]],MAESTRO!$A:$BA,53,FALSE)),"")</f>
        <v xml:space="preserve">Esteban Montenegro                      </v>
      </c>
      <c r="D600" s="24" t="str">
        <f>+IFERROR(IF(GUAYAQUIL[[#This Row],[CODIGO]]="","",VLOOKUP(GUAYAQUIL[[#This Row],[CODIGO]],MAESTRO!$A:$D,4,FALSE)),"")</f>
        <v>QUESO SEMIMADURO KIOSKO</v>
      </c>
      <c r="E600" s="24" t="str">
        <f>+IFERROR(IF(GUAYAQUIL[[#This Row],[CODIGO]]="","",VLOOKUP(GUAYAQUIL[[#This Row],[CODIGO]],MAESTRO!$A:$F,6,FALSE)),"")</f>
        <v>QUESO HOLANDES BLOQUE</v>
      </c>
      <c r="F600" s="42" t="str">
        <f>IF(GUAYAQUIL[[#This Row],[CODIGO]]="","",$K$6)</f>
        <v>GUAYAQUIL</v>
      </c>
      <c r="G600" s="42">
        <f>IF(GUAYAQUIL[[#This Row],[CODIGO]]="","",7711)</f>
        <v>7711</v>
      </c>
      <c r="H600" s="42">
        <f>IF(GUAYAQUIL[[#This Row],[CODIGO]]="","",1001)</f>
        <v>1001</v>
      </c>
      <c r="I600" s="258" t="s">
        <v>3974</v>
      </c>
      <c r="J600" s="25" t="str">
        <f>IFERROR((VLOOKUP(GUAYAQUIL[[#This Row],[CODIGO]],MAESTRO!A:B,2,FALSE)),"")</f>
        <v>Q HOLANDES KIOSKO RALLADO 1500G</v>
      </c>
      <c r="K600" s="35">
        <v>5</v>
      </c>
      <c r="L600" s="38">
        <f>+IFERROR(IF(GUAYAQUIL[[#This Row],[CODIGO]]="","",VLOOKUP(GUAYAQUIL[[#This Row],[CODIGO]],MAESTRO!$A:$BF,58,FALSE)),"")</f>
        <v>1</v>
      </c>
      <c r="M600" s="27">
        <f>+IFERROR(IF(GUAYAQUIL[[#This Row],[CODIGO]]="","",VLOOKUP(GUAYAQUIL[[#This Row],[CODIGO]],MAESTRO!A:N,14,FALSE)),"")</f>
        <v>1.5</v>
      </c>
      <c r="N600" s="28">
        <f>+IFERROR(IF(GUAYAQUIL[[#This Row],[CODIGO]]="","",VLOOKUP(GUAYAQUIL[[#This Row],[CODIGO]],MAESTRO!A:P,16,FALSE)),"")</f>
        <v>60</v>
      </c>
      <c r="O600" s="29">
        <v>45615</v>
      </c>
      <c r="P600" s="72" t="str">
        <f t="shared" si="45"/>
        <v>martes</v>
      </c>
      <c r="Q600" s="29">
        <f>IFERROR(IF(GUAYAQUIL[[#This Row],[CODIGO]]="","",IF(GUAYAQUIL[[#This Row],[Fecha Cad]]="","",(GUAYAQUIL[[#This Row],[Fecha Cad]]-GUAYAQUIL[[#This Row],[VIDA UTIL (Días)]]))+1),"")</f>
        <v>45613</v>
      </c>
      <c r="R600" s="29">
        <v>45672</v>
      </c>
      <c r="S600" s="30">
        <f t="shared" ca="1" si="46"/>
        <v>48</v>
      </c>
      <c r="T600" s="31">
        <f t="shared" ca="1" si="47"/>
        <v>0.8</v>
      </c>
      <c r="U600" s="286">
        <v>5</v>
      </c>
      <c r="V600" s="266">
        <f>+IFERROR(IF(GUAYAQUIL[[#This Row],[CODIGO]]="","",GUAYAQUIL[[#This Row],[Stock Actual Unds]]*GUAYAQUIL[[#This Row],[Gramaje]]*GUAYAQUIL[[#This Row],[Conversión]]),"")</f>
        <v>7.5</v>
      </c>
      <c r="W600" s="270">
        <f t="shared" si="48"/>
        <v>2</v>
      </c>
      <c r="X600" s="32">
        <f t="shared" si="49"/>
        <v>0.96666666666666667</v>
      </c>
      <c r="Y600" s="236">
        <f>IFERROR(VLOOKUP(GUAYAQUIL[[#This Row],[CODIGO]],MAESTRO!A:BI,21,FALSE),0)</f>
        <v>10.058565</v>
      </c>
      <c r="Z600" s="237">
        <f>+IFERROR(IF(GUAYAQUIL[[#This Row],[CODIGO]]="","",GUAYAQUIL[[#This Row],[COSTO UNIT base]]*GUAYAQUIL[[#This Row],[Conversión]]),"")</f>
        <v>10.058565</v>
      </c>
      <c r="AA600" s="236">
        <f>+IFERROR(IF(GUAYAQUIL[[#This Row],[CODIGO]]="","",GUAYAQUIL[[#This Row],[COSTO UNIT Conv]]*GUAYAQUIL[[#This Row],[Stock Actual Kgs]]),"")</f>
        <v>75.439237500000004</v>
      </c>
      <c r="AB600" s="33">
        <f ca="1">+IFERROR(IF(GUAYAQUIL[[#This Row],[CODIGO]]="","",$J$3-O600),"")</f>
        <v>9</v>
      </c>
      <c r="AC600" s="34" t="str">
        <f ca="1">IF(GUAYAQUIL[[#This Row],[CODIGO]]="","",IF(S600&lt;=0,"CADUCADO",IF(AND(S600&gt;0,S600&lt;=21),"FECHA CORTA",IF(AND(S600&gt;=22,S600&lt;=26),"PROXIMOS FECHA CORTA", "VIGENTE"))))</f>
        <v>VIGENTE</v>
      </c>
      <c r="AD600" s="37">
        <f>+IF(GUAYAQUIL[[#This Row],[CODIGO]]="","",GUAYAQUIL[[#This Row],[Stock Actual Unds]]*GUAYAQUIL[[#This Row],[Gramaje]]*GUAYAQUIL[[#This Row],[Conversión]])/1000</f>
        <v>7.4999999999999997E-3</v>
      </c>
    </row>
    <row r="601" spans="1:30">
      <c r="A601" s="24" t="str">
        <f>+IFERROR(IF(GUAYAQUIL[[#This Row],[CODIGO]]="","",VLOOKUP(GUAYAQUIL[[#This Row],[CODIGO]],MAESTRO!$A:$J,10,FALSE)),"")</f>
        <v>SAN GABRIEL</v>
      </c>
      <c r="B601" s="24" t="str">
        <f>+IFERROR(IF(GUAYAQUIL[[#This Row],[CODIGO]]="","",VLOOKUP(GUAYAQUIL[[#This Row],[CODIGO]],MAESTRO!$A:$Q,17,FALSE)),"")</f>
        <v>QUESOS Y GRASAS</v>
      </c>
      <c r="C601" s="24" t="str">
        <f>+IFERROR(IF(GUAYAQUIL[[#This Row],[CODIGO]]="","",VLOOKUP(GUAYAQUIL[[#This Row],[CODIGO]],MAESTRO!$A:$BA,53,FALSE)),"")</f>
        <v xml:space="preserve">Esteban Montenegro                      </v>
      </c>
      <c r="D601" s="24" t="str">
        <f>+IFERROR(IF(GUAYAQUIL[[#This Row],[CODIGO]]="","",VLOOKUP(GUAYAQUIL[[#This Row],[CODIGO]],MAESTRO!$A:$D,4,FALSE)),"")</f>
        <v>QUESO SEMIMADURO KIOSKO</v>
      </c>
      <c r="E601" s="24" t="str">
        <f>+IFERROR(IF(GUAYAQUIL[[#This Row],[CODIGO]]="","",VLOOKUP(GUAYAQUIL[[#This Row],[CODIGO]],MAESTRO!$A:$F,6,FALSE)),"")</f>
        <v>QUESO HOLANDES BLOQUE</v>
      </c>
      <c r="F601" s="42" t="str">
        <f>IF(GUAYAQUIL[[#This Row],[CODIGO]]="","",$K$6)</f>
        <v>GUAYAQUIL</v>
      </c>
      <c r="G601" s="209">
        <f>IF(GUAYAQUIL[[#This Row],[CODIGO]]="","",7711)</f>
        <v>7711</v>
      </c>
      <c r="H601" s="209">
        <f>IF(GUAYAQUIL[[#This Row],[CODIGO]]="","",1001)</f>
        <v>1001</v>
      </c>
      <c r="I601" s="258" t="s">
        <v>3974</v>
      </c>
      <c r="J601" s="25" t="str">
        <f>IFERROR((VLOOKUP(GUAYAQUIL[[#This Row],[CODIGO]],MAESTRO!A:B,2,FALSE)),"")</f>
        <v>Q HOLANDES KIOSKO RALLADO 1500G</v>
      </c>
      <c r="K601" s="35">
        <v>200</v>
      </c>
      <c r="L601" s="38">
        <f>+IFERROR(IF(GUAYAQUIL[[#This Row],[CODIGO]]="","",VLOOKUP(GUAYAQUIL[[#This Row],[CODIGO]],MAESTRO!$A:$BF,58,FALSE)),"")</f>
        <v>1</v>
      </c>
      <c r="M601" s="27">
        <f>+IFERROR(IF(GUAYAQUIL[[#This Row],[CODIGO]]="","",VLOOKUP(GUAYAQUIL[[#This Row],[CODIGO]],MAESTRO!A:N,14,FALSE)),"")</f>
        <v>1.5</v>
      </c>
      <c r="N601" s="28">
        <f>+IFERROR(IF(GUAYAQUIL[[#This Row],[CODIGO]]="","",VLOOKUP(GUAYAQUIL[[#This Row],[CODIGO]],MAESTRO!A:P,16,FALSE)),"")</f>
        <v>60</v>
      </c>
      <c r="O601" s="29">
        <v>45617</v>
      </c>
      <c r="P601" s="72" t="str">
        <f t="shared" si="45"/>
        <v>jueves</v>
      </c>
      <c r="Q601" s="29">
        <f>IFERROR(IF(GUAYAQUIL[[#This Row],[CODIGO]]="","",IF(GUAYAQUIL[[#This Row],[Fecha Cad]]="","",(GUAYAQUIL[[#This Row],[Fecha Cad]]-GUAYAQUIL[[#This Row],[VIDA UTIL (Días)]]))+1),"")</f>
        <v>45616</v>
      </c>
      <c r="R601" s="29">
        <v>45675</v>
      </c>
      <c r="S601" s="30">
        <f t="shared" ca="1" si="46"/>
        <v>51</v>
      </c>
      <c r="T601" s="31">
        <f t="shared" ca="1" si="47"/>
        <v>0.85</v>
      </c>
      <c r="U601" s="286">
        <v>200</v>
      </c>
      <c r="V601" s="266">
        <f>+IFERROR(IF(GUAYAQUIL[[#This Row],[CODIGO]]="","",GUAYAQUIL[[#This Row],[Stock Actual Unds]]*GUAYAQUIL[[#This Row],[Gramaje]]*GUAYAQUIL[[#This Row],[Conversión]]),"")</f>
        <v>300</v>
      </c>
      <c r="W601" s="270">
        <f t="shared" si="48"/>
        <v>1</v>
      </c>
      <c r="X601" s="32">
        <f t="shared" si="49"/>
        <v>0.98333333333333328</v>
      </c>
      <c r="Y601" s="236">
        <f>IFERROR(VLOOKUP(GUAYAQUIL[[#This Row],[CODIGO]],MAESTRO!A:BI,21,FALSE),0)</f>
        <v>10.058565</v>
      </c>
      <c r="Z601" s="237">
        <f>+IFERROR(IF(GUAYAQUIL[[#This Row],[CODIGO]]="","",GUAYAQUIL[[#This Row],[COSTO UNIT base]]*GUAYAQUIL[[#This Row],[Conversión]]),"")</f>
        <v>10.058565</v>
      </c>
      <c r="AA601" s="236">
        <f>+IFERROR(IF(GUAYAQUIL[[#This Row],[CODIGO]]="","",GUAYAQUIL[[#This Row],[COSTO UNIT Conv]]*GUAYAQUIL[[#This Row],[Stock Actual Kgs]]),"")</f>
        <v>3017.5695000000001</v>
      </c>
      <c r="AB601" s="33">
        <f ca="1">+IFERROR(IF(GUAYAQUIL[[#This Row],[CODIGO]]="","",$J$3-O601),"")</f>
        <v>7</v>
      </c>
      <c r="AC601" s="34" t="str">
        <f ca="1">IF(GUAYAQUIL[[#This Row],[CODIGO]]="","",IF(S601&lt;=0,"CADUCADO",IF(AND(S601&gt;0,S601&lt;=21),"FECHA CORTA",IF(AND(S601&gt;=22,S601&lt;=26),"PROXIMOS FECHA CORTA", "VIGENTE"))))</f>
        <v>VIGENTE</v>
      </c>
      <c r="AD601" s="37">
        <f>+IF(GUAYAQUIL[[#This Row],[CODIGO]]="","",GUAYAQUIL[[#This Row],[Stock Actual Unds]]*GUAYAQUIL[[#This Row],[Gramaje]]*GUAYAQUIL[[#This Row],[Conversión]])/1000</f>
        <v>0.3</v>
      </c>
    </row>
    <row r="602" spans="1:30">
      <c r="A602" s="24" t="str">
        <f>+IFERROR(IF(GUAYAQUIL[[#This Row],[CODIGO]]="","",VLOOKUP(GUAYAQUIL[[#This Row],[CODIGO]],MAESTRO!$A:$J,10,FALSE)),"")</f>
        <v>SAN GABRIEL</v>
      </c>
      <c r="B602" s="24" t="str">
        <f>+IFERROR(IF(GUAYAQUIL[[#This Row],[CODIGO]]="","",VLOOKUP(GUAYAQUIL[[#This Row],[CODIGO]],MAESTRO!$A:$Q,17,FALSE)),"")</f>
        <v>QUESOS Y GRASAS</v>
      </c>
      <c r="C602" s="24" t="str">
        <f>+IFERROR(IF(GUAYAQUIL[[#This Row],[CODIGO]]="","",VLOOKUP(GUAYAQUIL[[#This Row],[CODIGO]],MAESTRO!$A:$BA,53,FALSE)),"")</f>
        <v xml:space="preserve">Esteban Montenegro                      </v>
      </c>
      <c r="D602" s="24" t="str">
        <f>+IFERROR(IF(GUAYAQUIL[[#This Row],[CODIGO]]="","",VLOOKUP(GUAYAQUIL[[#This Row],[CODIGO]],MAESTRO!$A:$D,4,FALSE)),"")</f>
        <v>QUESO SEMIMADURO KIOSKO</v>
      </c>
      <c r="E602" s="24" t="str">
        <f>+IFERROR(IF(GUAYAQUIL[[#This Row],[CODIGO]]="","",VLOOKUP(GUAYAQUIL[[#This Row],[CODIGO]],MAESTRO!$A:$F,6,FALSE)),"")</f>
        <v>QUESO SEMIMADURO HIERBAS KIOSKO TAJADO</v>
      </c>
      <c r="F602" s="42" t="str">
        <f>IF(GUAYAQUIL[[#This Row],[CODIGO]]="","",$K$6)</f>
        <v>GUAYAQUIL</v>
      </c>
      <c r="G602" s="42">
        <f>IF(GUAYAQUIL[[#This Row],[CODIGO]]="","",7711)</f>
        <v>7711</v>
      </c>
      <c r="H602" s="42">
        <f>IF(GUAYAQUIL[[#This Row],[CODIGO]]="","",1001)</f>
        <v>1001</v>
      </c>
      <c r="I602" s="258" t="s">
        <v>3535</v>
      </c>
      <c r="J602" s="25" t="str">
        <f>IFERROR((VLOOKUP(GUAYAQUIL[[#This Row],[CODIGO]],MAESTRO!A:B,2,FALSE)),"")</f>
        <v>Q HIERBAS KIOSKO LONJ AL PESO</v>
      </c>
      <c r="K602" s="35">
        <v>20</v>
      </c>
      <c r="L602" s="38">
        <f>+IFERROR(IF(GUAYAQUIL[[#This Row],[CODIGO]]="","",VLOOKUP(GUAYAQUIL[[#This Row],[CODIGO]],MAESTRO!$A:$BF,58,FALSE)),"")</f>
        <v>2.5</v>
      </c>
      <c r="M602" s="27">
        <f>+IFERROR(IF(GUAYAQUIL[[#This Row],[CODIGO]]="","",VLOOKUP(GUAYAQUIL[[#This Row],[CODIGO]],MAESTRO!A:N,14,FALSE)),"")</f>
        <v>1</v>
      </c>
      <c r="N602" s="28">
        <f>+IFERROR(IF(GUAYAQUIL[[#This Row],[CODIGO]]="","",VLOOKUP(GUAYAQUIL[[#This Row],[CODIGO]],MAESTRO!A:P,16,FALSE)),"")</f>
        <v>90</v>
      </c>
      <c r="O602" s="29">
        <v>45608</v>
      </c>
      <c r="P602" s="72" t="str">
        <f t="shared" si="45"/>
        <v>martes</v>
      </c>
      <c r="Q602" s="29">
        <f>IFERROR(IF(GUAYAQUIL[[#This Row],[CODIGO]]="","",IF(GUAYAQUIL[[#This Row],[Fecha Cad]]="","",(GUAYAQUIL[[#This Row],[Fecha Cad]]-GUAYAQUIL[[#This Row],[VIDA UTIL (Días)]]))+1),"")</f>
        <v>45603</v>
      </c>
      <c r="R602" s="29">
        <v>45692</v>
      </c>
      <c r="S602" s="30">
        <f t="shared" ca="1" si="46"/>
        <v>68</v>
      </c>
      <c r="T602" s="31">
        <f t="shared" ca="1" si="47"/>
        <v>0.75555555555555554</v>
      </c>
      <c r="U602" s="286">
        <v>9</v>
      </c>
      <c r="V602" s="266">
        <f>+IFERROR(IF(GUAYAQUIL[[#This Row],[CODIGO]]="","",GUAYAQUIL[[#This Row],[Stock Actual Unds]]*GUAYAQUIL[[#This Row],[Gramaje]]*GUAYAQUIL[[#This Row],[Conversión]]),"")</f>
        <v>22.5</v>
      </c>
      <c r="W602" s="270">
        <f t="shared" si="48"/>
        <v>5</v>
      </c>
      <c r="X602" s="32">
        <f t="shared" si="49"/>
        <v>0.94444444444444442</v>
      </c>
      <c r="Y602" s="236">
        <f>IFERROR(VLOOKUP(GUAYAQUIL[[#This Row],[CODIGO]],MAESTRO!A:BI,21,FALSE),0)</f>
        <v>7.4059249999999999</v>
      </c>
      <c r="Z602" s="237">
        <f>+IFERROR(IF(GUAYAQUIL[[#This Row],[CODIGO]]="","",GUAYAQUIL[[#This Row],[COSTO UNIT base]]*GUAYAQUIL[[#This Row],[Conversión]]),"")</f>
        <v>18.514812499999998</v>
      </c>
      <c r="AA602" s="236">
        <f>+IFERROR(IF(GUAYAQUIL[[#This Row],[CODIGO]]="","",GUAYAQUIL[[#This Row],[COSTO UNIT Conv]]*GUAYAQUIL[[#This Row],[Stock Actual Kgs]]),"")</f>
        <v>416.58328124999997</v>
      </c>
      <c r="AB602" s="33">
        <f ca="1">+IFERROR(IF(GUAYAQUIL[[#This Row],[CODIGO]]="","",$J$3-O602),"")</f>
        <v>16</v>
      </c>
      <c r="AC602" s="34" t="str">
        <f ca="1">IF(GUAYAQUIL[[#This Row],[CODIGO]]="","",IF(S602&lt;=0,"CADUCADO",IF(AND(S602&gt;0,S602&lt;=21),"FECHA CORTA",IF(AND(S602&gt;=22,S602&lt;=26),"PROXIMOS FECHA CORTA", "VIGENTE"))))</f>
        <v>VIGENTE</v>
      </c>
      <c r="AD602" s="37">
        <f>+IF(GUAYAQUIL[[#This Row],[CODIGO]]="","",GUAYAQUIL[[#This Row],[Stock Actual Unds]]*GUAYAQUIL[[#This Row],[Gramaje]]*GUAYAQUIL[[#This Row],[Conversión]])/1000</f>
        <v>2.2499999999999999E-2</v>
      </c>
    </row>
    <row r="603" spans="1:30">
      <c r="A603" s="24" t="str">
        <f>+IFERROR(IF(GUAYAQUIL[[#This Row],[CODIGO]]="","",VLOOKUP(GUAYAQUIL[[#This Row],[CODIGO]],MAESTRO!$A:$J,10,FALSE)),"")</f>
        <v>SAN GABRIEL</v>
      </c>
      <c r="B603" s="24" t="str">
        <f>+IFERROR(IF(GUAYAQUIL[[#This Row],[CODIGO]]="","",VLOOKUP(GUAYAQUIL[[#This Row],[CODIGO]],MAESTRO!$A:$Q,17,FALSE)),"")</f>
        <v>QUESOS Y GRASAS</v>
      </c>
      <c r="C603" s="24" t="str">
        <f>+IFERROR(IF(GUAYAQUIL[[#This Row],[CODIGO]]="","",VLOOKUP(GUAYAQUIL[[#This Row],[CODIGO]],MAESTRO!$A:$BA,53,FALSE)),"")</f>
        <v xml:space="preserve">Esteban Montenegro                      </v>
      </c>
      <c r="D603" s="24" t="str">
        <f>+IFERROR(IF(GUAYAQUIL[[#This Row],[CODIGO]]="","",VLOOKUP(GUAYAQUIL[[#This Row],[CODIGO]],MAESTRO!$A:$D,4,FALSE)),"")</f>
        <v>QUESO SEMIMADURO KIOSKO</v>
      </c>
      <c r="E603" s="24" t="str">
        <f>+IFERROR(IF(GUAYAQUIL[[#This Row],[CODIGO]]="","",VLOOKUP(GUAYAQUIL[[#This Row],[CODIGO]],MAESTRO!$A:$F,6,FALSE)),"")</f>
        <v>QUESO SEMIMADURO HIERBAS KIOSKO TAJADO</v>
      </c>
      <c r="F603" s="42" t="str">
        <f>IF(GUAYAQUIL[[#This Row],[CODIGO]]="","",$K$6)</f>
        <v>GUAYAQUIL</v>
      </c>
      <c r="G603" s="1">
        <f>IF(GUAYAQUIL[[#This Row],[CODIGO]]="","",7711)</f>
        <v>7711</v>
      </c>
      <c r="H603" s="1">
        <f>IF(GUAYAQUIL[[#This Row],[CODIGO]]="","",1001)</f>
        <v>1001</v>
      </c>
      <c r="I603" s="258" t="s">
        <v>3535</v>
      </c>
      <c r="J603" s="43" t="str">
        <f>IFERROR((VLOOKUP(GUAYAQUIL[[#This Row],[CODIGO]],MAESTRO!A:B,2,FALSE)),"")</f>
        <v>Q HIERBAS KIOSKO LONJ AL PESO</v>
      </c>
      <c r="K603" s="35">
        <v>10</v>
      </c>
      <c r="L603" s="38">
        <f>+IFERROR(IF(GUAYAQUIL[[#This Row],[CODIGO]]="","",VLOOKUP(GUAYAQUIL[[#This Row],[CODIGO]],MAESTRO!$A:$BF,58,FALSE)),"")</f>
        <v>2.5</v>
      </c>
      <c r="M603" s="27">
        <f>+IFERROR(IF(GUAYAQUIL[[#This Row],[CODIGO]]="","",VLOOKUP(GUAYAQUIL[[#This Row],[CODIGO]],MAESTRO!A:N,14,FALSE)),"")</f>
        <v>1</v>
      </c>
      <c r="N603" s="291">
        <f>+IFERROR(IF(GUAYAQUIL[[#This Row],[CODIGO]]="","",VLOOKUP(GUAYAQUIL[[#This Row],[CODIGO]],MAESTRO!A:P,16,FALSE)),"")</f>
        <v>90</v>
      </c>
      <c r="O603" s="29">
        <v>45611</v>
      </c>
      <c r="P603" s="293" t="str">
        <f t="shared" si="45"/>
        <v>viernes</v>
      </c>
      <c r="Q603" s="29">
        <f>IFERROR(IF(GUAYAQUIL[[#This Row],[CODIGO]]="","",IF(GUAYAQUIL[[#This Row],[Fecha Cad]]="","",(GUAYAQUIL[[#This Row],[Fecha Cad]]-GUAYAQUIL[[#This Row],[VIDA UTIL (Días)]]))+1),"")</f>
        <v>45609</v>
      </c>
      <c r="R603" s="29">
        <v>45698</v>
      </c>
      <c r="S603" s="30">
        <f t="shared" ca="1" si="46"/>
        <v>74</v>
      </c>
      <c r="T603" s="32">
        <f t="shared" ca="1" si="47"/>
        <v>0.82222222222222219</v>
      </c>
      <c r="U603" s="286">
        <v>10</v>
      </c>
      <c r="V603" s="266">
        <f>+IFERROR(IF(GUAYAQUIL[[#This Row],[CODIGO]]="","",GUAYAQUIL[[#This Row],[Stock Actual Unds]]*GUAYAQUIL[[#This Row],[Gramaje]]*GUAYAQUIL[[#This Row],[Conversión]]),"")</f>
        <v>25</v>
      </c>
      <c r="W603" s="300">
        <f t="shared" si="48"/>
        <v>2</v>
      </c>
      <c r="X603" s="32">
        <f t="shared" si="49"/>
        <v>0.97777777777777775</v>
      </c>
      <c r="Y603" s="236">
        <f>IFERROR(VLOOKUP(GUAYAQUIL[[#This Row],[CODIGO]],MAESTRO!A:BI,21,FALSE),0)</f>
        <v>7.4059249999999999</v>
      </c>
      <c r="Z603" s="236">
        <f>+IFERROR(IF(GUAYAQUIL[[#This Row],[CODIGO]]="","",GUAYAQUIL[[#This Row],[COSTO UNIT base]]*GUAYAQUIL[[#This Row],[Conversión]]),"")</f>
        <v>18.514812499999998</v>
      </c>
      <c r="AA603" s="236">
        <f>+IFERROR(IF(GUAYAQUIL[[#This Row],[CODIGO]]="","",GUAYAQUIL[[#This Row],[COSTO UNIT Conv]]*GUAYAQUIL[[#This Row],[Stock Actual Kgs]]),"")</f>
        <v>462.87031249999995</v>
      </c>
      <c r="AB603" s="33">
        <f ca="1">+IFERROR(IF(GUAYAQUIL[[#This Row],[CODIGO]]="","",$J$3-O603),"")</f>
        <v>13</v>
      </c>
      <c r="AC603" s="34" t="str">
        <f ca="1">IF(GUAYAQUIL[[#This Row],[CODIGO]]="","",IF(S603&lt;=0,"CADUCADO",IF(AND(S603&gt;0,S603&lt;=21),"FECHA CORTA",IF(AND(S603&gt;=22,S603&lt;=26),"PROXIMOS FECHA CORTA", "VIGENTE"))))</f>
        <v>VIGENTE</v>
      </c>
      <c r="AD603" s="37">
        <f>+IF(GUAYAQUIL[[#This Row],[CODIGO]]="","",GUAYAQUIL[[#This Row],[Stock Actual Unds]]*GUAYAQUIL[[#This Row],[Gramaje]]*GUAYAQUIL[[#This Row],[Conversión]])/1000</f>
        <v>2.5000000000000001E-2</v>
      </c>
    </row>
    <row r="604" spans="1:30">
      <c r="A604" s="24" t="str">
        <f>+IFERROR(IF(GUAYAQUIL[[#This Row],[CODIGO]]="","",VLOOKUP(GUAYAQUIL[[#This Row],[CODIGO]],MAESTRO!$A:$J,10,FALSE)),"")</f>
        <v>SAN GABRIEL</v>
      </c>
      <c r="B604" s="24" t="str">
        <f>+IFERROR(IF(GUAYAQUIL[[#This Row],[CODIGO]]="","",VLOOKUP(GUAYAQUIL[[#This Row],[CODIGO]],MAESTRO!$A:$Q,17,FALSE)),"")</f>
        <v>QUESOS Y GRASAS</v>
      </c>
      <c r="C604" s="24" t="str">
        <f>+IFERROR(IF(GUAYAQUIL[[#This Row],[CODIGO]]="","",VLOOKUP(GUAYAQUIL[[#This Row],[CODIGO]],MAESTRO!$A:$BA,53,FALSE)),"")</f>
        <v xml:space="preserve">Esteban Montenegro                      </v>
      </c>
      <c r="D604" s="24" t="str">
        <f>+IFERROR(IF(GUAYAQUIL[[#This Row],[CODIGO]]="","",VLOOKUP(GUAYAQUIL[[#This Row],[CODIGO]],MAESTRO!$A:$D,4,FALSE)),"")</f>
        <v>QUESO FUNDIDO</v>
      </c>
      <c r="E604" s="24" t="str">
        <f>+IFERROR(IF(GUAYAQUIL[[#This Row],[CODIGO]]="","",VLOOKUP(GUAYAQUIL[[#This Row],[CODIGO]],MAESTRO!$A:$F,6,FALSE)),"")</f>
        <v>QUESO FUNDIDO</v>
      </c>
      <c r="F604" s="42" t="str">
        <f>IF(GUAYAQUIL[[#This Row],[CODIGO]]="","",$K$6)</f>
        <v>GUAYAQUIL</v>
      </c>
      <c r="G604" s="1">
        <f>IF(GUAYAQUIL[[#This Row],[CODIGO]]="","",7711)</f>
        <v>7711</v>
      </c>
      <c r="H604" s="1">
        <f>IF(GUAYAQUIL[[#This Row],[CODIGO]]="","",1001)</f>
        <v>1001</v>
      </c>
      <c r="I604" s="258" t="s">
        <v>179</v>
      </c>
      <c r="J604" s="43" t="str">
        <f>IFERROR((VLOOKUP(GUAYAQUIL[[#This Row],[CODIGO]],MAESTRO!A:B,2,FALSE)),"")</f>
        <v>Q ESPAR CHED KIOSKO VASO 45G</v>
      </c>
      <c r="K604" s="35">
        <v>300</v>
      </c>
      <c r="L604" s="38">
        <f>+IFERROR(IF(GUAYAQUIL[[#This Row],[CODIGO]]="","",VLOOKUP(GUAYAQUIL[[#This Row],[CODIGO]],MAESTRO!$A:$BF,58,FALSE)),"")</f>
        <v>1</v>
      </c>
      <c r="M604" s="27">
        <f>+IFERROR(IF(GUAYAQUIL[[#This Row],[CODIGO]]="","",VLOOKUP(GUAYAQUIL[[#This Row],[CODIGO]],MAESTRO!A:N,14,FALSE)),"")</f>
        <v>4.4999999999999998E-2</v>
      </c>
      <c r="N604" s="291">
        <f>+IFERROR(IF(GUAYAQUIL[[#This Row],[CODIGO]]="","",VLOOKUP(GUAYAQUIL[[#This Row],[CODIGO]],MAESTRO!A:P,16,FALSE)),"")</f>
        <v>90</v>
      </c>
      <c r="O604" s="29">
        <v>45603</v>
      </c>
      <c r="P604" s="293" t="str">
        <f t="shared" si="45"/>
        <v>jueves</v>
      </c>
      <c r="Q604" s="29">
        <f>IFERROR(IF(GUAYAQUIL[[#This Row],[CODIGO]]="","",IF(GUAYAQUIL[[#This Row],[Fecha Cad]]="","",(GUAYAQUIL[[#This Row],[Fecha Cad]]-GUAYAQUIL[[#This Row],[VIDA UTIL (Días)]]))+1),"")</f>
        <v>45562</v>
      </c>
      <c r="R604" s="29">
        <v>45651</v>
      </c>
      <c r="S604" s="30">
        <f t="shared" ca="1" si="46"/>
        <v>27</v>
      </c>
      <c r="T604" s="32">
        <f t="shared" ca="1" si="47"/>
        <v>0.3</v>
      </c>
      <c r="U604" s="286">
        <v>180</v>
      </c>
      <c r="V604" s="266">
        <f>+IFERROR(IF(GUAYAQUIL[[#This Row],[CODIGO]]="","",GUAYAQUIL[[#This Row],[Stock Actual Unds]]*GUAYAQUIL[[#This Row],[Gramaje]]*GUAYAQUIL[[#This Row],[Conversión]]),"")</f>
        <v>8.1</v>
      </c>
      <c r="W604" s="300">
        <f t="shared" si="48"/>
        <v>41</v>
      </c>
      <c r="X604" s="32">
        <f t="shared" si="49"/>
        <v>0.54444444444444451</v>
      </c>
      <c r="Y604" s="236">
        <f>IFERROR(VLOOKUP(GUAYAQUIL[[#This Row],[CODIGO]],MAESTRO!A:BI,21,FALSE),0)</f>
        <v>0.14824500000000002</v>
      </c>
      <c r="Z604" s="236">
        <f>+IFERROR(IF(GUAYAQUIL[[#This Row],[CODIGO]]="","",GUAYAQUIL[[#This Row],[COSTO UNIT base]]*GUAYAQUIL[[#This Row],[Conversión]]),"")</f>
        <v>0.14824500000000002</v>
      </c>
      <c r="AA604" s="236">
        <f>+IFERROR(IF(GUAYAQUIL[[#This Row],[CODIGO]]="","",GUAYAQUIL[[#This Row],[COSTO UNIT Conv]]*GUAYAQUIL[[#This Row],[Stock Actual Kgs]]),"")</f>
        <v>1.2007845000000001</v>
      </c>
      <c r="AB604" s="33">
        <f ca="1">+IFERROR(IF(GUAYAQUIL[[#This Row],[CODIGO]]="","",$J$3-O604),"")</f>
        <v>21</v>
      </c>
      <c r="AC604" s="34" t="str">
        <f ca="1">IF(GUAYAQUIL[[#This Row],[CODIGO]]="","",IF(S604&lt;=0,"CADUCADO",IF(AND(S604&gt;0,S604&lt;=21),"FECHA CORTA",IF(AND(S604&gt;=22,S604&lt;=26),"PROXIMOS FECHA CORTA", "VIGENTE"))))</f>
        <v>VIGENTE</v>
      </c>
      <c r="AD604" s="37">
        <f>+IF(GUAYAQUIL[[#This Row],[CODIGO]]="","",GUAYAQUIL[[#This Row],[Stock Actual Unds]]*GUAYAQUIL[[#This Row],[Gramaje]]*GUAYAQUIL[[#This Row],[Conversión]])/1000</f>
        <v>8.0999999999999996E-3</v>
      </c>
    </row>
    <row r="605" spans="1:30">
      <c r="A605" s="24" t="str">
        <f>+IFERROR(IF(GUAYAQUIL[[#This Row],[CODIGO]]="","",VLOOKUP(GUAYAQUIL[[#This Row],[CODIGO]],MAESTRO!$A:$J,10,FALSE)),"")</f>
        <v>MULTIEMPAQUE_MACH</v>
      </c>
      <c r="B605" s="24" t="str">
        <f>+IFERROR(IF(GUAYAQUIL[[#This Row],[CODIGO]]="","",VLOOKUP(GUAYAQUIL[[#This Row],[CODIGO]],MAESTRO!$A:$Q,17,FALSE)),"")</f>
        <v>BEBIDAS LACTEAS</v>
      </c>
      <c r="C605" s="24" t="str">
        <f>+IFERROR(IF(GUAYAQUIL[[#This Row],[CODIGO]]="","",VLOOKUP(GUAYAQUIL[[#This Row],[CODIGO]],MAESTRO!$A:$BA,53,FALSE)),"")</f>
        <v xml:space="preserve">Luis Armendariz                         </v>
      </c>
      <c r="D605" s="24" t="str">
        <f>+IFERROR(IF(GUAYAQUIL[[#This Row],[CODIGO]]="","",VLOOKUP(GUAYAQUIL[[#This Row],[CODIGO]],MAESTRO!$A:$D,4,FALSE)),"")</f>
        <v>BON YURT</v>
      </c>
      <c r="E605" s="24" t="str">
        <f>+IFERROR(IF(GUAYAQUIL[[#This Row],[CODIGO]]="","",VLOOKUP(GUAYAQUIL[[#This Row],[CODIGO]],MAESTRO!$A:$F,6,FALSE)),"")</f>
        <v>BON YURT REGULAR</v>
      </c>
      <c r="F605" s="42" t="str">
        <f>IF(GUAYAQUIL[[#This Row],[CODIGO]]="","",$K$6)</f>
        <v>GUAYAQUIL</v>
      </c>
      <c r="G605" s="1">
        <f>IF(GUAYAQUIL[[#This Row],[CODIGO]]="","",7711)</f>
        <v>7711</v>
      </c>
      <c r="H605" s="1">
        <f>IF(GUAYAQUIL[[#This Row],[CODIGO]]="","",1001)</f>
        <v>1001</v>
      </c>
      <c r="I605" s="258" t="s">
        <v>4155</v>
      </c>
      <c r="J605" s="43" t="str">
        <f>IFERROR((VLOOKUP(GUAYAQUIL[[#This Row],[CODIGO]],MAESTRO!A:B,2,FALSE)),"")</f>
        <v>MPLX4 BY NEON VASO 170G</v>
      </c>
      <c r="K605" s="35">
        <v>16</v>
      </c>
      <c r="L605" s="38">
        <f>+IFERROR(IF(GUAYAQUIL[[#This Row],[CODIGO]]="","",VLOOKUP(GUAYAQUIL[[#This Row],[CODIGO]],MAESTRO!$A:$BF,58,FALSE)),"")</f>
        <v>1</v>
      </c>
      <c r="M605" s="27">
        <f>+IFERROR(IF(GUAYAQUIL[[#This Row],[CODIGO]]="","",VLOOKUP(GUAYAQUIL[[#This Row],[CODIGO]],MAESTRO!A:N,14,FALSE)),"")</f>
        <v>0.68</v>
      </c>
      <c r="N605" s="291">
        <f>+IFERROR(IF(GUAYAQUIL[[#This Row],[CODIGO]]="","",VLOOKUP(GUAYAQUIL[[#This Row],[CODIGO]],MAESTRO!A:P,16,FALSE)),"")</f>
        <v>45</v>
      </c>
      <c r="O605" s="45">
        <v>45611</v>
      </c>
      <c r="P605" s="293" t="str">
        <f t="shared" si="45"/>
        <v>viernes</v>
      </c>
      <c r="Q605" s="29">
        <f>IFERROR(IF(GUAYAQUIL[[#This Row],[CODIGO]]="","",IF(GUAYAQUIL[[#This Row],[Fecha Cad]]="","",(GUAYAQUIL[[#This Row],[Fecha Cad]]-GUAYAQUIL[[#This Row],[VIDA UTIL (Días)]]))+1),"")</f>
        <v>45605</v>
      </c>
      <c r="R605" s="45">
        <v>45649</v>
      </c>
      <c r="S605" s="30">
        <f t="shared" ca="1" si="46"/>
        <v>25</v>
      </c>
      <c r="T605" s="32">
        <f t="shared" ca="1" si="47"/>
        <v>0.55555555555555558</v>
      </c>
      <c r="U605" s="286">
        <v>6</v>
      </c>
      <c r="V605" s="265">
        <f>+IFERROR(IF(GUAYAQUIL[[#This Row],[CODIGO]]="","",GUAYAQUIL[[#This Row],[Stock Actual Unds]]*GUAYAQUIL[[#This Row],[Gramaje]]*GUAYAQUIL[[#This Row],[Conversión]]),"")</f>
        <v>4.08</v>
      </c>
      <c r="W605" s="300">
        <f t="shared" si="48"/>
        <v>6</v>
      </c>
      <c r="X605" s="32">
        <f t="shared" si="49"/>
        <v>0.8666666666666667</v>
      </c>
      <c r="Y605" s="236">
        <f>IFERROR(VLOOKUP(GUAYAQUIL[[#This Row],[CODIGO]],MAESTRO!A:BI,21,FALSE),0)</f>
        <v>1.6522000000000001</v>
      </c>
      <c r="Z605" s="236">
        <f>+IFERROR(IF(GUAYAQUIL[[#This Row],[CODIGO]]="","",GUAYAQUIL[[#This Row],[COSTO UNIT base]]*GUAYAQUIL[[#This Row],[Conversión]]),"")</f>
        <v>1.6522000000000001</v>
      </c>
      <c r="AA605" s="236">
        <f>+IFERROR(IF(GUAYAQUIL[[#This Row],[CODIGO]]="","",GUAYAQUIL[[#This Row],[COSTO UNIT Conv]]*GUAYAQUIL[[#This Row],[Stock Actual Kgs]]),"")</f>
        <v>6.7409760000000007</v>
      </c>
      <c r="AB605" s="33">
        <f ca="1">+IFERROR(IF(GUAYAQUIL[[#This Row],[CODIGO]]="","",$J$3-O605),"")</f>
        <v>13</v>
      </c>
      <c r="AC605" s="34" t="str">
        <f ca="1">IF(GUAYAQUIL[[#This Row],[CODIGO]]="","",IF(S605&lt;=0,"CADUCADO",IF(AND(S605&gt;0,S605&lt;=21),"FECHA CORTA",IF(AND(S605&gt;=22,S605&lt;=26),"PROXIMOS FECHA CORTA", "VIGENTE"))))</f>
        <v>PROXIMOS FECHA CORTA</v>
      </c>
      <c r="AD605" s="37">
        <f>+IF(GUAYAQUIL[[#This Row],[CODIGO]]="","",GUAYAQUIL[[#This Row],[Stock Actual Unds]]*GUAYAQUIL[[#This Row],[Gramaje]]*GUAYAQUIL[[#This Row],[Conversión]])/1000</f>
        <v>4.0800000000000003E-3</v>
      </c>
    </row>
    <row r="606" spans="1:30">
      <c r="A606" s="24" t="str">
        <f>+IFERROR(IF(GUAYAQUIL[[#This Row],[CODIGO]]="","",VLOOKUP(GUAYAQUIL[[#This Row],[CODIGO]],MAESTRO!$A:$J,10,FALSE)),"")</f>
        <v>MACHACHI</v>
      </c>
      <c r="B606" s="24" t="str">
        <f>+IFERROR(IF(GUAYAQUIL[[#This Row],[CODIGO]]="","",VLOOKUP(GUAYAQUIL[[#This Row],[CODIGO]],MAESTRO!$A:$Q,17,FALSE)),"")</f>
        <v>BEBIDAS LACTEAS</v>
      </c>
      <c r="C606" s="24" t="str">
        <f>+IFERROR(IF(GUAYAQUIL[[#This Row],[CODIGO]]="","",VLOOKUP(GUAYAQUIL[[#This Row],[CODIGO]],MAESTRO!$A:$BA,53,FALSE)),"")</f>
        <v xml:space="preserve">Luis Armendariz                         </v>
      </c>
      <c r="D606" s="24" t="str">
        <f>+IFERROR(IF(GUAYAQUIL[[#This Row],[CODIGO]]="","",VLOOKUP(GUAYAQUIL[[#This Row],[CODIGO]],MAESTRO!$A:$D,4,FALSE)),"")</f>
        <v>YOGURT FINESSE</v>
      </c>
      <c r="E606" s="24" t="str">
        <f>+IFERROR(IF(GUAYAQUIL[[#This Row],[CODIGO]]="","",VLOOKUP(GUAYAQUIL[[#This Row],[CODIGO]],MAESTRO!$A:$F,6,FALSE)),"")</f>
        <v>YOGURT FINESSE DESLACT BOTELLA FAMILIAR</v>
      </c>
      <c r="F606" s="42" t="str">
        <f>IF(GUAYAQUIL[[#This Row],[CODIGO]]="","",$K$6)</f>
        <v>GUAYAQUIL</v>
      </c>
      <c r="G606" s="1">
        <f>IF(GUAYAQUIL[[#This Row],[CODIGO]]="","",7711)</f>
        <v>7711</v>
      </c>
      <c r="H606" s="1">
        <f>IF(GUAYAQUIL[[#This Row],[CODIGO]]="","",1001)</f>
        <v>1001</v>
      </c>
      <c r="I606" s="258" t="s">
        <v>2845</v>
      </c>
      <c r="J606" s="43" t="str">
        <f>IFERROR((VLOOKUP(GUAYAQUIL[[#This Row],[CODIGO]],MAESTRO!A:B,2,FALSE)),"")</f>
        <v>YOG FNSSE SBILA BOT 1670G</v>
      </c>
      <c r="K606" s="35">
        <v>24</v>
      </c>
      <c r="L606" s="38">
        <f>+IFERROR(IF(GUAYAQUIL[[#This Row],[CODIGO]]="","",VLOOKUP(GUAYAQUIL[[#This Row],[CODIGO]],MAESTRO!$A:$BF,58,FALSE)),"")</f>
        <v>1</v>
      </c>
      <c r="M606" s="27">
        <f>+IFERROR(IF(GUAYAQUIL[[#This Row],[CODIGO]]="","",VLOOKUP(GUAYAQUIL[[#This Row],[CODIGO]],MAESTRO!A:N,14,FALSE)),"")</f>
        <v>1.67</v>
      </c>
      <c r="N606" s="291">
        <f>+IFERROR(IF(GUAYAQUIL[[#This Row],[CODIGO]]="","",VLOOKUP(GUAYAQUIL[[#This Row],[CODIGO]],MAESTRO!A:P,16,FALSE)),"")</f>
        <v>45</v>
      </c>
      <c r="O606" s="45">
        <v>45594</v>
      </c>
      <c r="P606" s="293" t="str">
        <f t="shared" si="45"/>
        <v>martes</v>
      </c>
      <c r="Q606" s="29">
        <f>IFERROR(IF(GUAYAQUIL[[#This Row],[CODIGO]]="","",IF(GUAYAQUIL[[#This Row],[Fecha Cad]]="","",(GUAYAQUIL[[#This Row],[Fecha Cad]]-GUAYAQUIL[[#This Row],[VIDA UTIL (Días)]]))+1),"")</f>
        <v>45588</v>
      </c>
      <c r="R606" s="45">
        <v>45632</v>
      </c>
      <c r="S606" s="30">
        <f t="shared" ca="1" si="46"/>
        <v>8</v>
      </c>
      <c r="T606" s="32">
        <f t="shared" ca="1" si="47"/>
        <v>0.17777777777777778</v>
      </c>
      <c r="U606" s="286">
        <v>14</v>
      </c>
      <c r="V606" s="265">
        <f>+IFERROR(IF(GUAYAQUIL[[#This Row],[CODIGO]]="","",GUAYAQUIL[[#This Row],[Stock Actual Unds]]*GUAYAQUIL[[#This Row],[Gramaje]]*GUAYAQUIL[[#This Row],[Conversión]]),"")</f>
        <v>23.38</v>
      </c>
      <c r="W606" s="300">
        <f t="shared" si="48"/>
        <v>6</v>
      </c>
      <c r="X606" s="32">
        <f t="shared" si="49"/>
        <v>0.8666666666666667</v>
      </c>
      <c r="Y606" s="236">
        <f>IFERROR(VLOOKUP(GUAYAQUIL[[#This Row],[CODIGO]],MAESTRO!A:BI,21,FALSE),0)</f>
        <v>2.4703599999999999</v>
      </c>
      <c r="Z606" s="236">
        <f>+IFERROR(IF(GUAYAQUIL[[#This Row],[CODIGO]]="","",GUAYAQUIL[[#This Row],[COSTO UNIT base]]*GUAYAQUIL[[#This Row],[Conversión]]),"")</f>
        <v>2.4703599999999999</v>
      </c>
      <c r="AA606" s="236">
        <f>+IFERROR(IF(GUAYAQUIL[[#This Row],[CODIGO]]="","",GUAYAQUIL[[#This Row],[COSTO UNIT Conv]]*GUAYAQUIL[[#This Row],[Stock Actual Kgs]]),"")</f>
        <v>57.757016799999995</v>
      </c>
      <c r="AB606" s="33">
        <f ca="1">+IFERROR(IF(GUAYAQUIL[[#This Row],[CODIGO]]="","",$J$3-O606),"")</f>
        <v>30</v>
      </c>
      <c r="AC606" s="34" t="str">
        <f ca="1">IF(GUAYAQUIL[[#This Row],[CODIGO]]="","",IF(S606&lt;=0,"CADUCADO",IF(AND(S606&gt;0,S606&lt;=21),"FECHA CORTA",IF(AND(S606&gt;=22,S606&lt;=26),"PROXIMOS FECHA CORTA", "VIGENTE"))))</f>
        <v>FECHA CORTA</v>
      </c>
      <c r="AD606" s="37">
        <f>+IF(GUAYAQUIL[[#This Row],[CODIGO]]="","",GUAYAQUIL[[#This Row],[Stock Actual Unds]]*GUAYAQUIL[[#This Row],[Gramaje]]*GUAYAQUIL[[#This Row],[Conversión]])/1000</f>
        <v>2.3379999999999998E-2</v>
      </c>
    </row>
    <row r="607" spans="1:30">
      <c r="A607" s="24" t="str">
        <f>+IFERROR(IF(GUAYAQUIL[[#This Row],[CODIGO]]="","",VLOOKUP(GUAYAQUIL[[#This Row],[CODIGO]],MAESTRO!$A:$J,10,FALSE)),"")</f>
        <v>MACHACHI</v>
      </c>
      <c r="B607" s="24" t="str">
        <f>+IFERROR(IF(GUAYAQUIL[[#This Row],[CODIGO]]="","",VLOOKUP(GUAYAQUIL[[#This Row],[CODIGO]],MAESTRO!$A:$Q,17,FALSE)),"")</f>
        <v>BEBIDAS LACTEAS</v>
      </c>
      <c r="C607" s="24" t="str">
        <f>+IFERROR(IF(GUAYAQUIL[[#This Row],[CODIGO]]="","",VLOOKUP(GUAYAQUIL[[#This Row],[CODIGO]],MAESTRO!$A:$BA,53,FALSE)),"")</f>
        <v xml:space="preserve">Luis Armendariz                         </v>
      </c>
      <c r="D607" s="24" t="str">
        <f>+IFERROR(IF(GUAYAQUIL[[#This Row],[CODIGO]]="","",VLOOKUP(GUAYAQUIL[[#This Row],[CODIGO]],MAESTRO!$A:$D,4,FALSE)),"")</f>
        <v>YOGURT FINESSE</v>
      </c>
      <c r="E607" s="24" t="str">
        <f>+IFERROR(IF(GUAYAQUIL[[#This Row],[CODIGO]]="","",VLOOKUP(GUAYAQUIL[[#This Row],[CODIGO]],MAESTRO!$A:$F,6,FALSE)),"")</f>
        <v>YOGURT FINESSE DESLACT BOTELLA FAMILIAR</v>
      </c>
      <c r="F607" s="42" t="str">
        <f>IF(GUAYAQUIL[[#This Row],[CODIGO]]="","",$K$6)</f>
        <v>GUAYAQUIL</v>
      </c>
      <c r="G607" s="1">
        <f>IF(GUAYAQUIL[[#This Row],[CODIGO]]="","",7711)</f>
        <v>7711</v>
      </c>
      <c r="H607" s="1">
        <f>IF(GUAYAQUIL[[#This Row],[CODIGO]]="","",1001)</f>
        <v>1001</v>
      </c>
      <c r="I607" s="258" t="s">
        <v>2845</v>
      </c>
      <c r="J607" s="43" t="str">
        <f>IFERROR((VLOOKUP(GUAYAQUIL[[#This Row],[CODIGO]],MAESTRO!A:B,2,FALSE)),"")</f>
        <v>YOG FNSSE SBILA BOT 1670G</v>
      </c>
      <c r="K607" s="35">
        <v>12</v>
      </c>
      <c r="L607" s="38">
        <f>+IFERROR(IF(GUAYAQUIL[[#This Row],[CODIGO]]="","",VLOOKUP(GUAYAQUIL[[#This Row],[CODIGO]],MAESTRO!$A:$BF,58,FALSE)),"")</f>
        <v>1</v>
      </c>
      <c r="M607" s="27">
        <f>+IFERROR(IF(GUAYAQUIL[[#This Row],[CODIGO]]="","",VLOOKUP(GUAYAQUIL[[#This Row],[CODIGO]],MAESTRO!A:N,14,FALSE)),"")</f>
        <v>1.67</v>
      </c>
      <c r="N607" s="291">
        <f>+IFERROR(IF(GUAYAQUIL[[#This Row],[CODIGO]]="","",VLOOKUP(GUAYAQUIL[[#This Row],[CODIGO]],MAESTRO!A:P,16,FALSE)),"")</f>
        <v>45</v>
      </c>
      <c r="O607" s="45">
        <v>45596</v>
      </c>
      <c r="P607" s="293" t="str">
        <f t="shared" si="45"/>
        <v>jueves</v>
      </c>
      <c r="Q607" s="29">
        <f>IFERROR(IF(GUAYAQUIL[[#This Row],[CODIGO]]="","",IF(GUAYAQUIL[[#This Row],[Fecha Cad]]="","",(GUAYAQUIL[[#This Row],[Fecha Cad]]-GUAYAQUIL[[#This Row],[VIDA UTIL (Días)]]))+1),"")</f>
        <v>45590</v>
      </c>
      <c r="R607" s="45">
        <v>45634</v>
      </c>
      <c r="S607" s="30">
        <f t="shared" ca="1" si="46"/>
        <v>10</v>
      </c>
      <c r="T607" s="32">
        <f t="shared" ca="1" si="47"/>
        <v>0.22222222222222221</v>
      </c>
      <c r="U607" s="286">
        <v>5</v>
      </c>
      <c r="V607" s="265">
        <f>+IFERROR(IF(GUAYAQUIL[[#This Row],[CODIGO]]="","",GUAYAQUIL[[#This Row],[Stock Actual Unds]]*GUAYAQUIL[[#This Row],[Gramaje]]*GUAYAQUIL[[#This Row],[Conversión]]),"")</f>
        <v>8.35</v>
      </c>
      <c r="W607" s="300">
        <f t="shared" si="48"/>
        <v>6</v>
      </c>
      <c r="X607" s="32">
        <f t="shared" si="49"/>
        <v>0.8666666666666667</v>
      </c>
      <c r="Y607" s="236">
        <f>IFERROR(VLOOKUP(GUAYAQUIL[[#This Row],[CODIGO]],MAESTRO!A:BI,21,FALSE),0)</f>
        <v>2.4703599999999999</v>
      </c>
      <c r="Z607" s="236">
        <f>+IFERROR(IF(GUAYAQUIL[[#This Row],[CODIGO]]="","",GUAYAQUIL[[#This Row],[COSTO UNIT base]]*GUAYAQUIL[[#This Row],[Conversión]]),"")</f>
        <v>2.4703599999999999</v>
      </c>
      <c r="AA607" s="236">
        <f>+IFERROR(IF(GUAYAQUIL[[#This Row],[CODIGO]]="","",GUAYAQUIL[[#This Row],[COSTO UNIT Conv]]*GUAYAQUIL[[#This Row],[Stock Actual Kgs]]),"")</f>
        <v>20.627505999999997</v>
      </c>
      <c r="AB607" s="33">
        <f ca="1">+IFERROR(IF(GUAYAQUIL[[#This Row],[CODIGO]]="","",$J$3-O607),"")</f>
        <v>28</v>
      </c>
      <c r="AC607" s="34" t="str">
        <f ca="1">IF(GUAYAQUIL[[#This Row],[CODIGO]]="","",IF(S607&lt;=0,"CADUCADO",IF(AND(S607&gt;0,S607&lt;=21),"FECHA CORTA",IF(AND(S607&gt;=22,S607&lt;=26),"PROXIMOS FECHA CORTA", "VIGENTE"))))</f>
        <v>FECHA CORTA</v>
      </c>
      <c r="AD607" s="37">
        <f>+IF(GUAYAQUIL[[#This Row],[CODIGO]]="","",GUAYAQUIL[[#This Row],[Stock Actual Unds]]*GUAYAQUIL[[#This Row],[Gramaje]]*GUAYAQUIL[[#This Row],[Conversión]])/1000</f>
        <v>8.3499999999999998E-3</v>
      </c>
    </row>
    <row r="608" spans="1:30">
      <c r="A608" s="24" t="str">
        <f>+IFERROR(IF(GUAYAQUIL[[#This Row],[CODIGO]]="","",VLOOKUP(GUAYAQUIL[[#This Row],[CODIGO]],MAESTRO!$A:$J,10,FALSE)),"")</f>
        <v>MACHACHI</v>
      </c>
      <c r="B608" s="24" t="str">
        <f>+IFERROR(IF(GUAYAQUIL[[#This Row],[CODIGO]]="","",VLOOKUP(GUAYAQUIL[[#This Row],[CODIGO]],MAESTRO!$A:$Q,17,FALSE)),"")</f>
        <v>BEBIDAS LACTEAS</v>
      </c>
      <c r="C608" s="24" t="str">
        <f>+IFERROR(IF(GUAYAQUIL[[#This Row],[CODIGO]]="","",VLOOKUP(GUAYAQUIL[[#This Row],[CODIGO]],MAESTRO!$A:$BA,53,FALSE)),"")</f>
        <v xml:space="preserve">Luis Armendariz                         </v>
      </c>
      <c r="D608" s="24" t="str">
        <f>+IFERROR(IF(GUAYAQUIL[[#This Row],[CODIGO]]="","",VLOOKUP(GUAYAQUIL[[#This Row],[CODIGO]],MAESTRO!$A:$D,4,FALSE)),"")</f>
        <v>YOGURT FINESSE</v>
      </c>
      <c r="E608" s="24" t="str">
        <f>+IFERROR(IF(GUAYAQUIL[[#This Row],[CODIGO]]="","",VLOOKUP(GUAYAQUIL[[#This Row],[CODIGO]],MAESTRO!$A:$F,6,FALSE)),"")</f>
        <v>YOGURT FINESSE DESLACT BOTELLA FAMILIAR</v>
      </c>
      <c r="F608" s="42" t="str">
        <f>IF(GUAYAQUIL[[#This Row],[CODIGO]]="","",$K$6)</f>
        <v>GUAYAQUIL</v>
      </c>
      <c r="G608" s="1">
        <f>IF(GUAYAQUIL[[#This Row],[CODIGO]]="","",7711)</f>
        <v>7711</v>
      </c>
      <c r="H608" s="1">
        <f>IF(GUAYAQUIL[[#This Row],[CODIGO]]="","",1001)</f>
        <v>1001</v>
      </c>
      <c r="I608" s="258" t="s">
        <v>2845</v>
      </c>
      <c r="J608" s="43" t="str">
        <f>IFERROR((VLOOKUP(GUAYAQUIL[[#This Row],[CODIGO]],MAESTRO!A:B,2,FALSE)),"")</f>
        <v>YOG FNSSE SBILA BOT 1670G</v>
      </c>
      <c r="K608" s="35">
        <v>12</v>
      </c>
      <c r="L608" s="38">
        <f>+IFERROR(IF(GUAYAQUIL[[#This Row],[CODIGO]]="","",VLOOKUP(GUAYAQUIL[[#This Row],[CODIGO]],MAESTRO!$A:$BF,58,FALSE)),"")</f>
        <v>1</v>
      </c>
      <c r="M608" s="27">
        <f>+IFERROR(IF(GUAYAQUIL[[#This Row],[CODIGO]]="","",VLOOKUP(GUAYAQUIL[[#This Row],[CODIGO]],MAESTRO!A:N,14,FALSE)),"")</f>
        <v>1.67</v>
      </c>
      <c r="N608" s="291">
        <f>+IFERROR(IF(GUAYAQUIL[[#This Row],[CODIGO]]="","",VLOOKUP(GUAYAQUIL[[#This Row],[CODIGO]],MAESTRO!A:P,16,FALSE)),"")</f>
        <v>45</v>
      </c>
      <c r="O608" s="29">
        <v>45597</v>
      </c>
      <c r="P608" s="293" t="str">
        <f t="shared" si="45"/>
        <v>viernes</v>
      </c>
      <c r="Q608" s="29">
        <f>IFERROR(IF(GUAYAQUIL[[#This Row],[CODIGO]]="","",IF(GUAYAQUIL[[#This Row],[Fecha Cad]]="","",(GUAYAQUIL[[#This Row],[Fecha Cad]]-GUAYAQUIL[[#This Row],[VIDA UTIL (Días)]]))+1),"")</f>
        <v>45590</v>
      </c>
      <c r="R608" s="45">
        <v>45634</v>
      </c>
      <c r="S608" s="30">
        <f t="shared" ca="1" si="46"/>
        <v>10</v>
      </c>
      <c r="T608" s="32">
        <f t="shared" ca="1" si="47"/>
        <v>0.22222222222222221</v>
      </c>
      <c r="U608" s="286">
        <v>12</v>
      </c>
      <c r="V608" s="265">
        <f>+IFERROR(IF(GUAYAQUIL[[#This Row],[CODIGO]]="","",GUAYAQUIL[[#This Row],[Stock Actual Unds]]*GUAYAQUIL[[#This Row],[Gramaje]]*GUAYAQUIL[[#This Row],[Conversión]]),"")</f>
        <v>20.04</v>
      </c>
      <c r="W608" s="300">
        <f t="shared" si="48"/>
        <v>7</v>
      </c>
      <c r="X608" s="32">
        <f t="shared" si="49"/>
        <v>0.84444444444444444</v>
      </c>
      <c r="Y608" s="236">
        <f>IFERROR(VLOOKUP(GUAYAQUIL[[#This Row],[CODIGO]],MAESTRO!A:BI,21,FALSE),0)</f>
        <v>2.4703599999999999</v>
      </c>
      <c r="Z608" s="236">
        <f>+IFERROR(IF(GUAYAQUIL[[#This Row],[CODIGO]]="","",GUAYAQUIL[[#This Row],[COSTO UNIT base]]*GUAYAQUIL[[#This Row],[Conversión]]),"")</f>
        <v>2.4703599999999999</v>
      </c>
      <c r="AA608" s="236">
        <f>+IFERROR(IF(GUAYAQUIL[[#This Row],[CODIGO]]="","",GUAYAQUIL[[#This Row],[COSTO UNIT Conv]]*GUAYAQUIL[[#This Row],[Stock Actual Kgs]]),"")</f>
        <v>49.506014399999998</v>
      </c>
      <c r="AB608" s="33">
        <f ca="1">+IFERROR(IF(GUAYAQUIL[[#This Row],[CODIGO]]="","",$J$3-O608),"")</f>
        <v>27</v>
      </c>
      <c r="AC608" s="34" t="str">
        <f ca="1">IF(GUAYAQUIL[[#This Row],[CODIGO]]="","",IF(S608&lt;=0,"CADUCADO",IF(AND(S608&gt;0,S608&lt;=21),"FECHA CORTA",IF(AND(S608&gt;=22,S608&lt;=26),"PROXIMOS FECHA CORTA", "VIGENTE"))))</f>
        <v>FECHA CORTA</v>
      </c>
      <c r="AD608" s="37">
        <f>+IF(GUAYAQUIL[[#This Row],[CODIGO]]="","",GUAYAQUIL[[#This Row],[Stock Actual Unds]]*GUAYAQUIL[[#This Row],[Gramaje]]*GUAYAQUIL[[#This Row],[Conversión]])/1000</f>
        <v>2.0039999999999999E-2</v>
      </c>
    </row>
    <row r="609" spans="1:30">
      <c r="A609" s="24" t="str">
        <f>+IFERROR(IF(GUAYAQUIL[[#This Row],[CODIGO]]="","",VLOOKUP(GUAYAQUIL[[#This Row],[CODIGO]],MAESTRO!$A:$J,10,FALSE)),"")</f>
        <v>MACHACHI</v>
      </c>
      <c r="B609" s="24" t="str">
        <f>+IFERROR(IF(GUAYAQUIL[[#This Row],[CODIGO]]="","",VLOOKUP(GUAYAQUIL[[#This Row],[CODIGO]],MAESTRO!$A:$Q,17,FALSE)),"")</f>
        <v>BEBIDAS LACTEAS</v>
      </c>
      <c r="C609" s="24" t="str">
        <f>+IFERROR(IF(GUAYAQUIL[[#This Row],[CODIGO]]="","",VLOOKUP(GUAYAQUIL[[#This Row],[CODIGO]],MAESTRO!$A:$BA,53,FALSE)),"")</f>
        <v xml:space="preserve">Luis Armendariz                         </v>
      </c>
      <c r="D609" s="24" t="str">
        <f>+IFERROR(IF(GUAYAQUIL[[#This Row],[CODIGO]]="","",VLOOKUP(GUAYAQUIL[[#This Row],[CODIGO]],MAESTRO!$A:$D,4,FALSE)),"")</f>
        <v>YOGURT FINESSE</v>
      </c>
      <c r="E609" s="24" t="str">
        <f>+IFERROR(IF(GUAYAQUIL[[#This Row],[CODIGO]]="","",VLOOKUP(GUAYAQUIL[[#This Row],[CODIGO]],MAESTRO!$A:$F,6,FALSE)),"")</f>
        <v>YOGURT FINESSE DESLACT BOTELLA FAMILIAR</v>
      </c>
      <c r="F609" s="42" t="str">
        <f>IF(GUAYAQUIL[[#This Row],[CODIGO]]="","",$K$6)</f>
        <v>GUAYAQUIL</v>
      </c>
      <c r="G609" s="1">
        <f>IF(GUAYAQUIL[[#This Row],[CODIGO]]="","",7711)</f>
        <v>7711</v>
      </c>
      <c r="H609" s="1">
        <f>IF(GUAYAQUIL[[#This Row],[CODIGO]]="","",1001)</f>
        <v>1001</v>
      </c>
      <c r="I609" s="258" t="s">
        <v>2845</v>
      </c>
      <c r="J609" s="43" t="str">
        <f>IFERROR((VLOOKUP(GUAYAQUIL[[#This Row],[CODIGO]],MAESTRO!A:B,2,FALSE)),"")</f>
        <v>YOG FNSSE SBILA BOT 1670G</v>
      </c>
      <c r="K609" s="35">
        <v>12</v>
      </c>
      <c r="L609" s="38">
        <f>+IFERROR(IF(GUAYAQUIL[[#This Row],[CODIGO]]="","",VLOOKUP(GUAYAQUIL[[#This Row],[CODIGO]],MAESTRO!$A:$BF,58,FALSE)),"")</f>
        <v>1</v>
      </c>
      <c r="M609" s="27">
        <f>+IFERROR(IF(GUAYAQUIL[[#This Row],[CODIGO]]="","",VLOOKUP(GUAYAQUIL[[#This Row],[CODIGO]],MAESTRO!A:N,14,FALSE)),"")</f>
        <v>1.67</v>
      </c>
      <c r="N609" s="291">
        <f>+IFERROR(IF(GUAYAQUIL[[#This Row],[CODIGO]]="","",VLOOKUP(GUAYAQUIL[[#This Row],[CODIGO]],MAESTRO!A:P,16,FALSE)),"")</f>
        <v>45</v>
      </c>
      <c r="O609" s="29">
        <v>45612</v>
      </c>
      <c r="P609" s="293" t="str">
        <f t="shared" si="45"/>
        <v>sábado</v>
      </c>
      <c r="Q609" s="29">
        <f>IFERROR(IF(GUAYAQUIL[[#This Row],[CODIGO]]="","",IF(GUAYAQUIL[[#This Row],[Fecha Cad]]="","",(GUAYAQUIL[[#This Row],[Fecha Cad]]-GUAYAQUIL[[#This Row],[VIDA UTIL (Días)]]))+1),"")</f>
        <v>45604</v>
      </c>
      <c r="R609" s="29">
        <v>45648</v>
      </c>
      <c r="S609" s="30">
        <f t="shared" ca="1" si="46"/>
        <v>24</v>
      </c>
      <c r="T609" s="32">
        <f t="shared" ca="1" si="47"/>
        <v>0.53333333333333333</v>
      </c>
      <c r="U609" s="286">
        <v>6</v>
      </c>
      <c r="V609" s="265">
        <f>+IFERROR(IF(GUAYAQUIL[[#This Row],[CODIGO]]="","",GUAYAQUIL[[#This Row],[Stock Actual Unds]]*GUAYAQUIL[[#This Row],[Gramaje]]*GUAYAQUIL[[#This Row],[Conversión]]),"")</f>
        <v>10.02</v>
      </c>
      <c r="W609" s="300">
        <f t="shared" si="48"/>
        <v>8</v>
      </c>
      <c r="X609" s="32">
        <f t="shared" si="49"/>
        <v>0.82222222222222219</v>
      </c>
      <c r="Y609" s="236">
        <f>IFERROR(VLOOKUP(GUAYAQUIL[[#This Row],[CODIGO]],MAESTRO!A:BI,21,FALSE),0)</f>
        <v>2.4703599999999999</v>
      </c>
      <c r="Z609" s="236">
        <f>+IFERROR(IF(GUAYAQUIL[[#This Row],[CODIGO]]="","",GUAYAQUIL[[#This Row],[COSTO UNIT base]]*GUAYAQUIL[[#This Row],[Conversión]]),"")</f>
        <v>2.4703599999999999</v>
      </c>
      <c r="AA609" s="236">
        <f>+IFERROR(IF(GUAYAQUIL[[#This Row],[CODIGO]]="","",GUAYAQUIL[[#This Row],[COSTO UNIT Conv]]*GUAYAQUIL[[#This Row],[Stock Actual Kgs]]),"")</f>
        <v>24.753007199999999</v>
      </c>
      <c r="AB609" s="33">
        <f ca="1">+IFERROR(IF(GUAYAQUIL[[#This Row],[CODIGO]]="","",$J$3-O609),"")</f>
        <v>12</v>
      </c>
      <c r="AC609" s="34" t="str">
        <f ca="1">IF(GUAYAQUIL[[#This Row],[CODIGO]]="","",IF(S609&lt;=0,"CADUCADO",IF(AND(S609&gt;0,S609&lt;=21),"FECHA CORTA",IF(AND(S609&gt;=22,S609&lt;=26),"PROXIMOS FECHA CORTA", "VIGENTE"))))</f>
        <v>PROXIMOS FECHA CORTA</v>
      </c>
      <c r="AD609" s="37">
        <f>+IF(GUAYAQUIL[[#This Row],[CODIGO]]="","",GUAYAQUIL[[#This Row],[Stock Actual Unds]]*GUAYAQUIL[[#This Row],[Gramaje]]*GUAYAQUIL[[#This Row],[Conversión]])/1000</f>
        <v>1.0019999999999999E-2</v>
      </c>
    </row>
    <row r="610" spans="1:30">
      <c r="A610" s="24" t="str">
        <f>+IFERROR(IF(GUAYAQUIL[[#This Row],[CODIGO]]="","",VLOOKUP(GUAYAQUIL[[#This Row],[CODIGO]],MAESTRO!$A:$J,10,FALSE)),"")</f>
        <v>MACHACHI</v>
      </c>
      <c r="B610" s="24" t="str">
        <f>+IFERROR(IF(GUAYAQUIL[[#This Row],[CODIGO]]="","",VLOOKUP(GUAYAQUIL[[#This Row],[CODIGO]],MAESTRO!$A:$Q,17,FALSE)),"")</f>
        <v>BEBIDAS LACTEAS</v>
      </c>
      <c r="C610" s="24" t="str">
        <f>+IFERROR(IF(GUAYAQUIL[[#This Row],[CODIGO]]="","",VLOOKUP(GUAYAQUIL[[#This Row],[CODIGO]],MAESTRO!$A:$BA,53,FALSE)),"")</f>
        <v xml:space="preserve">Luis Armendariz                         </v>
      </c>
      <c r="D610" s="24" t="str">
        <f>+IFERROR(IF(GUAYAQUIL[[#This Row],[CODIGO]]="","",VLOOKUP(GUAYAQUIL[[#This Row],[CODIGO]],MAESTRO!$A:$D,4,FALSE)),"")</f>
        <v>YOGURT FINESSE</v>
      </c>
      <c r="E610" s="24" t="str">
        <f>+IFERROR(IF(GUAYAQUIL[[#This Row],[CODIGO]]="","",VLOOKUP(GUAYAQUIL[[#This Row],[CODIGO]],MAESTRO!$A:$F,6,FALSE)),"")</f>
        <v>YOGURT FINESSE DESLACT BOTELLA FAMILIAR</v>
      </c>
      <c r="F610" s="42" t="str">
        <f>IF(GUAYAQUIL[[#This Row],[CODIGO]]="","",$K$6)</f>
        <v>GUAYAQUIL</v>
      </c>
      <c r="G610" s="1">
        <f>IF(GUAYAQUIL[[#This Row],[CODIGO]]="","",7711)</f>
        <v>7711</v>
      </c>
      <c r="H610" s="1">
        <f>IF(GUAYAQUIL[[#This Row],[CODIGO]]="","",1001)</f>
        <v>1001</v>
      </c>
      <c r="I610" s="258" t="s">
        <v>2845</v>
      </c>
      <c r="J610" s="43" t="str">
        <f>IFERROR((VLOOKUP(GUAYAQUIL[[#This Row],[CODIGO]],MAESTRO!A:B,2,FALSE)),"")</f>
        <v>YOG FNSSE SBILA BOT 1670G</v>
      </c>
      <c r="K610" s="35">
        <v>36</v>
      </c>
      <c r="L610" s="38">
        <f>+IFERROR(IF(GUAYAQUIL[[#This Row],[CODIGO]]="","",VLOOKUP(GUAYAQUIL[[#This Row],[CODIGO]],MAESTRO!$A:$BF,58,FALSE)),"")</f>
        <v>1</v>
      </c>
      <c r="M610" s="27">
        <f>+IFERROR(IF(GUAYAQUIL[[#This Row],[CODIGO]]="","",VLOOKUP(GUAYAQUIL[[#This Row],[CODIGO]],MAESTRO!A:N,14,FALSE)),"")</f>
        <v>1.67</v>
      </c>
      <c r="N610" s="291">
        <f>+IFERROR(IF(GUAYAQUIL[[#This Row],[CODIGO]]="","",VLOOKUP(GUAYAQUIL[[#This Row],[CODIGO]],MAESTRO!A:P,16,FALSE)),"")</f>
        <v>45</v>
      </c>
      <c r="O610" s="29">
        <v>45616</v>
      </c>
      <c r="P610" s="293" t="str">
        <f t="shared" si="45"/>
        <v>miércoles</v>
      </c>
      <c r="Q610" s="29">
        <f>IFERROR(IF(GUAYAQUIL[[#This Row],[CODIGO]]="","",IF(GUAYAQUIL[[#This Row],[Fecha Cad]]="","",(GUAYAQUIL[[#This Row],[Fecha Cad]]-GUAYAQUIL[[#This Row],[VIDA UTIL (Días)]]))+1),"")</f>
        <v>45609</v>
      </c>
      <c r="R610" s="45">
        <v>45653</v>
      </c>
      <c r="S610" s="30">
        <f t="shared" ca="1" si="46"/>
        <v>29</v>
      </c>
      <c r="T610" s="32">
        <f t="shared" ca="1" si="47"/>
        <v>0.64444444444444449</v>
      </c>
      <c r="U610" s="286">
        <v>36</v>
      </c>
      <c r="V610" s="265">
        <f>+IFERROR(IF(GUAYAQUIL[[#This Row],[CODIGO]]="","",GUAYAQUIL[[#This Row],[Stock Actual Unds]]*GUAYAQUIL[[#This Row],[Gramaje]]*GUAYAQUIL[[#This Row],[Conversión]]),"")</f>
        <v>60.12</v>
      </c>
      <c r="W610" s="300">
        <f t="shared" si="48"/>
        <v>7</v>
      </c>
      <c r="X610" s="32">
        <f t="shared" si="49"/>
        <v>0.84444444444444444</v>
      </c>
      <c r="Y610" s="236">
        <f>IFERROR(VLOOKUP(GUAYAQUIL[[#This Row],[CODIGO]],MAESTRO!A:BI,21,FALSE),0)</f>
        <v>2.4703599999999999</v>
      </c>
      <c r="Z610" s="236">
        <f>+IFERROR(IF(GUAYAQUIL[[#This Row],[CODIGO]]="","",GUAYAQUIL[[#This Row],[COSTO UNIT base]]*GUAYAQUIL[[#This Row],[Conversión]]),"")</f>
        <v>2.4703599999999999</v>
      </c>
      <c r="AA610" s="236">
        <f>+IFERROR(IF(GUAYAQUIL[[#This Row],[CODIGO]]="","",GUAYAQUIL[[#This Row],[COSTO UNIT Conv]]*GUAYAQUIL[[#This Row],[Stock Actual Kgs]]),"")</f>
        <v>148.51804319999999</v>
      </c>
      <c r="AB610" s="33">
        <f ca="1">+IFERROR(IF(GUAYAQUIL[[#This Row],[CODIGO]]="","",$J$3-O610),"")</f>
        <v>8</v>
      </c>
      <c r="AC610" s="34" t="str">
        <f ca="1">IF(GUAYAQUIL[[#This Row],[CODIGO]]="","",IF(S610&lt;=0,"CADUCADO",IF(AND(S610&gt;0,S610&lt;=21),"FECHA CORTA",IF(AND(S610&gt;=22,S610&lt;=26),"PROXIMOS FECHA CORTA", "VIGENTE"))))</f>
        <v>VIGENTE</v>
      </c>
      <c r="AD610" s="37">
        <f>+IF(GUAYAQUIL[[#This Row],[CODIGO]]="","",GUAYAQUIL[[#This Row],[Stock Actual Unds]]*GUAYAQUIL[[#This Row],[Gramaje]]*GUAYAQUIL[[#This Row],[Conversión]])/1000</f>
        <v>6.012E-2</v>
      </c>
    </row>
    <row r="611" spans="1:30">
      <c r="A611" s="24" t="str">
        <f>+IFERROR(IF(GUAYAQUIL[[#This Row],[CODIGO]]="","",VLOOKUP(GUAYAQUIL[[#This Row],[CODIGO]],MAESTRO!$A:$J,10,FALSE)),"")</f>
        <v>SAN GABRIEL</v>
      </c>
      <c r="B611" s="24" t="str">
        <f>+IFERROR(IF(GUAYAQUIL[[#This Row],[CODIGO]]="","",VLOOKUP(GUAYAQUIL[[#This Row],[CODIGO]],MAESTRO!$A:$Q,17,FALSE)),"")</f>
        <v>QUESOS Y GRASAS</v>
      </c>
      <c r="C611" s="24" t="str">
        <f>+IFERROR(IF(GUAYAQUIL[[#This Row],[CODIGO]]="","",VLOOKUP(GUAYAQUIL[[#This Row],[CODIGO]],MAESTRO!$A:$BA,53,FALSE)),"")</f>
        <v xml:space="preserve">Esteban Montenegro                      </v>
      </c>
      <c r="D611" s="24" t="str">
        <f>+IFERROR(IF(GUAYAQUIL[[#This Row],[CODIGO]]="","",VLOOKUP(GUAYAQUIL[[#This Row],[CODIGO]],MAESTRO!$A:$D,4,FALSE)),"")</f>
        <v>QUESO MOZARELLA KIOSKO</v>
      </c>
      <c r="E611" s="24" t="str">
        <f>+IFERROR(IF(GUAYAQUIL[[#This Row],[CODIGO]]="","",VLOOKUP(GUAYAQUIL[[#This Row],[CODIGO]],MAESTRO!$A:$F,6,FALSE)),"")</f>
        <v>QUESO MOZARELLA LIGHT KIOSKO BLOQUE</v>
      </c>
      <c r="F611" s="42" t="str">
        <f>IF(GUAYAQUIL[[#This Row],[CODIGO]]="","",$K$6)</f>
        <v>GUAYAQUIL</v>
      </c>
      <c r="G611" s="1">
        <f>IF(GUAYAQUIL[[#This Row],[CODIGO]]="","",7711)</f>
        <v>7711</v>
      </c>
      <c r="H611" s="1">
        <f>IF(GUAYAQUIL[[#This Row],[CODIGO]]="","",1001)</f>
        <v>1001</v>
      </c>
      <c r="I611" s="258" t="s">
        <v>4143</v>
      </c>
      <c r="J611" s="43" t="str">
        <f>IFERROR((VLOOKUP(GUAYAQUIL[[#This Row],[CODIGO]],MAESTRO!A:B,2,FALSE)),"")</f>
        <v>Q MOZAR LGHT KIOSKO BLOQ 700G</v>
      </c>
      <c r="K611" s="35">
        <v>0</v>
      </c>
      <c r="L611" s="38">
        <f>+IFERROR(IF(GUAYAQUIL[[#This Row],[CODIGO]]="","",VLOOKUP(GUAYAQUIL[[#This Row],[CODIGO]],MAESTRO!$A:$BF,58,FALSE)),"")</f>
        <v>1</v>
      </c>
      <c r="M611" s="27">
        <f>+IFERROR(IF(GUAYAQUIL[[#This Row],[CODIGO]]="","",VLOOKUP(GUAYAQUIL[[#This Row],[CODIGO]],MAESTRO!A:N,14,FALSE)),"")</f>
        <v>0.7</v>
      </c>
      <c r="N611" s="291">
        <f>+IFERROR(IF(GUAYAQUIL[[#This Row],[CODIGO]]="","",VLOOKUP(GUAYAQUIL[[#This Row],[CODIGO]],MAESTRO!A:P,16,FALSE)),"")</f>
        <v>40</v>
      </c>
      <c r="O611" s="29">
        <v>45600</v>
      </c>
      <c r="P611" s="293" t="str">
        <f t="shared" si="45"/>
        <v>lunes</v>
      </c>
      <c r="Q611" s="29">
        <f>IFERROR(IF(GUAYAQUIL[[#This Row],[CODIGO]]="","",IF(GUAYAQUIL[[#This Row],[Fecha Cad]]="","",(GUAYAQUIL[[#This Row],[Fecha Cad]]-GUAYAQUIL[[#This Row],[VIDA UTIL (Días)]]))+1),"")</f>
        <v>45740</v>
      </c>
      <c r="R611" s="45">
        <v>45779</v>
      </c>
      <c r="S611" s="30">
        <f t="shared" ca="1" si="46"/>
        <v>155</v>
      </c>
      <c r="T611" s="32">
        <f t="shared" ca="1" si="47"/>
        <v>3.875</v>
      </c>
      <c r="U611" s="286">
        <v>21</v>
      </c>
      <c r="V611" s="265">
        <f>+IFERROR(IF(GUAYAQUIL[[#This Row],[CODIGO]]="","",GUAYAQUIL[[#This Row],[Stock Actual Unds]]*GUAYAQUIL[[#This Row],[Gramaje]]*GUAYAQUIL[[#This Row],[Conversión]]),"")</f>
        <v>14.7</v>
      </c>
      <c r="W611" s="300">
        <f t="shared" si="48"/>
        <v>-140</v>
      </c>
      <c r="X611" s="32">
        <f t="shared" si="49"/>
        <v>4.5</v>
      </c>
      <c r="Y611" s="236">
        <f>IFERROR(VLOOKUP(GUAYAQUIL[[#This Row],[CODIGO]],MAESTRO!A:BI,21,FALSE),0)</f>
        <v>3.8565149999999999</v>
      </c>
      <c r="Z611" s="236">
        <f>+IFERROR(IF(GUAYAQUIL[[#This Row],[CODIGO]]="","",GUAYAQUIL[[#This Row],[COSTO UNIT base]]*GUAYAQUIL[[#This Row],[Conversión]]),"")</f>
        <v>3.8565149999999999</v>
      </c>
      <c r="AA611" s="236">
        <f>+IFERROR(IF(GUAYAQUIL[[#This Row],[CODIGO]]="","",GUAYAQUIL[[#This Row],[COSTO UNIT Conv]]*GUAYAQUIL[[#This Row],[Stock Actual Kgs]]),"")</f>
        <v>56.690770499999999</v>
      </c>
      <c r="AB611" s="33">
        <f ca="1">+IFERROR(IF(GUAYAQUIL[[#This Row],[CODIGO]]="","",$J$3-O611),"")</f>
        <v>24</v>
      </c>
      <c r="AC611" s="34" t="str">
        <f ca="1">IF(GUAYAQUIL[[#This Row],[CODIGO]]="","",IF(S611&lt;=0,"CADUCADO",IF(AND(S611&gt;0,S611&lt;=21),"FECHA CORTA",IF(AND(S611&gt;=22,S611&lt;=26),"PROXIMOS FECHA CORTA", "VIGENTE"))))</f>
        <v>VIGENTE</v>
      </c>
      <c r="AD611" s="37">
        <f>+IF(GUAYAQUIL[[#This Row],[CODIGO]]="","",GUAYAQUIL[[#This Row],[Stock Actual Unds]]*GUAYAQUIL[[#This Row],[Gramaje]]*GUAYAQUIL[[#This Row],[Conversión]])/1000</f>
        <v>1.47E-2</v>
      </c>
    </row>
    <row r="612" spans="1:30">
      <c r="A612" s="24" t="str">
        <f>+IFERROR(IF(GUAYAQUIL[[#This Row],[CODIGO]]="","",VLOOKUP(GUAYAQUIL[[#This Row],[CODIGO]],MAESTRO!$A:$J,10,FALSE)),"")</f>
        <v>SAN GABRIEL</v>
      </c>
      <c r="B612" s="24" t="str">
        <f>+IFERROR(IF(GUAYAQUIL[[#This Row],[CODIGO]]="","",VLOOKUP(GUAYAQUIL[[#This Row],[CODIGO]],MAESTRO!$A:$Q,17,FALSE)),"")</f>
        <v>QUESOS Y GRASAS</v>
      </c>
      <c r="C612" s="24" t="str">
        <f>+IFERROR(IF(GUAYAQUIL[[#This Row],[CODIGO]]="","",VLOOKUP(GUAYAQUIL[[#This Row],[CODIGO]],MAESTRO!$A:$BA,53,FALSE)),"")</f>
        <v xml:space="preserve">Esteban Montenegro                      </v>
      </c>
      <c r="D612" s="24" t="str">
        <f>+IFERROR(IF(GUAYAQUIL[[#This Row],[CODIGO]]="","",VLOOKUP(GUAYAQUIL[[#This Row],[CODIGO]],MAESTRO!$A:$D,4,FALSE)),"")</f>
        <v>QUESO MOZARELLA KIOSKO</v>
      </c>
      <c r="E612" s="24" t="str">
        <f>+IFERROR(IF(GUAYAQUIL[[#This Row],[CODIGO]]="","",VLOOKUP(GUAYAQUIL[[#This Row],[CODIGO]],MAESTRO!$A:$F,6,FALSE)),"")</f>
        <v>QUESO MOZARELLA LIGHT KIOSKO BLOQUE</v>
      </c>
      <c r="F612" s="42" t="str">
        <f>IF(GUAYAQUIL[[#This Row],[CODIGO]]="","",$K$6)</f>
        <v>GUAYAQUIL</v>
      </c>
      <c r="G612" s="1">
        <f>IF(GUAYAQUIL[[#This Row],[CODIGO]]="","",7711)</f>
        <v>7711</v>
      </c>
      <c r="H612" s="1">
        <f>IF(GUAYAQUIL[[#This Row],[CODIGO]]="","",1001)</f>
        <v>1001</v>
      </c>
      <c r="I612" s="258" t="s">
        <v>4143</v>
      </c>
      <c r="J612" s="43" t="str">
        <f>IFERROR((VLOOKUP(GUAYAQUIL[[#This Row],[CODIGO]],MAESTRO!A:B,2,FALSE)),"")</f>
        <v>Q MOZAR LGHT KIOSKO BLOQ 700G</v>
      </c>
      <c r="K612" s="35">
        <v>216</v>
      </c>
      <c r="L612" s="38">
        <f>+IFERROR(IF(GUAYAQUIL[[#This Row],[CODIGO]]="","",VLOOKUP(GUAYAQUIL[[#This Row],[CODIGO]],MAESTRO!$A:$BF,58,FALSE)),"")</f>
        <v>1</v>
      </c>
      <c r="M612" s="27">
        <f>+IFERROR(IF(GUAYAQUIL[[#This Row],[CODIGO]]="","",VLOOKUP(GUAYAQUIL[[#This Row],[CODIGO]],MAESTRO!A:N,14,FALSE)),"")</f>
        <v>0.7</v>
      </c>
      <c r="N612" s="291">
        <f>+IFERROR(IF(GUAYAQUIL[[#This Row],[CODIGO]]="","",VLOOKUP(GUAYAQUIL[[#This Row],[CODIGO]],MAESTRO!A:P,16,FALSE)),"")</f>
        <v>40</v>
      </c>
      <c r="O612" s="29">
        <v>45615</v>
      </c>
      <c r="P612" s="293" t="str">
        <f t="shared" si="45"/>
        <v>martes</v>
      </c>
      <c r="Q612" s="29">
        <f>IFERROR(IF(GUAYAQUIL[[#This Row],[CODIGO]]="","",IF(GUAYAQUIL[[#This Row],[Fecha Cad]]="","",(GUAYAQUIL[[#This Row],[Fecha Cad]]-GUAYAQUIL[[#This Row],[VIDA UTIL (Días)]]))+1),"")</f>
        <v>45612</v>
      </c>
      <c r="R612" s="29">
        <v>45651</v>
      </c>
      <c r="S612" s="30">
        <f t="shared" ca="1" si="46"/>
        <v>27</v>
      </c>
      <c r="T612" s="32">
        <f t="shared" ca="1" si="47"/>
        <v>0.67500000000000004</v>
      </c>
      <c r="U612" s="286">
        <v>184</v>
      </c>
      <c r="V612" s="266">
        <f>+IFERROR(IF(GUAYAQUIL[[#This Row],[CODIGO]]="","",GUAYAQUIL[[#This Row],[Stock Actual Unds]]*GUAYAQUIL[[#This Row],[Gramaje]]*GUAYAQUIL[[#This Row],[Conversión]]),"")</f>
        <v>128.79999999999998</v>
      </c>
      <c r="W612" s="300">
        <f t="shared" si="48"/>
        <v>3</v>
      </c>
      <c r="X612" s="32">
        <f t="shared" si="49"/>
        <v>0.92500000000000004</v>
      </c>
      <c r="Y612" s="236">
        <f>IFERROR(VLOOKUP(GUAYAQUIL[[#This Row],[CODIGO]],MAESTRO!A:BI,21,FALSE),0)</f>
        <v>3.8565149999999999</v>
      </c>
      <c r="Z612" s="236">
        <f>+IFERROR(IF(GUAYAQUIL[[#This Row],[CODIGO]]="","",GUAYAQUIL[[#This Row],[COSTO UNIT base]]*GUAYAQUIL[[#This Row],[Conversión]]),"")</f>
        <v>3.8565149999999999</v>
      </c>
      <c r="AA612" s="236">
        <f>+IFERROR(IF(GUAYAQUIL[[#This Row],[CODIGO]]="","",GUAYAQUIL[[#This Row],[COSTO UNIT Conv]]*GUAYAQUIL[[#This Row],[Stock Actual Kgs]]),"")</f>
        <v>496.71913199999995</v>
      </c>
      <c r="AB612" s="33">
        <f ca="1">+IFERROR(IF(GUAYAQUIL[[#This Row],[CODIGO]]="","",$J$3-O612),"")</f>
        <v>9</v>
      </c>
      <c r="AC612" s="34" t="str">
        <f ca="1">IF(GUAYAQUIL[[#This Row],[CODIGO]]="","",IF(S612&lt;=0,"CADUCADO",IF(AND(S612&gt;0,S612&lt;=21),"FECHA CORTA",IF(AND(S612&gt;=22,S612&lt;=26),"PROXIMOS FECHA CORTA", "VIGENTE"))))</f>
        <v>VIGENTE</v>
      </c>
      <c r="AD612" s="37">
        <f>+IF(GUAYAQUIL[[#This Row],[CODIGO]]="","",GUAYAQUIL[[#This Row],[Stock Actual Unds]]*GUAYAQUIL[[#This Row],[Gramaje]]*GUAYAQUIL[[#This Row],[Conversión]])/1000</f>
        <v>0.12879999999999997</v>
      </c>
    </row>
    <row r="613" spans="1:30">
      <c r="A613" s="24" t="str">
        <f>+IFERROR(IF(GUAYAQUIL[[#This Row],[CODIGO]]="","",VLOOKUP(GUAYAQUIL[[#This Row],[CODIGO]],MAESTRO!$A:$J,10,FALSE)),"")</f>
        <v>SAN GABRIEL</v>
      </c>
      <c r="B613" s="24" t="str">
        <f>+IFERROR(IF(GUAYAQUIL[[#This Row],[CODIGO]]="","",VLOOKUP(GUAYAQUIL[[#This Row],[CODIGO]],MAESTRO!$A:$Q,17,FALSE)),"")</f>
        <v>QUESOS Y GRASAS</v>
      </c>
      <c r="C613" s="24" t="str">
        <f>+IFERROR(IF(GUAYAQUIL[[#This Row],[CODIGO]]="","",VLOOKUP(GUAYAQUIL[[#This Row],[CODIGO]],MAESTRO!$A:$BA,53,FALSE)),"")</f>
        <v xml:space="preserve">Esteban Montenegro                      </v>
      </c>
      <c r="D613" s="24" t="str">
        <f>+IFERROR(IF(GUAYAQUIL[[#This Row],[CODIGO]]="","",VLOOKUP(GUAYAQUIL[[#This Row],[CODIGO]],MAESTRO!$A:$D,4,FALSE)),"")</f>
        <v>QUESO MOZARELLA KIOSKO</v>
      </c>
      <c r="E613" s="24" t="str">
        <f>+IFERROR(IF(GUAYAQUIL[[#This Row],[CODIGO]]="","",VLOOKUP(GUAYAQUIL[[#This Row],[CODIGO]],MAESTRO!$A:$F,6,FALSE)),"")</f>
        <v>QUESO MOZARELLA LIGHT KIOSKO BLOQUE</v>
      </c>
      <c r="F613" s="42" t="str">
        <f>IF(GUAYAQUIL[[#This Row],[CODIGO]]="","",$K$6)</f>
        <v>GUAYAQUIL</v>
      </c>
      <c r="G613" s="1">
        <f>IF(GUAYAQUIL[[#This Row],[CODIGO]]="","",7711)</f>
        <v>7711</v>
      </c>
      <c r="H613" s="1">
        <f>IF(GUAYAQUIL[[#This Row],[CODIGO]]="","",1001)</f>
        <v>1001</v>
      </c>
      <c r="I613" s="257" t="s">
        <v>4143</v>
      </c>
      <c r="J613" s="43" t="str">
        <f>IFERROR((VLOOKUP(GUAYAQUIL[[#This Row],[CODIGO]],MAESTRO!A:B,2,FALSE)),"")</f>
        <v>Q MOZAR LGHT KIOSKO BLOQ 700G</v>
      </c>
      <c r="K613" s="26">
        <v>54</v>
      </c>
      <c r="L613" s="38">
        <f>+IFERROR(IF(GUAYAQUIL[[#This Row],[CODIGO]]="","",VLOOKUP(GUAYAQUIL[[#This Row],[CODIGO]],MAESTRO!$A:$BF,58,FALSE)),"")</f>
        <v>1</v>
      </c>
      <c r="M613" s="27">
        <f>+IFERROR(IF(GUAYAQUIL[[#This Row],[CODIGO]]="","",VLOOKUP(GUAYAQUIL[[#This Row],[CODIGO]],MAESTRO!A:N,14,FALSE)),"")</f>
        <v>0.7</v>
      </c>
      <c r="N613" s="291">
        <f>+IFERROR(IF(GUAYAQUIL[[#This Row],[CODIGO]]="","",VLOOKUP(GUAYAQUIL[[#This Row],[CODIGO]],MAESTRO!A:P,16,FALSE)),"")</f>
        <v>40</v>
      </c>
      <c r="O613" s="29">
        <v>45616</v>
      </c>
      <c r="P613" s="293" t="str">
        <f t="shared" si="45"/>
        <v>miércoles</v>
      </c>
      <c r="Q613" s="29">
        <f>IFERROR(IF(GUAYAQUIL[[#This Row],[CODIGO]]="","",IF(GUAYAQUIL[[#This Row],[Fecha Cad]]="","",(GUAYAQUIL[[#This Row],[Fecha Cad]]-GUAYAQUIL[[#This Row],[VIDA UTIL (Días)]]))+1),"")</f>
        <v>45612</v>
      </c>
      <c r="R613" s="29">
        <v>45651</v>
      </c>
      <c r="S613" s="30">
        <f t="shared" ca="1" si="46"/>
        <v>27</v>
      </c>
      <c r="T613" s="32">
        <f t="shared" ca="1" si="47"/>
        <v>0.67500000000000004</v>
      </c>
      <c r="U613" s="286">
        <v>54</v>
      </c>
      <c r="V613" s="267">
        <f>+IFERROR(IF(GUAYAQUIL[[#This Row],[CODIGO]]="","",GUAYAQUIL[[#This Row],[Stock Actual Unds]]*GUAYAQUIL[[#This Row],[Gramaje]]*GUAYAQUIL[[#This Row],[Conversión]]),"")</f>
        <v>37.799999999999997</v>
      </c>
      <c r="W613" s="300">
        <f t="shared" si="48"/>
        <v>4</v>
      </c>
      <c r="X613" s="32">
        <f t="shared" si="49"/>
        <v>0.9</v>
      </c>
      <c r="Y613" s="236">
        <f>IFERROR(VLOOKUP(GUAYAQUIL[[#This Row],[CODIGO]],MAESTRO!A:BI,21,FALSE),0)</f>
        <v>3.8565149999999999</v>
      </c>
      <c r="Z613" s="236">
        <f>+IFERROR(IF(GUAYAQUIL[[#This Row],[CODIGO]]="","",GUAYAQUIL[[#This Row],[COSTO UNIT base]]*GUAYAQUIL[[#This Row],[Conversión]]),"")</f>
        <v>3.8565149999999999</v>
      </c>
      <c r="AA613" s="236">
        <f>+IFERROR(IF(GUAYAQUIL[[#This Row],[CODIGO]]="","",GUAYAQUIL[[#This Row],[COSTO UNIT Conv]]*GUAYAQUIL[[#This Row],[Stock Actual Kgs]]),"")</f>
        <v>145.77626699999999</v>
      </c>
      <c r="AB613" s="33">
        <f ca="1">+IFERROR(IF(GUAYAQUIL[[#This Row],[CODIGO]]="","",$J$3-O613),"")</f>
        <v>8</v>
      </c>
      <c r="AC613" s="34" t="str">
        <f ca="1">IF(GUAYAQUIL[[#This Row],[CODIGO]]="","",IF(S613&lt;=0,"CADUCADO",IF(AND(S613&gt;0,S613&lt;=21),"FECHA CORTA",IF(AND(S613&gt;=22,S613&lt;=26),"PROXIMOS FECHA CORTA", "VIGENTE"))))</f>
        <v>VIGENTE</v>
      </c>
      <c r="AD613" s="37">
        <f>+IF(GUAYAQUIL[[#This Row],[CODIGO]]="","",GUAYAQUIL[[#This Row],[Stock Actual Unds]]*GUAYAQUIL[[#This Row],[Gramaje]]*GUAYAQUIL[[#This Row],[Conversión]])/1000</f>
        <v>3.78E-2</v>
      </c>
    </row>
    <row r="614" spans="1:30">
      <c r="A614" s="24" t="str">
        <f>+IFERROR(IF(GUAYAQUIL[[#This Row],[CODIGO]]="","",VLOOKUP(GUAYAQUIL[[#This Row],[CODIGO]],MAESTRO!$A:$J,10,FALSE)),"")</f>
        <v>SAN GABRIEL</v>
      </c>
      <c r="B614" s="24" t="str">
        <f>+IFERROR(IF(GUAYAQUIL[[#This Row],[CODIGO]]="","",VLOOKUP(GUAYAQUIL[[#This Row],[CODIGO]],MAESTRO!$A:$Q,17,FALSE)),"")</f>
        <v>QUESOS Y GRASAS</v>
      </c>
      <c r="C614" s="24" t="str">
        <f>+IFERROR(IF(GUAYAQUIL[[#This Row],[CODIGO]]="","",VLOOKUP(GUAYAQUIL[[#This Row],[CODIGO]],MAESTRO!$A:$BA,53,FALSE)),"")</f>
        <v xml:space="preserve">Esteban Montenegro                      </v>
      </c>
      <c r="D614" s="24" t="str">
        <f>+IFERROR(IF(GUAYAQUIL[[#This Row],[CODIGO]]="","",VLOOKUP(GUAYAQUIL[[#This Row],[CODIGO]],MAESTRO!$A:$D,4,FALSE)),"")</f>
        <v>QUESO MOZARELLA KIOSKO</v>
      </c>
      <c r="E614" s="24" t="str">
        <f>+IFERROR(IF(GUAYAQUIL[[#This Row],[CODIGO]]="","",VLOOKUP(GUAYAQUIL[[#This Row],[CODIGO]],MAESTRO!$A:$F,6,FALSE)),"")</f>
        <v>QUESO MOZARELLA LIGHT KIOSKO BLOQUE</v>
      </c>
      <c r="F614" s="42" t="str">
        <f>IF(GUAYAQUIL[[#This Row],[CODIGO]]="","",$K$6)</f>
        <v>GUAYAQUIL</v>
      </c>
      <c r="G614" s="1">
        <f>IF(GUAYAQUIL[[#This Row],[CODIGO]]="","",7711)</f>
        <v>7711</v>
      </c>
      <c r="H614" s="1">
        <f>IF(GUAYAQUIL[[#This Row],[CODIGO]]="","",1001)</f>
        <v>1001</v>
      </c>
      <c r="I614" s="258" t="s">
        <v>4143</v>
      </c>
      <c r="J614" s="43" t="str">
        <f>IFERROR((VLOOKUP(GUAYAQUIL[[#This Row],[CODIGO]],MAESTRO!A:B,2,FALSE)),"")</f>
        <v>Q MOZAR LGHT KIOSKO BLOQ 700G</v>
      </c>
      <c r="K614" s="35">
        <v>108</v>
      </c>
      <c r="L614" s="38">
        <f>+IFERROR(IF(GUAYAQUIL[[#This Row],[CODIGO]]="","",VLOOKUP(GUAYAQUIL[[#This Row],[CODIGO]],MAESTRO!$A:$BF,58,FALSE)),"")</f>
        <v>1</v>
      </c>
      <c r="M614" s="27">
        <f>+IFERROR(IF(GUAYAQUIL[[#This Row],[CODIGO]]="","",VLOOKUP(GUAYAQUIL[[#This Row],[CODIGO]],MAESTRO!A:N,14,FALSE)),"")</f>
        <v>0.7</v>
      </c>
      <c r="N614" s="291">
        <f>+IFERROR(IF(GUAYAQUIL[[#This Row],[CODIGO]]="","",VLOOKUP(GUAYAQUIL[[#This Row],[CODIGO]],MAESTRO!A:P,16,FALSE)),"")</f>
        <v>40</v>
      </c>
      <c r="O614" s="45">
        <v>45617</v>
      </c>
      <c r="P614" s="293" t="str">
        <f t="shared" si="45"/>
        <v>jueves</v>
      </c>
      <c r="Q614" s="29">
        <f>IFERROR(IF(GUAYAQUIL[[#This Row],[CODIGO]]="","",IF(GUAYAQUIL[[#This Row],[Fecha Cad]]="","",(GUAYAQUIL[[#This Row],[Fecha Cad]]-GUAYAQUIL[[#This Row],[VIDA UTIL (Días)]]))+1),"")</f>
        <v>45612</v>
      </c>
      <c r="R614" s="45">
        <v>45651</v>
      </c>
      <c r="S614" s="30">
        <f t="shared" ca="1" si="46"/>
        <v>27</v>
      </c>
      <c r="T614" s="32">
        <f t="shared" ca="1" si="47"/>
        <v>0.67500000000000004</v>
      </c>
      <c r="U614" s="286">
        <v>108</v>
      </c>
      <c r="V614" s="265">
        <f>+IFERROR(IF(GUAYAQUIL[[#This Row],[CODIGO]]="","",GUAYAQUIL[[#This Row],[Stock Actual Unds]]*GUAYAQUIL[[#This Row],[Gramaje]]*GUAYAQUIL[[#This Row],[Conversión]]),"")</f>
        <v>75.599999999999994</v>
      </c>
      <c r="W614" s="300">
        <f t="shared" si="48"/>
        <v>5</v>
      </c>
      <c r="X614" s="32">
        <f t="shared" si="49"/>
        <v>0.875</v>
      </c>
      <c r="Y614" s="236">
        <f>IFERROR(VLOOKUP(GUAYAQUIL[[#This Row],[CODIGO]],MAESTRO!A:BI,21,FALSE),0)</f>
        <v>3.8565149999999999</v>
      </c>
      <c r="Z614" s="236">
        <f>+IFERROR(IF(GUAYAQUIL[[#This Row],[CODIGO]]="","",GUAYAQUIL[[#This Row],[COSTO UNIT base]]*GUAYAQUIL[[#This Row],[Conversión]]),"")</f>
        <v>3.8565149999999999</v>
      </c>
      <c r="AA614" s="236">
        <f>+IFERROR(IF(GUAYAQUIL[[#This Row],[CODIGO]]="","",GUAYAQUIL[[#This Row],[COSTO UNIT Conv]]*GUAYAQUIL[[#This Row],[Stock Actual Kgs]]),"")</f>
        <v>291.55253399999998</v>
      </c>
      <c r="AB614" s="33">
        <f ca="1">+IFERROR(IF(GUAYAQUIL[[#This Row],[CODIGO]]="","",$J$3-O614),"")</f>
        <v>7</v>
      </c>
      <c r="AC614" s="34" t="str">
        <f ca="1">IF(GUAYAQUIL[[#This Row],[CODIGO]]="","",IF(S614&lt;=0,"CADUCADO",IF(AND(S614&gt;0,S614&lt;=21),"FECHA CORTA",IF(AND(S614&gt;=22,S614&lt;=26),"PROXIMOS FECHA CORTA", "VIGENTE"))))</f>
        <v>VIGENTE</v>
      </c>
      <c r="AD614" s="37">
        <f>+IF(GUAYAQUIL[[#This Row],[CODIGO]]="","",GUAYAQUIL[[#This Row],[Stock Actual Unds]]*GUAYAQUIL[[#This Row],[Gramaje]]*GUAYAQUIL[[#This Row],[Conversión]])/1000</f>
        <v>7.5600000000000001E-2</v>
      </c>
    </row>
    <row r="615" spans="1:30">
      <c r="A615" s="24" t="str">
        <f>+IFERROR(IF(GUAYAQUIL[[#This Row],[CODIGO]]="","",VLOOKUP(GUAYAQUIL[[#This Row],[CODIGO]],MAESTRO!$A:$J,10,FALSE)),"")</f>
        <v>COLOMBIA</v>
      </c>
      <c r="B615" s="24" t="str">
        <f>+IFERROR(IF(GUAYAQUIL[[#This Row],[CODIGO]]="","",VLOOKUP(GUAYAQUIL[[#This Row],[CODIGO]],MAESTRO!$A:$Q,17,FALSE)),"")</f>
        <v>POSTRES</v>
      </c>
      <c r="C615" s="24" t="str">
        <f>+IFERROR(IF(GUAYAQUIL[[#This Row],[CODIGO]]="","",VLOOKUP(GUAYAQUIL[[#This Row],[CODIGO]],MAESTRO!$A:$BA,53,FALSE)),"")</f>
        <v xml:space="preserve">Luis Armendariz                         </v>
      </c>
      <c r="D615" s="24" t="str">
        <f>+IFERROR(IF(GUAYAQUIL[[#This Row],[CODIGO]]="","",VLOOKUP(GUAYAQUIL[[#This Row],[CODIGO]],MAESTRO!$A:$D,4,FALSE)),"")</f>
        <v>ALPINETTE</v>
      </c>
      <c r="E615" s="24" t="str">
        <f>+IFERROR(IF(GUAYAQUIL[[#This Row],[CODIGO]]="","",VLOOKUP(GUAYAQUIL[[#This Row],[CODIGO]],MAESTRO!$A:$F,6,FALSE)),"")</f>
        <v>ALPINETTE</v>
      </c>
      <c r="F615" s="42" t="str">
        <f>IF(GUAYAQUIL[[#This Row],[CODIGO]]="","",$K$6)</f>
        <v>GUAYAQUIL</v>
      </c>
      <c r="G615" s="1">
        <f>IF(GUAYAQUIL[[#This Row],[CODIGO]]="","",7711)</f>
        <v>7711</v>
      </c>
      <c r="H615" s="1">
        <f>IF(GUAYAQUIL[[#This Row],[CODIGO]]="","",1001)</f>
        <v>1001</v>
      </c>
      <c r="I615" s="258" t="s">
        <v>1123</v>
      </c>
      <c r="J615" s="43" t="str">
        <f>IFERROR((VLOOKUP(GUAYAQUIL[[#This Row],[CODIGO]],MAESTRO!A:B,2,FALSE)),"")</f>
        <v>ALPINETTE FRESA 140G ECU</v>
      </c>
      <c r="K615" s="35">
        <v>120</v>
      </c>
      <c r="L615" s="38">
        <f>+IFERROR(IF(GUAYAQUIL[[#This Row],[CODIGO]]="","",VLOOKUP(GUAYAQUIL[[#This Row],[CODIGO]],MAESTRO!$A:$BF,58,FALSE)),"")</f>
        <v>1</v>
      </c>
      <c r="M615" s="27">
        <f>+IFERROR(IF(GUAYAQUIL[[#This Row],[CODIGO]]="","",VLOOKUP(GUAYAQUIL[[#This Row],[CODIGO]],MAESTRO!A:N,14,FALSE)),"")</f>
        <v>0.14000000000000001</v>
      </c>
      <c r="N615" s="291">
        <f>+IFERROR(IF(GUAYAQUIL[[#This Row],[CODIGO]]="","",VLOOKUP(GUAYAQUIL[[#This Row],[CODIGO]],MAESTRO!A:P,16,FALSE)),"")</f>
        <v>60</v>
      </c>
      <c r="O615" s="45">
        <v>45604</v>
      </c>
      <c r="P615" s="293" t="str">
        <f t="shared" si="45"/>
        <v>viernes</v>
      </c>
      <c r="Q615" s="29">
        <f>IFERROR(IF(GUAYAQUIL[[#This Row],[CODIGO]]="","",IF(GUAYAQUIL[[#This Row],[Fecha Cad]]="","",(GUAYAQUIL[[#This Row],[Fecha Cad]]-GUAYAQUIL[[#This Row],[VIDA UTIL (Días)]]))+1),"")</f>
        <v>45573</v>
      </c>
      <c r="R615" s="45">
        <v>45632</v>
      </c>
      <c r="S615" s="30">
        <f t="shared" ca="1" si="46"/>
        <v>8</v>
      </c>
      <c r="T615" s="32">
        <f t="shared" ca="1" si="47"/>
        <v>0.13333333333333333</v>
      </c>
      <c r="U615" s="286">
        <v>91</v>
      </c>
      <c r="V615" s="265">
        <f>+IFERROR(IF(GUAYAQUIL[[#This Row],[CODIGO]]="","",GUAYAQUIL[[#This Row],[Stock Actual Unds]]*GUAYAQUIL[[#This Row],[Gramaje]]*GUAYAQUIL[[#This Row],[Conversión]]),"")</f>
        <v>12.740000000000002</v>
      </c>
      <c r="W615" s="300">
        <f t="shared" si="48"/>
        <v>31</v>
      </c>
      <c r="X615" s="32">
        <f t="shared" si="49"/>
        <v>0.48333333333333328</v>
      </c>
      <c r="Y615" s="236">
        <f>IFERROR(VLOOKUP(GUAYAQUIL[[#This Row],[CODIGO]],MAESTRO!A:BI,21,FALSE),0)</f>
        <v>0.46937499999999999</v>
      </c>
      <c r="Z615" s="236">
        <f>+IFERROR(IF(GUAYAQUIL[[#This Row],[CODIGO]]="","",GUAYAQUIL[[#This Row],[COSTO UNIT base]]*GUAYAQUIL[[#This Row],[Conversión]]),"")</f>
        <v>0.46937499999999999</v>
      </c>
      <c r="AA615" s="236">
        <f>+IFERROR(IF(GUAYAQUIL[[#This Row],[CODIGO]]="","",GUAYAQUIL[[#This Row],[COSTO UNIT Conv]]*GUAYAQUIL[[#This Row],[Stock Actual Kgs]]),"")</f>
        <v>5.9798375000000004</v>
      </c>
      <c r="AB615" s="33">
        <f ca="1">+IFERROR(IF(GUAYAQUIL[[#This Row],[CODIGO]]="","",$J$3-O615),"")</f>
        <v>20</v>
      </c>
      <c r="AC615" s="34" t="str">
        <f ca="1">IF(GUAYAQUIL[[#This Row],[CODIGO]]="","",IF(S615&lt;=0,"CADUCADO",IF(AND(S615&gt;0,S615&lt;=21),"FECHA CORTA",IF(AND(S615&gt;=22,S615&lt;=26),"PROXIMOS FECHA CORTA", "VIGENTE"))))</f>
        <v>FECHA CORTA</v>
      </c>
      <c r="AD615" s="37">
        <f>+IF(GUAYAQUIL[[#This Row],[CODIGO]]="","",GUAYAQUIL[[#This Row],[Stock Actual Unds]]*GUAYAQUIL[[#This Row],[Gramaje]]*GUAYAQUIL[[#This Row],[Conversión]])/1000</f>
        <v>1.2740000000000001E-2</v>
      </c>
    </row>
    <row r="616" spans="1:30">
      <c r="A616" s="24" t="str">
        <f>+IFERROR(IF(GUAYAQUIL[[#This Row],[CODIGO]]="","",VLOOKUP(GUAYAQUIL[[#This Row],[CODIGO]],MAESTRO!$A:$J,10,FALSE)),"")</f>
        <v>MULTIEMPAQUE_MACH</v>
      </c>
      <c r="B616" s="24" t="str">
        <f>+IFERROR(IF(GUAYAQUIL[[#This Row],[CODIGO]]="","",VLOOKUP(GUAYAQUIL[[#This Row],[CODIGO]],MAESTRO!$A:$Q,17,FALSE)),"")</f>
        <v>BEBIDAS LACTEAS</v>
      </c>
      <c r="C616" s="24" t="str">
        <f>+IFERROR(IF(GUAYAQUIL[[#This Row],[CODIGO]]="","",VLOOKUP(GUAYAQUIL[[#This Row],[CODIGO]],MAESTRO!$A:$BA,53,FALSE)),"")</f>
        <v xml:space="preserve">Luis Armendariz                         </v>
      </c>
      <c r="D616" s="24" t="str">
        <f>+IFERROR(IF(GUAYAQUIL[[#This Row],[CODIGO]]="","",VLOOKUP(GUAYAQUIL[[#This Row],[CODIGO]],MAESTRO!$A:$D,4,FALSE)),"")</f>
        <v>YOGURT KIOSKO</v>
      </c>
      <c r="E616" s="24" t="str">
        <f>+IFERROR(IF(GUAYAQUIL[[#This Row],[CODIGO]]="","",VLOOKUP(GUAYAQUIL[[#This Row],[CODIGO]],MAESTRO!$A:$F,6,FALSE)),"")</f>
        <v>BEBIDA DE YOGURT KIOSKO BOTELLA PERSONAL</v>
      </c>
      <c r="F616" s="42" t="str">
        <f>IF(GUAYAQUIL[[#This Row],[CODIGO]]="","",$K$6)</f>
        <v>GUAYAQUIL</v>
      </c>
      <c r="G616" s="1">
        <f>IF(GUAYAQUIL[[#This Row],[CODIGO]]="","",7711)</f>
        <v>7711</v>
      </c>
      <c r="H616" s="1">
        <f>IF(GUAYAQUIL[[#This Row],[CODIGO]]="","",1001)</f>
        <v>1001</v>
      </c>
      <c r="I616" s="258" t="s">
        <v>960</v>
      </c>
      <c r="J616" s="43" t="str">
        <f>IFERROR((VLOOKUP(GUAYAQUIL[[#This Row],[CODIGO]],MAESTRO!A:B,2,FALSE)),"")</f>
        <v>MPX6 YOG BBLE KID KK MULTSAB BOT 120G</v>
      </c>
      <c r="K616" s="35">
        <v>308</v>
      </c>
      <c r="L616" s="38">
        <f>+IFERROR(IF(GUAYAQUIL[[#This Row],[CODIGO]]="","",VLOOKUP(GUAYAQUIL[[#This Row],[CODIGO]],MAESTRO!$A:$BF,58,FALSE)),"")</f>
        <v>1</v>
      </c>
      <c r="M616" s="27">
        <f>+IFERROR(IF(GUAYAQUIL[[#This Row],[CODIGO]]="","",VLOOKUP(GUAYAQUIL[[#This Row],[CODIGO]],MAESTRO!A:N,14,FALSE)),"")</f>
        <v>0.72</v>
      </c>
      <c r="N616" s="291">
        <f>+IFERROR(IF(GUAYAQUIL[[#This Row],[CODIGO]]="","",VLOOKUP(GUAYAQUIL[[#This Row],[CODIGO]],MAESTRO!A:P,16,FALSE)),"")</f>
        <v>45</v>
      </c>
      <c r="O616" s="45">
        <v>45615</v>
      </c>
      <c r="P616" s="293" t="str">
        <f t="shared" si="45"/>
        <v>martes</v>
      </c>
      <c r="Q616" s="29">
        <f>IFERROR(IF(GUAYAQUIL[[#This Row],[CODIGO]]="","",IF(GUAYAQUIL[[#This Row],[Fecha Cad]]="","",(GUAYAQUIL[[#This Row],[Fecha Cad]]-GUAYAQUIL[[#This Row],[VIDA UTIL (Días)]]))+1),"")</f>
        <v>45610</v>
      </c>
      <c r="R616" s="45">
        <v>45654</v>
      </c>
      <c r="S616" s="30">
        <f t="shared" ca="1" si="46"/>
        <v>30</v>
      </c>
      <c r="T616" s="32">
        <f t="shared" ca="1" si="47"/>
        <v>0.66666666666666663</v>
      </c>
      <c r="U616" s="286">
        <v>282</v>
      </c>
      <c r="V616" s="265">
        <f>+IFERROR(IF(GUAYAQUIL[[#This Row],[CODIGO]]="","",GUAYAQUIL[[#This Row],[Stock Actual Unds]]*GUAYAQUIL[[#This Row],[Gramaje]]*GUAYAQUIL[[#This Row],[Conversión]]),"")</f>
        <v>203.04</v>
      </c>
      <c r="W616" s="300">
        <f t="shared" si="48"/>
        <v>5</v>
      </c>
      <c r="X616" s="32">
        <f t="shared" si="49"/>
        <v>0.88888888888888884</v>
      </c>
      <c r="Y616" s="236">
        <f>IFERROR(VLOOKUP(GUAYAQUIL[[#This Row],[CODIGO]],MAESTRO!A:BI,21,FALSE),0)</f>
        <v>1.6533599999999999</v>
      </c>
      <c r="Z616" s="236">
        <f>+IFERROR(IF(GUAYAQUIL[[#This Row],[CODIGO]]="","",GUAYAQUIL[[#This Row],[COSTO UNIT base]]*GUAYAQUIL[[#This Row],[Conversión]]),"")</f>
        <v>1.6533599999999999</v>
      </c>
      <c r="AA616" s="236">
        <f>+IFERROR(IF(GUAYAQUIL[[#This Row],[CODIGO]]="","",GUAYAQUIL[[#This Row],[COSTO UNIT Conv]]*GUAYAQUIL[[#This Row],[Stock Actual Kgs]]),"")</f>
        <v>335.69821439999998</v>
      </c>
      <c r="AB616" s="33">
        <f ca="1">+IFERROR(IF(GUAYAQUIL[[#This Row],[CODIGO]]="","",$J$3-O616),"")</f>
        <v>9</v>
      </c>
      <c r="AC616" s="34" t="str">
        <f ca="1">IF(GUAYAQUIL[[#This Row],[CODIGO]]="","",IF(S616&lt;=0,"CADUCADO",IF(AND(S616&gt;0,S616&lt;=21),"FECHA CORTA",IF(AND(S616&gt;=22,S616&lt;=26),"PROXIMOS FECHA CORTA", "VIGENTE"))))</f>
        <v>VIGENTE</v>
      </c>
      <c r="AD616" s="37">
        <f>+IF(GUAYAQUIL[[#This Row],[CODIGO]]="","",GUAYAQUIL[[#This Row],[Stock Actual Unds]]*GUAYAQUIL[[#This Row],[Gramaje]]*GUAYAQUIL[[#This Row],[Conversión]])/1000</f>
        <v>0.20304</v>
      </c>
    </row>
    <row r="617" spans="1:30">
      <c r="A617" s="24" t="str">
        <f>+IFERROR(IF(GUAYAQUIL[[#This Row],[CODIGO]]="","",VLOOKUP(GUAYAQUIL[[#This Row],[CODIGO]],MAESTRO!$A:$J,10,FALSE)),"")</f>
        <v>MACHACHI</v>
      </c>
      <c r="B617" s="24" t="str">
        <f>+IFERROR(IF(GUAYAQUIL[[#This Row],[CODIGO]]="","",VLOOKUP(GUAYAQUIL[[#This Row],[CODIGO]],MAESTRO!$A:$Q,17,FALSE)),"")</f>
        <v>BEBIDAS LACTEAS</v>
      </c>
      <c r="C617" s="24" t="str">
        <f>+IFERROR(IF(GUAYAQUIL[[#This Row],[CODIGO]]="","",VLOOKUP(GUAYAQUIL[[#This Row],[CODIGO]],MAESTRO!$A:$BA,53,FALSE)),"")</f>
        <v xml:space="preserve">Luis Armendariz                         </v>
      </c>
      <c r="D617" s="24" t="str">
        <f>+IFERROR(IF(GUAYAQUIL[[#This Row],[CODIGO]]="","",VLOOKUP(GUAYAQUIL[[#This Row],[CODIGO]],MAESTRO!$A:$D,4,FALSE)),"")</f>
        <v>YOGURT FINESSE</v>
      </c>
      <c r="E617" s="24" t="str">
        <f>+IFERROR(IF(GUAYAQUIL[[#This Row],[CODIGO]]="","",VLOOKUP(GUAYAQUIL[[#This Row],[CODIGO]],MAESTRO!$A:$F,6,FALSE)),"")</f>
        <v>YOGURT FINESSE DESLACT BOTELLA PERSONAL</v>
      </c>
      <c r="F617" s="42" t="str">
        <f>IF(GUAYAQUIL[[#This Row],[CODIGO]]="","",$K$6)</f>
        <v>GUAYAQUIL</v>
      </c>
      <c r="G617" s="1">
        <f>IF(GUAYAQUIL[[#This Row],[CODIGO]]="","",7711)</f>
        <v>7711</v>
      </c>
      <c r="H617" s="1">
        <f>IF(GUAYAQUIL[[#This Row],[CODIGO]]="","",1001)</f>
        <v>1001</v>
      </c>
      <c r="I617" s="258" t="s">
        <v>3002</v>
      </c>
      <c r="J617" s="43" t="str">
        <f>IFERROR((VLOOKUP(GUAYAQUIL[[#This Row],[CODIGO]],MAESTRO!A:B,2,FALSE)),"")</f>
        <v>YOG FNSSE DURAZNO BOT 180G</v>
      </c>
      <c r="K617" s="35">
        <v>324</v>
      </c>
      <c r="L617" s="38">
        <f>+IFERROR(IF(GUAYAQUIL[[#This Row],[CODIGO]]="","",VLOOKUP(GUAYAQUIL[[#This Row],[CODIGO]],MAESTRO!$A:$BF,58,FALSE)),"")</f>
        <v>1</v>
      </c>
      <c r="M617" s="27">
        <f>+IFERROR(IF(GUAYAQUIL[[#This Row],[CODIGO]]="","",VLOOKUP(GUAYAQUIL[[#This Row],[CODIGO]],MAESTRO!A:N,14,FALSE)),"")</f>
        <v>0.18</v>
      </c>
      <c r="N617" s="291">
        <f>+IFERROR(IF(GUAYAQUIL[[#This Row],[CODIGO]]="","",VLOOKUP(GUAYAQUIL[[#This Row],[CODIGO]],MAESTRO!A:P,16,FALSE)),"")</f>
        <v>45</v>
      </c>
      <c r="O617" s="29">
        <v>45612</v>
      </c>
      <c r="P617" s="293" t="str">
        <f t="shared" si="45"/>
        <v>sábado</v>
      </c>
      <c r="Q617" s="29">
        <f>IFERROR(IF(GUAYAQUIL[[#This Row],[CODIGO]]="","",IF(GUAYAQUIL[[#This Row],[Fecha Cad]]="","",(GUAYAQUIL[[#This Row],[Fecha Cad]]-GUAYAQUIL[[#This Row],[VIDA UTIL (Días)]]))+1),"")</f>
        <v>45611</v>
      </c>
      <c r="R617" s="29">
        <v>45655</v>
      </c>
      <c r="S617" s="30">
        <f t="shared" ca="1" si="46"/>
        <v>31</v>
      </c>
      <c r="T617" s="32">
        <f t="shared" ca="1" si="47"/>
        <v>0.68888888888888888</v>
      </c>
      <c r="U617" s="286">
        <v>101</v>
      </c>
      <c r="V617" s="265">
        <f>+IFERROR(IF(GUAYAQUIL[[#This Row],[CODIGO]]="","",GUAYAQUIL[[#This Row],[Stock Actual Unds]]*GUAYAQUIL[[#This Row],[Gramaje]]*GUAYAQUIL[[#This Row],[Conversión]]),"")</f>
        <v>18.18</v>
      </c>
      <c r="W617" s="300">
        <f t="shared" si="48"/>
        <v>1</v>
      </c>
      <c r="X617" s="32">
        <f t="shared" si="49"/>
        <v>0.97777777777777775</v>
      </c>
      <c r="Y617" s="236">
        <f>IFERROR(VLOOKUP(GUAYAQUIL[[#This Row],[CODIGO]],MAESTRO!A:BI,21,FALSE),0)</f>
        <v>0.31489500000000004</v>
      </c>
      <c r="Z617" s="236">
        <f>+IFERROR(IF(GUAYAQUIL[[#This Row],[CODIGO]]="","",GUAYAQUIL[[#This Row],[COSTO UNIT base]]*GUAYAQUIL[[#This Row],[Conversión]]),"")</f>
        <v>0.31489500000000004</v>
      </c>
      <c r="AA617" s="236">
        <f>+IFERROR(IF(GUAYAQUIL[[#This Row],[CODIGO]]="","",GUAYAQUIL[[#This Row],[COSTO UNIT Conv]]*GUAYAQUIL[[#This Row],[Stock Actual Kgs]]),"")</f>
        <v>5.7247911000000009</v>
      </c>
      <c r="AB617" s="33">
        <f ca="1">+IFERROR(IF(GUAYAQUIL[[#This Row],[CODIGO]]="","",$J$3-O617),"")</f>
        <v>12</v>
      </c>
      <c r="AC617" s="34" t="str">
        <f ca="1">IF(GUAYAQUIL[[#This Row],[CODIGO]]="","",IF(S617&lt;=0,"CADUCADO",IF(AND(S617&gt;0,S617&lt;=21),"FECHA CORTA",IF(AND(S617&gt;=22,S617&lt;=26),"PROXIMOS FECHA CORTA", "VIGENTE"))))</f>
        <v>VIGENTE</v>
      </c>
      <c r="AD617" s="37">
        <f>+IF(GUAYAQUIL[[#This Row],[CODIGO]]="","",GUAYAQUIL[[#This Row],[Stock Actual Unds]]*GUAYAQUIL[[#This Row],[Gramaje]]*GUAYAQUIL[[#This Row],[Conversión]])/1000</f>
        <v>1.8179999999999998E-2</v>
      </c>
    </row>
    <row r="618" spans="1:30">
      <c r="A618" s="24" t="str">
        <f>+IFERROR(IF(GUAYAQUIL[[#This Row],[CODIGO]]="","",VLOOKUP(GUAYAQUIL[[#This Row],[CODIGO]],MAESTRO!$A:$J,10,FALSE)),"")</f>
        <v>MACHACHI</v>
      </c>
      <c r="B618" s="24" t="str">
        <f>+IFERROR(IF(GUAYAQUIL[[#This Row],[CODIGO]]="","",VLOOKUP(GUAYAQUIL[[#This Row],[CODIGO]],MAESTRO!$A:$Q,17,FALSE)),"")</f>
        <v>BEBIDAS LACTEAS</v>
      </c>
      <c r="C618" s="24" t="str">
        <f>+IFERROR(IF(GUAYAQUIL[[#This Row],[CODIGO]]="","",VLOOKUP(GUAYAQUIL[[#This Row],[CODIGO]],MAESTRO!$A:$BA,53,FALSE)),"")</f>
        <v xml:space="preserve">Luis Armendariz                         </v>
      </c>
      <c r="D618" s="24" t="str">
        <f>+IFERROR(IF(GUAYAQUIL[[#This Row],[CODIGO]]="","",VLOOKUP(GUAYAQUIL[[#This Row],[CODIGO]],MAESTRO!$A:$D,4,FALSE)),"")</f>
        <v>REGENERIS</v>
      </c>
      <c r="E618" s="24" t="str">
        <f>+IFERROR(IF(GUAYAQUIL[[#This Row],[CODIGO]]="","",VLOOKUP(GUAYAQUIL[[#This Row],[CODIGO]],MAESTRO!$A:$F,6,FALSE)),"")</f>
        <v>REGENERIS CEREAL BOTELLA FAMILIAR</v>
      </c>
      <c r="F618" s="42" t="str">
        <f>IF(GUAYAQUIL[[#This Row],[CODIGO]]="","",$K$6)</f>
        <v>GUAYAQUIL</v>
      </c>
      <c r="G618" s="1">
        <f>IF(GUAYAQUIL[[#This Row],[CODIGO]]="","",7711)</f>
        <v>7711</v>
      </c>
      <c r="H618" s="1">
        <f>IF(GUAYAQUIL[[#This Row],[CODIGO]]="","",1001)</f>
        <v>1001</v>
      </c>
      <c r="I618" s="258" t="s">
        <v>1618</v>
      </c>
      <c r="J618" s="43" t="str">
        <f>IFERROR((VLOOKUP(GUAYAQUIL[[#This Row],[CODIGO]],MAESTRO!A:B,2,FALSE)),"")</f>
        <v>RGN CER GDLLA BOT 1750G</v>
      </c>
      <c r="K618" s="35">
        <v>12</v>
      </c>
      <c r="L618" s="38">
        <f>+IFERROR(IF(GUAYAQUIL[[#This Row],[CODIGO]]="","",VLOOKUP(GUAYAQUIL[[#This Row],[CODIGO]],MAESTRO!$A:$BF,58,FALSE)),"")</f>
        <v>1</v>
      </c>
      <c r="M618" s="27">
        <f>+IFERROR(IF(GUAYAQUIL[[#This Row],[CODIGO]]="","",VLOOKUP(GUAYAQUIL[[#This Row],[CODIGO]],MAESTRO!A:N,14,FALSE)),"")</f>
        <v>1.75</v>
      </c>
      <c r="N618" s="291">
        <f>+IFERROR(IF(GUAYAQUIL[[#This Row],[CODIGO]]="","",VLOOKUP(GUAYAQUIL[[#This Row],[CODIGO]],MAESTRO!A:P,16,FALSE)),"")</f>
        <v>45</v>
      </c>
      <c r="O618" s="29">
        <v>45602</v>
      </c>
      <c r="P618" s="293" t="str">
        <f t="shared" si="45"/>
        <v>miércoles</v>
      </c>
      <c r="Q618" s="29">
        <f>IFERROR(IF(GUAYAQUIL[[#This Row],[CODIGO]]="","",IF(GUAYAQUIL[[#This Row],[Fecha Cad]]="","",(GUAYAQUIL[[#This Row],[Fecha Cad]]-GUAYAQUIL[[#This Row],[VIDA UTIL (Días)]]))+1),"")</f>
        <v>45597</v>
      </c>
      <c r="R618" s="29">
        <v>45641</v>
      </c>
      <c r="S618" s="30">
        <f t="shared" ca="1" si="46"/>
        <v>17</v>
      </c>
      <c r="T618" s="32">
        <f t="shared" ca="1" si="47"/>
        <v>0.37777777777777777</v>
      </c>
      <c r="U618" s="286">
        <v>13</v>
      </c>
      <c r="V618" s="266">
        <f>+IFERROR(IF(GUAYAQUIL[[#This Row],[CODIGO]]="","",GUAYAQUIL[[#This Row],[Stock Actual Unds]]*GUAYAQUIL[[#This Row],[Gramaje]]*GUAYAQUIL[[#This Row],[Conversión]]),"")</f>
        <v>22.75</v>
      </c>
      <c r="W618" s="300">
        <f t="shared" si="48"/>
        <v>5</v>
      </c>
      <c r="X618" s="32">
        <f t="shared" si="49"/>
        <v>0.88888888888888884</v>
      </c>
      <c r="Y618" s="236">
        <f>IFERROR(VLOOKUP(GUAYAQUIL[[#This Row],[CODIGO]],MAESTRO!A:BI,21,FALSE),0)</f>
        <v>2.164625</v>
      </c>
      <c r="Z618" s="236">
        <f>+IFERROR(IF(GUAYAQUIL[[#This Row],[CODIGO]]="","",GUAYAQUIL[[#This Row],[COSTO UNIT base]]*GUAYAQUIL[[#This Row],[Conversión]]),"")</f>
        <v>2.164625</v>
      </c>
      <c r="AA618" s="236">
        <f>+IFERROR(IF(GUAYAQUIL[[#This Row],[CODIGO]]="","",GUAYAQUIL[[#This Row],[COSTO UNIT Conv]]*GUAYAQUIL[[#This Row],[Stock Actual Kgs]]),"")</f>
        <v>49.245218749999999</v>
      </c>
      <c r="AB618" s="33">
        <f ca="1">+IFERROR(IF(GUAYAQUIL[[#This Row],[CODIGO]]="","",$J$3-O618),"")</f>
        <v>22</v>
      </c>
      <c r="AC618" s="34" t="str">
        <f ca="1">IF(GUAYAQUIL[[#This Row],[CODIGO]]="","",IF(S618&lt;=0,"CADUCADO",IF(AND(S618&gt;0,S618&lt;=21),"FECHA CORTA",IF(AND(S618&gt;=22,S618&lt;=26),"PROXIMOS FECHA CORTA", "VIGENTE"))))</f>
        <v>FECHA CORTA</v>
      </c>
      <c r="AD618" s="37">
        <f>+IF(GUAYAQUIL[[#This Row],[CODIGO]]="","",GUAYAQUIL[[#This Row],[Stock Actual Unds]]*GUAYAQUIL[[#This Row],[Gramaje]]*GUAYAQUIL[[#This Row],[Conversión]])/1000</f>
        <v>2.2749999999999999E-2</v>
      </c>
    </row>
    <row r="619" spans="1:30">
      <c r="A619" s="24" t="str">
        <f>+IFERROR(IF(GUAYAQUIL[[#This Row],[CODIGO]]="","",VLOOKUP(GUAYAQUIL[[#This Row],[CODIGO]],MAESTRO!$A:$J,10,FALSE)),"")</f>
        <v>SAN GABRIEL</v>
      </c>
      <c r="B619" s="24" t="str">
        <f>+IFERROR(IF(GUAYAQUIL[[#This Row],[CODIGO]]="","",VLOOKUP(GUAYAQUIL[[#This Row],[CODIGO]],MAESTRO!$A:$Q,17,FALSE)),"")</f>
        <v>QUESOS Y GRASAS</v>
      </c>
      <c r="C619" s="24" t="str">
        <f>+IFERROR(IF(GUAYAQUIL[[#This Row],[CODIGO]]="","",VLOOKUP(GUAYAQUIL[[#This Row],[CODIGO]],MAESTRO!$A:$BA,53,FALSE)),"")</f>
        <v xml:space="preserve">Esteban Montenegro                      </v>
      </c>
      <c r="D619" s="24" t="str">
        <f>+IFERROR(IF(GUAYAQUIL[[#This Row],[CODIGO]]="","",VLOOKUP(GUAYAQUIL[[#This Row],[CODIGO]],MAESTRO!$A:$D,4,FALSE)),"")</f>
        <v>QUESO MOZARELLA KIOSKO</v>
      </c>
      <c r="E619" s="24" t="str">
        <f>+IFERROR(IF(GUAYAQUIL[[#This Row],[CODIGO]]="","",VLOOKUP(GUAYAQUIL[[#This Row],[CODIGO]],MAESTRO!$A:$F,6,FALSE)),"")</f>
        <v>QUESO MOZARELLA PIZZA KIOSKO TAJADO</v>
      </c>
      <c r="F619" s="42" t="str">
        <f>IF(GUAYAQUIL[[#This Row],[CODIGO]]="","",$K$6)</f>
        <v>GUAYAQUIL</v>
      </c>
      <c r="G619" s="1">
        <f>IF(GUAYAQUIL[[#This Row],[CODIGO]]="","",7711)</f>
        <v>7711</v>
      </c>
      <c r="H619" s="1">
        <f>IF(GUAYAQUIL[[#This Row],[CODIGO]]="","",1001)</f>
        <v>1001</v>
      </c>
      <c r="I619" s="258" t="s">
        <v>3892</v>
      </c>
      <c r="J619" s="43" t="str">
        <f>IFERROR((VLOOKUP(GUAYAQUIL[[#This Row],[CODIGO]],MAESTRO!A:B,2,FALSE)),"")</f>
        <v>Q MOZAR PIZZ KIOSKO 20 LONJ 300G</v>
      </c>
      <c r="K619" s="35">
        <v>10</v>
      </c>
      <c r="L619" s="38">
        <f>+IFERROR(IF(GUAYAQUIL[[#This Row],[CODIGO]]="","",VLOOKUP(GUAYAQUIL[[#This Row],[CODIGO]],MAESTRO!$A:$BF,58,FALSE)),"")</f>
        <v>1</v>
      </c>
      <c r="M619" s="27">
        <f>+IFERROR(IF(GUAYAQUIL[[#This Row],[CODIGO]]="","",VLOOKUP(GUAYAQUIL[[#This Row],[CODIGO]],MAESTRO!A:N,14,FALSE)),"")</f>
        <v>0.3</v>
      </c>
      <c r="N619" s="291">
        <f>+IFERROR(IF(GUAYAQUIL[[#This Row],[CODIGO]]="","",VLOOKUP(GUAYAQUIL[[#This Row],[CODIGO]],MAESTRO!A:P,16,FALSE)),"")</f>
        <v>30</v>
      </c>
      <c r="O619" s="29">
        <v>45616</v>
      </c>
      <c r="P619" s="293" t="str">
        <f t="shared" si="45"/>
        <v>miércoles</v>
      </c>
      <c r="Q619" s="29">
        <f>IFERROR(IF(GUAYAQUIL[[#This Row],[CODIGO]]="","",IF(GUAYAQUIL[[#This Row],[Fecha Cad]]="","",(GUAYAQUIL[[#This Row],[Fecha Cad]]-GUAYAQUIL[[#This Row],[VIDA UTIL (Días)]]))+1),"")</f>
        <v>45610</v>
      </c>
      <c r="R619" s="29">
        <v>45639</v>
      </c>
      <c r="S619" s="30">
        <f t="shared" ca="1" si="46"/>
        <v>15</v>
      </c>
      <c r="T619" s="32">
        <f t="shared" ca="1" si="47"/>
        <v>0.5</v>
      </c>
      <c r="U619" s="286">
        <v>0</v>
      </c>
      <c r="V619" s="265">
        <f>+IFERROR(IF(GUAYAQUIL[[#This Row],[CODIGO]]="","",GUAYAQUIL[[#This Row],[Stock Actual Unds]]*GUAYAQUIL[[#This Row],[Gramaje]]*GUAYAQUIL[[#This Row],[Conversión]]),"")</f>
        <v>0</v>
      </c>
      <c r="W619" s="300">
        <f t="shared" si="48"/>
        <v>6</v>
      </c>
      <c r="X619" s="32">
        <f t="shared" si="49"/>
        <v>0.8</v>
      </c>
      <c r="Y619" s="236">
        <f>IFERROR(VLOOKUP(GUAYAQUIL[[#This Row],[CODIGO]],MAESTRO!A:BI,21,FALSE),0)</f>
        <v>2.2262750000000002</v>
      </c>
      <c r="Z619" s="236">
        <f>+IFERROR(IF(GUAYAQUIL[[#This Row],[CODIGO]]="","",GUAYAQUIL[[#This Row],[COSTO UNIT base]]*GUAYAQUIL[[#This Row],[Conversión]]),"")</f>
        <v>2.2262750000000002</v>
      </c>
      <c r="AA619" s="236">
        <f>+IFERROR(IF(GUAYAQUIL[[#This Row],[CODIGO]]="","",GUAYAQUIL[[#This Row],[COSTO UNIT Conv]]*GUAYAQUIL[[#This Row],[Stock Actual Kgs]]),"")</f>
        <v>0</v>
      </c>
      <c r="AB619" s="33">
        <f ca="1">+IFERROR(IF(GUAYAQUIL[[#This Row],[CODIGO]]="","",$J$3-O619),"")</f>
        <v>8</v>
      </c>
      <c r="AC619" s="34" t="str">
        <f ca="1">IF(GUAYAQUIL[[#This Row],[CODIGO]]="","",IF(S619&lt;=0,"CADUCADO",IF(AND(S619&gt;0,S619&lt;=21),"FECHA CORTA",IF(AND(S619&gt;=22,S619&lt;=26),"PROXIMOS FECHA CORTA", "VIGENTE"))))</f>
        <v>FECHA CORTA</v>
      </c>
      <c r="AD619" s="37">
        <f>+IF(GUAYAQUIL[[#This Row],[CODIGO]]="","",GUAYAQUIL[[#This Row],[Stock Actual Unds]]*GUAYAQUIL[[#This Row],[Gramaje]]*GUAYAQUIL[[#This Row],[Conversión]])/1000</f>
        <v>0</v>
      </c>
    </row>
    <row r="620" spans="1:30">
      <c r="A620" s="24" t="str">
        <f>+IFERROR(IF(GUAYAQUIL[[#This Row],[CODIGO]]="","",VLOOKUP(GUAYAQUIL[[#This Row],[CODIGO]],MAESTRO!$A:$J,10,FALSE)),"")</f>
        <v>SAN GABRIEL</v>
      </c>
      <c r="B620" s="24" t="str">
        <f>+IFERROR(IF(GUAYAQUIL[[#This Row],[CODIGO]]="","",VLOOKUP(GUAYAQUIL[[#This Row],[CODIGO]],MAESTRO!$A:$Q,17,FALSE)),"")</f>
        <v>QUESOS Y GRASAS</v>
      </c>
      <c r="C620" s="24" t="str">
        <f>+IFERROR(IF(GUAYAQUIL[[#This Row],[CODIGO]]="","",VLOOKUP(GUAYAQUIL[[#This Row],[CODIGO]],MAESTRO!$A:$BA,53,FALSE)),"")</f>
        <v xml:space="preserve">Esteban Montenegro                      </v>
      </c>
      <c r="D620" s="24" t="str">
        <f>+IFERROR(IF(GUAYAQUIL[[#This Row],[CODIGO]]="","",VLOOKUP(GUAYAQUIL[[#This Row],[CODIGO]],MAESTRO!$A:$D,4,FALSE)),"")</f>
        <v>QUESO MOZARELLA KIOSKO</v>
      </c>
      <c r="E620" s="24" t="str">
        <f>+IFERROR(IF(GUAYAQUIL[[#This Row],[CODIGO]]="","",VLOOKUP(GUAYAQUIL[[#This Row],[CODIGO]],MAESTRO!$A:$F,6,FALSE)),"")</f>
        <v>QUESO MOZARELLA PIZZA KIOSKO TAJADO</v>
      </c>
      <c r="F620" s="42" t="str">
        <f>IF(GUAYAQUIL[[#This Row],[CODIGO]]="","",$K$6)</f>
        <v>GUAYAQUIL</v>
      </c>
      <c r="G620" s="1">
        <f>IF(GUAYAQUIL[[#This Row],[CODIGO]]="","",7711)</f>
        <v>7711</v>
      </c>
      <c r="H620" s="1">
        <f>IF(GUAYAQUIL[[#This Row],[CODIGO]]="","",1001)</f>
        <v>1001</v>
      </c>
      <c r="I620" s="258" t="s">
        <v>3892</v>
      </c>
      <c r="J620" s="43" t="str">
        <f>IFERROR((VLOOKUP(GUAYAQUIL[[#This Row],[CODIGO]],MAESTRO!A:B,2,FALSE)),"")</f>
        <v>Q MOZAR PIZZ KIOSKO 20 LONJ 300G</v>
      </c>
      <c r="K620" s="35">
        <v>20</v>
      </c>
      <c r="L620" s="38">
        <f>+IFERROR(IF(GUAYAQUIL[[#This Row],[CODIGO]]="","",VLOOKUP(GUAYAQUIL[[#This Row],[CODIGO]],MAESTRO!$A:$BF,58,FALSE)),"")</f>
        <v>1</v>
      </c>
      <c r="M620" s="27">
        <f>+IFERROR(IF(GUAYAQUIL[[#This Row],[CODIGO]]="","",VLOOKUP(GUAYAQUIL[[#This Row],[CODIGO]],MAESTRO!A:N,14,FALSE)),"")</f>
        <v>0.3</v>
      </c>
      <c r="N620" s="291">
        <f>+IFERROR(IF(GUAYAQUIL[[#This Row],[CODIGO]]="","",VLOOKUP(GUAYAQUIL[[#This Row],[CODIGO]],MAESTRO!A:P,16,FALSE)),"")</f>
        <v>30</v>
      </c>
      <c r="O620" s="29">
        <v>45617</v>
      </c>
      <c r="P620" s="293" t="str">
        <f t="shared" si="45"/>
        <v>jueves</v>
      </c>
      <c r="Q620" s="29">
        <f>IFERROR(IF(GUAYAQUIL[[#This Row],[CODIGO]]="","",IF(GUAYAQUIL[[#This Row],[Fecha Cad]]="","",(GUAYAQUIL[[#This Row],[Fecha Cad]]-GUAYAQUIL[[#This Row],[VIDA UTIL (Días)]]))+1),"")</f>
        <v>45610</v>
      </c>
      <c r="R620" s="29">
        <v>45639</v>
      </c>
      <c r="S620" s="30">
        <f t="shared" ca="1" si="46"/>
        <v>15</v>
      </c>
      <c r="T620" s="32">
        <f t="shared" ca="1" si="47"/>
        <v>0.5</v>
      </c>
      <c r="U620" s="286">
        <v>20</v>
      </c>
      <c r="V620" s="265">
        <f>+IFERROR(IF(GUAYAQUIL[[#This Row],[CODIGO]]="","",GUAYAQUIL[[#This Row],[Stock Actual Unds]]*GUAYAQUIL[[#This Row],[Gramaje]]*GUAYAQUIL[[#This Row],[Conversión]]),"")</f>
        <v>6</v>
      </c>
      <c r="W620" s="300">
        <f t="shared" si="48"/>
        <v>7</v>
      </c>
      <c r="X620" s="32">
        <f t="shared" si="49"/>
        <v>0.76666666666666661</v>
      </c>
      <c r="Y620" s="236">
        <f>IFERROR(VLOOKUP(GUAYAQUIL[[#This Row],[CODIGO]],MAESTRO!A:BI,21,FALSE),0)</f>
        <v>2.2262750000000002</v>
      </c>
      <c r="Z620" s="236">
        <f>+IFERROR(IF(GUAYAQUIL[[#This Row],[CODIGO]]="","",GUAYAQUIL[[#This Row],[COSTO UNIT base]]*GUAYAQUIL[[#This Row],[Conversión]]),"")</f>
        <v>2.2262750000000002</v>
      </c>
      <c r="AA620" s="236">
        <f>+IFERROR(IF(GUAYAQUIL[[#This Row],[CODIGO]]="","",GUAYAQUIL[[#This Row],[COSTO UNIT Conv]]*GUAYAQUIL[[#This Row],[Stock Actual Kgs]]),"")</f>
        <v>13.357650000000001</v>
      </c>
      <c r="AB620" s="33">
        <f ca="1">+IFERROR(IF(GUAYAQUIL[[#This Row],[CODIGO]]="","",$J$3-O620),"")</f>
        <v>7</v>
      </c>
      <c r="AC620" s="34" t="str">
        <f ca="1">IF(GUAYAQUIL[[#This Row],[CODIGO]]="","",IF(S620&lt;=0,"CADUCADO",IF(AND(S620&gt;0,S620&lt;=21),"FECHA CORTA",IF(AND(S620&gt;=22,S620&lt;=26),"PROXIMOS FECHA CORTA", "VIGENTE"))))</f>
        <v>FECHA CORTA</v>
      </c>
      <c r="AD620" s="37">
        <f>+IF(GUAYAQUIL[[#This Row],[CODIGO]]="","",GUAYAQUIL[[#This Row],[Stock Actual Unds]]*GUAYAQUIL[[#This Row],[Gramaje]]*GUAYAQUIL[[#This Row],[Conversión]])/1000</f>
        <v>6.0000000000000001E-3</v>
      </c>
    </row>
    <row r="621" spans="1:30">
      <c r="A621" s="24" t="str">
        <f>+IFERROR(IF(GUAYAQUIL[[#This Row],[CODIGO]]="","",VLOOKUP(GUAYAQUIL[[#This Row],[CODIGO]],MAESTRO!$A:$J,10,FALSE)),"")</f>
        <v>MULTIEMPAQUE_MACH</v>
      </c>
      <c r="B621" s="24" t="str">
        <f>+IFERROR(IF(GUAYAQUIL[[#This Row],[CODIGO]]="","",VLOOKUP(GUAYAQUIL[[#This Row],[CODIGO]],MAESTRO!$A:$Q,17,FALSE)),"")</f>
        <v>BEBIDAS LACTEAS</v>
      </c>
      <c r="C621" s="24" t="str">
        <f>+IFERROR(IF(GUAYAQUIL[[#This Row],[CODIGO]]="","",VLOOKUP(GUAYAQUIL[[#This Row],[CODIGO]],MAESTRO!$A:$BA,53,FALSE)),"")</f>
        <v xml:space="preserve">Luis Armendariz                         </v>
      </c>
      <c r="D621" s="24" t="str">
        <f>+IFERROR(IF(GUAYAQUIL[[#This Row],[CODIGO]]="","",VLOOKUP(GUAYAQUIL[[#This Row],[CODIGO]],MAESTRO!$A:$D,4,FALSE)),"")</f>
        <v>BON YURT</v>
      </c>
      <c r="E621" s="24" t="str">
        <f>+IFERROR(IF(GUAYAQUIL[[#This Row],[CODIGO]]="","",VLOOKUP(GUAYAQUIL[[#This Row],[CODIGO]],MAESTRO!$A:$F,6,FALSE)),"")</f>
        <v>BON YURT REGULAR</v>
      </c>
      <c r="F621" s="42" t="str">
        <f>IF(GUAYAQUIL[[#This Row],[CODIGO]]="","",$K$6)</f>
        <v>GUAYAQUIL</v>
      </c>
      <c r="G621" s="1">
        <f>IF(GUAYAQUIL[[#This Row],[CODIGO]]="","",7711)</f>
        <v>7711</v>
      </c>
      <c r="H621" s="1">
        <f>IF(GUAYAQUIL[[#This Row],[CODIGO]]="","",1001)</f>
        <v>1001</v>
      </c>
      <c r="I621" s="258" t="s">
        <v>1237</v>
      </c>
      <c r="J621" s="43" t="str">
        <f>IFERROR((VLOOKUP(GUAYAQUIL[[#This Row],[CODIGO]],MAESTRO!A:B,2,FALSE)),"")</f>
        <v>MPLX4 BY MULTSAB VASO ECU</v>
      </c>
      <c r="K621" s="35">
        <v>16</v>
      </c>
      <c r="L621" s="38">
        <f>+IFERROR(IF(GUAYAQUIL[[#This Row],[CODIGO]]="","",VLOOKUP(GUAYAQUIL[[#This Row],[CODIGO]],MAESTRO!$A:$BF,58,FALSE)),"")</f>
        <v>1</v>
      </c>
      <c r="M621" s="27">
        <f>+IFERROR(IF(GUAYAQUIL[[#This Row],[CODIGO]]="","",VLOOKUP(GUAYAQUIL[[#This Row],[CODIGO]],MAESTRO!A:N,14,FALSE)),"")</f>
        <v>0.68</v>
      </c>
      <c r="N621" s="291">
        <f>+IFERROR(IF(GUAYAQUIL[[#This Row],[CODIGO]]="","",VLOOKUP(GUAYAQUIL[[#This Row],[CODIGO]],MAESTRO!A:P,16,FALSE)),"")</f>
        <v>45</v>
      </c>
      <c r="O621" s="29">
        <v>45597</v>
      </c>
      <c r="P621" s="293" t="str">
        <f t="shared" si="45"/>
        <v>viernes</v>
      </c>
      <c r="Q621" s="29">
        <f>IFERROR(IF(GUAYAQUIL[[#This Row],[CODIGO]]="","",IF(GUAYAQUIL[[#This Row],[Fecha Cad]]="","",(GUAYAQUIL[[#This Row],[Fecha Cad]]-GUAYAQUIL[[#This Row],[VIDA UTIL (Días)]]))+1),"")</f>
        <v>45587</v>
      </c>
      <c r="R621" s="29">
        <v>45631</v>
      </c>
      <c r="S621" s="30">
        <f t="shared" ca="1" si="46"/>
        <v>7</v>
      </c>
      <c r="T621" s="32">
        <f t="shared" ca="1" si="47"/>
        <v>0.15555555555555556</v>
      </c>
      <c r="U621" s="286">
        <v>5</v>
      </c>
      <c r="V621" s="265">
        <f>+IFERROR(IF(GUAYAQUIL[[#This Row],[CODIGO]]="","",GUAYAQUIL[[#This Row],[Stock Actual Unds]]*GUAYAQUIL[[#This Row],[Gramaje]]*GUAYAQUIL[[#This Row],[Conversión]]),"")</f>
        <v>3.4000000000000004</v>
      </c>
      <c r="W621" s="300">
        <f t="shared" si="48"/>
        <v>10</v>
      </c>
      <c r="X621" s="32">
        <f t="shared" si="49"/>
        <v>0.77777777777777779</v>
      </c>
      <c r="Y621" s="236">
        <f>IFERROR(VLOOKUP(GUAYAQUIL[[#This Row],[CODIGO]],MAESTRO!A:BI,21,FALSE),0)</f>
        <v>1.3252700000000002</v>
      </c>
      <c r="Z621" s="236">
        <f>+IFERROR(IF(GUAYAQUIL[[#This Row],[CODIGO]]="","",GUAYAQUIL[[#This Row],[COSTO UNIT base]]*GUAYAQUIL[[#This Row],[Conversión]]),"")</f>
        <v>1.3252700000000002</v>
      </c>
      <c r="AA621" s="236">
        <f>+IFERROR(IF(GUAYAQUIL[[#This Row],[CODIGO]]="","",GUAYAQUIL[[#This Row],[COSTO UNIT Conv]]*GUAYAQUIL[[#This Row],[Stock Actual Kgs]]),"")</f>
        <v>4.5059180000000012</v>
      </c>
      <c r="AB621" s="33">
        <f ca="1">+IFERROR(IF(GUAYAQUIL[[#This Row],[CODIGO]]="","",$J$3-O621),"")</f>
        <v>27</v>
      </c>
      <c r="AC621" s="34" t="str">
        <f ca="1">IF(GUAYAQUIL[[#This Row],[CODIGO]]="","",IF(S621&lt;=0,"CADUCADO",IF(AND(S621&gt;0,S621&lt;=21),"FECHA CORTA",IF(AND(S621&gt;=22,S621&lt;=26),"PROXIMOS FECHA CORTA", "VIGENTE"))))</f>
        <v>FECHA CORTA</v>
      </c>
      <c r="AD621" s="37">
        <f>+IF(GUAYAQUIL[[#This Row],[CODIGO]]="","",GUAYAQUIL[[#This Row],[Stock Actual Unds]]*GUAYAQUIL[[#This Row],[Gramaje]]*GUAYAQUIL[[#This Row],[Conversión]])/1000</f>
        <v>3.4000000000000002E-3</v>
      </c>
    </row>
    <row r="622" spans="1:30">
      <c r="A622" s="24" t="str">
        <f>+IFERROR(IF(GUAYAQUIL[[#This Row],[CODIGO]]="","",VLOOKUP(GUAYAQUIL[[#This Row],[CODIGO]],MAESTRO!$A:$J,10,FALSE)),"")</f>
        <v>MULTIEMPAQUE_MACH</v>
      </c>
      <c r="B622" s="24" t="str">
        <f>+IFERROR(IF(GUAYAQUIL[[#This Row],[CODIGO]]="","",VLOOKUP(GUAYAQUIL[[#This Row],[CODIGO]],MAESTRO!$A:$Q,17,FALSE)),"")</f>
        <v>BEBIDAS LACTEAS</v>
      </c>
      <c r="C622" s="24" t="str">
        <f>+IFERROR(IF(GUAYAQUIL[[#This Row],[CODIGO]]="","",VLOOKUP(GUAYAQUIL[[#This Row],[CODIGO]],MAESTRO!$A:$BA,53,FALSE)),"")</f>
        <v xml:space="preserve">Luis Armendariz                         </v>
      </c>
      <c r="D622" s="24" t="str">
        <f>+IFERROR(IF(GUAYAQUIL[[#This Row],[CODIGO]]="","",VLOOKUP(GUAYAQUIL[[#This Row],[CODIGO]],MAESTRO!$A:$D,4,FALSE)),"")</f>
        <v>BON YURT</v>
      </c>
      <c r="E622" s="24" t="str">
        <f>+IFERROR(IF(GUAYAQUIL[[#This Row],[CODIGO]]="","",VLOOKUP(GUAYAQUIL[[#This Row],[CODIGO]],MAESTRO!$A:$F,6,FALSE)),"")</f>
        <v>BON YURT REGULAR</v>
      </c>
      <c r="F622" s="42" t="str">
        <f>IF(GUAYAQUIL[[#This Row],[CODIGO]]="","",$K$6)</f>
        <v>GUAYAQUIL</v>
      </c>
      <c r="G622" s="1">
        <f>IF(GUAYAQUIL[[#This Row],[CODIGO]]="","",7711)</f>
        <v>7711</v>
      </c>
      <c r="H622" s="1">
        <f>IF(GUAYAQUIL[[#This Row],[CODIGO]]="","",1001)</f>
        <v>1001</v>
      </c>
      <c r="I622" s="258" t="s">
        <v>1237</v>
      </c>
      <c r="J622" s="43" t="str">
        <f>IFERROR((VLOOKUP(GUAYAQUIL[[#This Row],[CODIGO]],MAESTRO!A:B,2,FALSE)),"")</f>
        <v>MPLX4 BY MULTSAB VASO ECU</v>
      </c>
      <c r="K622" s="35">
        <v>16</v>
      </c>
      <c r="L622" s="38">
        <f>+IFERROR(IF(GUAYAQUIL[[#This Row],[CODIGO]]="","",VLOOKUP(GUAYAQUIL[[#This Row],[CODIGO]],MAESTRO!$A:$BF,58,FALSE)),"")</f>
        <v>1</v>
      </c>
      <c r="M622" s="27">
        <f>+IFERROR(IF(GUAYAQUIL[[#This Row],[CODIGO]]="","",VLOOKUP(GUAYAQUIL[[#This Row],[CODIGO]],MAESTRO!A:N,14,FALSE)),"")</f>
        <v>0.68</v>
      </c>
      <c r="N622" s="291">
        <f>+IFERROR(IF(GUAYAQUIL[[#This Row],[CODIGO]]="","",VLOOKUP(GUAYAQUIL[[#This Row],[CODIGO]],MAESTRO!A:P,16,FALSE)),"")</f>
        <v>45</v>
      </c>
      <c r="O622" s="29">
        <v>45604</v>
      </c>
      <c r="P622" s="293" t="str">
        <f t="shared" si="45"/>
        <v>viernes</v>
      </c>
      <c r="Q622" s="29">
        <f>IFERROR(IF(GUAYAQUIL[[#This Row],[CODIGO]]="","",IF(GUAYAQUIL[[#This Row],[Fecha Cad]]="","",(GUAYAQUIL[[#This Row],[Fecha Cad]]-GUAYAQUIL[[#This Row],[VIDA UTIL (Días)]]))+1),"")</f>
        <v>45597</v>
      </c>
      <c r="R622" s="29">
        <v>45641</v>
      </c>
      <c r="S622" s="30">
        <f t="shared" ca="1" si="46"/>
        <v>17</v>
      </c>
      <c r="T622" s="32">
        <f t="shared" ca="1" si="47"/>
        <v>0.37777777777777777</v>
      </c>
      <c r="U622" s="286">
        <v>8</v>
      </c>
      <c r="V622" s="265">
        <f>+IFERROR(IF(GUAYAQUIL[[#This Row],[CODIGO]]="","",GUAYAQUIL[[#This Row],[Stock Actual Unds]]*GUAYAQUIL[[#This Row],[Gramaje]]*GUAYAQUIL[[#This Row],[Conversión]]),"")</f>
        <v>5.44</v>
      </c>
      <c r="W622" s="300">
        <f t="shared" si="48"/>
        <v>7</v>
      </c>
      <c r="X622" s="32">
        <f t="shared" si="49"/>
        <v>0.84444444444444444</v>
      </c>
      <c r="Y622" s="236">
        <f>IFERROR(VLOOKUP(GUAYAQUIL[[#This Row],[CODIGO]],MAESTRO!A:BI,21,FALSE),0)</f>
        <v>1.3252700000000002</v>
      </c>
      <c r="Z622" s="236">
        <f>+IFERROR(IF(GUAYAQUIL[[#This Row],[CODIGO]]="","",GUAYAQUIL[[#This Row],[COSTO UNIT base]]*GUAYAQUIL[[#This Row],[Conversión]]),"")</f>
        <v>1.3252700000000002</v>
      </c>
      <c r="AA622" s="236">
        <f>+IFERROR(IF(GUAYAQUIL[[#This Row],[CODIGO]]="","",GUAYAQUIL[[#This Row],[COSTO UNIT Conv]]*GUAYAQUIL[[#This Row],[Stock Actual Kgs]]),"")</f>
        <v>7.2094688000000016</v>
      </c>
      <c r="AB622" s="33">
        <f ca="1">+IFERROR(IF(GUAYAQUIL[[#This Row],[CODIGO]]="","",$J$3-O622),"")</f>
        <v>20</v>
      </c>
      <c r="AC622" s="34" t="str">
        <f ca="1">IF(GUAYAQUIL[[#This Row],[CODIGO]]="","",IF(S622&lt;=0,"CADUCADO",IF(AND(S622&gt;0,S622&lt;=21),"FECHA CORTA",IF(AND(S622&gt;=22,S622&lt;=26),"PROXIMOS FECHA CORTA", "VIGENTE"))))</f>
        <v>FECHA CORTA</v>
      </c>
      <c r="AD622" s="37">
        <f>+IF(GUAYAQUIL[[#This Row],[CODIGO]]="","",GUAYAQUIL[[#This Row],[Stock Actual Unds]]*GUAYAQUIL[[#This Row],[Gramaje]]*GUAYAQUIL[[#This Row],[Conversión]])/1000</f>
        <v>5.4400000000000004E-3</v>
      </c>
    </row>
    <row r="623" spans="1:30">
      <c r="A623" s="24" t="str">
        <f>+IFERROR(IF(GUAYAQUIL[[#This Row],[CODIGO]]="","",VLOOKUP(GUAYAQUIL[[#This Row],[CODIGO]],MAESTRO!$A:$J,10,FALSE)),"")</f>
        <v>MULTIEMPAQUE_MACH</v>
      </c>
      <c r="B623" s="24" t="str">
        <f>+IFERROR(IF(GUAYAQUIL[[#This Row],[CODIGO]]="","",VLOOKUP(GUAYAQUIL[[#This Row],[CODIGO]],MAESTRO!$A:$Q,17,FALSE)),"")</f>
        <v>BEBIDAS LACTEAS</v>
      </c>
      <c r="C623" s="24" t="str">
        <f>+IFERROR(IF(GUAYAQUIL[[#This Row],[CODIGO]]="","",VLOOKUP(GUAYAQUIL[[#This Row],[CODIGO]],MAESTRO!$A:$BA,53,FALSE)),"")</f>
        <v xml:space="preserve">Luis Armendariz                         </v>
      </c>
      <c r="D623" s="24" t="str">
        <f>+IFERROR(IF(GUAYAQUIL[[#This Row],[CODIGO]]="","",VLOOKUP(GUAYAQUIL[[#This Row],[CODIGO]],MAESTRO!$A:$D,4,FALSE)),"")</f>
        <v>BON YURT</v>
      </c>
      <c r="E623" s="24" t="str">
        <f>+IFERROR(IF(GUAYAQUIL[[#This Row],[CODIGO]]="","",VLOOKUP(GUAYAQUIL[[#This Row],[CODIGO]],MAESTRO!$A:$F,6,FALSE)),"")</f>
        <v>BON YURT REGULAR</v>
      </c>
      <c r="F623" s="42" t="str">
        <f>IF(GUAYAQUIL[[#This Row],[CODIGO]]="","",$K$6)</f>
        <v>GUAYAQUIL</v>
      </c>
      <c r="G623" s="1">
        <f>IF(GUAYAQUIL[[#This Row],[CODIGO]]="","",7711)</f>
        <v>7711</v>
      </c>
      <c r="H623" s="1">
        <f>IF(GUAYAQUIL[[#This Row],[CODIGO]]="","",1001)</f>
        <v>1001</v>
      </c>
      <c r="I623" s="258" t="s">
        <v>1237</v>
      </c>
      <c r="J623" s="43" t="str">
        <f>IFERROR((VLOOKUP(GUAYAQUIL[[#This Row],[CODIGO]],MAESTRO!A:B,2,FALSE)),"")</f>
        <v>MPLX4 BY MULTSAB VASO ECU</v>
      </c>
      <c r="K623" s="35">
        <v>16</v>
      </c>
      <c r="L623" s="38">
        <f>+IFERROR(IF(GUAYAQUIL[[#This Row],[CODIGO]]="","",VLOOKUP(GUAYAQUIL[[#This Row],[CODIGO]],MAESTRO!$A:$BF,58,FALSE)),"")</f>
        <v>1</v>
      </c>
      <c r="M623" s="27">
        <f>+IFERROR(IF(GUAYAQUIL[[#This Row],[CODIGO]]="","",VLOOKUP(GUAYAQUIL[[#This Row],[CODIGO]],MAESTRO!A:N,14,FALSE)),"")</f>
        <v>0.68</v>
      </c>
      <c r="N623" s="291">
        <f>+IFERROR(IF(GUAYAQUIL[[#This Row],[CODIGO]]="","",VLOOKUP(GUAYAQUIL[[#This Row],[CODIGO]],MAESTRO!A:P,16,FALSE)),"")</f>
        <v>45</v>
      </c>
      <c r="O623" s="29">
        <v>45615</v>
      </c>
      <c r="P623" s="293" t="str">
        <f t="shared" si="45"/>
        <v>martes</v>
      </c>
      <c r="Q623" s="29">
        <f>IFERROR(IF(GUAYAQUIL[[#This Row],[CODIGO]]="","",IF(GUAYAQUIL[[#This Row],[Fecha Cad]]="","",(GUAYAQUIL[[#This Row],[Fecha Cad]]-GUAYAQUIL[[#This Row],[VIDA UTIL (Días)]]))+1),"")</f>
        <v>45611</v>
      </c>
      <c r="R623" s="29">
        <v>45655</v>
      </c>
      <c r="S623" s="30">
        <f t="shared" ca="1" si="46"/>
        <v>31</v>
      </c>
      <c r="T623" s="32">
        <f t="shared" ca="1" si="47"/>
        <v>0.68888888888888888</v>
      </c>
      <c r="U623" s="286">
        <v>0</v>
      </c>
      <c r="V623" s="266">
        <f>+IFERROR(IF(GUAYAQUIL[[#This Row],[CODIGO]]="","",GUAYAQUIL[[#This Row],[Stock Actual Unds]]*GUAYAQUIL[[#This Row],[Gramaje]]*GUAYAQUIL[[#This Row],[Conversión]]),"")</f>
        <v>0</v>
      </c>
      <c r="W623" s="300">
        <f t="shared" si="48"/>
        <v>4</v>
      </c>
      <c r="X623" s="32">
        <f t="shared" si="49"/>
        <v>0.91111111111111109</v>
      </c>
      <c r="Y623" s="236">
        <f>IFERROR(VLOOKUP(GUAYAQUIL[[#This Row],[CODIGO]],MAESTRO!A:BI,21,FALSE),0)</f>
        <v>1.3252700000000002</v>
      </c>
      <c r="Z623" s="236">
        <f>+IFERROR(IF(GUAYAQUIL[[#This Row],[CODIGO]]="","",GUAYAQUIL[[#This Row],[COSTO UNIT base]]*GUAYAQUIL[[#This Row],[Conversión]]),"")</f>
        <v>1.3252700000000002</v>
      </c>
      <c r="AA623" s="236">
        <f>+IFERROR(IF(GUAYAQUIL[[#This Row],[CODIGO]]="","",GUAYAQUIL[[#This Row],[COSTO UNIT Conv]]*GUAYAQUIL[[#This Row],[Stock Actual Kgs]]),"")</f>
        <v>0</v>
      </c>
      <c r="AB623" s="33">
        <f ca="1">+IFERROR(IF(GUAYAQUIL[[#This Row],[CODIGO]]="","",$J$3-O623),"")</f>
        <v>9</v>
      </c>
      <c r="AC623" s="34" t="str">
        <f ca="1">IF(GUAYAQUIL[[#This Row],[CODIGO]]="","",IF(S623&lt;=0,"CADUCADO",IF(AND(S623&gt;0,S623&lt;=21),"FECHA CORTA",IF(AND(S623&gt;=22,S623&lt;=26),"PROXIMOS FECHA CORTA", "VIGENTE"))))</f>
        <v>VIGENTE</v>
      </c>
      <c r="AD623" s="37">
        <f>+IF(GUAYAQUIL[[#This Row],[CODIGO]]="","",GUAYAQUIL[[#This Row],[Stock Actual Unds]]*GUAYAQUIL[[#This Row],[Gramaje]]*GUAYAQUIL[[#This Row],[Conversión]])/1000</f>
        <v>0</v>
      </c>
    </row>
    <row r="624" spans="1:30">
      <c r="A624" s="24" t="str">
        <f>+IFERROR(IF(GUAYAQUIL[[#This Row],[CODIGO]]="","",VLOOKUP(GUAYAQUIL[[#This Row],[CODIGO]],MAESTRO!$A:$J,10,FALSE)),"")</f>
        <v>MULTIEMPAQUE_MACH</v>
      </c>
      <c r="B624" s="24" t="str">
        <f>+IFERROR(IF(GUAYAQUIL[[#This Row],[CODIGO]]="","",VLOOKUP(GUAYAQUIL[[#This Row],[CODIGO]],MAESTRO!$A:$Q,17,FALSE)),"")</f>
        <v>BEBIDAS LACTEAS</v>
      </c>
      <c r="C624" s="24" t="str">
        <f>+IFERROR(IF(GUAYAQUIL[[#This Row],[CODIGO]]="","",VLOOKUP(GUAYAQUIL[[#This Row],[CODIGO]],MAESTRO!$A:$BA,53,FALSE)),"")</f>
        <v xml:space="preserve">Luis Armendariz                         </v>
      </c>
      <c r="D624" s="24" t="str">
        <f>+IFERROR(IF(GUAYAQUIL[[#This Row],[CODIGO]]="","",VLOOKUP(GUAYAQUIL[[#This Row],[CODIGO]],MAESTRO!$A:$D,4,FALSE)),"")</f>
        <v>BON YURT</v>
      </c>
      <c r="E624" s="24" t="str">
        <f>+IFERROR(IF(GUAYAQUIL[[#This Row],[CODIGO]]="","",VLOOKUP(GUAYAQUIL[[#This Row],[CODIGO]],MAESTRO!$A:$F,6,FALSE)),"")</f>
        <v>BON YURT REGULAR</v>
      </c>
      <c r="F624" s="42" t="str">
        <f>IF(GUAYAQUIL[[#This Row],[CODIGO]]="","",$K$6)</f>
        <v>GUAYAQUIL</v>
      </c>
      <c r="G624" s="1">
        <f>IF(GUAYAQUIL[[#This Row],[CODIGO]]="","",7711)</f>
        <v>7711</v>
      </c>
      <c r="H624" s="1">
        <f>IF(GUAYAQUIL[[#This Row],[CODIGO]]="","",1001)</f>
        <v>1001</v>
      </c>
      <c r="I624" s="258" t="s">
        <v>1237</v>
      </c>
      <c r="J624" s="43" t="str">
        <f>IFERROR((VLOOKUP(GUAYAQUIL[[#This Row],[CODIGO]],MAESTRO!A:B,2,FALSE)),"")</f>
        <v>MPLX4 BY MULTSAB VASO ECU</v>
      </c>
      <c r="K624" s="35">
        <v>16</v>
      </c>
      <c r="L624" s="38">
        <f>+IFERROR(IF(GUAYAQUIL[[#This Row],[CODIGO]]="","",VLOOKUP(GUAYAQUIL[[#This Row],[CODIGO]],MAESTRO!$A:$BF,58,FALSE)),"")</f>
        <v>1</v>
      </c>
      <c r="M624" s="27">
        <f>+IFERROR(IF(GUAYAQUIL[[#This Row],[CODIGO]]="","",VLOOKUP(GUAYAQUIL[[#This Row],[CODIGO]],MAESTRO!A:N,14,FALSE)),"")</f>
        <v>0.68</v>
      </c>
      <c r="N624" s="291">
        <f>+IFERROR(IF(GUAYAQUIL[[#This Row],[CODIGO]]="","",VLOOKUP(GUAYAQUIL[[#This Row],[CODIGO]],MAESTRO!A:P,16,FALSE)),"")</f>
        <v>45</v>
      </c>
      <c r="O624" s="29">
        <v>45616</v>
      </c>
      <c r="P624" s="293" t="str">
        <f t="shared" si="45"/>
        <v>miércoles</v>
      </c>
      <c r="Q624" s="29">
        <f>IFERROR(IF(GUAYAQUIL[[#This Row],[CODIGO]]="","",IF(GUAYAQUIL[[#This Row],[Fecha Cad]]="","",(GUAYAQUIL[[#This Row],[Fecha Cad]]-GUAYAQUIL[[#This Row],[VIDA UTIL (Días)]]))+1),"")</f>
        <v>45611</v>
      </c>
      <c r="R624" s="29">
        <v>45655</v>
      </c>
      <c r="S624" s="30">
        <f t="shared" ca="1" si="46"/>
        <v>31</v>
      </c>
      <c r="T624" s="32">
        <f t="shared" ca="1" si="47"/>
        <v>0.68888888888888888</v>
      </c>
      <c r="U624" s="296">
        <v>16</v>
      </c>
      <c r="V624" s="266">
        <f>+IFERROR(IF(GUAYAQUIL[[#This Row],[CODIGO]]="","",GUAYAQUIL[[#This Row],[Stock Actual Unds]]*GUAYAQUIL[[#This Row],[Gramaje]]*GUAYAQUIL[[#This Row],[Conversión]]),"")</f>
        <v>10.88</v>
      </c>
      <c r="W624" s="300">
        <f t="shared" si="48"/>
        <v>5</v>
      </c>
      <c r="X624" s="32">
        <f t="shared" si="49"/>
        <v>0.88888888888888884</v>
      </c>
      <c r="Y624" s="236">
        <f>IFERROR(VLOOKUP(GUAYAQUIL[[#This Row],[CODIGO]],MAESTRO!A:BI,21,FALSE),0)</f>
        <v>1.3252700000000002</v>
      </c>
      <c r="Z624" s="236">
        <f>+IFERROR(IF(GUAYAQUIL[[#This Row],[CODIGO]]="","",GUAYAQUIL[[#This Row],[COSTO UNIT base]]*GUAYAQUIL[[#This Row],[Conversión]]),"")</f>
        <v>1.3252700000000002</v>
      </c>
      <c r="AA624" s="236">
        <f>+IFERROR(IF(GUAYAQUIL[[#This Row],[CODIGO]]="","",GUAYAQUIL[[#This Row],[COSTO UNIT Conv]]*GUAYAQUIL[[#This Row],[Stock Actual Kgs]]),"")</f>
        <v>14.418937600000003</v>
      </c>
      <c r="AB624" s="33">
        <f ca="1">+IFERROR(IF(GUAYAQUIL[[#This Row],[CODIGO]]="","",$J$3-O624),"")</f>
        <v>8</v>
      </c>
      <c r="AC624" s="34" t="str">
        <f ca="1">IF(GUAYAQUIL[[#This Row],[CODIGO]]="","",IF(S624&lt;=0,"CADUCADO",IF(AND(S624&gt;0,S624&lt;=21),"FECHA CORTA",IF(AND(S624&gt;=22,S624&lt;=26),"PROXIMOS FECHA CORTA", "VIGENTE"))))</f>
        <v>VIGENTE</v>
      </c>
      <c r="AD624" s="289">
        <f>+IF(GUAYAQUIL[[#This Row],[CODIGO]]="","",GUAYAQUIL[[#This Row],[Stock Actual Unds]]*GUAYAQUIL[[#This Row],[Gramaje]]*GUAYAQUIL[[#This Row],[Conversión]])/1000</f>
        <v>1.0880000000000001E-2</v>
      </c>
    </row>
    <row r="625" spans="1:30">
      <c r="A625" s="24" t="str">
        <f>+IFERROR(IF(GUAYAQUIL[[#This Row],[CODIGO]]="","",VLOOKUP(GUAYAQUIL[[#This Row],[CODIGO]],MAESTRO!$A:$J,10,FALSE)),"")</f>
        <v>MULTIEMPAQUE_MACH</v>
      </c>
      <c r="B625" s="24" t="str">
        <f>+IFERROR(IF(GUAYAQUIL[[#This Row],[CODIGO]]="","",VLOOKUP(GUAYAQUIL[[#This Row],[CODIGO]],MAESTRO!$A:$Q,17,FALSE)),"")</f>
        <v>BEBIDAS LACTEAS</v>
      </c>
      <c r="C625" s="24" t="str">
        <f>+IFERROR(IF(GUAYAQUIL[[#This Row],[CODIGO]]="","",VLOOKUP(GUAYAQUIL[[#This Row],[CODIGO]],MAESTRO!$A:$BA,53,FALSE)),"")</f>
        <v xml:space="preserve">Luis Armendariz                         </v>
      </c>
      <c r="D625" s="24" t="str">
        <f>+IFERROR(IF(GUAYAQUIL[[#This Row],[CODIGO]]="","",VLOOKUP(GUAYAQUIL[[#This Row],[CODIGO]],MAESTRO!$A:$D,4,FALSE)),"")</f>
        <v>BON YURT</v>
      </c>
      <c r="E625" s="24" t="str">
        <f>+IFERROR(IF(GUAYAQUIL[[#This Row],[CODIGO]]="","",VLOOKUP(GUAYAQUIL[[#This Row],[CODIGO]],MAESTRO!$A:$F,6,FALSE)),"")</f>
        <v>BON YURT REGULAR</v>
      </c>
      <c r="F625" s="42" t="str">
        <f>IF(GUAYAQUIL[[#This Row],[CODIGO]]="","",$K$6)</f>
        <v>GUAYAQUIL</v>
      </c>
      <c r="G625" s="1">
        <f>IF(GUAYAQUIL[[#This Row],[CODIGO]]="","",7711)</f>
        <v>7711</v>
      </c>
      <c r="H625" s="1">
        <f>IF(GUAYAQUIL[[#This Row],[CODIGO]]="","",1001)</f>
        <v>1001</v>
      </c>
      <c r="I625" s="257" t="s">
        <v>1237</v>
      </c>
      <c r="J625" s="43" t="str">
        <f>IFERROR((VLOOKUP(GUAYAQUIL[[#This Row],[CODIGO]],MAESTRO!A:B,2,FALSE)),"")</f>
        <v>MPLX4 BY MULTSAB VASO ECU</v>
      </c>
      <c r="K625" s="26">
        <v>8</v>
      </c>
      <c r="L625" s="38">
        <f>+IFERROR(IF(GUAYAQUIL[[#This Row],[CODIGO]]="","",VLOOKUP(GUAYAQUIL[[#This Row],[CODIGO]],MAESTRO!$A:$BF,58,FALSE)),"")</f>
        <v>1</v>
      </c>
      <c r="M625" s="27">
        <f>+IFERROR(IF(GUAYAQUIL[[#This Row],[CODIGO]]="","",VLOOKUP(GUAYAQUIL[[#This Row],[CODIGO]],MAESTRO!A:N,14,FALSE)),"")</f>
        <v>0.68</v>
      </c>
      <c r="N625" s="291">
        <f>+IFERROR(IF(GUAYAQUIL[[#This Row],[CODIGO]]="","",VLOOKUP(GUAYAQUIL[[#This Row],[CODIGO]],MAESTRO!A:P,16,FALSE)),"")</f>
        <v>45</v>
      </c>
      <c r="O625" s="29">
        <v>45617</v>
      </c>
      <c r="P625" s="293" t="str">
        <f t="shared" si="45"/>
        <v>jueves</v>
      </c>
      <c r="Q625" s="29">
        <f>IFERROR(IF(GUAYAQUIL[[#This Row],[CODIGO]]="","",IF(GUAYAQUIL[[#This Row],[Fecha Cad]]="","",(GUAYAQUIL[[#This Row],[Fecha Cad]]-GUAYAQUIL[[#This Row],[VIDA UTIL (Días)]]))+1),"")</f>
        <v>45611</v>
      </c>
      <c r="R625" s="29">
        <v>45655</v>
      </c>
      <c r="S625" s="30">
        <f t="shared" ca="1" si="46"/>
        <v>31</v>
      </c>
      <c r="T625" s="32">
        <f t="shared" ca="1" si="47"/>
        <v>0.68888888888888888</v>
      </c>
      <c r="U625" s="296">
        <v>8</v>
      </c>
      <c r="V625" s="267">
        <f>+IFERROR(IF(GUAYAQUIL[[#This Row],[CODIGO]]="","",GUAYAQUIL[[#This Row],[Stock Actual Unds]]*GUAYAQUIL[[#This Row],[Gramaje]]*GUAYAQUIL[[#This Row],[Conversión]]),"")</f>
        <v>5.44</v>
      </c>
      <c r="W625" s="300">
        <f t="shared" si="48"/>
        <v>6</v>
      </c>
      <c r="X625" s="32">
        <f t="shared" si="49"/>
        <v>0.8666666666666667</v>
      </c>
      <c r="Y625" s="236">
        <f>IFERROR(VLOOKUP(GUAYAQUIL[[#This Row],[CODIGO]],MAESTRO!A:BI,21,FALSE),0)</f>
        <v>1.3252700000000002</v>
      </c>
      <c r="Z625" s="236">
        <f>+IFERROR(IF(GUAYAQUIL[[#This Row],[CODIGO]]="","",GUAYAQUIL[[#This Row],[COSTO UNIT base]]*GUAYAQUIL[[#This Row],[Conversión]]),"")</f>
        <v>1.3252700000000002</v>
      </c>
      <c r="AA625" s="236">
        <f>+IFERROR(IF(GUAYAQUIL[[#This Row],[CODIGO]]="","",GUAYAQUIL[[#This Row],[COSTO UNIT Conv]]*GUAYAQUIL[[#This Row],[Stock Actual Kgs]]),"")</f>
        <v>7.2094688000000016</v>
      </c>
      <c r="AB625" s="33">
        <f ca="1">+IFERROR(IF(GUAYAQUIL[[#This Row],[CODIGO]]="","",$J$3-O625),"")</f>
        <v>7</v>
      </c>
      <c r="AC625" s="34" t="str">
        <f ca="1">IF(GUAYAQUIL[[#This Row],[CODIGO]]="","",IF(S625&lt;=0,"CADUCADO",IF(AND(S625&gt;0,S625&lt;=21),"FECHA CORTA",IF(AND(S625&gt;=22,S625&lt;=26),"PROXIMOS FECHA CORTA", "VIGENTE"))))</f>
        <v>VIGENTE</v>
      </c>
      <c r="AD625" s="289">
        <f>+IF(GUAYAQUIL[[#This Row],[CODIGO]]="","",GUAYAQUIL[[#This Row],[Stock Actual Unds]]*GUAYAQUIL[[#This Row],[Gramaje]]*GUAYAQUIL[[#This Row],[Conversión]])/1000</f>
        <v>5.4400000000000004E-3</v>
      </c>
    </row>
    <row r="626" spans="1:30">
      <c r="A626" s="24" t="str">
        <f>+IFERROR(IF(GUAYAQUIL[[#This Row],[CODIGO]]="","",VLOOKUP(GUAYAQUIL[[#This Row],[CODIGO]],MAESTRO!$A:$J,10,FALSE)),"")</f>
        <v>SAN GABRIEL</v>
      </c>
      <c r="B626" s="24" t="str">
        <f>+IFERROR(IF(GUAYAQUIL[[#This Row],[CODIGO]]="","",VLOOKUP(GUAYAQUIL[[#This Row],[CODIGO]],MAESTRO!$A:$Q,17,FALSE)),"")</f>
        <v>QUESOS Y GRASAS</v>
      </c>
      <c r="C626" s="24" t="str">
        <f>+IFERROR(IF(GUAYAQUIL[[#This Row],[CODIGO]]="","",VLOOKUP(GUAYAQUIL[[#This Row],[CODIGO]],MAESTRO!$A:$BA,53,FALSE)),"")</f>
        <v xml:space="preserve">Esteban Montenegro                      </v>
      </c>
      <c r="D626" s="24" t="str">
        <f>+IFERROR(IF(GUAYAQUIL[[#This Row],[CODIGO]]="","",VLOOKUP(GUAYAQUIL[[#This Row],[CODIGO]],MAESTRO!$A:$D,4,FALSE)),"")</f>
        <v>QUESO MOZARELLA KIOSKO</v>
      </c>
      <c r="E626" s="24" t="str">
        <f>+IFERROR(IF(GUAYAQUIL[[#This Row],[CODIGO]]="","",VLOOKUP(GUAYAQUIL[[#This Row],[CODIGO]],MAESTRO!$A:$F,6,FALSE)),"")</f>
        <v>QUESO MOZARELLA PIZZA KIOSKO TAJADO</v>
      </c>
      <c r="F626" s="42" t="str">
        <f>IF(GUAYAQUIL[[#This Row],[CODIGO]]="","",$K$6)</f>
        <v>GUAYAQUIL</v>
      </c>
      <c r="G626" s="1">
        <f>IF(GUAYAQUIL[[#This Row],[CODIGO]]="","",7711)</f>
        <v>7711</v>
      </c>
      <c r="H626" s="1">
        <f>IF(GUAYAQUIL[[#This Row],[CODIGO]]="","",1001)</f>
        <v>1001</v>
      </c>
      <c r="I626" s="257" t="s">
        <v>3895</v>
      </c>
      <c r="J626" s="43" t="str">
        <f>IFERROR((VLOOKUP(GUAYAQUIL[[#This Row],[CODIGO]],MAESTRO!A:B,2,FALSE)),"")</f>
        <v>Q MOZAR PIZZ KIOSKO LONJ AL PESO</v>
      </c>
      <c r="K626" s="26">
        <v>30</v>
      </c>
      <c r="L626" s="38">
        <f>+IFERROR(IF(GUAYAQUIL[[#This Row],[CODIGO]]="","",VLOOKUP(GUAYAQUIL[[#This Row],[CODIGO]],MAESTRO!$A:$BF,58,FALSE)),"")</f>
        <v>2.7</v>
      </c>
      <c r="M626" s="27">
        <f>+IFERROR(IF(GUAYAQUIL[[#This Row],[CODIGO]]="","",VLOOKUP(GUAYAQUIL[[#This Row],[CODIGO]],MAESTRO!A:N,14,FALSE)),"")</f>
        <v>1</v>
      </c>
      <c r="N626" s="291">
        <f>+IFERROR(IF(GUAYAQUIL[[#This Row],[CODIGO]]="","",VLOOKUP(GUAYAQUIL[[#This Row],[CODIGO]],MAESTRO!A:P,16,FALSE)),"")</f>
        <v>30</v>
      </c>
      <c r="O626" s="29">
        <v>45616</v>
      </c>
      <c r="P626" s="293" t="str">
        <f t="shared" si="45"/>
        <v>miércoles</v>
      </c>
      <c r="Q626" s="29">
        <f>IFERROR(IF(GUAYAQUIL[[#This Row],[CODIGO]]="","",IF(GUAYAQUIL[[#This Row],[Fecha Cad]]="","",(GUAYAQUIL[[#This Row],[Fecha Cad]]-GUAYAQUIL[[#This Row],[VIDA UTIL (Días)]]))+1),"")</f>
        <v>45616</v>
      </c>
      <c r="R626" s="29">
        <v>45645</v>
      </c>
      <c r="S626" s="30">
        <f t="shared" ca="1" si="46"/>
        <v>21</v>
      </c>
      <c r="T626" s="32">
        <f t="shared" ca="1" si="47"/>
        <v>0.7</v>
      </c>
      <c r="U626" s="296">
        <v>8</v>
      </c>
      <c r="V626" s="267">
        <f>+IFERROR(IF(GUAYAQUIL[[#This Row],[CODIGO]]="","",GUAYAQUIL[[#This Row],[Stock Actual Unds]]*GUAYAQUIL[[#This Row],[Gramaje]]*GUAYAQUIL[[#This Row],[Conversión]]),"")</f>
        <v>21.6</v>
      </c>
      <c r="W626" s="300">
        <f t="shared" si="48"/>
        <v>0</v>
      </c>
      <c r="X626" s="32">
        <f t="shared" si="49"/>
        <v>1</v>
      </c>
      <c r="Y626" s="236">
        <f>IFERROR(VLOOKUP(GUAYAQUIL[[#This Row],[CODIGO]],MAESTRO!A:BI,21,FALSE),0)</f>
        <v>6.98916</v>
      </c>
      <c r="Z626" s="236">
        <f>+IFERROR(IF(GUAYAQUIL[[#This Row],[CODIGO]]="","",GUAYAQUIL[[#This Row],[COSTO UNIT base]]*GUAYAQUIL[[#This Row],[Conversión]]),"")</f>
        <v>18.870732</v>
      </c>
      <c r="AA626" s="236">
        <f>+IFERROR(IF(GUAYAQUIL[[#This Row],[CODIGO]]="","",GUAYAQUIL[[#This Row],[COSTO UNIT Conv]]*GUAYAQUIL[[#This Row],[Stock Actual Kgs]]),"")</f>
        <v>407.60781120000001</v>
      </c>
      <c r="AB626" s="33">
        <f ca="1">+IFERROR(IF(GUAYAQUIL[[#This Row],[CODIGO]]="","",$J$3-O626),"")</f>
        <v>8</v>
      </c>
      <c r="AC626" s="34" t="str">
        <f ca="1">IF(GUAYAQUIL[[#This Row],[CODIGO]]="","",IF(S626&lt;=0,"CADUCADO",IF(AND(S626&gt;0,S626&lt;=21),"FECHA CORTA",IF(AND(S626&gt;=22,S626&lt;=26),"PROXIMOS FECHA CORTA", "VIGENTE"))))</f>
        <v>FECHA CORTA</v>
      </c>
      <c r="AD626" s="289">
        <f>+IF(GUAYAQUIL[[#This Row],[CODIGO]]="","",GUAYAQUIL[[#This Row],[Stock Actual Unds]]*GUAYAQUIL[[#This Row],[Gramaje]]*GUAYAQUIL[[#This Row],[Conversión]])/1000</f>
        <v>2.1600000000000001E-2</v>
      </c>
    </row>
    <row r="627" spans="1:30">
      <c r="A627" s="24" t="str">
        <f>+IFERROR(IF(GUAYAQUIL[[#This Row],[CODIGO]]="","",VLOOKUP(GUAYAQUIL[[#This Row],[CODIGO]],MAESTRO!$A:$J,10,FALSE)),"")</f>
        <v>SAN GABRIEL</v>
      </c>
      <c r="B627" s="24" t="str">
        <f>+IFERROR(IF(GUAYAQUIL[[#This Row],[CODIGO]]="","",VLOOKUP(GUAYAQUIL[[#This Row],[CODIGO]],MAESTRO!$A:$Q,17,FALSE)),"")</f>
        <v>QUESOS Y GRASAS</v>
      </c>
      <c r="C627" s="24" t="str">
        <f>+IFERROR(IF(GUAYAQUIL[[#This Row],[CODIGO]]="","",VLOOKUP(GUAYAQUIL[[#This Row],[CODIGO]],MAESTRO!$A:$BA,53,FALSE)),"")</f>
        <v xml:space="preserve">Esteban Montenegro                      </v>
      </c>
      <c r="D627" s="24" t="str">
        <f>+IFERROR(IF(GUAYAQUIL[[#This Row],[CODIGO]]="","",VLOOKUP(GUAYAQUIL[[#This Row],[CODIGO]],MAESTRO!$A:$D,4,FALSE)),"")</f>
        <v>QUESO MOZARELLA KIOSKO</v>
      </c>
      <c r="E627" s="24" t="str">
        <f>+IFERROR(IF(GUAYAQUIL[[#This Row],[CODIGO]]="","",VLOOKUP(GUAYAQUIL[[#This Row],[CODIGO]],MAESTRO!$A:$F,6,FALSE)),"")</f>
        <v>QUESO MOZARELLA PIZZA KIOSKO TAJADO</v>
      </c>
      <c r="F627" s="42" t="str">
        <f>IF(GUAYAQUIL[[#This Row],[CODIGO]]="","",$K$6)</f>
        <v>GUAYAQUIL</v>
      </c>
      <c r="G627" s="1">
        <f>IF(GUAYAQUIL[[#This Row],[CODIGO]]="","",7711)</f>
        <v>7711</v>
      </c>
      <c r="H627" s="1">
        <f>IF(GUAYAQUIL[[#This Row],[CODIGO]]="","",1001)</f>
        <v>1001</v>
      </c>
      <c r="I627" s="258" t="s">
        <v>3895</v>
      </c>
      <c r="J627" s="43" t="str">
        <f>IFERROR((VLOOKUP(GUAYAQUIL[[#This Row],[CODIGO]],MAESTRO!A:B,2,FALSE)),"")</f>
        <v>Q MOZAR PIZZ KIOSKO LONJ AL PESO</v>
      </c>
      <c r="K627" s="35">
        <v>50</v>
      </c>
      <c r="L627" s="38">
        <f>+IFERROR(IF(GUAYAQUIL[[#This Row],[CODIGO]]="","",VLOOKUP(GUAYAQUIL[[#This Row],[CODIGO]],MAESTRO!$A:$BF,58,FALSE)),"")</f>
        <v>2.7</v>
      </c>
      <c r="M627" s="27">
        <f>+IFERROR(IF(GUAYAQUIL[[#This Row],[CODIGO]]="","",VLOOKUP(GUAYAQUIL[[#This Row],[CODIGO]],MAESTRO!A:N,14,FALSE)),"")</f>
        <v>1</v>
      </c>
      <c r="N627" s="291">
        <f>+IFERROR(IF(GUAYAQUIL[[#This Row],[CODIGO]]="","",VLOOKUP(GUAYAQUIL[[#This Row],[CODIGO]],MAESTRO!A:P,16,FALSE)),"")</f>
        <v>30</v>
      </c>
      <c r="O627" s="29">
        <v>45617</v>
      </c>
      <c r="P627" s="293" t="str">
        <f t="shared" si="45"/>
        <v>jueves</v>
      </c>
      <c r="Q627" s="29">
        <f>IFERROR(IF(GUAYAQUIL[[#This Row],[CODIGO]]="","",IF(GUAYAQUIL[[#This Row],[Fecha Cad]]="","",(GUAYAQUIL[[#This Row],[Fecha Cad]]-GUAYAQUIL[[#This Row],[VIDA UTIL (Días)]]))+1),"")</f>
        <v>45617</v>
      </c>
      <c r="R627" s="29">
        <v>45646</v>
      </c>
      <c r="S627" s="30">
        <f t="shared" ca="1" si="46"/>
        <v>22</v>
      </c>
      <c r="T627" s="32">
        <f t="shared" ca="1" si="47"/>
        <v>0.73333333333333328</v>
      </c>
      <c r="U627" s="296">
        <v>50</v>
      </c>
      <c r="V627" s="266">
        <f>+IFERROR(IF(GUAYAQUIL[[#This Row],[CODIGO]]="","",GUAYAQUIL[[#This Row],[Stock Actual Unds]]*GUAYAQUIL[[#This Row],[Gramaje]]*GUAYAQUIL[[#This Row],[Conversión]]),"")</f>
        <v>135</v>
      </c>
      <c r="W627" s="300">
        <f t="shared" si="48"/>
        <v>0</v>
      </c>
      <c r="X627" s="32">
        <f t="shared" si="49"/>
        <v>1</v>
      </c>
      <c r="Y627" s="236">
        <f>IFERROR(VLOOKUP(GUAYAQUIL[[#This Row],[CODIGO]],MAESTRO!A:BI,21,FALSE),0)</f>
        <v>6.98916</v>
      </c>
      <c r="Z627" s="236">
        <f>+IFERROR(IF(GUAYAQUIL[[#This Row],[CODIGO]]="","",GUAYAQUIL[[#This Row],[COSTO UNIT base]]*GUAYAQUIL[[#This Row],[Conversión]]),"")</f>
        <v>18.870732</v>
      </c>
      <c r="AA627" s="236">
        <f>+IFERROR(IF(GUAYAQUIL[[#This Row],[CODIGO]]="","",GUAYAQUIL[[#This Row],[COSTO UNIT Conv]]*GUAYAQUIL[[#This Row],[Stock Actual Kgs]]),"")</f>
        <v>2547.54882</v>
      </c>
      <c r="AB627" s="33">
        <f ca="1">+IFERROR(IF(GUAYAQUIL[[#This Row],[CODIGO]]="","",$J$3-O627),"")</f>
        <v>7</v>
      </c>
      <c r="AC627" s="34" t="str">
        <f ca="1">IF(GUAYAQUIL[[#This Row],[CODIGO]]="","",IF(S627&lt;=0,"CADUCADO",IF(AND(S627&gt;0,S627&lt;=21),"FECHA CORTA",IF(AND(S627&gt;=22,S627&lt;=26),"PROXIMOS FECHA CORTA", "VIGENTE"))))</f>
        <v>PROXIMOS FECHA CORTA</v>
      </c>
      <c r="AD627" s="289">
        <f>+IF(GUAYAQUIL[[#This Row],[CODIGO]]="","",GUAYAQUIL[[#This Row],[Stock Actual Unds]]*GUAYAQUIL[[#This Row],[Gramaje]]*GUAYAQUIL[[#This Row],[Conversión]])/1000</f>
        <v>0.13500000000000001</v>
      </c>
    </row>
    <row r="628" spans="1:30">
      <c r="A628" s="24" t="str">
        <f>+IFERROR(IF(GUAYAQUIL[[#This Row],[CODIGO]]="","",VLOOKUP(GUAYAQUIL[[#This Row],[CODIGO]],MAESTRO!$A:$J,10,FALSE)),"")</f>
        <v>SAN GABRIEL</v>
      </c>
      <c r="B628" s="24" t="str">
        <f>+IFERROR(IF(GUAYAQUIL[[#This Row],[CODIGO]]="","",VLOOKUP(GUAYAQUIL[[#This Row],[CODIGO]],MAESTRO!$A:$Q,17,FALSE)),"")</f>
        <v>QUESOS Y GRASAS</v>
      </c>
      <c r="C628" s="24" t="str">
        <f>+IFERROR(IF(GUAYAQUIL[[#This Row],[CODIGO]]="","",VLOOKUP(GUAYAQUIL[[#This Row],[CODIGO]],MAESTRO!$A:$BA,53,FALSE)),"")</f>
        <v xml:space="preserve">Esteban Montenegro                      </v>
      </c>
      <c r="D628" s="24" t="str">
        <f>+IFERROR(IF(GUAYAQUIL[[#This Row],[CODIGO]]="","",VLOOKUP(GUAYAQUIL[[#This Row],[CODIGO]],MAESTRO!$A:$D,4,FALSE)),"")</f>
        <v>QUESO SEMIMADURO KIOSKO</v>
      </c>
      <c r="E628" s="24" t="str">
        <f>+IFERROR(IF(GUAYAQUIL[[#This Row],[CODIGO]]="","",VLOOKUP(GUAYAQUIL[[#This Row],[CODIGO]],MAESTRO!$A:$F,6,FALSE)),"")</f>
        <v>QUESO SEMIMADURO CHEDDAR KIOSKO TAJADO</v>
      </c>
      <c r="F628" s="42" t="str">
        <f>IF(GUAYAQUIL[[#This Row],[CODIGO]]="","",$K$6)</f>
        <v>GUAYAQUIL</v>
      </c>
      <c r="G628" s="1">
        <f>IF(GUAYAQUIL[[#This Row],[CODIGO]]="","",7711)</f>
        <v>7711</v>
      </c>
      <c r="H628" s="1">
        <f>IF(GUAYAQUIL[[#This Row],[CODIGO]]="","",1001)</f>
        <v>1001</v>
      </c>
      <c r="I628" s="258" t="s">
        <v>2356</v>
      </c>
      <c r="J628" s="43" t="str">
        <f>IFERROR((VLOOKUP(GUAYAQUIL[[#This Row],[CODIGO]],MAESTRO!A:B,2,FALSE)),"")</f>
        <v>Q CHEDDAR KIOSKO LONJ 400G</v>
      </c>
      <c r="K628" s="35">
        <v>2628</v>
      </c>
      <c r="L628" s="38">
        <f>+IFERROR(IF(GUAYAQUIL[[#This Row],[CODIGO]]="","",VLOOKUP(GUAYAQUIL[[#This Row],[CODIGO]],MAESTRO!$A:$BF,58,FALSE)),"")</f>
        <v>1</v>
      </c>
      <c r="M628" s="27">
        <f>+IFERROR(IF(GUAYAQUIL[[#This Row],[CODIGO]]="","",VLOOKUP(GUAYAQUIL[[#This Row],[CODIGO]],MAESTRO!A:N,14,FALSE)),"")</f>
        <v>0.4</v>
      </c>
      <c r="N628" s="291">
        <f>+IFERROR(IF(GUAYAQUIL[[#This Row],[CODIGO]]="","",VLOOKUP(GUAYAQUIL[[#This Row],[CODIGO]],MAESTRO!A:P,16,FALSE)),"")</f>
        <v>90</v>
      </c>
      <c r="O628" s="29">
        <v>45616</v>
      </c>
      <c r="P628" s="293" t="str">
        <f t="shared" si="45"/>
        <v>miércoles</v>
      </c>
      <c r="Q628" s="29">
        <f>IFERROR(IF(GUAYAQUIL[[#This Row],[CODIGO]]="","",IF(GUAYAQUIL[[#This Row],[Fecha Cad]]="","",(GUAYAQUIL[[#This Row],[Fecha Cad]]-GUAYAQUIL[[#This Row],[VIDA UTIL (Días)]]))+1),"")</f>
        <v>45615</v>
      </c>
      <c r="R628" s="29">
        <v>45704</v>
      </c>
      <c r="S628" s="30">
        <f t="shared" ca="1" si="46"/>
        <v>80</v>
      </c>
      <c r="T628" s="32">
        <f t="shared" ca="1" si="47"/>
        <v>0.88888888888888884</v>
      </c>
      <c r="U628" s="296">
        <v>1060</v>
      </c>
      <c r="V628" s="266">
        <f>+IFERROR(IF(GUAYAQUIL[[#This Row],[CODIGO]]="","",GUAYAQUIL[[#This Row],[Stock Actual Unds]]*GUAYAQUIL[[#This Row],[Gramaje]]*GUAYAQUIL[[#This Row],[Conversión]]),"")</f>
        <v>424</v>
      </c>
      <c r="W628" s="300">
        <f t="shared" si="48"/>
        <v>1</v>
      </c>
      <c r="X628" s="32">
        <f t="shared" si="49"/>
        <v>0.98888888888888893</v>
      </c>
      <c r="Y628" s="236">
        <f>IFERROR(VLOOKUP(GUAYAQUIL[[#This Row],[CODIGO]],MAESTRO!A:BI,21,FALSE),0)</f>
        <v>3.05572</v>
      </c>
      <c r="Z628" s="236">
        <f>+IFERROR(IF(GUAYAQUIL[[#This Row],[CODIGO]]="","",GUAYAQUIL[[#This Row],[COSTO UNIT base]]*GUAYAQUIL[[#This Row],[Conversión]]),"")</f>
        <v>3.05572</v>
      </c>
      <c r="AA628" s="236">
        <f>+IFERROR(IF(GUAYAQUIL[[#This Row],[CODIGO]]="","",GUAYAQUIL[[#This Row],[COSTO UNIT Conv]]*GUAYAQUIL[[#This Row],[Stock Actual Kgs]]),"")</f>
        <v>1295.62528</v>
      </c>
      <c r="AB628" s="33">
        <f ca="1">+IFERROR(IF(GUAYAQUIL[[#This Row],[CODIGO]]="","",$J$3-O628),"")</f>
        <v>8</v>
      </c>
      <c r="AC628" s="34" t="str">
        <f ca="1">IF(GUAYAQUIL[[#This Row],[CODIGO]]="","",IF(S628&lt;=0,"CADUCADO",IF(AND(S628&gt;0,S628&lt;=21),"FECHA CORTA",IF(AND(S628&gt;=22,S628&lt;=26),"PROXIMOS FECHA CORTA", "VIGENTE"))))</f>
        <v>VIGENTE</v>
      </c>
      <c r="AD628" s="289">
        <f>+IF(GUAYAQUIL[[#This Row],[CODIGO]]="","",GUAYAQUIL[[#This Row],[Stock Actual Unds]]*GUAYAQUIL[[#This Row],[Gramaje]]*GUAYAQUIL[[#This Row],[Conversión]])/1000</f>
        <v>0.42399999999999999</v>
      </c>
    </row>
    <row r="629" spans="1:30">
      <c r="A629" s="24" t="str">
        <f>+IFERROR(IF(GUAYAQUIL[[#This Row],[CODIGO]]="","",VLOOKUP(GUAYAQUIL[[#This Row],[CODIGO]],MAESTRO!$A:$J,10,FALSE)),"")</f>
        <v>SAN GABRIEL</v>
      </c>
      <c r="B629" s="24" t="str">
        <f>+IFERROR(IF(GUAYAQUIL[[#This Row],[CODIGO]]="","",VLOOKUP(GUAYAQUIL[[#This Row],[CODIGO]],MAESTRO!$A:$Q,17,FALSE)),"")</f>
        <v>QUESOS Y GRASAS</v>
      </c>
      <c r="C629" s="24" t="str">
        <f>+IFERROR(IF(GUAYAQUIL[[#This Row],[CODIGO]]="","",VLOOKUP(GUAYAQUIL[[#This Row],[CODIGO]],MAESTRO!$A:$BA,53,FALSE)),"")</f>
        <v xml:space="preserve">Esteban Montenegro                      </v>
      </c>
      <c r="D629" s="24" t="str">
        <f>+IFERROR(IF(GUAYAQUIL[[#This Row],[CODIGO]]="","",VLOOKUP(GUAYAQUIL[[#This Row],[CODIGO]],MAESTRO!$A:$D,4,FALSE)),"")</f>
        <v>QUESO SEMIMADURO KIOSKO</v>
      </c>
      <c r="E629" s="24" t="str">
        <f>+IFERROR(IF(GUAYAQUIL[[#This Row],[CODIGO]]="","",VLOOKUP(GUAYAQUIL[[#This Row],[CODIGO]],MAESTRO!$A:$F,6,FALSE)),"")</f>
        <v>QUESO SEMIMADURO CHEDDAR KIOSKO TAJADO</v>
      </c>
      <c r="F629" s="42" t="str">
        <f>IF(GUAYAQUIL[[#This Row],[CODIGO]]="","",$K$6)</f>
        <v>GUAYAQUIL</v>
      </c>
      <c r="G629" s="1">
        <f>IF(GUAYAQUIL[[#This Row],[CODIGO]]="","",7711)</f>
        <v>7711</v>
      </c>
      <c r="H629" s="1">
        <f>IF(GUAYAQUIL[[#This Row],[CODIGO]]="","",1001)</f>
        <v>1001</v>
      </c>
      <c r="I629" s="258" t="s">
        <v>2356</v>
      </c>
      <c r="J629" s="43" t="str">
        <f>IFERROR((VLOOKUP(GUAYAQUIL[[#This Row],[CODIGO]],MAESTRO!A:B,2,FALSE)),"")</f>
        <v>Q CHEDDAR KIOSKO LONJ 400G</v>
      </c>
      <c r="K629" s="35">
        <v>36</v>
      </c>
      <c r="L629" s="38">
        <f>+IFERROR(IF(GUAYAQUIL[[#This Row],[CODIGO]]="","",VLOOKUP(GUAYAQUIL[[#This Row],[CODIGO]],MAESTRO!$A:$BF,58,FALSE)),"")</f>
        <v>1</v>
      </c>
      <c r="M629" s="27">
        <f>+IFERROR(IF(GUAYAQUIL[[#This Row],[CODIGO]]="","",VLOOKUP(GUAYAQUIL[[#This Row],[CODIGO]],MAESTRO!A:N,14,FALSE)),"")</f>
        <v>0.4</v>
      </c>
      <c r="N629" s="291">
        <f>+IFERROR(IF(GUAYAQUIL[[#This Row],[CODIGO]]="","",VLOOKUP(GUAYAQUIL[[#This Row],[CODIGO]],MAESTRO!A:P,16,FALSE)),"")</f>
        <v>90</v>
      </c>
      <c r="O629" s="29">
        <v>45617</v>
      </c>
      <c r="P629" s="293" t="str">
        <f t="shared" si="45"/>
        <v>jueves</v>
      </c>
      <c r="Q629" s="29">
        <f>IFERROR(IF(GUAYAQUIL[[#This Row],[CODIGO]]="","",IF(GUAYAQUIL[[#This Row],[Fecha Cad]]="","",(GUAYAQUIL[[#This Row],[Fecha Cad]]-GUAYAQUIL[[#This Row],[VIDA UTIL (Días)]]))+1),"")</f>
        <v>45615</v>
      </c>
      <c r="R629" s="29">
        <v>45704</v>
      </c>
      <c r="S629" s="30">
        <f t="shared" ca="1" si="46"/>
        <v>80</v>
      </c>
      <c r="T629" s="32">
        <f t="shared" ca="1" si="47"/>
        <v>0.88888888888888884</v>
      </c>
      <c r="U629" s="296">
        <v>36</v>
      </c>
      <c r="V629" s="266">
        <f>+IFERROR(IF(GUAYAQUIL[[#This Row],[CODIGO]]="","",GUAYAQUIL[[#This Row],[Stock Actual Unds]]*GUAYAQUIL[[#This Row],[Gramaje]]*GUAYAQUIL[[#This Row],[Conversión]]),"")</f>
        <v>14.4</v>
      </c>
      <c r="W629" s="300">
        <f t="shared" si="48"/>
        <v>2</v>
      </c>
      <c r="X629" s="32">
        <f t="shared" si="49"/>
        <v>0.97777777777777775</v>
      </c>
      <c r="Y629" s="236">
        <f>IFERROR(VLOOKUP(GUAYAQUIL[[#This Row],[CODIGO]],MAESTRO!A:BI,21,FALSE),0)</f>
        <v>3.05572</v>
      </c>
      <c r="Z629" s="236">
        <f>+IFERROR(IF(GUAYAQUIL[[#This Row],[CODIGO]]="","",GUAYAQUIL[[#This Row],[COSTO UNIT base]]*GUAYAQUIL[[#This Row],[Conversión]]),"")</f>
        <v>3.05572</v>
      </c>
      <c r="AA629" s="236">
        <f>+IFERROR(IF(GUAYAQUIL[[#This Row],[CODIGO]]="","",GUAYAQUIL[[#This Row],[COSTO UNIT Conv]]*GUAYAQUIL[[#This Row],[Stock Actual Kgs]]),"")</f>
        <v>44.002368000000004</v>
      </c>
      <c r="AB629" s="33">
        <f ca="1">+IFERROR(IF(GUAYAQUIL[[#This Row],[CODIGO]]="","",$J$3-O629),"")</f>
        <v>7</v>
      </c>
      <c r="AC629" s="34" t="str">
        <f ca="1">IF(GUAYAQUIL[[#This Row],[CODIGO]]="","",IF(S629&lt;=0,"CADUCADO",IF(AND(S629&gt;0,S629&lt;=21),"FECHA CORTA",IF(AND(S629&gt;=22,S629&lt;=26),"PROXIMOS FECHA CORTA", "VIGENTE"))))</f>
        <v>VIGENTE</v>
      </c>
      <c r="AD629" s="289">
        <f>+IF(GUAYAQUIL[[#This Row],[CODIGO]]="","",GUAYAQUIL[[#This Row],[Stock Actual Unds]]*GUAYAQUIL[[#This Row],[Gramaje]]*GUAYAQUIL[[#This Row],[Conversión]])/1000</f>
        <v>1.44E-2</v>
      </c>
    </row>
    <row r="630" spans="1:30">
      <c r="A630" s="24" t="str">
        <f>+IFERROR(IF(GUAYAQUIL[[#This Row],[CODIGO]]="","",VLOOKUP(GUAYAQUIL[[#This Row],[CODIGO]],MAESTRO!$A:$J,10,FALSE)),"")</f>
        <v>SAN GABRIEL</v>
      </c>
      <c r="B630" s="24" t="str">
        <f>+IFERROR(IF(GUAYAQUIL[[#This Row],[CODIGO]]="","",VLOOKUP(GUAYAQUIL[[#This Row],[CODIGO]],MAESTRO!$A:$Q,17,FALSE)),"")</f>
        <v>QUESOS Y GRASAS</v>
      </c>
      <c r="C630" s="24" t="str">
        <f>+IFERROR(IF(GUAYAQUIL[[#This Row],[CODIGO]]="","",VLOOKUP(GUAYAQUIL[[#This Row],[CODIGO]],MAESTRO!$A:$BA,53,FALSE)),"")</f>
        <v xml:space="preserve">Esteban Montenegro                      </v>
      </c>
      <c r="D630" s="24" t="str">
        <f>+IFERROR(IF(GUAYAQUIL[[#This Row],[CODIGO]]="","",VLOOKUP(GUAYAQUIL[[#This Row],[CODIGO]],MAESTRO!$A:$D,4,FALSE)),"")</f>
        <v>QUESO MOZARELLA KIOSKO</v>
      </c>
      <c r="E630" s="24" t="str">
        <f>+IFERROR(IF(GUAYAQUIL[[#This Row],[CODIGO]]="","",VLOOKUP(GUAYAQUIL[[#This Row],[CODIGO]],MAESTRO!$A:$F,6,FALSE)),"")</f>
        <v>QUESO MOZARELLA PIZZA KIOSKO TAJADO</v>
      </c>
      <c r="F630" s="42" t="str">
        <f>IF(GUAYAQUIL[[#This Row],[CODIGO]]="","",$K$6)</f>
        <v>GUAYAQUIL</v>
      </c>
      <c r="G630" s="1">
        <f>IF(GUAYAQUIL[[#This Row],[CODIGO]]="","",7711)</f>
        <v>7711</v>
      </c>
      <c r="H630" s="1">
        <f>IF(GUAYAQUIL[[#This Row],[CODIGO]]="","",1001)</f>
        <v>1001</v>
      </c>
      <c r="I630" s="258" t="s">
        <v>3520</v>
      </c>
      <c r="J630" s="43" t="str">
        <f>IFERROR((VLOOKUP(GUAYAQUIL[[#This Row],[CODIGO]],MAESTRO!A:B,2,FALSE)),"")</f>
        <v>Q MOZZARELLA HIERBAS LONJAS 150G</v>
      </c>
      <c r="K630" s="35">
        <v>20</v>
      </c>
      <c r="L630" s="38">
        <f>+IFERROR(IF(GUAYAQUIL[[#This Row],[CODIGO]]="","",VLOOKUP(GUAYAQUIL[[#This Row],[CODIGO]],MAESTRO!$A:$BF,58,FALSE)),"")</f>
        <v>1</v>
      </c>
      <c r="M630" s="27">
        <f>+IFERROR(IF(GUAYAQUIL[[#This Row],[CODIGO]]="","",VLOOKUP(GUAYAQUIL[[#This Row],[CODIGO]],MAESTRO!A:N,14,FALSE)),"")</f>
        <v>0.15</v>
      </c>
      <c r="N630" s="291">
        <f>+IFERROR(IF(GUAYAQUIL[[#This Row],[CODIGO]]="","",VLOOKUP(GUAYAQUIL[[#This Row],[CODIGO]],MAESTRO!A:P,16,FALSE)),"")</f>
        <v>40</v>
      </c>
      <c r="O630" s="29">
        <v>45615</v>
      </c>
      <c r="P630" s="293" t="str">
        <f t="shared" si="45"/>
        <v>martes</v>
      </c>
      <c r="Q630" s="29">
        <f>IFERROR(IF(GUAYAQUIL[[#This Row],[CODIGO]]="","",IF(GUAYAQUIL[[#This Row],[Fecha Cad]]="","",(GUAYAQUIL[[#This Row],[Fecha Cad]]-GUAYAQUIL[[#This Row],[VIDA UTIL (Días)]]))+1),"")</f>
        <v>45609</v>
      </c>
      <c r="R630" s="29">
        <v>45648</v>
      </c>
      <c r="S630" s="30">
        <f t="shared" ca="1" si="46"/>
        <v>24</v>
      </c>
      <c r="T630" s="32">
        <f t="shared" ca="1" si="47"/>
        <v>0.6</v>
      </c>
      <c r="U630" s="296">
        <v>5</v>
      </c>
      <c r="V630" s="266">
        <f>+IFERROR(IF(GUAYAQUIL[[#This Row],[CODIGO]]="","",GUAYAQUIL[[#This Row],[Stock Actual Unds]]*GUAYAQUIL[[#This Row],[Gramaje]]*GUAYAQUIL[[#This Row],[Conversión]]),"")</f>
        <v>0.75</v>
      </c>
      <c r="W630" s="300">
        <f t="shared" si="48"/>
        <v>6</v>
      </c>
      <c r="X630" s="32">
        <f t="shared" si="49"/>
        <v>0.85</v>
      </c>
      <c r="Y630" s="236">
        <f>IFERROR(VLOOKUP(GUAYAQUIL[[#This Row],[CODIGO]],MAESTRO!A:BI,21,FALSE),0)</f>
        <v>1.279185</v>
      </c>
      <c r="Z630" s="236">
        <f>+IFERROR(IF(GUAYAQUIL[[#This Row],[CODIGO]]="","",GUAYAQUIL[[#This Row],[COSTO UNIT base]]*GUAYAQUIL[[#This Row],[Conversión]]),"")</f>
        <v>1.279185</v>
      </c>
      <c r="AA630" s="236">
        <f>+IFERROR(IF(GUAYAQUIL[[#This Row],[CODIGO]]="","",GUAYAQUIL[[#This Row],[COSTO UNIT Conv]]*GUAYAQUIL[[#This Row],[Stock Actual Kgs]]),"")</f>
        <v>0.95938875000000001</v>
      </c>
      <c r="AB630" s="33">
        <f ca="1">+IFERROR(IF(GUAYAQUIL[[#This Row],[CODIGO]]="","",$J$3-O630),"")</f>
        <v>9</v>
      </c>
      <c r="AC630" s="34" t="str">
        <f ca="1">IF(GUAYAQUIL[[#This Row],[CODIGO]]="","",IF(S630&lt;=0,"CADUCADO",IF(AND(S630&gt;0,S630&lt;=21),"FECHA CORTA",IF(AND(S630&gt;=22,S630&lt;=26),"PROXIMOS FECHA CORTA", "VIGENTE"))))</f>
        <v>PROXIMOS FECHA CORTA</v>
      </c>
      <c r="AD630" s="289">
        <f>+IF(GUAYAQUIL[[#This Row],[CODIGO]]="","",GUAYAQUIL[[#This Row],[Stock Actual Unds]]*GUAYAQUIL[[#This Row],[Gramaje]]*GUAYAQUIL[[#This Row],[Conversión]])/1000</f>
        <v>7.5000000000000002E-4</v>
      </c>
    </row>
    <row r="631" spans="1:30">
      <c r="A631" s="24" t="str">
        <f>+IFERROR(IF(GUAYAQUIL[[#This Row],[CODIGO]]="","",VLOOKUP(GUAYAQUIL[[#This Row],[CODIGO]],MAESTRO!$A:$J,10,FALSE)),"")</f>
        <v>SAN GABRIEL</v>
      </c>
      <c r="B631" s="24" t="str">
        <f>+IFERROR(IF(GUAYAQUIL[[#This Row],[CODIGO]]="","",VLOOKUP(GUAYAQUIL[[#This Row],[CODIGO]],MAESTRO!$A:$Q,17,FALSE)),"")</f>
        <v>QUESOS Y GRASAS</v>
      </c>
      <c r="C631" s="24" t="str">
        <f>+IFERROR(IF(GUAYAQUIL[[#This Row],[CODIGO]]="","",VLOOKUP(GUAYAQUIL[[#This Row],[CODIGO]],MAESTRO!$A:$BA,53,FALSE)),"")</f>
        <v xml:space="preserve">Esteban Montenegro                      </v>
      </c>
      <c r="D631" s="24" t="str">
        <f>+IFERROR(IF(GUAYAQUIL[[#This Row],[CODIGO]]="","",VLOOKUP(GUAYAQUIL[[#This Row],[CODIGO]],MAESTRO!$A:$D,4,FALSE)),"")</f>
        <v>QUESO MOZARELLA KIOSKO</v>
      </c>
      <c r="E631" s="24" t="str">
        <f>+IFERROR(IF(GUAYAQUIL[[#This Row],[CODIGO]]="","",VLOOKUP(GUAYAQUIL[[#This Row],[CODIGO]],MAESTRO!$A:$F,6,FALSE)),"")</f>
        <v>QUESO MOZARELLA PIZZA KIOSKO TAJADO</v>
      </c>
      <c r="F631" s="42" t="str">
        <f>IF(GUAYAQUIL[[#This Row],[CODIGO]]="","",$K$6)</f>
        <v>GUAYAQUIL</v>
      </c>
      <c r="G631" s="1">
        <f>IF(GUAYAQUIL[[#This Row],[CODIGO]]="","",7711)</f>
        <v>7711</v>
      </c>
      <c r="H631" s="1">
        <f>IF(GUAYAQUIL[[#This Row],[CODIGO]]="","",1001)</f>
        <v>1001</v>
      </c>
      <c r="I631" s="258" t="s">
        <v>3520</v>
      </c>
      <c r="J631" s="43" t="str">
        <f>IFERROR((VLOOKUP(GUAYAQUIL[[#This Row],[CODIGO]],MAESTRO!A:B,2,FALSE)),"")</f>
        <v>Q MOZZARELLA HIERBAS LONJAS 150G</v>
      </c>
      <c r="K631" s="35">
        <v>10</v>
      </c>
      <c r="L631" s="38">
        <f>+IFERROR(IF(GUAYAQUIL[[#This Row],[CODIGO]]="","",VLOOKUP(GUAYAQUIL[[#This Row],[CODIGO]],MAESTRO!$A:$BF,58,FALSE)),"")</f>
        <v>1</v>
      </c>
      <c r="M631" s="27">
        <f>+IFERROR(IF(GUAYAQUIL[[#This Row],[CODIGO]]="","",VLOOKUP(GUAYAQUIL[[#This Row],[CODIGO]],MAESTRO!A:N,14,FALSE)),"")</f>
        <v>0.15</v>
      </c>
      <c r="N631" s="291">
        <f>+IFERROR(IF(GUAYAQUIL[[#This Row],[CODIGO]]="","",VLOOKUP(GUAYAQUIL[[#This Row],[CODIGO]],MAESTRO!A:P,16,FALSE)),"")</f>
        <v>40</v>
      </c>
      <c r="O631" s="29">
        <v>45617</v>
      </c>
      <c r="P631" s="293" t="str">
        <f t="shared" si="45"/>
        <v>jueves</v>
      </c>
      <c r="Q631" s="29">
        <f>IFERROR(IF(GUAYAQUIL[[#This Row],[CODIGO]]="","",IF(GUAYAQUIL[[#This Row],[Fecha Cad]]="","",(GUAYAQUIL[[#This Row],[Fecha Cad]]-GUAYAQUIL[[#This Row],[VIDA UTIL (Días)]]))+1),"")</f>
        <v>45609</v>
      </c>
      <c r="R631" s="29">
        <v>45648</v>
      </c>
      <c r="S631" s="30">
        <f t="shared" ca="1" si="46"/>
        <v>24</v>
      </c>
      <c r="T631" s="32">
        <f t="shared" ca="1" si="47"/>
        <v>0.6</v>
      </c>
      <c r="U631" s="296">
        <v>10</v>
      </c>
      <c r="V631" s="266">
        <f>+IFERROR(IF(GUAYAQUIL[[#This Row],[CODIGO]]="","",GUAYAQUIL[[#This Row],[Stock Actual Unds]]*GUAYAQUIL[[#This Row],[Gramaje]]*GUAYAQUIL[[#This Row],[Conversión]]),"")</f>
        <v>1.5</v>
      </c>
      <c r="W631" s="300">
        <f t="shared" si="48"/>
        <v>8</v>
      </c>
      <c r="X631" s="32">
        <f t="shared" si="49"/>
        <v>0.8</v>
      </c>
      <c r="Y631" s="236">
        <f>IFERROR(VLOOKUP(GUAYAQUIL[[#This Row],[CODIGO]],MAESTRO!A:BI,21,FALSE),0)</f>
        <v>1.279185</v>
      </c>
      <c r="Z631" s="236">
        <f>+IFERROR(IF(GUAYAQUIL[[#This Row],[CODIGO]]="","",GUAYAQUIL[[#This Row],[COSTO UNIT base]]*GUAYAQUIL[[#This Row],[Conversión]]),"")</f>
        <v>1.279185</v>
      </c>
      <c r="AA631" s="236">
        <f>+IFERROR(IF(GUAYAQUIL[[#This Row],[CODIGO]]="","",GUAYAQUIL[[#This Row],[COSTO UNIT Conv]]*GUAYAQUIL[[#This Row],[Stock Actual Kgs]]),"")</f>
        <v>1.9187775</v>
      </c>
      <c r="AB631" s="33">
        <f ca="1">+IFERROR(IF(GUAYAQUIL[[#This Row],[CODIGO]]="","",$J$3-O631),"")</f>
        <v>7</v>
      </c>
      <c r="AC631" s="34" t="str">
        <f ca="1">IF(GUAYAQUIL[[#This Row],[CODIGO]]="","",IF(S631&lt;=0,"CADUCADO",IF(AND(S631&gt;0,S631&lt;=21),"FECHA CORTA",IF(AND(S631&gt;=22,S631&lt;=26),"PROXIMOS FECHA CORTA", "VIGENTE"))))</f>
        <v>PROXIMOS FECHA CORTA</v>
      </c>
      <c r="AD631" s="289">
        <f>+IF(GUAYAQUIL[[#This Row],[CODIGO]]="","",GUAYAQUIL[[#This Row],[Stock Actual Unds]]*GUAYAQUIL[[#This Row],[Gramaje]]*GUAYAQUIL[[#This Row],[Conversión]])/1000</f>
        <v>1.5E-3</v>
      </c>
    </row>
    <row r="632" spans="1:30">
      <c r="A632" s="24" t="str">
        <f>+IFERROR(IF(GUAYAQUIL[[#This Row],[CODIGO]]="","",VLOOKUP(GUAYAQUIL[[#This Row],[CODIGO]],MAESTRO!$A:$J,10,FALSE)),"")</f>
        <v>SAN GABRIEL</v>
      </c>
      <c r="B632" s="24" t="str">
        <f>+IFERROR(IF(GUAYAQUIL[[#This Row],[CODIGO]]="","",VLOOKUP(GUAYAQUIL[[#This Row],[CODIGO]],MAESTRO!$A:$Q,17,FALSE)),"")</f>
        <v>QUESOS Y GRASAS</v>
      </c>
      <c r="C632" s="24" t="str">
        <f>+IFERROR(IF(GUAYAQUIL[[#This Row],[CODIGO]]="","",VLOOKUP(GUAYAQUIL[[#This Row],[CODIGO]],MAESTRO!$A:$BA,53,FALSE)),"")</f>
        <v xml:space="preserve">Esteban Montenegro                      </v>
      </c>
      <c r="D632" s="24" t="str">
        <f>+IFERROR(IF(GUAYAQUIL[[#This Row],[CODIGO]]="","",VLOOKUP(GUAYAQUIL[[#This Row],[CODIGO]],MAESTRO!$A:$D,4,FALSE)),"")</f>
        <v>QUESO SEMIMADURO KIOSKO</v>
      </c>
      <c r="E632" s="24" t="str">
        <f>+IFERROR(IF(GUAYAQUIL[[#This Row],[CODIGO]]="","",VLOOKUP(GUAYAQUIL[[#This Row],[CODIGO]],MAESTRO!$A:$F,6,FALSE)),"")</f>
        <v>QUESO SEMIMADURO CHEDDAR KIOSKO TAJADO</v>
      </c>
      <c r="F632" s="42" t="str">
        <f>IF(GUAYAQUIL[[#This Row],[CODIGO]]="","",$K$6)</f>
        <v>GUAYAQUIL</v>
      </c>
      <c r="G632" s="1">
        <f>IF(GUAYAQUIL[[#This Row],[CODIGO]]="","",7711)</f>
        <v>7711</v>
      </c>
      <c r="H632" s="1">
        <f>IF(GUAYAQUIL[[#This Row],[CODIGO]]="","",1001)</f>
        <v>1001</v>
      </c>
      <c r="I632" s="258" t="s">
        <v>4274</v>
      </c>
      <c r="J632" s="43" t="str">
        <f>IFERROR((VLOOKUP(GUAYAQUIL[[#This Row],[CODIGO]],MAESTRO!A:B,2,FALSE)),"")</f>
        <v>KIOSKO CHEDDAR LONJAS LINEA DIARIA 75G</v>
      </c>
      <c r="K632" s="35">
        <v>120</v>
      </c>
      <c r="L632" s="38">
        <f>+IFERROR(IF(GUAYAQUIL[[#This Row],[CODIGO]]="","",VLOOKUP(GUAYAQUIL[[#This Row],[CODIGO]],MAESTRO!$A:$BF,58,FALSE)),"")</f>
        <v>1</v>
      </c>
      <c r="M632" s="27">
        <f>+IFERROR(IF(GUAYAQUIL[[#This Row],[CODIGO]]="","",VLOOKUP(GUAYAQUIL[[#This Row],[CODIGO]],MAESTRO!A:N,14,FALSE)),"")</f>
        <v>7.4999999999999997E-2</v>
      </c>
      <c r="N632" s="291">
        <f>+IFERROR(IF(GUAYAQUIL[[#This Row],[CODIGO]]="","",VLOOKUP(GUAYAQUIL[[#This Row],[CODIGO]],MAESTRO!A:P,16,FALSE)),"")</f>
        <v>90</v>
      </c>
      <c r="O632" s="29">
        <v>45609</v>
      </c>
      <c r="P632" s="293" t="str">
        <f t="shared" si="45"/>
        <v>miércoles</v>
      </c>
      <c r="Q632" s="29">
        <f>IFERROR(IF(GUAYAQUIL[[#This Row],[CODIGO]]="","",IF(GUAYAQUIL[[#This Row],[Fecha Cad]]="","",(GUAYAQUIL[[#This Row],[Fecha Cad]]-GUAYAQUIL[[#This Row],[VIDA UTIL (Días)]]))+1),"")</f>
        <v>45603</v>
      </c>
      <c r="R632" s="29">
        <v>45692</v>
      </c>
      <c r="S632" s="30">
        <f t="shared" ca="1" si="46"/>
        <v>68</v>
      </c>
      <c r="T632" s="32">
        <f t="shared" ca="1" si="47"/>
        <v>0.75555555555555554</v>
      </c>
      <c r="U632" s="296">
        <v>46</v>
      </c>
      <c r="V632" s="266">
        <f>+IFERROR(IF(GUAYAQUIL[[#This Row],[CODIGO]]="","",GUAYAQUIL[[#This Row],[Stock Actual Unds]]*GUAYAQUIL[[#This Row],[Gramaje]]*GUAYAQUIL[[#This Row],[Conversión]]),"")</f>
        <v>3.4499999999999997</v>
      </c>
      <c r="W632" s="300">
        <f t="shared" si="48"/>
        <v>6</v>
      </c>
      <c r="X632" s="32">
        <f t="shared" si="49"/>
        <v>0.93333333333333335</v>
      </c>
      <c r="Y632" s="236">
        <f>IFERROR(VLOOKUP(GUAYAQUIL[[#This Row],[CODIGO]],MAESTRO!A:BI,21,FALSE),0)</f>
        <v>0.64679999999999993</v>
      </c>
      <c r="Z632" s="236">
        <f>+IFERROR(IF(GUAYAQUIL[[#This Row],[CODIGO]]="","",GUAYAQUIL[[#This Row],[COSTO UNIT base]]*GUAYAQUIL[[#This Row],[Conversión]]),"")</f>
        <v>0.64679999999999993</v>
      </c>
      <c r="AA632" s="236">
        <f>+IFERROR(IF(GUAYAQUIL[[#This Row],[CODIGO]]="","",GUAYAQUIL[[#This Row],[COSTO UNIT Conv]]*GUAYAQUIL[[#This Row],[Stock Actual Kgs]]),"")</f>
        <v>2.2314599999999998</v>
      </c>
      <c r="AB632" s="33">
        <f ca="1">+IFERROR(IF(GUAYAQUIL[[#This Row],[CODIGO]]="","",$J$3-O632),"")</f>
        <v>15</v>
      </c>
      <c r="AC632" s="34" t="str">
        <f ca="1">IF(GUAYAQUIL[[#This Row],[CODIGO]]="","",IF(S632&lt;=0,"CADUCADO",IF(AND(S632&gt;0,S632&lt;=21),"FECHA CORTA",IF(AND(S632&gt;=22,S632&lt;=26),"PROXIMOS FECHA CORTA", "VIGENTE"))))</f>
        <v>VIGENTE</v>
      </c>
      <c r="AD632" s="289">
        <f>+IF(GUAYAQUIL[[#This Row],[CODIGO]]="","",GUAYAQUIL[[#This Row],[Stock Actual Unds]]*GUAYAQUIL[[#This Row],[Gramaje]]*GUAYAQUIL[[#This Row],[Conversión]])/1000</f>
        <v>3.4499999999999999E-3</v>
      </c>
    </row>
    <row r="633" spans="1:30">
      <c r="A633" s="24" t="str">
        <f>+IFERROR(IF(GUAYAQUIL[[#This Row],[CODIGO]]="","",VLOOKUP(GUAYAQUIL[[#This Row],[CODIGO]],MAESTRO!$A:$J,10,FALSE)),"")</f>
        <v>SAN GABRIEL</v>
      </c>
      <c r="B633" s="24" t="str">
        <f>+IFERROR(IF(GUAYAQUIL[[#This Row],[CODIGO]]="","",VLOOKUP(GUAYAQUIL[[#This Row],[CODIGO]],MAESTRO!$A:$Q,17,FALSE)),"")</f>
        <v>QUESOS Y GRASAS</v>
      </c>
      <c r="C633" s="24" t="str">
        <f>+IFERROR(IF(GUAYAQUIL[[#This Row],[CODIGO]]="","",VLOOKUP(GUAYAQUIL[[#This Row],[CODIGO]],MAESTRO!$A:$BA,53,FALSE)),"")</f>
        <v xml:space="preserve">Esteban Montenegro                      </v>
      </c>
      <c r="D633" s="24" t="str">
        <f>+IFERROR(IF(GUAYAQUIL[[#This Row],[CODIGO]]="","",VLOOKUP(GUAYAQUIL[[#This Row],[CODIGO]],MAESTRO!$A:$D,4,FALSE)),"")</f>
        <v>QUESO SEMIMADURO KIOSKO</v>
      </c>
      <c r="E633" s="24" t="str">
        <f>+IFERROR(IF(GUAYAQUIL[[#This Row],[CODIGO]]="","",VLOOKUP(GUAYAQUIL[[#This Row],[CODIGO]],MAESTRO!$A:$F,6,FALSE)),"")</f>
        <v>QUESO SEMIMADURO CHEDDAR KIOSKO TAJADO</v>
      </c>
      <c r="F633" s="42" t="str">
        <f>IF(GUAYAQUIL[[#This Row],[CODIGO]]="","",$K$6)</f>
        <v>GUAYAQUIL</v>
      </c>
      <c r="G633" s="1">
        <f>IF(GUAYAQUIL[[#This Row],[CODIGO]]="","",7711)</f>
        <v>7711</v>
      </c>
      <c r="H633" s="1">
        <f>IF(GUAYAQUIL[[#This Row],[CODIGO]]="","",1001)</f>
        <v>1001</v>
      </c>
      <c r="I633" s="258" t="s">
        <v>4274</v>
      </c>
      <c r="J633" s="43" t="str">
        <f>IFERROR((VLOOKUP(GUAYAQUIL[[#This Row],[CODIGO]],MAESTRO!A:B,2,FALSE)),"")</f>
        <v>KIOSKO CHEDDAR LONJAS LINEA DIARIA 75G</v>
      </c>
      <c r="K633" s="35">
        <v>100</v>
      </c>
      <c r="L633" s="38">
        <f>+IFERROR(IF(GUAYAQUIL[[#This Row],[CODIGO]]="","",VLOOKUP(GUAYAQUIL[[#This Row],[CODIGO]],MAESTRO!$A:$BF,58,FALSE)),"")</f>
        <v>1</v>
      </c>
      <c r="M633" s="27">
        <f>+IFERROR(IF(GUAYAQUIL[[#This Row],[CODIGO]]="","",VLOOKUP(GUAYAQUIL[[#This Row],[CODIGO]],MAESTRO!A:N,14,FALSE)),"")</f>
        <v>7.4999999999999997E-2</v>
      </c>
      <c r="N633" s="291">
        <f>+IFERROR(IF(GUAYAQUIL[[#This Row],[CODIGO]]="","",VLOOKUP(GUAYAQUIL[[#This Row],[CODIGO]],MAESTRO!A:P,16,FALSE)),"")</f>
        <v>90</v>
      </c>
      <c r="O633" s="29">
        <v>45615</v>
      </c>
      <c r="P633" s="293" t="str">
        <f t="shared" si="45"/>
        <v>martes</v>
      </c>
      <c r="Q633" s="29">
        <f>IFERROR(IF(GUAYAQUIL[[#This Row],[CODIGO]]="","",IF(GUAYAQUIL[[#This Row],[Fecha Cad]]="","",(GUAYAQUIL[[#This Row],[Fecha Cad]]-GUAYAQUIL[[#This Row],[VIDA UTIL (Días)]]))+1),"")</f>
        <v>45611</v>
      </c>
      <c r="R633" s="29">
        <v>45700</v>
      </c>
      <c r="S633" s="30">
        <f t="shared" ca="1" si="46"/>
        <v>76</v>
      </c>
      <c r="T633" s="32">
        <f t="shared" ca="1" si="47"/>
        <v>0.84444444444444444</v>
      </c>
      <c r="U633" s="296">
        <v>100</v>
      </c>
      <c r="V633" s="266">
        <f>+IFERROR(IF(GUAYAQUIL[[#This Row],[CODIGO]]="","",GUAYAQUIL[[#This Row],[Stock Actual Unds]]*GUAYAQUIL[[#This Row],[Gramaje]]*GUAYAQUIL[[#This Row],[Conversión]]),"")</f>
        <v>7.5</v>
      </c>
      <c r="W633" s="300">
        <f t="shared" si="48"/>
        <v>4</v>
      </c>
      <c r="X633" s="32">
        <f t="shared" si="49"/>
        <v>0.9555555555555556</v>
      </c>
      <c r="Y633" s="236">
        <f>IFERROR(VLOOKUP(GUAYAQUIL[[#This Row],[CODIGO]],MAESTRO!A:BI,21,FALSE),0)</f>
        <v>0.64679999999999993</v>
      </c>
      <c r="Z633" s="236">
        <f>+IFERROR(IF(GUAYAQUIL[[#This Row],[CODIGO]]="","",GUAYAQUIL[[#This Row],[COSTO UNIT base]]*GUAYAQUIL[[#This Row],[Conversión]]),"")</f>
        <v>0.64679999999999993</v>
      </c>
      <c r="AA633" s="236">
        <f>+IFERROR(IF(GUAYAQUIL[[#This Row],[CODIGO]]="","",GUAYAQUIL[[#This Row],[COSTO UNIT Conv]]*GUAYAQUIL[[#This Row],[Stock Actual Kgs]]),"")</f>
        <v>4.8509999999999991</v>
      </c>
      <c r="AB633" s="33">
        <f ca="1">+IFERROR(IF(GUAYAQUIL[[#This Row],[CODIGO]]="","",$J$3-O633),"")</f>
        <v>9</v>
      </c>
      <c r="AC633" s="34" t="str">
        <f ca="1">IF(GUAYAQUIL[[#This Row],[CODIGO]]="","",IF(S633&lt;=0,"CADUCADO",IF(AND(S633&gt;0,S633&lt;=21),"FECHA CORTA",IF(AND(S633&gt;=22,S633&lt;=26),"PROXIMOS FECHA CORTA", "VIGENTE"))))</f>
        <v>VIGENTE</v>
      </c>
      <c r="AD633" s="289">
        <f>+IF(GUAYAQUIL[[#This Row],[CODIGO]]="","",GUAYAQUIL[[#This Row],[Stock Actual Unds]]*GUAYAQUIL[[#This Row],[Gramaje]]*GUAYAQUIL[[#This Row],[Conversión]])/1000</f>
        <v>7.4999999999999997E-3</v>
      </c>
    </row>
    <row r="634" spans="1:30">
      <c r="A634" s="24" t="str">
        <f>+IFERROR(IF(GUAYAQUIL[[#This Row],[CODIGO]]="","",VLOOKUP(GUAYAQUIL[[#This Row],[CODIGO]],MAESTRO!$A:$J,10,FALSE)),"")</f>
        <v>SAN GABRIEL</v>
      </c>
      <c r="B634" s="24" t="str">
        <f>+IFERROR(IF(GUAYAQUIL[[#This Row],[CODIGO]]="","",VLOOKUP(GUAYAQUIL[[#This Row],[CODIGO]],MAESTRO!$A:$Q,17,FALSE)),"")</f>
        <v>QUESOS Y GRASAS</v>
      </c>
      <c r="C634" s="24" t="str">
        <f>+IFERROR(IF(GUAYAQUIL[[#This Row],[CODIGO]]="","",VLOOKUP(GUAYAQUIL[[#This Row],[CODIGO]],MAESTRO!$A:$BA,53,FALSE)),"")</f>
        <v xml:space="preserve">Esteban Montenegro                      </v>
      </c>
      <c r="D634" s="24" t="str">
        <f>+IFERROR(IF(GUAYAQUIL[[#This Row],[CODIGO]]="","",VLOOKUP(GUAYAQUIL[[#This Row],[CODIGO]],MAESTRO!$A:$D,4,FALSE)),"")</f>
        <v>QUESO SEMIMADURO KIOSKO</v>
      </c>
      <c r="E634" s="24" t="str">
        <f>+IFERROR(IF(GUAYAQUIL[[#This Row],[CODIGO]]="","",VLOOKUP(GUAYAQUIL[[#This Row],[CODIGO]],MAESTRO!$A:$F,6,FALSE)),"")</f>
        <v>QUESO HOLANDES KIOSKO TAJADO</v>
      </c>
      <c r="F634" s="42" t="str">
        <f>IF(GUAYAQUIL[[#This Row],[CODIGO]]="","",$K$6)</f>
        <v>GUAYAQUIL</v>
      </c>
      <c r="G634" s="1">
        <f>IF(GUAYAQUIL[[#This Row],[CODIGO]]="","",7711)</f>
        <v>7711</v>
      </c>
      <c r="H634" s="1">
        <f>IF(GUAYAQUIL[[#This Row],[CODIGO]]="","",1001)</f>
        <v>1001</v>
      </c>
      <c r="I634" s="258" t="s">
        <v>3574</v>
      </c>
      <c r="J634" s="43" t="str">
        <f>IFERROR((VLOOKUP(GUAYAQUIL[[#This Row],[CODIGO]],MAESTRO!A:B,2,FALSE)),"")</f>
        <v>QUESO KIOSKO HOLANDES LONJ 1KG AL PESO</v>
      </c>
      <c r="K634" s="35">
        <v>400</v>
      </c>
      <c r="L634" s="38">
        <f>+IFERROR(IF(GUAYAQUIL[[#This Row],[CODIGO]]="","",VLOOKUP(GUAYAQUIL[[#This Row],[CODIGO]],MAESTRO!$A:$BF,58,FALSE)),"")</f>
        <v>1</v>
      </c>
      <c r="M634" s="27">
        <f>+IFERROR(IF(GUAYAQUIL[[#This Row],[CODIGO]]="","",VLOOKUP(GUAYAQUIL[[#This Row],[CODIGO]],MAESTRO!A:N,14,FALSE)),"")</f>
        <v>1</v>
      </c>
      <c r="N634" s="291">
        <f>+IFERROR(IF(GUAYAQUIL[[#This Row],[CODIGO]]="","",VLOOKUP(GUAYAQUIL[[#This Row],[CODIGO]],MAESTRO!A:P,16,FALSE)),"")</f>
        <v>90</v>
      </c>
      <c r="O634" s="29">
        <v>45610</v>
      </c>
      <c r="P634" s="293" t="str">
        <f t="shared" si="45"/>
        <v>jueves</v>
      </c>
      <c r="Q634" s="29">
        <f>IFERROR(IF(GUAYAQUIL[[#This Row],[CODIGO]]="","",IF(GUAYAQUIL[[#This Row],[Fecha Cad]]="","",(GUAYAQUIL[[#This Row],[Fecha Cad]]-GUAYAQUIL[[#This Row],[VIDA UTIL (Días)]]))+1),"")</f>
        <v>45609</v>
      </c>
      <c r="R634" s="29">
        <v>45698</v>
      </c>
      <c r="S634" s="30">
        <f t="shared" ca="1" si="46"/>
        <v>74</v>
      </c>
      <c r="T634" s="32">
        <f t="shared" ca="1" si="47"/>
        <v>0.82222222222222219</v>
      </c>
      <c r="U634" s="296">
        <v>202</v>
      </c>
      <c r="V634" s="266">
        <f>+IFERROR(IF(GUAYAQUIL[[#This Row],[CODIGO]]="","",GUAYAQUIL[[#This Row],[Stock Actual Unds]]*GUAYAQUIL[[#This Row],[Gramaje]]*GUAYAQUIL[[#This Row],[Conversión]]),"")</f>
        <v>202</v>
      </c>
      <c r="W634" s="300">
        <f t="shared" si="48"/>
        <v>1</v>
      </c>
      <c r="X634" s="32">
        <f t="shared" si="49"/>
        <v>0.98888888888888893</v>
      </c>
      <c r="Y634" s="236">
        <f>IFERROR(VLOOKUP(GUAYAQUIL[[#This Row],[CODIGO]],MAESTRO!A:BI,21,FALSE),0)</f>
        <v>7.1624999999999996</v>
      </c>
      <c r="Z634" s="236">
        <f>+IFERROR(IF(GUAYAQUIL[[#This Row],[CODIGO]]="","",GUAYAQUIL[[#This Row],[COSTO UNIT base]]*GUAYAQUIL[[#This Row],[Conversión]]),"")</f>
        <v>7.1624999999999996</v>
      </c>
      <c r="AA634" s="236">
        <f>+IFERROR(IF(GUAYAQUIL[[#This Row],[CODIGO]]="","",GUAYAQUIL[[#This Row],[COSTO UNIT Conv]]*GUAYAQUIL[[#This Row],[Stock Actual Kgs]]),"")</f>
        <v>1446.8249999999998</v>
      </c>
      <c r="AB634" s="33">
        <f ca="1">+IFERROR(IF(GUAYAQUIL[[#This Row],[CODIGO]]="","",$J$3-O634),"")</f>
        <v>14</v>
      </c>
      <c r="AC634" s="34" t="str">
        <f ca="1">IF(GUAYAQUIL[[#This Row],[CODIGO]]="","",IF(S634&lt;=0,"CADUCADO",IF(AND(S634&gt;0,S634&lt;=21),"FECHA CORTA",IF(AND(S634&gt;=22,S634&lt;=26),"PROXIMOS FECHA CORTA", "VIGENTE"))))</f>
        <v>VIGENTE</v>
      </c>
      <c r="AD634" s="289">
        <f>+IF(GUAYAQUIL[[#This Row],[CODIGO]]="","",GUAYAQUIL[[#This Row],[Stock Actual Unds]]*GUAYAQUIL[[#This Row],[Gramaje]]*GUAYAQUIL[[#This Row],[Conversión]])/1000</f>
        <v>0.20200000000000001</v>
      </c>
    </row>
    <row r="635" spans="1:30">
      <c r="A635" s="24" t="str">
        <f>+IFERROR(IF(GUAYAQUIL[[#This Row],[CODIGO]]="","",VLOOKUP(GUAYAQUIL[[#This Row],[CODIGO]],MAESTRO!$A:$J,10,FALSE)),"")</f>
        <v>SAN GABRIEL</v>
      </c>
      <c r="B635" s="24" t="str">
        <f>+IFERROR(IF(GUAYAQUIL[[#This Row],[CODIGO]]="","",VLOOKUP(GUAYAQUIL[[#This Row],[CODIGO]],MAESTRO!$A:$Q,17,FALSE)),"")</f>
        <v>QUESOS Y GRASAS</v>
      </c>
      <c r="C635" s="24" t="str">
        <f>+IFERROR(IF(GUAYAQUIL[[#This Row],[CODIGO]]="","",VLOOKUP(GUAYAQUIL[[#This Row],[CODIGO]],MAESTRO!$A:$BA,53,FALSE)),"")</f>
        <v xml:space="preserve">Esteban Montenegro                      </v>
      </c>
      <c r="D635" s="24" t="str">
        <f>+IFERROR(IF(GUAYAQUIL[[#This Row],[CODIGO]]="","",VLOOKUP(GUAYAQUIL[[#This Row],[CODIGO]],MAESTRO!$A:$D,4,FALSE)),"")</f>
        <v>QUESO MOZARELLA KIOSKO</v>
      </c>
      <c r="E635" s="24" t="str">
        <f>+IFERROR(IF(GUAYAQUIL[[#This Row],[CODIGO]]="","",VLOOKUP(GUAYAQUIL[[#This Row],[CODIGO]],MAESTRO!$A:$F,6,FALSE)),"")</f>
        <v>QUESO MOZARELLA KIOSKO BLOQUE</v>
      </c>
      <c r="F635" s="42" t="str">
        <f>IF(GUAYAQUIL[[#This Row],[CODIGO]]="","",$K$6)</f>
        <v>GUAYAQUIL</v>
      </c>
      <c r="G635" s="1">
        <f>IF(GUAYAQUIL[[#This Row],[CODIGO]]="","",7711)</f>
        <v>7711</v>
      </c>
      <c r="H635" s="1">
        <f>IF(GUAYAQUIL[[#This Row],[CODIGO]]="","",1001)</f>
        <v>1001</v>
      </c>
      <c r="I635" s="257" t="s">
        <v>3218</v>
      </c>
      <c r="J635" s="43" t="str">
        <f>IFERROR((VLOOKUP(GUAYAQUIL[[#This Row],[CODIGO]],MAESTRO!A:B,2,FALSE)),"")</f>
        <v>Q MOZAR HIERBAS KIOSKO BLOQ 500G</v>
      </c>
      <c r="K635" s="26">
        <v>90</v>
      </c>
      <c r="L635" s="38">
        <f>+IFERROR(IF(GUAYAQUIL[[#This Row],[CODIGO]]="","",VLOOKUP(GUAYAQUIL[[#This Row],[CODIGO]],MAESTRO!$A:$BF,58,FALSE)),"")</f>
        <v>1</v>
      </c>
      <c r="M635" s="27">
        <f>+IFERROR(IF(GUAYAQUIL[[#This Row],[CODIGO]]="","",VLOOKUP(GUAYAQUIL[[#This Row],[CODIGO]],MAESTRO!A:N,14,FALSE)),"")</f>
        <v>0.5</v>
      </c>
      <c r="N635" s="291">
        <f>+IFERROR(IF(GUAYAQUIL[[#This Row],[CODIGO]]="","",VLOOKUP(GUAYAQUIL[[#This Row],[CODIGO]],MAESTRO!A:P,16,FALSE)),"")</f>
        <v>40</v>
      </c>
      <c r="O635" s="29">
        <v>45615</v>
      </c>
      <c r="P635" s="293" t="str">
        <f t="shared" si="45"/>
        <v>martes</v>
      </c>
      <c r="Q635" s="29">
        <f>IFERROR(IF(GUAYAQUIL[[#This Row],[CODIGO]]="","",IF(GUAYAQUIL[[#This Row],[Fecha Cad]]="","",(GUAYAQUIL[[#This Row],[Fecha Cad]]-GUAYAQUIL[[#This Row],[VIDA UTIL (Días)]]))+1),"")</f>
        <v>45611</v>
      </c>
      <c r="R635" s="29">
        <v>45650</v>
      </c>
      <c r="S635" s="30">
        <f t="shared" ca="1" si="46"/>
        <v>26</v>
      </c>
      <c r="T635" s="32">
        <f t="shared" ca="1" si="47"/>
        <v>0.65</v>
      </c>
      <c r="U635" s="296">
        <v>13</v>
      </c>
      <c r="V635" s="267">
        <f>+IFERROR(IF(GUAYAQUIL[[#This Row],[CODIGO]]="","",GUAYAQUIL[[#This Row],[Stock Actual Unds]]*GUAYAQUIL[[#This Row],[Gramaje]]*GUAYAQUIL[[#This Row],[Conversión]]),"")</f>
        <v>6.5</v>
      </c>
      <c r="W635" s="300">
        <f t="shared" si="48"/>
        <v>4</v>
      </c>
      <c r="X635" s="32">
        <f t="shared" si="49"/>
        <v>0.9</v>
      </c>
      <c r="Y635" s="236">
        <f>IFERROR(VLOOKUP(GUAYAQUIL[[#This Row],[CODIGO]],MAESTRO!A:BI,21,FALSE),0)</f>
        <v>2.4256149999999996</v>
      </c>
      <c r="Z635" s="236">
        <f>+IFERROR(IF(GUAYAQUIL[[#This Row],[CODIGO]]="","",GUAYAQUIL[[#This Row],[COSTO UNIT base]]*GUAYAQUIL[[#This Row],[Conversión]]),"")</f>
        <v>2.4256149999999996</v>
      </c>
      <c r="AA635" s="236">
        <f>+IFERROR(IF(GUAYAQUIL[[#This Row],[CODIGO]]="","",GUAYAQUIL[[#This Row],[COSTO UNIT Conv]]*GUAYAQUIL[[#This Row],[Stock Actual Kgs]]),"")</f>
        <v>15.766497499999998</v>
      </c>
      <c r="AB635" s="33">
        <f ca="1">+IFERROR(IF(GUAYAQUIL[[#This Row],[CODIGO]]="","",$J$3-O635),"")</f>
        <v>9</v>
      </c>
      <c r="AC635" s="34" t="str">
        <f ca="1">IF(GUAYAQUIL[[#This Row],[CODIGO]]="","",IF(S635&lt;=0,"CADUCADO",IF(AND(S635&gt;0,S635&lt;=21),"FECHA CORTA",IF(AND(S635&gt;=22,S635&lt;=26),"PROXIMOS FECHA CORTA", "VIGENTE"))))</f>
        <v>PROXIMOS FECHA CORTA</v>
      </c>
      <c r="AD635" s="289">
        <f>+IF(GUAYAQUIL[[#This Row],[CODIGO]]="","",GUAYAQUIL[[#This Row],[Stock Actual Unds]]*GUAYAQUIL[[#This Row],[Gramaje]]*GUAYAQUIL[[#This Row],[Conversión]])/1000</f>
        <v>6.4999999999999997E-3</v>
      </c>
    </row>
    <row r="636" spans="1:30">
      <c r="A636" s="24" t="str">
        <f>+IFERROR(IF(GUAYAQUIL[[#This Row],[CODIGO]]="","",VLOOKUP(GUAYAQUIL[[#This Row],[CODIGO]],MAESTRO!$A:$J,10,FALSE)),"")</f>
        <v>SAN GABRIEL</v>
      </c>
      <c r="B636" s="24" t="str">
        <f>+IFERROR(IF(GUAYAQUIL[[#This Row],[CODIGO]]="","",VLOOKUP(GUAYAQUIL[[#This Row],[CODIGO]],MAESTRO!$A:$Q,17,FALSE)),"")</f>
        <v>QUESOS Y GRASAS</v>
      </c>
      <c r="C636" s="24" t="str">
        <f>+IFERROR(IF(GUAYAQUIL[[#This Row],[CODIGO]]="","",VLOOKUP(GUAYAQUIL[[#This Row],[CODIGO]],MAESTRO!$A:$BA,53,FALSE)),"")</f>
        <v xml:space="preserve">Esteban Montenegro                      </v>
      </c>
      <c r="D636" s="24" t="str">
        <f>+IFERROR(IF(GUAYAQUIL[[#This Row],[CODIGO]]="","",VLOOKUP(GUAYAQUIL[[#This Row],[CODIGO]],MAESTRO!$A:$D,4,FALSE)),"")</f>
        <v>QUESO MOZARELLA KIOSKO</v>
      </c>
      <c r="E636" s="24" t="str">
        <f>+IFERROR(IF(GUAYAQUIL[[#This Row],[CODIGO]]="","",VLOOKUP(GUAYAQUIL[[#This Row],[CODIGO]],MAESTRO!$A:$F,6,FALSE)),"")</f>
        <v>QUESO MOZARELLA KIOSKO BLOQUE</v>
      </c>
      <c r="F636" s="42" t="str">
        <f>IF(GUAYAQUIL[[#This Row],[CODIGO]]="","",$K$6)</f>
        <v>GUAYAQUIL</v>
      </c>
      <c r="G636" s="1">
        <f>IF(GUAYAQUIL[[#This Row],[CODIGO]]="","",7711)</f>
        <v>7711</v>
      </c>
      <c r="H636" s="1">
        <f>IF(GUAYAQUIL[[#This Row],[CODIGO]]="","",1001)</f>
        <v>1001</v>
      </c>
      <c r="I636" s="258" t="s">
        <v>3218</v>
      </c>
      <c r="J636" s="43" t="str">
        <f>IFERROR((VLOOKUP(GUAYAQUIL[[#This Row],[CODIGO]],MAESTRO!A:B,2,FALSE)),"")</f>
        <v>Q MOZAR HIERBAS KIOSKO BLOQ 500G</v>
      </c>
      <c r="K636" s="35">
        <v>30</v>
      </c>
      <c r="L636" s="38">
        <f>+IFERROR(IF(GUAYAQUIL[[#This Row],[CODIGO]]="","",VLOOKUP(GUAYAQUIL[[#This Row],[CODIGO]],MAESTRO!$A:$BF,58,FALSE)),"")</f>
        <v>1</v>
      </c>
      <c r="M636" s="27">
        <f>+IFERROR(IF(GUAYAQUIL[[#This Row],[CODIGO]]="","",VLOOKUP(GUAYAQUIL[[#This Row],[CODIGO]],MAESTRO!A:N,14,FALSE)),"")</f>
        <v>0.5</v>
      </c>
      <c r="N636" s="291">
        <f>+IFERROR(IF(GUAYAQUIL[[#This Row],[CODIGO]]="","",VLOOKUP(GUAYAQUIL[[#This Row],[CODIGO]],MAESTRO!A:P,16,FALSE)),"")</f>
        <v>40</v>
      </c>
      <c r="O636" s="29">
        <v>45617</v>
      </c>
      <c r="P636" s="293" t="str">
        <f t="shared" si="45"/>
        <v>jueves</v>
      </c>
      <c r="Q636" s="29">
        <f>IFERROR(IF(GUAYAQUIL[[#This Row],[CODIGO]]="","",IF(GUAYAQUIL[[#This Row],[Fecha Cad]]="","",(GUAYAQUIL[[#This Row],[Fecha Cad]]-GUAYAQUIL[[#This Row],[VIDA UTIL (Días)]]))+1),"")</f>
        <v>45611</v>
      </c>
      <c r="R636" s="29">
        <v>45650</v>
      </c>
      <c r="S636" s="30">
        <f t="shared" ca="1" si="46"/>
        <v>26</v>
      </c>
      <c r="T636" s="32">
        <f t="shared" ca="1" si="47"/>
        <v>0.65</v>
      </c>
      <c r="U636" s="296">
        <v>30</v>
      </c>
      <c r="V636" s="266">
        <f>+IFERROR(IF(GUAYAQUIL[[#This Row],[CODIGO]]="","",GUAYAQUIL[[#This Row],[Stock Actual Unds]]*GUAYAQUIL[[#This Row],[Gramaje]]*GUAYAQUIL[[#This Row],[Conversión]]),"")</f>
        <v>15</v>
      </c>
      <c r="W636" s="300">
        <f t="shared" si="48"/>
        <v>6</v>
      </c>
      <c r="X636" s="32">
        <f t="shared" si="49"/>
        <v>0.85</v>
      </c>
      <c r="Y636" s="236">
        <f>IFERROR(VLOOKUP(GUAYAQUIL[[#This Row],[CODIGO]],MAESTRO!A:BI,21,FALSE),0)</f>
        <v>2.4256149999999996</v>
      </c>
      <c r="Z636" s="236">
        <f>+IFERROR(IF(GUAYAQUIL[[#This Row],[CODIGO]]="","",GUAYAQUIL[[#This Row],[COSTO UNIT base]]*GUAYAQUIL[[#This Row],[Conversión]]),"")</f>
        <v>2.4256149999999996</v>
      </c>
      <c r="AA636" s="236">
        <f>+IFERROR(IF(GUAYAQUIL[[#This Row],[CODIGO]]="","",GUAYAQUIL[[#This Row],[COSTO UNIT Conv]]*GUAYAQUIL[[#This Row],[Stock Actual Kgs]]),"")</f>
        <v>36.384224999999994</v>
      </c>
      <c r="AB636" s="33">
        <f ca="1">+IFERROR(IF(GUAYAQUIL[[#This Row],[CODIGO]]="","",$J$3-O636),"")</f>
        <v>7</v>
      </c>
      <c r="AC636" s="34" t="str">
        <f ca="1">IF(GUAYAQUIL[[#This Row],[CODIGO]]="","",IF(S636&lt;=0,"CADUCADO",IF(AND(S636&gt;0,S636&lt;=21),"FECHA CORTA",IF(AND(S636&gt;=22,S636&lt;=26),"PROXIMOS FECHA CORTA", "VIGENTE"))))</f>
        <v>PROXIMOS FECHA CORTA</v>
      </c>
      <c r="AD636" s="289">
        <f>+IF(GUAYAQUIL[[#This Row],[CODIGO]]="","",GUAYAQUIL[[#This Row],[Stock Actual Unds]]*GUAYAQUIL[[#This Row],[Gramaje]]*GUAYAQUIL[[#This Row],[Conversión]])/1000</f>
        <v>1.4999999999999999E-2</v>
      </c>
    </row>
    <row r="637" spans="1:30">
      <c r="A637" s="24" t="str">
        <f>+IFERROR(IF(GUAYAQUIL[[#This Row],[CODIGO]]="","",VLOOKUP(GUAYAQUIL[[#This Row],[CODIGO]],MAESTRO!$A:$J,10,FALSE)),"")</f>
        <v>MACHACHI</v>
      </c>
      <c r="B637" s="24" t="str">
        <f>+IFERROR(IF(GUAYAQUIL[[#This Row],[CODIGO]]="","",VLOOKUP(GUAYAQUIL[[#This Row],[CODIGO]],MAESTRO!$A:$Q,17,FALSE)),"")</f>
        <v>BEBIDAS LACTEAS</v>
      </c>
      <c r="C637" s="24" t="str">
        <f>+IFERROR(IF(GUAYAQUIL[[#This Row],[CODIGO]]="","",VLOOKUP(GUAYAQUIL[[#This Row],[CODIGO]],MAESTRO!$A:$BA,53,FALSE)),"")</f>
        <v xml:space="preserve">Luis Armendariz                         </v>
      </c>
      <c r="D637" s="24" t="str">
        <f>+IFERROR(IF(GUAYAQUIL[[#This Row],[CODIGO]]="","",VLOOKUP(GUAYAQUIL[[#This Row],[CODIGO]],MAESTRO!$A:$D,4,FALSE)),"")</f>
        <v>REGENERIS</v>
      </c>
      <c r="E637" s="24" t="str">
        <f>+IFERROR(IF(GUAYAQUIL[[#This Row],[CODIGO]]="","",VLOOKUP(GUAYAQUIL[[#This Row],[CODIGO]],MAESTRO!$A:$F,6,FALSE)),"")</f>
        <v>REGENERIS REGULAR BOTELLA FAMILIAR</v>
      </c>
      <c r="F637" s="42" t="str">
        <f>IF(GUAYAQUIL[[#This Row],[CODIGO]]="","",$K$6)</f>
        <v>GUAYAQUIL</v>
      </c>
      <c r="G637" s="1">
        <f>IF(GUAYAQUIL[[#This Row],[CODIGO]]="","",7711)</f>
        <v>7711</v>
      </c>
      <c r="H637" s="1">
        <f>IF(GUAYAQUIL[[#This Row],[CODIGO]]="","",1001)</f>
        <v>1001</v>
      </c>
      <c r="I637" s="258" t="s">
        <v>4381</v>
      </c>
      <c r="J637" s="43" t="str">
        <f>IFERROR((VLOOKUP(GUAYAQUIL[[#This Row],[CODIGO]],MAESTRO!A:B,2,FALSE)),"")</f>
        <v>RGN TZOS FTLLA BOT 1750G</v>
      </c>
      <c r="K637" s="35">
        <v>144</v>
      </c>
      <c r="L637" s="38">
        <f>+IFERROR(IF(GUAYAQUIL[[#This Row],[CODIGO]]="","",VLOOKUP(GUAYAQUIL[[#This Row],[CODIGO]],MAESTRO!$A:$BF,58,FALSE)),"")</f>
        <v>1</v>
      </c>
      <c r="M637" s="27">
        <f>+IFERROR(IF(GUAYAQUIL[[#This Row],[CODIGO]]="","",VLOOKUP(GUAYAQUIL[[#This Row],[CODIGO]],MAESTRO!A:N,14,FALSE)),"")</f>
        <v>1.75</v>
      </c>
      <c r="N637" s="291">
        <f>+IFERROR(IF(GUAYAQUIL[[#This Row],[CODIGO]]="","",VLOOKUP(GUAYAQUIL[[#This Row],[CODIGO]],MAESTRO!A:P,16,FALSE)),"")</f>
        <v>45</v>
      </c>
      <c r="O637" s="45">
        <v>45612</v>
      </c>
      <c r="P637" s="293" t="str">
        <f t="shared" si="45"/>
        <v>sábado</v>
      </c>
      <c r="Q637" s="29">
        <f>IFERROR(IF(GUAYAQUIL[[#This Row],[CODIGO]]="","",IF(GUAYAQUIL[[#This Row],[Fecha Cad]]="","",(GUAYAQUIL[[#This Row],[Fecha Cad]]-GUAYAQUIL[[#This Row],[VIDA UTIL (Días)]]))+1),"")</f>
        <v>45609</v>
      </c>
      <c r="R637" s="45">
        <v>45653</v>
      </c>
      <c r="S637" s="30">
        <f t="shared" ca="1" si="46"/>
        <v>29</v>
      </c>
      <c r="T637" s="32">
        <f t="shared" ca="1" si="47"/>
        <v>0.64444444444444449</v>
      </c>
      <c r="U637" s="296">
        <v>14</v>
      </c>
      <c r="V637" s="265">
        <f>+IFERROR(IF(GUAYAQUIL[[#This Row],[CODIGO]]="","",GUAYAQUIL[[#This Row],[Stock Actual Unds]]*GUAYAQUIL[[#This Row],[Gramaje]]*GUAYAQUIL[[#This Row],[Conversión]]),"")</f>
        <v>24.5</v>
      </c>
      <c r="W637" s="300">
        <f t="shared" si="48"/>
        <v>3</v>
      </c>
      <c r="X637" s="32">
        <f t="shared" si="49"/>
        <v>0.93333333333333335</v>
      </c>
      <c r="Y637" s="236">
        <f>IFERROR(VLOOKUP(GUAYAQUIL[[#This Row],[CODIGO]],MAESTRO!A:BI,21,FALSE),0)</f>
        <v>2.4097600000000003</v>
      </c>
      <c r="Z637" s="236">
        <f>+IFERROR(IF(GUAYAQUIL[[#This Row],[CODIGO]]="","",GUAYAQUIL[[#This Row],[COSTO UNIT base]]*GUAYAQUIL[[#This Row],[Conversión]]),"")</f>
        <v>2.4097600000000003</v>
      </c>
      <c r="AA637" s="236">
        <f>+IFERROR(IF(GUAYAQUIL[[#This Row],[CODIGO]]="","",GUAYAQUIL[[#This Row],[COSTO UNIT Conv]]*GUAYAQUIL[[#This Row],[Stock Actual Kgs]]),"")</f>
        <v>59.039120000000011</v>
      </c>
      <c r="AB637" s="33">
        <f ca="1">+IFERROR(IF(GUAYAQUIL[[#This Row],[CODIGO]]="","",$J$3-O637),"")</f>
        <v>12</v>
      </c>
      <c r="AC637" s="34" t="str">
        <f ca="1">IF(GUAYAQUIL[[#This Row],[CODIGO]]="","",IF(S637&lt;=0,"CADUCADO",IF(AND(S637&gt;0,S637&lt;=21),"FECHA CORTA",IF(AND(S637&gt;=22,S637&lt;=26),"PROXIMOS FECHA CORTA", "VIGENTE"))))</f>
        <v>VIGENTE</v>
      </c>
      <c r="AD637" s="289">
        <f>+IF(GUAYAQUIL[[#This Row],[CODIGO]]="","",GUAYAQUIL[[#This Row],[Stock Actual Unds]]*GUAYAQUIL[[#This Row],[Gramaje]]*GUAYAQUIL[[#This Row],[Conversión]])/1000</f>
        <v>2.4500000000000001E-2</v>
      </c>
    </row>
    <row r="638" spans="1:30">
      <c r="A638" s="24" t="str">
        <f>+IFERROR(IF(GUAYAQUIL[[#This Row],[CODIGO]]="","",VLOOKUP(GUAYAQUIL[[#This Row],[CODIGO]],MAESTRO!$A:$J,10,FALSE)),"")</f>
        <v>MACHACHI</v>
      </c>
      <c r="B638" s="24" t="str">
        <f>+IFERROR(IF(GUAYAQUIL[[#This Row],[CODIGO]]="","",VLOOKUP(GUAYAQUIL[[#This Row],[CODIGO]],MAESTRO!$A:$Q,17,FALSE)),"")</f>
        <v>BEBIDAS LACTEAS</v>
      </c>
      <c r="C638" s="24" t="str">
        <f>+IFERROR(IF(GUAYAQUIL[[#This Row],[CODIGO]]="","",VLOOKUP(GUAYAQUIL[[#This Row],[CODIGO]],MAESTRO!$A:$BA,53,FALSE)),"")</f>
        <v xml:space="preserve">Luis Armendariz                         </v>
      </c>
      <c r="D638" s="24" t="str">
        <f>+IFERROR(IF(GUAYAQUIL[[#This Row],[CODIGO]]="","",VLOOKUP(GUAYAQUIL[[#This Row],[CODIGO]],MAESTRO!$A:$D,4,FALSE)),"")</f>
        <v>REGENERIS</v>
      </c>
      <c r="E638" s="24" t="str">
        <f>+IFERROR(IF(GUAYAQUIL[[#This Row],[CODIGO]]="","",VLOOKUP(GUAYAQUIL[[#This Row],[CODIGO]],MAESTRO!$A:$F,6,FALSE)),"")</f>
        <v>REGENERIS REGULAR BOTELLA FAMILIAR</v>
      </c>
      <c r="F638" s="42" t="str">
        <f>IF(GUAYAQUIL[[#This Row],[CODIGO]]="","",$K$6)</f>
        <v>GUAYAQUIL</v>
      </c>
      <c r="G638" s="1">
        <f>IF(GUAYAQUIL[[#This Row],[CODIGO]]="","",7711)</f>
        <v>7711</v>
      </c>
      <c r="H638" s="1">
        <f>IF(GUAYAQUIL[[#This Row],[CODIGO]]="","",1001)</f>
        <v>1001</v>
      </c>
      <c r="I638" s="258" t="s">
        <v>4381</v>
      </c>
      <c r="J638" s="43" t="str">
        <f>IFERROR((VLOOKUP(GUAYAQUIL[[#This Row],[CODIGO]],MAESTRO!A:B,2,FALSE)),"")</f>
        <v>RGN TZOS FTLLA BOT 1750G</v>
      </c>
      <c r="K638" s="35">
        <v>120</v>
      </c>
      <c r="L638" s="38">
        <f>+IFERROR(IF(GUAYAQUIL[[#This Row],[CODIGO]]="","",VLOOKUP(GUAYAQUIL[[#This Row],[CODIGO]],MAESTRO!$A:$BF,58,FALSE)),"")</f>
        <v>1</v>
      </c>
      <c r="M638" s="27">
        <f>+IFERROR(IF(GUAYAQUIL[[#This Row],[CODIGO]]="","",VLOOKUP(GUAYAQUIL[[#This Row],[CODIGO]],MAESTRO!A:N,14,FALSE)),"")</f>
        <v>1.75</v>
      </c>
      <c r="N638" s="291">
        <f>+IFERROR(IF(GUAYAQUIL[[#This Row],[CODIGO]]="","",VLOOKUP(GUAYAQUIL[[#This Row],[CODIGO]],MAESTRO!A:P,16,FALSE)),"")</f>
        <v>45</v>
      </c>
      <c r="O638" s="45">
        <v>45616</v>
      </c>
      <c r="P638" s="293" t="str">
        <f t="shared" si="45"/>
        <v>miércoles</v>
      </c>
      <c r="Q638" s="29">
        <f>IFERROR(IF(GUAYAQUIL[[#This Row],[CODIGO]]="","",IF(GUAYAQUIL[[#This Row],[Fecha Cad]]="","",(GUAYAQUIL[[#This Row],[Fecha Cad]]-GUAYAQUIL[[#This Row],[VIDA UTIL (Días)]]))+1),"")</f>
        <v>45615</v>
      </c>
      <c r="R638" s="45">
        <v>45659</v>
      </c>
      <c r="S638" s="30">
        <f t="shared" ca="1" si="46"/>
        <v>35</v>
      </c>
      <c r="T638" s="32">
        <f t="shared" ca="1" si="47"/>
        <v>0.77777777777777779</v>
      </c>
      <c r="U638" s="296">
        <v>120</v>
      </c>
      <c r="V638" s="265">
        <f>+IFERROR(IF(GUAYAQUIL[[#This Row],[CODIGO]]="","",GUAYAQUIL[[#This Row],[Stock Actual Unds]]*GUAYAQUIL[[#This Row],[Gramaje]]*GUAYAQUIL[[#This Row],[Conversión]]),"")</f>
        <v>210</v>
      </c>
      <c r="W638" s="300">
        <f t="shared" si="48"/>
        <v>1</v>
      </c>
      <c r="X638" s="32">
        <f t="shared" si="49"/>
        <v>0.97777777777777775</v>
      </c>
      <c r="Y638" s="236">
        <f>IFERROR(VLOOKUP(GUAYAQUIL[[#This Row],[CODIGO]],MAESTRO!A:BI,21,FALSE),0)</f>
        <v>2.4097600000000003</v>
      </c>
      <c r="Z638" s="236">
        <f>+IFERROR(IF(GUAYAQUIL[[#This Row],[CODIGO]]="","",GUAYAQUIL[[#This Row],[COSTO UNIT base]]*GUAYAQUIL[[#This Row],[Conversión]]),"")</f>
        <v>2.4097600000000003</v>
      </c>
      <c r="AA638" s="236">
        <f>+IFERROR(IF(GUAYAQUIL[[#This Row],[CODIGO]]="","",GUAYAQUIL[[#This Row],[COSTO UNIT Conv]]*GUAYAQUIL[[#This Row],[Stock Actual Kgs]]),"")</f>
        <v>506.04960000000005</v>
      </c>
      <c r="AB638" s="33">
        <f ca="1">+IFERROR(IF(GUAYAQUIL[[#This Row],[CODIGO]]="","",$J$3-O638),"")</f>
        <v>8</v>
      </c>
      <c r="AC638" s="34" t="str">
        <f ca="1">IF(GUAYAQUIL[[#This Row],[CODIGO]]="","",IF(S638&lt;=0,"CADUCADO",IF(AND(S638&gt;0,S638&lt;=21),"FECHA CORTA",IF(AND(S638&gt;=22,S638&lt;=26),"PROXIMOS FECHA CORTA", "VIGENTE"))))</f>
        <v>VIGENTE</v>
      </c>
      <c r="AD638" s="289">
        <f>+IF(GUAYAQUIL[[#This Row],[CODIGO]]="","",GUAYAQUIL[[#This Row],[Stock Actual Unds]]*GUAYAQUIL[[#This Row],[Gramaje]]*GUAYAQUIL[[#This Row],[Conversión]])/1000</f>
        <v>0.21</v>
      </c>
    </row>
    <row r="639" spans="1:30">
      <c r="A639" s="24" t="str">
        <f>+IFERROR(IF(GUAYAQUIL[[#This Row],[CODIGO]]="","",VLOOKUP(GUAYAQUIL[[#This Row],[CODIGO]],MAESTRO!$A:$J,10,FALSE)),"")</f>
        <v>COLOMBIA</v>
      </c>
      <c r="B639" s="24" t="str">
        <f>+IFERROR(IF(GUAYAQUIL[[#This Row],[CODIGO]]="","",VLOOKUP(GUAYAQUIL[[#This Row],[CODIGO]],MAESTRO!$A:$Q,17,FALSE)),"")</f>
        <v>POSTRES</v>
      </c>
      <c r="C639" s="24" t="str">
        <f>+IFERROR(IF(GUAYAQUIL[[#This Row],[CODIGO]]="","",VLOOKUP(GUAYAQUIL[[#This Row],[CODIGO]],MAESTRO!$A:$BA,53,FALSE)),"")</f>
        <v xml:space="preserve">Luis Armendariz                         </v>
      </c>
      <c r="D639" s="24" t="str">
        <f>+IFERROR(IF(GUAYAQUIL[[#This Row],[CODIGO]]="","",VLOOKUP(GUAYAQUIL[[#This Row],[CODIGO]],MAESTRO!$A:$D,4,FALSE)),"")</f>
        <v>ALPINETTE</v>
      </c>
      <c r="E639" s="24" t="str">
        <f>+IFERROR(IF(GUAYAQUIL[[#This Row],[CODIGO]]="","",VLOOKUP(GUAYAQUIL[[#This Row],[CODIGO]],MAESTRO!$A:$F,6,FALSE)),"")</f>
        <v>ALPINETTE</v>
      </c>
      <c r="F639" s="42" t="str">
        <f>IF(GUAYAQUIL[[#This Row],[CODIGO]]="","",$K$6)</f>
        <v>GUAYAQUIL</v>
      </c>
      <c r="G639" s="1">
        <f>IF(GUAYAQUIL[[#This Row],[CODIGO]]="","",7711)</f>
        <v>7711</v>
      </c>
      <c r="H639" s="1">
        <f>IF(GUAYAQUIL[[#This Row],[CODIGO]]="","",1001)</f>
        <v>1001</v>
      </c>
      <c r="I639" s="258" t="s">
        <v>3977</v>
      </c>
      <c r="J639" s="43" t="str">
        <f>IFERROR((VLOOKUP(GUAYAQUIL[[#This Row],[CODIGO]],MAESTRO!A:B,2,FALSE)),"")</f>
        <v>ALPINETTE MORA 140G ECU</v>
      </c>
      <c r="K639" s="35">
        <v>660</v>
      </c>
      <c r="L639" s="38">
        <f>+IFERROR(IF(GUAYAQUIL[[#This Row],[CODIGO]]="","",VLOOKUP(GUAYAQUIL[[#This Row],[CODIGO]],MAESTRO!$A:$BF,58,FALSE)),"")</f>
        <v>1</v>
      </c>
      <c r="M639" s="27">
        <f>+IFERROR(IF(GUAYAQUIL[[#This Row],[CODIGO]]="","",VLOOKUP(GUAYAQUIL[[#This Row],[CODIGO]],MAESTRO!A:N,14,FALSE)),"")</f>
        <v>0.14000000000000001</v>
      </c>
      <c r="N639" s="291">
        <f>+IFERROR(IF(GUAYAQUIL[[#This Row],[CODIGO]]="","",VLOOKUP(GUAYAQUIL[[#This Row],[CODIGO]],MAESTRO!A:P,16,FALSE)),"")</f>
        <v>60</v>
      </c>
      <c r="O639" s="45">
        <v>45608</v>
      </c>
      <c r="P639" s="293" t="str">
        <f t="shared" si="45"/>
        <v>martes</v>
      </c>
      <c r="Q639" s="29">
        <f>IFERROR(IF(GUAYAQUIL[[#This Row],[CODIGO]]="","",IF(GUAYAQUIL[[#This Row],[Fecha Cad]]="","",(GUAYAQUIL[[#This Row],[Fecha Cad]]-GUAYAQUIL[[#This Row],[VIDA UTIL (Días)]]))+1),"")</f>
        <v>45591</v>
      </c>
      <c r="R639" s="45">
        <v>45650</v>
      </c>
      <c r="S639" s="30">
        <f t="shared" ca="1" si="46"/>
        <v>26</v>
      </c>
      <c r="T639" s="32">
        <f t="shared" ca="1" si="47"/>
        <v>0.43333333333333335</v>
      </c>
      <c r="U639" s="296">
        <v>2</v>
      </c>
      <c r="V639" s="265">
        <f>+IFERROR(IF(GUAYAQUIL[[#This Row],[CODIGO]]="","",GUAYAQUIL[[#This Row],[Stock Actual Unds]]*GUAYAQUIL[[#This Row],[Gramaje]]*GUAYAQUIL[[#This Row],[Conversión]]),"")</f>
        <v>0.28000000000000003</v>
      </c>
      <c r="W639" s="300">
        <f t="shared" si="48"/>
        <v>17</v>
      </c>
      <c r="X639" s="32">
        <f t="shared" si="49"/>
        <v>0.71666666666666667</v>
      </c>
      <c r="Y639" s="236">
        <f>IFERROR(VLOOKUP(GUAYAQUIL[[#This Row],[CODIGO]],MAESTRO!A:BI,21,FALSE),0)</f>
        <v>0.47797999999999996</v>
      </c>
      <c r="Z639" s="236">
        <f>+IFERROR(IF(GUAYAQUIL[[#This Row],[CODIGO]]="","",GUAYAQUIL[[#This Row],[COSTO UNIT base]]*GUAYAQUIL[[#This Row],[Conversión]]),"")</f>
        <v>0.47797999999999996</v>
      </c>
      <c r="AA639" s="236">
        <f>+IFERROR(IF(GUAYAQUIL[[#This Row],[CODIGO]]="","",GUAYAQUIL[[#This Row],[COSTO UNIT Conv]]*GUAYAQUIL[[#This Row],[Stock Actual Kgs]]),"")</f>
        <v>0.13383439999999999</v>
      </c>
      <c r="AB639" s="33">
        <f ca="1">+IFERROR(IF(GUAYAQUIL[[#This Row],[CODIGO]]="","",$J$3-O639),"")</f>
        <v>16</v>
      </c>
      <c r="AC639" s="34" t="str">
        <f ca="1">IF(GUAYAQUIL[[#This Row],[CODIGO]]="","",IF(S639&lt;=0,"CADUCADO",IF(AND(S639&gt;0,S639&lt;=21),"FECHA CORTA",IF(AND(S639&gt;=22,S639&lt;=26),"PROXIMOS FECHA CORTA", "VIGENTE"))))</f>
        <v>PROXIMOS FECHA CORTA</v>
      </c>
      <c r="AD639" s="289">
        <f>+IF(GUAYAQUIL[[#This Row],[CODIGO]]="","",GUAYAQUIL[[#This Row],[Stock Actual Unds]]*GUAYAQUIL[[#This Row],[Gramaje]]*GUAYAQUIL[[#This Row],[Conversión]])/1000</f>
        <v>2.8000000000000003E-4</v>
      </c>
    </row>
    <row r="640" spans="1:30">
      <c r="A640" s="24" t="str">
        <f>+IFERROR(IF(GUAYAQUIL[[#This Row],[CODIGO]]="","",VLOOKUP(GUAYAQUIL[[#This Row],[CODIGO]],MAESTRO!$A:$J,10,FALSE)),"")</f>
        <v>MACHACHI</v>
      </c>
      <c r="B640" s="24" t="str">
        <f>+IFERROR(IF(GUAYAQUIL[[#This Row],[CODIGO]]="","",VLOOKUP(GUAYAQUIL[[#This Row],[CODIGO]],MAESTRO!$A:$Q,17,FALSE)),"")</f>
        <v>BEBIDAS LACTEAS</v>
      </c>
      <c r="C640" s="24" t="str">
        <f>+IFERROR(IF(GUAYAQUIL[[#This Row],[CODIGO]]="","",VLOOKUP(GUAYAQUIL[[#This Row],[CODIGO]],MAESTRO!$A:$BA,53,FALSE)),"")</f>
        <v xml:space="preserve">Luis Armendariz                         </v>
      </c>
      <c r="D640" s="24" t="str">
        <f>+IFERROR(IF(GUAYAQUIL[[#This Row],[CODIGO]]="","",VLOOKUP(GUAYAQUIL[[#This Row],[CODIGO]],MAESTRO!$A:$D,4,FALSE)),"")</f>
        <v>YOGURT KIOSKO</v>
      </c>
      <c r="E640" s="24" t="str">
        <f>+IFERROR(IF(GUAYAQUIL[[#This Row],[CODIGO]]="","",VLOOKUP(GUAYAQUIL[[#This Row],[CODIGO]],MAESTRO!$A:$F,6,FALSE)),"")</f>
        <v>BEBIDA DE YOGURT KIOSKO FUNDA FAMILI</v>
      </c>
      <c r="F640" s="42" t="str">
        <f>IF(GUAYAQUIL[[#This Row],[CODIGO]]="","",$K$6)</f>
        <v>GUAYAQUIL</v>
      </c>
      <c r="G640" s="1">
        <f>IF(GUAYAQUIL[[#This Row],[CODIGO]]="","",7711)</f>
        <v>7711</v>
      </c>
      <c r="H640" s="1">
        <f>IF(GUAYAQUIL[[#This Row],[CODIGO]]="","",1001)</f>
        <v>1001</v>
      </c>
      <c r="I640" s="258" t="s">
        <v>1695</v>
      </c>
      <c r="J640" s="43" t="str">
        <f>IFERROR((VLOOKUP(GUAYAQUIL[[#This Row],[CODIGO]],MAESTRO!A:B,2,FALSE)),"")</f>
        <v>YOG BBLE KIOSKO FTLLA FUN 900G</v>
      </c>
      <c r="K640" s="35">
        <v>900</v>
      </c>
      <c r="L640" s="38">
        <f>+IFERROR(IF(GUAYAQUIL[[#This Row],[CODIGO]]="","",VLOOKUP(GUAYAQUIL[[#This Row],[CODIGO]],MAESTRO!$A:$BF,58,FALSE)),"")</f>
        <v>1</v>
      </c>
      <c r="M640" s="27">
        <f>+IFERROR(IF(GUAYAQUIL[[#This Row],[CODIGO]]="","",VLOOKUP(GUAYAQUIL[[#This Row],[CODIGO]],MAESTRO!A:N,14,FALSE)),"")</f>
        <v>0.9</v>
      </c>
      <c r="N640" s="291">
        <f>+IFERROR(IF(GUAYAQUIL[[#This Row],[CODIGO]]="","",VLOOKUP(GUAYAQUIL[[#This Row],[CODIGO]],MAESTRO!A:P,16,FALSE)),"")</f>
        <v>45</v>
      </c>
      <c r="O640" s="45">
        <v>45602</v>
      </c>
      <c r="P640" s="293" t="str">
        <f t="shared" si="45"/>
        <v>miércoles</v>
      </c>
      <c r="Q640" s="29">
        <f>IFERROR(IF(GUAYAQUIL[[#This Row],[CODIGO]]="","",IF(GUAYAQUIL[[#This Row],[Fecha Cad]]="","",(GUAYAQUIL[[#This Row],[Fecha Cad]]-GUAYAQUIL[[#This Row],[VIDA UTIL (Días)]]))+1),"")</f>
        <v>45594</v>
      </c>
      <c r="R640" s="45">
        <v>45638</v>
      </c>
      <c r="S640" s="30">
        <f t="shared" ca="1" si="46"/>
        <v>14</v>
      </c>
      <c r="T640" s="32">
        <f t="shared" ca="1" si="47"/>
        <v>0.31111111111111112</v>
      </c>
      <c r="U640" s="296">
        <v>7</v>
      </c>
      <c r="V640" s="265">
        <f>+IFERROR(IF(GUAYAQUIL[[#This Row],[CODIGO]]="","",GUAYAQUIL[[#This Row],[Stock Actual Unds]]*GUAYAQUIL[[#This Row],[Gramaje]]*GUAYAQUIL[[#This Row],[Conversión]]),"")</f>
        <v>6.3</v>
      </c>
      <c r="W640" s="300">
        <f t="shared" si="48"/>
        <v>8</v>
      </c>
      <c r="X640" s="32">
        <f t="shared" si="49"/>
        <v>0.82222222222222219</v>
      </c>
      <c r="Y640" s="236">
        <f>IFERROR(VLOOKUP(GUAYAQUIL[[#This Row],[CODIGO]],MAESTRO!A:BI,21,FALSE),0)</f>
        <v>0.62998500000000002</v>
      </c>
      <c r="Z640" s="236">
        <f>+IFERROR(IF(GUAYAQUIL[[#This Row],[CODIGO]]="","",GUAYAQUIL[[#This Row],[COSTO UNIT base]]*GUAYAQUIL[[#This Row],[Conversión]]),"")</f>
        <v>0.62998500000000002</v>
      </c>
      <c r="AA640" s="236">
        <f>+IFERROR(IF(GUAYAQUIL[[#This Row],[CODIGO]]="","",GUAYAQUIL[[#This Row],[COSTO UNIT Conv]]*GUAYAQUIL[[#This Row],[Stock Actual Kgs]]),"")</f>
        <v>3.9689055</v>
      </c>
      <c r="AB640" s="33">
        <f ca="1">+IFERROR(IF(GUAYAQUIL[[#This Row],[CODIGO]]="","",$J$3-O640),"")</f>
        <v>22</v>
      </c>
      <c r="AC640" s="34" t="str">
        <f ca="1">IF(GUAYAQUIL[[#This Row],[CODIGO]]="","",IF(S640&lt;=0,"CADUCADO",IF(AND(S640&gt;0,S640&lt;=21),"FECHA CORTA",IF(AND(S640&gt;=22,S640&lt;=26),"PROXIMOS FECHA CORTA", "VIGENTE"))))</f>
        <v>FECHA CORTA</v>
      </c>
      <c r="AD640" s="289">
        <f>+IF(GUAYAQUIL[[#This Row],[CODIGO]]="","",GUAYAQUIL[[#This Row],[Stock Actual Unds]]*GUAYAQUIL[[#This Row],[Gramaje]]*GUAYAQUIL[[#This Row],[Conversión]])/1000</f>
        <v>6.3E-3</v>
      </c>
    </row>
    <row r="641" spans="1:30">
      <c r="A641" s="24" t="str">
        <f>+IFERROR(IF(GUAYAQUIL[[#This Row],[CODIGO]]="","",VLOOKUP(GUAYAQUIL[[#This Row],[CODIGO]],MAESTRO!$A:$J,10,FALSE)),"")</f>
        <v>MACHACHI</v>
      </c>
      <c r="B641" s="24" t="str">
        <f>+IFERROR(IF(GUAYAQUIL[[#This Row],[CODIGO]]="","",VLOOKUP(GUAYAQUIL[[#This Row],[CODIGO]],MAESTRO!$A:$Q,17,FALSE)),"")</f>
        <v>BEBIDAS LACTEAS</v>
      </c>
      <c r="C641" s="24" t="str">
        <f>+IFERROR(IF(GUAYAQUIL[[#This Row],[CODIGO]]="","",VLOOKUP(GUAYAQUIL[[#This Row],[CODIGO]],MAESTRO!$A:$BA,53,FALSE)),"")</f>
        <v xml:space="preserve">Luis Armendariz                         </v>
      </c>
      <c r="D641" s="24" t="str">
        <f>+IFERROR(IF(GUAYAQUIL[[#This Row],[CODIGO]]="","",VLOOKUP(GUAYAQUIL[[#This Row],[CODIGO]],MAESTRO!$A:$D,4,FALSE)),"")</f>
        <v>YOGURT KIOSKO</v>
      </c>
      <c r="E641" s="24" t="str">
        <f>+IFERROR(IF(GUAYAQUIL[[#This Row],[CODIGO]]="","",VLOOKUP(GUAYAQUIL[[#This Row],[CODIGO]],MAESTRO!$A:$F,6,FALSE)),"")</f>
        <v>BEBIDA DE YOGURT KIOSKO FUNDA FAMILI</v>
      </c>
      <c r="F641" s="42" t="str">
        <f>IF(GUAYAQUIL[[#This Row],[CODIGO]]="","",$K$6)</f>
        <v>GUAYAQUIL</v>
      </c>
      <c r="G641" s="1">
        <f>IF(GUAYAQUIL[[#This Row],[CODIGO]]="","",7711)</f>
        <v>7711</v>
      </c>
      <c r="H641" s="1">
        <f>IF(GUAYAQUIL[[#This Row],[CODIGO]]="","",1001)</f>
        <v>1001</v>
      </c>
      <c r="I641" s="258" t="s">
        <v>1695</v>
      </c>
      <c r="J641" s="43" t="str">
        <f>IFERROR((VLOOKUP(GUAYAQUIL[[#This Row],[CODIGO]],MAESTRO!A:B,2,FALSE)),"")</f>
        <v>YOG BBLE KIOSKO FTLLA FUN 900G</v>
      </c>
      <c r="K641" s="35">
        <v>675</v>
      </c>
      <c r="L641" s="38">
        <f>+IFERROR(IF(GUAYAQUIL[[#This Row],[CODIGO]]="","",VLOOKUP(GUAYAQUIL[[#This Row],[CODIGO]],MAESTRO!$A:$BF,58,FALSE)),"")</f>
        <v>1</v>
      </c>
      <c r="M641" s="27">
        <f>+IFERROR(IF(GUAYAQUIL[[#This Row],[CODIGO]]="","",VLOOKUP(GUAYAQUIL[[#This Row],[CODIGO]],MAESTRO!A:N,14,FALSE)),"")</f>
        <v>0.9</v>
      </c>
      <c r="N641" s="291">
        <f>+IFERROR(IF(GUAYAQUIL[[#This Row],[CODIGO]]="","",VLOOKUP(GUAYAQUIL[[#This Row],[CODIGO]],MAESTRO!A:P,16,FALSE)),"")</f>
        <v>45</v>
      </c>
      <c r="O641" s="45">
        <v>45609</v>
      </c>
      <c r="P641" s="293" t="str">
        <f t="shared" si="45"/>
        <v>miércoles</v>
      </c>
      <c r="Q641" s="29">
        <f>IFERROR(IF(GUAYAQUIL[[#This Row],[CODIGO]]="","",IF(GUAYAQUIL[[#This Row],[Fecha Cad]]="","",(GUAYAQUIL[[#This Row],[Fecha Cad]]-GUAYAQUIL[[#This Row],[VIDA UTIL (Días)]]))+1),"")</f>
        <v>45602</v>
      </c>
      <c r="R641" s="45">
        <v>45646</v>
      </c>
      <c r="S641" s="30">
        <f t="shared" ca="1" si="46"/>
        <v>22</v>
      </c>
      <c r="T641" s="32">
        <f t="shared" ca="1" si="47"/>
        <v>0.48888888888888887</v>
      </c>
      <c r="U641" s="296">
        <v>167</v>
      </c>
      <c r="V641" s="265">
        <f>+IFERROR(IF(GUAYAQUIL[[#This Row],[CODIGO]]="","",GUAYAQUIL[[#This Row],[Stock Actual Unds]]*GUAYAQUIL[[#This Row],[Gramaje]]*GUAYAQUIL[[#This Row],[Conversión]]),"")</f>
        <v>150.30000000000001</v>
      </c>
      <c r="W641" s="300">
        <f t="shared" si="48"/>
        <v>7</v>
      </c>
      <c r="X641" s="32">
        <f t="shared" si="49"/>
        <v>0.84444444444444444</v>
      </c>
      <c r="Y641" s="236">
        <f>IFERROR(VLOOKUP(GUAYAQUIL[[#This Row],[CODIGO]],MAESTRO!A:BI,21,FALSE),0)</f>
        <v>0.62998500000000002</v>
      </c>
      <c r="Z641" s="236">
        <f>+IFERROR(IF(GUAYAQUIL[[#This Row],[CODIGO]]="","",GUAYAQUIL[[#This Row],[COSTO UNIT base]]*GUAYAQUIL[[#This Row],[Conversión]]),"")</f>
        <v>0.62998500000000002</v>
      </c>
      <c r="AA641" s="236">
        <f>+IFERROR(IF(GUAYAQUIL[[#This Row],[CODIGO]]="","",GUAYAQUIL[[#This Row],[COSTO UNIT Conv]]*GUAYAQUIL[[#This Row],[Stock Actual Kgs]]),"")</f>
        <v>94.686745500000015</v>
      </c>
      <c r="AB641" s="33">
        <f ca="1">+IFERROR(IF(GUAYAQUIL[[#This Row],[CODIGO]]="","",$J$3-O641),"")</f>
        <v>15</v>
      </c>
      <c r="AC641" s="34" t="str">
        <f ca="1">IF(GUAYAQUIL[[#This Row],[CODIGO]]="","",IF(S641&lt;=0,"CADUCADO",IF(AND(S641&gt;0,S641&lt;=21),"FECHA CORTA",IF(AND(S641&gt;=22,S641&lt;=26),"PROXIMOS FECHA CORTA", "VIGENTE"))))</f>
        <v>PROXIMOS FECHA CORTA</v>
      </c>
      <c r="AD641" s="289">
        <f>+IF(GUAYAQUIL[[#This Row],[CODIGO]]="","",GUAYAQUIL[[#This Row],[Stock Actual Unds]]*GUAYAQUIL[[#This Row],[Gramaje]]*GUAYAQUIL[[#This Row],[Conversión]])/1000</f>
        <v>0.15030000000000002</v>
      </c>
    </row>
    <row r="642" spans="1:30">
      <c r="A642" s="24" t="str">
        <f>+IFERROR(IF(GUAYAQUIL[[#This Row],[CODIGO]]="","",VLOOKUP(GUAYAQUIL[[#This Row],[CODIGO]],MAESTRO!$A:$J,10,FALSE)),"")</f>
        <v>MACHACHI</v>
      </c>
      <c r="B642" s="24" t="str">
        <f>+IFERROR(IF(GUAYAQUIL[[#This Row],[CODIGO]]="","",VLOOKUP(GUAYAQUIL[[#This Row],[CODIGO]],MAESTRO!$A:$Q,17,FALSE)),"")</f>
        <v>BEBIDAS LACTEAS</v>
      </c>
      <c r="C642" s="24" t="str">
        <f>+IFERROR(IF(GUAYAQUIL[[#This Row],[CODIGO]]="","",VLOOKUP(GUAYAQUIL[[#This Row],[CODIGO]],MAESTRO!$A:$BA,53,FALSE)),"")</f>
        <v xml:space="preserve">Luis Armendariz                         </v>
      </c>
      <c r="D642" s="24" t="str">
        <f>+IFERROR(IF(GUAYAQUIL[[#This Row],[CODIGO]]="","",VLOOKUP(GUAYAQUIL[[#This Row],[CODIGO]],MAESTRO!$A:$D,4,FALSE)),"")</f>
        <v>YOGURT KIOSKO</v>
      </c>
      <c r="E642" s="24" t="str">
        <f>+IFERROR(IF(GUAYAQUIL[[#This Row],[CODIGO]]="","",VLOOKUP(GUAYAQUIL[[#This Row],[CODIGO]],MAESTRO!$A:$F,6,FALSE)),"")</f>
        <v>BEBIDA DE YOGURT KIOSKO FUNDA FAMILI</v>
      </c>
      <c r="F642" s="42" t="str">
        <f>IF(GUAYAQUIL[[#This Row],[CODIGO]]="","",$K$6)</f>
        <v>GUAYAQUIL</v>
      </c>
      <c r="G642" s="1">
        <f>IF(GUAYAQUIL[[#This Row],[CODIGO]]="","",7711)</f>
        <v>7711</v>
      </c>
      <c r="H642" s="1">
        <f>IF(GUAYAQUIL[[#This Row],[CODIGO]]="","",1001)</f>
        <v>1001</v>
      </c>
      <c r="I642" s="258" t="s">
        <v>1695</v>
      </c>
      <c r="J642" s="43" t="str">
        <f>IFERROR((VLOOKUP(GUAYAQUIL[[#This Row],[CODIGO]],MAESTRO!A:B,2,FALSE)),"")</f>
        <v>YOG BBLE KIOSKO FTLLA FUN 900G</v>
      </c>
      <c r="K642" s="35">
        <v>675</v>
      </c>
      <c r="L642" s="38">
        <f>+IFERROR(IF(GUAYAQUIL[[#This Row],[CODIGO]]="","",VLOOKUP(GUAYAQUIL[[#This Row],[CODIGO]],MAESTRO!$A:$BF,58,FALSE)),"")</f>
        <v>1</v>
      </c>
      <c r="M642" s="27">
        <f>+IFERROR(IF(GUAYAQUIL[[#This Row],[CODIGO]]="","",VLOOKUP(GUAYAQUIL[[#This Row],[CODIGO]],MAESTRO!A:N,14,FALSE)),"")</f>
        <v>0.9</v>
      </c>
      <c r="N642" s="291">
        <f>+IFERROR(IF(GUAYAQUIL[[#This Row],[CODIGO]]="","",VLOOKUP(GUAYAQUIL[[#This Row],[CODIGO]],MAESTRO!A:P,16,FALSE)),"")</f>
        <v>45</v>
      </c>
      <c r="O642" s="45">
        <v>45609</v>
      </c>
      <c r="P642" s="293" t="str">
        <f t="shared" si="45"/>
        <v>miércoles</v>
      </c>
      <c r="Q642" s="29">
        <f>IFERROR(IF(GUAYAQUIL[[#This Row],[CODIGO]]="","",IF(GUAYAQUIL[[#This Row],[Fecha Cad]]="","",(GUAYAQUIL[[#This Row],[Fecha Cad]]-GUAYAQUIL[[#This Row],[VIDA UTIL (Días)]]))+1),"")</f>
        <v>45603</v>
      </c>
      <c r="R642" s="45">
        <v>45647</v>
      </c>
      <c r="S642" s="30">
        <f t="shared" ca="1" si="46"/>
        <v>23</v>
      </c>
      <c r="T642" s="32">
        <f t="shared" ca="1" si="47"/>
        <v>0.51111111111111107</v>
      </c>
      <c r="U642" s="296">
        <v>243</v>
      </c>
      <c r="V642" s="265">
        <f>+IFERROR(IF(GUAYAQUIL[[#This Row],[CODIGO]]="","",GUAYAQUIL[[#This Row],[Stock Actual Unds]]*GUAYAQUIL[[#This Row],[Gramaje]]*GUAYAQUIL[[#This Row],[Conversión]]),"")</f>
        <v>218.70000000000002</v>
      </c>
      <c r="W642" s="300">
        <f t="shared" si="48"/>
        <v>6</v>
      </c>
      <c r="X642" s="32">
        <f t="shared" si="49"/>
        <v>0.8666666666666667</v>
      </c>
      <c r="Y642" s="236">
        <f>IFERROR(VLOOKUP(GUAYAQUIL[[#This Row],[CODIGO]],MAESTRO!A:BI,21,FALSE),0)</f>
        <v>0.62998500000000002</v>
      </c>
      <c r="Z642" s="236">
        <f>+IFERROR(IF(GUAYAQUIL[[#This Row],[CODIGO]]="","",GUAYAQUIL[[#This Row],[COSTO UNIT base]]*GUAYAQUIL[[#This Row],[Conversión]]),"")</f>
        <v>0.62998500000000002</v>
      </c>
      <c r="AA642" s="236">
        <f>+IFERROR(IF(GUAYAQUIL[[#This Row],[CODIGO]]="","",GUAYAQUIL[[#This Row],[COSTO UNIT Conv]]*GUAYAQUIL[[#This Row],[Stock Actual Kgs]]),"")</f>
        <v>137.77771950000002</v>
      </c>
      <c r="AB642" s="33">
        <f ca="1">+IFERROR(IF(GUAYAQUIL[[#This Row],[CODIGO]]="","",$J$3-O642),"")</f>
        <v>15</v>
      </c>
      <c r="AC642" s="34" t="str">
        <f ca="1">IF(GUAYAQUIL[[#This Row],[CODIGO]]="","",IF(S642&lt;=0,"CADUCADO",IF(AND(S642&gt;0,S642&lt;=21),"FECHA CORTA",IF(AND(S642&gt;=22,S642&lt;=26),"PROXIMOS FECHA CORTA", "VIGENTE"))))</f>
        <v>PROXIMOS FECHA CORTA</v>
      </c>
      <c r="AD642" s="289">
        <f>+IF(GUAYAQUIL[[#This Row],[CODIGO]]="","",GUAYAQUIL[[#This Row],[Stock Actual Unds]]*GUAYAQUIL[[#This Row],[Gramaje]]*GUAYAQUIL[[#This Row],[Conversión]])/1000</f>
        <v>0.21870000000000001</v>
      </c>
    </row>
    <row r="643" spans="1:30">
      <c r="A643" s="24" t="str">
        <f>+IFERROR(IF(GUAYAQUIL[[#This Row],[CODIGO]]="","",VLOOKUP(GUAYAQUIL[[#This Row],[CODIGO]],MAESTRO!$A:$J,10,FALSE)),"")</f>
        <v>MACHACHI</v>
      </c>
      <c r="B643" s="24" t="str">
        <f>+IFERROR(IF(GUAYAQUIL[[#This Row],[CODIGO]]="","",VLOOKUP(GUAYAQUIL[[#This Row],[CODIGO]],MAESTRO!$A:$Q,17,FALSE)),"")</f>
        <v>BEBIDAS LACTEAS</v>
      </c>
      <c r="C643" s="24" t="str">
        <f>+IFERROR(IF(GUAYAQUIL[[#This Row],[CODIGO]]="","",VLOOKUP(GUAYAQUIL[[#This Row],[CODIGO]],MAESTRO!$A:$BA,53,FALSE)),"")</f>
        <v xml:space="preserve">Luis Armendariz                         </v>
      </c>
      <c r="D643" s="24" t="str">
        <f>+IFERROR(IF(GUAYAQUIL[[#This Row],[CODIGO]]="","",VLOOKUP(GUAYAQUIL[[#This Row],[CODIGO]],MAESTRO!$A:$D,4,FALSE)),"")</f>
        <v>YOGURT KIOSKO</v>
      </c>
      <c r="E643" s="24" t="str">
        <f>+IFERROR(IF(GUAYAQUIL[[#This Row],[CODIGO]]="","",VLOOKUP(GUAYAQUIL[[#This Row],[CODIGO]],MAESTRO!$A:$F,6,FALSE)),"")</f>
        <v>BEBIDA DE YOGURT KIOSKO FUNDA FAMILI</v>
      </c>
      <c r="F643" s="42" t="str">
        <f>IF(GUAYAQUIL[[#This Row],[CODIGO]]="","",$K$6)</f>
        <v>GUAYAQUIL</v>
      </c>
      <c r="G643" s="1">
        <f>IF(GUAYAQUIL[[#This Row],[CODIGO]]="","",7711)</f>
        <v>7711</v>
      </c>
      <c r="H643" s="1">
        <f>IF(GUAYAQUIL[[#This Row],[CODIGO]]="","",1001)</f>
        <v>1001</v>
      </c>
      <c r="I643" s="258" t="s">
        <v>1695</v>
      </c>
      <c r="J643" s="43" t="str">
        <f>IFERROR((VLOOKUP(GUAYAQUIL[[#This Row],[CODIGO]],MAESTRO!A:B,2,FALSE)),"")</f>
        <v>YOG BBLE KIOSKO FTLLA FUN 900G</v>
      </c>
      <c r="K643" s="35">
        <v>900</v>
      </c>
      <c r="L643" s="38">
        <f>+IFERROR(IF(GUAYAQUIL[[#This Row],[CODIGO]]="","",VLOOKUP(GUAYAQUIL[[#This Row],[CODIGO]],MAESTRO!$A:$BF,58,FALSE)),"")</f>
        <v>1</v>
      </c>
      <c r="M643" s="27">
        <f>+IFERROR(IF(GUAYAQUIL[[#This Row],[CODIGO]]="","",VLOOKUP(GUAYAQUIL[[#This Row],[CODIGO]],MAESTRO!A:N,14,FALSE)),"")</f>
        <v>0.9</v>
      </c>
      <c r="N643" s="291">
        <f>+IFERROR(IF(GUAYAQUIL[[#This Row],[CODIGO]]="","",VLOOKUP(GUAYAQUIL[[#This Row],[CODIGO]],MAESTRO!A:P,16,FALSE)),"")</f>
        <v>45</v>
      </c>
      <c r="O643" s="45">
        <v>45612</v>
      </c>
      <c r="P643" s="293" t="str">
        <f t="shared" si="45"/>
        <v>sábado</v>
      </c>
      <c r="Q643" s="29">
        <f>IFERROR(IF(GUAYAQUIL[[#This Row],[CODIGO]]="","",IF(GUAYAQUIL[[#This Row],[Fecha Cad]]="","",(GUAYAQUIL[[#This Row],[Fecha Cad]]-GUAYAQUIL[[#This Row],[VIDA UTIL (Días)]]))+1),"")</f>
        <v>45604</v>
      </c>
      <c r="R643" s="45">
        <v>45648</v>
      </c>
      <c r="S643" s="30">
        <f t="shared" ca="1" si="46"/>
        <v>24</v>
      </c>
      <c r="T643" s="32">
        <f t="shared" ca="1" si="47"/>
        <v>0.53333333333333333</v>
      </c>
      <c r="U643" s="296">
        <v>900</v>
      </c>
      <c r="V643" s="265">
        <f>+IFERROR(IF(GUAYAQUIL[[#This Row],[CODIGO]]="","",GUAYAQUIL[[#This Row],[Stock Actual Unds]]*GUAYAQUIL[[#This Row],[Gramaje]]*GUAYAQUIL[[#This Row],[Conversión]]),"")</f>
        <v>810</v>
      </c>
      <c r="W643" s="300">
        <f t="shared" si="48"/>
        <v>8</v>
      </c>
      <c r="X643" s="32">
        <f t="shared" si="49"/>
        <v>0.82222222222222219</v>
      </c>
      <c r="Y643" s="236">
        <f>IFERROR(VLOOKUP(GUAYAQUIL[[#This Row],[CODIGO]],MAESTRO!A:BI,21,FALSE),0)</f>
        <v>0.62998500000000002</v>
      </c>
      <c r="Z643" s="236">
        <f>+IFERROR(IF(GUAYAQUIL[[#This Row],[CODIGO]]="","",GUAYAQUIL[[#This Row],[COSTO UNIT base]]*GUAYAQUIL[[#This Row],[Conversión]]),"")</f>
        <v>0.62998500000000002</v>
      </c>
      <c r="AA643" s="236">
        <f>+IFERROR(IF(GUAYAQUIL[[#This Row],[CODIGO]]="","",GUAYAQUIL[[#This Row],[COSTO UNIT Conv]]*GUAYAQUIL[[#This Row],[Stock Actual Kgs]]),"")</f>
        <v>510.28784999999999</v>
      </c>
      <c r="AB643" s="33">
        <f ca="1">+IFERROR(IF(GUAYAQUIL[[#This Row],[CODIGO]]="","",$J$3-O643),"")</f>
        <v>12</v>
      </c>
      <c r="AC643" s="34" t="str">
        <f ca="1">IF(GUAYAQUIL[[#This Row],[CODIGO]]="","",IF(S643&lt;=0,"CADUCADO",IF(AND(S643&gt;0,S643&lt;=21),"FECHA CORTA",IF(AND(S643&gt;=22,S643&lt;=26),"PROXIMOS FECHA CORTA", "VIGENTE"))))</f>
        <v>PROXIMOS FECHA CORTA</v>
      </c>
      <c r="AD643" s="289">
        <f>+IF(GUAYAQUIL[[#This Row],[CODIGO]]="","",GUAYAQUIL[[#This Row],[Stock Actual Unds]]*GUAYAQUIL[[#This Row],[Gramaje]]*GUAYAQUIL[[#This Row],[Conversión]])/1000</f>
        <v>0.81</v>
      </c>
    </row>
    <row r="644" spans="1:30">
      <c r="A644" s="24" t="str">
        <f>+IFERROR(IF(GUAYAQUIL[[#This Row],[CODIGO]]="","",VLOOKUP(GUAYAQUIL[[#This Row],[CODIGO]],MAESTRO!$A:$J,10,FALSE)),"")</f>
        <v>MACHACHI</v>
      </c>
      <c r="B644" s="24" t="str">
        <f>+IFERROR(IF(GUAYAQUIL[[#This Row],[CODIGO]]="","",VLOOKUP(GUAYAQUIL[[#This Row],[CODIGO]],MAESTRO!$A:$Q,17,FALSE)),"")</f>
        <v>BEBIDAS LACTEAS</v>
      </c>
      <c r="C644" s="24" t="str">
        <f>+IFERROR(IF(GUAYAQUIL[[#This Row],[CODIGO]]="","",VLOOKUP(GUAYAQUIL[[#This Row],[CODIGO]],MAESTRO!$A:$BA,53,FALSE)),"")</f>
        <v xml:space="preserve">Luis Armendariz                         </v>
      </c>
      <c r="D644" s="24" t="str">
        <f>+IFERROR(IF(GUAYAQUIL[[#This Row],[CODIGO]]="","",VLOOKUP(GUAYAQUIL[[#This Row],[CODIGO]],MAESTRO!$A:$D,4,FALSE)),"")</f>
        <v>YOGURT KIOSKO</v>
      </c>
      <c r="E644" s="24" t="str">
        <f>+IFERROR(IF(GUAYAQUIL[[#This Row],[CODIGO]]="","",VLOOKUP(GUAYAQUIL[[#This Row],[CODIGO]],MAESTRO!$A:$F,6,FALSE)),"")</f>
        <v>BEBIDA DE YOGURT KIOSKO FUNDA FAMILI</v>
      </c>
      <c r="F644" s="42" t="str">
        <f>IF(GUAYAQUIL[[#This Row],[CODIGO]]="","",$K$6)</f>
        <v>GUAYAQUIL</v>
      </c>
      <c r="G644" s="1">
        <f>IF(GUAYAQUIL[[#This Row],[CODIGO]]="","",7711)</f>
        <v>7711</v>
      </c>
      <c r="H644" s="1">
        <f>IF(GUAYAQUIL[[#This Row],[CODIGO]]="","",1001)</f>
        <v>1001</v>
      </c>
      <c r="I644" s="258" t="s">
        <v>1695</v>
      </c>
      <c r="J644" s="43" t="str">
        <f>IFERROR((VLOOKUP(GUAYAQUIL[[#This Row],[CODIGO]],MAESTRO!A:B,2,FALSE)),"")</f>
        <v>YOG BBLE KIOSKO FTLLA FUN 900G</v>
      </c>
      <c r="K644" s="35">
        <v>675</v>
      </c>
      <c r="L644" s="38">
        <f>+IFERROR(IF(GUAYAQUIL[[#This Row],[CODIGO]]="","",VLOOKUP(GUAYAQUIL[[#This Row],[CODIGO]],MAESTRO!$A:$BF,58,FALSE)),"")</f>
        <v>1</v>
      </c>
      <c r="M644" s="27">
        <f>+IFERROR(IF(GUAYAQUIL[[#This Row],[CODIGO]]="","",VLOOKUP(GUAYAQUIL[[#This Row],[CODIGO]],MAESTRO!A:N,14,FALSE)),"")</f>
        <v>0.9</v>
      </c>
      <c r="N644" s="291">
        <f>+IFERROR(IF(GUAYAQUIL[[#This Row],[CODIGO]]="","",VLOOKUP(GUAYAQUIL[[#This Row],[CODIGO]],MAESTRO!A:P,16,FALSE)),"")</f>
        <v>45</v>
      </c>
      <c r="O644" s="45">
        <v>45611</v>
      </c>
      <c r="P644" s="293" t="str">
        <f t="shared" si="45"/>
        <v>viernes</v>
      </c>
      <c r="Q644" s="29">
        <f>IFERROR(IF(GUAYAQUIL[[#This Row],[CODIGO]]="","",IF(GUAYAQUIL[[#This Row],[Fecha Cad]]="","",(GUAYAQUIL[[#This Row],[Fecha Cad]]-GUAYAQUIL[[#This Row],[VIDA UTIL (Días)]]))+1),"")</f>
        <v>45604</v>
      </c>
      <c r="R644" s="45">
        <v>45648</v>
      </c>
      <c r="S644" s="30">
        <f t="shared" ca="1" si="46"/>
        <v>24</v>
      </c>
      <c r="T644" s="32">
        <f t="shared" ca="1" si="47"/>
        <v>0.53333333333333333</v>
      </c>
      <c r="U644" s="296">
        <v>733</v>
      </c>
      <c r="V644" s="265">
        <f>+IFERROR(IF(GUAYAQUIL[[#This Row],[CODIGO]]="","",GUAYAQUIL[[#This Row],[Stock Actual Unds]]*GUAYAQUIL[[#This Row],[Gramaje]]*GUAYAQUIL[[#This Row],[Conversión]]),"")</f>
        <v>659.7</v>
      </c>
      <c r="W644" s="300">
        <f t="shared" si="48"/>
        <v>7</v>
      </c>
      <c r="X644" s="32">
        <f t="shared" si="49"/>
        <v>0.84444444444444444</v>
      </c>
      <c r="Y644" s="236">
        <f>IFERROR(VLOOKUP(GUAYAQUIL[[#This Row],[CODIGO]],MAESTRO!A:BI,21,FALSE),0)</f>
        <v>0.62998500000000002</v>
      </c>
      <c r="Z644" s="236">
        <f>+IFERROR(IF(GUAYAQUIL[[#This Row],[CODIGO]]="","",GUAYAQUIL[[#This Row],[COSTO UNIT base]]*GUAYAQUIL[[#This Row],[Conversión]]),"")</f>
        <v>0.62998500000000002</v>
      </c>
      <c r="AA644" s="236">
        <f>+IFERROR(IF(GUAYAQUIL[[#This Row],[CODIGO]]="","",GUAYAQUIL[[#This Row],[COSTO UNIT Conv]]*GUAYAQUIL[[#This Row],[Stock Actual Kgs]]),"")</f>
        <v>415.60110450000002</v>
      </c>
      <c r="AB644" s="33">
        <f ca="1">+IFERROR(IF(GUAYAQUIL[[#This Row],[CODIGO]]="","",$J$3-O644),"")</f>
        <v>13</v>
      </c>
      <c r="AC644" s="34" t="str">
        <f ca="1">IF(GUAYAQUIL[[#This Row],[CODIGO]]="","",IF(S644&lt;=0,"CADUCADO",IF(AND(S644&gt;0,S644&lt;=21),"FECHA CORTA",IF(AND(S644&gt;=22,S644&lt;=26),"PROXIMOS FECHA CORTA", "VIGENTE"))))</f>
        <v>PROXIMOS FECHA CORTA</v>
      </c>
      <c r="AD644" s="289">
        <f>+IF(GUAYAQUIL[[#This Row],[CODIGO]]="","",GUAYAQUIL[[#This Row],[Stock Actual Unds]]*GUAYAQUIL[[#This Row],[Gramaje]]*GUAYAQUIL[[#This Row],[Conversión]])/1000</f>
        <v>0.65970000000000006</v>
      </c>
    </row>
    <row r="645" spans="1:30" ht="14.9" customHeight="1">
      <c r="A645" s="24" t="str">
        <f>+IFERROR(IF(GUAYAQUIL[[#This Row],[CODIGO]]="","",VLOOKUP(GUAYAQUIL[[#This Row],[CODIGO]],MAESTRO!$A:$J,10,FALSE)),"")</f>
        <v>MACHACHI</v>
      </c>
      <c r="B645" s="24" t="str">
        <f>+IFERROR(IF(GUAYAQUIL[[#This Row],[CODIGO]]="","",VLOOKUP(GUAYAQUIL[[#This Row],[CODIGO]],MAESTRO!$A:$Q,17,FALSE)),"")</f>
        <v>BEBIDAS LACTEAS</v>
      </c>
      <c r="C645" s="24" t="str">
        <f>+IFERROR(IF(GUAYAQUIL[[#This Row],[CODIGO]]="","",VLOOKUP(GUAYAQUIL[[#This Row],[CODIGO]],MAESTRO!$A:$BA,53,FALSE)),"")</f>
        <v xml:space="preserve">Luis Armendariz                         </v>
      </c>
      <c r="D645" s="24" t="str">
        <f>+IFERROR(IF(GUAYAQUIL[[#This Row],[CODIGO]]="","",VLOOKUP(GUAYAQUIL[[#This Row],[CODIGO]],MAESTRO!$A:$D,4,FALSE)),"")</f>
        <v>YOGURT KIOSKO</v>
      </c>
      <c r="E645" s="24" t="str">
        <f>+IFERROR(IF(GUAYAQUIL[[#This Row],[CODIGO]]="","",VLOOKUP(GUAYAQUIL[[#This Row],[CODIGO]],MAESTRO!$A:$F,6,FALSE)),"")</f>
        <v>BEBIDA DE YOGURT KIOSKO FUNDA FAMILI</v>
      </c>
      <c r="F645" s="42" t="str">
        <f>IF(GUAYAQUIL[[#This Row],[CODIGO]]="","",$K$6)</f>
        <v>GUAYAQUIL</v>
      </c>
      <c r="G645" s="1">
        <f>IF(GUAYAQUIL[[#This Row],[CODIGO]]="","",7711)</f>
        <v>7711</v>
      </c>
      <c r="H645" s="1">
        <f>IF(GUAYAQUIL[[#This Row],[CODIGO]]="","",1001)</f>
        <v>1001</v>
      </c>
      <c r="I645" s="258" t="s">
        <v>1695</v>
      </c>
      <c r="J645" s="43" t="str">
        <f>IFERROR((VLOOKUP(GUAYAQUIL[[#This Row],[CODIGO]],MAESTRO!A:B,2,FALSE)),"")</f>
        <v>YOG BBLE KIOSKO FTLLA FUN 900G</v>
      </c>
      <c r="K645" s="35">
        <v>675</v>
      </c>
      <c r="L645" s="38">
        <f>+IFERROR(IF(GUAYAQUIL[[#This Row],[CODIGO]]="","",VLOOKUP(GUAYAQUIL[[#This Row],[CODIGO]],MAESTRO!$A:$BF,58,FALSE)),"")</f>
        <v>1</v>
      </c>
      <c r="M645" s="27">
        <f>+IFERROR(IF(GUAYAQUIL[[#This Row],[CODIGO]]="","",VLOOKUP(GUAYAQUIL[[#This Row],[CODIGO]],MAESTRO!A:N,14,FALSE)),"")</f>
        <v>0.9</v>
      </c>
      <c r="N645" s="291">
        <f>+IFERROR(IF(GUAYAQUIL[[#This Row],[CODIGO]]="","",VLOOKUP(GUAYAQUIL[[#This Row],[CODIGO]],MAESTRO!A:P,16,FALSE)),"")</f>
        <v>45</v>
      </c>
      <c r="O645" s="45">
        <v>45611</v>
      </c>
      <c r="P645" s="293" t="str">
        <f t="shared" si="45"/>
        <v>viernes</v>
      </c>
      <c r="Q645" s="29">
        <f>IFERROR(IF(GUAYAQUIL[[#This Row],[CODIGO]]="","",IF(GUAYAQUIL[[#This Row],[Fecha Cad]]="","",(GUAYAQUIL[[#This Row],[Fecha Cad]]-GUAYAQUIL[[#This Row],[VIDA UTIL (Días)]]))+1),"")</f>
        <v>45603</v>
      </c>
      <c r="R645" s="45">
        <v>45647</v>
      </c>
      <c r="S645" s="30">
        <f t="shared" ca="1" si="46"/>
        <v>23</v>
      </c>
      <c r="T645" s="32">
        <f t="shared" ca="1" si="47"/>
        <v>0.51111111111111107</v>
      </c>
      <c r="U645" s="296">
        <v>675</v>
      </c>
      <c r="V645" s="265">
        <f>+IFERROR(IF(GUAYAQUIL[[#This Row],[CODIGO]]="","",GUAYAQUIL[[#This Row],[Stock Actual Unds]]*GUAYAQUIL[[#This Row],[Gramaje]]*GUAYAQUIL[[#This Row],[Conversión]]),"")</f>
        <v>607.5</v>
      </c>
      <c r="W645" s="300">
        <f t="shared" si="48"/>
        <v>8</v>
      </c>
      <c r="X645" s="32">
        <f t="shared" si="49"/>
        <v>0.82222222222222219</v>
      </c>
      <c r="Y645" s="236">
        <f>IFERROR(VLOOKUP(GUAYAQUIL[[#This Row],[CODIGO]],MAESTRO!A:BI,21,FALSE),0)</f>
        <v>0.62998500000000002</v>
      </c>
      <c r="Z645" s="236">
        <f>+IFERROR(IF(GUAYAQUIL[[#This Row],[CODIGO]]="","",GUAYAQUIL[[#This Row],[COSTO UNIT base]]*GUAYAQUIL[[#This Row],[Conversión]]),"")</f>
        <v>0.62998500000000002</v>
      </c>
      <c r="AA645" s="236">
        <f>+IFERROR(IF(GUAYAQUIL[[#This Row],[CODIGO]]="","",GUAYAQUIL[[#This Row],[COSTO UNIT Conv]]*GUAYAQUIL[[#This Row],[Stock Actual Kgs]]),"")</f>
        <v>382.71588750000001</v>
      </c>
      <c r="AB645" s="33">
        <f ca="1">+IFERROR(IF(GUAYAQUIL[[#This Row],[CODIGO]]="","",$J$3-O645),"")</f>
        <v>13</v>
      </c>
      <c r="AC645" s="34" t="str">
        <f ca="1">IF(GUAYAQUIL[[#This Row],[CODIGO]]="","",IF(S645&lt;=0,"CADUCADO",IF(AND(S645&gt;0,S645&lt;=21),"FECHA CORTA",IF(AND(S645&gt;=22,S645&lt;=26),"PROXIMOS FECHA CORTA", "VIGENTE"))))</f>
        <v>PROXIMOS FECHA CORTA</v>
      </c>
      <c r="AD645" s="289">
        <f>+IF(GUAYAQUIL[[#This Row],[CODIGO]]="","",GUAYAQUIL[[#This Row],[Stock Actual Unds]]*GUAYAQUIL[[#This Row],[Gramaje]]*GUAYAQUIL[[#This Row],[Conversión]])/1000</f>
        <v>0.60750000000000004</v>
      </c>
    </row>
    <row r="646" spans="1:30">
      <c r="A646" s="24" t="str">
        <f>+IFERROR(IF(GUAYAQUIL[[#This Row],[CODIGO]]="","",VLOOKUP(GUAYAQUIL[[#This Row],[CODIGO]],MAESTRO!$A:$J,10,FALSE)),"")</f>
        <v>MACHACHI</v>
      </c>
      <c r="B646" s="24" t="str">
        <f>+IFERROR(IF(GUAYAQUIL[[#This Row],[CODIGO]]="","",VLOOKUP(GUAYAQUIL[[#This Row],[CODIGO]],MAESTRO!$A:$Q,17,FALSE)),"")</f>
        <v>BEBIDAS LACTEAS</v>
      </c>
      <c r="C646" s="24" t="str">
        <f>+IFERROR(IF(GUAYAQUIL[[#This Row],[CODIGO]]="","",VLOOKUP(GUAYAQUIL[[#This Row],[CODIGO]],MAESTRO!$A:$BA,53,FALSE)),"")</f>
        <v xml:space="preserve">Luis Armendariz                         </v>
      </c>
      <c r="D646" s="24" t="str">
        <f>+IFERROR(IF(GUAYAQUIL[[#This Row],[CODIGO]]="","",VLOOKUP(GUAYAQUIL[[#This Row],[CODIGO]],MAESTRO!$A:$D,4,FALSE)),"")</f>
        <v>YOGURT KIOSKO</v>
      </c>
      <c r="E646" s="24" t="str">
        <f>+IFERROR(IF(GUAYAQUIL[[#This Row],[CODIGO]]="","",VLOOKUP(GUAYAQUIL[[#This Row],[CODIGO]],MAESTRO!$A:$F,6,FALSE)),"")</f>
        <v>BEBIDA DE YOGURT KIOSKO FUNDA FAMILI</v>
      </c>
      <c r="F646" s="42" t="str">
        <f>IF(GUAYAQUIL[[#This Row],[CODIGO]]="","",$K$6)</f>
        <v>GUAYAQUIL</v>
      </c>
      <c r="G646" s="1">
        <f>IF(GUAYAQUIL[[#This Row],[CODIGO]]="","",7711)</f>
        <v>7711</v>
      </c>
      <c r="H646" s="1">
        <f>IF(GUAYAQUIL[[#This Row],[CODIGO]]="","",1001)</f>
        <v>1001</v>
      </c>
      <c r="I646" s="258" t="s">
        <v>1695</v>
      </c>
      <c r="J646" s="43" t="str">
        <f>IFERROR((VLOOKUP(GUAYAQUIL[[#This Row],[CODIGO]],MAESTRO!A:B,2,FALSE)),"")</f>
        <v>YOG BBLE KIOSKO FTLLA FUN 900G</v>
      </c>
      <c r="K646" s="35">
        <v>675</v>
      </c>
      <c r="L646" s="38">
        <f>+IFERROR(IF(GUAYAQUIL[[#This Row],[CODIGO]]="","",VLOOKUP(GUAYAQUIL[[#This Row],[CODIGO]],MAESTRO!$A:$BF,58,FALSE)),"")</f>
        <v>1</v>
      </c>
      <c r="M646" s="27">
        <f>+IFERROR(IF(GUAYAQUIL[[#This Row],[CODIGO]]="","",VLOOKUP(GUAYAQUIL[[#This Row],[CODIGO]],MAESTRO!A:N,14,FALSE)),"")</f>
        <v>0.9</v>
      </c>
      <c r="N646" s="291">
        <f>+IFERROR(IF(GUAYAQUIL[[#This Row],[CODIGO]]="","",VLOOKUP(GUAYAQUIL[[#This Row],[CODIGO]],MAESTRO!A:P,16,FALSE)),"")</f>
        <v>45</v>
      </c>
      <c r="O646" s="45">
        <v>45610</v>
      </c>
      <c r="P646" s="293" t="str">
        <f t="shared" si="45"/>
        <v>jueves</v>
      </c>
      <c r="Q646" s="29">
        <f>IFERROR(IF(GUAYAQUIL[[#This Row],[CODIGO]]="","",IF(GUAYAQUIL[[#This Row],[Fecha Cad]]="","",(GUAYAQUIL[[#This Row],[Fecha Cad]]-GUAYAQUIL[[#This Row],[VIDA UTIL (Días)]]))+1),"")</f>
        <v>45603</v>
      </c>
      <c r="R646" s="45">
        <v>45647</v>
      </c>
      <c r="S646" s="30">
        <f t="shared" ca="1" si="46"/>
        <v>23</v>
      </c>
      <c r="T646" s="32">
        <f t="shared" ca="1" si="47"/>
        <v>0.51111111111111107</v>
      </c>
      <c r="U646" s="296">
        <v>675</v>
      </c>
      <c r="V646" s="265">
        <f>+IFERROR(IF(GUAYAQUIL[[#This Row],[CODIGO]]="","",GUAYAQUIL[[#This Row],[Stock Actual Unds]]*GUAYAQUIL[[#This Row],[Gramaje]]*GUAYAQUIL[[#This Row],[Conversión]]),"")</f>
        <v>607.5</v>
      </c>
      <c r="W646" s="300">
        <f t="shared" si="48"/>
        <v>7</v>
      </c>
      <c r="X646" s="32">
        <f t="shared" si="49"/>
        <v>0.84444444444444444</v>
      </c>
      <c r="Y646" s="236">
        <f>IFERROR(VLOOKUP(GUAYAQUIL[[#This Row],[CODIGO]],MAESTRO!A:BI,21,FALSE),0)</f>
        <v>0.62998500000000002</v>
      </c>
      <c r="Z646" s="236">
        <f>+IFERROR(IF(GUAYAQUIL[[#This Row],[CODIGO]]="","",GUAYAQUIL[[#This Row],[COSTO UNIT base]]*GUAYAQUIL[[#This Row],[Conversión]]),"")</f>
        <v>0.62998500000000002</v>
      </c>
      <c r="AA646" s="236">
        <f>+IFERROR(IF(GUAYAQUIL[[#This Row],[CODIGO]]="","",GUAYAQUIL[[#This Row],[COSTO UNIT Conv]]*GUAYAQUIL[[#This Row],[Stock Actual Kgs]]),"")</f>
        <v>382.71588750000001</v>
      </c>
      <c r="AB646" s="33">
        <f ca="1">+IFERROR(IF(GUAYAQUIL[[#This Row],[CODIGO]]="","",$J$3-O646),"")</f>
        <v>14</v>
      </c>
      <c r="AC646" s="34" t="str">
        <f ca="1">IF(GUAYAQUIL[[#This Row],[CODIGO]]="","",IF(S646&lt;=0,"CADUCADO",IF(AND(S646&gt;0,S646&lt;=21),"FECHA CORTA",IF(AND(S646&gt;=22,S646&lt;=26),"PROXIMOS FECHA CORTA", "VIGENTE"))))</f>
        <v>PROXIMOS FECHA CORTA</v>
      </c>
      <c r="AD646" s="289">
        <f>+IF(GUAYAQUIL[[#This Row],[CODIGO]]="","",GUAYAQUIL[[#This Row],[Stock Actual Unds]]*GUAYAQUIL[[#This Row],[Gramaje]]*GUAYAQUIL[[#This Row],[Conversión]])/1000</f>
        <v>0.60750000000000004</v>
      </c>
    </row>
    <row r="647" spans="1:30">
      <c r="A647" s="24" t="str">
        <f>+IFERROR(IF(GUAYAQUIL[[#This Row],[CODIGO]]="","",VLOOKUP(GUAYAQUIL[[#This Row],[CODIGO]],MAESTRO!$A:$J,10,FALSE)),"")</f>
        <v>MACHACHI</v>
      </c>
      <c r="B647" s="24" t="str">
        <f>+IFERROR(IF(GUAYAQUIL[[#This Row],[CODIGO]]="","",VLOOKUP(GUAYAQUIL[[#This Row],[CODIGO]],MAESTRO!$A:$Q,17,FALSE)),"")</f>
        <v>BEBIDAS LACTEAS</v>
      </c>
      <c r="C647" s="24" t="str">
        <f>+IFERROR(IF(GUAYAQUIL[[#This Row],[CODIGO]]="","",VLOOKUP(GUAYAQUIL[[#This Row],[CODIGO]],MAESTRO!$A:$BA,53,FALSE)),"")</f>
        <v xml:space="preserve">Luis Armendariz                         </v>
      </c>
      <c r="D647" s="24" t="str">
        <f>+IFERROR(IF(GUAYAQUIL[[#This Row],[CODIGO]]="","",VLOOKUP(GUAYAQUIL[[#This Row],[CODIGO]],MAESTRO!$A:$D,4,FALSE)),"")</f>
        <v>YOGURT KIOSKO</v>
      </c>
      <c r="E647" s="24" t="str">
        <f>+IFERROR(IF(GUAYAQUIL[[#This Row],[CODIGO]]="","",VLOOKUP(GUAYAQUIL[[#This Row],[CODIGO]],MAESTRO!$A:$F,6,FALSE)),"")</f>
        <v>BEBIDA DE YOGURT KIOSKO FUNDA FAMILI</v>
      </c>
      <c r="F647" s="42" t="str">
        <f>IF(GUAYAQUIL[[#This Row],[CODIGO]]="","",$K$6)</f>
        <v>GUAYAQUIL</v>
      </c>
      <c r="G647" s="1">
        <f>IF(GUAYAQUIL[[#This Row],[CODIGO]]="","",7711)</f>
        <v>7711</v>
      </c>
      <c r="H647" s="1">
        <f>IF(GUAYAQUIL[[#This Row],[CODIGO]]="","",1001)</f>
        <v>1001</v>
      </c>
      <c r="I647" s="258" t="s">
        <v>1695</v>
      </c>
      <c r="J647" s="43" t="str">
        <f>IFERROR((VLOOKUP(GUAYAQUIL[[#This Row],[CODIGO]],MAESTRO!A:B,2,FALSE)),"")</f>
        <v>YOG BBLE KIOSKO FTLLA FUN 900G</v>
      </c>
      <c r="K647" s="35">
        <v>900</v>
      </c>
      <c r="L647" s="38">
        <f>+IFERROR(IF(GUAYAQUIL[[#This Row],[CODIGO]]="","",VLOOKUP(GUAYAQUIL[[#This Row],[CODIGO]],MAESTRO!$A:$BF,58,FALSE)),"")</f>
        <v>1</v>
      </c>
      <c r="M647" s="27">
        <f>+IFERROR(IF(GUAYAQUIL[[#This Row],[CODIGO]]="","",VLOOKUP(GUAYAQUIL[[#This Row],[CODIGO]],MAESTRO!A:N,14,FALSE)),"")</f>
        <v>0.9</v>
      </c>
      <c r="N647" s="291">
        <f>+IFERROR(IF(GUAYAQUIL[[#This Row],[CODIGO]]="","",VLOOKUP(GUAYAQUIL[[#This Row],[CODIGO]],MAESTRO!A:P,16,FALSE)),"")</f>
        <v>45</v>
      </c>
      <c r="O647" s="45">
        <v>45615</v>
      </c>
      <c r="P647" s="293" t="str">
        <f t="shared" si="45"/>
        <v>martes</v>
      </c>
      <c r="Q647" s="29">
        <f>IFERROR(IF(GUAYAQUIL[[#This Row],[CODIGO]]="","",IF(GUAYAQUIL[[#This Row],[Fecha Cad]]="","",(GUAYAQUIL[[#This Row],[Fecha Cad]]-GUAYAQUIL[[#This Row],[VIDA UTIL (Días)]]))+1),"")</f>
        <v>45609</v>
      </c>
      <c r="R647" s="45">
        <v>45653</v>
      </c>
      <c r="S647" s="30">
        <f t="shared" ca="1" si="46"/>
        <v>29</v>
      </c>
      <c r="T647" s="32">
        <f t="shared" ca="1" si="47"/>
        <v>0.64444444444444449</v>
      </c>
      <c r="U647" s="296">
        <v>900</v>
      </c>
      <c r="V647" s="265">
        <f>+IFERROR(IF(GUAYAQUIL[[#This Row],[CODIGO]]="","",GUAYAQUIL[[#This Row],[Stock Actual Unds]]*GUAYAQUIL[[#This Row],[Gramaje]]*GUAYAQUIL[[#This Row],[Conversión]]),"")</f>
        <v>810</v>
      </c>
      <c r="W647" s="300">
        <f t="shared" si="48"/>
        <v>6</v>
      </c>
      <c r="X647" s="32">
        <f t="shared" si="49"/>
        <v>0.8666666666666667</v>
      </c>
      <c r="Y647" s="236">
        <f>IFERROR(VLOOKUP(GUAYAQUIL[[#This Row],[CODIGO]],MAESTRO!A:BI,21,FALSE),0)</f>
        <v>0.62998500000000002</v>
      </c>
      <c r="Z647" s="236">
        <f>+IFERROR(IF(GUAYAQUIL[[#This Row],[CODIGO]]="","",GUAYAQUIL[[#This Row],[COSTO UNIT base]]*GUAYAQUIL[[#This Row],[Conversión]]),"")</f>
        <v>0.62998500000000002</v>
      </c>
      <c r="AA647" s="236">
        <f>+IFERROR(IF(GUAYAQUIL[[#This Row],[CODIGO]]="","",GUAYAQUIL[[#This Row],[COSTO UNIT Conv]]*GUAYAQUIL[[#This Row],[Stock Actual Kgs]]),"")</f>
        <v>510.28784999999999</v>
      </c>
      <c r="AB647" s="33">
        <f ca="1">+IFERROR(IF(GUAYAQUIL[[#This Row],[CODIGO]]="","",$J$3-O647),"")</f>
        <v>9</v>
      </c>
      <c r="AC647" s="34" t="str">
        <f ca="1">IF(GUAYAQUIL[[#This Row],[CODIGO]]="","",IF(S647&lt;=0,"CADUCADO",IF(AND(S647&gt;0,S647&lt;=21),"FECHA CORTA",IF(AND(S647&gt;=22,S647&lt;=26),"PROXIMOS FECHA CORTA", "VIGENTE"))))</f>
        <v>VIGENTE</v>
      </c>
      <c r="AD647" s="289">
        <f>+IF(GUAYAQUIL[[#This Row],[CODIGO]]="","",GUAYAQUIL[[#This Row],[Stock Actual Unds]]*GUAYAQUIL[[#This Row],[Gramaje]]*GUAYAQUIL[[#This Row],[Conversión]])/1000</f>
        <v>0.81</v>
      </c>
    </row>
    <row r="648" spans="1:30">
      <c r="A648" s="24" t="str">
        <f>+IFERROR(IF(GUAYAQUIL[[#This Row],[CODIGO]]="","",VLOOKUP(GUAYAQUIL[[#This Row],[CODIGO]],MAESTRO!$A:$J,10,FALSE)),"")</f>
        <v>MACHACHI</v>
      </c>
      <c r="B648" s="24" t="str">
        <f>+IFERROR(IF(GUAYAQUIL[[#This Row],[CODIGO]]="","",VLOOKUP(GUAYAQUIL[[#This Row],[CODIGO]],MAESTRO!$A:$Q,17,FALSE)),"")</f>
        <v>BEBIDAS LACTEAS</v>
      </c>
      <c r="C648" s="24" t="str">
        <f>+IFERROR(IF(GUAYAQUIL[[#This Row],[CODIGO]]="","",VLOOKUP(GUAYAQUIL[[#This Row],[CODIGO]],MAESTRO!$A:$BA,53,FALSE)),"")</f>
        <v xml:space="preserve">Luis Armendariz                         </v>
      </c>
      <c r="D648" s="24" t="str">
        <f>+IFERROR(IF(GUAYAQUIL[[#This Row],[CODIGO]]="","",VLOOKUP(GUAYAQUIL[[#This Row],[CODIGO]],MAESTRO!$A:$D,4,FALSE)),"")</f>
        <v>YOGURT KIOSKO</v>
      </c>
      <c r="E648" s="24" t="str">
        <f>+IFERROR(IF(GUAYAQUIL[[#This Row],[CODIGO]]="","",VLOOKUP(GUAYAQUIL[[#This Row],[CODIGO]],MAESTRO!$A:$F,6,FALSE)),"")</f>
        <v>BEBIDA DE YOGURT KIOSKO FUNDA FAMILI</v>
      </c>
      <c r="F648" s="42" t="str">
        <f>IF(GUAYAQUIL[[#This Row],[CODIGO]]="","",$K$6)</f>
        <v>GUAYAQUIL</v>
      </c>
      <c r="G648" s="1">
        <f>IF(GUAYAQUIL[[#This Row],[CODIGO]]="","",7711)</f>
        <v>7711</v>
      </c>
      <c r="H648" s="1">
        <f>IF(GUAYAQUIL[[#This Row],[CODIGO]]="","",1001)</f>
        <v>1001</v>
      </c>
      <c r="I648" s="258" t="s">
        <v>1695</v>
      </c>
      <c r="J648" s="43" t="str">
        <f>IFERROR((VLOOKUP(GUAYAQUIL[[#This Row],[CODIGO]],MAESTRO!A:B,2,FALSE)),"")</f>
        <v>YOG BBLE KIOSKO FTLLA FUN 900G</v>
      </c>
      <c r="K648" s="35">
        <v>675</v>
      </c>
      <c r="L648" s="38">
        <f>+IFERROR(IF(GUAYAQUIL[[#This Row],[CODIGO]]="","",VLOOKUP(GUAYAQUIL[[#This Row],[CODIGO]],MAESTRO!$A:$BF,58,FALSE)),"")</f>
        <v>1</v>
      </c>
      <c r="M648" s="27">
        <f>+IFERROR(IF(GUAYAQUIL[[#This Row],[CODIGO]]="","",VLOOKUP(GUAYAQUIL[[#This Row],[CODIGO]],MAESTRO!A:N,14,FALSE)),"")</f>
        <v>0.9</v>
      </c>
      <c r="N648" s="291">
        <f>+IFERROR(IF(GUAYAQUIL[[#This Row],[CODIGO]]="","",VLOOKUP(GUAYAQUIL[[#This Row],[CODIGO]],MAESTRO!A:P,16,FALSE)),"")</f>
        <v>45</v>
      </c>
      <c r="O648" s="45">
        <v>45616</v>
      </c>
      <c r="P648" s="293" t="str">
        <f t="shared" ref="P648:P699" si="50">+IF(R648="","",TEXT(O648,"dddd"))</f>
        <v>miércoles</v>
      </c>
      <c r="Q648" s="29">
        <f>IFERROR(IF(GUAYAQUIL[[#This Row],[CODIGO]]="","",IF(GUAYAQUIL[[#This Row],[Fecha Cad]]="","",(GUAYAQUIL[[#This Row],[Fecha Cad]]-GUAYAQUIL[[#This Row],[VIDA UTIL (Días)]]))+1),"")</f>
        <v>45610</v>
      </c>
      <c r="R648" s="45">
        <v>45654</v>
      </c>
      <c r="S648" s="30">
        <f t="shared" ref="S648:S651" ca="1" si="51">+IFERROR(IF(R648="","",R648-$J$3),0)</f>
        <v>30</v>
      </c>
      <c r="T648" s="32">
        <f t="shared" ref="T648:T699" ca="1" si="52">IFERROR(IF(8="","",S648/N648),0)</f>
        <v>0.66666666666666663</v>
      </c>
      <c r="U648" s="296">
        <v>675</v>
      </c>
      <c r="V648" s="265">
        <f>+IFERROR(IF(GUAYAQUIL[[#This Row],[CODIGO]]="","",GUAYAQUIL[[#This Row],[Stock Actual Unds]]*GUAYAQUIL[[#This Row],[Gramaje]]*GUAYAQUIL[[#This Row],[Conversión]]),"")</f>
        <v>607.5</v>
      </c>
      <c r="W648" s="300">
        <f t="shared" ref="W648:W699" si="53">IFERROR(O648-Q648,0)</f>
        <v>6</v>
      </c>
      <c r="X648" s="32">
        <f t="shared" ref="X648:X699" si="54">IF(I648="","",1-(W648/N648))</f>
        <v>0.8666666666666667</v>
      </c>
      <c r="Y648" s="236">
        <f>IFERROR(VLOOKUP(GUAYAQUIL[[#This Row],[CODIGO]],MAESTRO!A:BI,21,FALSE),0)</f>
        <v>0.62998500000000002</v>
      </c>
      <c r="Z648" s="236">
        <f>+IFERROR(IF(GUAYAQUIL[[#This Row],[CODIGO]]="","",GUAYAQUIL[[#This Row],[COSTO UNIT base]]*GUAYAQUIL[[#This Row],[Conversión]]),"")</f>
        <v>0.62998500000000002</v>
      </c>
      <c r="AA648" s="236">
        <f>+IFERROR(IF(GUAYAQUIL[[#This Row],[CODIGO]]="","",GUAYAQUIL[[#This Row],[COSTO UNIT Conv]]*GUAYAQUIL[[#This Row],[Stock Actual Kgs]]),"")</f>
        <v>382.71588750000001</v>
      </c>
      <c r="AB648" s="33">
        <f ca="1">+IFERROR(IF(GUAYAQUIL[[#This Row],[CODIGO]]="","",$J$3-O648),"")</f>
        <v>8</v>
      </c>
      <c r="AC648" s="34" t="str">
        <f ca="1">IF(GUAYAQUIL[[#This Row],[CODIGO]]="","",IF(S648&lt;=0,"CADUCADO",IF(AND(S648&gt;0,S648&lt;=21),"FECHA CORTA",IF(AND(S648&gt;=22,S648&lt;=26),"PROXIMOS FECHA CORTA", "VIGENTE"))))</f>
        <v>VIGENTE</v>
      </c>
      <c r="AD648" s="289">
        <f>+IF(GUAYAQUIL[[#This Row],[CODIGO]]="","",GUAYAQUIL[[#This Row],[Stock Actual Unds]]*GUAYAQUIL[[#This Row],[Gramaje]]*GUAYAQUIL[[#This Row],[Conversión]])/1000</f>
        <v>0.60750000000000004</v>
      </c>
    </row>
    <row r="649" spans="1:30">
      <c r="A649" s="24" t="str">
        <f>+IFERROR(IF(GUAYAQUIL[[#This Row],[CODIGO]]="","",VLOOKUP(GUAYAQUIL[[#This Row],[CODIGO]],MAESTRO!$A:$J,10,FALSE)),"")</f>
        <v>MACHACHI</v>
      </c>
      <c r="B649" s="24" t="str">
        <f>+IFERROR(IF(GUAYAQUIL[[#This Row],[CODIGO]]="","",VLOOKUP(GUAYAQUIL[[#This Row],[CODIGO]],MAESTRO!$A:$Q,17,FALSE)),"")</f>
        <v>BEBIDAS LACTEAS</v>
      </c>
      <c r="C649" s="24" t="str">
        <f>+IFERROR(IF(GUAYAQUIL[[#This Row],[CODIGO]]="","",VLOOKUP(GUAYAQUIL[[#This Row],[CODIGO]],MAESTRO!$A:$BA,53,FALSE)),"")</f>
        <v xml:space="preserve">Luis Armendariz                         </v>
      </c>
      <c r="D649" s="24" t="str">
        <f>+IFERROR(IF(GUAYAQUIL[[#This Row],[CODIGO]]="","",VLOOKUP(GUAYAQUIL[[#This Row],[CODIGO]],MAESTRO!$A:$D,4,FALSE)),"")</f>
        <v>YOGURT KIOSKO</v>
      </c>
      <c r="E649" s="24" t="str">
        <f>+IFERROR(IF(GUAYAQUIL[[#This Row],[CODIGO]]="","",VLOOKUP(GUAYAQUIL[[#This Row],[CODIGO]],MAESTRO!$A:$F,6,FALSE)),"")</f>
        <v>BEBIDA DE YOGURT KIOSKO FUNDA FAMILI</v>
      </c>
      <c r="F649" s="42" t="str">
        <f>IF(GUAYAQUIL[[#This Row],[CODIGO]]="","",$K$6)</f>
        <v>GUAYAQUIL</v>
      </c>
      <c r="G649" s="1">
        <f>IF(GUAYAQUIL[[#This Row],[CODIGO]]="","",7711)</f>
        <v>7711</v>
      </c>
      <c r="H649" s="1">
        <f>IF(GUAYAQUIL[[#This Row],[CODIGO]]="","",1001)</f>
        <v>1001</v>
      </c>
      <c r="I649" s="258" t="s">
        <v>2858</v>
      </c>
      <c r="J649" s="43" t="str">
        <f>IFERROR((VLOOKUP(GUAYAQUIL[[#This Row],[CODIGO]],MAESTRO!A:B,2,FALSE)),"")</f>
        <v>YOG BBLE KIOSKO DZNO FUN 900G</v>
      </c>
      <c r="K649" s="35">
        <v>600</v>
      </c>
      <c r="L649" s="38">
        <f>+IFERROR(IF(GUAYAQUIL[[#This Row],[CODIGO]]="","",VLOOKUP(GUAYAQUIL[[#This Row],[CODIGO]],MAESTRO!$A:$BF,58,FALSE)),"")</f>
        <v>1</v>
      </c>
      <c r="M649" s="27">
        <f>+IFERROR(IF(GUAYAQUIL[[#This Row],[CODIGO]]="","",VLOOKUP(GUAYAQUIL[[#This Row],[CODIGO]],MAESTRO!A:N,14,FALSE)),"")</f>
        <v>0.9</v>
      </c>
      <c r="N649" s="291">
        <f>+IFERROR(IF(GUAYAQUIL[[#This Row],[CODIGO]]="","",VLOOKUP(GUAYAQUIL[[#This Row],[CODIGO]],MAESTRO!A:P,16,FALSE)),"")</f>
        <v>45</v>
      </c>
      <c r="O649" s="45">
        <v>45605</v>
      </c>
      <c r="P649" s="293" t="str">
        <f t="shared" si="50"/>
        <v>sábado</v>
      </c>
      <c r="Q649" s="29">
        <f>IFERROR(IF(GUAYAQUIL[[#This Row],[CODIGO]]="","",IF(GUAYAQUIL[[#This Row],[Fecha Cad]]="","",(GUAYAQUIL[[#This Row],[Fecha Cad]]-GUAYAQUIL[[#This Row],[VIDA UTIL (Días)]]))+1),"")</f>
        <v>45597</v>
      </c>
      <c r="R649" s="45">
        <v>45641</v>
      </c>
      <c r="S649" s="30">
        <f t="shared" ca="1" si="51"/>
        <v>17</v>
      </c>
      <c r="T649" s="32">
        <f t="shared" ca="1" si="52"/>
        <v>0.37777777777777777</v>
      </c>
      <c r="U649" s="296">
        <v>420</v>
      </c>
      <c r="V649" s="265">
        <f>+IFERROR(IF(GUAYAQUIL[[#This Row],[CODIGO]]="","",GUAYAQUIL[[#This Row],[Stock Actual Unds]]*GUAYAQUIL[[#This Row],[Gramaje]]*GUAYAQUIL[[#This Row],[Conversión]]),"")</f>
        <v>378</v>
      </c>
      <c r="W649" s="300">
        <f t="shared" si="53"/>
        <v>8</v>
      </c>
      <c r="X649" s="32">
        <f t="shared" si="54"/>
        <v>0.82222222222222219</v>
      </c>
      <c r="Y649" s="236">
        <f>IFERROR(VLOOKUP(GUAYAQUIL[[#This Row],[CODIGO]],MAESTRO!A:BI,21,FALSE),0)</f>
        <v>0.63201499999999999</v>
      </c>
      <c r="Z649" s="236">
        <f>+IFERROR(IF(GUAYAQUIL[[#This Row],[CODIGO]]="","",GUAYAQUIL[[#This Row],[COSTO UNIT base]]*GUAYAQUIL[[#This Row],[Conversión]]),"")</f>
        <v>0.63201499999999999</v>
      </c>
      <c r="AA649" s="236">
        <f>+IFERROR(IF(GUAYAQUIL[[#This Row],[CODIGO]]="","",GUAYAQUIL[[#This Row],[COSTO UNIT Conv]]*GUAYAQUIL[[#This Row],[Stock Actual Kgs]]),"")</f>
        <v>238.90167</v>
      </c>
      <c r="AB649" s="33">
        <f ca="1">+IFERROR(IF(GUAYAQUIL[[#This Row],[CODIGO]]="","",$J$3-O649),"")</f>
        <v>19</v>
      </c>
      <c r="AC649" s="34" t="str">
        <f ca="1">IF(GUAYAQUIL[[#This Row],[CODIGO]]="","",IF(S649&lt;=0,"CADUCADO",IF(AND(S649&gt;0,S649&lt;=21),"FECHA CORTA",IF(AND(S649&gt;=22,S649&lt;=26),"PROXIMOS FECHA CORTA", "VIGENTE"))))</f>
        <v>FECHA CORTA</v>
      </c>
      <c r="AD649" s="289">
        <f>+IF(GUAYAQUIL[[#This Row],[CODIGO]]="","",GUAYAQUIL[[#This Row],[Stock Actual Unds]]*GUAYAQUIL[[#This Row],[Gramaje]]*GUAYAQUIL[[#This Row],[Conversión]])/1000</f>
        <v>0.378</v>
      </c>
    </row>
    <row r="650" spans="1:30">
      <c r="A650" s="42" t="str">
        <f>+IFERROR(IF(GUAYAQUIL[[#This Row],[CODIGO]]="","",VLOOKUP(GUAYAQUIL[[#This Row],[CODIGO]],MAESTRO!$A:$J,10,FALSE)),"")</f>
        <v>MACHACHI</v>
      </c>
      <c r="B650" s="42" t="str">
        <f>+IFERROR(IF(GUAYAQUIL[[#This Row],[CODIGO]]="","",VLOOKUP(GUAYAQUIL[[#This Row],[CODIGO]],MAESTRO!$A:$Q,17,FALSE)),"")</f>
        <v>BEBIDAS LACTEAS</v>
      </c>
      <c r="C650" s="42" t="str">
        <f>+IFERROR(IF(GUAYAQUIL[[#This Row],[CODIGO]]="","",VLOOKUP(GUAYAQUIL[[#This Row],[CODIGO]],MAESTRO!$A:$BA,53,FALSE)),"")</f>
        <v xml:space="preserve">Luis Armendariz                         </v>
      </c>
      <c r="D650" s="42" t="str">
        <f>+IFERROR(IF(GUAYAQUIL[[#This Row],[CODIGO]]="","",VLOOKUP(GUAYAQUIL[[#This Row],[CODIGO]],MAESTRO!$A:$D,4,FALSE)),"")</f>
        <v>YOGURT KIOSKO</v>
      </c>
      <c r="E650" s="42" t="str">
        <f>+IFERROR(IF(GUAYAQUIL[[#This Row],[CODIGO]]="","",VLOOKUP(GUAYAQUIL[[#This Row],[CODIGO]],MAESTRO!$A:$F,6,FALSE)),"")</f>
        <v>BEBIDA DE YOGURT KIOSKO FUNDA FAMILI</v>
      </c>
      <c r="F650" s="42" t="str">
        <f>IF(GUAYAQUIL[[#This Row],[CODIGO]]="","",$K$6)</f>
        <v>GUAYAQUIL</v>
      </c>
      <c r="G650" s="1">
        <f>IF(GUAYAQUIL[[#This Row],[CODIGO]]="","",7711)</f>
        <v>7711</v>
      </c>
      <c r="H650" s="1">
        <f>IF(GUAYAQUIL[[#This Row],[CODIGO]]="","",1001)</f>
        <v>1001</v>
      </c>
      <c r="I650" s="258" t="s">
        <v>2858</v>
      </c>
      <c r="J650" s="43" t="str">
        <f>IFERROR((VLOOKUP(GUAYAQUIL[[#This Row],[CODIGO]],MAESTRO!A:B,2,FALSE)),"")</f>
        <v>YOG BBLE KIOSKO DZNO FUN 900G</v>
      </c>
      <c r="K650" s="35">
        <v>525</v>
      </c>
      <c r="L650" s="205">
        <f>+IFERROR(IF(GUAYAQUIL[[#This Row],[CODIGO]]="","",VLOOKUP(GUAYAQUIL[[#This Row],[CODIGO]],MAESTRO!$A:$BF,58,FALSE)),"")</f>
        <v>1</v>
      </c>
      <c r="M650" s="27">
        <f>+IFERROR(IF(GUAYAQUIL[[#This Row],[CODIGO]]="","",VLOOKUP(GUAYAQUIL[[#This Row],[CODIGO]],MAESTRO!A:N,14,FALSE)),"")</f>
        <v>0.9</v>
      </c>
      <c r="N650" s="206">
        <f>+IFERROR(IF(GUAYAQUIL[[#This Row],[CODIGO]]="","",VLOOKUP(GUAYAQUIL[[#This Row],[CODIGO]],MAESTRO!A:P,16,FALSE)),"")</f>
        <v>45</v>
      </c>
      <c r="O650" s="45">
        <v>45612</v>
      </c>
      <c r="P650" s="99" t="str">
        <f t="shared" si="50"/>
        <v>sábado</v>
      </c>
      <c r="Q650" s="278">
        <f>IFERROR(IF(GUAYAQUIL[[#This Row],[CODIGO]]="","",IF(GUAYAQUIL[[#This Row],[Fecha Cad]]="","",(GUAYAQUIL[[#This Row],[Fecha Cad]]-GUAYAQUIL[[#This Row],[VIDA UTIL (Días)]]))+1),"")</f>
        <v>45608</v>
      </c>
      <c r="R650" s="45">
        <v>45652</v>
      </c>
      <c r="S650" s="30">
        <f t="shared" ca="1" si="51"/>
        <v>28</v>
      </c>
      <c r="T650" s="279">
        <f t="shared" ca="1" si="52"/>
        <v>0.62222222222222223</v>
      </c>
      <c r="U650" s="288">
        <v>525</v>
      </c>
      <c r="V650" s="265">
        <f>+IFERROR(IF(GUAYAQUIL[[#This Row],[CODIGO]]="","",GUAYAQUIL[[#This Row],[Stock Actual Unds]]*GUAYAQUIL[[#This Row],[Gramaje]]*GUAYAQUIL[[#This Row],[Conversión]]),"")</f>
        <v>472.5</v>
      </c>
      <c r="W650" s="280">
        <f t="shared" si="53"/>
        <v>4</v>
      </c>
      <c r="X650" s="44">
        <f t="shared" si="54"/>
        <v>0.91111111111111109</v>
      </c>
      <c r="Y650" s="236">
        <f>IFERROR(VLOOKUP(GUAYAQUIL[[#This Row],[CODIGO]],MAESTRO!A:BI,21,FALSE),0)</f>
        <v>0.63201499999999999</v>
      </c>
      <c r="Z650" s="236">
        <f>+IFERROR(IF(GUAYAQUIL[[#This Row],[CODIGO]]="","",GUAYAQUIL[[#This Row],[COSTO UNIT base]]*GUAYAQUIL[[#This Row],[Conversión]]),"")</f>
        <v>0.63201499999999999</v>
      </c>
      <c r="AA650" s="236">
        <f>+IFERROR(IF(GUAYAQUIL[[#This Row],[CODIGO]]="","",GUAYAQUIL[[#This Row],[COSTO UNIT Conv]]*GUAYAQUIL[[#This Row],[Stock Actual Kgs]]),"")</f>
        <v>298.62708750000002</v>
      </c>
      <c r="AB650" s="180">
        <f ca="1">+IFERROR(IF(GUAYAQUIL[[#This Row],[CODIGO]]="","",$J$3-O650),"")</f>
        <v>12</v>
      </c>
      <c r="AC650" s="35" t="str">
        <f ca="1">IF(GUAYAQUIL[[#This Row],[CODIGO]]="","",IF(S650&lt;=0,"CADUCADO",IF(AND(S650&gt;0,S650&lt;=21),"FECHA CORTA",IF(AND(S650&gt;=22,S650&lt;=26),"PROXIMOS FECHA CORTA", "VIGENTE"))))</f>
        <v>VIGENTE</v>
      </c>
      <c r="AD650" s="289">
        <f>+IF(GUAYAQUIL[[#This Row],[CODIGO]]="","",GUAYAQUIL[[#This Row],[Stock Actual Unds]]*GUAYAQUIL[[#This Row],[Gramaje]]*GUAYAQUIL[[#This Row],[Conversión]])/1000</f>
        <v>0.47249999999999998</v>
      </c>
    </row>
    <row r="651" spans="1:30">
      <c r="A651" s="42" t="str">
        <f>+IFERROR(IF(GUAYAQUIL[[#This Row],[CODIGO]]="","",VLOOKUP(GUAYAQUIL[[#This Row],[CODIGO]],MAESTRO!$A:$J,10,FALSE)),"")</f>
        <v>MACHACHI</v>
      </c>
      <c r="B651" s="42" t="str">
        <f>+IFERROR(IF(GUAYAQUIL[[#This Row],[CODIGO]]="","",VLOOKUP(GUAYAQUIL[[#This Row],[CODIGO]],MAESTRO!$A:$Q,17,FALSE)),"")</f>
        <v>BEBIDAS LACTEAS</v>
      </c>
      <c r="C651" s="42" t="str">
        <f>+IFERROR(IF(GUAYAQUIL[[#This Row],[CODIGO]]="","",VLOOKUP(GUAYAQUIL[[#This Row],[CODIGO]],MAESTRO!$A:$BA,53,FALSE)),"")</f>
        <v xml:space="preserve">Luis Armendariz                         </v>
      </c>
      <c r="D651" s="42" t="str">
        <f>+IFERROR(IF(GUAYAQUIL[[#This Row],[CODIGO]]="","",VLOOKUP(GUAYAQUIL[[#This Row],[CODIGO]],MAESTRO!$A:$D,4,FALSE)),"")</f>
        <v>YOGURT KIOSKO</v>
      </c>
      <c r="E651" s="42" t="str">
        <f>+IFERROR(IF(GUAYAQUIL[[#This Row],[CODIGO]]="","",VLOOKUP(GUAYAQUIL[[#This Row],[CODIGO]],MAESTRO!$A:$F,6,FALSE)),"")</f>
        <v>BEBIDA DE YOGURT KIOSKO FUNDA FAMILI</v>
      </c>
      <c r="F651" s="42" t="str">
        <f>IF(GUAYAQUIL[[#This Row],[CODIGO]]="","",$K$6)</f>
        <v>GUAYAQUIL</v>
      </c>
      <c r="G651" s="1">
        <f>IF(GUAYAQUIL[[#This Row],[CODIGO]]="","",7711)</f>
        <v>7711</v>
      </c>
      <c r="H651" s="1">
        <f>IF(GUAYAQUIL[[#This Row],[CODIGO]]="","",1001)</f>
        <v>1001</v>
      </c>
      <c r="I651" s="258" t="s">
        <v>2858</v>
      </c>
      <c r="J651" s="43" t="str">
        <f>IFERROR((VLOOKUP(GUAYAQUIL[[#This Row],[CODIGO]],MAESTRO!A:B,2,FALSE)),"")</f>
        <v>YOG BBLE KIOSKO DZNO FUN 900G</v>
      </c>
      <c r="K651" s="35">
        <v>900</v>
      </c>
      <c r="L651" s="205">
        <f>+IFERROR(IF(GUAYAQUIL[[#This Row],[CODIGO]]="","",VLOOKUP(GUAYAQUIL[[#This Row],[CODIGO]],MAESTRO!$A:$BF,58,FALSE)),"")</f>
        <v>1</v>
      </c>
      <c r="M651" s="27">
        <f>+IFERROR(IF(GUAYAQUIL[[#This Row],[CODIGO]]="","",VLOOKUP(GUAYAQUIL[[#This Row],[CODIGO]],MAESTRO!A:N,14,FALSE)),"")</f>
        <v>0.9</v>
      </c>
      <c r="N651" s="206">
        <f>+IFERROR(IF(GUAYAQUIL[[#This Row],[CODIGO]]="","",VLOOKUP(GUAYAQUIL[[#This Row],[CODIGO]],MAESTRO!A:P,16,FALSE)),"")</f>
        <v>45</v>
      </c>
      <c r="O651" s="45">
        <v>45611</v>
      </c>
      <c r="P651" s="99" t="str">
        <f t="shared" si="50"/>
        <v>viernes</v>
      </c>
      <c r="Q651" s="278">
        <f>IFERROR(IF(GUAYAQUIL[[#This Row],[CODIGO]]="","",IF(GUAYAQUIL[[#This Row],[Fecha Cad]]="","",(GUAYAQUIL[[#This Row],[Fecha Cad]]-GUAYAQUIL[[#This Row],[VIDA UTIL (Días)]]))+1),"")</f>
        <v>45603</v>
      </c>
      <c r="R651" s="45">
        <v>45647</v>
      </c>
      <c r="S651" s="30">
        <f t="shared" ca="1" si="51"/>
        <v>23</v>
      </c>
      <c r="T651" s="279">
        <f t="shared" ca="1" si="52"/>
        <v>0.51111111111111107</v>
      </c>
      <c r="U651" s="288">
        <v>564</v>
      </c>
      <c r="V651" s="265">
        <f>+IFERROR(IF(GUAYAQUIL[[#This Row],[CODIGO]]="","",GUAYAQUIL[[#This Row],[Stock Actual Unds]]*GUAYAQUIL[[#This Row],[Gramaje]]*GUAYAQUIL[[#This Row],[Conversión]]),"")</f>
        <v>507.6</v>
      </c>
      <c r="W651" s="280">
        <f t="shared" si="53"/>
        <v>8</v>
      </c>
      <c r="X651" s="44">
        <f t="shared" si="54"/>
        <v>0.82222222222222219</v>
      </c>
      <c r="Y651" s="236">
        <f>IFERROR(VLOOKUP(GUAYAQUIL[[#This Row],[CODIGO]],MAESTRO!A:BI,21,FALSE),0)</f>
        <v>0.63201499999999999</v>
      </c>
      <c r="Z651" s="236">
        <f>+IFERROR(IF(GUAYAQUIL[[#This Row],[CODIGO]]="","",GUAYAQUIL[[#This Row],[COSTO UNIT base]]*GUAYAQUIL[[#This Row],[Conversión]]),"")</f>
        <v>0.63201499999999999</v>
      </c>
      <c r="AA651" s="236">
        <f>+IFERROR(IF(GUAYAQUIL[[#This Row],[CODIGO]]="","",GUAYAQUIL[[#This Row],[COSTO UNIT Conv]]*GUAYAQUIL[[#This Row],[Stock Actual Kgs]]),"")</f>
        <v>320.81081399999999</v>
      </c>
      <c r="AB651" s="180">
        <f ca="1">+IFERROR(IF(GUAYAQUIL[[#This Row],[CODIGO]]="","",$J$3-O651),"")</f>
        <v>13</v>
      </c>
      <c r="AC651" s="35" t="str">
        <f ca="1">IF(GUAYAQUIL[[#This Row],[CODIGO]]="","",IF(S651&lt;=0,"CADUCADO",IF(AND(S651&gt;0,S651&lt;=21),"FECHA CORTA",IF(AND(S651&gt;=22,S651&lt;=26),"PROXIMOS FECHA CORTA", "VIGENTE"))))</f>
        <v>PROXIMOS FECHA CORTA</v>
      </c>
      <c r="AD651" s="289">
        <f>+IF(GUAYAQUIL[[#This Row],[CODIGO]]="","",GUAYAQUIL[[#This Row],[Stock Actual Unds]]*GUAYAQUIL[[#This Row],[Gramaje]]*GUAYAQUIL[[#This Row],[Conversión]])/1000</f>
        <v>0.50760000000000005</v>
      </c>
    </row>
    <row r="652" spans="1:30">
      <c r="A652" s="42" t="str">
        <f>+IFERROR(IF(GUAYAQUIL[[#This Row],[CODIGO]]="","",VLOOKUP(GUAYAQUIL[[#This Row],[CODIGO]],MAESTRO!$A:$J,10,FALSE)),"")</f>
        <v>MACHACHI</v>
      </c>
      <c r="B652" s="42" t="str">
        <f>+IFERROR(IF(GUAYAQUIL[[#This Row],[CODIGO]]="","",VLOOKUP(GUAYAQUIL[[#This Row],[CODIGO]],MAESTRO!$A:$Q,17,FALSE)),"")</f>
        <v>BEBIDAS LACTEAS</v>
      </c>
      <c r="C652" s="42" t="str">
        <f>+IFERROR(IF(GUAYAQUIL[[#This Row],[CODIGO]]="","",VLOOKUP(GUAYAQUIL[[#This Row],[CODIGO]],MAESTRO!$A:$BA,53,FALSE)),"")</f>
        <v xml:space="preserve">Luis Armendariz                         </v>
      </c>
      <c r="D652" s="42" t="str">
        <f>+IFERROR(IF(GUAYAQUIL[[#This Row],[CODIGO]]="","",VLOOKUP(GUAYAQUIL[[#This Row],[CODIGO]],MAESTRO!$A:$D,4,FALSE)),"")</f>
        <v>YOGURT KIOSKO</v>
      </c>
      <c r="E652" s="42" t="str">
        <f>+IFERROR(IF(GUAYAQUIL[[#This Row],[CODIGO]]="","",VLOOKUP(GUAYAQUIL[[#This Row],[CODIGO]],MAESTRO!$A:$F,6,FALSE)),"")</f>
        <v>BEBIDA DE YOGURT KIOSKO FUNDA FAMILI</v>
      </c>
      <c r="F652" s="42" t="str">
        <f>IF(GUAYAQUIL[[#This Row],[CODIGO]]="","",$K$6)</f>
        <v>GUAYAQUIL</v>
      </c>
      <c r="G652" s="1">
        <f>IF(GUAYAQUIL[[#This Row],[CODIGO]]="","",7711)</f>
        <v>7711</v>
      </c>
      <c r="H652" s="1">
        <f>IF(GUAYAQUIL[[#This Row],[CODIGO]]="","",1001)</f>
        <v>1001</v>
      </c>
      <c r="I652" s="258" t="s">
        <v>2858</v>
      </c>
      <c r="J652" s="43" t="str">
        <f>IFERROR((VLOOKUP(GUAYAQUIL[[#This Row],[CODIGO]],MAESTRO!A:B,2,FALSE)),"")</f>
        <v>YOG BBLE KIOSKO DZNO FUN 900G</v>
      </c>
      <c r="K652" s="35">
        <v>900</v>
      </c>
      <c r="L652" s="205">
        <f>+IFERROR(IF(GUAYAQUIL[[#This Row],[CODIGO]]="","",VLOOKUP(GUAYAQUIL[[#This Row],[CODIGO]],MAESTRO!$A:$BF,58,FALSE)),"")</f>
        <v>1</v>
      </c>
      <c r="M652" s="27">
        <f>+IFERROR(IF(GUAYAQUIL[[#This Row],[CODIGO]]="","",VLOOKUP(GUAYAQUIL[[#This Row],[CODIGO]],MAESTRO!A:N,14,FALSE)),"")</f>
        <v>0.9</v>
      </c>
      <c r="N652" s="206">
        <f>+IFERROR(IF(GUAYAQUIL[[#This Row],[CODIGO]]="","",VLOOKUP(GUAYAQUIL[[#This Row],[CODIGO]],MAESTRO!A:P,16,FALSE)),"")</f>
        <v>45</v>
      </c>
      <c r="O652" s="45">
        <v>45615</v>
      </c>
      <c r="P652" s="99" t="str">
        <f t="shared" si="50"/>
        <v>martes</v>
      </c>
      <c r="Q652" s="278">
        <f>IFERROR(IF(GUAYAQUIL[[#This Row],[CODIGO]]="","",IF(GUAYAQUIL[[#This Row],[Fecha Cad]]="","",(GUAYAQUIL[[#This Row],[Fecha Cad]]-GUAYAQUIL[[#This Row],[VIDA UTIL (Días)]]))+1),"")</f>
        <v>45609</v>
      </c>
      <c r="R652" s="45">
        <v>45653</v>
      </c>
      <c r="S652" s="30">
        <f t="shared" ref="S652:S683" ca="1" si="55">+IFERROR(IF(R652="","",R652-$J$3),0)</f>
        <v>29</v>
      </c>
      <c r="T652" s="279">
        <f t="shared" ca="1" si="52"/>
        <v>0.64444444444444449</v>
      </c>
      <c r="U652" s="288">
        <v>900</v>
      </c>
      <c r="V652" s="265">
        <f>+IFERROR(IF(GUAYAQUIL[[#This Row],[CODIGO]]="","",GUAYAQUIL[[#This Row],[Stock Actual Unds]]*GUAYAQUIL[[#This Row],[Gramaje]]*GUAYAQUIL[[#This Row],[Conversión]]),"")</f>
        <v>810</v>
      </c>
      <c r="W652" s="280">
        <f t="shared" si="53"/>
        <v>6</v>
      </c>
      <c r="X652" s="44">
        <f t="shared" si="54"/>
        <v>0.8666666666666667</v>
      </c>
      <c r="Y652" s="236">
        <f>IFERROR(VLOOKUP(GUAYAQUIL[[#This Row],[CODIGO]],MAESTRO!A:BI,21,FALSE),0)</f>
        <v>0.63201499999999999</v>
      </c>
      <c r="Z652" s="236">
        <f>+IFERROR(IF(GUAYAQUIL[[#This Row],[CODIGO]]="","",GUAYAQUIL[[#This Row],[COSTO UNIT base]]*GUAYAQUIL[[#This Row],[Conversión]]),"")</f>
        <v>0.63201499999999999</v>
      </c>
      <c r="AA652" s="236">
        <f>+IFERROR(IF(GUAYAQUIL[[#This Row],[CODIGO]]="","",GUAYAQUIL[[#This Row],[COSTO UNIT Conv]]*GUAYAQUIL[[#This Row],[Stock Actual Kgs]]),"")</f>
        <v>511.93214999999998</v>
      </c>
      <c r="AB652" s="180">
        <f ca="1">+IFERROR(IF(GUAYAQUIL[[#This Row],[CODIGO]]="","",$J$3-O652),"")</f>
        <v>9</v>
      </c>
      <c r="AC652" s="35" t="str">
        <f ca="1">IF(GUAYAQUIL[[#This Row],[CODIGO]]="","",IF(S652&lt;=0,"CADUCADO",IF(AND(S652&gt;0,S652&lt;=21),"FECHA CORTA",IF(AND(S652&gt;=22,S652&lt;=26),"PROXIMOS FECHA CORTA", "VIGENTE"))))</f>
        <v>VIGENTE</v>
      </c>
      <c r="AD652" s="289">
        <f>+IF(GUAYAQUIL[[#This Row],[CODIGO]]="","",GUAYAQUIL[[#This Row],[Stock Actual Unds]]*GUAYAQUIL[[#This Row],[Gramaje]]*GUAYAQUIL[[#This Row],[Conversión]])/1000</f>
        <v>0.81</v>
      </c>
    </row>
    <row r="653" spans="1:30">
      <c r="A653" s="42" t="str">
        <f>+IFERROR(IF(GUAYAQUIL[[#This Row],[CODIGO]]="","",VLOOKUP(GUAYAQUIL[[#This Row],[CODIGO]],MAESTRO!$A:$J,10,FALSE)),"")</f>
        <v>MACHACHI</v>
      </c>
      <c r="B653" s="42" t="str">
        <f>+IFERROR(IF(GUAYAQUIL[[#This Row],[CODIGO]]="","",VLOOKUP(GUAYAQUIL[[#This Row],[CODIGO]],MAESTRO!$A:$Q,17,FALSE)),"")</f>
        <v>BEBIDAS LACTEAS</v>
      </c>
      <c r="C653" s="42" t="str">
        <f>+IFERROR(IF(GUAYAQUIL[[#This Row],[CODIGO]]="","",VLOOKUP(GUAYAQUIL[[#This Row],[CODIGO]],MAESTRO!$A:$BA,53,FALSE)),"")</f>
        <v xml:space="preserve">Luis Armendariz                         </v>
      </c>
      <c r="D653" s="42" t="str">
        <f>+IFERROR(IF(GUAYAQUIL[[#This Row],[CODIGO]]="","",VLOOKUP(GUAYAQUIL[[#This Row],[CODIGO]],MAESTRO!$A:$D,4,FALSE)),"")</f>
        <v>YOGURT KIOSKO</v>
      </c>
      <c r="E653" s="42" t="str">
        <f>+IFERROR(IF(GUAYAQUIL[[#This Row],[CODIGO]]="","",VLOOKUP(GUAYAQUIL[[#This Row],[CODIGO]],MAESTRO!$A:$F,6,FALSE)),"")</f>
        <v>BEBIDA DE YOGURT KIOSKO BOTELLA FAMILIAR</v>
      </c>
      <c r="F653" s="42" t="str">
        <f>IF(GUAYAQUIL[[#This Row],[CODIGO]]="","",$K$6)</f>
        <v>GUAYAQUIL</v>
      </c>
      <c r="G653" s="1">
        <f>IF(GUAYAQUIL[[#This Row],[CODIGO]]="","",7711)</f>
        <v>7711</v>
      </c>
      <c r="H653" s="1">
        <f>IF(GUAYAQUIL[[#This Row],[CODIGO]]="","",1001)</f>
        <v>1001</v>
      </c>
      <c r="I653" s="258" t="s">
        <v>3139</v>
      </c>
      <c r="J653" s="43" t="str">
        <f>IFERROR((VLOOKUP(GUAYAQUIL[[#This Row],[CODIGO]],MAESTRO!A:B,2,FALSE)),"")</f>
        <v>YOG BBLE KIOSKO FTLLA BOT 1700G</v>
      </c>
      <c r="K653" s="35">
        <v>12</v>
      </c>
      <c r="L653" s="205">
        <f>+IFERROR(IF(GUAYAQUIL[[#This Row],[CODIGO]]="","",VLOOKUP(GUAYAQUIL[[#This Row],[CODIGO]],MAESTRO!$A:$BF,58,FALSE)),"")</f>
        <v>1</v>
      </c>
      <c r="M653" s="27">
        <f>+IFERROR(IF(GUAYAQUIL[[#This Row],[CODIGO]]="","",VLOOKUP(GUAYAQUIL[[#This Row],[CODIGO]],MAESTRO!A:N,14,FALSE)),"")</f>
        <v>1.7</v>
      </c>
      <c r="N653" s="206">
        <f>+IFERROR(IF(GUAYAQUIL[[#This Row],[CODIGO]]="","",VLOOKUP(GUAYAQUIL[[#This Row],[CODIGO]],MAESTRO!A:P,16,FALSE)),"")</f>
        <v>45</v>
      </c>
      <c r="O653" s="45">
        <v>45595</v>
      </c>
      <c r="P653" s="99" t="str">
        <f t="shared" si="50"/>
        <v>miércoles</v>
      </c>
      <c r="Q653" s="278">
        <f>IFERROR(IF(GUAYAQUIL[[#This Row],[CODIGO]]="","",IF(GUAYAQUIL[[#This Row],[Fecha Cad]]="","",(GUAYAQUIL[[#This Row],[Fecha Cad]]-GUAYAQUIL[[#This Row],[VIDA UTIL (Días)]]))+1),"")</f>
        <v>45590</v>
      </c>
      <c r="R653" s="45">
        <v>45634</v>
      </c>
      <c r="S653" s="30">
        <f t="shared" ca="1" si="55"/>
        <v>10</v>
      </c>
      <c r="T653" s="279">
        <f t="shared" ca="1" si="52"/>
        <v>0.22222222222222221</v>
      </c>
      <c r="U653" s="288">
        <v>0</v>
      </c>
      <c r="V653" s="265">
        <f>+IFERROR(IF(GUAYAQUIL[[#This Row],[CODIGO]]="","",GUAYAQUIL[[#This Row],[Stock Actual Unds]]*GUAYAQUIL[[#This Row],[Gramaje]]*GUAYAQUIL[[#This Row],[Conversión]]),"")</f>
        <v>0</v>
      </c>
      <c r="W653" s="280">
        <f t="shared" si="53"/>
        <v>5</v>
      </c>
      <c r="X653" s="44">
        <f t="shared" si="54"/>
        <v>0.88888888888888884</v>
      </c>
      <c r="Y653" s="236">
        <f>IFERROR(VLOOKUP(GUAYAQUIL[[#This Row],[CODIGO]],MAESTRO!A:BI,21,FALSE),0)</f>
        <v>1.7276500000000001</v>
      </c>
      <c r="Z653" s="236">
        <f>+IFERROR(IF(GUAYAQUIL[[#This Row],[CODIGO]]="","",GUAYAQUIL[[#This Row],[COSTO UNIT base]]*GUAYAQUIL[[#This Row],[Conversión]]),"")</f>
        <v>1.7276500000000001</v>
      </c>
      <c r="AA653" s="236">
        <f>+IFERROR(IF(GUAYAQUIL[[#This Row],[CODIGO]]="","",GUAYAQUIL[[#This Row],[COSTO UNIT Conv]]*GUAYAQUIL[[#This Row],[Stock Actual Kgs]]),"")</f>
        <v>0</v>
      </c>
      <c r="AB653" s="180">
        <f ca="1">+IFERROR(IF(GUAYAQUIL[[#This Row],[CODIGO]]="","",$J$3-O653),"")</f>
        <v>29</v>
      </c>
      <c r="AC653" s="35" t="str">
        <f ca="1">IF(GUAYAQUIL[[#This Row],[CODIGO]]="","",IF(S653&lt;=0,"CADUCADO",IF(AND(S653&gt;0,S653&lt;=21),"FECHA CORTA",IF(AND(S653&gt;=22,S653&lt;=26),"PROXIMOS FECHA CORTA", "VIGENTE"))))</f>
        <v>FECHA CORTA</v>
      </c>
      <c r="AD653" s="289">
        <f>+IF(GUAYAQUIL[[#This Row],[CODIGO]]="","",GUAYAQUIL[[#This Row],[Stock Actual Unds]]*GUAYAQUIL[[#This Row],[Gramaje]]*GUAYAQUIL[[#This Row],[Conversión]])/1000</f>
        <v>0</v>
      </c>
    </row>
    <row r="654" spans="1:30">
      <c r="A654" s="42" t="str">
        <f>+IFERROR(IF(GUAYAQUIL[[#This Row],[CODIGO]]="","",VLOOKUP(GUAYAQUIL[[#This Row],[CODIGO]],MAESTRO!$A:$J,10,FALSE)),"")</f>
        <v>MACHACHI</v>
      </c>
      <c r="B654" s="42" t="str">
        <f>+IFERROR(IF(GUAYAQUIL[[#This Row],[CODIGO]]="","",VLOOKUP(GUAYAQUIL[[#This Row],[CODIGO]],MAESTRO!$A:$Q,17,FALSE)),"")</f>
        <v>BEBIDAS LACTEAS</v>
      </c>
      <c r="C654" s="42" t="str">
        <f>+IFERROR(IF(GUAYAQUIL[[#This Row],[CODIGO]]="","",VLOOKUP(GUAYAQUIL[[#This Row],[CODIGO]],MAESTRO!$A:$BA,53,FALSE)),"")</f>
        <v xml:space="preserve">Luis Armendariz                         </v>
      </c>
      <c r="D654" s="42" t="str">
        <f>+IFERROR(IF(GUAYAQUIL[[#This Row],[CODIGO]]="","",VLOOKUP(GUAYAQUIL[[#This Row],[CODIGO]],MAESTRO!$A:$D,4,FALSE)),"")</f>
        <v>YOGURT KIOSKO</v>
      </c>
      <c r="E654" s="42" t="str">
        <f>+IFERROR(IF(GUAYAQUIL[[#This Row],[CODIGO]]="","",VLOOKUP(GUAYAQUIL[[#This Row],[CODIGO]],MAESTRO!$A:$F,6,FALSE)),"")</f>
        <v>BEBIDA DE YOGURT KIOSKO BOTELLA FAMILIAR</v>
      </c>
      <c r="F654" s="42" t="str">
        <f>IF(GUAYAQUIL[[#This Row],[CODIGO]]="","",$K$6)</f>
        <v>GUAYAQUIL</v>
      </c>
      <c r="G654" s="1">
        <f>IF(GUAYAQUIL[[#This Row],[CODIGO]]="","",7711)</f>
        <v>7711</v>
      </c>
      <c r="H654" s="1">
        <f>IF(GUAYAQUIL[[#This Row],[CODIGO]]="","",1001)</f>
        <v>1001</v>
      </c>
      <c r="I654" s="258" t="s">
        <v>3139</v>
      </c>
      <c r="J654" s="43" t="str">
        <f>IFERROR((VLOOKUP(GUAYAQUIL[[#This Row],[CODIGO]],MAESTRO!A:B,2,FALSE)),"")</f>
        <v>YOG BBLE KIOSKO FTLLA BOT 1700G</v>
      </c>
      <c r="K654" s="35">
        <v>12</v>
      </c>
      <c r="L654" s="205">
        <f>+IFERROR(IF(GUAYAQUIL[[#This Row],[CODIGO]]="","",VLOOKUP(GUAYAQUIL[[#This Row],[CODIGO]],MAESTRO!$A:$BF,58,FALSE)),"")</f>
        <v>1</v>
      </c>
      <c r="M654" s="27">
        <f>+IFERROR(IF(GUAYAQUIL[[#This Row],[CODIGO]]="","",VLOOKUP(GUAYAQUIL[[#This Row],[CODIGO]],MAESTRO!A:N,14,FALSE)),"")</f>
        <v>1.7</v>
      </c>
      <c r="N654" s="206">
        <f>+IFERROR(IF(GUAYAQUIL[[#This Row],[CODIGO]]="","",VLOOKUP(GUAYAQUIL[[#This Row],[CODIGO]],MAESTRO!A:P,16,FALSE)),"")</f>
        <v>45</v>
      </c>
      <c r="O654" s="45">
        <v>45596</v>
      </c>
      <c r="P654" s="99" t="str">
        <f t="shared" si="50"/>
        <v>jueves</v>
      </c>
      <c r="Q654" s="278">
        <f>IFERROR(IF(GUAYAQUIL[[#This Row],[CODIGO]]="","",IF(GUAYAQUIL[[#This Row],[Fecha Cad]]="","",(GUAYAQUIL[[#This Row],[Fecha Cad]]-GUAYAQUIL[[#This Row],[VIDA UTIL (Días)]]))+1),"")</f>
        <v>45590</v>
      </c>
      <c r="R654" s="45">
        <v>45634</v>
      </c>
      <c r="S654" s="30">
        <f t="shared" ca="1" si="55"/>
        <v>10</v>
      </c>
      <c r="T654" s="279">
        <f t="shared" ca="1" si="52"/>
        <v>0.22222222222222221</v>
      </c>
      <c r="U654" s="288">
        <v>12</v>
      </c>
      <c r="V654" s="265">
        <f>+IFERROR(IF(GUAYAQUIL[[#This Row],[CODIGO]]="","",GUAYAQUIL[[#This Row],[Stock Actual Unds]]*GUAYAQUIL[[#This Row],[Gramaje]]*GUAYAQUIL[[#This Row],[Conversión]]),"")</f>
        <v>20.399999999999999</v>
      </c>
      <c r="W654" s="280">
        <f t="shared" si="53"/>
        <v>6</v>
      </c>
      <c r="X654" s="44">
        <f t="shared" si="54"/>
        <v>0.8666666666666667</v>
      </c>
      <c r="Y654" s="236">
        <f>IFERROR(VLOOKUP(GUAYAQUIL[[#This Row],[CODIGO]],MAESTRO!A:BI,21,FALSE),0)</f>
        <v>1.7276500000000001</v>
      </c>
      <c r="Z654" s="236">
        <f>+IFERROR(IF(GUAYAQUIL[[#This Row],[CODIGO]]="","",GUAYAQUIL[[#This Row],[COSTO UNIT base]]*GUAYAQUIL[[#This Row],[Conversión]]),"")</f>
        <v>1.7276500000000001</v>
      </c>
      <c r="AA654" s="236">
        <f>+IFERROR(IF(GUAYAQUIL[[#This Row],[CODIGO]]="","",GUAYAQUIL[[#This Row],[COSTO UNIT Conv]]*GUAYAQUIL[[#This Row],[Stock Actual Kgs]]),"")</f>
        <v>35.244059999999998</v>
      </c>
      <c r="AB654" s="180">
        <f ca="1">+IFERROR(IF(GUAYAQUIL[[#This Row],[CODIGO]]="","",$J$3-O654),"")</f>
        <v>28</v>
      </c>
      <c r="AC654" s="35" t="str">
        <f ca="1">IF(GUAYAQUIL[[#This Row],[CODIGO]]="","",IF(S654&lt;=0,"CADUCADO",IF(AND(S654&gt;0,S654&lt;=21),"FECHA CORTA",IF(AND(S654&gt;=22,S654&lt;=26),"PROXIMOS FECHA CORTA", "VIGENTE"))))</f>
        <v>FECHA CORTA</v>
      </c>
      <c r="AD654" s="289">
        <f>+IF(GUAYAQUIL[[#This Row],[CODIGO]]="","",GUAYAQUIL[[#This Row],[Stock Actual Unds]]*GUAYAQUIL[[#This Row],[Gramaje]]*GUAYAQUIL[[#This Row],[Conversión]])/1000</f>
        <v>2.0399999999999998E-2</v>
      </c>
    </row>
    <row r="655" spans="1:30">
      <c r="A655" s="42" t="str">
        <f>+IFERROR(IF(GUAYAQUIL[[#This Row],[CODIGO]]="","",VLOOKUP(GUAYAQUIL[[#This Row],[CODIGO]],MAESTRO!$A:$J,10,FALSE)),"")</f>
        <v>MACHACHI</v>
      </c>
      <c r="B655" s="42" t="str">
        <f>+IFERROR(IF(GUAYAQUIL[[#This Row],[CODIGO]]="","",VLOOKUP(GUAYAQUIL[[#This Row],[CODIGO]],MAESTRO!$A:$Q,17,FALSE)),"")</f>
        <v>BEBIDAS LACTEAS</v>
      </c>
      <c r="C655" s="42" t="str">
        <f>+IFERROR(IF(GUAYAQUIL[[#This Row],[CODIGO]]="","",VLOOKUP(GUAYAQUIL[[#This Row],[CODIGO]],MAESTRO!$A:$BA,53,FALSE)),"")</f>
        <v xml:space="preserve">Luis Armendariz                         </v>
      </c>
      <c r="D655" s="42" t="str">
        <f>+IFERROR(IF(GUAYAQUIL[[#This Row],[CODIGO]]="","",VLOOKUP(GUAYAQUIL[[#This Row],[CODIGO]],MAESTRO!$A:$D,4,FALSE)),"")</f>
        <v>YOGURT KIOSKO</v>
      </c>
      <c r="E655" s="42" t="str">
        <f>+IFERROR(IF(GUAYAQUIL[[#This Row],[CODIGO]]="","",VLOOKUP(GUAYAQUIL[[#This Row],[CODIGO]],MAESTRO!$A:$F,6,FALSE)),"")</f>
        <v>BEBIDA DE YOGURT KIOSKO BOTELLA FAMILIAR</v>
      </c>
      <c r="F655" s="42" t="str">
        <f>IF(GUAYAQUIL[[#This Row],[CODIGO]]="","",$K$6)</f>
        <v>GUAYAQUIL</v>
      </c>
      <c r="G655" s="1">
        <f>IF(GUAYAQUIL[[#This Row],[CODIGO]]="","",7711)</f>
        <v>7711</v>
      </c>
      <c r="H655" s="1">
        <f>IF(GUAYAQUIL[[#This Row],[CODIGO]]="","",1001)</f>
        <v>1001</v>
      </c>
      <c r="I655" s="258" t="s">
        <v>3139</v>
      </c>
      <c r="J655" s="43" t="str">
        <f>IFERROR((VLOOKUP(GUAYAQUIL[[#This Row],[CODIGO]],MAESTRO!A:B,2,FALSE)),"")</f>
        <v>YOG BBLE KIOSKO FTLLA BOT 1700G</v>
      </c>
      <c r="K655" s="35">
        <v>12</v>
      </c>
      <c r="L655" s="205">
        <f>+IFERROR(IF(GUAYAQUIL[[#This Row],[CODIGO]]="","",VLOOKUP(GUAYAQUIL[[#This Row],[CODIGO]],MAESTRO!$A:$BF,58,FALSE)),"")</f>
        <v>1</v>
      </c>
      <c r="M655" s="27">
        <f>+IFERROR(IF(GUAYAQUIL[[#This Row],[CODIGO]]="","",VLOOKUP(GUAYAQUIL[[#This Row],[CODIGO]],MAESTRO!A:N,14,FALSE)),"")</f>
        <v>1.7</v>
      </c>
      <c r="N655" s="206">
        <f>+IFERROR(IF(GUAYAQUIL[[#This Row],[CODIGO]]="","",VLOOKUP(GUAYAQUIL[[#This Row],[CODIGO]],MAESTRO!A:P,16,FALSE)),"")</f>
        <v>45</v>
      </c>
      <c r="O655" s="45">
        <v>45603</v>
      </c>
      <c r="P655" s="99" t="str">
        <f t="shared" si="50"/>
        <v>jueves</v>
      </c>
      <c r="Q655" s="278">
        <f>IFERROR(IF(GUAYAQUIL[[#This Row],[CODIGO]]="","",IF(GUAYAQUIL[[#This Row],[Fecha Cad]]="","",(GUAYAQUIL[[#This Row],[Fecha Cad]]-GUAYAQUIL[[#This Row],[VIDA UTIL (Días)]]))+1),"")</f>
        <v>45596</v>
      </c>
      <c r="R655" s="45">
        <v>45640</v>
      </c>
      <c r="S655" s="30">
        <f t="shared" ca="1" si="55"/>
        <v>16</v>
      </c>
      <c r="T655" s="279">
        <f t="shared" ca="1" si="52"/>
        <v>0.35555555555555557</v>
      </c>
      <c r="U655" s="288">
        <v>4</v>
      </c>
      <c r="V655" s="265">
        <f>+IFERROR(IF(GUAYAQUIL[[#This Row],[CODIGO]]="","",GUAYAQUIL[[#This Row],[Stock Actual Unds]]*GUAYAQUIL[[#This Row],[Gramaje]]*GUAYAQUIL[[#This Row],[Conversión]]),"")</f>
        <v>6.8</v>
      </c>
      <c r="W655" s="280">
        <f t="shared" si="53"/>
        <v>7</v>
      </c>
      <c r="X655" s="44">
        <f t="shared" si="54"/>
        <v>0.84444444444444444</v>
      </c>
      <c r="Y655" s="236">
        <f>IFERROR(VLOOKUP(GUAYAQUIL[[#This Row],[CODIGO]],MAESTRO!A:BI,21,FALSE),0)</f>
        <v>1.7276500000000001</v>
      </c>
      <c r="Z655" s="236">
        <f>+IFERROR(IF(GUAYAQUIL[[#This Row],[CODIGO]]="","",GUAYAQUIL[[#This Row],[COSTO UNIT base]]*GUAYAQUIL[[#This Row],[Conversión]]),"")</f>
        <v>1.7276500000000001</v>
      </c>
      <c r="AA655" s="236">
        <f>+IFERROR(IF(GUAYAQUIL[[#This Row],[CODIGO]]="","",GUAYAQUIL[[#This Row],[COSTO UNIT Conv]]*GUAYAQUIL[[#This Row],[Stock Actual Kgs]]),"")</f>
        <v>11.74802</v>
      </c>
      <c r="AB655" s="180">
        <f ca="1">+IFERROR(IF(GUAYAQUIL[[#This Row],[CODIGO]]="","",$J$3-O655),"")</f>
        <v>21</v>
      </c>
      <c r="AC655" s="35" t="str">
        <f ca="1">IF(GUAYAQUIL[[#This Row],[CODIGO]]="","",IF(S655&lt;=0,"CADUCADO",IF(AND(S655&gt;0,S655&lt;=21),"FECHA CORTA",IF(AND(S655&gt;=22,S655&lt;=26),"PROXIMOS FECHA CORTA", "VIGENTE"))))</f>
        <v>FECHA CORTA</v>
      </c>
      <c r="AD655" s="289">
        <f>+IF(GUAYAQUIL[[#This Row],[CODIGO]]="","",GUAYAQUIL[[#This Row],[Stock Actual Unds]]*GUAYAQUIL[[#This Row],[Gramaje]]*GUAYAQUIL[[#This Row],[Conversión]])/1000</f>
        <v>6.7999999999999996E-3</v>
      </c>
    </row>
    <row r="656" spans="1:30">
      <c r="A656" s="42" t="str">
        <f>+IFERROR(IF(GUAYAQUIL[[#This Row],[CODIGO]]="","",VLOOKUP(GUAYAQUIL[[#This Row],[CODIGO]],MAESTRO!$A:$J,10,FALSE)),"")</f>
        <v>MACHACHI</v>
      </c>
      <c r="B656" s="42" t="str">
        <f>+IFERROR(IF(GUAYAQUIL[[#This Row],[CODIGO]]="","",VLOOKUP(GUAYAQUIL[[#This Row],[CODIGO]],MAESTRO!$A:$Q,17,FALSE)),"")</f>
        <v>BEBIDAS LACTEAS</v>
      </c>
      <c r="C656" s="42" t="str">
        <f>+IFERROR(IF(GUAYAQUIL[[#This Row],[CODIGO]]="","",VLOOKUP(GUAYAQUIL[[#This Row],[CODIGO]],MAESTRO!$A:$BA,53,FALSE)),"")</f>
        <v xml:space="preserve">Luis Armendariz                         </v>
      </c>
      <c r="D656" s="42" t="str">
        <f>+IFERROR(IF(GUAYAQUIL[[#This Row],[CODIGO]]="","",VLOOKUP(GUAYAQUIL[[#This Row],[CODIGO]],MAESTRO!$A:$D,4,FALSE)),"")</f>
        <v>YOGURT KIOSKO</v>
      </c>
      <c r="E656" s="42" t="str">
        <f>+IFERROR(IF(GUAYAQUIL[[#This Row],[CODIGO]]="","",VLOOKUP(GUAYAQUIL[[#This Row],[CODIGO]],MAESTRO!$A:$F,6,FALSE)),"")</f>
        <v>BEBIDA DE YOGURT KIOSKO BOTELLA FAMILIAR</v>
      </c>
      <c r="F656" s="42" t="str">
        <f>IF(GUAYAQUIL[[#This Row],[CODIGO]]="","",$K$6)</f>
        <v>GUAYAQUIL</v>
      </c>
      <c r="G656" s="1">
        <f>IF(GUAYAQUIL[[#This Row],[CODIGO]]="","",7711)</f>
        <v>7711</v>
      </c>
      <c r="H656" s="1">
        <f>IF(GUAYAQUIL[[#This Row],[CODIGO]]="","",1001)</f>
        <v>1001</v>
      </c>
      <c r="I656" s="258" t="s">
        <v>3139</v>
      </c>
      <c r="J656" s="43" t="str">
        <f>IFERROR((VLOOKUP(GUAYAQUIL[[#This Row],[CODIGO]],MAESTRO!A:B,2,FALSE)),"")</f>
        <v>YOG BBLE KIOSKO FTLLA BOT 1700G</v>
      </c>
      <c r="K656" s="35">
        <v>12</v>
      </c>
      <c r="L656" s="205">
        <f>+IFERROR(IF(GUAYAQUIL[[#This Row],[CODIGO]]="","",VLOOKUP(GUAYAQUIL[[#This Row],[CODIGO]],MAESTRO!$A:$BF,58,FALSE)),"")</f>
        <v>1</v>
      </c>
      <c r="M656" s="27">
        <f>+IFERROR(IF(GUAYAQUIL[[#This Row],[CODIGO]]="","",VLOOKUP(GUAYAQUIL[[#This Row],[CODIGO]],MAESTRO!A:N,14,FALSE)),"")</f>
        <v>1.7</v>
      </c>
      <c r="N656" s="206">
        <f>+IFERROR(IF(GUAYAQUIL[[#This Row],[CODIGO]]="","",VLOOKUP(GUAYAQUIL[[#This Row],[CODIGO]],MAESTRO!A:P,16,FALSE)),"")</f>
        <v>45</v>
      </c>
      <c r="O656" s="45">
        <v>45605</v>
      </c>
      <c r="P656" s="99" t="str">
        <f t="shared" si="50"/>
        <v>sábado</v>
      </c>
      <c r="Q656" s="278">
        <f>IFERROR(IF(GUAYAQUIL[[#This Row],[CODIGO]]="","",IF(GUAYAQUIL[[#This Row],[Fecha Cad]]="","",(GUAYAQUIL[[#This Row],[Fecha Cad]]-GUAYAQUIL[[#This Row],[VIDA UTIL (Días)]]))+1),"")</f>
        <v>45596</v>
      </c>
      <c r="R656" s="45">
        <v>45640</v>
      </c>
      <c r="S656" s="30">
        <f t="shared" ca="1" si="55"/>
        <v>16</v>
      </c>
      <c r="T656" s="279">
        <f t="shared" ca="1" si="52"/>
        <v>0.35555555555555557</v>
      </c>
      <c r="U656" s="288">
        <v>12</v>
      </c>
      <c r="V656" s="265">
        <f>+IFERROR(IF(GUAYAQUIL[[#This Row],[CODIGO]]="","",GUAYAQUIL[[#This Row],[Stock Actual Unds]]*GUAYAQUIL[[#This Row],[Gramaje]]*GUAYAQUIL[[#This Row],[Conversión]]),"")</f>
        <v>20.399999999999999</v>
      </c>
      <c r="W656" s="280">
        <f t="shared" si="53"/>
        <v>9</v>
      </c>
      <c r="X656" s="44">
        <f t="shared" si="54"/>
        <v>0.8</v>
      </c>
      <c r="Y656" s="236">
        <f>IFERROR(VLOOKUP(GUAYAQUIL[[#This Row],[CODIGO]],MAESTRO!A:BI,21,FALSE),0)</f>
        <v>1.7276500000000001</v>
      </c>
      <c r="Z656" s="236">
        <f>+IFERROR(IF(GUAYAQUIL[[#This Row],[CODIGO]]="","",GUAYAQUIL[[#This Row],[COSTO UNIT base]]*GUAYAQUIL[[#This Row],[Conversión]]),"")</f>
        <v>1.7276500000000001</v>
      </c>
      <c r="AA656" s="236">
        <f>+IFERROR(IF(GUAYAQUIL[[#This Row],[CODIGO]]="","",GUAYAQUIL[[#This Row],[COSTO UNIT Conv]]*GUAYAQUIL[[#This Row],[Stock Actual Kgs]]),"")</f>
        <v>35.244059999999998</v>
      </c>
      <c r="AB656" s="180">
        <f ca="1">+IFERROR(IF(GUAYAQUIL[[#This Row],[CODIGO]]="","",$J$3-O656),"")</f>
        <v>19</v>
      </c>
      <c r="AC656" s="35" t="str">
        <f ca="1">IF(GUAYAQUIL[[#This Row],[CODIGO]]="","",IF(S656&lt;=0,"CADUCADO",IF(AND(S656&gt;0,S656&lt;=21),"FECHA CORTA",IF(AND(S656&gt;=22,S656&lt;=26),"PROXIMOS FECHA CORTA", "VIGENTE"))))</f>
        <v>FECHA CORTA</v>
      </c>
      <c r="AD656" s="289">
        <f>+IF(GUAYAQUIL[[#This Row],[CODIGO]]="","",GUAYAQUIL[[#This Row],[Stock Actual Unds]]*GUAYAQUIL[[#This Row],[Gramaje]]*GUAYAQUIL[[#This Row],[Conversión]])/1000</f>
        <v>2.0399999999999998E-2</v>
      </c>
    </row>
    <row r="657" spans="1:30">
      <c r="A657" s="42" t="str">
        <f>+IFERROR(IF(GUAYAQUIL[[#This Row],[CODIGO]]="","",VLOOKUP(GUAYAQUIL[[#This Row],[CODIGO]],MAESTRO!$A:$J,10,FALSE)),"")</f>
        <v>MULTIEMPAQUE_MACH</v>
      </c>
      <c r="B657" s="42" t="str">
        <f>+IFERROR(IF(GUAYAQUIL[[#This Row],[CODIGO]]="","",VLOOKUP(GUAYAQUIL[[#This Row],[CODIGO]],MAESTRO!$A:$Q,17,FALSE)),"")</f>
        <v>BEBIDAS LACTEAS</v>
      </c>
      <c r="C657" s="42" t="str">
        <f>+IFERROR(IF(GUAYAQUIL[[#This Row],[CODIGO]]="","",VLOOKUP(GUAYAQUIL[[#This Row],[CODIGO]],MAESTRO!$A:$BA,53,FALSE)),"")</f>
        <v xml:space="preserve">Luis Armendariz                         </v>
      </c>
      <c r="D657" s="42" t="str">
        <f>+IFERROR(IF(GUAYAQUIL[[#This Row],[CODIGO]]="","",VLOOKUP(GUAYAQUIL[[#This Row],[CODIGO]],MAESTRO!$A:$D,4,FALSE)),"")</f>
        <v>BON YURT</v>
      </c>
      <c r="E657" s="42" t="str">
        <f>+IFERROR(IF(GUAYAQUIL[[#This Row],[CODIGO]]="","",VLOOKUP(GUAYAQUIL[[#This Row],[CODIGO]],MAESTRO!$A:$F,6,FALSE)),"")</f>
        <v>BON YURT REGULAR</v>
      </c>
      <c r="F657" s="42" t="str">
        <f>IF(GUAYAQUIL[[#This Row],[CODIGO]]="","",$K$6)</f>
        <v>GUAYAQUIL</v>
      </c>
      <c r="G657" s="1">
        <f>IF(GUAYAQUIL[[#This Row],[CODIGO]]="","",7711)</f>
        <v>7711</v>
      </c>
      <c r="H657" s="1">
        <f>IF(GUAYAQUIL[[#This Row],[CODIGO]]="","",1001)</f>
        <v>1001</v>
      </c>
      <c r="I657" s="258" t="s">
        <v>1004</v>
      </c>
      <c r="J657" s="43" t="str">
        <f>IFERROR((VLOOKUP(GUAYAQUIL[[#This Row],[CODIGO]],MAESTRO!A:B,2,FALSE)),"")</f>
        <v>MPLX4 BY BLCK VASO 165G</v>
      </c>
      <c r="K657" s="35">
        <v>40</v>
      </c>
      <c r="L657" s="205">
        <f>+IFERROR(IF(GUAYAQUIL[[#This Row],[CODIGO]]="","",VLOOKUP(GUAYAQUIL[[#This Row],[CODIGO]],MAESTRO!$A:$BF,58,FALSE)),"")</f>
        <v>1</v>
      </c>
      <c r="M657" s="27">
        <f>+IFERROR(IF(GUAYAQUIL[[#This Row],[CODIGO]]="","",VLOOKUP(GUAYAQUIL[[#This Row],[CODIGO]],MAESTRO!A:N,14,FALSE)),"")</f>
        <v>0.66</v>
      </c>
      <c r="N657" s="206">
        <f>+IFERROR(IF(GUAYAQUIL[[#This Row],[CODIGO]]="","",VLOOKUP(GUAYAQUIL[[#This Row],[CODIGO]],MAESTRO!A:P,16,FALSE)),"")</f>
        <v>45</v>
      </c>
      <c r="O657" s="45">
        <v>45597</v>
      </c>
      <c r="P657" s="99" t="str">
        <f t="shared" si="50"/>
        <v>viernes</v>
      </c>
      <c r="Q657" s="278">
        <f>IFERROR(IF(GUAYAQUIL[[#This Row],[CODIGO]]="","",IF(GUAYAQUIL[[#This Row],[Fecha Cad]]="","",(GUAYAQUIL[[#This Row],[Fecha Cad]]-GUAYAQUIL[[#This Row],[VIDA UTIL (Días)]]))+1),"")</f>
        <v>45587</v>
      </c>
      <c r="R657" s="45">
        <v>45631</v>
      </c>
      <c r="S657" s="30">
        <f t="shared" ca="1" si="55"/>
        <v>7</v>
      </c>
      <c r="T657" s="279">
        <f t="shared" ca="1" si="52"/>
        <v>0.15555555555555556</v>
      </c>
      <c r="U657" s="288">
        <v>11</v>
      </c>
      <c r="V657" s="265">
        <f>+IFERROR(IF(GUAYAQUIL[[#This Row],[CODIGO]]="","",GUAYAQUIL[[#This Row],[Stock Actual Unds]]*GUAYAQUIL[[#This Row],[Gramaje]]*GUAYAQUIL[[#This Row],[Conversión]]),"")</f>
        <v>7.2600000000000007</v>
      </c>
      <c r="W657" s="280">
        <f t="shared" si="53"/>
        <v>10</v>
      </c>
      <c r="X657" s="44">
        <f t="shared" si="54"/>
        <v>0.77777777777777779</v>
      </c>
      <c r="Y657" s="236">
        <f>IFERROR(VLOOKUP(GUAYAQUIL[[#This Row],[CODIGO]],MAESTRO!A:BI,21,FALSE),0)</f>
        <v>1.3975849999999999</v>
      </c>
      <c r="Z657" s="236">
        <f>+IFERROR(IF(GUAYAQUIL[[#This Row],[CODIGO]]="","",GUAYAQUIL[[#This Row],[COSTO UNIT base]]*GUAYAQUIL[[#This Row],[Conversión]]),"")</f>
        <v>1.3975849999999999</v>
      </c>
      <c r="AA657" s="236">
        <f>+IFERROR(IF(GUAYAQUIL[[#This Row],[CODIGO]]="","",GUAYAQUIL[[#This Row],[COSTO UNIT Conv]]*GUAYAQUIL[[#This Row],[Stock Actual Kgs]]),"")</f>
        <v>10.146467100000001</v>
      </c>
      <c r="AB657" s="180">
        <f ca="1">+IFERROR(IF(GUAYAQUIL[[#This Row],[CODIGO]]="","",$J$3-O657),"")</f>
        <v>27</v>
      </c>
      <c r="AC657" s="35" t="str">
        <f ca="1">IF(GUAYAQUIL[[#This Row],[CODIGO]]="","",IF(S657&lt;=0,"CADUCADO",IF(AND(S657&gt;0,S657&lt;=21),"FECHA CORTA",IF(AND(S657&gt;=22,S657&lt;=26),"PROXIMOS FECHA CORTA", "VIGENTE"))))</f>
        <v>FECHA CORTA</v>
      </c>
      <c r="AD657" s="289">
        <f>+IF(GUAYAQUIL[[#This Row],[CODIGO]]="","",GUAYAQUIL[[#This Row],[Stock Actual Unds]]*GUAYAQUIL[[#This Row],[Gramaje]]*GUAYAQUIL[[#This Row],[Conversión]])/1000</f>
        <v>7.2600000000000008E-3</v>
      </c>
    </row>
    <row r="658" spans="1:30">
      <c r="A658" s="42" t="str">
        <f>+IFERROR(IF(GUAYAQUIL[[#This Row],[CODIGO]]="","",VLOOKUP(GUAYAQUIL[[#This Row],[CODIGO]],MAESTRO!$A:$J,10,FALSE)),"")</f>
        <v>MULTIEMPAQUE_MACH</v>
      </c>
      <c r="B658" s="42" t="str">
        <f>+IFERROR(IF(GUAYAQUIL[[#This Row],[CODIGO]]="","",VLOOKUP(GUAYAQUIL[[#This Row],[CODIGO]],MAESTRO!$A:$Q,17,FALSE)),"")</f>
        <v>BEBIDAS LACTEAS</v>
      </c>
      <c r="C658" s="42" t="str">
        <f>+IFERROR(IF(GUAYAQUIL[[#This Row],[CODIGO]]="","",VLOOKUP(GUAYAQUIL[[#This Row],[CODIGO]],MAESTRO!$A:$BA,53,FALSE)),"")</f>
        <v xml:space="preserve">Luis Armendariz                         </v>
      </c>
      <c r="D658" s="42" t="str">
        <f>+IFERROR(IF(GUAYAQUIL[[#This Row],[CODIGO]]="","",VLOOKUP(GUAYAQUIL[[#This Row],[CODIGO]],MAESTRO!$A:$D,4,FALSE)),"")</f>
        <v>BON YURT</v>
      </c>
      <c r="E658" s="42" t="str">
        <f>+IFERROR(IF(GUAYAQUIL[[#This Row],[CODIGO]]="","",VLOOKUP(GUAYAQUIL[[#This Row],[CODIGO]],MAESTRO!$A:$F,6,FALSE)),"")</f>
        <v>BON YURT REGULAR</v>
      </c>
      <c r="F658" s="42" t="str">
        <f>IF(GUAYAQUIL[[#This Row],[CODIGO]]="","",$K$6)</f>
        <v>GUAYAQUIL</v>
      </c>
      <c r="G658" s="1">
        <f>IF(GUAYAQUIL[[#This Row],[CODIGO]]="","",7711)</f>
        <v>7711</v>
      </c>
      <c r="H658" s="1">
        <f>IF(GUAYAQUIL[[#This Row],[CODIGO]]="","",1001)</f>
        <v>1001</v>
      </c>
      <c r="I658" s="258" t="s">
        <v>1004</v>
      </c>
      <c r="J658" s="43" t="str">
        <f>IFERROR((VLOOKUP(GUAYAQUIL[[#This Row],[CODIGO]],MAESTRO!A:B,2,FALSE)),"")</f>
        <v>MPLX4 BY BLCK VASO 165G</v>
      </c>
      <c r="K658" s="35">
        <v>8</v>
      </c>
      <c r="L658" s="205">
        <f>+IFERROR(IF(GUAYAQUIL[[#This Row],[CODIGO]]="","",VLOOKUP(GUAYAQUIL[[#This Row],[CODIGO]],MAESTRO!$A:$BF,58,FALSE)),"")</f>
        <v>1</v>
      </c>
      <c r="M658" s="27">
        <f>+IFERROR(IF(GUAYAQUIL[[#This Row],[CODIGO]]="","",VLOOKUP(GUAYAQUIL[[#This Row],[CODIGO]],MAESTRO!A:N,14,FALSE)),"")</f>
        <v>0.66</v>
      </c>
      <c r="N658" s="206">
        <f>+IFERROR(IF(GUAYAQUIL[[#This Row],[CODIGO]]="","",VLOOKUP(GUAYAQUIL[[#This Row],[CODIGO]],MAESTRO!A:P,16,FALSE)),"")</f>
        <v>45</v>
      </c>
      <c r="O658" s="45">
        <v>45612</v>
      </c>
      <c r="P658" s="99" t="str">
        <f t="shared" si="50"/>
        <v>sábado</v>
      </c>
      <c r="Q658" s="278">
        <f>IFERROR(IF(GUAYAQUIL[[#This Row],[CODIGO]]="","",IF(GUAYAQUIL[[#This Row],[Fecha Cad]]="","",(GUAYAQUIL[[#This Row],[Fecha Cad]]-GUAYAQUIL[[#This Row],[VIDA UTIL (Días)]]))+1),"")</f>
        <v>45601</v>
      </c>
      <c r="R658" s="45">
        <v>45645</v>
      </c>
      <c r="S658" s="30">
        <f t="shared" ca="1" si="55"/>
        <v>21</v>
      </c>
      <c r="T658" s="279">
        <f t="shared" ca="1" si="52"/>
        <v>0.46666666666666667</v>
      </c>
      <c r="U658" s="288">
        <v>8</v>
      </c>
      <c r="V658" s="265">
        <f>+IFERROR(IF(GUAYAQUIL[[#This Row],[CODIGO]]="","",GUAYAQUIL[[#This Row],[Stock Actual Unds]]*GUAYAQUIL[[#This Row],[Gramaje]]*GUAYAQUIL[[#This Row],[Conversión]]),"")</f>
        <v>5.28</v>
      </c>
      <c r="W658" s="280">
        <f t="shared" si="53"/>
        <v>11</v>
      </c>
      <c r="X658" s="44">
        <f t="shared" si="54"/>
        <v>0.75555555555555554</v>
      </c>
      <c r="Y658" s="236">
        <f>IFERROR(VLOOKUP(GUAYAQUIL[[#This Row],[CODIGO]],MAESTRO!A:BI,21,FALSE),0)</f>
        <v>1.3975849999999999</v>
      </c>
      <c r="Z658" s="236">
        <f>+IFERROR(IF(GUAYAQUIL[[#This Row],[CODIGO]]="","",GUAYAQUIL[[#This Row],[COSTO UNIT base]]*GUAYAQUIL[[#This Row],[Conversión]]),"")</f>
        <v>1.3975849999999999</v>
      </c>
      <c r="AA658" s="236">
        <f>+IFERROR(IF(GUAYAQUIL[[#This Row],[CODIGO]]="","",GUAYAQUIL[[#This Row],[COSTO UNIT Conv]]*GUAYAQUIL[[#This Row],[Stock Actual Kgs]]),"")</f>
        <v>7.3792487999999992</v>
      </c>
      <c r="AB658" s="180">
        <f ca="1">+IFERROR(IF(GUAYAQUIL[[#This Row],[CODIGO]]="","",$J$3-O658),"")</f>
        <v>12</v>
      </c>
      <c r="AC658" s="35" t="str">
        <f ca="1">IF(GUAYAQUIL[[#This Row],[CODIGO]]="","",IF(S658&lt;=0,"CADUCADO",IF(AND(S658&gt;0,S658&lt;=21),"FECHA CORTA",IF(AND(S658&gt;=22,S658&lt;=26),"PROXIMOS FECHA CORTA", "VIGENTE"))))</f>
        <v>FECHA CORTA</v>
      </c>
      <c r="AD658" s="289">
        <f>+IF(GUAYAQUIL[[#This Row],[CODIGO]]="","",GUAYAQUIL[[#This Row],[Stock Actual Unds]]*GUAYAQUIL[[#This Row],[Gramaje]]*GUAYAQUIL[[#This Row],[Conversión]])/1000</f>
        <v>5.28E-3</v>
      </c>
    </row>
    <row r="659" spans="1:30">
      <c r="A659" s="42" t="str">
        <f>+IFERROR(IF(GUAYAQUIL[[#This Row],[CODIGO]]="","",VLOOKUP(GUAYAQUIL[[#This Row],[CODIGO]],MAESTRO!$A:$J,10,FALSE)),"")</f>
        <v>MULTIEMPAQUE_MACH</v>
      </c>
      <c r="B659" s="42" t="str">
        <f>+IFERROR(IF(GUAYAQUIL[[#This Row],[CODIGO]]="","",VLOOKUP(GUAYAQUIL[[#This Row],[CODIGO]],MAESTRO!$A:$Q,17,FALSE)),"")</f>
        <v>BEBIDAS LACTEAS</v>
      </c>
      <c r="C659" s="42" t="str">
        <f>+IFERROR(IF(GUAYAQUIL[[#This Row],[CODIGO]]="","",VLOOKUP(GUAYAQUIL[[#This Row],[CODIGO]],MAESTRO!$A:$BA,53,FALSE)),"")</f>
        <v xml:space="preserve">Luis Armendariz                         </v>
      </c>
      <c r="D659" s="42" t="str">
        <f>+IFERROR(IF(GUAYAQUIL[[#This Row],[CODIGO]]="","",VLOOKUP(GUAYAQUIL[[#This Row],[CODIGO]],MAESTRO!$A:$D,4,FALSE)),"")</f>
        <v>BON YURT</v>
      </c>
      <c r="E659" s="42" t="str">
        <f>+IFERROR(IF(GUAYAQUIL[[#This Row],[CODIGO]]="","",VLOOKUP(GUAYAQUIL[[#This Row],[CODIGO]],MAESTRO!$A:$F,6,FALSE)),"")</f>
        <v>BON YURT REGULAR</v>
      </c>
      <c r="F659" s="42" t="str">
        <f>IF(GUAYAQUIL[[#This Row],[CODIGO]]="","",$K$6)</f>
        <v>GUAYAQUIL</v>
      </c>
      <c r="G659" s="1">
        <f>IF(GUAYAQUIL[[#This Row],[CODIGO]]="","",7711)</f>
        <v>7711</v>
      </c>
      <c r="H659" s="1">
        <f>IF(GUAYAQUIL[[#This Row],[CODIGO]]="","",1001)</f>
        <v>1001</v>
      </c>
      <c r="I659" s="258" t="s">
        <v>1004</v>
      </c>
      <c r="J659" s="43" t="str">
        <f>IFERROR((VLOOKUP(GUAYAQUIL[[#This Row],[CODIGO]],MAESTRO!A:B,2,FALSE)),"")</f>
        <v>MPLX4 BY BLCK VASO 165G</v>
      </c>
      <c r="K659" s="35">
        <v>56</v>
      </c>
      <c r="L659" s="205">
        <f>+IFERROR(IF(GUAYAQUIL[[#This Row],[CODIGO]]="","",VLOOKUP(GUAYAQUIL[[#This Row],[CODIGO]],MAESTRO!$A:$BF,58,FALSE)),"")</f>
        <v>1</v>
      </c>
      <c r="M659" s="27">
        <f>+IFERROR(IF(GUAYAQUIL[[#This Row],[CODIGO]]="","",VLOOKUP(GUAYAQUIL[[#This Row],[CODIGO]],MAESTRO!A:N,14,FALSE)),"")</f>
        <v>0.66</v>
      </c>
      <c r="N659" s="206">
        <f>+IFERROR(IF(GUAYAQUIL[[#This Row],[CODIGO]]="","",VLOOKUP(GUAYAQUIL[[#This Row],[CODIGO]],MAESTRO!A:P,16,FALSE)),"")</f>
        <v>45</v>
      </c>
      <c r="O659" s="45">
        <v>45611</v>
      </c>
      <c r="P659" s="99" t="str">
        <f t="shared" si="50"/>
        <v>viernes</v>
      </c>
      <c r="Q659" s="278">
        <f>IFERROR(IF(GUAYAQUIL[[#This Row],[CODIGO]]="","",IF(GUAYAQUIL[[#This Row],[Fecha Cad]]="","",(GUAYAQUIL[[#This Row],[Fecha Cad]]-GUAYAQUIL[[#This Row],[VIDA UTIL (Días)]]))+1),"")</f>
        <v>45601</v>
      </c>
      <c r="R659" s="45">
        <v>45645</v>
      </c>
      <c r="S659" s="30">
        <f t="shared" ca="1" si="55"/>
        <v>21</v>
      </c>
      <c r="T659" s="279">
        <f t="shared" ca="1" si="52"/>
        <v>0.46666666666666667</v>
      </c>
      <c r="U659" s="288">
        <v>55</v>
      </c>
      <c r="V659" s="265">
        <f>+IFERROR(IF(GUAYAQUIL[[#This Row],[CODIGO]]="","",GUAYAQUIL[[#This Row],[Stock Actual Unds]]*GUAYAQUIL[[#This Row],[Gramaje]]*GUAYAQUIL[[#This Row],[Conversión]]),"")</f>
        <v>36.300000000000004</v>
      </c>
      <c r="W659" s="280">
        <f t="shared" si="53"/>
        <v>10</v>
      </c>
      <c r="X659" s="44">
        <f t="shared" si="54"/>
        <v>0.77777777777777779</v>
      </c>
      <c r="Y659" s="236">
        <f>IFERROR(VLOOKUP(GUAYAQUIL[[#This Row],[CODIGO]],MAESTRO!A:BI,21,FALSE),0)</f>
        <v>1.3975849999999999</v>
      </c>
      <c r="Z659" s="236">
        <f>+IFERROR(IF(GUAYAQUIL[[#This Row],[CODIGO]]="","",GUAYAQUIL[[#This Row],[COSTO UNIT base]]*GUAYAQUIL[[#This Row],[Conversión]]),"")</f>
        <v>1.3975849999999999</v>
      </c>
      <c r="AA659" s="236">
        <f>+IFERROR(IF(GUAYAQUIL[[#This Row],[CODIGO]]="","",GUAYAQUIL[[#This Row],[COSTO UNIT Conv]]*GUAYAQUIL[[#This Row],[Stock Actual Kgs]]),"")</f>
        <v>50.732335499999998</v>
      </c>
      <c r="AB659" s="180">
        <f ca="1">+IFERROR(IF(GUAYAQUIL[[#This Row],[CODIGO]]="","",$J$3-O659),"")</f>
        <v>13</v>
      </c>
      <c r="AC659" s="35" t="str">
        <f ca="1">IF(GUAYAQUIL[[#This Row],[CODIGO]]="","",IF(S659&lt;=0,"CADUCADO",IF(AND(S659&gt;0,S659&lt;=21),"FECHA CORTA",IF(AND(S659&gt;=22,S659&lt;=26),"PROXIMOS FECHA CORTA", "VIGENTE"))))</f>
        <v>FECHA CORTA</v>
      </c>
      <c r="AD659" s="289">
        <f>+IF(GUAYAQUIL[[#This Row],[CODIGO]]="","",GUAYAQUIL[[#This Row],[Stock Actual Unds]]*GUAYAQUIL[[#This Row],[Gramaje]]*GUAYAQUIL[[#This Row],[Conversión]])/1000</f>
        <v>3.6300000000000006E-2</v>
      </c>
    </row>
    <row r="660" spans="1:30">
      <c r="A660" s="42" t="str">
        <f>+IFERROR(IF(GUAYAQUIL[[#This Row],[CODIGO]]="","",VLOOKUP(GUAYAQUIL[[#This Row],[CODIGO]],MAESTRO!$A:$J,10,FALSE)),"")</f>
        <v>MULTIEMPAQUE_MACH</v>
      </c>
      <c r="B660" s="42" t="str">
        <f>+IFERROR(IF(GUAYAQUIL[[#This Row],[CODIGO]]="","",VLOOKUP(GUAYAQUIL[[#This Row],[CODIGO]],MAESTRO!$A:$Q,17,FALSE)),"")</f>
        <v>BEBIDAS LACTEAS</v>
      </c>
      <c r="C660" s="42" t="str">
        <f>+IFERROR(IF(GUAYAQUIL[[#This Row],[CODIGO]]="","",VLOOKUP(GUAYAQUIL[[#This Row],[CODIGO]],MAESTRO!$A:$BA,53,FALSE)),"")</f>
        <v xml:space="preserve">Luis Armendariz                         </v>
      </c>
      <c r="D660" s="42" t="str">
        <f>+IFERROR(IF(GUAYAQUIL[[#This Row],[CODIGO]]="","",VLOOKUP(GUAYAQUIL[[#This Row],[CODIGO]],MAESTRO!$A:$D,4,FALSE)),"")</f>
        <v>BON YURT</v>
      </c>
      <c r="E660" s="42" t="str">
        <f>+IFERROR(IF(GUAYAQUIL[[#This Row],[CODIGO]]="","",VLOOKUP(GUAYAQUIL[[#This Row],[CODIGO]],MAESTRO!$A:$F,6,FALSE)),"")</f>
        <v>BON YURT REGULAR</v>
      </c>
      <c r="F660" s="42" t="str">
        <f>IF(GUAYAQUIL[[#This Row],[CODIGO]]="","",$K$6)</f>
        <v>GUAYAQUIL</v>
      </c>
      <c r="G660" s="1">
        <f>IF(GUAYAQUIL[[#This Row],[CODIGO]]="","",7711)</f>
        <v>7711</v>
      </c>
      <c r="H660" s="1">
        <f>IF(GUAYAQUIL[[#This Row],[CODIGO]]="","",1001)</f>
        <v>1001</v>
      </c>
      <c r="I660" s="258" t="s">
        <v>1004</v>
      </c>
      <c r="J660" s="43" t="str">
        <f>IFERROR((VLOOKUP(GUAYAQUIL[[#This Row],[CODIGO]],MAESTRO!A:B,2,FALSE)),"")</f>
        <v>MPLX4 BY BLCK VASO 165G</v>
      </c>
      <c r="K660" s="35">
        <v>104</v>
      </c>
      <c r="L660" s="205">
        <f>+IFERROR(IF(GUAYAQUIL[[#This Row],[CODIGO]]="","",VLOOKUP(GUAYAQUIL[[#This Row],[CODIGO]],MAESTRO!$A:$BF,58,FALSE)),"")</f>
        <v>1</v>
      </c>
      <c r="M660" s="27">
        <f>+IFERROR(IF(GUAYAQUIL[[#This Row],[CODIGO]]="","",VLOOKUP(GUAYAQUIL[[#This Row],[CODIGO]],MAESTRO!A:N,14,FALSE)),"")</f>
        <v>0.66</v>
      </c>
      <c r="N660" s="206">
        <f>+IFERROR(IF(GUAYAQUIL[[#This Row],[CODIGO]]="","",VLOOKUP(GUAYAQUIL[[#This Row],[CODIGO]],MAESTRO!A:P,16,FALSE)),"")</f>
        <v>45</v>
      </c>
      <c r="O660" s="45">
        <v>45616</v>
      </c>
      <c r="P660" s="99" t="str">
        <f t="shared" si="50"/>
        <v>miércoles</v>
      </c>
      <c r="Q660" s="278">
        <f>IFERROR(IF(GUAYAQUIL[[#This Row],[CODIGO]]="","",IF(GUAYAQUIL[[#This Row],[Fecha Cad]]="","",(GUAYAQUIL[[#This Row],[Fecha Cad]]-GUAYAQUIL[[#This Row],[VIDA UTIL (Días)]]))+1),"")</f>
        <v>45608</v>
      </c>
      <c r="R660" s="45">
        <v>45652</v>
      </c>
      <c r="S660" s="30">
        <f t="shared" ca="1" si="55"/>
        <v>28</v>
      </c>
      <c r="T660" s="279">
        <f t="shared" ca="1" si="52"/>
        <v>0.62222222222222223</v>
      </c>
      <c r="U660" s="288">
        <v>104</v>
      </c>
      <c r="V660" s="265">
        <f>+IFERROR(IF(GUAYAQUIL[[#This Row],[CODIGO]]="","",GUAYAQUIL[[#This Row],[Stock Actual Unds]]*GUAYAQUIL[[#This Row],[Gramaje]]*GUAYAQUIL[[#This Row],[Conversión]]),"")</f>
        <v>68.64</v>
      </c>
      <c r="W660" s="280">
        <f t="shared" si="53"/>
        <v>8</v>
      </c>
      <c r="X660" s="44">
        <f t="shared" si="54"/>
        <v>0.82222222222222219</v>
      </c>
      <c r="Y660" s="236">
        <f>IFERROR(VLOOKUP(GUAYAQUIL[[#This Row],[CODIGO]],MAESTRO!A:BI,21,FALSE),0)</f>
        <v>1.3975849999999999</v>
      </c>
      <c r="Z660" s="236">
        <f>+IFERROR(IF(GUAYAQUIL[[#This Row],[CODIGO]]="","",GUAYAQUIL[[#This Row],[COSTO UNIT base]]*GUAYAQUIL[[#This Row],[Conversión]]),"")</f>
        <v>1.3975849999999999</v>
      </c>
      <c r="AA660" s="236">
        <f>+IFERROR(IF(GUAYAQUIL[[#This Row],[CODIGO]]="","",GUAYAQUIL[[#This Row],[COSTO UNIT Conv]]*GUAYAQUIL[[#This Row],[Stock Actual Kgs]]),"")</f>
        <v>95.930234399999989</v>
      </c>
      <c r="AB660" s="180">
        <f ca="1">+IFERROR(IF(GUAYAQUIL[[#This Row],[CODIGO]]="","",$J$3-O660),"")</f>
        <v>8</v>
      </c>
      <c r="AC660" s="35" t="str">
        <f ca="1">IF(GUAYAQUIL[[#This Row],[CODIGO]]="","",IF(S660&lt;=0,"CADUCADO",IF(AND(S660&gt;0,S660&lt;=21),"FECHA CORTA",IF(AND(S660&gt;=22,S660&lt;=26),"PROXIMOS FECHA CORTA", "VIGENTE"))))</f>
        <v>VIGENTE</v>
      </c>
      <c r="AD660" s="289">
        <f>+IF(GUAYAQUIL[[#This Row],[CODIGO]]="","",GUAYAQUIL[[#This Row],[Stock Actual Unds]]*GUAYAQUIL[[#This Row],[Gramaje]]*GUAYAQUIL[[#This Row],[Conversión]])/1000</f>
        <v>6.8640000000000007E-2</v>
      </c>
    </row>
    <row r="661" spans="1:30">
      <c r="A661" s="42" t="str">
        <f>+IFERROR(IF(GUAYAQUIL[[#This Row],[CODIGO]]="","",VLOOKUP(GUAYAQUIL[[#This Row],[CODIGO]],MAESTRO!$A:$J,10,FALSE)),"")</f>
        <v>MACHACHI</v>
      </c>
      <c r="B661" s="42" t="str">
        <f>+IFERROR(IF(GUAYAQUIL[[#This Row],[CODIGO]]="","",VLOOKUP(GUAYAQUIL[[#This Row],[CODIGO]],MAESTRO!$A:$Q,17,FALSE)),"")</f>
        <v>BEBIDAS LACTEAS</v>
      </c>
      <c r="C661" s="42" t="str">
        <f>+IFERROR(IF(GUAYAQUIL[[#This Row],[CODIGO]]="","",VLOOKUP(GUAYAQUIL[[#This Row],[CODIGO]],MAESTRO!$A:$BA,53,FALSE)),"")</f>
        <v xml:space="preserve">Luis Armendariz                         </v>
      </c>
      <c r="D661" s="42" t="str">
        <f>+IFERROR(IF(GUAYAQUIL[[#This Row],[CODIGO]]="","",VLOOKUP(GUAYAQUIL[[#This Row],[CODIGO]],MAESTRO!$A:$D,4,FALSE)),"")</f>
        <v>REGENERIS</v>
      </c>
      <c r="E661" s="42" t="str">
        <f>+IFERROR(IF(GUAYAQUIL[[#This Row],[CODIGO]]="","",VLOOKUP(GUAYAQUIL[[#This Row],[CODIGO]],MAESTRO!$A:$F,6,FALSE)),"")</f>
        <v>REGENERIS CEREAL BOTELLA FAMILIAR</v>
      </c>
      <c r="F661" s="42" t="str">
        <f>IF(GUAYAQUIL[[#This Row],[CODIGO]]="","",$K$6)</f>
        <v>GUAYAQUIL</v>
      </c>
      <c r="G661" s="1">
        <f>IF(GUAYAQUIL[[#This Row],[CODIGO]]="","",7711)</f>
        <v>7711</v>
      </c>
      <c r="H661" s="1">
        <f>IF(GUAYAQUIL[[#This Row],[CODIGO]]="","",1001)</f>
        <v>1001</v>
      </c>
      <c r="I661" s="258" t="s">
        <v>3133</v>
      </c>
      <c r="J661" s="43" t="str">
        <f>IFERROR((VLOOKUP(GUAYAQUIL[[#This Row],[CODIGO]],MAESTRO!A:B,2,FALSE)),"")</f>
        <v>RGN CER GDLLA BOT 1000G</v>
      </c>
      <c r="K661" s="35">
        <v>18</v>
      </c>
      <c r="L661" s="205">
        <f>+IFERROR(IF(GUAYAQUIL[[#This Row],[CODIGO]]="","",VLOOKUP(GUAYAQUIL[[#This Row],[CODIGO]],MAESTRO!$A:$BF,58,FALSE)),"")</f>
        <v>1</v>
      </c>
      <c r="M661" s="27">
        <f>+IFERROR(IF(GUAYAQUIL[[#This Row],[CODIGO]]="","",VLOOKUP(GUAYAQUIL[[#This Row],[CODIGO]],MAESTRO!A:N,14,FALSE)),"")</f>
        <v>1</v>
      </c>
      <c r="N661" s="206">
        <f>+IFERROR(IF(GUAYAQUIL[[#This Row],[CODIGO]]="","",VLOOKUP(GUAYAQUIL[[#This Row],[CODIGO]],MAESTRO!A:P,16,FALSE)),"")</f>
        <v>45</v>
      </c>
      <c r="O661" s="45">
        <v>45602</v>
      </c>
      <c r="P661" s="99" t="str">
        <f t="shared" si="50"/>
        <v>miércoles</v>
      </c>
      <c r="Q661" s="278">
        <f>IFERROR(IF(GUAYAQUIL[[#This Row],[CODIGO]]="","",IF(GUAYAQUIL[[#This Row],[Fecha Cad]]="","",(GUAYAQUIL[[#This Row],[Fecha Cad]]-GUAYAQUIL[[#This Row],[VIDA UTIL (Días)]]))+1),"")</f>
        <v>45591</v>
      </c>
      <c r="R661" s="45">
        <v>45635</v>
      </c>
      <c r="S661" s="30">
        <f t="shared" ca="1" si="55"/>
        <v>11</v>
      </c>
      <c r="T661" s="279">
        <f t="shared" ca="1" si="52"/>
        <v>0.24444444444444444</v>
      </c>
      <c r="U661" s="288">
        <v>3</v>
      </c>
      <c r="V661" s="265">
        <f>+IFERROR(IF(GUAYAQUIL[[#This Row],[CODIGO]]="","",GUAYAQUIL[[#This Row],[Stock Actual Unds]]*GUAYAQUIL[[#This Row],[Gramaje]]*GUAYAQUIL[[#This Row],[Conversión]]),"")</f>
        <v>3</v>
      </c>
      <c r="W661" s="280">
        <f t="shared" si="53"/>
        <v>11</v>
      </c>
      <c r="X661" s="44">
        <f t="shared" si="54"/>
        <v>0.75555555555555554</v>
      </c>
      <c r="Y661" s="236">
        <f>IFERROR(VLOOKUP(GUAYAQUIL[[#This Row],[CODIGO]],MAESTRO!A:BI,21,FALSE),0)</f>
        <v>1.39574</v>
      </c>
      <c r="Z661" s="236">
        <f>+IFERROR(IF(GUAYAQUIL[[#This Row],[CODIGO]]="","",GUAYAQUIL[[#This Row],[COSTO UNIT base]]*GUAYAQUIL[[#This Row],[Conversión]]),"")</f>
        <v>1.39574</v>
      </c>
      <c r="AA661" s="236">
        <f>+IFERROR(IF(GUAYAQUIL[[#This Row],[CODIGO]]="","",GUAYAQUIL[[#This Row],[COSTO UNIT Conv]]*GUAYAQUIL[[#This Row],[Stock Actual Kgs]]),"")</f>
        <v>4.1872199999999999</v>
      </c>
      <c r="AB661" s="180">
        <f ca="1">+IFERROR(IF(GUAYAQUIL[[#This Row],[CODIGO]]="","",$J$3-O661),"")</f>
        <v>22</v>
      </c>
      <c r="AC661" s="35" t="str">
        <f ca="1">IF(GUAYAQUIL[[#This Row],[CODIGO]]="","",IF(S661&lt;=0,"CADUCADO",IF(AND(S661&gt;0,S661&lt;=21),"FECHA CORTA",IF(AND(S661&gt;=22,S661&lt;=26),"PROXIMOS FECHA CORTA", "VIGENTE"))))</f>
        <v>FECHA CORTA</v>
      </c>
      <c r="AD661" s="289">
        <f>+IF(GUAYAQUIL[[#This Row],[CODIGO]]="","",GUAYAQUIL[[#This Row],[Stock Actual Unds]]*GUAYAQUIL[[#This Row],[Gramaje]]*GUAYAQUIL[[#This Row],[Conversión]])/1000</f>
        <v>3.0000000000000001E-3</v>
      </c>
    </row>
    <row r="662" spans="1:30">
      <c r="A662" s="42" t="str">
        <f>+IFERROR(IF(GUAYAQUIL[[#This Row],[CODIGO]]="","",VLOOKUP(GUAYAQUIL[[#This Row],[CODIGO]],MAESTRO!$A:$J,10,FALSE)),"")</f>
        <v>MACHACHI</v>
      </c>
      <c r="B662" s="42" t="str">
        <f>+IFERROR(IF(GUAYAQUIL[[#This Row],[CODIGO]]="","",VLOOKUP(GUAYAQUIL[[#This Row],[CODIGO]],MAESTRO!$A:$Q,17,FALSE)),"")</f>
        <v>BEBIDAS LACTEAS</v>
      </c>
      <c r="C662" s="42" t="str">
        <f>+IFERROR(IF(GUAYAQUIL[[#This Row],[CODIGO]]="","",VLOOKUP(GUAYAQUIL[[#This Row],[CODIGO]],MAESTRO!$A:$BA,53,FALSE)),"")</f>
        <v xml:space="preserve">Luis Armendariz                         </v>
      </c>
      <c r="D662" s="42" t="str">
        <f>+IFERROR(IF(GUAYAQUIL[[#This Row],[CODIGO]]="","",VLOOKUP(GUAYAQUIL[[#This Row],[CODIGO]],MAESTRO!$A:$D,4,FALSE)),"")</f>
        <v>REGENERIS</v>
      </c>
      <c r="E662" s="42" t="str">
        <f>+IFERROR(IF(GUAYAQUIL[[#This Row],[CODIGO]]="","",VLOOKUP(GUAYAQUIL[[#This Row],[CODIGO]],MAESTRO!$A:$F,6,FALSE)),"")</f>
        <v>REGENERIS CEREAL BOTELLA FAMILIAR</v>
      </c>
      <c r="F662" s="42" t="str">
        <f>IF(GUAYAQUIL[[#This Row],[CODIGO]]="","",$K$6)</f>
        <v>GUAYAQUIL</v>
      </c>
      <c r="G662" s="1">
        <f>IF(GUAYAQUIL[[#This Row],[CODIGO]]="","",7711)</f>
        <v>7711</v>
      </c>
      <c r="H662" s="1">
        <f>IF(GUAYAQUIL[[#This Row],[CODIGO]]="","",1001)</f>
        <v>1001</v>
      </c>
      <c r="I662" s="258" t="s">
        <v>3133</v>
      </c>
      <c r="J662" s="43" t="str">
        <f>IFERROR((VLOOKUP(GUAYAQUIL[[#This Row],[CODIGO]],MAESTRO!A:B,2,FALSE)),"")</f>
        <v>RGN CER GDLLA BOT 1000G</v>
      </c>
      <c r="K662" s="35">
        <v>18</v>
      </c>
      <c r="L662" s="205">
        <f>+IFERROR(IF(GUAYAQUIL[[#This Row],[CODIGO]]="","",VLOOKUP(GUAYAQUIL[[#This Row],[CODIGO]],MAESTRO!$A:$BF,58,FALSE)),"")</f>
        <v>1</v>
      </c>
      <c r="M662" s="27">
        <f>+IFERROR(IF(GUAYAQUIL[[#This Row],[CODIGO]]="","",VLOOKUP(GUAYAQUIL[[#This Row],[CODIGO]],MAESTRO!A:N,14,FALSE)),"")</f>
        <v>1</v>
      </c>
      <c r="N662" s="206">
        <f>+IFERROR(IF(GUAYAQUIL[[#This Row],[CODIGO]]="","",VLOOKUP(GUAYAQUIL[[#This Row],[CODIGO]],MAESTRO!A:P,16,FALSE)),"")</f>
        <v>45</v>
      </c>
      <c r="O662" s="45">
        <v>45605</v>
      </c>
      <c r="P662" s="99" t="str">
        <f t="shared" si="50"/>
        <v>sábado</v>
      </c>
      <c r="Q662" s="278">
        <f>IFERROR(IF(GUAYAQUIL[[#This Row],[CODIGO]]="","",IF(GUAYAQUIL[[#This Row],[Fecha Cad]]="","",(GUAYAQUIL[[#This Row],[Fecha Cad]]-GUAYAQUIL[[#This Row],[VIDA UTIL (Días)]]))+1),"")</f>
        <v>45604</v>
      </c>
      <c r="R662" s="45">
        <v>45648</v>
      </c>
      <c r="S662" s="30">
        <f t="shared" ca="1" si="55"/>
        <v>24</v>
      </c>
      <c r="T662" s="279">
        <f t="shared" ca="1" si="52"/>
        <v>0.53333333333333333</v>
      </c>
      <c r="U662" s="288">
        <v>10</v>
      </c>
      <c r="V662" s="265">
        <f>+IFERROR(IF(GUAYAQUIL[[#This Row],[CODIGO]]="","",GUAYAQUIL[[#This Row],[Stock Actual Unds]]*GUAYAQUIL[[#This Row],[Gramaje]]*GUAYAQUIL[[#This Row],[Conversión]]),"")</f>
        <v>10</v>
      </c>
      <c r="W662" s="280">
        <f t="shared" si="53"/>
        <v>1</v>
      </c>
      <c r="X662" s="44">
        <f t="shared" si="54"/>
        <v>0.97777777777777775</v>
      </c>
      <c r="Y662" s="236">
        <f>IFERROR(VLOOKUP(GUAYAQUIL[[#This Row],[CODIGO]],MAESTRO!A:BI,21,FALSE),0)</f>
        <v>1.39574</v>
      </c>
      <c r="Z662" s="236">
        <f>+IFERROR(IF(GUAYAQUIL[[#This Row],[CODIGO]]="","",GUAYAQUIL[[#This Row],[COSTO UNIT base]]*GUAYAQUIL[[#This Row],[Conversión]]),"")</f>
        <v>1.39574</v>
      </c>
      <c r="AA662" s="236">
        <f>+IFERROR(IF(GUAYAQUIL[[#This Row],[CODIGO]]="","",GUAYAQUIL[[#This Row],[COSTO UNIT Conv]]*GUAYAQUIL[[#This Row],[Stock Actual Kgs]]),"")</f>
        <v>13.9574</v>
      </c>
      <c r="AB662" s="180">
        <f ca="1">+IFERROR(IF(GUAYAQUIL[[#This Row],[CODIGO]]="","",$J$3-O662),"")</f>
        <v>19</v>
      </c>
      <c r="AC662" s="35" t="str">
        <f ca="1">IF(GUAYAQUIL[[#This Row],[CODIGO]]="","",IF(S662&lt;=0,"CADUCADO",IF(AND(S662&gt;0,S662&lt;=21),"FECHA CORTA",IF(AND(S662&gt;=22,S662&lt;=26),"PROXIMOS FECHA CORTA", "VIGENTE"))))</f>
        <v>PROXIMOS FECHA CORTA</v>
      </c>
      <c r="AD662" s="289">
        <f>+IF(GUAYAQUIL[[#This Row],[CODIGO]]="","",GUAYAQUIL[[#This Row],[Stock Actual Unds]]*GUAYAQUIL[[#This Row],[Gramaje]]*GUAYAQUIL[[#This Row],[Conversión]])/1000</f>
        <v>0.01</v>
      </c>
    </row>
    <row r="663" spans="1:30">
      <c r="A663" s="42" t="str">
        <f>+IFERROR(IF(GUAYAQUIL[[#This Row],[CODIGO]]="","",VLOOKUP(GUAYAQUIL[[#This Row],[CODIGO]],MAESTRO!$A:$J,10,FALSE)),"")</f>
        <v>MACHACHI</v>
      </c>
      <c r="B663" s="42" t="str">
        <f>+IFERROR(IF(GUAYAQUIL[[#This Row],[CODIGO]]="","",VLOOKUP(GUAYAQUIL[[#This Row],[CODIGO]],MAESTRO!$A:$Q,17,FALSE)),"")</f>
        <v>BEBIDAS LACTEAS</v>
      </c>
      <c r="C663" s="42" t="str">
        <f>+IFERROR(IF(GUAYAQUIL[[#This Row],[CODIGO]]="","",VLOOKUP(GUAYAQUIL[[#This Row],[CODIGO]],MAESTRO!$A:$BA,53,FALSE)),"")</f>
        <v xml:space="preserve">Luis Armendariz                         </v>
      </c>
      <c r="D663" s="42" t="str">
        <f>+IFERROR(IF(GUAYAQUIL[[#This Row],[CODIGO]]="","",VLOOKUP(GUAYAQUIL[[#This Row],[CODIGO]],MAESTRO!$A:$D,4,FALSE)),"")</f>
        <v>REGENERIS</v>
      </c>
      <c r="E663" s="42" t="str">
        <f>+IFERROR(IF(GUAYAQUIL[[#This Row],[CODIGO]]="","",VLOOKUP(GUAYAQUIL[[#This Row],[CODIGO]],MAESTRO!$A:$F,6,FALSE)),"")</f>
        <v>REGENERIS CEREAL BOTELLA FAMILIAR</v>
      </c>
      <c r="F663" s="42" t="str">
        <f>IF(GUAYAQUIL[[#This Row],[CODIGO]]="","",$K$6)</f>
        <v>GUAYAQUIL</v>
      </c>
      <c r="G663" s="1">
        <f>IF(GUAYAQUIL[[#This Row],[CODIGO]]="","",7711)</f>
        <v>7711</v>
      </c>
      <c r="H663" s="1">
        <f>IF(GUAYAQUIL[[#This Row],[CODIGO]]="","",1001)</f>
        <v>1001</v>
      </c>
      <c r="I663" s="258" t="s">
        <v>3133</v>
      </c>
      <c r="J663" s="43" t="str">
        <f>IFERROR((VLOOKUP(GUAYAQUIL[[#This Row],[CODIGO]],MAESTRO!A:B,2,FALSE)),"")</f>
        <v>RGN CER GDLLA BOT 1000G</v>
      </c>
      <c r="K663" s="35">
        <v>18</v>
      </c>
      <c r="L663" s="205">
        <f>+IFERROR(IF(GUAYAQUIL[[#This Row],[CODIGO]]="","",VLOOKUP(GUAYAQUIL[[#This Row],[CODIGO]],MAESTRO!$A:$BF,58,FALSE)),"")</f>
        <v>1</v>
      </c>
      <c r="M663" s="27">
        <f>+IFERROR(IF(GUAYAQUIL[[#This Row],[CODIGO]]="","",VLOOKUP(GUAYAQUIL[[#This Row],[CODIGO]],MAESTRO!A:N,14,FALSE)),"")</f>
        <v>1</v>
      </c>
      <c r="N663" s="206">
        <f>+IFERROR(IF(GUAYAQUIL[[#This Row],[CODIGO]]="","",VLOOKUP(GUAYAQUIL[[#This Row],[CODIGO]],MAESTRO!A:P,16,FALSE)),"")</f>
        <v>45</v>
      </c>
      <c r="O663" s="45">
        <v>45608</v>
      </c>
      <c r="P663" s="99" t="str">
        <f t="shared" si="50"/>
        <v>martes</v>
      </c>
      <c r="Q663" s="278">
        <f>IFERROR(IF(GUAYAQUIL[[#This Row],[CODIGO]]="","",IF(GUAYAQUIL[[#This Row],[Fecha Cad]]="","",(GUAYAQUIL[[#This Row],[Fecha Cad]]-GUAYAQUIL[[#This Row],[VIDA UTIL (Días)]]))+1),"")</f>
        <v>45604</v>
      </c>
      <c r="R663" s="45">
        <v>45648</v>
      </c>
      <c r="S663" s="30">
        <f t="shared" ca="1" si="55"/>
        <v>24</v>
      </c>
      <c r="T663" s="279">
        <f t="shared" ca="1" si="52"/>
        <v>0.53333333333333333</v>
      </c>
      <c r="U663" s="288">
        <v>18</v>
      </c>
      <c r="V663" s="265">
        <f>+IFERROR(IF(GUAYAQUIL[[#This Row],[CODIGO]]="","",GUAYAQUIL[[#This Row],[Stock Actual Unds]]*GUAYAQUIL[[#This Row],[Gramaje]]*GUAYAQUIL[[#This Row],[Conversión]]),"")</f>
        <v>18</v>
      </c>
      <c r="W663" s="280">
        <f t="shared" si="53"/>
        <v>4</v>
      </c>
      <c r="X663" s="44">
        <f t="shared" si="54"/>
        <v>0.91111111111111109</v>
      </c>
      <c r="Y663" s="236">
        <f>IFERROR(VLOOKUP(GUAYAQUIL[[#This Row],[CODIGO]],MAESTRO!A:BI,21,FALSE),0)</f>
        <v>1.39574</v>
      </c>
      <c r="Z663" s="236">
        <f>+IFERROR(IF(GUAYAQUIL[[#This Row],[CODIGO]]="","",GUAYAQUIL[[#This Row],[COSTO UNIT base]]*GUAYAQUIL[[#This Row],[Conversión]]),"")</f>
        <v>1.39574</v>
      </c>
      <c r="AA663" s="236">
        <f>+IFERROR(IF(GUAYAQUIL[[#This Row],[CODIGO]]="","",GUAYAQUIL[[#This Row],[COSTO UNIT Conv]]*GUAYAQUIL[[#This Row],[Stock Actual Kgs]]),"")</f>
        <v>25.12332</v>
      </c>
      <c r="AB663" s="180">
        <f ca="1">+IFERROR(IF(GUAYAQUIL[[#This Row],[CODIGO]]="","",$J$3-O663),"")</f>
        <v>16</v>
      </c>
      <c r="AC663" s="35" t="str">
        <f ca="1">IF(GUAYAQUIL[[#This Row],[CODIGO]]="","",IF(S663&lt;=0,"CADUCADO",IF(AND(S663&gt;0,S663&lt;=21),"FECHA CORTA",IF(AND(S663&gt;=22,S663&lt;=26),"PROXIMOS FECHA CORTA", "VIGENTE"))))</f>
        <v>PROXIMOS FECHA CORTA</v>
      </c>
      <c r="AD663" s="289">
        <f>+IF(GUAYAQUIL[[#This Row],[CODIGO]]="","",GUAYAQUIL[[#This Row],[Stock Actual Unds]]*GUAYAQUIL[[#This Row],[Gramaje]]*GUAYAQUIL[[#This Row],[Conversión]])/1000</f>
        <v>1.7999999999999999E-2</v>
      </c>
    </row>
    <row r="664" spans="1:30">
      <c r="A664" s="42" t="str">
        <f>+IFERROR(IF(GUAYAQUIL[[#This Row],[CODIGO]]="","",VLOOKUP(GUAYAQUIL[[#This Row],[CODIGO]],MAESTRO!$A:$J,10,FALSE)),"")</f>
        <v>SAN GABRIEL</v>
      </c>
      <c r="B664" s="42" t="str">
        <f>+IFERROR(IF(GUAYAQUIL[[#This Row],[CODIGO]]="","",VLOOKUP(GUAYAQUIL[[#This Row],[CODIGO]],MAESTRO!$A:$Q,17,FALSE)),"")</f>
        <v>QUESOS Y GRASAS</v>
      </c>
      <c r="C664" s="42" t="str">
        <f>+IFERROR(IF(GUAYAQUIL[[#This Row],[CODIGO]]="","",VLOOKUP(GUAYAQUIL[[#This Row],[CODIGO]],MAESTRO!$A:$BA,53,FALSE)),"")</f>
        <v xml:space="preserve">Esteban Montenegro                      </v>
      </c>
      <c r="D664" s="42" t="str">
        <f>+IFERROR(IF(GUAYAQUIL[[#This Row],[CODIGO]]="","",VLOOKUP(GUAYAQUIL[[#This Row],[CODIGO]],MAESTRO!$A:$D,4,FALSE)),"")</f>
        <v>QUESO SEMIMADURO KIOSKO</v>
      </c>
      <c r="E664" s="42" t="str">
        <f>+IFERROR(IF(GUAYAQUIL[[#This Row],[CODIGO]]="","",VLOOKUP(GUAYAQUIL[[#This Row],[CODIGO]],MAESTRO!$A:$F,6,FALSE)),"")</f>
        <v>QUESO PARMESANO KIOSKO RALLADO</v>
      </c>
      <c r="F664" s="42" t="str">
        <f>IF(GUAYAQUIL[[#This Row],[CODIGO]]="","",$K$6)</f>
        <v>GUAYAQUIL</v>
      </c>
      <c r="G664" s="1">
        <f>IF(GUAYAQUIL[[#This Row],[CODIGO]]="","",7711)</f>
        <v>7711</v>
      </c>
      <c r="H664" s="1">
        <f>IF(GUAYAQUIL[[#This Row],[CODIGO]]="","",1001)</f>
        <v>1001</v>
      </c>
      <c r="I664" s="258" t="s">
        <v>4422</v>
      </c>
      <c r="J664" s="43" t="str">
        <f>IFERROR((VLOOKUP(GUAYAQUIL[[#This Row],[CODIGO]],MAESTRO!A:B,2,FALSE)),"")</f>
        <v>Q PARME KIOSKO RALL BOL 250G</v>
      </c>
      <c r="K664" s="35">
        <v>40</v>
      </c>
      <c r="L664" s="205">
        <f>+IFERROR(IF(GUAYAQUIL[[#This Row],[CODIGO]]="","",VLOOKUP(GUAYAQUIL[[#This Row],[CODIGO]],MAESTRO!$A:$BF,58,FALSE)),"")</f>
        <v>1</v>
      </c>
      <c r="M664" s="27">
        <f>+IFERROR(IF(GUAYAQUIL[[#This Row],[CODIGO]]="","",VLOOKUP(GUAYAQUIL[[#This Row],[CODIGO]],MAESTRO!A:N,14,FALSE)),"")</f>
        <v>0.25</v>
      </c>
      <c r="N664" s="206">
        <f>+IFERROR(IF(GUAYAQUIL[[#This Row],[CODIGO]]="","",VLOOKUP(GUAYAQUIL[[#This Row],[CODIGO]],MAESTRO!A:P,16,FALSE)),"")</f>
        <v>180</v>
      </c>
      <c r="O664" s="45">
        <v>45608</v>
      </c>
      <c r="P664" s="99" t="str">
        <f t="shared" si="50"/>
        <v>martes</v>
      </c>
      <c r="Q664" s="278">
        <f>IFERROR(IF(GUAYAQUIL[[#This Row],[CODIGO]]="","",IF(GUAYAQUIL[[#This Row],[Fecha Cad]]="","",(GUAYAQUIL[[#This Row],[Fecha Cad]]-GUAYAQUIL[[#This Row],[VIDA UTIL (Días)]]))+1),"")</f>
        <v>45604</v>
      </c>
      <c r="R664" s="45">
        <v>45783</v>
      </c>
      <c r="S664" s="30">
        <f t="shared" ca="1" si="55"/>
        <v>159</v>
      </c>
      <c r="T664" s="279">
        <f t="shared" ca="1" si="52"/>
        <v>0.8833333333333333</v>
      </c>
      <c r="U664" s="288">
        <v>1</v>
      </c>
      <c r="V664" s="265">
        <f>+IFERROR(IF(GUAYAQUIL[[#This Row],[CODIGO]]="","",GUAYAQUIL[[#This Row],[Stock Actual Unds]]*GUAYAQUIL[[#This Row],[Gramaje]]*GUAYAQUIL[[#This Row],[Conversión]]),"")</f>
        <v>0.25</v>
      </c>
      <c r="W664" s="280">
        <f t="shared" si="53"/>
        <v>4</v>
      </c>
      <c r="X664" s="44">
        <f t="shared" si="54"/>
        <v>0.97777777777777775</v>
      </c>
      <c r="Y664" s="236">
        <f>IFERROR(VLOOKUP(GUAYAQUIL[[#This Row],[CODIGO]],MAESTRO!A:BI,21,FALSE),0)</f>
        <v>2.3212000000000002</v>
      </c>
      <c r="Z664" s="236">
        <f>+IFERROR(IF(GUAYAQUIL[[#This Row],[CODIGO]]="","",GUAYAQUIL[[#This Row],[COSTO UNIT base]]*GUAYAQUIL[[#This Row],[Conversión]]),"")</f>
        <v>2.3212000000000002</v>
      </c>
      <c r="AA664" s="236">
        <f>+IFERROR(IF(GUAYAQUIL[[#This Row],[CODIGO]]="","",GUAYAQUIL[[#This Row],[COSTO UNIT Conv]]*GUAYAQUIL[[#This Row],[Stock Actual Kgs]]),"")</f>
        <v>0.58030000000000004</v>
      </c>
      <c r="AB664" s="180">
        <f ca="1">+IFERROR(IF(GUAYAQUIL[[#This Row],[CODIGO]]="","",$J$3-O664),"")</f>
        <v>16</v>
      </c>
      <c r="AC664" s="35" t="str">
        <f ca="1">IF(GUAYAQUIL[[#This Row],[CODIGO]]="","",IF(S664&lt;=0,"CADUCADO",IF(AND(S664&gt;0,S664&lt;=21),"FECHA CORTA",IF(AND(S664&gt;=22,S664&lt;=26),"PROXIMOS FECHA CORTA", "VIGENTE"))))</f>
        <v>VIGENTE</v>
      </c>
      <c r="AD664" s="289">
        <f>+IF(GUAYAQUIL[[#This Row],[CODIGO]]="","",GUAYAQUIL[[#This Row],[Stock Actual Unds]]*GUAYAQUIL[[#This Row],[Gramaje]]*GUAYAQUIL[[#This Row],[Conversión]])/1000</f>
        <v>2.5000000000000001E-4</v>
      </c>
    </row>
    <row r="665" spans="1:30">
      <c r="A665" s="42" t="str">
        <f>+IFERROR(IF(GUAYAQUIL[[#This Row],[CODIGO]]="","",VLOOKUP(GUAYAQUIL[[#This Row],[CODIGO]],MAESTRO!$A:$J,10,FALSE)),"")</f>
        <v>SAN GABRIEL</v>
      </c>
      <c r="B665" s="42" t="str">
        <f>+IFERROR(IF(GUAYAQUIL[[#This Row],[CODIGO]]="","",VLOOKUP(GUAYAQUIL[[#This Row],[CODIGO]],MAESTRO!$A:$Q,17,FALSE)),"")</f>
        <v>QUESOS Y GRASAS</v>
      </c>
      <c r="C665" s="42" t="str">
        <f>+IFERROR(IF(GUAYAQUIL[[#This Row],[CODIGO]]="","",VLOOKUP(GUAYAQUIL[[#This Row],[CODIGO]],MAESTRO!$A:$BA,53,FALSE)),"")</f>
        <v xml:space="preserve">Esteban Montenegro                      </v>
      </c>
      <c r="D665" s="42" t="str">
        <f>+IFERROR(IF(GUAYAQUIL[[#This Row],[CODIGO]]="","",VLOOKUP(GUAYAQUIL[[#This Row],[CODIGO]],MAESTRO!$A:$D,4,FALSE)),"")</f>
        <v>QUESO SEMIMADURO KIOSKO</v>
      </c>
      <c r="E665" s="42" t="str">
        <f>+IFERROR(IF(GUAYAQUIL[[#This Row],[CODIGO]]="","",VLOOKUP(GUAYAQUIL[[#This Row],[CODIGO]],MAESTRO!$A:$F,6,FALSE)),"")</f>
        <v>QUESO PARMESANO KIOSKO RALLADO</v>
      </c>
      <c r="F665" s="42" t="str">
        <f>IF(GUAYAQUIL[[#This Row],[CODIGO]]="","",$K$6)</f>
        <v>GUAYAQUIL</v>
      </c>
      <c r="G665" s="1">
        <f>IF(GUAYAQUIL[[#This Row],[CODIGO]]="","",7711)</f>
        <v>7711</v>
      </c>
      <c r="H665" s="1">
        <f>IF(GUAYAQUIL[[#This Row],[CODIGO]]="","",1001)</f>
        <v>1001</v>
      </c>
      <c r="I665" s="258" t="s">
        <v>4422</v>
      </c>
      <c r="J665" s="43" t="str">
        <f>IFERROR((VLOOKUP(GUAYAQUIL[[#This Row],[CODIGO]],MAESTRO!A:B,2,FALSE)),"")</f>
        <v>Q PARME KIOSKO RALL BOL 250G</v>
      </c>
      <c r="K665" s="35">
        <v>200</v>
      </c>
      <c r="L665" s="205">
        <f>+IFERROR(IF(GUAYAQUIL[[#This Row],[CODIGO]]="","",VLOOKUP(GUAYAQUIL[[#This Row],[CODIGO]],MAESTRO!$A:$BF,58,FALSE)),"")</f>
        <v>1</v>
      </c>
      <c r="M665" s="27">
        <f>+IFERROR(IF(GUAYAQUIL[[#This Row],[CODIGO]]="","",VLOOKUP(GUAYAQUIL[[#This Row],[CODIGO]],MAESTRO!A:N,14,FALSE)),"")</f>
        <v>0.25</v>
      </c>
      <c r="N665" s="206">
        <f>+IFERROR(IF(GUAYAQUIL[[#This Row],[CODIGO]]="","",VLOOKUP(GUAYAQUIL[[#This Row],[CODIGO]],MAESTRO!A:P,16,FALSE)),"")</f>
        <v>180</v>
      </c>
      <c r="O665" s="45">
        <v>45611</v>
      </c>
      <c r="P665" s="99" t="str">
        <f t="shared" si="50"/>
        <v>viernes</v>
      </c>
      <c r="Q665" s="278">
        <f>IFERROR(IF(GUAYAQUIL[[#This Row],[CODIGO]]="","",IF(GUAYAQUIL[[#This Row],[Fecha Cad]]="","",(GUAYAQUIL[[#This Row],[Fecha Cad]]-GUAYAQUIL[[#This Row],[VIDA UTIL (Días)]]))+1),"")</f>
        <v>45610</v>
      </c>
      <c r="R665" s="45">
        <v>45789</v>
      </c>
      <c r="S665" s="30">
        <f t="shared" ca="1" si="55"/>
        <v>165</v>
      </c>
      <c r="T665" s="279">
        <f t="shared" ca="1" si="52"/>
        <v>0.91666666666666663</v>
      </c>
      <c r="U665" s="288">
        <v>200</v>
      </c>
      <c r="V665" s="265">
        <f>+IFERROR(IF(GUAYAQUIL[[#This Row],[CODIGO]]="","",GUAYAQUIL[[#This Row],[Stock Actual Unds]]*GUAYAQUIL[[#This Row],[Gramaje]]*GUAYAQUIL[[#This Row],[Conversión]]),"")</f>
        <v>50</v>
      </c>
      <c r="W665" s="280">
        <f t="shared" si="53"/>
        <v>1</v>
      </c>
      <c r="X665" s="44">
        <f t="shared" si="54"/>
        <v>0.99444444444444446</v>
      </c>
      <c r="Y665" s="236">
        <f>IFERROR(VLOOKUP(GUAYAQUIL[[#This Row],[CODIGO]],MAESTRO!A:BI,21,FALSE),0)</f>
        <v>2.3212000000000002</v>
      </c>
      <c r="Z665" s="236">
        <f>+IFERROR(IF(GUAYAQUIL[[#This Row],[CODIGO]]="","",GUAYAQUIL[[#This Row],[COSTO UNIT base]]*GUAYAQUIL[[#This Row],[Conversión]]),"")</f>
        <v>2.3212000000000002</v>
      </c>
      <c r="AA665" s="236">
        <f>+IFERROR(IF(GUAYAQUIL[[#This Row],[CODIGO]]="","",GUAYAQUIL[[#This Row],[COSTO UNIT Conv]]*GUAYAQUIL[[#This Row],[Stock Actual Kgs]]),"")</f>
        <v>116.06</v>
      </c>
      <c r="AB665" s="180">
        <f ca="1">+IFERROR(IF(GUAYAQUIL[[#This Row],[CODIGO]]="","",$J$3-O665),"")</f>
        <v>13</v>
      </c>
      <c r="AC665" s="35" t="str">
        <f ca="1">IF(GUAYAQUIL[[#This Row],[CODIGO]]="","",IF(S665&lt;=0,"CADUCADO",IF(AND(S665&gt;0,S665&lt;=21),"FECHA CORTA",IF(AND(S665&gt;=22,S665&lt;=26),"PROXIMOS FECHA CORTA", "VIGENTE"))))</f>
        <v>VIGENTE</v>
      </c>
      <c r="AD665" s="289">
        <f>+IF(GUAYAQUIL[[#This Row],[CODIGO]]="","",GUAYAQUIL[[#This Row],[Stock Actual Unds]]*GUAYAQUIL[[#This Row],[Gramaje]]*GUAYAQUIL[[#This Row],[Conversión]])/1000</f>
        <v>0.05</v>
      </c>
    </row>
    <row r="666" spans="1:30">
      <c r="A666" s="42" t="str">
        <f>+IFERROR(IF(GUAYAQUIL[[#This Row],[CODIGO]]="","",VLOOKUP(GUAYAQUIL[[#This Row],[CODIGO]],MAESTRO!$A:$J,10,FALSE)),"")</f>
        <v>SAN GABRIEL</v>
      </c>
      <c r="B666" s="42" t="str">
        <f>+IFERROR(IF(GUAYAQUIL[[#This Row],[CODIGO]]="","",VLOOKUP(GUAYAQUIL[[#This Row],[CODIGO]],MAESTRO!$A:$Q,17,FALSE)),"")</f>
        <v>QUESOS Y GRASAS</v>
      </c>
      <c r="C666" s="42" t="str">
        <f>+IFERROR(IF(GUAYAQUIL[[#This Row],[CODIGO]]="","",VLOOKUP(GUAYAQUIL[[#This Row],[CODIGO]],MAESTRO!$A:$BA,53,FALSE)),"")</f>
        <v xml:space="preserve">Esteban Montenegro                      </v>
      </c>
      <c r="D666" s="42" t="str">
        <f>+IFERROR(IF(GUAYAQUIL[[#This Row],[CODIGO]]="","",VLOOKUP(GUAYAQUIL[[#This Row],[CODIGO]],MAESTRO!$A:$D,4,FALSE)),"")</f>
        <v>QUESO SEMIMADURO KIOSKO</v>
      </c>
      <c r="E666" s="42" t="str">
        <f>+IFERROR(IF(GUAYAQUIL[[#This Row],[CODIGO]]="","",VLOOKUP(GUAYAQUIL[[#This Row],[CODIGO]],MAESTRO!$A:$F,6,FALSE)),"")</f>
        <v>QUESO PARMESANO KIOSKO RALLADO</v>
      </c>
      <c r="F666" s="42" t="str">
        <f>IF(GUAYAQUIL[[#This Row],[CODIGO]]="","",$K$6)</f>
        <v>GUAYAQUIL</v>
      </c>
      <c r="G666" s="1">
        <f>IF(GUAYAQUIL[[#This Row],[CODIGO]]="","",7711)</f>
        <v>7711</v>
      </c>
      <c r="H666" s="1">
        <f>IF(GUAYAQUIL[[#This Row],[CODIGO]]="","",1001)</f>
        <v>1001</v>
      </c>
      <c r="I666" s="258" t="s">
        <v>4422</v>
      </c>
      <c r="J666" s="43" t="str">
        <f>IFERROR((VLOOKUP(GUAYAQUIL[[#This Row],[CODIGO]],MAESTRO!A:B,2,FALSE)),"")</f>
        <v>Q PARME KIOSKO RALL BOL 250G</v>
      </c>
      <c r="K666" s="35">
        <v>200</v>
      </c>
      <c r="L666" s="205">
        <f>+IFERROR(IF(GUAYAQUIL[[#This Row],[CODIGO]]="","",VLOOKUP(GUAYAQUIL[[#This Row],[CODIGO]],MAESTRO!$A:$BF,58,FALSE)),"")</f>
        <v>1</v>
      </c>
      <c r="M666" s="27">
        <f>+IFERROR(IF(GUAYAQUIL[[#This Row],[CODIGO]]="","",VLOOKUP(GUAYAQUIL[[#This Row],[CODIGO]],MAESTRO!A:N,14,FALSE)),"")</f>
        <v>0.25</v>
      </c>
      <c r="N666" s="206">
        <f>+IFERROR(IF(GUAYAQUIL[[#This Row],[CODIGO]]="","",VLOOKUP(GUAYAQUIL[[#This Row],[CODIGO]],MAESTRO!A:P,16,FALSE)),"")</f>
        <v>180</v>
      </c>
      <c r="O666" s="45">
        <v>45610</v>
      </c>
      <c r="P666" s="99" t="str">
        <f t="shared" si="50"/>
        <v>jueves</v>
      </c>
      <c r="Q666" s="278">
        <f>IFERROR(IF(GUAYAQUIL[[#This Row],[CODIGO]]="","",IF(GUAYAQUIL[[#This Row],[Fecha Cad]]="","",(GUAYAQUIL[[#This Row],[Fecha Cad]]-GUAYAQUIL[[#This Row],[VIDA UTIL (Días)]]))+1),"")</f>
        <v>45609</v>
      </c>
      <c r="R666" s="45">
        <v>45788</v>
      </c>
      <c r="S666" s="30">
        <f t="shared" ca="1" si="55"/>
        <v>164</v>
      </c>
      <c r="T666" s="279">
        <f t="shared" ca="1" si="52"/>
        <v>0.91111111111111109</v>
      </c>
      <c r="U666" s="288">
        <v>159</v>
      </c>
      <c r="V666" s="265">
        <f>+IFERROR(IF(GUAYAQUIL[[#This Row],[CODIGO]]="","",GUAYAQUIL[[#This Row],[Stock Actual Unds]]*GUAYAQUIL[[#This Row],[Gramaje]]*GUAYAQUIL[[#This Row],[Conversión]]),"")</f>
        <v>39.75</v>
      </c>
      <c r="W666" s="280">
        <f t="shared" si="53"/>
        <v>1</v>
      </c>
      <c r="X666" s="44">
        <f t="shared" si="54"/>
        <v>0.99444444444444446</v>
      </c>
      <c r="Y666" s="236">
        <f>IFERROR(VLOOKUP(GUAYAQUIL[[#This Row],[CODIGO]],MAESTRO!A:BI,21,FALSE),0)</f>
        <v>2.3212000000000002</v>
      </c>
      <c r="Z666" s="236">
        <f>+IFERROR(IF(GUAYAQUIL[[#This Row],[CODIGO]]="","",GUAYAQUIL[[#This Row],[COSTO UNIT base]]*GUAYAQUIL[[#This Row],[Conversión]]),"")</f>
        <v>2.3212000000000002</v>
      </c>
      <c r="AA666" s="236">
        <f>+IFERROR(IF(GUAYAQUIL[[#This Row],[CODIGO]]="","",GUAYAQUIL[[#This Row],[COSTO UNIT Conv]]*GUAYAQUIL[[#This Row],[Stock Actual Kgs]]),"")</f>
        <v>92.267700000000005</v>
      </c>
      <c r="AB666" s="180">
        <f ca="1">+IFERROR(IF(GUAYAQUIL[[#This Row],[CODIGO]]="","",$J$3-O666),"")</f>
        <v>14</v>
      </c>
      <c r="AC666" s="35" t="str">
        <f ca="1">IF(GUAYAQUIL[[#This Row],[CODIGO]]="","",IF(S666&lt;=0,"CADUCADO",IF(AND(S666&gt;0,S666&lt;=21),"FECHA CORTA",IF(AND(S666&gt;=22,S666&lt;=26),"PROXIMOS FECHA CORTA", "VIGENTE"))))</f>
        <v>VIGENTE</v>
      </c>
      <c r="AD666" s="289">
        <f>+IF(GUAYAQUIL[[#This Row],[CODIGO]]="","",GUAYAQUIL[[#This Row],[Stock Actual Unds]]*GUAYAQUIL[[#This Row],[Gramaje]]*GUAYAQUIL[[#This Row],[Conversión]])/1000</f>
        <v>3.9750000000000001E-2</v>
      </c>
    </row>
    <row r="667" spans="1:30">
      <c r="A667" s="42" t="str">
        <f>+IFERROR(IF(GUAYAQUIL[[#This Row],[CODIGO]]="","",VLOOKUP(GUAYAQUIL[[#This Row],[CODIGO]],MAESTRO!$A:$J,10,FALSE)),"")</f>
        <v>SAN GABRIEL</v>
      </c>
      <c r="B667" s="42" t="str">
        <f>+IFERROR(IF(GUAYAQUIL[[#This Row],[CODIGO]]="","",VLOOKUP(GUAYAQUIL[[#This Row],[CODIGO]],MAESTRO!$A:$Q,17,FALSE)),"")</f>
        <v>QUESOS Y GRASAS</v>
      </c>
      <c r="C667" s="42" t="str">
        <f>+IFERROR(IF(GUAYAQUIL[[#This Row],[CODIGO]]="","",VLOOKUP(GUAYAQUIL[[#This Row],[CODIGO]],MAESTRO!$A:$BA,53,FALSE)),"")</f>
        <v xml:space="preserve">Esteban Montenegro                      </v>
      </c>
      <c r="D667" s="42" t="str">
        <f>+IFERROR(IF(GUAYAQUIL[[#This Row],[CODIGO]]="","",VLOOKUP(GUAYAQUIL[[#This Row],[CODIGO]],MAESTRO!$A:$D,4,FALSE)),"")</f>
        <v>QUESO SEMIMADURO KIOSKO</v>
      </c>
      <c r="E667" s="42" t="str">
        <f>+IFERROR(IF(GUAYAQUIL[[#This Row],[CODIGO]]="","",VLOOKUP(GUAYAQUIL[[#This Row],[CODIGO]],MAESTRO!$A:$F,6,FALSE)),"")</f>
        <v>QUESO PARMESANO KIOSKO RALLADO</v>
      </c>
      <c r="F667" s="42" t="str">
        <f>IF(GUAYAQUIL[[#This Row],[CODIGO]]="","",$K$6)</f>
        <v>GUAYAQUIL</v>
      </c>
      <c r="G667" s="1">
        <f>IF(GUAYAQUIL[[#This Row],[CODIGO]]="","",7711)</f>
        <v>7711</v>
      </c>
      <c r="H667" s="1">
        <f>IF(GUAYAQUIL[[#This Row],[CODIGO]]="","",1001)</f>
        <v>1001</v>
      </c>
      <c r="I667" s="258" t="s">
        <v>4422</v>
      </c>
      <c r="J667" s="43" t="str">
        <f>IFERROR((VLOOKUP(GUAYAQUIL[[#This Row],[CODIGO]],MAESTRO!A:B,2,FALSE)),"")</f>
        <v>Q PARME KIOSKO RALL BOL 250G</v>
      </c>
      <c r="K667" s="35">
        <v>160</v>
      </c>
      <c r="L667" s="205">
        <f>+IFERROR(IF(GUAYAQUIL[[#This Row],[CODIGO]]="","",VLOOKUP(GUAYAQUIL[[#This Row],[CODIGO]],MAESTRO!$A:$BF,58,FALSE)),"")</f>
        <v>1</v>
      </c>
      <c r="M667" s="27">
        <f>+IFERROR(IF(GUAYAQUIL[[#This Row],[CODIGO]]="","",VLOOKUP(GUAYAQUIL[[#This Row],[CODIGO]],MAESTRO!A:N,14,FALSE)),"")</f>
        <v>0.25</v>
      </c>
      <c r="N667" s="206">
        <f>+IFERROR(IF(GUAYAQUIL[[#This Row],[CODIGO]]="","",VLOOKUP(GUAYAQUIL[[#This Row],[CODIGO]],MAESTRO!A:P,16,FALSE)),"")</f>
        <v>180</v>
      </c>
      <c r="O667" s="45">
        <v>45615</v>
      </c>
      <c r="P667" s="99" t="str">
        <f t="shared" si="50"/>
        <v>martes</v>
      </c>
      <c r="Q667" s="278">
        <f>IFERROR(IF(GUAYAQUIL[[#This Row],[CODIGO]]="","",IF(GUAYAQUIL[[#This Row],[Fecha Cad]]="","",(GUAYAQUIL[[#This Row],[Fecha Cad]]-GUAYAQUIL[[#This Row],[VIDA UTIL (Días)]]))+1),"")</f>
        <v>45610</v>
      </c>
      <c r="R667" s="45">
        <v>45789</v>
      </c>
      <c r="S667" s="30">
        <f t="shared" ca="1" si="55"/>
        <v>165</v>
      </c>
      <c r="T667" s="279">
        <f t="shared" ca="1" si="52"/>
        <v>0.91666666666666663</v>
      </c>
      <c r="U667" s="288">
        <v>160</v>
      </c>
      <c r="V667" s="265">
        <f>+IFERROR(IF(GUAYAQUIL[[#This Row],[CODIGO]]="","",GUAYAQUIL[[#This Row],[Stock Actual Unds]]*GUAYAQUIL[[#This Row],[Gramaje]]*GUAYAQUIL[[#This Row],[Conversión]]),"")</f>
        <v>40</v>
      </c>
      <c r="W667" s="280">
        <f t="shared" si="53"/>
        <v>5</v>
      </c>
      <c r="X667" s="44">
        <f t="shared" si="54"/>
        <v>0.97222222222222221</v>
      </c>
      <c r="Y667" s="236">
        <f>IFERROR(VLOOKUP(GUAYAQUIL[[#This Row],[CODIGO]],MAESTRO!A:BI,21,FALSE),0)</f>
        <v>2.3212000000000002</v>
      </c>
      <c r="Z667" s="236">
        <f>+IFERROR(IF(GUAYAQUIL[[#This Row],[CODIGO]]="","",GUAYAQUIL[[#This Row],[COSTO UNIT base]]*GUAYAQUIL[[#This Row],[Conversión]]),"")</f>
        <v>2.3212000000000002</v>
      </c>
      <c r="AA667" s="236">
        <f>+IFERROR(IF(GUAYAQUIL[[#This Row],[CODIGO]]="","",GUAYAQUIL[[#This Row],[COSTO UNIT Conv]]*GUAYAQUIL[[#This Row],[Stock Actual Kgs]]),"")</f>
        <v>92.848000000000013</v>
      </c>
      <c r="AB667" s="180">
        <f ca="1">+IFERROR(IF(GUAYAQUIL[[#This Row],[CODIGO]]="","",$J$3-O667),"")</f>
        <v>9</v>
      </c>
      <c r="AC667" s="35" t="str">
        <f ca="1">IF(GUAYAQUIL[[#This Row],[CODIGO]]="","",IF(S667&lt;=0,"CADUCADO",IF(AND(S667&gt;0,S667&lt;=21),"FECHA CORTA",IF(AND(S667&gt;=22,S667&lt;=26),"PROXIMOS FECHA CORTA", "VIGENTE"))))</f>
        <v>VIGENTE</v>
      </c>
      <c r="AD667" s="289">
        <f>+IF(GUAYAQUIL[[#This Row],[CODIGO]]="","",GUAYAQUIL[[#This Row],[Stock Actual Unds]]*GUAYAQUIL[[#This Row],[Gramaje]]*GUAYAQUIL[[#This Row],[Conversión]])/1000</f>
        <v>0.04</v>
      </c>
    </row>
    <row r="668" spans="1:30">
      <c r="A668" s="42" t="str">
        <f>+IFERROR(IF(GUAYAQUIL[[#This Row],[CODIGO]]="","",VLOOKUP(GUAYAQUIL[[#This Row],[CODIGO]],MAESTRO!$A:$J,10,FALSE)),"")</f>
        <v>SAN GABRIEL</v>
      </c>
      <c r="B668" s="42" t="str">
        <f>+IFERROR(IF(GUAYAQUIL[[#This Row],[CODIGO]]="","",VLOOKUP(GUAYAQUIL[[#This Row],[CODIGO]],MAESTRO!$A:$Q,17,FALSE)),"")</f>
        <v>QUESOS Y GRASAS</v>
      </c>
      <c r="C668" s="42" t="str">
        <f>+IFERROR(IF(GUAYAQUIL[[#This Row],[CODIGO]]="","",VLOOKUP(GUAYAQUIL[[#This Row],[CODIGO]],MAESTRO!$A:$BA,53,FALSE)),"")</f>
        <v xml:space="preserve">Esteban Montenegro                      </v>
      </c>
      <c r="D668" s="42" t="str">
        <f>+IFERROR(IF(GUAYAQUIL[[#This Row],[CODIGO]]="","",VLOOKUP(GUAYAQUIL[[#This Row],[CODIGO]],MAESTRO!$A:$D,4,FALSE)),"")</f>
        <v>QUESO SEMIMADURO KIOSKO</v>
      </c>
      <c r="E668" s="42" t="str">
        <f>+IFERROR(IF(GUAYAQUIL[[#This Row],[CODIGO]]="","",VLOOKUP(GUAYAQUIL[[#This Row],[CODIGO]],MAESTRO!$A:$F,6,FALSE)),"")</f>
        <v>QUESO PARMESANO KIOSKO RALLADO</v>
      </c>
      <c r="F668" s="42" t="str">
        <f>IF(GUAYAQUIL[[#This Row],[CODIGO]]="","",$K$6)</f>
        <v>GUAYAQUIL</v>
      </c>
      <c r="G668" s="1">
        <f>IF(GUAYAQUIL[[#This Row],[CODIGO]]="","",7711)</f>
        <v>7711</v>
      </c>
      <c r="H668" s="1">
        <f>IF(GUAYAQUIL[[#This Row],[CODIGO]]="","",1001)</f>
        <v>1001</v>
      </c>
      <c r="I668" s="258" t="s">
        <v>4422</v>
      </c>
      <c r="J668" s="43" t="str">
        <f>IFERROR((VLOOKUP(GUAYAQUIL[[#This Row],[CODIGO]],MAESTRO!A:B,2,FALSE)),"")</f>
        <v>Q PARME KIOSKO RALL BOL 250G</v>
      </c>
      <c r="K668" s="35">
        <v>40</v>
      </c>
      <c r="L668" s="205">
        <f>+IFERROR(IF(GUAYAQUIL[[#This Row],[CODIGO]]="","",VLOOKUP(GUAYAQUIL[[#This Row],[CODIGO]],MAESTRO!$A:$BF,58,FALSE)),"")</f>
        <v>1</v>
      </c>
      <c r="M668" s="27">
        <f>+IFERROR(IF(GUAYAQUIL[[#This Row],[CODIGO]]="","",VLOOKUP(GUAYAQUIL[[#This Row],[CODIGO]],MAESTRO!A:N,14,FALSE)),"")</f>
        <v>0.25</v>
      </c>
      <c r="N668" s="206">
        <f>+IFERROR(IF(GUAYAQUIL[[#This Row],[CODIGO]]="","",VLOOKUP(GUAYAQUIL[[#This Row],[CODIGO]],MAESTRO!A:P,16,FALSE)),"")</f>
        <v>180</v>
      </c>
      <c r="O668" s="45">
        <v>45616</v>
      </c>
      <c r="P668" s="99" t="str">
        <f t="shared" si="50"/>
        <v>miércoles</v>
      </c>
      <c r="Q668" s="278">
        <f>IFERROR(IF(GUAYAQUIL[[#This Row],[CODIGO]]="","",IF(GUAYAQUIL[[#This Row],[Fecha Cad]]="","",(GUAYAQUIL[[#This Row],[Fecha Cad]]-GUAYAQUIL[[#This Row],[VIDA UTIL (Días)]]))+1),"")</f>
        <v>45610</v>
      </c>
      <c r="R668" s="45">
        <v>45789</v>
      </c>
      <c r="S668" s="30">
        <f t="shared" ca="1" si="55"/>
        <v>165</v>
      </c>
      <c r="T668" s="279">
        <f t="shared" ca="1" si="52"/>
        <v>0.91666666666666663</v>
      </c>
      <c r="U668" s="288">
        <v>40</v>
      </c>
      <c r="V668" s="265">
        <f>+IFERROR(IF(GUAYAQUIL[[#This Row],[CODIGO]]="","",GUAYAQUIL[[#This Row],[Stock Actual Unds]]*GUAYAQUIL[[#This Row],[Gramaje]]*GUAYAQUIL[[#This Row],[Conversión]]),"")</f>
        <v>10</v>
      </c>
      <c r="W668" s="280">
        <f t="shared" si="53"/>
        <v>6</v>
      </c>
      <c r="X668" s="44">
        <f t="shared" si="54"/>
        <v>0.96666666666666667</v>
      </c>
      <c r="Y668" s="236">
        <f>IFERROR(VLOOKUP(GUAYAQUIL[[#This Row],[CODIGO]],MAESTRO!A:BI,21,FALSE),0)</f>
        <v>2.3212000000000002</v>
      </c>
      <c r="Z668" s="236">
        <f>+IFERROR(IF(GUAYAQUIL[[#This Row],[CODIGO]]="","",GUAYAQUIL[[#This Row],[COSTO UNIT base]]*GUAYAQUIL[[#This Row],[Conversión]]),"")</f>
        <v>2.3212000000000002</v>
      </c>
      <c r="AA668" s="236">
        <f>+IFERROR(IF(GUAYAQUIL[[#This Row],[CODIGO]]="","",GUAYAQUIL[[#This Row],[COSTO UNIT Conv]]*GUAYAQUIL[[#This Row],[Stock Actual Kgs]]),"")</f>
        <v>23.212000000000003</v>
      </c>
      <c r="AB668" s="180">
        <f ca="1">+IFERROR(IF(GUAYAQUIL[[#This Row],[CODIGO]]="","",$J$3-O668),"")</f>
        <v>8</v>
      </c>
      <c r="AC668" s="35" t="str">
        <f ca="1">IF(GUAYAQUIL[[#This Row],[CODIGO]]="","",IF(S668&lt;=0,"CADUCADO",IF(AND(S668&gt;0,S668&lt;=21),"FECHA CORTA",IF(AND(S668&gt;=22,S668&lt;=26),"PROXIMOS FECHA CORTA", "VIGENTE"))))</f>
        <v>VIGENTE</v>
      </c>
      <c r="AD668" s="289">
        <f>+IF(GUAYAQUIL[[#This Row],[CODIGO]]="","",GUAYAQUIL[[#This Row],[Stock Actual Unds]]*GUAYAQUIL[[#This Row],[Gramaje]]*GUAYAQUIL[[#This Row],[Conversión]])/1000</f>
        <v>0.01</v>
      </c>
    </row>
    <row r="669" spans="1:30">
      <c r="A669" s="42" t="str">
        <f>+IFERROR(IF(GUAYAQUIL[[#This Row],[CODIGO]]="","",VLOOKUP(GUAYAQUIL[[#This Row],[CODIGO]],MAESTRO!$A:$J,10,FALSE)),"")</f>
        <v>SAN GABRIEL</v>
      </c>
      <c r="B669" s="42" t="str">
        <f>+IFERROR(IF(GUAYAQUIL[[#This Row],[CODIGO]]="","",VLOOKUP(GUAYAQUIL[[#This Row],[CODIGO]],MAESTRO!$A:$Q,17,FALSE)),"")</f>
        <v>QUESOS Y GRASAS</v>
      </c>
      <c r="C669" s="42" t="str">
        <f>+IFERROR(IF(GUAYAQUIL[[#This Row],[CODIGO]]="","",VLOOKUP(GUAYAQUIL[[#This Row],[CODIGO]],MAESTRO!$A:$BA,53,FALSE)),"")</f>
        <v xml:space="preserve">Esteban Montenegro                      </v>
      </c>
      <c r="D669" s="42" t="str">
        <f>+IFERROR(IF(GUAYAQUIL[[#This Row],[CODIGO]]="","",VLOOKUP(GUAYAQUIL[[#This Row],[CODIGO]],MAESTRO!$A:$D,4,FALSE)),"")</f>
        <v>QUESO SEMIMADURO KIOSKO</v>
      </c>
      <c r="E669" s="42" t="str">
        <f>+IFERROR(IF(GUAYAQUIL[[#This Row],[CODIGO]]="","",VLOOKUP(GUAYAQUIL[[#This Row],[CODIGO]],MAESTRO!$A:$F,6,FALSE)),"")</f>
        <v>QUESO PARMESANO KIOSKO RALLADO</v>
      </c>
      <c r="F669" s="42" t="str">
        <f>IF(GUAYAQUIL[[#This Row],[CODIGO]]="","",$K$6)</f>
        <v>GUAYAQUIL</v>
      </c>
      <c r="G669" s="1">
        <f>IF(GUAYAQUIL[[#This Row],[CODIGO]]="","",7711)</f>
        <v>7711</v>
      </c>
      <c r="H669" s="1">
        <f>IF(GUAYAQUIL[[#This Row],[CODIGO]]="","",1001)</f>
        <v>1001</v>
      </c>
      <c r="I669" s="258" t="s">
        <v>4422</v>
      </c>
      <c r="J669" s="43" t="str">
        <f>IFERROR((VLOOKUP(GUAYAQUIL[[#This Row],[CODIGO]],MAESTRO!A:B,2,FALSE)),"")</f>
        <v>Q PARME KIOSKO RALL BOL 250G</v>
      </c>
      <c r="K669" s="35">
        <v>120</v>
      </c>
      <c r="L669" s="205">
        <f>+IFERROR(IF(GUAYAQUIL[[#This Row],[CODIGO]]="","",VLOOKUP(GUAYAQUIL[[#This Row],[CODIGO]],MAESTRO!$A:$BF,58,FALSE)),"")</f>
        <v>1</v>
      </c>
      <c r="M669" s="27">
        <f>+IFERROR(IF(GUAYAQUIL[[#This Row],[CODIGO]]="","",VLOOKUP(GUAYAQUIL[[#This Row],[CODIGO]],MAESTRO!A:N,14,FALSE)),"")</f>
        <v>0.25</v>
      </c>
      <c r="N669" s="206">
        <f>+IFERROR(IF(GUAYAQUIL[[#This Row],[CODIGO]]="","",VLOOKUP(GUAYAQUIL[[#This Row],[CODIGO]],MAESTRO!A:P,16,FALSE)),"")</f>
        <v>180</v>
      </c>
      <c r="O669" s="45">
        <v>45617</v>
      </c>
      <c r="P669" s="99" t="str">
        <f t="shared" si="50"/>
        <v>jueves</v>
      </c>
      <c r="Q669" s="278">
        <f>IFERROR(IF(GUAYAQUIL[[#This Row],[CODIGO]]="","",IF(GUAYAQUIL[[#This Row],[Fecha Cad]]="","",(GUAYAQUIL[[#This Row],[Fecha Cad]]-GUAYAQUIL[[#This Row],[VIDA UTIL (Días)]]))+1),"")</f>
        <v>45610</v>
      </c>
      <c r="R669" s="45">
        <v>45789</v>
      </c>
      <c r="S669" s="30">
        <f t="shared" ca="1" si="55"/>
        <v>165</v>
      </c>
      <c r="T669" s="279">
        <f t="shared" ca="1" si="52"/>
        <v>0.91666666666666663</v>
      </c>
      <c r="U669" s="288">
        <v>120</v>
      </c>
      <c r="V669" s="265">
        <f>+IFERROR(IF(GUAYAQUIL[[#This Row],[CODIGO]]="","",GUAYAQUIL[[#This Row],[Stock Actual Unds]]*GUAYAQUIL[[#This Row],[Gramaje]]*GUAYAQUIL[[#This Row],[Conversión]]),"")</f>
        <v>30</v>
      </c>
      <c r="W669" s="280">
        <f t="shared" si="53"/>
        <v>7</v>
      </c>
      <c r="X669" s="44">
        <f t="shared" si="54"/>
        <v>0.96111111111111114</v>
      </c>
      <c r="Y669" s="236">
        <f>IFERROR(VLOOKUP(GUAYAQUIL[[#This Row],[CODIGO]],MAESTRO!A:BI,21,FALSE),0)</f>
        <v>2.3212000000000002</v>
      </c>
      <c r="Z669" s="236">
        <f>+IFERROR(IF(GUAYAQUIL[[#This Row],[CODIGO]]="","",GUAYAQUIL[[#This Row],[COSTO UNIT base]]*GUAYAQUIL[[#This Row],[Conversión]]),"")</f>
        <v>2.3212000000000002</v>
      </c>
      <c r="AA669" s="236">
        <f>+IFERROR(IF(GUAYAQUIL[[#This Row],[CODIGO]]="","",GUAYAQUIL[[#This Row],[COSTO UNIT Conv]]*GUAYAQUIL[[#This Row],[Stock Actual Kgs]]),"")</f>
        <v>69.63600000000001</v>
      </c>
      <c r="AB669" s="180">
        <f ca="1">+IFERROR(IF(GUAYAQUIL[[#This Row],[CODIGO]]="","",$J$3-O669),"")</f>
        <v>7</v>
      </c>
      <c r="AC669" s="35" t="str">
        <f ca="1">IF(GUAYAQUIL[[#This Row],[CODIGO]]="","",IF(S669&lt;=0,"CADUCADO",IF(AND(S669&gt;0,S669&lt;=21),"FECHA CORTA",IF(AND(S669&gt;=22,S669&lt;=26),"PROXIMOS FECHA CORTA", "VIGENTE"))))</f>
        <v>VIGENTE</v>
      </c>
      <c r="AD669" s="289">
        <f>+IF(GUAYAQUIL[[#This Row],[CODIGO]]="","",GUAYAQUIL[[#This Row],[Stock Actual Unds]]*GUAYAQUIL[[#This Row],[Gramaje]]*GUAYAQUIL[[#This Row],[Conversión]])/1000</f>
        <v>0.03</v>
      </c>
    </row>
    <row r="670" spans="1:30">
      <c r="A670" s="42" t="str">
        <f>+IFERROR(IF(GUAYAQUIL[[#This Row],[CODIGO]]="","",VLOOKUP(GUAYAQUIL[[#This Row],[CODIGO]],MAESTRO!$A:$J,10,FALSE)),"")</f>
        <v>MACHACHI</v>
      </c>
      <c r="B670" s="42" t="str">
        <f>+IFERROR(IF(GUAYAQUIL[[#This Row],[CODIGO]]="","",VLOOKUP(GUAYAQUIL[[#This Row],[CODIGO]],MAESTRO!$A:$Q,17,FALSE)),"")</f>
        <v>BEBIDAS LACTEAS</v>
      </c>
      <c r="C670" s="42" t="str">
        <f>+IFERROR(IF(GUAYAQUIL[[#This Row],[CODIGO]]="","",VLOOKUP(GUAYAQUIL[[#This Row],[CODIGO]],MAESTRO!$A:$BA,53,FALSE)),"")</f>
        <v xml:space="preserve">Luis Armendariz                         </v>
      </c>
      <c r="D670" s="42" t="str">
        <f>+IFERROR(IF(GUAYAQUIL[[#This Row],[CODIGO]]="","",VLOOKUP(GUAYAQUIL[[#This Row],[CODIGO]],MAESTRO!$A:$D,4,FALSE)),"")</f>
        <v>YOGURT KIOSKO</v>
      </c>
      <c r="E670" s="42" t="str">
        <f>+IFERROR(IF(GUAYAQUIL[[#This Row],[CODIGO]]="","",VLOOKUP(GUAYAQUIL[[#This Row],[CODIGO]],MAESTRO!$A:$F,6,FALSE)),"")</f>
        <v>BEBIDA DE YOGURT KIOSKO BOTELLA PERSONAL</v>
      </c>
      <c r="F670" s="42" t="str">
        <f>IF(GUAYAQUIL[[#This Row],[CODIGO]]="","",$K$6)</f>
        <v>GUAYAQUIL</v>
      </c>
      <c r="G670" s="1">
        <f>IF(GUAYAQUIL[[#This Row],[CODIGO]]="","",7711)</f>
        <v>7711</v>
      </c>
      <c r="H670" s="1">
        <f>IF(GUAYAQUIL[[#This Row],[CODIGO]]="","",1001)</f>
        <v>1001</v>
      </c>
      <c r="I670" s="258" t="s">
        <v>3922</v>
      </c>
      <c r="J670" s="43" t="str">
        <f>IFERROR((VLOOKUP(GUAYAQUIL[[#This Row],[CODIGO]],MAESTRO!A:B,2,FALSE)),"")</f>
        <v>YOG BBLE KID KK BANANO BOT 180G</v>
      </c>
      <c r="K670" s="35">
        <v>432</v>
      </c>
      <c r="L670" s="205">
        <f>+IFERROR(IF(GUAYAQUIL[[#This Row],[CODIGO]]="","",VLOOKUP(GUAYAQUIL[[#This Row],[CODIGO]],MAESTRO!$A:$BF,58,FALSE)),"")</f>
        <v>1</v>
      </c>
      <c r="M670" s="27">
        <f>+IFERROR(IF(GUAYAQUIL[[#This Row],[CODIGO]]="","",VLOOKUP(GUAYAQUIL[[#This Row],[CODIGO]],MAESTRO!A:N,14,FALSE)),"")</f>
        <v>0.18</v>
      </c>
      <c r="N670" s="206">
        <f>+IFERROR(IF(GUAYAQUIL[[#This Row],[CODIGO]]="","",VLOOKUP(GUAYAQUIL[[#This Row],[CODIGO]],MAESTRO!A:P,16,FALSE)),"")</f>
        <v>45</v>
      </c>
      <c r="O670" s="45">
        <v>45609</v>
      </c>
      <c r="P670" s="99" t="str">
        <f t="shared" si="50"/>
        <v>miércoles</v>
      </c>
      <c r="Q670" s="278">
        <f>IFERROR(IF(GUAYAQUIL[[#This Row],[CODIGO]]="","",IF(GUAYAQUIL[[#This Row],[Fecha Cad]]="","",(GUAYAQUIL[[#This Row],[Fecha Cad]]-GUAYAQUIL[[#This Row],[VIDA UTIL (Días)]]))+1),"")</f>
        <v>45604</v>
      </c>
      <c r="R670" s="45">
        <v>45648</v>
      </c>
      <c r="S670" s="30">
        <f t="shared" ca="1" si="55"/>
        <v>24</v>
      </c>
      <c r="T670" s="279">
        <f t="shared" ca="1" si="52"/>
        <v>0.53333333333333333</v>
      </c>
      <c r="U670" s="288">
        <v>306</v>
      </c>
      <c r="V670" s="265">
        <f>+IFERROR(IF(GUAYAQUIL[[#This Row],[CODIGO]]="","",GUAYAQUIL[[#This Row],[Stock Actual Unds]]*GUAYAQUIL[[#This Row],[Gramaje]]*GUAYAQUIL[[#This Row],[Conversión]]),"")</f>
        <v>55.08</v>
      </c>
      <c r="W670" s="280">
        <f t="shared" si="53"/>
        <v>5</v>
      </c>
      <c r="X670" s="44">
        <f t="shared" si="54"/>
        <v>0.88888888888888884</v>
      </c>
      <c r="Y670" s="236">
        <f>IFERROR(VLOOKUP(GUAYAQUIL[[#This Row],[CODIGO]],MAESTRO!A:BI,21,FALSE),0)</f>
        <v>0.323905</v>
      </c>
      <c r="Z670" s="236">
        <f>+IFERROR(IF(GUAYAQUIL[[#This Row],[CODIGO]]="","",GUAYAQUIL[[#This Row],[COSTO UNIT base]]*GUAYAQUIL[[#This Row],[Conversión]]),"")</f>
        <v>0.323905</v>
      </c>
      <c r="AA670" s="236">
        <f>+IFERROR(IF(GUAYAQUIL[[#This Row],[CODIGO]]="","",GUAYAQUIL[[#This Row],[COSTO UNIT Conv]]*GUAYAQUIL[[#This Row],[Stock Actual Kgs]]),"")</f>
        <v>17.8406874</v>
      </c>
      <c r="AB670" s="180">
        <f ca="1">+IFERROR(IF(GUAYAQUIL[[#This Row],[CODIGO]]="","",$J$3-O670),"")</f>
        <v>15</v>
      </c>
      <c r="AC670" s="35" t="str">
        <f ca="1">IF(GUAYAQUIL[[#This Row],[CODIGO]]="","",IF(S670&lt;=0,"CADUCADO",IF(AND(S670&gt;0,S670&lt;=21),"FECHA CORTA",IF(AND(S670&gt;=22,S670&lt;=26),"PROXIMOS FECHA CORTA", "VIGENTE"))))</f>
        <v>PROXIMOS FECHA CORTA</v>
      </c>
      <c r="AD670" s="289">
        <f>+IF(GUAYAQUIL[[#This Row],[CODIGO]]="","",GUAYAQUIL[[#This Row],[Stock Actual Unds]]*GUAYAQUIL[[#This Row],[Gramaje]]*GUAYAQUIL[[#This Row],[Conversión]])/1000</f>
        <v>5.5079999999999997E-2</v>
      </c>
    </row>
    <row r="671" spans="1:30">
      <c r="A671" s="42" t="str">
        <f>+IFERROR(IF(GUAYAQUIL[[#This Row],[CODIGO]]="","",VLOOKUP(GUAYAQUIL[[#This Row],[CODIGO]],MAESTRO!$A:$J,10,FALSE)),"")</f>
        <v>MACHACHI</v>
      </c>
      <c r="B671" s="42" t="str">
        <f>+IFERROR(IF(GUAYAQUIL[[#This Row],[CODIGO]]="","",VLOOKUP(GUAYAQUIL[[#This Row],[CODIGO]],MAESTRO!$A:$Q,17,FALSE)),"")</f>
        <v>BEBIDAS LACTEAS</v>
      </c>
      <c r="C671" s="42" t="str">
        <f>+IFERROR(IF(GUAYAQUIL[[#This Row],[CODIGO]]="","",VLOOKUP(GUAYAQUIL[[#This Row],[CODIGO]],MAESTRO!$A:$BA,53,FALSE)),"")</f>
        <v xml:space="preserve">Luis Armendariz                         </v>
      </c>
      <c r="D671" s="42" t="str">
        <f>+IFERROR(IF(GUAYAQUIL[[#This Row],[CODIGO]]="","",VLOOKUP(GUAYAQUIL[[#This Row],[CODIGO]],MAESTRO!$A:$D,4,FALSE)),"")</f>
        <v>YOGURT KIOSKO</v>
      </c>
      <c r="E671" s="42" t="str">
        <f>+IFERROR(IF(GUAYAQUIL[[#This Row],[CODIGO]]="","",VLOOKUP(GUAYAQUIL[[#This Row],[CODIGO]],MAESTRO!$A:$F,6,FALSE)),"")</f>
        <v>BEBIDA DE YOGURT KIOSKO BOTELLA PERSONAL</v>
      </c>
      <c r="F671" s="42" t="str">
        <f>IF(GUAYAQUIL[[#This Row],[CODIGO]]="","",$K$6)</f>
        <v>GUAYAQUIL</v>
      </c>
      <c r="G671" s="1">
        <f>IF(GUAYAQUIL[[#This Row],[CODIGO]]="","",7711)</f>
        <v>7711</v>
      </c>
      <c r="H671" s="1">
        <f>IF(GUAYAQUIL[[#This Row],[CODIGO]]="","",1001)</f>
        <v>1001</v>
      </c>
      <c r="I671" s="258" t="s">
        <v>3922</v>
      </c>
      <c r="J671" s="43" t="str">
        <f>IFERROR((VLOOKUP(GUAYAQUIL[[#This Row],[CODIGO]],MAESTRO!A:B,2,FALSE)),"")</f>
        <v>YOG BBLE KID KK BANANO BOT 180G</v>
      </c>
      <c r="K671" s="35">
        <v>1080</v>
      </c>
      <c r="L671" s="205">
        <f>+IFERROR(IF(GUAYAQUIL[[#This Row],[CODIGO]]="","",VLOOKUP(GUAYAQUIL[[#This Row],[CODIGO]],MAESTRO!$A:$BF,58,FALSE)),"")</f>
        <v>1</v>
      </c>
      <c r="M671" s="27">
        <f>+IFERROR(IF(GUAYAQUIL[[#This Row],[CODIGO]]="","",VLOOKUP(GUAYAQUIL[[#This Row],[CODIGO]],MAESTRO!A:N,14,FALSE)),"")</f>
        <v>0.18</v>
      </c>
      <c r="N671" s="206">
        <f>+IFERROR(IF(GUAYAQUIL[[#This Row],[CODIGO]]="","",VLOOKUP(GUAYAQUIL[[#This Row],[CODIGO]],MAESTRO!A:P,16,FALSE)),"")</f>
        <v>45</v>
      </c>
      <c r="O671" s="45">
        <v>45610</v>
      </c>
      <c r="P671" s="99" t="str">
        <f t="shared" si="50"/>
        <v>jueves</v>
      </c>
      <c r="Q671" s="278">
        <f>IFERROR(IF(GUAYAQUIL[[#This Row],[CODIGO]]="","",IF(GUAYAQUIL[[#This Row],[Fecha Cad]]="","",(GUAYAQUIL[[#This Row],[Fecha Cad]]-GUAYAQUIL[[#This Row],[VIDA UTIL (Días)]]))+1),"")</f>
        <v>45604</v>
      </c>
      <c r="R671" s="45">
        <v>45648</v>
      </c>
      <c r="S671" s="30">
        <f t="shared" ca="1" si="55"/>
        <v>24</v>
      </c>
      <c r="T671" s="279">
        <f t="shared" ca="1" si="52"/>
        <v>0.53333333333333333</v>
      </c>
      <c r="U671" s="288">
        <v>1080</v>
      </c>
      <c r="V671" s="265">
        <f>+IFERROR(IF(GUAYAQUIL[[#This Row],[CODIGO]]="","",GUAYAQUIL[[#This Row],[Stock Actual Unds]]*GUAYAQUIL[[#This Row],[Gramaje]]*GUAYAQUIL[[#This Row],[Conversión]]),"")</f>
        <v>194.4</v>
      </c>
      <c r="W671" s="280">
        <f t="shared" si="53"/>
        <v>6</v>
      </c>
      <c r="X671" s="44">
        <f t="shared" si="54"/>
        <v>0.8666666666666667</v>
      </c>
      <c r="Y671" s="236">
        <f>IFERROR(VLOOKUP(GUAYAQUIL[[#This Row],[CODIGO]],MAESTRO!A:BI,21,FALSE),0)</f>
        <v>0.323905</v>
      </c>
      <c r="Z671" s="236">
        <f>+IFERROR(IF(GUAYAQUIL[[#This Row],[CODIGO]]="","",GUAYAQUIL[[#This Row],[COSTO UNIT base]]*GUAYAQUIL[[#This Row],[Conversión]]),"")</f>
        <v>0.323905</v>
      </c>
      <c r="AA671" s="236">
        <f>+IFERROR(IF(GUAYAQUIL[[#This Row],[CODIGO]]="","",GUAYAQUIL[[#This Row],[COSTO UNIT Conv]]*GUAYAQUIL[[#This Row],[Stock Actual Kgs]]),"")</f>
        <v>62.967131999999999</v>
      </c>
      <c r="AB671" s="180">
        <f ca="1">+IFERROR(IF(GUAYAQUIL[[#This Row],[CODIGO]]="","",$J$3-O671),"")</f>
        <v>14</v>
      </c>
      <c r="AC671" s="35" t="str">
        <f ca="1">IF(GUAYAQUIL[[#This Row],[CODIGO]]="","",IF(S671&lt;=0,"CADUCADO",IF(AND(S671&gt;0,S671&lt;=21),"FECHA CORTA",IF(AND(S671&gt;=22,S671&lt;=26),"PROXIMOS FECHA CORTA", "VIGENTE"))))</f>
        <v>PROXIMOS FECHA CORTA</v>
      </c>
      <c r="AD671" s="289">
        <f>+IF(GUAYAQUIL[[#This Row],[CODIGO]]="","",GUAYAQUIL[[#This Row],[Stock Actual Unds]]*GUAYAQUIL[[#This Row],[Gramaje]]*GUAYAQUIL[[#This Row],[Conversión]])/1000</f>
        <v>0.19440000000000002</v>
      </c>
    </row>
    <row r="672" spans="1:30">
      <c r="A672" s="42" t="str">
        <f>+IFERROR(IF(GUAYAQUIL[[#This Row],[CODIGO]]="","",VLOOKUP(GUAYAQUIL[[#This Row],[CODIGO]],MAESTRO!$A:$J,10,FALSE)),"")</f>
        <v>SAN GABRIEL</v>
      </c>
      <c r="B672" s="42" t="str">
        <f>+IFERROR(IF(GUAYAQUIL[[#This Row],[CODIGO]]="","",VLOOKUP(GUAYAQUIL[[#This Row],[CODIGO]],MAESTRO!$A:$Q,17,FALSE)),"")</f>
        <v>QUESOS Y GRASAS</v>
      </c>
      <c r="C672" s="42" t="str">
        <f>+IFERROR(IF(GUAYAQUIL[[#This Row],[CODIGO]]="","",VLOOKUP(GUAYAQUIL[[#This Row],[CODIGO]],MAESTRO!$A:$BA,53,FALSE)),"")</f>
        <v xml:space="preserve">Esteban Montenegro                      </v>
      </c>
      <c r="D672" s="42" t="str">
        <f>+IFERROR(IF(GUAYAQUIL[[#This Row],[CODIGO]]="","",VLOOKUP(GUAYAQUIL[[#This Row],[CODIGO]],MAESTRO!$A:$D,4,FALSE)),"")</f>
        <v>QUESO SEMIMADURO KIOSKO</v>
      </c>
      <c r="E672" s="42" t="str">
        <f>+IFERROR(IF(GUAYAQUIL[[#This Row],[CODIGO]]="","",VLOOKUP(GUAYAQUIL[[#This Row],[CODIGO]],MAESTRO!$A:$F,6,FALSE)),"")</f>
        <v>QUESO SEMIMADURO KIOSKO MIX RALLADO</v>
      </c>
      <c r="F672" s="42" t="str">
        <f>IF(GUAYAQUIL[[#This Row],[CODIGO]]="","",$K$6)</f>
        <v>GUAYAQUIL</v>
      </c>
      <c r="G672" s="1">
        <f>IF(GUAYAQUIL[[#This Row],[CODIGO]]="","",7711)</f>
        <v>7711</v>
      </c>
      <c r="H672" s="1">
        <f>IF(GUAYAQUIL[[#This Row],[CODIGO]]="","",1001)</f>
        <v>1001</v>
      </c>
      <c r="I672" s="258" t="s">
        <v>871</v>
      </c>
      <c r="J672" s="43" t="str">
        <f>IFERROR((VLOOKUP(GUAYAQUIL[[#This Row],[CODIGO]],MAESTRO!A:B,2,FALSE)),"")</f>
        <v>Q KIOSKO MIX RALLADOS 300G</v>
      </c>
      <c r="K672" s="35">
        <v>60</v>
      </c>
      <c r="L672" s="205">
        <f>+IFERROR(IF(GUAYAQUIL[[#This Row],[CODIGO]]="","",VLOOKUP(GUAYAQUIL[[#This Row],[CODIGO]],MAESTRO!$A:$BF,58,FALSE)),"")</f>
        <v>1</v>
      </c>
      <c r="M672" s="27">
        <f>+IFERROR(IF(GUAYAQUIL[[#This Row],[CODIGO]]="","",VLOOKUP(GUAYAQUIL[[#This Row],[CODIGO]],MAESTRO!A:N,14,FALSE)),"")</f>
        <v>0.3</v>
      </c>
      <c r="N672" s="206">
        <f>+IFERROR(IF(GUAYAQUIL[[#This Row],[CODIGO]]="","",VLOOKUP(GUAYAQUIL[[#This Row],[CODIGO]],MAESTRO!A:P,16,FALSE)),"")</f>
        <v>60</v>
      </c>
      <c r="O672" s="45">
        <v>45616</v>
      </c>
      <c r="P672" s="99" t="str">
        <f t="shared" si="50"/>
        <v>miércoles</v>
      </c>
      <c r="Q672" s="278">
        <f>IFERROR(IF(GUAYAQUIL[[#This Row],[CODIGO]]="","",IF(GUAYAQUIL[[#This Row],[Fecha Cad]]="","",(GUAYAQUIL[[#This Row],[Fecha Cad]]-GUAYAQUIL[[#This Row],[VIDA UTIL (Días)]]))+1),"")</f>
        <v>45603</v>
      </c>
      <c r="R672" s="45">
        <v>45662</v>
      </c>
      <c r="S672" s="30">
        <f t="shared" ca="1" si="55"/>
        <v>38</v>
      </c>
      <c r="T672" s="279">
        <f t="shared" ca="1" si="52"/>
        <v>0.6333333333333333</v>
      </c>
      <c r="U672" s="288">
        <v>46</v>
      </c>
      <c r="V672" s="265">
        <f>+IFERROR(IF(GUAYAQUIL[[#This Row],[CODIGO]]="","",GUAYAQUIL[[#This Row],[Stock Actual Unds]]*GUAYAQUIL[[#This Row],[Gramaje]]*GUAYAQUIL[[#This Row],[Conversión]]),"")</f>
        <v>13.799999999999999</v>
      </c>
      <c r="W672" s="280">
        <f t="shared" si="53"/>
        <v>13</v>
      </c>
      <c r="X672" s="44">
        <f t="shared" si="54"/>
        <v>0.78333333333333333</v>
      </c>
      <c r="Y672" s="236">
        <f>IFERROR(VLOOKUP(GUAYAQUIL[[#This Row],[CODIGO]],MAESTRO!A:BI,21,FALSE),0)</f>
        <v>2.4202900000000001</v>
      </c>
      <c r="Z672" s="236">
        <f>+IFERROR(IF(GUAYAQUIL[[#This Row],[CODIGO]]="","",GUAYAQUIL[[#This Row],[COSTO UNIT base]]*GUAYAQUIL[[#This Row],[Conversión]]),"")</f>
        <v>2.4202900000000001</v>
      </c>
      <c r="AA672" s="236">
        <f>+IFERROR(IF(GUAYAQUIL[[#This Row],[CODIGO]]="","",GUAYAQUIL[[#This Row],[COSTO UNIT Conv]]*GUAYAQUIL[[#This Row],[Stock Actual Kgs]]),"")</f>
        <v>33.400002000000001</v>
      </c>
      <c r="AB672" s="180">
        <f ca="1">+IFERROR(IF(GUAYAQUIL[[#This Row],[CODIGO]]="","",$J$3-O672),"")</f>
        <v>8</v>
      </c>
      <c r="AC672" s="35" t="str">
        <f ca="1">IF(GUAYAQUIL[[#This Row],[CODIGO]]="","",IF(S672&lt;=0,"CADUCADO",IF(AND(S672&gt;0,S672&lt;=21),"FECHA CORTA",IF(AND(S672&gt;=22,S672&lt;=26),"PROXIMOS FECHA CORTA", "VIGENTE"))))</f>
        <v>VIGENTE</v>
      </c>
      <c r="AD672" s="289">
        <f>+IF(GUAYAQUIL[[#This Row],[CODIGO]]="","",GUAYAQUIL[[#This Row],[Stock Actual Unds]]*GUAYAQUIL[[#This Row],[Gramaje]]*GUAYAQUIL[[#This Row],[Conversión]])/1000</f>
        <v>1.38E-2</v>
      </c>
    </row>
    <row r="673" spans="1:30">
      <c r="A673" s="42" t="str">
        <f>+IFERROR(IF(GUAYAQUIL[[#This Row],[CODIGO]]="","",VLOOKUP(GUAYAQUIL[[#This Row],[CODIGO]],MAESTRO!$A:$J,10,FALSE)),"")</f>
        <v>SAN GABRIEL</v>
      </c>
      <c r="B673" s="42" t="str">
        <f>+IFERROR(IF(GUAYAQUIL[[#This Row],[CODIGO]]="","",VLOOKUP(GUAYAQUIL[[#This Row],[CODIGO]],MAESTRO!$A:$Q,17,FALSE)),"")</f>
        <v>QUESOS Y GRASAS</v>
      </c>
      <c r="C673" s="42" t="str">
        <f>+IFERROR(IF(GUAYAQUIL[[#This Row],[CODIGO]]="","",VLOOKUP(GUAYAQUIL[[#This Row],[CODIGO]],MAESTRO!$A:$BA,53,FALSE)),"")</f>
        <v xml:space="preserve">Esteban Montenegro                      </v>
      </c>
      <c r="D673" s="42" t="str">
        <f>+IFERROR(IF(GUAYAQUIL[[#This Row],[CODIGO]]="","",VLOOKUP(GUAYAQUIL[[#This Row],[CODIGO]],MAESTRO!$A:$D,4,FALSE)),"")</f>
        <v>QUESO SEMIMADURO KIOSKO</v>
      </c>
      <c r="E673" s="42" t="str">
        <f>+IFERROR(IF(GUAYAQUIL[[#This Row],[CODIGO]]="","",VLOOKUP(GUAYAQUIL[[#This Row],[CODIGO]],MAESTRO!$A:$F,6,FALSE)),"")</f>
        <v>QUESO SEMIMADURO KIOSKO MIX RALLADO</v>
      </c>
      <c r="F673" s="42" t="str">
        <f>IF(GUAYAQUIL[[#This Row],[CODIGO]]="","",$K$6)</f>
        <v>GUAYAQUIL</v>
      </c>
      <c r="G673" s="1">
        <f>IF(GUAYAQUIL[[#This Row],[CODIGO]]="","",7711)</f>
        <v>7711</v>
      </c>
      <c r="H673" s="1">
        <f>IF(GUAYAQUIL[[#This Row],[CODIGO]]="","",1001)</f>
        <v>1001</v>
      </c>
      <c r="I673" s="258" t="s">
        <v>871</v>
      </c>
      <c r="J673" s="43" t="str">
        <f>IFERROR((VLOOKUP(GUAYAQUIL[[#This Row],[CODIGO]],MAESTRO!A:B,2,FALSE)),"")</f>
        <v>Q KIOSKO MIX RALLADOS 300G</v>
      </c>
      <c r="K673" s="35">
        <v>30</v>
      </c>
      <c r="L673" s="205">
        <f>+IFERROR(IF(GUAYAQUIL[[#This Row],[CODIGO]]="","",VLOOKUP(GUAYAQUIL[[#This Row],[CODIGO]],MAESTRO!$A:$BF,58,FALSE)),"")</f>
        <v>1</v>
      </c>
      <c r="M673" s="27">
        <f>+IFERROR(IF(GUAYAQUIL[[#This Row],[CODIGO]]="","",VLOOKUP(GUAYAQUIL[[#This Row],[CODIGO]],MAESTRO!A:N,14,FALSE)),"")</f>
        <v>0.3</v>
      </c>
      <c r="N673" s="206">
        <f>+IFERROR(IF(GUAYAQUIL[[#This Row],[CODIGO]]="","",VLOOKUP(GUAYAQUIL[[#This Row],[CODIGO]],MAESTRO!A:P,16,FALSE)),"")</f>
        <v>60</v>
      </c>
      <c r="O673" s="45">
        <v>45617</v>
      </c>
      <c r="P673" s="99" t="str">
        <f t="shared" si="50"/>
        <v>jueves</v>
      </c>
      <c r="Q673" s="278">
        <f>IFERROR(IF(GUAYAQUIL[[#This Row],[CODIGO]]="","",IF(GUAYAQUIL[[#This Row],[Fecha Cad]]="","",(GUAYAQUIL[[#This Row],[Fecha Cad]]-GUAYAQUIL[[#This Row],[VIDA UTIL (Días)]]))+1),"")</f>
        <v>45603</v>
      </c>
      <c r="R673" s="45">
        <v>45662</v>
      </c>
      <c r="S673" s="30">
        <f t="shared" ca="1" si="55"/>
        <v>38</v>
      </c>
      <c r="T673" s="279">
        <f t="shared" ca="1" si="52"/>
        <v>0.6333333333333333</v>
      </c>
      <c r="U673" s="288">
        <v>30</v>
      </c>
      <c r="V673" s="265">
        <f>+IFERROR(IF(GUAYAQUIL[[#This Row],[CODIGO]]="","",GUAYAQUIL[[#This Row],[Stock Actual Unds]]*GUAYAQUIL[[#This Row],[Gramaje]]*GUAYAQUIL[[#This Row],[Conversión]]),"")</f>
        <v>9</v>
      </c>
      <c r="W673" s="280">
        <f t="shared" si="53"/>
        <v>14</v>
      </c>
      <c r="X673" s="44">
        <f t="shared" si="54"/>
        <v>0.76666666666666661</v>
      </c>
      <c r="Y673" s="236">
        <f>IFERROR(VLOOKUP(GUAYAQUIL[[#This Row],[CODIGO]],MAESTRO!A:BI,21,FALSE),0)</f>
        <v>2.4202900000000001</v>
      </c>
      <c r="Z673" s="236">
        <f>+IFERROR(IF(GUAYAQUIL[[#This Row],[CODIGO]]="","",GUAYAQUIL[[#This Row],[COSTO UNIT base]]*GUAYAQUIL[[#This Row],[Conversión]]),"")</f>
        <v>2.4202900000000001</v>
      </c>
      <c r="AA673" s="236">
        <f>+IFERROR(IF(GUAYAQUIL[[#This Row],[CODIGO]]="","",GUAYAQUIL[[#This Row],[COSTO UNIT Conv]]*GUAYAQUIL[[#This Row],[Stock Actual Kgs]]),"")</f>
        <v>21.782610000000002</v>
      </c>
      <c r="AB673" s="180">
        <f ca="1">+IFERROR(IF(GUAYAQUIL[[#This Row],[CODIGO]]="","",$J$3-O673),"")</f>
        <v>7</v>
      </c>
      <c r="AC673" s="35" t="str">
        <f ca="1">IF(GUAYAQUIL[[#This Row],[CODIGO]]="","",IF(S673&lt;=0,"CADUCADO",IF(AND(S673&gt;0,S673&lt;=21),"FECHA CORTA",IF(AND(S673&gt;=22,S673&lt;=26),"PROXIMOS FECHA CORTA", "VIGENTE"))))</f>
        <v>VIGENTE</v>
      </c>
      <c r="AD673" s="289">
        <f>+IF(GUAYAQUIL[[#This Row],[CODIGO]]="","",GUAYAQUIL[[#This Row],[Stock Actual Unds]]*GUAYAQUIL[[#This Row],[Gramaje]]*GUAYAQUIL[[#This Row],[Conversión]])/1000</f>
        <v>8.9999999999999993E-3</v>
      </c>
    </row>
    <row r="674" spans="1:30">
      <c r="A674" s="42" t="str">
        <f>+IFERROR(IF(GUAYAQUIL[[#This Row],[CODIGO]]="","",VLOOKUP(GUAYAQUIL[[#This Row],[CODIGO]],MAESTRO!$A:$J,10,FALSE)),"")</f>
        <v>MACHACHI</v>
      </c>
      <c r="B674" s="42" t="str">
        <f>+IFERROR(IF(GUAYAQUIL[[#This Row],[CODIGO]]="","",VLOOKUP(GUAYAQUIL[[#This Row],[CODIGO]],MAESTRO!$A:$Q,17,FALSE)),"")</f>
        <v>BEBIDAS LACTEAS</v>
      </c>
      <c r="C674" s="42" t="str">
        <f>+IFERROR(IF(GUAYAQUIL[[#This Row],[CODIGO]]="","",VLOOKUP(GUAYAQUIL[[#This Row],[CODIGO]],MAESTRO!$A:$BA,53,FALSE)),"")</f>
        <v xml:space="preserve">Luis Armendariz                         </v>
      </c>
      <c r="D674" s="42" t="str">
        <f>+IFERROR(IF(GUAYAQUIL[[#This Row],[CODIGO]]="","",VLOOKUP(GUAYAQUIL[[#This Row],[CODIGO]],MAESTRO!$A:$D,4,FALSE)),"")</f>
        <v>REGENERIS</v>
      </c>
      <c r="E674" s="42" t="str">
        <f>+IFERROR(IF(GUAYAQUIL[[#This Row],[CODIGO]]="","",VLOOKUP(GUAYAQUIL[[#This Row],[CODIGO]],MAESTRO!$A:$F,6,FALSE)),"")</f>
        <v>REGENERIS CEREAL BOTELLA FAMILIAR</v>
      </c>
      <c r="F674" s="42" t="str">
        <f>IF(GUAYAQUIL[[#This Row],[CODIGO]]="","",$K$6)</f>
        <v>GUAYAQUIL</v>
      </c>
      <c r="G674" s="1">
        <f>IF(GUAYAQUIL[[#This Row],[CODIGO]]="","",7711)</f>
        <v>7711</v>
      </c>
      <c r="H674" s="1">
        <f>IF(GUAYAQUIL[[#This Row],[CODIGO]]="","",1001)</f>
        <v>1001</v>
      </c>
      <c r="I674" s="258" t="s">
        <v>963</v>
      </c>
      <c r="J674" s="43" t="str">
        <f>IFERROR((VLOOKUP(GUAYAQUIL[[#This Row],[CODIGO]],MAESTRO!A:B,2,FALSE)),"")</f>
        <v>RGN CER PITA BOT 1000G</v>
      </c>
      <c r="K674" s="35">
        <v>108</v>
      </c>
      <c r="L674" s="205">
        <f>+IFERROR(IF(GUAYAQUIL[[#This Row],[CODIGO]]="","",VLOOKUP(GUAYAQUIL[[#This Row],[CODIGO]],MAESTRO!$A:$BF,58,FALSE)),"")</f>
        <v>1</v>
      </c>
      <c r="M674" s="27">
        <f>+IFERROR(IF(GUAYAQUIL[[#This Row],[CODIGO]]="","",VLOOKUP(GUAYAQUIL[[#This Row],[CODIGO]],MAESTRO!A:N,14,FALSE)),"")</f>
        <v>1</v>
      </c>
      <c r="N674" s="206">
        <f>+IFERROR(IF(GUAYAQUIL[[#This Row],[CODIGO]]="","",VLOOKUP(GUAYAQUIL[[#This Row],[CODIGO]],MAESTRO!A:P,16,FALSE)),"")</f>
        <v>45</v>
      </c>
      <c r="O674" s="45">
        <v>45609</v>
      </c>
      <c r="P674" s="99" t="str">
        <f t="shared" si="50"/>
        <v>miércoles</v>
      </c>
      <c r="Q674" s="278">
        <f>IFERROR(IF(GUAYAQUIL[[#This Row],[CODIGO]]="","",IF(GUAYAQUIL[[#This Row],[Fecha Cad]]="","",(GUAYAQUIL[[#This Row],[Fecha Cad]]-GUAYAQUIL[[#This Row],[VIDA UTIL (Días)]]))+1),"")</f>
        <v>45604</v>
      </c>
      <c r="R674" s="45">
        <v>45648</v>
      </c>
      <c r="S674" s="30">
        <f t="shared" ca="1" si="55"/>
        <v>24</v>
      </c>
      <c r="T674" s="279">
        <f t="shared" ca="1" si="52"/>
        <v>0.53333333333333333</v>
      </c>
      <c r="U674" s="288">
        <v>1</v>
      </c>
      <c r="V674" s="265">
        <f>+IFERROR(IF(GUAYAQUIL[[#This Row],[CODIGO]]="","",GUAYAQUIL[[#This Row],[Stock Actual Unds]]*GUAYAQUIL[[#This Row],[Gramaje]]*GUAYAQUIL[[#This Row],[Conversión]]),"")</f>
        <v>1</v>
      </c>
      <c r="W674" s="280">
        <f t="shared" si="53"/>
        <v>5</v>
      </c>
      <c r="X674" s="44">
        <f t="shared" si="54"/>
        <v>0.88888888888888884</v>
      </c>
      <c r="Y674" s="236">
        <f>IFERROR(VLOOKUP(GUAYAQUIL[[#This Row],[CODIGO]],MAESTRO!A:BI,21,FALSE),0)</f>
        <v>1.5184099999999998</v>
      </c>
      <c r="Z674" s="236">
        <f>+IFERROR(IF(GUAYAQUIL[[#This Row],[CODIGO]]="","",GUAYAQUIL[[#This Row],[COSTO UNIT base]]*GUAYAQUIL[[#This Row],[Conversión]]),"")</f>
        <v>1.5184099999999998</v>
      </c>
      <c r="AA674" s="236">
        <f>+IFERROR(IF(GUAYAQUIL[[#This Row],[CODIGO]]="","",GUAYAQUIL[[#This Row],[COSTO UNIT Conv]]*GUAYAQUIL[[#This Row],[Stock Actual Kgs]]),"")</f>
        <v>1.5184099999999998</v>
      </c>
      <c r="AB674" s="180">
        <f ca="1">+IFERROR(IF(GUAYAQUIL[[#This Row],[CODIGO]]="","",$J$3-O674),"")</f>
        <v>15</v>
      </c>
      <c r="AC674" s="35" t="str">
        <f ca="1">IF(GUAYAQUIL[[#This Row],[CODIGO]]="","",IF(S674&lt;=0,"CADUCADO",IF(AND(S674&gt;0,S674&lt;=21),"FECHA CORTA",IF(AND(S674&gt;=22,S674&lt;=26),"PROXIMOS FECHA CORTA", "VIGENTE"))))</f>
        <v>PROXIMOS FECHA CORTA</v>
      </c>
      <c r="AD674" s="289">
        <f>+IF(GUAYAQUIL[[#This Row],[CODIGO]]="","",GUAYAQUIL[[#This Row],[Stock Actual Unds]]*GUAYAQUIL[[#This Row],[Gramaje]]*GUAYAQUIL[[#This Row],[Conversión]])/1000</f>
        <v>1E-3</v>
      </c>
    </row>
    <row r="675" spans="1:30">
      <c r="A675" s="42" t="str">
        <f>+IFERROR(IF(GUAYAQUIL[[#This Row],[CODIGO]]="","",VLOOKUP(GUAYAQUIL[[#This Row],[CODIGO]],MAESTRO!$A:$J,10,FALSE)),"")</f>
        <v>MACHACHI</v>
      </c>
      <c r="B675" s="42" t="str">
        <f>+IFERROR(IF(GUAYAQUIL[[#This Row],[CODIGO]]="","",VLOOKUP(GUAYAQUIL[[#This Row],[CODIGO]],MAESTRO!$A:$Q,17,FALSE)),"")</f>
        <v>BEBIDAS LACTEAS</v>
      </c>
      <c r="C675" s="42" t="str">
        <f>+IFERROR(IF(GUAYAQUIL[[#This Row],[CODIGO]]="","",VLOOKUP(GUAYAQUIL[[#This Row],[CODIGO]],MAESTRO!$A:$BA,53,FALSE)),"")</f>
        <v xml:space="preserve">Luis Armendariz                         </v>
      </c>
      <c r="D675" s="42" t="str">
        <f>+IFERROR(IF(GUAYAQUIL[[#This Row],[CODIGO]]="","",VLOOKUP(GUAYAQUIL[[#This Row],[CODIGO]],MAESTRO!$A:$D,4,FALSE)),"")</f>
        <v>REGENERIS</v>
      </c>
      <c r="E675" s="42" t="str">
        <f>+IFERROR(IF(GUAYAQUIL[[#This Row],[CODIGO]]="","",VLOOKUP(GUAYAQUIL[[#This Row],[CODIGO]],MAESTRO!$A:$F,6,FALSE)),"")</f>
        <v>REGENERIS CEREAL BOTELLA FAMILIAR</v>
      </c>
      <c r="F675" s="42" t="str">
        <f>IF(GUAYAQUIL[[#This Row],[CODIGO]]="","",$K$6)</f>
        <v>GUAYAQUIL</v>
      </c>
      <c r="G675" s="1">
        <f>IF(GUAYAQUIL[[#This Row],[CODIGO]]="","",7711)</f>
        <v>7711</v>
      </c>
      <c r="H675" s="1">
        <f>IF(GUAYAQUIL[[#This Row],[CODIGO]]="","",1001)</f>
        <v>1001</v>
      </c>
      <c r="I675" s="258" t="s">
        <v>963</v>
      </c>
      <c r="J675" s="43" t="str">
        <f>IFERROR((VLOOKUP(GUAYAQUIL[[#This Row],[CODIGO]],MAESTRO!A:B,2,FALSE)),"")</f>
        <v>RGN CER PITA BOT 1000G</v>
      </c>
      <c r="K675" s="35">
        <v>198</v>
      </c>
      <c r="L675" s="205">
        <f>+IFERROR(IF(GUAYAQUIL[[#This Row],[CODIGO]]="","",VLOOKUP(GUAYAQUIL[[#This Row],[CODIGO]],MAESTRO!$A:$BF,58,FALSE)),"")</f>
        <v>1</v>
      </c>
      <c r="M675" s="27">
        <f>+IFERROR(IF(GUAYAQUIL[[#This Row],[CODIGO]]="","",VLOOKUP(GUAYAQUIL[[#This Row],[CODIGO]],MAESTRO!A:N,14,FALSE)),"")</f>
        <v>1</v>
      </c>
      <c r="N675" s="206">
        <f>+IFERROR(IF(GUAYAQUIL[[#This Row],[CODIGO]]="","",VLOOKUP(GUAYAQUIL[[#This Row],[CODIGO]],MAESTRO!A:P,16,FALSE)),"")</f>
        <v>45</v>
      </c>
      <c r="O675" s="45">
        <v>45612</v>
      </c>
      <c r="P675" s="99" t="str">
        <f t="shared" si="50"/>
        <v>sábado</v>
      </c>
      <c r="Q675" s="278">
        <f>IFERROR(IF(GUAYAQUIL[[#This Row],[CODIGO]]="","",IF(GUAYAQUIL[[#This Row],[Fecha Cad]]="","",(GUAYAQUIL[[#This Row],[Fecha Cad]]-GUAYAQUIL[[#This Row],[VIDA UTIL (Días)]]))+1),"")</f>
        <v>45611</v>
      </c>
      <c r="R675" s="45">
        <v>45655</v>
      </c>
      <c r="S675" s="30">
        <f t="shared" ca="1" si="55"/>
        <v>31</v>
      </c>
      <c r="T675" s="279">
        <f t="shared" ca="1" si="52"/>
        <v>0.68888888888888888</v>
      </c>
      <c r="U675" s="288">
        <v>118</v>
      </c>
      <c r="V675" s="265">
        <f>+IFERROR(IF(GUAYAQUIL[[#This Row],[CODIGO]]="","",GUAYAQUIL[[#This Row],[Stock Actual Unds]]*GUAYAQUIL[[#This Row],[Gramaje]]*GUAYAQUIL[[#This Row],[Conversión]]),"")</f>
        <v>118</v>
      </c>
      <c r="W675" s="280">
        <f t="shared" si="53"/>
        <v>1</v>
      </c>
      <c r="X675" s="44">
        <f t="shared" si="54"/>
        <v>0.97777777777777775</v>
      </c>
      <c r="Y675" s="236">
        <f>IFERROR(VLOOKUP(GUAYAQUIL[[#This Row],[CODIGO]],MAESTRO!A:BI,21,FALSE),0)</f>
        <v>1.5184099999999998</v>
      </c>
      <c r="Z675" s="236">
        <f>+IFERROR(IF(GUAYAQUIL[[#This Row],[CODIGO]]="","",GUAYAQUIL[[#This Row],[COSTO UNIT base]]*GUAYAQUIL[[#This Row],[Conversión]]),"")</f>
        <v>1.5184099999999998</v>
      </c>
      <c r="AA675" s="236">
        <f>+IFERROR(IF(GUAYAQUIL[[#This Row],[CODIGO]]="","",GUAYAQUIL[[#This Row],[COSTO UNIT Conv]]*GUAYAQUIL[[#This Row],[Stock Actual Kgs]]),"")</f>
        <v>179.17237999999998</v>
      </c>
      <c r="AB675" s="180">
        <f ca="1">+IFERROR(IF(GUAYAQUIL[[#This Row],[CODIGO]]="","",$J$3-O675),"")</f>
        <v>12</v>
      </c>
      <c r="AC675" s="35" t="str">
        <f ca="1">IF(GUAYAQUIL[[#This Row],[CODIGO]]="","",IF(S675&lt;=0,"CADUCADO",IF(AND(S675&gt;0,S675&lt;=21),"FECHA CORTA",IF(AND(S675&gt;=22,S675&lt;=26),"PROXIMOS FECHA CORTA", "VIGENTE"))))</f>
        <v>VIGENTE</v>
      </c>
      <c r="AD675" s="289">
        <f>+IF(GUAYAQUIL[[#This Row],[CODIGO]]="","",GUAYAQUIL[[#This Row],[Stock Actual Unds]]*GUAYAQUIL[[#This Row],[Gramaje]]*GUAYAQUIL[[#This Row],[Conversión]])/1000</f>
        <v>0.11799999999999999</v>
      </c>
    </row>
    <row r="676" spans="1:30">
      <c r="A676" s="42" t="str">
        <f>+IFERROR(IF(GUAYAQUIL[[#This Row],[CODIGO]]="","",VLOOKUP(GUAYAQUIL[[#This Row],[CODIGO]],MAESTRO!$A:$J,10,FALSE)),"")</f>
        <v>MACHACHI</v>
      </c>
      <c r="B676" s="42" t="str">
        <f>+IFERROR(IF(GUAYAQUIL[[#This Row],[CODIGO]]="","",VLOOKUP(GUAYAQUIL[[#This Row],[CODIGO]],MAESTRO!$A:$Q,17,FALSE)),"")</f>
        <v>BEBIDAS LACTEAS</v>
      </c>
      <c r="C676" s="42" t="str">
        <f>+IFERROR(IF(GUAYAQUIL[[#This Row],[CODIGO]]="","",VLOOKUP(GUAYAQUIL[[#This Row],[CODIGO]],MAESTRO!$A:$BA,53,FALSE)),"")</f>
        <v xml:space="preserve">Luis Armendariz                         </v>
      </c>
      <c r="D676" s="42" t="str">
        <f>+IFERROR(IF(GUAYAQUIL[[#This Row],[CODIGO]]="","",VLOOKUP(GUAYAQUIL[[#This Row],[CODIGO]],MAESTRO!$A:$D,4,FALSE)),"")</f>
        <v>REGENERIS</v>
      </c>
      <c r="E676" s="42" t="str">
        <f>+IFERROR(IF(GUAYAQUIL[[#This Row],[CODIGO]]="","",VLOOKUP(GUAYAQUIL[[#This Row],[CODIGO]],MAESTRO!$A:$F,6,FALSE)),"")</f>
        <v>REGENERIS CEREAL BOTELLA FAMILIAR</v>
      </c>
      <c r="F676" s="42" t="str">
        <f>IF(GUAYAQUIL[[#This Row],[CODIGO]]="","",$K$6)</f>
        <v>GUAYAQUIL</v>
      </c>
      <c r="G676" s="1">
        <f>IF(GUAYAQUIL[[#This Row],[CODIGO]]="","",7711)</f>
        <v>7711</v>
      </c>
      <c r="H676" s="1">
        <f>IF(GUAYAQUIL[[#This Row],[CODIGO]]="","",1001)</f>
        <v>1001</v>
      </c>
      <c r="I676" s="258" t="s">
        <v>963</v>
      </c>
      <c r="J676" s="43" t="str">
        <f>IFERROR((VLOOKUP(GUAYAQUIL[[#This Row],[CODIGO]],MAESTRO!A:B,2,FALSE)),"")</f>
        <v>RGN CER PITA BOT 1000G</v>
      </c>
      <c r="K676" s="35">
        <v>252</v>
      </c>
      <c r="L676" s="205">
        <f>+IFERROR(IF(GUAYAQUIL[[#This Row],[CODIGO]]="","",VLOOKUP(GUAYAQUIL[[#This Row],[CODIGO]],MAESTRO!$A:$BF,58,FALSE)),"")</f>
        <v>1</v>
      </c>
      <c r="M676" s="27">
        <f>+IFERROR(IF(GUAYAQUIL[[#This Row],[CODIGO]]="","",VLOOKUP(GUAYAQUIL[[#This Row],[CODIGO]],MAESTRO!A:N,14,FALSE)),"")</f>
        <v>1</v>
      </c>
      <c r="N676" s="206">
        <f>+IFERROR(IF(GUAYAQUIL[[#This Row],[CODIGO]]="","",VLOOKUP(GUAYAQUIL[[#This Row],[CODIGO]],MAESTRO!A:P,16,FALSE)),"")</f>
        <v>45</v>
      </c>
      <c r="O676" s="45">
        <v>45615</v>
      </c>
      <c r="P676" s="99" t="str">
        <f t="shared" si="50"/>
        <v>martes</v>
      </c>
      <c r="Q676" s="278">
        <f>IFERROR(IF(GUAYAQUIL[[#This Row],[CODIGO]]="","",IF(GUAYAQUIL[[#This Row],[Fecha Cad]]="","",(GUAYAQUIL[[#This Row],[Fecha Cad]]-GUAYAQUIL[[#This Row],[VIDA UTIL (Días)]]))+1),"")</f>
        <v>45611</v>
      </c>
      <c r="R676" s="45">
        <v>45655</v>
      </c>
      <c r="S676" s="30">
        <f t="shared" ca="1" si="55"/>
        <v>31</v>
      </c>
      <c r="T676" s="279">
        <f t="shared" ca="1" si="52"/>
        <v>0.68888888888888888</v>
      </c>
      <c r="U676" s="288">
        <v>252</v>
      </c>
      <c r="V676" s="265">
        <f>+IFERROR(IF(GUAYAQUIL[[#This Row],[CODIGO]]="","",GUAYAQUIL[[#This Row],[Stock Actual Unds]]*GUAYAQUIL[[#This Row],[Gramaje]]*GUAYAQUIL[[#This Row],[Conversión]]),"")</f>
        <v>252</v>
      </c>
      <c r="W676" s="280">
        <f t="shared" si="53"/>
        <v>4</v>
      </c>
      <c r="X676" s="44">
        <f t="shared" si="54"/>
        <v>0.91111111111111109</v>
      </c>
      <c r="Y676" s="236">
        <f>IFERROR(VLOOKUP(GUAYAQUIL[[#This Row],[CODIGO]],MAESTRO!A:BI,21,FALSE),0)</f>
        <v>1.5184099999999998</v>
      </c>
      <c r="Z676" s="236">
        <f>+IFERROR(IF(GUAYAQUIL[[#This Row],[CODIGO]]="","",GUAYAQUIL[[#This Row],[COSTO UNIT base]]*GUAYAQUIL[[#This Row],[Conversión]]),"")</f>
        <v>1.5184099999999998</v>
      </c>
      <c r="AA676" s="236">
        <f>+IFERROR(IF(GUAYAQUIL[[#This Row],[CODIGO]]="","",GUAYAQUIL[[#This Row],[COSTO UNIT Conv]]*GUAYAQUIL[[#This Row],[Stock Actual Kgs]]),"")</f>
        <v>382.63931999999994</v>
      </c>
      <c r="AB676" s="180">
        <f ca="1">+IFERROR(IF(GUAYAQUIL[[#This Row],[CODIGO]]="","",$J$3-O676),"")</f>
        <v>9</v>
      </c>
      <c r="AC676" s="35" t="str">
        <f ca="1">IF(GUAYAQUIL[[#This Row],[CODIGO]]="","",IF(S676&lt;=0,"CADUCADO",IF(AND(S676&gt;0,S676&lt;=21),"FECHA CORTA",IF(AND(S676&gt;=22,S676&lt;=26),"PROXIMOS FECHA CORTA", "VIGENTE"))))</f>
        <v>VIGENTE</v>
      </c>
      <c r="AD676" s="289">
        <f>+IF(GUAYAQUIL[[#This Row],[CODIGO]]="","",GUAYAQUIL[[#This Row],[Stock Actual Unds]]*GUAYAQUIL[[#This Row],[Gramaje]]*GUAYAQUIL[[#This Row],[Conversión]])/1000</f>
        <v>0.252</v>
      </c>
    </row>
    <row r="677" spans="1:30">
      <c r="A677" s="42" t="str">
        <f>+IFERROR(IF(GUAYAQUIL[[#This Row],[CODIGO]]="","",VLOOKUP(GUAYAQUIL[[#This Row],[CODIGO]],MAESTRO!$A:$J,10,FALSE)),"")</f>
        <v>MACHACHI</v>
      </c>
      <c r="B677" s="42" t="str">
        <f>+IFERROR(IF(GUAYAQUIL[[#This Row],[CODIGO]]="","",VLOOKUP(GUAYAQUIL[[#This Row],[CODIGO]],MAESTRO!$A:$Q,17,FALSE)),"")</f>
        <v>BEBIDAS LACTEAS</v>
      </c>
      <c r="C677" s="42" t="str">
        <f>+IFERROR(IF(GUAYAQUIL[[#This Row],[CODIGO]]="","",VLOOKUP(GUAYAQUIL[[#This Row],[CODIGO]],MAESTRO!$A:$BA,53,FALSE)),"")</f>
        <v xml:space="preserve">Luis Armendariz                         </v>
      </c>
      <c r="D677" s="42" t="str">
        <f>+IFERROR(IF(GUAYAQUIL[[#This Row],[CODIGO]]="","",VLOOKUP(GUAYAQUIL[[#This Row],[CODIGO]],MAESTRO!$A:$D,4,FALSE)),"")</f>
        <v>REGENERIS</v>
      </c>
      <c r="E677" s="42" t="str">
        <f>+IFERROR(IF(GUAYAQUIL[[#This Row],[CODIGO]]="","",VLOOKUP(GUAYAQUIL[[#This Row],[CODIGO]],MAESTRO!$A:$F,6,FALSE)),"")</f>
        <v>REGENERIS CEREAL BOTELLA FAMILIAR</v>
      </c>
      <c r="F677" s="42" t="str">
        <f>IF(GUAYAQUIL[[#This Row],[CODIGO]]="","",$K$6)</f>
        <v>GUAYAQUIL</v>
      </c>
      <c r="G677" s="1">
        <f>IF(GUAYAQUIL[[#This Row],[CODIGO]]="","",7711)</f>
        <v>7711</v>
      </c>
      <c r="H677" s="1">
        <f>IF(GUAYAQUIL[[#This Row],[CODIGO]]="","",1001)</f>
        <v>1001</v>
      </c>
      <c r="I677" s="258" t="s">
        <v>963</v>
      </c>
      <c r="J677" s="43" t="str">
        <f>IFERROR((VLOOKUP(GUAYAQUIL[[#This Row],[CODIGO]],MAESTRO!A:B,2,FALSE)),"")</f>
        <v>RGN CER PITA BOT 1000G</v>
      </c>
      <c r="K677" s="35">
        <v>126</v>
      </c>
      <c r="L677" s="205">
        <f>+IFERROR(IF(GUAYAQUIL[[#This Row],[CODIGO]]="","",VLOOKUP(GUAYAQUIL[[#This Row],[CODIGO]],MAESTRO!$A:$BF,58,FALSE)),"")</f>
        <v>1</v>
      </c>
      <c r="M677" s="27">
        <f>+IFERROR(IF(GUAYAQUIL[[#This Row],[CODIGO]]="","",VLOOKUP(GUAYAQUIL[[#This Row],[CODIGO]],MAESTRO!A:N,14,FALSE)),"")</f>
        <v>1</v>
      </c>
      <c r="N677" s="206">
        <f>+IFERROR(IF(GUAYAQUIL[[#This Row],[CODIGO]]="","",VLOOKUP(GUAYAQUIL[[#This Row],[CODIGO]],MAESTRO!A:P,16,FALSE)),"")</f>
        <v>45</v>
      </c>
      <c r="O677" s="45">
        <v>45616</v>
      </c>
      <c r="P677" s="99" t="str">
        <f t="shared" si="50"/>
        <v>miércoles</v>
      </c>
      <c r="Q677" s="278">
        <f>IFERROR(IF(GUAYAQUIL[[#This Row],[CODIGO]]="","",IF(GUAYAQUIL[[#This Row],[Fecha Cad]]="","",(GUAYAQUIL[[#This Row],[Fecha Cad]]-GUAYAQUIL[[#This Row],[VIDA UTIL (Días)]]))+1),"")</f>
        <v>45611</v>
      </c>
      <c r="R677" s="45">
        <v>45655</v>
      </c>
      <c r="S677" s="30">
        <f t="shared" ca="1" si="55"/>
        <v>31</v>
      </c>
      <c r="T677" s="279">
        <f t="shared" ca="1" si="52"/>
        <v>0.68888888888888888</v>
      </c>
      <c r="U677" s="288">
        <v>126</v>
      </c>
      <c r="V677" s="265">
        <f>+IFERROR(IF(GUAYAQUIL[[#This Row],[CODIGO]]="","",GUAYAQUIL[[#This Row],[Stock Actual Unds]]*GUAYAQUIL[[#This Row],[Gramaje]]*GUAYAQUIL[[#This Row],[Conversión]]),"")</f>
        <v>126</v>
      </c>
      <c r="W677" s="280">
        <f t="shared" si="53"/>
        <v>5</v>
      </c>
      <c r="X677" s="44">
        <f t="shared" si="54"/>
        <v>0.88888888888888884</v>
      </c>
      <c r="Y677" s="236">
        <f>IFERROR(VLOOKUP(GUAYAQUIL[[#This Row],[CODIGO]],MAESTRO!A:BI,21,FALSE),0)</f>
        <v>1.5184099999999998</v>
      </c>
      <c r="Z677" s="236">
        <f>+IFERROR(IF(GUAYAQUIL[[#This Row],[CODIGO]]="","",GUAYAQUIL[[#This Row],[COSTO UNIT base]]*GUAYAQUIL[[#This Row],[Conversión]]),"")</f>
        <v>1.5184099999999998</v>
      </c>
      <c r="AA677" s="236">
        <f>+IFERROR(IF(GUAYAQUIL[[#This Row],[CODIGO]]="","",GUAYAQUIL[[#This Row],[COSTO UNIT Conv]]*GUAYAQUIL[[#This Row],[Stock Actual Kgs]]),"")</f>
        <v>191.31965999999997</v>
      </c>
      <c r="AB677" s="180">
        <f ca="1">+IFERROR(IF(GUAYAQUIL[[#This Row],[CODIGO]]="","",$J$3-O677),"")</f>
        <v>8</v>
      </c>
      <c r="AC677" s="35" t="str">
        <f ca="1">IF(GUAYAQUIL[[#This Row],[CODIGO]]="","",IF(S677&lt;=0,"CADUCADO",IF(AND(S677&gt;0,S677&lt;=21),"FECHA CORTA",IF(AND(S677&gt;=22,S677&lt;=26),"PROXIMOS FECHA CORTA", "VIGENTE"))))</f>
        <v>VIGENTE</v>
      </c>
      <c r="AD677" s="289">
        <f>+IF(GUAYAQUIL[[#This Row],[CODIGO]]="","",GUAYAQUIL[[#This Row],[Stock Actual Unds]]*GUAYAQUIL[[#This Row],[Gramaje]]*GUAYAQUIL[[#This Row],[Conversión]])/1000</f>
        <v>0.126</v>
      </c>
    </row>
    <row r="678" spans="1:30">
      <c r="A678" s="42" t="str">
        <f>+IFERROR(IF(GUAYAQUIL[[#This Row],[CODIGO]]="","",VLOOKUP(GUAYAQUIL[[#This Row],[CODIGO]],MAESTRO!$A:$J,10,FALSE)),"")</f>
        <v>MULTIEMPAQUE</v>
      </c>
      <c r="B678" s="42" t="str">
        <f>+IFERROR(IF(GUAYAQUIL[[#This Row],[CODIGO]]="","",VLOOKUP(GUAYAQUIL[[#This Row],[CODIGO]],MAESTRO!$A:$Q,17,FALSE)),"")</f>
        <v>POSTRES</v>
      </c>
      <c r="C678" s="42" t="str">
        <f>+IFERROR(IF(GUAYAQUIL[[#This Row],[CODIGO]]="","",VLOOKUP(GUAYAQUIL[[#This Row],[CODIGO]],MAESTRO!$A:$BA,53,FALSE)),"")</f>
        <v xml:space="preserve">Luis Armendariz                         </v>
      </c>
      <c r="D678" s="42" t="str">
        <f>+IFERROR(IF(GUAYAQUIL[[#This Row],[CODIGO]]="","",VLOOKUP(GUAYAQUIL[[#This Row],[CODIGO]],MAESTRO!$A:$D,4,FALSE)),"")</f>
        <v>ALPINETTE</v>
      </c>
      <c r="E678" s="42" t="str">
        <f>+IFERROR(IF(GUAYAQUIL[[#This Row],[CODIGO]]="","",VLOOKUP(GUAYAQUIL[[#This Row],[CODIGO]],MAESTRO!$A:$F,6,FALSE)),"")</f>
        <v>ALPINETTE</v>
      </c>
      <c r="F678" s="42" t="str">
        <f>IF(GUAYAQUIL[[#This Row],[CODIGO]]="","",$K$6)</f>
        <v>GUAYAQUIL</v>
      </c>
      <c r="G678" s="1">
        <f>IF(GUAYAQUIL[[#This Row],[CODIGO]]="","",7711)</f>
        <v>7711</v>
      </c>
      <c r="H678" s="1">
        <f>IF(GUAYAQUIL[[#This Row],[CODIGO]]="","",1001)</f>
        <v>1001</v>
      </c>
      <c r="I678" s="258" t="s">
        <v>4048</v>
      </c>
      <c r="J678" s="43" t="str">
        <f>IFERROR((VLOOKUP(GUAYAQUIL[[#This Row],[CODIGO]],MAESTRO!A:B,2,FALSE)),"")</f>
        <v>MPLX4 ALPINETTE CZA 140G</v>
      </c>
      <c r="K678" s="35">
        <v>18</v>
      </c>
      <c r="L678" s="205">
        <f>+IFERROR(IF(GUAYAQUIL[[#This Row],[CODIGO]]="","",VLOOKUP(GUAYAQUIL[[#This Row],[CODIGO]],MAESTRO!$A:$BF,58,FALSE)),"")</f>
        <v>1</v>
      </c>
      <c r="M678" s="27">
        <f>+IFERROR(IF(GUAYAQUIL[[#This Row],[CODIGO]]="","",VLOOKUP(GUAYAQUIL[[#This Row],[CODIGO]],MAESTRO!A:N,14,FALSE)),"")</f>
        <v>0.56000000000000005</v>
      </c>
      <c r="N678" s="206">
        <f>+IFERROR(IF(GUAYAQUIL[[#This Row],[CODIGO]]="","",VLOOKUP(GUAYAQUIL[[#This Row],[CODIGO]],MAESTRO!A:P,16,FALSE)),"")</f>
        <v>60</v>
      </c>
      <c r="O678" s="45">
        <v>45602</v>
      </c>
      <c r="P678" s="99" t="str">
        <f t="shared" si="50"/>
        <v>miércoles</v>
      </c>
      <c r="Q678" s="278">
        <f>IFERROR(IF(GUAYAQUIL[[#This Row],[CODIGO]]="","",IF(GUAYAQUIL[[#This Row],[Fecha Cad]]="","",(GUAYAQUIL[[#This Row],[Fecha Cad]]-GUAYAQUIL[[#This Row],[VIDA UTIL (Días)]]))+1),"")</f>
        <v>45573</v>
      </c>
      <c r="R678" s="45">
        <v>45632</v>
      </c>
      <c r="S678" s="30">
        <f t="shared" ca="1" si="55"/>
        <v>8</v>
      </c>
      <c r="T678" s="279">
        <f t="shared" ca="1" si="52"/>
        <v>0.13333333333333333</v>
      </c>
      <c r="U678" s="288">
        <v>18</v>
      </c>
      <c r="V678" s="265">
        <f>+IFERROR(IF(GUAYAQUIL[[#This Row],[CODIGO]]="","",GUAYAQUIL[[#This Row],[Stock Actual Unds]]*GUAYAQUIL[[#This Row],[Gramaje]]*GUAYAQUIL[[#This Row],[Conversión]]),"")</f>
        <v>10.080000000000002</v>
      </c>
      <c r="W678" s="280">
        <f t="shared" si="53"/>
        <v>29</v>
      </c>
      <c r="X678" s="44">
        <f t="shared" si="54"/>
        <v>0.51666666666666661</v>
      </c>
      <c r="Y678" s="236">
        <f>IFERROR(VLOOKUP(GUAYAQUIL[[#This Row],[CODIGO]],MAESTRO!A:BI,21,FALSE),0)</f>
        <v>2.0278900000000002</v>
      </c>
      <c r="Z678" s="236">
        <f>+IFERROR(IF(GUAYAQUIL[[#This Row],[CODIGO]]="","",GUAYAQUIL[[#This Row],[COSTO UNIT base]]*GUAYAQUIL[[#This Row],[Conversión]]),"")</f>
        <v>2.0278900000000002</v>
      </c>
      <c r="AA678" s="236">
        <f>+IFERROR(IF(GUAYAQUIL[[#This Row],[CODIGO]]="","",GUAYAQUIL[[#This Row],[COSTO UNIT Conv]]*GUAYAQUIL[[#This Row],[Stock Actual Kgs]]),"")</f>
        <v>20.441131200000004</v>
      </c>
      <c r="AB678" s="180">
        <f ca="1">+IFERROR(IF(GUAYAQUIL[[#This Row],[CODIGO]]="","",$J$3-O678),"")</f>
        <v>22</v>
      </c>
      <c r="AC678" s="35" t="str">
        <f ca="1">IF(GUAYAQUIL[[#This Row],[CODIGO]]="","",IF(S678&lt;=0,"CADUCADO",IF(AND(S678&gt;0,S678&lt;=21),"FECHA CORTA",IF(AND(S678&gt;=22,S678&lt;=26),"PROXIMOS FECHA CORTA", "VIGENTE"))))</f>
        <v>FECHA CORTA</v>
      </c>
      <c r="AD678" s="289">
        <f>+IF(GUAYAQUIL[[#This Row],[CODIGO]]="","",GUAYAQUIL[[#This Row],[Stock Actual Unds]]*GUAYAQUIL[[#This Row],[Gramaje]]*GUAYAQUIL[[#This Row],[Conversión]])/1000</f>
        <v>1.0080000000000002E-2</v>
      </c>
    </row>
    <row r="679" spans="1:30">
      <c r="A679" s="42" t="str">
        <f>+IFERROR(IF(GUAYAQUIL[[#This Row],[CODIGO]]="","",VLOOKUP(GUAYAQUIL[[#This Row],[CODIGO]],MAESTRO!$A:$J,10,FALSE)),"")</f>
        <v>MACHACHI</v>
      </c>
      <c r="B679" s="42" t="str">
        <f>+IFERROR(IF(GUAYAQUIL[[#This Row],[CODIGO]]="","",VLOOKUP(GUAYAQUIL[[#This Row],[CODIGO]],MAESTRO!$A:$Q,17,FALSE)),"")</f>
        <v>BEBIDAS LACTEAS</v>
      </c>
      <c r="C679" s="42" t="str">
        <f>+IFERROR(IF(GUAYAQUIL[[#This Row],[CODIGO]]="","",VLOOKUP(GUAYAQUIL[[#This Row],[CODIGO]],MAESTRO!$A:$BA,53,FALSE)),"")</f>
        <v xml:space="preserve">Luis Armendariz                         </v>
      </c>
      <c r="D679" s="42" t="str">
        <f>+IFERROR(IF(GUAYAQUIL[[#This Row],[CODIGO]]="","",VLOOKUP(GUAYAQUIL[[#This Row],[CODIGO]],MAESTRO!$A:$D,4,FALSE)),"")</f>
        <v>YOGURT KIOSKO</v>
      </c>
      <c r="E679" s="42" t="str">
        <f>+IFERROR(IF(GUAYAQUIL[[#This Row],[CODIGO]]="","",VLOOKUP(GUAYAQUIL[[#This Row],[CODIGO]],MAESTRO!$A:$F,6,FALSE)),"")</f>
        <v>BEBIDA DE YOGURT KIOSKO BOTELLA PERSONAL</v>
      </c>
      <c r="F679" s="42" t="str">
        <f>IF(GUAYAQUIL[[#This Row],[CODIGO]]="","",$K$6)</f>
        <v>GUAYAQUIL</v>
      </c>
      <c r="G679" s="1">
        <f>IF(GUAYAQUIL[[#This Row],[CODIGO]]="","",7711)</f>
        <v>7711</v>
      </c>
      <c r="H679" s="1">
        <f>IF(GUAYAQUIL[[#This Row],[CODIGO]]="","",1001)</f>
        <v>1001</v>
      </c>
      <c r="I679" s="258" t="s">
        <v>4019</v>
      </c>
      <c r="J679" s="43" t="str">
        <f>IFERROR((VLOOKUP(GUAYAQUIL[[#This Row],[CODIGO]],MAESTRO!A:B,2,FALSE)),"")</f>
        <v>YOG BBLE KIOSKO FTILLA 180</v>
      </c>
      <c r="K679" s="35">
        <v>216</v>
      </c>
      <c r="L679" s="205">
        <f>+IFERROR(IF(GUAYAQUIL[[#This Row],[CODIGO]]="","",VLOOKUP(GUAYAQUIL[[#This Row],[CODIGO]],MAESTRO!$A:$BF,58,FALSE)),"")</f>
        <v>1</v>
      </c>
      <c r="M679" s="27">
        <f>+IFERROR(IF(GUAYAQUIL[[#This Row],[CODIGO]]="","",VLOOKUP(GUAYAQUIL[[#This Row],[CODIGO]],MAESTRO!A:N,14,FALSE)),"")</f>
        <v>0.18</v>
      </c>
      <c r="N679" s="206">
        <f>+IFERROR(IF(GUAYAQUIL[[#This Row],[CODIGO]]="","",VLOOKUP(GUAYAQUIL[[#This Row],[CODIGO]],MAESTRO!A:P,16,FALSE)),"")</f>
        <v>45</v>
      </c>
      <c r="O679" s="45">
        <v>45597</v>
      </c>
      <c r="P679" s="99" t="str">
        <f t="shared" si="50"/>
        <v>viernes</v>
      </c>
      <c r="Q679" s="278">
        <f>IFERROR(IF(GUAYAQUIL[[#This Row],[CODIGO]]="","",IF(GUAYAQUIL[[#This Row],[Fecha Cad]]="","",(GUAYAQUIL[[#This Row],[Fecha Cad]]-GUAYAQUIL[[#This Row],[VIDA UTIL (Días)]]))+1),"")</f>
        <v>45588</v>
      </c>
      <c r="R679" s="45">
        <v>45632</v>
      </c>
      <c r="S679" s="30">
        <f t="shared" ca="1" si="55"/>
        <v>8</v>
      </c>
      <c r="T679" s="279">
        <f t="shared" ca="1" si="52"/>
        <v>0.17777777777777778</v>
      </c>
      <c r="U679" s="288">
        <v>128</v>
      </c>
      <c r="V679" s="265">
        <f>+IFERROR(IF(GUAYAQUIL[[#This Row],[CODIGO]]="","",GUAYAQUIL[[#This Row],[Stock Actual Unds]]*GUAYAQUIL[[#This Row],[Gramaje]]*GUAYAQUIL[[#This Row],[Conversión]]),"")</f>
        <v>23.04</v>
      </c>
      <c r="W679" s="280">
        <f t="shared" si="53"/>
        <v>9</v>
      </c>
      <c r="X679" s="44">
        <f t="shared" si="54"/>
        <v>0.8</v>
      </c>
      <c r="Y679" s="236">
        <f>IFERROR(VLOOKUP(GUAYAQUIL[[#This Row],[CODIGO]],MAESTRO!A:BI,21,FALSE),0)</f>
        <v>0.24412500000000001</v>
      </c>
      <c r="Z679" s="236">
        <f>+IFERROR(IF(GUAYAQUIL[[#This Row],[CODIGO]]="","",GUAYAQUIL[[#This Row],[COSTO UNIT base]]*GUAYAQUIL[[#This Row],[Conversión]]),"")</f>
        <v>0.24412500000000001</v>
      </c>
      <c r="AA679" s="236">
        <f>+IFERROR(IF(GUAYAQUIL[[#This Row],[CODIGO]]="","",GUAYAQUIL[[#This Row],[COSTO UNIT Conv]]*GUAYAQUIL[[#This Row],[Stock Actual Kgs]]),"")</f>
        <v>5.6246400000000003</v>
      </c>
      <c r="AB679" s="180">
        <f ca="1">+IFERROR(IF(GUAYAQUIL[[#This Row],[CODIGO]]="","",$J$3-O679),"")</f>
        <v>27</v>
      </c>
      <c r="AC679" s="35" t="str">
        <f ca="1">IF(GUAYAQUIL[[#This Row],[CODIGO]]="","",IF(S679&lt;=0,"CADUCADO",IF(AND(S679&gt;0,S679&lt;=21),"FECHA CORTA",IF(AND(S679&gt;=22,S679&lt;=26),"PROXIMOS FECHA CORTA", "VIGENTE"))))</f>
        <v>FECHA CORTA</v>
      </c>
      <c r="AD679" s="289">
        <f>+IF(GUAYAQUIL[[#This Row],[CODIGO]]="","",GUAYAQUIL[[#This Row],[Stock Actual Unds]]*GUAYAQUIL[[#This Row],[Gramaje]]*GUAYAQUIL[[#This Row],[Conversión]])/1000</f>
        <v>2.3039999999999998E-2</v>
      </c>
    </row>
    <row r="680" spans="1:30">
      <c r="A680" s="42" t="str">
        <f>+IFERROR(IF(GUAYAQUIL[[#This Row],[CODIGO]]="","",VLOOKUP(GUAYAQUIL[[#This Row],[CODIGO]],MAESTRO!$A:$J,10,FALSE)),"")</f>
        <v>MACHACHI</v>
      </c>
      <c r="B680" s="42" t="str">
        <f>+IFERROR(IF(GUAYAQUIL[[#This Row],[CODIGO]]="","",VLOOKUP(GUAYAQUIL[[#This Row],[CODIGO]],MAESTRO!$A:$Q,17,FALSE)),"")</f>
        <v>BEBIDAS LACTEAS</v>
      </c>
      <c r="C680" s="42" t="str">
        <f>+IFERROR(IF(GUAYAQUIL[[#This Row],[CODIGO]]="","",VLOOKUP(GUAYAQUIL[[#This Row],[CODIGO]],MAESTRO!$A:$BA,53,FALSE)),"")</f>
        <v xml:space="preserve">Luis Armendariz                         </v>
      </c>
      <c r="D680" s="42" t="str">
        <f>+IFERROR(IF(GUAYAQUIL[[#This Row],[CODIGO]]="","",VLOOKUP(GUAYAQUIL[[#This Row],[CODIGO]],MAESTRO!$A:$D,4,FALSE)),"")</f>
        <v>YOGURT KIOSKO</v>
      </c>
      <c r="E680" s="42" t="str">
        <f>+IFERROR(IF(GUAYAQUIL[[#This Row],[CODIGO]]="","",VLOOKUP(GUAYAQUIL[[#This Row],[CODIGO]],MAESTRO!$A:$F,6,FALSE)),"")</f>
        <v>BEBIDA DE YOGURT KIOSKO BOTELLA PERSONAL</v>
      </c>
      <c r="F680" s="42" t="str">
        <f>IF(GUAYAQUIL[[#This Row],[CODIGO]]="","",$K$6)</f>
        <v>GUAYAQUIL</v>
      </c>
      <c r="G680" s="1">
        <f>IF(GUAYAQUIL[[#This Row],[CODIGO]]="","",7711)</f>
        <v>7711</v>
      </c>
      <c r="H680" s="1">
        <f>IF(GUAYAQUIL[[#This Row],[CODIGO]]="","",1001)</f>
        <v>1001</v>
      </c>
      <c r="I680" s="258" t="s">
        <v>4019</v>
      </c>
      <c r="J680" s="43" t="str">
        <f>IFERROR((VLOOKUP(GUAYAQUIL[[#This Row],[CODIGO]],MAESTRO!A:B,2,FALSE)),"")</f>
        <v>YOG BBLE KIOSKO FTILLA 180</v>
      </c>
      <c r="K680" s="35">
        <v>216</v>
      </c>
      <c r="L680" s="205">
        <f>+IFERROR(IF(GUAYAQUIL[[#This Row],[CODIGO]]="","",VLOOKUP(GUAYAQUIL[[#This Row],[CODIGO]],MAESTRO!$A:$BF,58,FALSE)),"")</f>
        <v>1</v>
      </c>
      <c r="M680" s="27">
        <f>+IFERROR(IF(GUAYAQUIL[[#This Row],[CODIGO]]="","",VLOOKUP(GUAYAQUIL[[#This Row],[CODIGO]],MAESTRO!A:N,14,FALSE)),"")</f>
        <v>0.18</v>
      </c>
      <c r="N680" s="206">
        <f>+IFERROR(IF(GUAYAQUIL[[#This Row],[CODIGO]]="","",VLOOKUP(GUAYAQUIL[[#This Row],[CODIGO]],MAESTRO!A:P,16,FALSE)),"")</f>
        <v>45</v>
      </c>
      <c r="O680" s="45">
        <v>45601</v>
      </c>
      <c r="P680" s="99" t="str">
        <f t="shared" si="50"/>
        <v>martes</v>
      </c>
      <c r="Q680" s="278">
        <f>IFERROR(IF(GUAYAQUIL[[#This Row],[CODIGO]]="","",IF(GUAYAQUIL[[#This Row],[Fecha Cad]]="","",(GUAYAQUIL[[#This Row],[Fecha Cad]]-GUAYAQUIL[[#This Row],[VIDA UTIL (Días)]]))+1),"")</f>
        <v>45596</v>
      </c>
      <c r="R680" s="45">
        <v>45640</v>
      </c>
      <c r="S680" s="30">
        <f t="shared" ca="1" si="55"/>
        <v>16</v>
      </c>
      <c r="T680" s="279">
        <f t="shared" ca="1" si="52"/>
        <v>0.35555555555555557</v>
      </c>
      <c r="U680" s="288">
        <v>39</v>
      </c>
      <c r="V680" s="265">
        <f>+IFERROR(IF(GUAYAQUIL[[#This Row],[CODIGO]]="","",GUAYAQUIL[[#This Row],[Stock Actual Unds]]*GUAYAQUIL[[#This Row],[Gramaje]]*GUAYAQUIL[[#This Row],[Conversión]]),"")</f>
        <v>7.02</v>
      </c>
      <c r="W680" s="280">
        <f t="shared" si="53"/>
        <v>5</v>
      </c>
      <c r="X680" s="44">
        <f t="shared" si="54"/>
        <v>0.88888888888888884</v>
      </c>
      <c r="Y680" s="236">
        <f>IFERROR(VLOOKUP(GUAYAQUIL[[#This Row],[CODIGO]],MAESTRO!A:BI,21,FALSE),0)</f>
        <v>0.24412500000000001</v>
      </c>
      <c r="Z680" s="236">
        <f>+IFERROR(IF(GUAYAQUIL[[#This Row],[CODIGO]]="","",GUAYAQUIL[[#This Row],[COSTO UNIT base]]*GUAYAQUIL[[#This Row],[Conversión]]),"")</f>
        <v>0.24412500000000001</v>
      </c>
      <c r="AA680" s="236">
        <f>+IFERROR(IF(GUAYAQUIL[[#This Row],[CODIGO]]="","",GUAYAQUIL[[#This Row],[COSTO UNIT Conv]]*GUAYAQUIL[[#This Row],[Stock Actual Kgs]]),"")</f>
        <v>1.7137575</v>
      </c>
      <c r="AB680" s="180">
        <f ca="1">+IFERROR(IF(GUAYAQUIL[[#This Row],[CODIGO]]="","",$J$3-O680),"")</f>
        <v>23</v>
      </c>
      <c r="AC680" s="35" t="str">
        <f ca="1">IF(GUAYAQUIL[[#This Row],[CODIGO]]="","",IF(S680&lt;=0,"CADUCADO",IF(AND(S680&gt;0,S680&lt;=21),"FECHA CORTA",IF(AND(S680&gt;=22,S680&lt;=26),"PROXIMOS FECHA CORTA", "VIGENTE"))))</f>
        <v>FECHA CORTA</v>
      </c>
      <c r="AD680" s="289">
        <f>+IF(GUAYAQUIL[[#This Row],[CODIGO]]="","",GUAYAQUIL[[#This Row],[Stock Actual Unds]]*GUAYAQUIL[[#This Row],[Gramaje]]*GUAYAQUIL[[#This Row],[Conversión]])/1000</f>
        <v>7.0199999999999993E-3</v>
      </c>
    </row>
    <row r="681" spans="1:30">
      <c r="A681" s="42" t="str">
        <f>+IFERROR(IF(GUAYAQUIL[[#This Row],[CODIGO]]="","",VLOOKUP(GUAYAQUIL[[#This Row],[CODIGO]],MAESTRO!$A:$J,10,FALSE)),"")</f>
        <v>MACHACHI</v>
      </c>
      <c r="B681" s="42" t="str">
        <f>+IFERROR(IF(GUAYAQUIL[[#This Row],[CODIGO]]="","",VLOOKUP(GUAYAQUIL[[#This Row],[CODIGO]],MAESTRO!$A:$Q,17,FALSE)),"")</f>
        <v>BEBIDAS LACTEAS</v>
      </c>
      <c r="C681" s="42" t="str">
        <f>+IFERROR(IF(GUAYAQUIL[[#This Row],[CODIGO]]="","",VLOOKUP(GUAYAQUIL[[#This Row],[CODIGO]],MAESTRO!$A:$BA,53,FALSE)),"")</f>
        <v xml:space="preserve">Luis Armendariz                         </v>
      </c>
      <c r="D681" s="42" t="str">
        <f>+IFERROR(IF(GUAYAQUIL[[#This Row],[CODIGO]]="","",VLOOKUP(GUAYAQUIL[[#This Row],[CODIGO]],MAESTRO!$A:$D,4,FALSE)),"")</f>
        <v>YOGURT KIOSKO</v>
      </c>
      <c r="E681" s="42" t="str">
        <f>+IFERROR(IF(GUAYAQUIL[[#This Row],[CODIGO]]="","",VLOOKUP(GUAYAQUIL[[#This Row],[CODIGO]],MAESTRO!$A:$F,6,FALSE)),"")</f>
        <v>BEBIDA DE YOGURT KIOSKO BOTELLA PERSONAL</v>
      </c>
      <c r="F681" s="42" t="str">
        <f>IF(GUAYAQUIL[[#This Row],[CODIGO]]="","",$K$6)</f>
        <v>GUAYAQUIL</v>
      </c>
      <c r="G681" s="1">
        <f>IF(GUAYAQUIL[[#This Row],[CODIGO]]="","",7711)</f>
        <v>7711</v>
      </c>
      <c r="H681" s="1">
        <f>IF(GUAYAQUIL[[#This Row],[CODIGO]]="","",1001)</f>
        <v>1001</v>
      </c>
      <c r="I681" s="258" t="s">
        <v>4019</v>
      </c>
      <c r="J681" s="43" t="str">
        <f>IFERROR((VLOOKUP(GUAYAQUIL[[#This Row],[CODIGO]],MAESTRO!A:B,2,FALSE)),"")</f>
        <v>YOG BBLE KIOSKO FTILLA 180</v>
      </c>
      <c r="K681" s="35">
        <v>108</v>
      </c>
      <c r="L681" s="205">
        <f>+IFERROR(IF(GUAYAQUIL[[#This Row],[CODIGO]]="","",VLOOKUP(GUAYAQUIL[[#This Row],[CODIGO]],MAESTRO!$A:$BF,58,FALSE)),"")</f>
        <v>1</v>
      </c>
      <c r="M681" s="27">
        <f>+IFERROR(IF(GUAYAQUIL[[#This Row],[CODIGO]]="","",VLOOKUP(GUAYAQUIL[[#This Row],[CODIGO]],MAESTRO!A:N,14,FALSE)),"")</f>
        <v>0.18</v>
      </c>
      <c r="N681" s="206">
        <f>+IFERROR(IF(GUAYAQUIL[[#This Row],[CODIGO]]="","",VLOOKUP(GUAYAQUIL[[#This Row],[CODIGO]],MAESTRO!A:P,16,FALSE)),"")</f>
        <v>45</v>
      </c>
      <c r="O681" s="45">
        <v>45617</v>
      </c>
      <c r="P681" s="99" t="str">
        <f t="shared" si="50"/>
        <v>jueves</v>
      </c>
      <c r="Q681" s="278">
        <f>IFERROR(IF(GUAYAQUIL[[#This Row],[CODIGO]]="","",IF(GUAYAQUIL[[#This Row],[Fecha Cad]]="","",(GUAYAQUIL[[#This Row],[Fecha Cad]]-GUAYAQUIL[[#This Row],[VIDA UTIL (Días)]]))+1),"")</f>
        <v>45611</v>
      </c>
      <c r="R681" s="45">
        <v>45655</v>
      </c>
      <c r="S681" s="30">
        <f t="shared" ca="1" si="55"/>
        <v>31</v>
      </c>
      <c r="T681" s="279">
        <f t="shared" ca="1" si="52"/>
        <v>0.68888888888888888</v>
      </c>
      <c r="U681" s="288">
        <v>36</v>
      </c>
      <c r="V681" s="265">
        <f>+IFERROR(IF(GUAYAQUIL[[#This Row],[CODIGO]]="","",GUAYAQUIL[[#This Row],[Stock Actual Unds]]*GUAYAQUIL[[#This Row],[Gramaje]]*GUAYAQUIL[[#This Row],[Conversión]]),"")</f>
        <v>6.4799999999999995</v>
      </c>
      <c r="W681" s="280">
        <f t="shared" si="53"/>
        <v>6</v>
      </c>
      <c r="X681" s="44">
        <f t="shared" si="54"/>
        <v>0.8666666666666667</v>
      </c>
      <c r="Y681" s="236">
        <f>IFERROR(VLOOKUP(GUAYAQUIL[[#This Row],[CODIGO]],MAESTRO!A:BI,21,FALSE),0)</f>
        <v>0.24412500000000001</v>
      </c>
      <c r="Z681" s="236">
        <f>+IFERROR(IF(GUAYAQUIL[[#This Row],[CODIGO]]="","",GUAYAQUIL[[#This Row],[COSTO UNIT base]]*GUAYAQUIL[[#This Row],[Conversión]]),"")</f>
        <v>0.24412500000000001</v>
      </c>
      <c r="AA681" s="236">
        <f>+IFERROR(IF(GUAYAQUIL[[#This Row],[CODIGO]]="","",GUAYAQUIL[[#This Row],[COSTO UNIT Conv]]*GUAYAQUIL[[#This Row],[Stock Actual Kgs]]),"")</f>
        <v>1.5819299999999998</v>
      </c>
      <c r="AB681" s="180">
        <f ca="1">+IFERROR(IF(GUAYAQUIL[[#This Row],[CODIGO]]="","",$J$3-O681),"")</f>
        <v>7</v>
      </c>
      <c r="AC681" s="35" t="str">
        <f ca="1">IF(GUAYAQUIL[[#This Row],[CODIGO]]="","",IF(S681&lt;=0,"CADUCADO",IF(AND(S681&gt;0,S681&lt;=21),"FECHA CORTA",IF(AND(S681&gt;=22,S681&lt;=26),"PROXIMOS FECHA CORTA", "VIGENTE"))))</f>
        <v>VIGENTE</v>
      </c>
      <c r="AD681" s="289">
        <f>+IF(GUAYAQUIL[[#This Row],[CODIGO]]="","",GUAYAQUIL[[#This Row],[Stock Actual Unds]]*GUAYAQUIL[[#This Row],[Gramaje]]*GUAYAQUIL[[#This Row],[Conversión]])/1000</f>
        <v>6.4799999999999996E-3</v>
      </c>
    </row>
    <row r="682" spans="1:30">
      <c r="A682" s="42" t="str">
        <f>+IFERROR(IF(GUAYAQUIL[[#This Row],[CODIGO]]="","",VLOOKUP(GUAYAQUIL[[#This Row],[CODIGO]],MAESTRO!$A:$J,10,FALSE)),"")</f>
        <v>PROMOCION</v>
      </c>
      <c r="B682" s="42" t="str">
        <f>+IFERROR(IF(GUAYAQUIL[[#This Row],[CODIGO]]="","",VLOOKUP(GUAYAQUIL[[#This Row],[CODIGO]],MAESTRO!$A:$Q,17,FALSE)),"")</f>
        <v>MULTIMARCA</v>
      </c>
      <c r="C682" s="42" t="str">
        <f>+IFERROR(IF(GUAYAQUIL[[#This Row],[CODIGO]]="","",VLOOKUP(GUAYAQUIL[[#This Row],[CODIGO]],MAESTRO!$A:$BA,53,FALSE)),"")</f>
        <v xml:space="preserve">Esteban Montenegro                      </v>
      </c>
      <c r="D682" s="42" t="str">
        <f>+IFERROR(IF(GUAYAQUIL[[#This Row],[CODIGO]]="","",VLOOKUP(GUAYAQUIL[[#This Row],[CODIGO]],MAESTRO!$A:$D,4,FALSE)),"")</f>
        <v>MULTIMARCA</v>
      </c>
      <c r="E682" s="42" t="str">
        <f>+IFERROR(IF(GUAYAQUIL[[#This Row],[CODIGO]]="","",VLOOKUP(GUAYAQUIL[[#This Row],[CODIGO]],MAESTRO!$A:$F,6,FALSE)),"")</f>
        <v>ARMADOS</v>
      </c>
      <c r="F682" s="42" t="str">
        <f>IF(GUAYAQUIL[[#This Row],[CODIGO]]="","",$K$6)</f>
        <v>GUAYAQUIL</v>
      </c>
      <c r="G682" s="1">
        <f>IF(GUAYAQUIL[[#This Row],[CODIGO]]="","",7711)</f>
        <v>7711</v>
      </c>
      <c r="H682" s="1">
        <f>IF(GUAYAQUIL[[#This Row],[CODIGO]]="","",1001)</f>
        <v>1001</v>
      </c>
      <c r="I682" s="258" t="s">
        <v>3924</v>
      </c>
      <c r="J682" s="43" t="str">
        <f>IFERROR((VLOOKUP(GUAYAQUIL[[#This Row],[CODIGO]],MAESTRO!A:B,2,FALSE)),"")</f>
        <v>PACK TABLA+PARM 40G+ AMERIC 75G+SAN 75G</v>
      </c>
      <c r="K682" s="35">
        <v>0</v>
      </c>
      <c r="L682" s="205">
        <f>+IFERROR(IF(GUAYAQUIL[[#This Row],[CODIGO]]="","",VLOOKUP(GUAYAQUIL[[#This Row],[CODIGO]],MAESTRO!$A:$BF,58,FALSE)),"")</f>
        <v>1</v>
      </c>
      <c r="M682" s="27">
        <f>+IFERROR(IF(GUAYAQUIL[[#This Row],[CODIGO]]="","",VLOOKUP(GUAYAQUIL[[#This Row],[CODIGO]],MAESTRO!A:N,14,FALSE)),"")</f>
        <v>0.19</v>
      </c>
      <c r="N682" s="206">
        <f>+IFERROR(IF(GUAYAQUIL[[#This Row],[CODIGO]]="","",VLOOKUP(GUAYAQUIL[[#This Row],[CODIGO]],MAESTRO!A:P,16,FALSE)),"")</f>
        <v>60</v>
      </c>
      <c r="O682" s="45">
        <v>45619</v>
      </c>
      <c r="P682" s="99" t="str">
        <f t="shared" si="50"/>
        <v>sábado</v>
      </c>
      <c r="Q682" s="278">
        <f>IFERROR(IF(GUAYAQUIL[[#This Row],[CODIGO]]="","",IF(GUAYAQUIL[[#This Row],[Fecha Cad]]="","",(GUAYAQUIL[[#This Row],[Fecha Cad]]-GUAYAQUIL[[#This Row],[VIDA UTIL (Días)]]))+1),"")</f>
        <v>45619</v>
      </c>
      <c r="R682" s="45">
        <v>45678</v>
      </c>
      <c r="S682" s="30">
        <f t="shared" ca="1" si="55"/>
        <v>54</v>
      </c>
      <c r="T682" s="279">
        <f t="shared" ca="1" si="52"/>
        <v>0.9</v>
      </c>
      <c r="U682" s="288">
        <v>1</v>
      </c>
      <c r="V682" s="265">
        <f>+IFERROR(IF(GUAYAQUIL[[#This Row],[CODIGO]]="","",GUAYAQUIL[[#This Row],[Stock Actual Unds]]*GUAYAQUIL[[#This Row],[Gramaje]]*GUAYAQUIL[[#This Row],[Conversión]]),"")</f>
        <v>0.19</v>
      </c>
      <c r="W682" s="280">
        <f t="shared" si="53"/>
        <v>0</v>
      </c>
      <c r="X682" s="44">
        <f t="shared" si="54"/>
        <v>1</v>
      </c>
      <c r="Y682" s="236">
        <f>IFERROR(VLOOKUP(GUAYAQUIL[[#This Row],[CODIGO]],MAESTRO!A:BI,21,FALSE),0)</f>
        <v>3.4317950000000002</v>
      </c>
      <c r="Z682" s="236">
        <f>+IFERROR(IF(GUAYAQUIL[[#This Row],[CODIGO]]="","",GUAYAQUIL[[#This Row],[COSTO UNIT base]]*GUAYAQUIL[[#This Row],[Conversión]]),"")</f>
        <v>3.4317950000000002</v>
      </c>
      <c r="AA682" s="236">
        <f>+IFERROR(IF(GUAYAQUIL[[#This Row],[CODIGO]]="","",GUAYAQUIL[[#This Row],[COSTO UNIT Conv]]*GUAYAQUIL[[#This Row],[Stock Actual Kgs]]),"")</f>
        <v>0.65204105000000001</v>
      </c>
      <c r="AB682" s="180">
        <f ca="1">+IFERROR(IF(GUAYAQUIL[[#This Row],[CODIGO]]="","",$J$3-O682),"")</f>
        <v>5</v>
      </c>
      <c r="AC682" s="35" t="str">
        <f ca="1">IF(GUAYAQUIL[[#This Row],[CODIGO]]="","",IF(S682&lt;=0,"CADUCADO",IF(AND(S682&gt;0,S682&lt;=21),"FECHA CORTA",IF(AND(S682&gt;=22,S682&lt;=26),"PROXIMOS FECHA CORTA", "VIGENTE"))))</f>
        <v>VIGENTE</v>
      </c>
      <c r="AD682" s="289">
        <f>+IF(GUAYAQUIL[[#This Row],[CODIGO]]="","",GUAYAQUIL[[#This Row],[Stock Actual Unds]]*GUAYAQUIL[[#This Row],[Gramaje]]*GUAYAQUIL[[#This Row],[Conversión]])/1000</f>
        <v>1.9000000000000001E-4</v>
      </c>
    </row>
    <row r="683" spans="1:30">
      <c r="A683" s="42" t="str">
        <f>+IFERROR(IF(GUAYAQUIL[[#This Row],[CODIGO]]="","",VLOOKUP(GUAYAQUIL[[#This Row],[CODIGO]],MAESTRO!$A:$J,10,FALSE)),"")</f>
        <v>PROMOCION</v>
      </c>
      <c r="B683" s="42" t="str">
        <f>+IFERROR(IF(GUAYAQUIL[[#This Row],[CODIGO]]="","",VLOOKUP(GUAYAQUIL[[#This Row],[CODIGO]],MAESTRO!$A:$Q,17,FALSE)),"")</f>
        <v>MULTIMARCA</v>
      </c>
      <c r="C683" s="42" t="str">
        <f>+IFERROR(IF(GUAYAQUIL[[#This Row],[CODIGO]]="","",VLOOKUP(GUAYAQUIL[[#This Row],[CODIGO]],MAESTRO!$A:$BA,53,FALSE)),"")</f>
        <v xml:space="preserve">Esteban Montenegro                      </v>
      </c>
      <c r="D683" s="42" t="str">
        <f>+IFERROR(IF(GUAYAQUIL[[#This Row],[CODIGO]]="","",VLOOKUP(GUAYAQUIL[[#This Row],[CODIGO]],MAESTRO!$A:$D,4,FALSE)),"")</f>
        <v>MULTIMARCA</v>
      </c>
      <c r="E683" s="42" t="str">
        <f>+IFERROR(IF(GUAYAQUIL[[#This Row],[CODIGO]]="","",VLOOKUP(GUAYAQUIL[[#This Row],[CODIGO]],MAESTRO!$A:$F,6,FALSE)),"")</f>
        <v>ARMADOS</v>
      </c>
      <c r="F683" s="42" t="str">
        <f>IF(GUAYAQUIL[[#This Row],[CODIGO]]="","",$K$6)</f>
        <v>GUAYAQUIL</v>
      </c>
      <c r="G683" s="1">
        <f>IF(GUAYAQUIL[[#This Row],[CODIGO]]="","",7711)</f>
        <v>7711</v>
      </c>
      <c r="H683" s="1">
        <f>IF(GUAYAQUIL[[#This Row],[CODIGO]]="","",1001)</f>
        <v>1001</v>
      </c>
      <c r="I683" s="258" t="s">
        <v>3924</v>
      </c>
      <c r="J683" s="43" t="str">
        <f>IFERROR((VLOOKUP(GUAYAQUIL[[#This Row],[CODIGO]],MAESTRO!A:B,2,FALSE)),"")</f>
        <v>PACK TABLA+PARM 40G+ AMERIC 75G+SAN 75G</v>
      </c>
      <c r="K683" s="35">
        <v>476</v>
      </c>
      <c r="L683" s="205">
        <f>+IFERROR(IF(GUAYAQUIL[[#This Row],[CODIGO]]="","",VLOOKUP(GUAYAQUIL[[#This Row],[CODIGO]],MAESTRO!$A:$BF,58,FALSE)),"")</f>
        <v>1</v>
      </c>
      <c r="M683" s="27">
        <f>+IFERROR(IF(GUAYAQUIL[[#This Row],[CODIGO]]="","",VLOOKUP(GUAYAQUIL[[#This Row],[CODIGO]],MAESTRO!A:N,14,FALSE)),"")</f>
        <v>0.19</v>
      </c>
      <c r="N683" s="206">
        <f>+IFERROR(IF(GUAYAQUIL[[#This Row],[CODIGO]]="","",VLOOKUP(GUAYAQUIL[[#This Row],[CODIGO]],MAESTRO!A:P,16,FALSE)),"")</f>
        <v>60</v>
      </c>
      <c r="O683" s="45">
        <v>45615</v>
      </c>
      <c r="P683" s="99" t="str">
        <f t="shared" si="50"/>
        <v>martes</v>
      </c>
      <c r="Q683" s="278">
        <f>IFERROR(IF(GUAYAQUIL[[#This Row],[CODIGO]]="","",IF(GUAYAQUIL[[#This Row],[Fecha Cad]]="","",(GUAYAQUIL[[#This Row],[Fecha Cad]]-GUAYAQUIL[[#This Row],[VIDA UTIL (Días)]]))+1),"")</f>
        <v>45601</v>
      </c>
      <c r="R683" s="45">
        <v>45660</v>
      </c>
      <c r="S683" s="30">
        <f t="shared" ca="1" si="55"/>
        <v>36</v>
      </c>
      <c r="T683" s="279">
        <f t="shared" ca="1" si="52"/>
        <v>0.6</v>
      </c>
      <c r="U683" s="288">
        <v>479</v>
      </c>
      <c r="V683" s="265">
        <f>+IFERROR(IF(GUAYAQUIL[[#This Row],[CODIGO]]="","",GUAYAQUIL[[#This Row],[Stock Actual Unds]]*GUAYAQUIL[[#This Row],[Gramaje]]*GUAYAQUIL[[#This Row],[Conversión]]),"")</f>
        <v>91.01</v>
      </c>
      <c r="W683" s="280">
        <f t="shared" si="53"/>
        <v>14</v>
      </c>
      <c r="X683" s="44">
        <f t="shared" si="54"/>
        <v>0.76666666666666661</v>
      </c>
      <c r="Y683" s="236">
        <f>IFERROR(VLOOKUP(GUAYAQUIL[[#This Row],[CODIGO]],MAESTRO!A:BI,21,FALSE),0)</f>
        <v>3.4317950000000002</v>
      </c>
      <c r="Z683" s="236">
        <f>+IFERROR(IF(GUAYAQUIL[[#This Row],[CODIGO]]="","",GUAYAQUIL[[#This Row],[COSTO UNIT base]]*GUAYAQUIL[[#This Row],[Conversión]]),"")</f>
        <v>3.4317950000000002</v>
      </c>
      <c r="AA683" s="236">
        <f>+IFERROR(IF(GUAYAQUIL[[#This Row],[CODIGO]]="","",GUAYAQUIL[[#This Row],[COSTO UNIT Conv]]*GUAYAQUIL[[#This Row],[Stock Actual Kgs]]),"")</f>
        <v>312.32766295000005</v>
      </c>
      <c r="AB683" s="180">
        <f ca="1">+IFERROR(IF(GUAYAQUIL[[#This Row],[CODIGO]]="","",$J$3-O683),"")</f>
        <v>9</v>
      </c>
      <c r="AC683" s="35" t="str">
        <f ca="1">IF(GUAYAQUIL[[#This Row],[CODIGO]]="","",IF(S683&lt;=0,"CADUCADO",IF(AND(S683&gt;0,S683&lt;=21),"FECHA CORTA",IF(AND(S683&gt;=22,S683&lt;=26),"PROXIMOS FECHA CORTA", "VIGENTE"))))</f>
        <v>VIGENTE</v>
      </c>
      <c r="AD683" s="289">
        <f>+IF(GUAYAQUIL[[#This Row],[CODIGO]]="","",GUAYAQUIL[[#This Row],[Stock Actual Unds]]*GUAYAQUIL[[#This Row],[Gramaje]]*GUAYAQUIL[[#This Row],[Conversión]])/1000</f>
        <v>9.1010000000000008E-2</v>
      </c>
    </row>
    <row r="684" spans="1:30">
      <c r="A684" s="42" t="str">
        <f>+IFERROR(IF(GUAYAQUIL[[#This Row],[CODIGO]]="","",VLOOKUP(GUAYAQUIL[[#This Row],[CODIGO]],MAESTRO!$A:$J,10,FALSE)),"")</f>
        <v>SAN GABRIEL</v>
      </c>
      <c r="B684" s="42" t="str">
        <f>+IFERROR(IF(GUAYAQUIL[[#This Row],[CODIGO]]="","",VLOOKUP(GUAYAQUIL[[#This Row],[CODIGO]],MAESTRO!$A:$Q,17,FALSE)),"")</f>
        <v>QUESOS Y GRASAS</v>
      </c>
      <c r="C684" s="42" t="str">
        <f>+IFERROR(IF(GUAYAQUIL[[#This Row],[CODIGO]]="","",VLOOKUP(GUAYAQUIL[[#This Row],[CODIGO]],MAESTRO!$A:$BA,53,FALSE)),"")</f>
        <v xml:space="preserve">Esteban Montenegro                      </v>
      </c>
      <c r="D684" s="42" t="str">
        <f>+IFERROR(IF(GUAYAQUIL[[#This Row],[CODIGO]]="","",VLOOKUP(GUAYAQUIL[[#This Row],[CODIGO]],MAESTRO!$A:$D,4,FALSE)),"")</f>
        <v>QUESO FRESCO KIOSKO</v>
      </c>
      <c r="E684" s="42" t="str">
        <f>+IFERROR(IF(GUAYAQUIL[[#This Row],[CODIGO]]="","",VLOOKUP(GUAYAQUIL[[#This Row],[CODIGO]],MAESTRO!$A:$F,6,FALSE)),"")</f>
        <v>QUESO RICOTTA KIOSKO BLOQUE</v>
      </c>
      <c r="F684" s="42" t="str">
        <f>IF(GUAYAQUIL[[#This Row],[CODIGO]]="","",$K$6)</f>
        <v>GUAYAQUIL</v>
      </c>
      <c r="G684" s="1">
        <f>IF(GUAYAQUIL[[#This Row],[CODIGO]]="","",7711)</f>
        <v>7711</v>
      </c>
      <c r="H684" s="1">
        <f>IF(GUAYAQUIL[[#This Row],[CODIGO]]="","",1001)</f>
        <v>1001</v>
      </c>
      <c r="I684" s="258" t="s">
        <v>4293</v>
      </c>
      <c r="J684" s="43" t="str">
        <f>IFERROR((VLOOKUP(GUAYAQUIL[[#This Row],[CODIGO]],MAESTRO!A:B,2,FALSE)),"")</f>
        <v>Q RICOTTA KIOSKO BLOQ 250G</v>
      </c>
      <c r="K684" s="35">
        <v>270</v>
      </c>
      <c r="L684" s="205">
        <f>+IFERROR(IF(GUAYAQUIL[[#This Row],[CODIGO]]="","",VLOOKUP(GUAYAQUIL[[#This Row],[CODIGO]],MAESTRO!$A:$BF,58,FALSE)),"")</f>
        <v>1</v>
      </c>
      <c r="M684" s="27">
        <f>+IFERROR(IF(GUAYAQUIL[[#This Row],[CODIGO]]="","",VLOOKUP(GUAYAQUIL[[#This Row],[CODIGO]],MAESTRO!A:N,14,FALSE)),"")</f>
        <v>0.25</v>
      </c>
      <c r="N684" s="206">
        <f>+IFERROR(IF(GUAYAQUIL[[#This Row],[CODIGO]]="","",VLOOKUP(GUAYAQUIL[[#This Row],[CODIGO]],MAESTRO!A:P,16,FALSE)),"")</f>
        <v>35</v>
      </c>
      <c r="O684" s="45">
        <v>45615</v>
      </c>
      <c r="P684" s="99" t="str">
        <f t="shared" si="50"/>
        <v>martes</v>
      </c>
      <c r="Q684" s="278">
        <f>IFERROR(IF(GUAYAQUIL[[#This Row],[CODIGO]]="","",IF(GUAYAQUIL[[#This Row],[Fecha Cad]]="","",(GUAYAQUIL[[#This Row],[Fecha Cad]]-GUAYAQUIL[[#This Row],[VIDA UTIL (Días)]]))+1),"")</f>
        <v>45611</v>
      </c>
      <c r="R684" s="45">
        <v>45645</v>
      </c>
      <c r="S684" s="30">
        <f t="shared" ref="S684:S732" ca="1" si="56">+IFERROR(IF(R684="","",R684-$J$3),0)</f>
        <v>21</v>
      </c>
      <c r="T684" s="279">
        <f t="shared" ca="1" si="52"/>
        <v>0.6</v>
      </c>
      <c r="U684" s="288">
        <v>171</v>
      </c>
      <c r="V684" s="265">
        <f>+IFERROR(IF(GUAYAQUIL[[#This Row],[CODIGO]]="","",GUAYAQUIL[[#This Row],[Stock Actual Unds]]*GUAYAQUIL[[#This Row],[Gramaje]]*GUAYAQUIL[[#This Row],[Conversión]]),"")</f>
        <v>42.75</v>
      </c>
      <c r="W684" s="280">
        <f t="shared" si="53"/>
        <v>4</v>
      </c>
      <c r="X684" s="44">
        <f t="shared" si="54"/>
        <v>0.88571428571428568</v>
      </c>
      <c r="Y684" s="236">
        <f>IFERROR(VLOOKUP(GUAYAQUIL[[#This Row],[CODIGO]],MAESTRO!A:BI,21,FALSE),0)</f>
        <v>0.69428000000000001</v>
      </c>
      <c r="Z684" s="236">
        <f>+IFERROR(IF(GUAYAQUIL[[#This Row],[CODIGO]]="","",GUAYAQUIL[[#This Row],[COSTO UNIT base]]*GUAYAQUIL[[#This Row],[Conversión]]),"")</f>
        <v>0.69428000000000001</v>
      </c>
      <c r="AA684" s="236">
        <f>+IFERROR(IF(GUAYAQUIL[[#This Row],[CODIGO]]="","",GUAYAQUIL[[#This Row],[COSTO UNIT Conv]]*GUAYAQUIL[[#This Row],[Stock Actual Kgs]]),"")</f>
        <v>29.68047</v>
      </c>
      <c r="AB684" s="180">
        <f ca="1">+IFERROR(IF(GUAYAQUIL[[#This Row],[CODIGO]]="","",$J$3-O684),"")</f>
        <v>9</v>
      </c>
      <c r="AC684" s="35" t="str">
        <f ca="1">IF(GUAYAQUIL[[#This Row],[CODIGO]]="","",IF(S684&lt;=0,"CADUCADO",IF(AND(S684&gt;0,S684&lt;=21),"FECHA CORTA",IF(AND(S684&gt;=22,S684&lt;=26),"PROXIMOS FECHA CORTA", "VIGENTE"))))</f>
        <v>FECHA CORTA</v>
      </c>
      <c r="AD684" s="289">
        <f>+IF(GUAYAQUIL[[#This Row],[CODIGO]]="","",GUAYAQUIL[[#This Row],[Stock Actual Unds]]*GUAYAQUIL[[#This Row],[Gramaje]]*GUAYAQUIL[[#This Row],[Conversión]])/1000</f>
        <v>4.2750000000000003E-2</v>
      </c>
    </row>
    <row r="685" spans="1:30">
      <c r="A685" s="42" t="str">
        <f>+IFERROR(IF(GUAYAQUIL[[#This Row],[CODIGO]]="","",VLOOKUP(GUAYAQUIL[[#This Row],[CODIGO]],MAESTRO!$A:$J,10,FALSE)),"")</f>
        <v>SAN GABRIEL</v>
      </c>
      <c r="B685" s="42" t="str">
        <f>+IFERROR(IF(GUAYAQUIL[[#This Row],[CODIGO]]="","",VLOOKUP(GUAYAQUIL[[#This Row],[CODIGO]],MAESTRO!$A:$Q,17,FALSE)),"")</f>
        <v>QUESOS Y GRASAS</v>
      </c>
      <c r="C685" s="42" t="str">
        <f>+IFERROR(IF(GUAYAQUIL[[#This Row],[CODIGO]]="","",VLOOKUP(GUAYAQUIL[[#This Row],[CODIGO]],MAESTRO!$A:$BA,53,FALSE)),"")</f>
        <v xml:space="preserve">Esteban Montenegro                      </v>
      </c>
      <c r="D685" s="42" t="str">
        <f>+IFERROR(IF(GUAYAQUIL[[#This Row],[CODIGO]]="","",VLOOKUP(GUAYAQUIL[[#This Row],[CODIGO]],MAESTRO!$A:$D,4,FALSE)),"")</f>
        <v>QUESO FRESCO KIOSKO</v>
      </c>
      <c r="E685" s="42" t="str">
        <f>+IFERROR(IF(GUAYAQUIL[[#This Row],[CODIGO]]="","",VLOOKUP(GUAYAQUIL[[#This Row],[CODIGO]],MAESTRO!$A:$F,6,FALSE)),"")</f>
        <v>QUESO RICOTTA KIOSKO BLOQUE</v>
      </c>
      <c r="F685" s="42" t="str">
        <f>IF(GUAYAQUIL[[#This Row],[CODIGO]]="","",$K$6)</f>
        <v>GUAYAQUIL</v>
      </c>
      <c r="G685" s="1">
        <f>IF(GUAYAQUIL[[#This Row],[CODIGO]]="","",7711)</f>
        <v>7711</v>
      </c>
      <c r="H685" s="1">
        <f>IF(GUAYAQUIL[[#This Row],[CODIGO]]="","",1001)</f>
        <v>1001</v>
      </c>
      <c r="I685" s="258" t="s">
        <v>4293</v>
      </c>
      <c r="J685" s="43" t="str">
        <f>IFERROR((VLOOKUP(GUAYAQUIL[[#This Row],[CODIGO]],MAESTRO!A:B,2,FALSE)),"")</f>
        <v>Q RICOTTA KIOSKO BLOQ 250G</v>
      </c>
      <c r="K685" s="35">
        <v>90</v>
      </c>
      <c r="L685" s="205">
        <f>+IFERROR(IF(GUAYAQUIL[[#This Row],[CODIGO]]="","",VLOOKUP(GUAYAQUIL[[#This Row],[CODIGO]],MAESTRO!$A:$BF,58,FALSE)),"")</f>
        <v>1</v>
      </c>
      <c r="M685" s="27">
        <f>+IFERROR(IF(GUAYAQUIL[[#This Row],[CODIGO]]="","",VLOOKUP(GUAYAQUIL[[#This Row],[CODIGO]],MAESTRO!A:N,14,FALSE)),"")</f>
        <v>0.25</v>
      </c>
      <c r="N685" s="206">
        <f>+IFERROR(IF(GUAYAQUIL[[#This Row],[CODIGO]]="","",VLOOKUP(GUAYAQUIL[[#This Row],[CODIGO]],MAESTRO!A:P,16,FALSE)),"")</f>
        <v>35</v>
      </c>
      <c r="O685" s="45">
        <v>45616</v>
      </c>
      <c r="P685" s="99" t="str">
        <f t="shared" si="50"/>
        <v>miércoles</v>
      </c>
      <c r="Q685" s="278">
        <f>IFERROR(IF(GUAYAQUIL[[#This Row],[CODIGO]]="","",IF(GUAYAQUIL[[#This Row],[Fecha Cad]]="","",(GUAYAQUIL[[#This Row],[Fecha Cad]]-GUAYAQUIL[[#This Row],[VIDA UTIL (Días)]]))+1),"")</f>
        <v>45611</v>
      </c>
      <c r="R685" s="45">
        <v>45645</v>
      </c>
      <c r="S685" s="30">
        <f t="shared" ca="1" si="56"/>
        <v>21</v>
      </c>
      <c r="T685" s="279">
        <f t="shared" ca="1" si="52"/>
        <v>0.6</v>
      </c>
      <c r="U685" s="288">
        <v>90</v>
      </c>
      <c r="V685" s="265">
        <f>+IFERROR(IF(GUAYAQUIL[[#This Row],[CODIGO]]="","",GUAYAQUIL[[#This Row],[Stock Actual Unds]]*GUAYAQUIL[[#This Row],[Gramaje]]*GUAYAQUIL[[#This Row],[Conversión]]),"")</f>
        <v>22.5</v>
      </c>
      <c r="W685" s="280">
        <f t="shared" si="53"/>
        <v>5</v>
      </c>
      <c r="X685" s="44">
        <f t="shared" si="54"/>
        <v>0.85714285714285721</v>
      </c>
      <c r="Y685" s="236">
        <f>IFERROR(VLOOKUP(GUAYAQUIL[[#This Row],[CODIGO]],MAESTRO!A:BI,21,FALSE),0)</f>
        <v>0.69428000000000001</v>
      </c>
      <c r="Z685" s="236">
        <f>+IFERROR(IF(GUAYAQUIL[[#This Row],[CODIGO]]="","",GUAYAQUIL[[#This Row],[COSTO UNIT base]]*GUAYAQUIL[[#This Row],[Conversión]]),"")</f>
        <v>0.69428000000000001</v>
      </c>
      <c r="AA685" s="236">
        <f>+IFERROR(IF(GUAYAQUIL[[#This Row],[CODIGO]]="","",GUAYAQUIL[[#This Row],[COSTO UNIT Conv]]*GUAYAQUIL[[#This Row],[Stock Actual Kgs]]),"")</f>
        <v>15.6213</v>
      </c>
      <c r="AB685" s="180">
        <f ca="1">+IFERROR(IF(GUAYAQUIL[[#This Row],[CODIGO]]="","",$J$3-O685),"")</f>
        <v>8</v>
      </c>
      <c r="AC685" s="35" t="str">
        <f ca="1">IF(GUAYAQUIL[[#This Row],[CODIGO]]="","",IF(S685&lt;=0,"CADUCADO",IF(AND(S685&gt;0,S685&lt;=21),"FECHA CORTA",IF(AND(S685&gt;=22,S685&lt;=26),"PROXIMOS FECHA CORTA", "VIGENTE"))))</f>
        <v>FECHA CORTA</v>
      </c>
      <c r="AD685" s="289">
        <f>+IF(GUAYAQUIL[[#This Row],[CODIGO]]="","",GUAYAQUIL[[#This Row],[Stock Actual Unds]]*GUAYAQUIL[[#This Row],[Gramaje]]*GUAYAQUIL[[#This Row],[Conversión]])/1000</f>
        <v>2.2499999999999999E-2</v>
      </c>
    </row>
    <row r="686" spans="1:30">
      <c r="A686" s="42" t="str">
        <f>+IFERROR(IF(GUAYAQUIL[[#This Row],[CODIGO]]="","",VLOOKUP(GUAYAQUIL[[#This Row],[CODIGO]],MAESTRO!$A:$J,10,FALSE)),"")</f>
        <v>SAN GABRIEL</v>
      </c>
      <c r="B686" s="42" t="str">
        <f>+IFERROR(IF(GUAYAQUIL[[#This Row],[CODIGO]]="","",VLOOKUP(GUAYAQUIL[[#This Row],[CODIGO]],MAESTRO!$A:$Q,17,FALSE)),"")</f>
        <v>QUESOS Y GRASAS</v>
      </c>
      <c r="C686" s="42" t="str">
        <f>+IFERROR(IF(GUAYAQUIL[[#This Row],[CODIGO]]="","",VLOOKUP(GUAYAQUIL[[#This Row],[CODIGO]],MAESTRO!$A:$BA,53,FALSE)),"")</f>
        <v xml:space="preserve">Esteban Montenegro                      </v>
      </c>
      <c r="D686" s="42" t="str">
        <f>+IFERROR(IF(GUAYAQUIL[[#This Row],[CODIGO]]="","",VLOOKUP(GUAYAQUIL[[#This Row],[CODIGO]],MAESTRO!$A:$D,4,FALSE)),"")</f>
        <v>QUESO FRESCO KIOSKO</v>
      </c>
      <c r="E686" s="42" t="str">
        <f>+IFERROR(IF(GUAYAQUIL[[#This Row],[CODIGO]]="","",VLOOKUP(GUAYAQUIL[[#This Row],[CODIGO]],MAESTRO!$A:$F,6,FALSE)),"")</f>
        <v>QUESO RICOTTA KIOSKO BLOQUE</v>
      </c>
      <c r="F686" s="42" t="str">
        <f>IF(GUAYAQUIL[[#This Row],[CODIGO]]="","",$K$6)</f>
        <v>GUAYAQUIL</v>
      </c>
      <c r="G686" s="1">
        <f>IF(GUAYAQUIL[[#This Row],[CODIGO]]="","",7711)</f>
        <v>7711</v>
      </c>
      <c r="H686" s="1">
        <f>IF(GUAYAQUIL[[#This Row],[CODIGO]]="","",1001)</f>
        <v>1001</v>
      </c>
      <c r="I686" s="258" t="s">
        <v>4293</v>
      </c>
      <c r="J686" s="43" t="str">
        <f>IFERROR((VLOOKUP(GUAYAQUIL[[#This Row],[CODIGO]],MAESTRO!A:B,2,FALSE)),"")</f>
        <v>Q RICOTTA KIOSKO BLOQ 250G</v>
      </c>
      <c r="K686" s="35">
        <v>45</v>
      </c>
      <c r="L686" s="205">
        <f>+IFERROR(IF(GUAYAQUIL[[#This Row],[CODIGO]]="","",VLOOKUP(GUAYAQUIL[[#This Row],[CODIGO]],MAESTRO!$A:$BF,58,FALSE)),"")</f>
        <v>1</v>
      </c>
      <c r="M686" s="27">
        <f>+IFERROR(IF(GUAYAQUIL[[#This Row],[CODIGO]]="","",VLOOKUP(GUAYAQUIL[[#This Row],[CODIGO]],MAESTRO!A:N,14,FALSE)),"")</f>
        <v>0.25</v>
      </c>
      <c r="N686" s="206">
        <f>+IFERROR(IF(GUAYAQUIL[[#This Row],[CODIGO]]="","",VLOOKUP(GUAYAQUIL[[#This Row],[CODIGO]],MAESTRO!A:P,16,FALSE)),"")</f>
        <v>35</v>
      </c>
      <c r="O686" s="45">
        <v>45617</v>
      </c>
      <c r="P686" s="99" t="str">
        <f t="shared" si="50"/>
        <v>jueves</v>
      </c>
      <c r="Q686" s="278">
        <f>IFERROR(IF(GUAYAQUIL[[#This Row],[CODIGO]]="","",IF(GUAYAQUIL[[#This Row],[Fecha Cad]]="","",(GUAYAQUIL[[#This Row],[Fecha Cad]]-GUAYAQUIL[[#This Row],[VIDA UTIL (Días)]]))+1),"")</f>
        <v>45616</v>
      </c>
      <c r="R686" s="45">
        <v>45650</v>
      </c>
      <c r="S686" s="30">
        <f t="shared" ca="1" si="56"/>
        <v>26</v>
      </c>
      <c r="T686" s="279">
        <f t="shared" ca="1" si="52"/>
        <v>0.74285714285714288</v>
      </c>
      <c r="U686" s="288">
        <v>45</v>
      </c>
      <c r="V686" s="265">
        <f>+IFERROR(IF(GUAYAQUIL[[#This Row],[CODIGO]]="","",GUAYAQUIL[[#This Row],[Stock Actual Unds]]*GUAYAQUIL[[#This Row],[Gramaje]]*GUAYAQUIL[[#This Row],[Conversión]]),"")</f>
        <v>11.25</v>
      </c>
      <c r="W686" s="280">
        <f t="shared" si="53"/>
        <v>1</v>
      </c>
      <c r="X686" s="44">
        <f t="shared" si="54"/>
        <v>0.97142857142857142</v>
      </c>
      <c r="Y686" s="236">
        <f>IFERROR(VLOOKUP(GUAYAQUIL[[#This Row],[CODIGO]],MAESTRO!A:BI,21,FALSE),0)</f>
        <v>0.69428000000000001</v>
      </c>
      <c r="Z686" s="236">
        <f>+IFERROR(IF(GUAYAQUIL[[#This Row],[CODIGO]]="","",GUAYAQUIL[[#This Row],[COSTO UNIT base]]*GUAYAQUIL[[#This Row],[Conversión]]),"")</f>
        <v>0.69428000000000001</v>
      </c>
      <c r="AA686" s="236">
        <f>+IFERROR(IF(GUAYAQUIL[[#This Row],[CODIGO]]="","",GUAYAQUIL[[#This Row],[COSTO UNIT Conv]]*GUAYAQUIL[[#This Row],[Stock Actual Kgs]]),"")</f>
        <v>7.8106499999999999</v>
      </c>
      <c r="AB686" s="180">
        <f ca="1">+IFERROR(IF(GUAYAQUIL[[#This Row],[CODIGO]]="","",$J$3-O686),"")</f>
        <v>7</v>
      </c>
      <c r="AC686" s="35" t="str">
        <f ca="1">IF(GUAYAQUIL[[#This Row],[CODIGO]]="","",IF(S686&lt;=0,"CADUCADO",IF(AND(S686&gt;0,S686&lt;=21),"FECHA CORTA",IF(AND(S686&gt;=22,S686&lt;=26),"PROXIMOS FECHA CORTA", "VIGENTE"))))</f>
        <v>PROXIMOS FECHA CORTA</v>
      </c>
      <c r="AD686" s="289">
        <f>+IF(GUAYAQUIL[[#This Row],[CODIGO]]="","",GUAYAQUIL[[#This Row],[Stock Actual Unds]]*GUAYAQUIL[[#This Row],[Gramaje]]*GUAYAQUIL[[#This Row],[Conversión]])/1000</f>
        <v>1.125E-2</v>
      </c>
    </row>
    <row r="687" spans="1:30">
      <c r="A687" s="42" t="str">
        <f>+IFERROR(IF(GUAYAQUIL[[#This Row],[CODIGO]]="","",VLOOKUP(GUAYAQUIL[[#This Row],[CODIGO]],MAESTRO!$A:$J,10,FALSE)),"")</f>
        <v>SAN GABRIEL</v>
      </c>
      <c r="B687" s="42" t="str">
        <f>+IFERROR(IF(GUAYAQUIL[[#This Row],[CODIGO]]="","",VLOOKUP(GUAYAQUIL[[#This Row],[CODIGO]],MAESTRO!$A:$Q,17,FALSE)),"")</f>
        <v>QUESOS Y GRASAS</v>
      </c>
      <c r="C687" s="42" t="str">
        <f>+IFERROR(IF(GUAYAQUIL[[#This Row],[CODIGO]]="","",VLOOKUP(GUAYAQUIL[[#This Row],[CODIGO]],MAESTRO!$A:$BA,53,FALSE)),"")</f>
        <v xml:space="preserve">Esteban Montenegro                      </v>
      </c>
      <c r="D687" s="42" t="str">
        <f>+IFERROR(IF(GUAYAQUIL[[#This Row],[CODIGO]]="","",VLOOKUP(GUAYAQUIL[[#This Row],[CODIGO]],MAESTRO!$A:$D,4,FALSE)),"")</f>
        <v>QUESO FRESCO KIOSKO</v>
      </c>
      <c r="E687" s="42" t="str">
        <f>+IFERROR(IF(GUAYAQUIL[[#This Row],[CODIGO]]="","",VLOOKUP(GUAYAQUIL[[#This Row],[CODIGO]],MAESTRO!$A:$F,6,FALSE)),"")</f>
        <v>QUESO RICOTTA KIOSKO BLOQUE</v>
      </c>
      <c r="F687" s="42" t="str">
        <f>IF(GUAYAQUIL[[#This Row],[CODIGO]]="","",$K$6)</f>
        <v>GUAYAQUIL</v>
      </c>
      <c r="G687" s="1">
        <f>IF(GUAYAQUIL[[#This Row],[CODIGO]]="","",7711)</f>
        <v>7711</v>
      </c>
      <c r="H687" s="1">
        <f>IF(GUAYAQUIL[[#This Row],[CODIGO]]="","",1001)</f>
        <v>1001</v>
      </c>
      <c r="I687" s="258" t="s">
        <v>4293</v>
      </c>
      <c r="J687" s="43" t="str">
        <f>IFERROR((VLOOKUP(GUAYAQUIL[[#This Row],[CODIGO]],MAESTRO!A:B,2,FALSE)),"")</f>
        <v>Q RICOTTA KIOSKO BLOQ 250G</v>
      </c>
      <c r="K687" s="35">
        <v>45</v>
      </c>
      <c r="L687" s="205">
        <f>+IFERROR(IF(GUAYAQUIL[[#This Row],[CODIGO]]="","",VLOOKUP(GUAYAQUIL[[#This Row],[CODIGO]],MAESTRO!$A:$BF,58,FALSE)),"")</f>
        <v>1</v>
      </c>
      <c r="M687" s="27">
        <f>+IFERROR(IF(GUAYAQUIL[[#This Row],[CODIGO]]="","",VLOOKUP(GUAYAQUIL[[#This Row],[CODIGO]],MAESTRO!A:N,14,FALSE)),"")</f>
        <v>0.25</v>
      </c>
      <c r="N687" s="206">
        <f>+IFERROR(IF(GUAYAQUIL[[#This Row],[CODIGO]]="","",VLOOKUP(GUAYAQUIL[[#This Row],[CODIGO]],MAESTRO!A:P,16,FALSE)),"")</f>
        <v>35</v>
      </c>
      <c r="O687" s="45">
        <v>45617</v>
      </c>
      <c r="P687" s="99" t="str">
        <f t="shared" si="50"/>
        <v>jueves</v>
      </c>
      <c r="Q687" s="278">
        <f>IFERROR(IF(GUAYAQUIL[[#This Row],[CODIGO]]="","",IF(GUAYAQUIL[[#This Row],[Fecha Cad]]="","",(GUAYAQUIL[[#This Row],[Fecha Cad]]-GUAYAQUIL[[#This Row],[VIDA UTIL (Días)]]))+1),"")</f>
        <v>45611</v>
      </c>
      <c r="R687" s="45">
        <v>45645</v>
      </c>
      <c r="S687" s="30">
        <f t="shared" ca="1" si="56"/>
        <v>21</v>
      </c>
      <c r="T687" s="279">
        <f t="shared" ca="1" si="52"/>
        <v>0.6</v>
      </c>
      <c r="U687" s="288">
        <v>45</v>
      </c>
      <c r="V687" s="265">
        <f>+IFERROR(IF(GUAYAQUIL[[#This Row],[CODIGO]]="","",GUAYAQUIL[[#This Row],[Stock Actual Unds]]*GUAYAQUIL[[#This Row],[Gramaje]]*GUAYAQUIL[[#This Row],[Conversión]]),"")</f>
        <v>11.25</v>
      </c>
      <c r="W687" s="280">
        <f t="shared" si="53"/>
        <v>6</v>
      </c>
      <c r="X687" s="44">
        <f t="shared" si="54"/>
        <v>0.82857142857142851</v>
      </c>
      <c r="Y687" s="236">
        <f>IFERROR(VLOOKUP(GUAYAQUIL[[#This Row],[CODIGO]],MAESTRO!A:BI,21,FALSE),0)</f>
        <v>0.69428000000000001</v>
      </c>
      <c r="Z687" s="236">
        <f>+IFERROR(IF(GUAYAQUIL[[#This Row],[CODIGO]]="","",GUAYAQUIL[[#This Row],[COSTO UNIT base]]*GUAYAQUIL[[#This Row],[Conversión]]),"")</f>
        <v>0.69428000000000001</v>
      </c>
      <c r="AA687" s="236">
        <f>+IFERROR(IF(GUAYAQUIL[[#This Row],[CODIGO]]="","",GUAYAQUIL[[#This Row],[COSTO UNIT Conv]]*GUAYAQUIL[[#This Row],[Stock Actual Kgs]]),"")</f>
        <v>7.8106499999999999</v>
      </c>
      <c r="AB687" s="180">
        <f ca="1">+IFERROR(IF(GUAYAQUIL[[#This Row],[CODIGO]]="","",$J$3-O687),"")</f>
        <v>7</v>
      </c>
      <c r="AC687" s="35" t="str">
        <f ca="1">IF(GUAYAQUIL[[#This Row],[CODIGO]]="","",IF(S687&lt;=0,"CADUCADO",IF(AND(S687&gt;0,S687&lt;=21),"FECHA CORTA",IF(AND(S687&gt;=22,S687&lt;=26),"PROXIMOS FECHA CORTA", "VIGENTE"))))</f>
        <v>FECHA CORTA</v>
      </c>
      <c r="AD687" s="289">
        <f>+IF(GUAYAQUIL[[#This Row],[CODIGO]]="","",GUAYAQUIL[[#This Row],[Stock Actual Unds]]*GUAYAQUIL[[#This Row],[Gramaje]]*GUAYAQUIL[[#This Row],[Conversión]])/1000</f>
        <v>1.125E-2</v>
      </c>
    </row>
    <row r="688" spans="1:30">
      <c r="A688" s="42" t="str">
        <f>+IFERROR(IF(GUAYAQUIL[[#This Row],[CODIGO]]="","",VLOOKUP(GUAYAQUIL[[#This Row],[CODIGO]],MAESTRO!$A:$J,10,FALSE)),"")</f>
        <v>MACHACHI</v>
      </c>
      <c r="B688" s="42" t="str">
        <f>+IFERROR(IF(GUAYAQUIL[[#This Row],[CODIGO]]="","",VLOOKUP(GUAYAQUIL[[#This Row],[CODIGO]],MAESTRO!$A:$Q,17,FALSE)),"")</f>
        <v>BEBIDAS LACTEAS</v>
      </c>
      <c r="C688" s="42" t="str">
        <f>+IFERROR(IF(GUAYAQUIL[[#This Row],[CODIGO]]="","",VLOOKUP(GUAYAQUIL[[#This Row],[CODIGO]],MAESTRO!$A:$BA,53,FALSE)),"")</f>
        <v xml:space="preserve">Luis Armendariz                         </v>
      </c>
      <c r="D688" s="42" t="str">
        <f>+IFERROR(IF(GUAYAQUIL[[#This Row],[CODIGO]]="","",VLOOKUP(GUAYAQUIL[[#This Row],[CODIGO]],MAESTRO!$A:$D,4,FALSE)),"")</f>
        <v>YOGURT KIOSKO</v>
      </c>
      <c r="E688" s="42" t="str">
        <f>+IFERROR(IF(GUAYAQUIL[[#This Row],[CODIGO]]="","",VLOOKUP(GUAYAQUIL[[#This Row],[CODIGO]],MAESTRO!$A:$F,6,FALSE)),"")</f>
        <v>BEBIDA DE YOGURT KIOSKO BOTELLA FAMILIAR</v>
      </c>
      <c r="F688" s="42" t="str">
        <f>IF(GUAYAQUIL[[#This Row],[CODIGO]]="","",$K$6)</f>
        <v>GUAYAQUIL</v>
      </c>
      <c r="G688" s="1">
        <f>IF(GUAYAQUIL[[#This Row],[CODIGO]]="","",7711)</f>
        <v>7711</v>
      </c>
      <c r="H688" s="1">
        <f>IF(GUAYAQUIL[[#This Row],[CODIGO]]="","",1001)</f>
        <v>1001</v>
      </c>
      <c r="I688" s="258" t="s">
        <v>4011</v>
      </c>
      <c r="J688" s="43" t="str">
        <f>IFERROR((VLOOKUP(GUAYAQUIL[[#This Row],[CODIGO]],MAESTRO!A:B,2,FALSE)),"")</f>
        <v>YOG BBLE KIOSKO DZNO BOT 1700G</v>
      </c>
      <c r="K688" s="35">
        <v>12</v>
      </c>
      <c r="L688" s="205">
        <f>+IFERROR(IF(GUAYAQUIL[[#This Row],[CODIGO]]="","",VLOOKUP(GUAYAQUIL[[#This Row],[CODIGO]],MAESTRO!$A:$BF,58,FALSE)),"")</f>
        <v>1</v>
      </c>
      <c r="M688" s="27">
        <f>+IFERROR(IF(GUAYAQUIL[[#This Row],[CODIGO]]="","",VLOOKUP(GUAYAQUIL[[#This Row],[CODIGO]],MAESTRO!A:N,14,FALSE)),"")</f>
        <v>1.7</v>
      </c>
      <c r="N688" s="206">
        <f>+IFERROR(IF(GUAYAQUIL[[#This Row],[CODIGO]]="","",VLOOKUP(GUAYAQUIL[[#This Row],[CODIGO]],MAESTRO!A:P,16,FALSE)),"")</f>
        <v>45</v>
      </c>
      <c r="O688" s="45">
        <v>45595</v>
      </c>
      <c r="P688" s="99" t="str">
        <f t="shared" si="50"/>
        <v>miércoles</v>
      </c>
      <c r="Q688" s="278">
        <f>IFERROR(IF(GUAYAQUIL[[#This Row],[CODIGO]]="","",IF(GUAYAQUIL[[#This Row],[Fecha Cad]]="","",(GUAYAQUIL[[#This Row],[Fecha Cad]]-GUAYAQUIL[[#This Row],[VIDA UTIL (Días)]]))+1),"")</f>
        <v>45590</v>
      </c>
      <c r="R688" s="45">
        <v>45634</v>
      </c>
      <c r="S688" s="30">
        <f t="shared" ca="1" si="56"/>
        <v>10</v>
      </c>
      <c r="T688" s="279">
        <f t="shared" ca="1" si="52"/>
        <v>0.22222222222222221</v>
      </c>
      <c r="U688" s="288">
        <v>0</v>
      </c>
      <c r="V688" s="265">
        <f>+IFERROR(IF(GUAYAQUIL[[#This Row],[CODIGO]]="","",GUAYAQUIL[[#This Row],[Stock Actual Unds]]*GUAYAQUIL[[#This Row],[Gramaje]]*GUAYAQUIL[[#This Row],[Conversión]]),"")</f>
        <v>0</v>
      </c>
      <c r="W688" s="280">
        <f t="shared" si="53"/>
        <v>5</v>
      </c>
      <c r="X688" s="44">
        <f t="shared" si="54"/>
        <v>0.88888888888888884</v>
      </c>
      <c r="Y688" s="236">
        <f>IFERROR(VLOOKUP(GUAYAQUIL[[#This Row],[CODIGO]],MAESTRO!A:BI,21,FALSE),0)</f>
        <v>1.751825</v>
      </c>
      <c r="Z688" s="236">
        <f>+IFERROR(IF(GUAYAQUIL[[#This Row],[CODIGO]]="","",GUAYAQUIL[[#This Row],[COSTO UNIT base]]*GUAYAQUIL[[#This Row],[Conversión]]),"")</f>
        <v>1.751825</v>
      </c>
      <c r="AA688" s="236">
        <f>+IFERROR(IF(GUAYAQUIL[[#This Row],[CODIGO]]="","",GUAYAQUIL[[#This Row],[COSTO UNIT Conv]]*GUAYAQUIL[[#This Row],[Stock Actual Kgs]]),"")</f>
        <v>0</v>
      </c>
      <c r="AB688" s="180">
        <f ca="1">+IFERROR(IF(GUAYAQUIL[[#This Row],[CODIGO]]="","",$J$3-O688),"")</f>
        <v>29</v>
      </c>
      <c r="AC688" s="35" t="str">
        <f ca="1">IF(GUAYAQUIL[[#This Row],[CODIGO]]="","",IF(S688&lt;=0,"CADUCADO",IF(AND(S688&gt;0,S688&lt;=21),"FECHA CORTA",IF(AND(S688&gt;=22,S688&lt;=26),"PROXIMOS FECHA CORTA", "VIGENTE"))))</f>
        <v>FECHA CORTA</v>
      </c>
      <c r="AD688" s="289">
        <f>+IF(GUAYAQUIL[[#This Row],[CODIGO]]="","",GUAYAQUIL[[#This Row],[Stock Actual Unds]]*GUAYAQUIL[[#This Row],[Gramaje]]*GUAYAQUIL[[#This Row],[Conversión]])/1000</f>
        <v>0</v>
      </c>
    </row>
    <row r="689" spans="1:30">
      <c r="A689" s="42" t="str">
        <f>+IFERROR(IF(GUAYAQUIL[[#This Row],[CODIGO]]="","",VLOOKUP(GUAYAQUIL[[#This Row],[CODIGO]],MAESTRO!$A:$J,10,FALSE)),"")</f>
        <v>MACHACHI</v>
      </c>
      <c r="B689" s="42" t="str">
        <f>+IFERROR(IF(GUAYAQUIL[[#This Row],[CODIGO]]="","",VLOOKUP(GUAYAQUIL[[#This Row],[CODIGO]],MAESTRO!$A:$Q,17,FALSE)),"")</f>
        <v>BEBIDAS LACTEAS</v>
      </c>
      <c r="C689" s="42" t="str">
        <f>+IFERROR(IF(GUAYAQUIL[[#This Row],[CODIGO]]="","",VLOOKUP(GUAYAQUIL[[#This Row],[CODIGO]],MAESTRO!$A:$BA,53,FALSE)),"")</f>
        <v xml:space="preserve">Luis Armendariz                         </v>
      </c>
      <c r="D689" s="42" t="str">
        <f>+IFERROR(IF(GUAYAQUIL[[#This Row],[CODIGO]]="","",VLOOKUP(GUAYAQUIL[[#This Row],[CODIGO]],MAESTRO!$A:$D,4,FALSE)),"")</f>
        <v>YOGURT KIOSKO</v>
      </c>
      <c r="E689" s="42" t="str">
        <f>+IFERROR(IF(GUAYAQUIL[[#This Row],[CODIGO]]="","",VLOOKUP(GUAYAQUIL[[#This Row],[CODIGO]],MAESTRO!$A:$F,6,FALSE)),"")</f>
        <v>BEBIDA DE YOGURT KIOSKO BOTELLA FAMILIAR</v>
      </c>
      <c r="F689" s="42" t="str">
        <f>IF(GUAYAQUIL[[#This Row],[CODIGO]]="","",$K$6)</f>
        <v>GUAYAQUIL</v>
      </c>
      <c r="G689" s="1">
        <f>IF(GUAYAQUIL[[#This Row],[CODIGO]]="","",7711)</f>
        <v>7711</v>
      </c>
      <c r="H689" s="1">
        <f>IF(GUAYAQUIL[[#This Row],[CODIGO]]="","",1001)</f>
        <v>1001</v>
      </c>
      <c r="I689" s="258" t="s">
        <v>4011</v>
      </c>
      <c r="J689" s="43" t="str">
        <f>IFERROR((VLOOKUP(GUAYAQUIL[[#This Row],[CODIGO]],MAESTRO!A:B,2,FALSE)),"")</f>
        <v>YOG BBLE KIOSKO DZNO BOT 1700G</v>
      </c>
      <c r="K689" s="35">
        <v>12</v>
      </c>
      <c r="L689" s="205">
        <f>+IFERROR(IF(GUAYAQUIL[[#This Row],[CODIGO]]="","",VLOOKUP(GUAYAQUIL[[#This Row],[CODIGO]],MAESTRO!$A:$BF,58,FALSE)),"")</f>
        <v>1</v>
      </c>
      <c r="M689" s="27">
        <f>+IFERROR(IF(GUAYAQUIL[[#This Row],[CODIGO]]="","",VLOOKUP(GUAYAQUIL[[#This Row],[CODIGO]],MAESTRO!A:N,14,FALSE)),"")</f>
        <v>1.7</v>
      </c>
      <c r="N689" s="206">
        <f>+IFERROR(IF(GUAYAQUIL[[#This Row],[CODIGO]]="","",VLOOKUP(GUAYAQUIL[[#This Row],[CODIGO]],MAESTRO!A:P,16,FALSE)),"")</f>
        <v>45</v>
      </c>
      <c r="O689" s="45">
        <v>45596</v>
      </c>
      <c r="P689" s="99" t="str">
        <f t="shared" si="50"/>
        <v>jueves</v>
      </c>
      <c r="Q689" s="278">
        <f>IFERROR(IF(GUAYAQUIL[[#This Row],[CODIGO]]="","",IF(GUAYAQUIL[[#This Row],[Fecha Cad]]="","",(GUAYAQUIL[[#This Row],[Fecha Cad]]-GUAYAQUIL[[#This Row],[VIDA UTIL (Días)]]))+1),"")</f>
        <v>45590</v>
      </c>
      <c r="R689" s="45">
        <v>45634</v>
      </c>
      <c r="S689" s="30">
        <f t="shared" ca="1" si="56"/>
        <v>10</v>
      </c>
      <c r="T689" s="279">
        <f t="shared" ca="1" si="52"/>
        <v>0.22222222222222221</v>
      </c>
      <c r="U689" s="288">
        <v>12</v>
      </c>
      <c r="V689" s="265">
        <f>+IFERROR(IF(GUAYAQUIL[[#This Row],[CODIGO]]="","",GUAYAQUIL[[#This Row],[Stock Actual Unds]]*GUAYAQUIL[[#This Row],[Gramaje]]*GUAYAQUIL[[#This Row],[Conversión]]),"")</f>
        <v>20.399999999999999</v>
      </c>
      <c r="W689" s="280">
        <f t="shared" si="53"/>
        <v>6</v>
      </c>
      <c r="X689" s="44">
        <f t="shared" si="54"/>
        <v>0.8666666666666667</v>
      </c>
      <c r="Y689" s="236">
        <f>IFERROR(VLOOKUP(GUAYAQUIL[[#This Row],[CODIGO]],MAESTRO!A:BI,21,FALSE),0)</f>
        <v>1.751825</v>
      </c>
      <c r="Z689" s="236">
        <f>+IFERROR(IF(GUAYAQUIL[[#This Row],[CODIGO]]="","",GUAYAQUIL[[#This Row],[COSTO UNIT base]]*GUAYAQUIL[[#This Row],[Conversión]]),"")</f>
        <v>1.751825</v>
      </c>
      <c r="AA689" s="236">
        <f>+IFERROR(IF(GUAYAQUIL[[#This Row],[CODIGO]]="","",GUAYAQUIL[[#This Row],[COSTO UNIT Conv]]*GUAYAQUIL[[#This Row],[Stock Actual Kgs]]),"")</f>
        <v>35.737229999999997</v>
      </c>
      <c r="AB689" s="180">
        <f ca="1">+IFERROR(IF(GUAYAQUIL[[#This Row],[CODIGO]]="","",$J$3-O689),"")</f>
        <v>28</v>
      </c>
      <c r="AC689" s="35" t="str">
        <f ca="1">IF(GUAYAQUIL[[#This Row],[CODIGO]]="","",IF(S689&lt;=0,"CADUCADO",IF(AND(S689&gt;0,S689&lt;=21),"FECHA CORTA",IF(AND(S689&gt;=22,S689&lt;=26),"PROXIMOS FECHA CORTA", "VIGENTE"))))</f>
        <v>FECHA CORTA</v>
      </c>
      <c r="AD689" s="289">
        <f>+IF(GUAYAQUIL[[#This Row],[CODIGO]]="","",GUAYAQUIL[[#This Row],[Stock Actual Unds]]*GUAYAQUIL[[#This Row],[Gramaje]]*GUAYAQUIL[[#This Row],[Conversión]])/1000</f>
        <v>2.0399999999999998E-2</v>
      </c>
    </row>
    <row r="690" spans="1:30">
      <c r="A690" s="42" t="str">
        <f>+IFERROR(IF(GUAYAQUIL[[#This Row],[CODIGO]]="","",VLOOKUP(GUAYAQUIL[[#This Row],[CODIGO]],MAESTRO!$A:$J,10,FALSE)),"")</f>
        <v>MACHACHI</v>
      </c>
      <c r="B690" s="42" t="str">
        <f>+IFERROR(IF(GUAYAQUIL[[#This Row],[CODIGO]]="","",VLOOKUP(GUAYAQUIL[[#This Row],[CODIGO]],MAESTRO!$A:$Q,17,FALSE)),"")</f>
        <v>BEBIDAS LACTEAS</v>
      </c>
      <c r="C690" s="42" t="str">
        <f>+IFERROR(IF(GUAYAQUIL[[#This Row],[CODIGO]]="","",VLOOKUP(GUAYAQUIL[[#This Row],[CODIGO]],MAESTRO!$A:$BA,53,FALSE)),"")</f>
        <v xml:space="preserve">Luis Armendariz                         </v>
      </c>
      <c r="D690" s="42" t="str">
        <f>+IFERROR(IF(GUAYAQUIL[[#This Row],[CODIGO]]="","",VLOOKUP(GUAYAQUIL[[#This Row],[CODIGO]],MAESTRO!$A:$D,4,FALSE)),"")</f>
        <v>YOGURT KIOSKO</v>
      </c>
      <c r="E690" s="42" t="str">
        <f>+IFERROR(IF(GUAYAQUIL[[#This Row],[CODIGO]]="","",VLOOKUP(GUAYAQUIL[[#This Row],[CODIGO]],MAESTRO!$A:$F,6,FALSE)),"")</f>
        <v>BEBIDA DE YOGURT KIOSKO BOTELLA FAMILIAR</v>
      </c>
      <c r="F690" s="42" t="str">
        <f>IF(GUAYAQUIL[[#This Row],[CODIGO]]="","",$K$6)</f>
        <v>GUAYAQUIL</v>
      </c>
      <c r="G690" s="1">
        <f>IF(GUAYAQUIL[[#This Row],[CODIGO]]="","",7711)</f>
        <v>7711</v>
      </c>
      <c r="H690" s="1">
        <f>IF(GUAYAQUIL[[#This Row],[CODIGO]]="","",1001)</f>
        <v>1001</v>
      </c>
      <c r="I690" s="258" t="s">
        <v>4011</v>
      </c>
      <c r="J690" s="43" t="str">
        <f>IFERROR((VLOOKUP(GUAYAQUIL[[#This Row],[CODIGO]],MAESTRO!A:B,2,FALSE)),"")</f>
        <v>YOG BBLE KIOSKO DZNO BOT 1700G</v>
      </c>
      <c r="K690" s="35">
        <v>12</v>
      </c>
      <c r="L690" s="205">
        <f>+IFERROR(IF(GUAYAQUIL[[#This Row],[CODIGO]]="","",VLOOKUP(GUAYAQUIL[[#This Row],[CODIGO]],MAESTRO!$A:$BF,58,FALSE)),"")</f>
        <v>1</v>
      </c>
      <c r="M690" s="27">
        <f>+IFERROR(IF(GUAYAQUIL[[#This Row],[CODIGO]]="","",VLOOKUP(GUAYAQUIL[[#This Row],[CODIGO]],MAESTRO!A:N,14,FALSE)),"")</f>
        <v>1.7</v>
      </c>
      <c r="N690" s="206">
        <f>+IFERROR(IF(GUAYAQUIL[[#This Row],[CODIGO]]="","",VLOOKUP(GUAYAQUIL[[#This Row],[CODIGO]],MAESTRO!A:P,16,FALSE)),"")</f>
        <v>45</v>
      </c>
      <c r="O690" s="45">
        <v>45597</v>
      </c>
      <c r="P690" s="99" t="str">
        <f t="shared" si="50"/>
        <v>viernes</v>
      </c>
      <c r="Q690" s="278">
        <f>IFERROR(IF(GUAYAQUIL[[#This Row],[CODIGO]]="","",IF(GUAYAQUIL[[#This Row],[Fecha Cad]]="","",(GUAYAQUIL[[#This Row],[Fecha Cad]]-GUAYAQUIL[[#This Row],[VIDA UTIL (Días)]]))+1),"")</f>
        <v>45590</v>
      </c>
      <c r="R690" s="45">
        <v>45634</v>
      </c>
      <c r="S690" s="30">
        <f t="shared" ca="1" si="56"/>
        <v>10</v>
      </c>
      <c r="T690" s="279">
        <f t="shared" ca="1" si="52"/>
        <v>0.22222222222222221</v>
      </c>
      <c r="U690" s="288">
        <v>12</v>
      </c>
      <c r="V690" s="265">
        <f>+IFERROR(IF(GUAYAQUIL[[#This Row],[CODIGO]]="","",GUAYAQUIL[[#This Row],[Stock Actual Unds]]*GUAYAQUIL[[#This Row],[Gramaje]]*GUAYAQUIL[[#This Row],[Conversión]]),"")</f>
        <v>20.399999999999999</v>
      </c>
      <c r="W690" s="280">
        <f t="shared" si="53"/>
        <v>7</v>
      </c>
      <c r="X690" s="44">
        <f t="shared" si="54"/>
        <v>0.84444444444444444</v>
      </c>
      <c r="Y690" s="236">
        <f>IFERROR(VLOOKUP(GUAYAQUIL[[#This Row],[CODIGO]],MAESTRO!A:BI,21,FALSE),0)</f>
        <v>1.751825</v>
      </c>
      <c r="Z690" s="236">
        <f>+IFERROR(IF(GUAYAQUIL[[#This Row],[CODIGO]]="","",GUAYAQUIL[[#This Row],[COSTO UNIT base]]*GUAYAQUIL[[#This Row],[Conversión]]),"")</f>
        <v>1.751825</v>
      </c>
      <c r="AA690" s="236">
        <f>+IFERROR(IF(GUAYAQUIL[[#This Row],[CODIGO]]="","",GUAYAQUIL[[#This Row],[COSTO UNIT Conv]]*GUAYAQUIL[[#This Row],[Stock Actual Kgs]]),"")</f>
        <v>35.737229999999997</v>
      </c>
      <c r="AB690" s="180">
        <f ca="1">+IFERROR(IF(GUAYAQUIL[[#This Row],[CODIGO]]="","",$J$3-O690),"")</f>
        <v>27</v>
      </c>
      <c r="AC690" s="35" t="str">
        <f ca="1">IF(GUAYAQUIL[[#This Row],[CODIGO]]="","",IF(S690&lt;=0,"CADUCADO",IF(AND(S690&gt;0,S690&lt;=21),"FECHA CORTA",IF(AND(S690&gt;=22,S690&lt;=26),"PROXIMOS FECHA CORTA", "VIGENTE"))))</f>
        <v>FECHA CORTA</v>
      </c>
      <c r="AD690" s="289">
        <f>+IF(GUAYAQUIL[[#This Row],[CODIGO]]="","",GUAYAQUIL[[#This Row],[Stock Actual Unds]]*GUAYAQUIL[[#This Row],[Gramaje]]*GUAYAQUIL[[#This Row],[Conversión]])/1000</f>
        <v>2.0399999999999998E-2</v>
      </c>
    </row>
    <row r="691" spans="1:30">
      <c r="A691" s="42" t="str">
        <f>+IFERROR(IF(GUAYAQUIL[[#This Row],[CODIGO]]="","",VLOOKUP(GUAYAQUIL[[#This Row],[CODIGO]],MAESTRO!$A:$J,10,FALSE)),"")</f>
        <v>MACHACHI</v>
      </c>
      <c r="B691" s="42" t="str">
        <f>+IFERROR(IF(GUAYAQUIL[[#This Row],[CODIGO]]="","",VLOOKUP(GUAYAQUIL[[#This Row],[CODIGO]],MAESTRO!$A:$Q,17,FALSE)),"")</f>
        <v>BEBIDAS LACTEAS</v>
      </c>
      <c r="C691" s="42" t="str">
        <f>+IFERROR(IF(GUAYAQUIL[[#This Row],[CODIGO]]="","",VLOOKUP(GUAYAQUIL[[#This Row],[CODIGO]],MAESTRO!$A:$BA,53,FALSE)),"")</f>
        <v xml:space="preserve">Luis Armendariz                         </v>
      </c>
      <c r="D691" s="42" t="str">
        <f>+IFERROR(IF(GUAYAQUIL[[#This Row],[CODIGO]]="","",VLOOKUP(GUAYAQUIL[[#This Row],[CODIGO]],MAESTRO!$A:$D,4,FALSE)),"")</f>
        <v>YOGURT KIOSKO</v>
      </c>
      <c r="E691" s="42" t="str">
        <f>+IFERROR(IF(GUAYAQUIL[[#This Row],[CODIGO]]="","",VLOOKUP(GUAYAQUIL[[#This Row],[CODIGO]],MAESTRO!$A:$F,6,FALSE)),"")</f>
        <v>BEBIDA DE YOGURT KIOSKO BOTELLA FAMILIAR</v>
      </c>
      <c r="F691" s="42" t="str">
        <f>IF(GUAYAQUIL[[#This Row],[CODIGO]]="","",$K$6)</f>
        <v>GUAYAQUIL</v>
      </c>
      <c r="G691" s="1">
        <f>IF(GUAYAQUIL[[#This Row],[CODIGO]]="","",7711)</f>
        <v>7711</v>
      </c>
      <c r="H691" s="1">
        <f>IF(GUAYAQUIL[[#This Row],[CODIGO]]="","",1001)</f>
        <v>1001</v>
      </c>
      <c r="I691" s="258" t="s">
        <v>4011</v>
      </c>
      <c r="J691" s="43" t="str">
        <f>IFERROR((VLOOKUP(GUAYAQUIL[[#This Row],[CODIGO]],MAESTRO!A:B,2,FALSE)),"")</f>
        <v>YOG BBLE KIOSKO DZNO BOT 1700G</v>
      </c>
      <c r="K691" s="35">
        <v>12</v>
      </c>
      <c r="L691" s="205">
        <f>+IFERROR(IF(GUAYAQUIL[[#This Row],[CODIGO]]="","",VLOOKUP(GUAYAQUIL[[#This Row],[CODIGO]],MAESTRO!$A:$BF,58,FALSE)),"")</f>
        <v>1</v>
      </c>
      <c r="M691" s="27">
        <f>+IFERROR(IF(GUAYAQUIL[[#This Row],[CODIGO]]="","",VLOOKUP(GUAYAQUIL[[#This Row],[CODIGO]],MAESTRO!A:N,14,FALSE)),"")</f>
        <v>1.7</v>
      </c>
      <c r="N691" s="206">
        <f>+IFERROR(IF(GUAYAQUIL[[#This Row],[CODIGO]]="","",VLOOKUP(GUAYAQUIL[[#This Row],[CODIGO]],MAESTRO!A:P,16,FALSE)),"")</f>
        <v>45</v>
      </c>
      <c r="O691" s="45">
        <v>45605</v>
      </c>
      <c r="P691" s="99" t="str">
        <f t="shared" si="50"/>
        <v>sábado</v>
      </c>
      <c r="Q691" s="278">
        <f>IFERROR(IF(GUAYAQUIL[[#This Row],[CODIGO]]="","",IF(GUAYAQUIL[[#This Row],[Fecha Cad]]="","",(GUAYAQUIL[[#This Row],[Fecha Cad]]-GUAYAQUIL[[#This Row],[VIDA UTIL (Días)]]))+1),"")</f>
        <v>45596</v>
      </c>
      <c r="R691" s="45">
        <v>45640</v>
      </c>
      <c r="S691" s="30">
        <f t="shared" ca="1" si="56"/>
        <v>16</v>
      </c>
      <c r="T691" s="279">
        <f t="shared" ca="1" si="52"/>
        <v>0.35555555555555557</v>
      </c>
      <c r="U691" s="288">
        <v>3</v>
      </c>
      <c r="V691" s="265">
        <f>+IFERROR(IF(GUAYAQUIL[[#This Row],[CODIGO]]="","",GUAYAQUIL[[#This Row],[Stock Actual Unds]]*GUAYAQUIL[[#This Row],[Gramaje]]*GUAYAQUIL[[#This Row],[Conversión]]),"")</f>
        <v>5.0999999999999996</v>
      </c>
      <c r="W691" s="280">
        <f t="shared" si="53"/>
        <v>9</v>
      </c>
      <c r="X691" s="44">
        <f t="shared" si="54"/>
        <v>0.8</v>
      </c>
      <c r="Y691" s="236">
        <f>IFERROR(VLOOKUP(GUAYAQUIL[[#This Row],[CODIGO]],MAESTRO!A:BI,21,FALSE),0)</f>
        <v>1.751825</v>
      </c>
      <c r="Z691" s="236">
        <f>+IFERROR(IF(GUAYAQUIL[[#This Row],[CODIGO]]="","",GUAYAQUIL[[#This Row],[COSTO UNIT base]]*GUAYAQUIL[[#This Row],[Conversión]]),"")</f>
        <v>1.751825</v>
      </c>
      <c r="AA691" s="236">
        <f>+IFERROR(IF(GUAYAQUIL[[#This Row],[CODIGO]]="","",GUAYAQUIL[[#This Row],[COSTO UNIT Conv]]*GUAYAQUIL[[#This Row],[Stock Actual Kgs]]),"")</f>
        <v>8.9343074999999992</v>
      </c>
      <c r="AB691" s="180">
        <f ca="1">+IFERROR(IF(GUAYAQUIL[[#This Row],[CODIGO]]="","",$J$3-O691),"")</f>
        <v>19</v>
      </c>
      <c r="AC691" s="35" t="str">
        <f ca="1">IF(GUAYAQUIL[[#This Row],[CODIGO]]="","",IF(S691&lt;=0,"CADUCADO",IF(AND(S691&gt;0,S691&lt;=21),"FECHA CORTA",IF(AND(S691&gt;=22,S691&lt;=26),"PROXIMOS FECHA CORTA", "VIGENTE"))))</f>
        <v>FECHA CORTA</v>
      </c>
      <c r="AD691" s="289">
        <f>+IF(GUAYAQUIL[[#This Row],[CODIGO]]="","",GUAYAQUIL[[#This Row],[Stock Actual Unds]]*GUAYAQUIL[[#This Row],[Gramaje]]*GUAYAQUIL[[#This Row],[Conversión]])/1000</f>
        <v>5.0999999999999995E-3</v>
      </c>
    </row>
    <row r="692" spans="1:30">
      <c r="A692" s="42" t="str">
        <f>+IFERROR(IF(GUAYAQUIL[[#This Row],[CODIGO]]="","",VLOOKUP(GUAYAQUIL[[#This Row],[CODIGO]],MAESTRO!$A:$J,10,FALSE)),"")</f>
        <v>MACHACHI</v>
      </c>
      <c r="B692" s="42" t="str">
        <f>+IFERROR(IF(GUAYAQUIL[[#This Row],[CODIGO]]="","",VLOOKUP(GUAYAQUIL[[#This Row],[CODIGO]],MAESTRO!$A:$Q,17,FALSE)),"")</f>
        <v>BEBIDAS LACTEAS</v>
      </c>
      <c r="C692" s="42" t="str">
        <f>+IFERROR(IF(GUAYAQUIL[[#This Row],[CODIGO]]="","",VLOOKUP(GUAYAQUIL[[#This Row],[CODIGO]],MAESTRO!$A:$BA,53,FALSE)),"")</f>
        <v xml:space="preserve">Luis Armendariz                         </v>
      </c>
      <c r="D692" s="42" t="str">
        <f>+IFERROR(IF(GUAYAQUIL[[#This Row],[CODIGO]]="","",VLOOKUP(GUAYAQUIL[[#This Row],[CODIGO]],MAESTRO!$A:$D,4,FALSE)),"")</f>
        <v>YOGURT KIOSKO</v>
      </c>
      <c r="E692" s="42" t="str">
        <f>+IFERROR(IF(GUAYAQUIL[[#This Row],[CODIGO]]="","",VLOOKUP(GUAYAQUIL[[#This Row],[CODIGO]],MAESTRO!$A:$F,6,FALSE)),"")</f>
        <v>BEBIDA DE YOGURT KIOSKO BOTELLA FAMILIAR</v>
      </c>
      <c r="F692" s="42" t="str">
        <f>IF(GUAYAQUIL[[#This Row],[CODIGO]]="","",$K$6)</f>
        <v>GUAYAQUIL</v>
      </c>
      <c r="G692" s="1">
        <f>IF(GUAYAQUIL[[#This Row],[CODIGO]]="","",7711)</f>
        <v>7711</v>
      </c>
      <c r="H692" s="1">
        <f>IF(GUAYAQUIL[[#This Row],[CODIGO]]="","",1001)</f>
        <v>1001</v>
      </c>
      <c r="I692" s="258" t="s">
        <v>4011</v>
      </c>
      <c r="J692" s="43" t="str">
        <f>IFERROR((VLOOKUP(GUAYAQUIL[[#This Row],[CODIGO]],MAESTRO!A:B,2,FALSE)),"")</f>
        <v>YOG BBLE KIOSKO DZNO BOT 1700G</v>
      </c>
      <c r="K692" s="35">
        <v>12</v>
      </c>
      <c r="L692" s="205">
        <f>+IFERROR(IF(GUAYAQUIL[[#This Row],[CODIGO]]="","",VLOOKUP(GUAYAQUIL[[#This Row],[CODIGO]],MAESTRO!$A:$BF,58,FALSE)),"")</f>
        <v>1</v>
      </c>
      <c r="M692" s="27">
        <f>+IFERROR(IF(GUAYAQUIL[[#This Row],[CODIGO]]="","",VLOOKUP(GUAYAQUIL[[#This Row],[CODIGO]],MAESTRO!A:N,14,FALSE)),"")</f>
        <v>1.7</v>
      </c>
      <c r="N692" s="206">
        <f>+IFERROR(IF(GUAYAQUIL[[#This Row],[CODIGO]]="","",VLOOKUP(GUAYAQUIL[[#This Row],[CODIGO]],MAESTRO!A:P,16,FALSE)),"")</f>
        <v>45</v>
      </c>
      <c r="O692" s="45">
        <v>45616</v>
      </c>
      <c r="P692" s="99" t="str">
        <f t="shared" si="50"/>
        <v>miércoles</v>
      </c>
      <c r="Q692" s="278">
        <f>IFERROR(IF(GUAYAQUIL[[#This Row],[CODIGO]]="","",IF(GUAYAQUIL[[#This Row],[Fecha Cad]]="","",(GUAYAQUIL[[#This Row],[Fecha Cad]]-GUAYAQUIL[[#This Row],[VIDA UTIL (Días)]]))+1),"")</f>
        <v>45611</v>
      </c>
      <c r="R692" s="45">
        <v>45655</v>
      </c>
      <c r="S692" s="30">
        <f t="shared" ca="1" si="56"/>
        <v>31</v>
      </c>
      <c r="T692" s="279">
        <f t="shared" ca="1" si="52"/>
        <v>0.68888888888888888</v>
      </c>
      <c r="U692" s="288">
        <v>5</v>
      </c>
      <c r="V692" s="265">
        <f>+IFERROR(IF(GUAYAQUIL[[#This Row],[CODIGO]]="","",GUAYAQUIL[[#This Row],[Stock Actual Unds]]*GUAYAQUIL[[#This Row],[Gramaje]]*GUAYAQUIL[[#This Row],[Conversión]]),"")</f>
        <v>8.5</v>
      </c>
      <c r="W692" s="280">
        <f t="shared" si="53"/>
        <v>5</v>
      </c>
      <c r="X692" s="44">
        <f t="shared" si="54"/>
        <v>0.88888888888888884</v>
      </c>
      <c r="Y692" s="236">
        <f>IFERROR(VLOOKUP(GUAYAQUIL[[#This Row],[CODIGO]],MAESTRO!A:BI,21,FALSE),0)</f>
        <v>1.751825</v>
      </c>
      <c r="Z692" s="236">
        <f>+IFERROR(IF(GUAYAQUIL[[#This Row],[CODIGO]]="","",GUAYAQUIL[[#This Row],[COSTO UNIT base]]*GUAYAQUIL[[#This Row],[Conversión]]),"")</f>
        <v>1.751825</v>
      </c>
      <c r="AA692" s="236">
        <f>+IFERROR(IF(GUAYAQUIL[[#This Row],[CODIGO]]="","",GUAYAQUIL[[#This Row],[COSTO UNIT Conv]]*GUAYAQUIL[[#This Row],[Stock Actual Kgs]]),"")</f>
        <v>14.8905125</v>
      </c>
      <c r="AB692" s="180">
        <f ca="1">+IFERROR(IF(GUAYAQUIL[[#This Row],[CODIGO]]="","",$J$3-O692),"")</f>
        <v>8</v>
      </c>
      <c r="AC692" s="35" t="str">
        <f ca="1">IF(GUAYAQUIL[[#This Row],[CODIGO]]="","",IF(S692&lt;=0,"CADUCADO",IF(AND(S692&gt;0,S692&lt;=21),"FECHA CORTA",IF(AND(S692&gt;=22,S692&lt;=26),"PROXIMOS FECHA CORTA", "VIGENTE"))))</f>
        <v>VIGENTE</v>
      </c>
      <c r="AD692" s="289">
        <f>+IF(GUAYAQUIL[[#This Row],[CODIGO]]="","",GUAYAQUIL[[#This Row],[Stock Actual Unds]]*GUAYAQUIL[[#This Row],[Gramaje]]*GUAYAQUIL[[#This Row],[Conversión]])/1000</f>
        <v>8.5000000000000006E-3</v>
      </c>
    </row>
    <row r="693" spans="1:30">
      <c r="A693" s="42" t="str">
        <f>+IFERROR(IF(GUAYAQUIL[[#This Row],[CODIGO]]="","",VLOOKUP(GUAYAQUIL[[#This Row],[CODIGO]],MAESTRO!$A:$J,10,FALSE)),"")</f>
        <v>SAN GABRIEL</v>
      </c>
      <c r="B693" s="42" t="str">
        <f>+IFERROR(IF(GUAYAQUIL[[#This Row],[CODIGO]]="","",VLOOKUP(GUAYAQUIL[[#This Row],[CODIGO]],MAESTRO!$A:$Q,17,FALSE)),"")</f>
        <v>QUESOS Y GRASAS</v>
      </c>
      <c r="C693" s="42" t="str">
        <f>+IFERROR(IF(GUAYAQUIL[[#This Row],[CODIGO]]="","",VLOOKUP(GUAYAQUIL[[#This Row],[CODIGO]],MAESTRO!$A:$BA,53,FALSE)),"")</f>
        <v xml:space="preserve">Esteban Montenegro                      </v>
      </c>
      <c r="D693" s="42" t="str">
        <f>+IFERROR(IF(GUAYAQUIL[[#This Row],[CODIGO]]="","",VLOOKUP(GUAYAQUIL[[#This Row],[CODIGO]],MAESTRO!$A:$D,4,FALSE)),"")</f>
        <v>QUESO SEMIMADURO KIOSKO</v>
      </c>
      <c r="E693" s="42" t="str">
        <f>+IFERROR(IF(GUAYAQUIL[[#This Row],[CODIGO]]="","",VLOOKUP(GUAYAQUIL[[#This Row],[CODIGO]],MAESTRO!$A:$F,6,FALSE)),"")</f>
        <v>QUESO AMERICANO KIOSKO TAJADO</v>
      </c>
      <c r="F693" s="42" t="str">
        <f>IF(GUAYAQUIL[[#This Row],[CODIGO]]="","",$K$6)</f>
        <v>GUAYAQUIL</v>
      </c>
      <c r="G693" s="1">
        <f>IF(GUAYAQUIL[[#This Row],[CODIGO]]="","",7711)</f>
        <v>7711</v>
      </c>
      <c r="H693" s="1">
        <f>IF(GUAYAQUIL[[#This Row],[CODIGO]]="","",1001)</f>
        <v>1001</v>
      </c>
      <c r="I693" s="258" t="s">
        <v>1582</v>
      </c>
      <c r="J693" s="43" t="str">
        <f>IFERROR((VLOOKUP(GUAYAQUIL[[#This Row],[CODIGO]],MAESTRO!A:B,2,FALSE)),"")</f>
        <v>Q AMERIC KIOSKO LONJ AL PESO COR</v>
      </c>
      <c r="K693" s="35">
        <v>15</v>
      </c>
      <c r="L693" s="205">
        <f>+IFERROR(IF(GUAYAQUIL[[#This Row],[CODIGO]]="","",VLOOKUP(GUAYAQUIL[[#This Row],[CODIGO]],MAESTRO!$A:$BF,58,FALSE)),"")</f>
        <v>1.7</v>
      </c>
      <c r="M693" s="27">
        <f>+IFERROR(IF(GUAYAQUIL[[#This Row],[CODIGO]]="","",VLOOKUP(GUAYAQUIL[[#This Row],[CODIGO]],MAESTRO!A:N,14,FALSE)),"")</f>
        <v>1</v>
      </c>
      <c r="N693" s="206">
        <f>+IFERROR(IF(GUAYAQUIL[[#This Row],[CODIGO]]="","",VLOOKUP(GUAYAQUIL[[#This Row],[CODIGO]],MAESTRO!A:P,16,FALSE)),"")</f>
        <v>60</v>
      </c>
      <c r="O693" s="45">
        <v>45604</v>
      </c>
      <c r="P693" s="99" t="str">
        <f t="shared" si="50"/>
        <v>viernes</v>
      </c>
      <c r="Q693" s="278">
        <f>IFERROR(IF(GUAYAQUIL[[#This Row],[CODIGO]]="","",IF(GUAYAQUIL[[#This Row],[Fecha Cad]]="","",(GUAYAQUIL[[#This Row],[Fecha Cad]]-GUAYAQUIL[[#This Row],[VIDA UTIL (Días)]]))+1),"")</f>
        <v>45604</v>
      </c>
      <c r="R693" s="45">
        <v>45663</v>
      </c>
      <c r="S693" s="30">
        <f t="shared" ca="1" si="56"/>
        <v>39</v>
      </c>
      <c r="T693" s="279">
        <f t="shared" ca="1" si="52"/>
        <v>0.65</v>
      </c>
      <c r="U693" s="288">
        <v>6</v>
      </c>
      <c r="V693" s="265">
        <f>+IFERROR(IF(GUAYAQUIL[[#This Row],[CODIGO]]="","",GUAYAQUIL[[#This Row],[Stock Actual Unds]]*GUAYAQUIL[[#This Row],[Gramaje]]*GUAYAQUIL[[#This Row],[Conversión]]),"")</f>
        <v>10.199999999999999</v>
      </c>
      <c r="W693" s="280">
        <f t="shared" si="53"/>
        <v>0</v>
      </c>
      <c r="X693" s="44">
        <f t="shared" si="54"/>
        <v>1</v>
      </c>
      <c r="Y693" s="236">
        <f>IFERROR(VLOOKUP(GUAYAQUIL[[#This Row],[CODIGO]],MAESTRO!A:BI,21,FALSE),0)</f>
        <v>7.0906599999999997</v>
      </c>
      <c r="Z693" s="236">
        <f>+IFERROR(IF(GUAYAQUIL[[#This Row],[CODIGO]]="","",GUAYAQUIL[[#This Row],[COSTO UNIT base]]*GUAYAQUIL[[#This Row],[Conversión]]),"")</f>
        <v>12.054122</v>
      </c>
      <c r="AA693" s="236">
        <f>+IFERROR(IF(GUAYAQUIL[[#This Row],[CODIGO]]="","",GUAYAQUIL[[#This Row],[COSTO UNIT Conv]]*GUAYAQUIL[[#This Row],[Stock Actual Kgs]]),"")</f>
        <v>122.95204439999999</v>
      </c>
      <c r="AB693" s="180">
        <f ca="1">+IFERROR(IF(GUAYAQUIL[[#This Row],[CODIGO]]="","",$J$3-O693),"")</f>
        <v>20</v>
      </c>
      <c r="AC693" s="35" t="str">
        <f ca="1">IF(GUAYAQUIL[[#This Row],[CODIGO]]="","",IF(S693&lt;=0,"CADUCADO",IF(AND(S693&gt;0,S693&lt;=21),"FECHA CORTA",IF(AND(S693&gt;=22,S693&lt;=26),"PROXIMOS FECHA CORTA", "VIGENTE"))))</f>
        <v>VIGENTE</v>
      </c>
      <c r="AD693" s="289">
        <f>+IF(GUAYAQUIL[[#This Row],[CODIGO]]="","",GUAYAQUIL[[#This Row],[Stock Actual Unds]]*GUAYAQUIL[[#This Row],[Gramaje]]*GUAYAQUIL[[#This Row],[Conversión]])/1000</f>
        <v>1.0199999999999999E-2</v>
      </c>
    </row>
    <row r="694" spans="1:30">
      <c r="A694" s="42" t="str">
        <f>+IFERROR(IF(GUAYAQUIL[[#This Row],[CODIGO]]="","",VLOOKUP(GUAYAQUIL[[#This Row],[CODIGO]],MAESTRO!$A:$J,10,FALSE)),"")</f>
        <v>SAN GABRIEL</v>
      </c>
      <c r="B694" s="42" t="str">
        <f>+IFERROR(IF(GUAYAQUIL[[#This Row],[CODIGO]]="","",VLOOKUP(GUAYAQUIL[[#This Row],[CODIGO]],MAESTRO!$A:$Q,17,FALSE)),"")</f>
        <v>QUESOS Y GRASAS</v>
      </c>
      <c r="C694" s="42" t="str">
        <f>+IFERROR(IF(GUAYAQUIL[[#This Row],[CODIGO]]="","",VLOOKUP(GUAYAQUIL[[#This Row],[CODIGO]],MAESTRO!$A:$BA,53,FALSE)),"")</f>
        <v xml:space="preserve">Esteban Montenegro                      </v>
      </c>
      <c r="D694" s="42" t="str">
        <f>+IFERROR(IF(GUAYAQUIL[[#This Row],[CODIGO]]="","",VLOOKUP(GUAYAQUIL[[#This Row],[CODIGO]],MAESTRO!$A:$D,4,FALSE)),"")</f>
        <v>QUESO SEMIMADURO KIOSKO</v>
      </c>
      <c r="E694" s="42" t="str">
        <f>+IFERROR(IF(GUAYAQUIL[[#This Row],[CODIGO]]="","",VLOOKUP(GUAYAQUIL[[#This Row],[CODIGO]],MAESTRO!$A:$F,6,FALSE)),"")</f>
        <v>QUESO AMERICANO KIOSKO TAJADO</v>
      </c>
      <c r="F694" s="42" t="str">
        <f>IF(GUAYAQUIL[[#This Row],[CODIGO]]="","",$K$6)</f>
        <v>GUAYAQUIL</v>
      </c>
      <c r="G694" s="1">
        <f>IF(GUAYAQUIL[[#This Row],[CODIGO]]="","",7711)</f>
        <v>7711</v>
      </c>
      <c r="H694" s="1">
        <f>IF(GUAYAQUIL[[#This Row],[CODIGO]]="","",1001)</f>
        <v>1001</v>
      </c>
      <c r="I694" s="258" t="s">
        <v>1582</v>
      </c>
      <c r="J694" s="43" t="str">
        <f>IFERROR((VLOOKUP(GUAYAQUIL[[#This Row],[CODIGO]],MAESTRO!A:B,2,FALSE)),"")</f>
        <v>Q AMERIC KIOSKO LONJ AL PESO COR</v>
      </c>
      <c r="K694" s="35">
        <v>10</v>
      </c>
      <c r="L694" s="205">
        <f>+IFERROR(IF(GUAYAQUIL[[#This Row],[CODIGO]]="","",VLOOKUP(GUAYAQUIL[[#This Row],[CODIGO]],MAESTRO!$A:$BF,58,FALSE)),"")</f>
        <v>1.7</v>
      </c>
      <c r="M694" s="27">
        <f>+IFERROR(IF(GUAYAQUIL[[#This Row],[CODIGO]]="","",VLOOKUP(GUAYAQUIL[[#This Row],[CODIGO]],MAESTRO!A:N,14,FALSE)),"")</f>
        <v>1</v>
      </c>
      <c r="N694" s="206">
        <f>+IFERROR(IF(GUAYAQUIL[[#This Row],[CODIGO]]="","",VLOOKUP(GUAYAQUIL[[#This Row],[CODIGO]],MAESTRO!A:P,16,FALSE)),"")</f>
        <v>60</v>
      </c>
      <c r="O694" s="45">
        <v>45610</v>
      </c>
      <c r="P694" s="99" t="str">
        <f t="shared" si="50"/>
        <v>jueves</v>
      </c>
      <c r="Q694" s="278">
        <f>IFERROR(IF(GUAYAQUIL[[#This Row],[CODIGO]]="","",IF(GUAYAQUIL[[#This Row],[Fecha Cad]]="","",(GUAYAQUIL[[#This Row],[Fecha Cad]]-GUAYAQUIL[[#This Row],[VIDA UTIL (Días)]]))+1),"")</f>
        <v>45609</v>
      </c>
      <c r="R694" s="45">
        <v>45668</v>
      </c>
      <c r="S694" s="30">
        <f t="shared" ca="1" si="56"/>
        <v>44</v>
      </c>
      <c r="T694" s="279">
        <f t="shared" ca="1" si="52"/>
        <v>0.73333333333333328</v>
      </c>
      <c r="U694" s="288">
        <v>10</v>
      </c>
      <c r="V694" s="265">
        <f>+IFERROR(IF(GUAYAQUIL[[#This Row],[CODIGO]]="","",GUAYAQUIL[[#This Row],[Stock Actual Unds]]*GUAYAQUIL[[#This Row],[Gramaje]]*GUAYAQUIL[[#This Row],[Conversión]]),"")</f>
        <v>17</v>
      </c>
      <c r="W694" s="280">
        <f t="shared" si="53"/>
        <v>1</v>
      </c>
      <c r="X694" s="44">
        <f t="shared" si="54"/>
        <v>0.98333333333333328</v>
      </c>
      <c r="Y694" s="236">
        <f>IFERROR(VLOOKUP(GUAYAQUIL[[#This Row],[CODIGO]],MAESTRO!A:BI,21,FALSE),0)</f>
        <v>7.0906599999999997</v>
      </c>
      <c r="Z694" s="236">
        <f>+IFERROR(IF(GUAYAQUIL[[#This Row],[CODIGO]]="","",GUAYAQUIL[[#This Row],[COSTO UNIT base]]*GUAYAQUIL[[#This Row],[Conversión]]),"")</f>
        <v>12.054122</v>
      </c>
      <c r="AA694" s="236">
        <f>+IFERROR(IF(GUAYAQUIL[[#This Row],[CODIGO]]="","",GUAYAQUIL[[#This Row],[COSTO UNIT Conv]]*GUAYAQUIL[[#This Row],[Stock Actual Kgs]]),"")</f>
        <v>204.920074</v>
      </c>
      <c r="AB694" s="180">
        <f ca="1">+IFERROR(IF(GUAYAQUIL[[#This Row],[CODIGO]]="","",$J$3-O694),"")</f>
        <v>14</v>
      </c>
      <c r="AC694" s="35" t="str">
        <f ca="1">IF(GUAYAQUIL[[#This Row],[CODIGO]]="","",IF(S694&lt;=0,"CADUCADO",IF(AND(S694&gt;0,S694&lt;=21),"FECHA CORTA",IF(AND(S694&gt;=22,S694&lt;=26),"PROXIMOS FECHA CORTA", "VIGENTE"))))</f>
        <v>VIGENTE</v>
      </c>
      <c r="AD694" s="289">
        <f>+IF(GUAYAQUIL[[#This Row],[CODIGO]]="","",GUAYAQUIL[[#This Row],[Stock Actual Unds]]*GUAYAQUIL[[#This Row],[Gramaje]]*GUAYAQUIL[[#This Row],[Conversión]])/1000</f>
        <v>1.7000000000000001E-2</v>
      </c>
    </row>
    <row r="695" spans="1:30">
      <c r="A695" s="42" t="str">
        <f>+IFERROR(IF(GUAYAQUIL[[#This Row],[CODIGO]]="","",VLOOKUP(GUAYAQUIL[[#This Row],[CODIGO]],MAESTRO!$A:$J,10,FALSE)),"")</f>
        <v>SAN GABRIEL</v>
      </c>
      <c r="B695" s="42" t="str">
        <f>+IFERROR(IF(GUAYAQUIL[[#This Row],[CODIGO]]="","",VLOOKUP(GUAYAQUIL[[#This Row],[CODIGO]],MAESTRO!$A:$Q,17,FALSE)),"")</f>
        <v>QUESOS Y GRASAS</v>
      </c>
      <c r="C695" s="42" t="str">
        <f>+IFERROR(IF(GUAYAQUIL[[#This Row],[CODIGO]]="","",VLOOKUP(GUAYAQUIL[[#This Row],[CODIGO]],MAESTRO!$A:$BA,53,FALSE)),"")</f>
        <v xml:space="preserve">Esteban Montenegro                      </v>
      </c>
      <c r="D695" s="42" t="str">
        <f>+IFERROR(IF(GUAYAQUIL[[#This Row],[CODIGO]]="","",VLOOKUP(GUAYAQUIL[[#This Row],[CODIGO]],MAESTRO!$A:$D,4,FALSE)),"")</f>
        <v>QUESO SEMIMADURO KIOSKO</v>
      </c>
      <c r="E695" s="42" t="str">
        <f>+IFERROR(IF(GUAYAQUIL[[#This Row],[CODIGO]]="","",VLOOKUP(GUAYAQUIL[[#This Row],[CODIGO]],MAESTRO!$A:$F,6,FALSE)),"")</f>
        <v>QUESO AMERICANO KIOSKO TAJADO</v>
      </c>
      <c r="F695" s="42" t="str">
        <f>IF(GUAYAQUIL[[#This Row],[CODIGO]]="","",$K$6)</f>
        <v>GUAYAQUIL</v>
      </c>
      <c r="G695" s="1">
        <f>IF(GUAYAQUIL[[#This Row],[CODIGO]]="","",7711)</f>
        <v>7711</v>
      </c>
      <c r="H695" s="1">
        <f>IF(GUAYAQUIL[[#This Row],[CODIGO]]="","",1001)</f>
        <v>1001</v>
      </c>
      <c r="I695" s="258" t="s">
        <v>1582</v>
      </c>
      <c r="J695" s="43" t="str">
        <f>IFERROR((VLOOKUP(GUAYAQUIL[[#This Row],[CODIGO]],MAESTRO!A:B,2,FALSE)),"")</f>
        <v>Q AMERIC KIOSKO LONJ AL PESO COR</v>
      </c>
      <c r="K695" s="35">
        <v>5</v>
      </c>
      <c r="L695" s="205">
        <f>+IFERROR(IF(GUAYAQUIL[[#This Row],[CODIGO]]="","",VLOOKUP(GUAYAQUIL[[#This Row],[CODIGO]],MAESTRO!$A:$BF,58,FALSE)),"")</f>
        <v>1.7</v>
      </c>
      <c r="M695" s="27">
        <f>+IFERROR(IF(GUAYAQUIL[[#This Row],[CODIGO]]="","",VLOOKUP(GUAYAQUIL[[#This Row],[CODIGO]],MAESTRO!A:N,14,FALSE)),"")</f>
        <v>1</v>
      </c>
      <c r="N695" s="206">
        <f>+IFERROR(IF(GUAYAQUIL[[#This Row],[CODIGO]]="","",VLOOKUP(GUAYAQUIL[[#This Row],[CODIGO]],MAESTRO!A:P,16,FALSE)),"")</f>
        <v>60</v>
      </c>
      <c r="O695" s="45">
        <v>45615</v>
      </c>
      <c r="P695" s="99" t="str">
        <f t="shared" si="50"/>
        <v>martes</v>
      </c>
      <c r="Q695" s="278">
        <f>IFERROR(IF(GUAYAQUIL[[#This Row],[CODIGO]]="","",IF(GUAYAQUIL[[#This Row],[Fecha Cad]]="","",(GUAYAQUIL[[#This Row],[Fecha Cad]]-GUAYAQUIL[[#This Row],[VIDA UTIL (Días)]]))+1),"")</f>
        <v>45613</v>
      </c>
      <c r="R695" s="45">
        <v>45672</v>
      </c>
      <c r="S695" s="30">
        <f t="shared" ca="1" si="56"/>
        <v>48</v>
      </c>
      <c r="T695" s="279">
        <f t="shared" ca="1" si="52"/>
        <v>0.8</v>
      </c>
      <c r="U695" s="288">
        <v>5</v>
      </c>
      <c r="V695" s="265">
        <f>+IFERROR(IF(GUAYAQUIL[[#This Row],[CODIGO]]="","",GUAYAQUIL[[#This Row],[Stock Actual Unds]]*GUAYAQUIL[[#This Row],[Gramaje]]*GUAYAQUIL[[#This Row],[Conversión]]),"")</f>
        <v>8.5</v>
      </c>
      <c r="W695" s="280">
        <f t="shared" si="53"/>
        <v>2</v>
      </c>
      <c r="X695" s="44">
        <f t="shared" si="54"/>
        <v>0.96666666666666667</v>
      </c>
      <c r="Y695" s="236">
        <f>IFERROR(VLOOKUP(GUAYAQUIL[[#This Row],[CODIGO]],MAESTRO!A:BI,21,FALSE),0)</f>
        <v>7.0906599999999997</v>
      </c>
      <c r="Z695" s="236">
        <f>+IFERROR(IF(GUAYAQUIL[[#This Row],[CODIGO]]="","",GUAYAQUIL[[#This Row],[COSTO UNIT base]]*GUAYAQUIL[[#This Row],[Conversión]]),"")</f>
        <v>12.054122</v>
      </c>
      <c r="AA695" s="236">
        <f>+IFERROR(IF(GUAYAQUIL[[#This Row],[CODIGO]]="","",GUAYAQUIL[[#This Row],[COSTO UNIT Conv]]*GUAYAQUIL[[#This Row],[Stock Actual Kgs]]),"")</f>
        <v>102.460037</v>
      </c>
      <c r="AB695" s="180">
        <f ca="1">+IFERROR(IF(GUAYAQUIL[[#This Row],[CODIGO]]="","",$J$3-O695),"")</f>
        <v>9</v>
      </c>
      <c r="AC695" s="35" t="str">
        <f ca="1">IF(GUAYAQUIL[[#This Row],[CODIGO]]="","",IF(S695&lt;=0,"CADUCADO",IF(AND(S695&gt;0,S695&lt;=21),"FECHA CORTA",IF(AND(S695&gt;=22,S695&lt;=26),"PROXIMOS FECHA CORTA", "VIGENTE"))))</f>
        <v>VIGENTE</v>
      </c>
      <c r="AD695" s="289">
        <f>+IF(GUAYAQUIL[[#This Row],[CODIGO]]="","",GUAYAQUIL[[#This Row],[Stock Actual Unds]]*GUAYAQUIL[[#This Row],[Gramaje]]*GUAYAQUIL[[#This Row],[Conversión]])/1000</f>
        <v>8.5000000000000006E-3</v>
      </c>
    </row>
    <row r="696" spans="1:30">
      <c r="A696" s="42" t="str">
        <f>+IFERROR(IF(GUAYAQUIL[[#This Row],[CODIGO]]="","",VLOOKUP(GUAYAQUIL[[#This Row],[CODIGO]],MAESTRO!$A:$J,10,FALSE)),"")</f>
        <v>SAN GABRIEL</v>
      </c>
      <c r="B696" s="42" t="str">
        <f>+IFERROR(IF(GUAYAQUIL[[#This Row],[CODIGO]]="","",VLOOKUP(GUAYAQUIL[[#This Row],[CODIGO]],MAESTRO!$A:$Q,17,FALSE)),"")</f>
        <v>QUESOS Y GRASAS</v>
      </c>
      <c r="C696" s="42" t="str">
        <f>+IFERROR(IF(GUAYAQUIL[[#This Row],[CODIGO]]="","",VLOOKUP(GUAYAQUIL[[#This Row],[CODIGO]],MAESTRO!$A:$BA,53,FALSE)),"")</f>
        <v xml:space="preserve">Esteban Montenegro                      </v>
      </c>
      <c r="D696" s="42" t="str">
        <f>+IFERROR(IF(GUAYAQUIL[[#This Row],[CODIGO]]="","",VLOOKUP(GUAYAQUIL[[#This Row],[CODIGO]],MAESTRO!$A:$D,4,FALSE)),"")</f>
        <v>QUESO SEMIMADURO KIOSKO</v>
      </c>
      <c r="E696" s="42" t="str">
        <f>+IFERROR(IF(GUAYAQUIL[[#This Row],[CODIGO]]="","",VLOOKUP(GUAYAQUIL[[#This Row],[CODIGO]],MAESTRO!$A:$F,6,FALSE)),"")</f>
        <v>QUESO AMERICANO KIOSKO TAJADO</v>
      </c>
      <c r="F696" s="42" t="str">
        <f>IF(GUAYAQUIL[[#This Row],[CODIGO]]="","",$K$6)</f>
        <v>GUAYAQUIL</v>
      </c>
      <c r="G696" s="1">
        <f>IF(GUAYAQUIL[[#This Row],[CODIGO]]="","",7711)</f>
        <v>7711</v>
      </c>
      <c r="H696" s="1">
        <f>IF(GUAYAQUIL[[#This Row],[CODIGO]]="","",1001)</f>
        <v>1001</v>
      </c>
      <c r="I696" s="258" t="s">
        <v>1582</v>
      </c>
      <c r="J696" s="43" t="str">
        <f>IFERROR((VLOOKUP(GUAYAQUIL[[#This Row],[CODIGO]],MAESTRO!A:B,2,FALSE)),"")</f>
        <v>Q AMERIC KIOSKO LONJ AL PESO COR</v>
      </c>
      <c r="K696" s="35">
        <v>6</v>
      </c>
      <c r="L696" s="205">
        <f>+IFERROR(IF(GUAYAQUIL[[#This Row],[CODIGO]]="","",VLOOKUP(GUAYAQUIL[[#This Row],[CODIGO]],MAESTRO!$A:$BF,58,FALSE)),"")</f>
        <v>1.7</v>
      </c>
      <c r="M696" s="27">
        <f>+IFERROR(IF(GUAYAQUIL[[#This Row],[CODIGO]]="","",VLOOKUP(GUAYAQUIL[[#This Row],[CODIGO]],MAESTRO!A:N,14,FALSE)),"")</f>
        <v>1</v>
      </c>
      <c r="N696" s="206">
        <f>+IFERROR(IF(GUAYAQUIL[[#This Row],[CODIGO]]="","",VLOOKUP(GUAYAQUIL[[#This Row],[CODIGO]],MAESTRO!A:P,16,FALSE)),"")</f>
        <v>60</v>
      </c>
      <c r="O696" s="45">
        <v>45617</v>
      </c>
      <c r="P696" s="99" t="str">
        <f t="shared" si="50"/>
        <v>jueves</v>
      </c>
      <c r="Q696" s="278">
        <f>IFERROR(IF(GUAYAQUIL[[#This Row],[CODIGO]]="","",IF(GUAYAQUIL[[#This Row],[Fecha Cad]]="","",(GUAYAQUIL[[#This Row],[Fecha Cad]]-GUAYAQUIL[[#This Row],[VIDA UTIL (Días)]]))+1),"")</f>
        <v>45616</v>
      </c>
      <c r="R696" s="45">
        <v>45675</v>
      </c>
      <c r="S696" s="30">
        <f t="shared" ca="1" si="56"/>
        <v>51</v>
      </c>
      <c r="T696" s="279">
        <f t="shared" ca="1" si="52"/>
        <v>0.85</v>
      </c>
      <c r="U696" s="288">
        <v>6</v>
      </c>
      <c r="V696" s="265">
        <f>+IFERROR(IF(GUAYAQUIL[[#This Row],[CODIGO]]="","",GUAYAQUIL[[#This Row],[Stock Actual Unds]]*GUAYAQUIL[[#This Row],[Gramaje]]*GUAYAQUIL[[#This Row],[Conversión]]),"")</f>
        <v>10.199999999999999</v>
      </c>
      <c r="W696" s="280">
        <f t="shared" si="53"/>
        <v>1</v>
      </c>
      <c r="X696" s="44">
        <f t="shared" si="54"/>
        <v>0.98333333333333328</v>
      </c>
      <c r="Y696" s="236">
        <f>IFERROR(VLOOKUP(GUAYAQUIL[[#This Row],[CODIGO]],MAESTRO!A:BI,21,FALSE),0)</f>
        <v>7.0906599999999997</v>
      </c>
      <c r="Z696" s="236">
        <f>+IFERROR(IF(GUAYAQUIL[[#This Row],[CODIGO]]="","",GUAYAQUIL[[#This Row],[COSTO UNIT base]]*GUAYAQUIL[[#This Row],[Conversión]]),"")</f>
        <v>12.054122</v>
      </c>
      <c r="AA696" s="236">
        <f>+IFERROR(IF(GUAYAQUIL[[#This Row],[CODIGO]]="","",GUAYAQUIL[[#This Row],[COSTO UNIT Conv]]*GUAYAQUIL[[#This Row],[Stock Actual Kgs]]),"")</f>
        <v>122.95204439999999</v>
      </c>
      <c r="AB696" s="180">
        <f ca="1">+IFERROR(IF(GUAYAQUIL[[#This Row],[CODIGO]]="","",$J$3-O696),"")</f>
        <v>7</v>
      </c>
      <c r="AC696" s="35" t="str">
        <f ca="1">IF(GUAYAQUIL[[#This Row],[CODIGO]]="","",IF(S696&lt;=0,"CADUCADO",IF(AND(S696&gt;0,S696&lt;=21),"FECHA CORTA",IF(AND(S696&gt;=22,S696&lt;=26),"PROXIMOS FECHA CORTA", "VIGENTE"))))</f>
        <v>VIGENTE</v>
      </c>
      <c r="AD696" s="289">
        <f>+IF(GUAYAQUIL[[#This Row],[CODIGO]]="","",GUAYAQUIL[[#This Row],[Stock Actual Unds]]*GUAYAQUIL[[#This Row],[Gramaje]]*GUAYAQUIL[[#This Row],[Conversión]])/1000</f>
        <v>1.0199999999999999E-2</v>
      </c>
    </row>
    <row r="697" spans="1:30">
      <c r="A697" s="42" t="str">
        <f>+IFERROR(IF(GUAYAQUIL[[#This Row],[CODIGO]]="","",VLOOKUP(GUAYAQUIL[[#This Row],[CODIGO]],MAESTRO!$A:$J,10,FALSE)),"")</f>
        <v>MACHACHI</v>
      </c>
      <c r="B697" s="42" t="str">
        <f>+IFERROR(IF(GUAYAQUIL[[#This Row],[CODIGO]]="","",VLOOKUP(GUAYAQUIL[[#This Row],[CODIGO]],MAESTRO!$A:$Q,17,FALSE)),"")</f>
        <v>BEBIDAS LACTEAS</v>
      </c>
      <c r="C697" s="42" t="str">
        <f>+IFERROR(IF(GUAYAQUIL[[#This Row],[CODIGO]]="","",VLOOKUP(GUAYAQUIL[[#This Row],[CODIGO]],MAESTRO!$A:$BA,53,FALSE)),"")</f>
        <v xml:space="preserve">Luis Armendariz                         </v>
      </c>
      <c r="D697" s="42" t="str">
        <f>+IFERROR(IF(GUAYAQUIL[[#This Row],[CODIGO]]="","",VLOOKUP(GUAYAQUIL[[#This Row],[CODIGO]],MAESTRO!$A:$D,4,FALSE)),"")</f>
        <v>REGENERIS</v>
      </c>
      <c r="E697" s="42" t="str">
        <f>+IFERROR(IF(GUAYAQUIL[[#This Row],[CODIGO]]="","",VLOOKUP(GUAYAQUIL[[#This Row],[CODIGO]],MAESTRO!$A:$F,6,FALSE)),"")</f>
        <v>REGENERIS BEBIBLE BOTELLA FAMILIAR</v>
      </c>
      <c r="F697" s="42" t="str">
        <f>IF(GUAYAQUIL[[#This Row],[CODIGO]]="","",$K$6)</f>
        <v>GUAYAQUIL</v>
      </c>
      <c r="G697" s="1">
        <f>IF(GUAYAQUIL[[#This Row],[CODIGO]]="","",7711)</f>
        <v>7711</v>
      </c>
      <c r="H697" s="1">
        <f>IF(GUAYAQUIL[[#This Row],[CODIGO]]="","",1001)</f>
        <v>1001</v>
      </c>
      <c r="I697" s="258" t="s">
        <v>1763</v>
      </c>
      <c r="J697" s="43" t="str">
        <f>IFERROR((VLOOKUP(GUAYAQUIL[[#This Row],[CODIGO]],MAESTRO!A:B,2,FALSE)),"")</f>
        <v>RGN BBLE FTLLA BOT 1750G</v>
      </c>
      <c r="K697" s="35">
        <v>24</v>
      </c>
      <c r="L697" s="205">
        <f>+IFERROR(IF(GUAYAQUIL[[#This Row],[CODIGO]]="","",VLOOKUP(GUAYAQUIL[[#This Row],[CODIGO]],MAESTRO!$A:$BF,58,FALSE)),"")</f>
        <v>1</v>
      </c>
      <c r="M697" s="27">
        <f>+IFERROR(IF(GUAYAQUIL[[#This Row],[CODIGO]]="","",VLOOKUP(GUAYAQUIL[[#This Row],[CODIGO]],MAESTRO!A:N,14,FALSE)),"")</f>
        <v>1.75</v>
      </c>
      <c r="N697" s="206">
        <f>+IFERROR(IF(GUAYAQUIL[[#This Row],[CODIGO]]="","",VLOOKUP(GUAYAQUIL[[#This Row],[CODIGO]],MAESTRO!A:P,16,FALSE)),"")</f>
        <v>45</v>
      </c>
      <c r="O697" s="45">
        <v>45604</v>
      </c>
      <c r="P697" s="99" t="str">
        <f t="shared" si="50"/>
        <v>viernes</v>
      </c>
      <c r="Q697" s="278">
        <f>IFERROR(IF(GUAYAQUIL[[#This Row],[CODIGO]]="","",IF(GUAYAQUIL[[#This Row],[Fecha Cad]]="","",(GUAYAQUIL[[#This Row],[Fecha Cad]]-GUAYAQUIL[[#This Row],[VIDA UTIL (Días)]]))+1),"")</f>
        <v>45596</v>
      </c>
      <c r="R697" s="45">
        <v>45640</v>
      </c>
      <c r="S697" s="30">
        <f t="shared" ca="1" si="56"/>
        <v>16</v>
      </c>
      <c r="T697" s="279">
        <f t="shared" ca="1" si="52"/>
        <v>0.35555555555555557</v>
      </c>
      <c r="U697" s="288">
        <v>6</v>
      </c>
      <c r="V697" s="265">
        <f>+IFERROR(IF(GUAYAQUIL[[#This Row],[CODIGO]]="","",GUAYAQUIL[[#This Row],[Stock Actual Unds]]*GUAYAQUIL[[#This Row],[Gramaje]]*GUAYAQUIL[[#This Row],[Conversión]]),"")</f>
        <v>10.5</v>
      </c>
      <c r="W697" s="280">
        <f t="shared" si="53"/>
        <v>8</v>
      </c>
      <c r="X697" s="44">
        <f t="shared" si="54"/>
        <v>0.82222222222222219</v>
      </c>
      <c r="Y697" s="236">
        <f>IFERROR(VLOOKUP(GUAYAQUIL[[#This Row],[CODIGO]],MAESTRO!A:BI,21,FALSE),0)</f>
        <v>2.2867100000000002</v>
      </c>
      <c r="Z697" s="236">
        <f>+IFERROR(IF(GUAYAQUIL[[#This Row],[CODIGO]]="","",GUAYAQUIL[[#This Row],[COSTO UNIT base]]*GUAYAQUIL[[#This Row],[Conversión]]),"")</f>
        <v>2.2867100000000002</v>
      </c>
      <c r="AA697" s="236">
        <f>+IFERROR(IF(GUAYAQUIL[[#This Row],[CODIGO]]="","",GUAYAQUIL[[#This Row],[COSTO UNIT Conv]]*GUAYAQUIL[[#This Row],[Stock Actual Kgs]]),"")</f>
        <v>24.010455000000004</v>
      </c>
      <c r="AB697" s="180">
        <f ca="1">+IFERROR(IF(GUAYAQUIL[[#This Row],[CODIGO]]="","",$J$3-O697),"")</f>
        <v>20</v>
      </c>
      <c r="AC697" s="35" t="str">
        <f ca="1">IF(GUAYAQUIL[[#This Row],[CODIGO]]="","",IF(S697&lt;=0,"CADUCADO",IF(AND(S697&gt;0,S697&lt;=21),"FECHA CORTA",IF(AND(S697&gt;=22,S697&lt;=26),"PROXIMOS FECHA CORTA", "VIGENTE"))))</f>
        <v>FECHA CORTA</v>
      </c>
      <c r="AD697" s="289">
        <f>+IF(GUAYAQUIL[[#This Row],[CODIGO]]="","",GUAYAQUIL[[#This Row],[Stock Actual Unds]]*GUAYAQUIL[[#This Row],[Gramaje]]*GUAYAQUIL[[#This Row],[Conversión]])/1000</f>
        <v>1.0500000000000001E-2</v>
      </c>
    </row>
    <row r="698" spans="1:30">
      <c r="A698" s="42" t="str">
        <f>+IFERROR(IF(GUAYAQUIL[[#This Row],[CODIGO]]="","",VLOOKUP(GUAYAQUIL[[#This Row],[CODIGO]],MAESTRO!$A:$J,10,FALSE)),"")</f>
        <v>MACHACHI</v>
      </c>
      <c r="B698" s="42" t="str">
        <f>+IFERROR(IF(GUAYAQUIL[[#This Row],[CODIGO]]="","",VLOOKUP(GUAYAQUIL[[#This Row],[CODIGO]],MAESTRO!$A:$Q,17,FALSE)),"")</f>
        <v>BEBIDAS LACTEAS</v>
      </c>
      <c r="C698" s="42" t="str">
        <f>+IFERROR(IF(GUAYAQUIL[[#This Row],[CODIGO]]="","",VLOOKUP(GUAYAQUIL[[#This Row],[CODIGO]],MAESTRO!$A:$BA,53,FALSE)),"")</f>
        <v xml:space="preserve">Luis Armendariz                         </v>
      </c>
      <c r="D698" s="42" t="str">
        <f>+IFERROR(IF(GUAYAQUIL[[#This Row],[CODIGO]]="","",VLOOKUP(GUAYAQUIL[[#This Row],[CODIGO]],MAESTRO!$A:$D,4,FALSE)),"")</f>
        <v>REGENERIS</v>
      </c>
      <c r="E698" s="42" t="str">
        <f>+IFERROR(IF(GUAYAQUIL[[#This Row],[CODIGO]]="","",VLOOKUP(GUAYAQUIL[[#This Row],[CODIGO]],MAESTRO!$A:$F,6,FALSE)),"")</f>
        <v>REGENERIS BEBIBLE BOTELLA FAMILIAR</v>
      </c>
      <c r="F698" s="42" t="str">
        <f>IF(GUAYAQUIL[[#This Row],[CODIGO]]="","",$K$6)</f>
        <v>GUAYAQUIL</v>
      </c>
      <c r="G698" s="1">
        <f>IF(GUAYAQUIL[[#This Row],[CODIGO]]="","",7711)</f>
        <v>7711</v>
      </c>
      <c r="H698" s="1">
        <f>IF(GUAYAQUIL[[#This Row],[CODIGO]]="","",1001)</f>
        <v>1001</v>
      </c>
      <c r="I698" s="258" t="s">
        <v>1763</v>
      </c>
      <c r="J698" s="43" t="str">
        <f>IFERROR((VLOOKUP(GUAYAQUIL[[#This Row],[CODIGO]],MAESTRO!A:B,2,FALSE)),"")</f>
        <v>RGN BBLE FTLLA BOT 1750G</v>
      </c>
      <c r="K698" s="35">
        <v>36</v>
      </c>
      <c r="L698" s="205">
        <f>+IFERROR(IF(GUAYAQUIL[[#This Row],[CODIGO]]="","",VLOOKUP(GUAYAQUIL[[#This Row],[CODIGO]],MAESTRO!$A:$BF,58,FALSE)),"")</f>
        <v>1</v>
      </c>
      <c r="M698" s="27">
        <f>+IFERROR(IF(GUAYAQUIL[[#This Row],[CODIGO]]="","",VLOOKUP(GUAYAQUIL[[#This Row],[CODIGO]],MAESTRO!A:N,14,FALSE)),"")</f>
        <v>1.75</v>
      </c>
      <c r="N698" s="206">
        <f>+IFERROR(IF(GUAYAQUIL[[#This Row],[CODIGO]]="","",VLOOKUP(GUAYAQUIL[[#This Row],[CODIGO]],MAESTRO!A:P,16,FALSE)),"")</f>
        <v>45</v>
      </c>
      <c r="O698" s="45">
        <v>45612</v>
      </c>
      <c r="P698" s="99" t="str">
        <f t="shared" si="50"/>
        <v>sábado</v>
      </c>
      <c r="Q698" s="278">
        <f>IFERROR(IF(GUAYAQUIL[[#This Row],[CODIGO]]="","",IF(GUAYAQUIL[[#This Row],[Fecha Cad]]="","",(GUAYAQUIL[[#This Row],[Fecha Cad]]-GUAYAQUIL[[#This Row],[VIDA UTIL (Días)]]))+1),"")</f>
        <v>45610</v>
      </c>
      <c r="R698" s="45">
        <v>45654</v>
      </c>
      <c r="S698" s="30">
        <f t="shared" ca="1" si="56"/>
        <v>30</v>
      </c>
      <c r="T698" s="279">
        <f t="shared" ca="1" si="52"/>
        <v>0.66666666666666663</v>
      </c>
      <c r="U698" s="288">
        <v>24</v>
      </c>
      <c r="V698" s="265">
        <f>+IFERROR(IF(GUAYAQUIL[[#This Row],[CODIGO]]="","",GUAYAQUIL[[#This Row],[Stock Actual Unds]]*GUAYAQUIL[[#This Row],[Gramaje]]*GUAYAQUIL[[#This Row],[Conversión]]),"")</f>
        <v>42</v>
      </c>
      <c r="W698" s="280">
        <f t="shared" si="53"/>
        <v>2</v>
      </c>
      <c r="X698" s="44">
        <f t="shared" si="54"/>
        <v>0.9555555555555556</v>
      </c>
      <c r="Y698" s="236">
        <f>IFERROR(VLOOKUP(GUAYAQUIL[[#This Row],[CODIGO]],MAESTRO!A:BI,21,FALSE),0)</f>
        <v>2.2867100000000002</v>
      </c>
      <c r="Z698" s="236">
        <f>+IFERROR(IF(GUAYAQUIL[[#This Row],[CODIGO]]="","",GUAYAQUIL[[#This Row],[COSTO UNIT base]]*GUAYAQUIL[[#This Row],[Conversión]]),"")</f>
        <v>2.2867100000000002</v>
      </c>
      <c r="AA698" s="236">
        <f>+IFERROR(IF(GUAYAQUIL[[#This Row],[CODIGO]]="","",GUAYAQUIL[[#This Row],[COSTO UNIT Conv]]*GUAYAQUIL[[#This Row],[Stock Actual Kgs]]),"")</f>
        <v>96.041820000000016</v>
      </c>
      <c r="AB698" s="180">
        <f ca="1">+IFERROR(IF(GUAYAQUIL[[#This Row],[CODIGO]]="","",$J$3-O698),"")</f>
        <v>12</v>
      </c>
      <c r="AC698" s="35" t="str">
        <f ca="1">IF(GUAYAQUIL[[#This Row],[CODIGO]]="","",IF(S698&lt;=0,"CADUCADO",IF(AND(S698&gt;0,S698&lt;=21),"FECHA CORTA",IF(AND(S698&gt;=22,S698&lt;=26),"PROXIMOS FECHA CORTA", "VIGENTE"))))</f>
        <v>VIGENTE</v>
      </c>
      <c r="AD698" s="289">
        <f>+IF(GUAYAQUIL[[#This Row],[CODIGO]]="","",GUAYAQUIL[[#This Row],[Stock Actual Unds]]*GUAYAQUIL[[#This Row],[Gramaje]]*GUAYAQUIL[[#This Row],[Conversión]])/1000</f>
        <v>4.2000000000000003E-2</v>
      </c>
    </row>
    <row r="699" spans="1:30">
      <c r="A699" s="42" t="str">
        <f>+IFERROR(IF(GUAYAQUIL[[#This Row],[CODIGO]]="","",VLOOKUP(GUAYAQUIL[[#This Row],[CODIGO]],MAESTRO!$A:$J,10,FALSE)),"")</f>
        <v>MACHACHI</v>
      </c>
      <c r="B699" s="42" t="str">
        <f>+IFERROR(IF(GUAYAQUIL[[#This Row],[CODIGO]]="","",VLOOKUP(GUAYAQUIL[[#This Row],[CODIGO]],MAESTRO!$A:$Q,17,FALSE)),"")</f>
        <v>BEBIDAS LACTEAS</v>
      </c>
      <c r="C699" s="42" t="str">
        <f>+IFERROR(IF(GUAYAQUIL[[#This Row],[CODIGO]]="","",VLOOKUP(GUAYAQUIL[[#This Row],[CODIGO]],MAESTRO!$A:$BA,53,FALSE)),"")</f>
        <v xml:space="preserve">Luis Armendariz                         </v>
      </c>
      <c r="D699" s="42" t="str">
        <f>+IFERROR(IF(GUAYAQUIL[[#This Row],[CODIGO]]="","",VLOOKUP(GUAYAQUIL[[#This Row],[CODIGO]],MAESTRO!$A:$D,4,FALSE)),"")</f>
        <v>REGENERIS</v>
      </c>
      <c r="E699" s="42" t="str">
        <f>+IFERROR(IF(GUAYAQUIL[[#This Row],[CODIGO]]="","",VLOOKUP(GUAYAQUIL[[#This Row],[CODIGO]],MAESTRO!$A:$F,6,FALSE)),"")</f>
        <v>REGENERIS BEBIBLE BOTELLA FAMILIAR</v>
      </c>
      <c r="F699" s="42" t="str">
        <f>IF(GUAYAQUIL[[#This Row],[CODIGO]]="","",$K$6)</f>
        <v>GUAYAQUIL</v>
      </c>
      <c r="G699" s="1">
        <f>IF(GUAYAQUIL[[#This Row],[CODIGO]]="","",7711)</f>
        <v>7711</v>
      </c>
      <c r="H699" s="1">
        <f>IF(GUAYAQUIL[[#This Row],[CODIGO]]="","",1001)</f>
        <v>1001</v>
      </c>
      <c r="I699" s="258" t="s">
        <v>1763</v>
      </c>
      <c r="J699" s="43" t="str">
        <f>IFERROR((VLOOKUP(GUAYAQUIL[[#This Row],[CODIGO]],MAESTRO!A:B,2,FALSE)),"")</f>
        <v>RGN BBLE FTLLA BOT 1750G</v>
      </c>
      <c r="K699" s="35">
        <v>12</v>
      </c>
      <c r="L699" s="205">
        <f>+IFERROR(IF(GUAYAQUIL[[#This Row],[CODIGO]]="","",VLOOKUP(GUAYAQUIL[[#This Row],[CODIGO]],MAESTRO!$A:$BF,58,FALSE)),"")</f>
        <v>1</v>
      </c>
      <c r="M699" s="27">
        <f>+IFERROR(IF(GUAYAQUIL[[#This Row],[CODIGO]]="","",VLOOKUP(GUAYAQUIL[[#This Row],[CODIGO]],MAESTRO!A:N,14,FALSE)),"")</f>
        <v>1.75</v>
      </c>
      <c r="N699" s="206">
        <f>+IFERROR(IF(GUAYAQUIL[[#This Row],[CODIGO]]="","",VLOOKUP(GUAYAQUIL[[#This Row],[CODIGO]],MAESTRO!A:P,16,FALSE)),"")</f>
        <v>45</v>
      </c>
      <c r="O699" s="45">
        <v>45615</v>
      </c>
      <c r="P699" s="99" t="str">
        <f t="shared" si="50"/>
        <v>martes</v>
      </c>
      <c r="Q699" s="278">
        <f>IFERROR(IF(GUAYAQUIL[[#This Row],[CODIGO]]="","",IF(GUAYAQUIL[[#This Row],[Fecha Cad]]="","",(GUAYAQUIL[[#This Row],[Fecha Cad]]-GUAYAQUIL[[#This Row],[VIDA UTIL (Días)]]))+1),"")</f>
        <v>45610</v>
      </c>
      <c r="R699" s="45">
        <v>45654</v>
      </c>
      <c r="S699" s="30">
        <f t="shared" ca="1" si="56"/>
        <v>30</v>
      </c>
      <c r="T699" s="279">
        <f t="shared" ca="1" si="52"/>
        <v>0.66666666666666663</v>
      </c>
      <c r="U699" s="288">
        <v>12</v>
      </c>
      <c r="V699" s="265">
        <f>+IFERROR(IF(GUAYAQUIL[[#This Row],[CODIGO]]="","",GUAYAQUIL[[#This Row],[Stock Actual Unds]]*GUAYAQUIL[[#This Row],[Gramaje]]*GUAYAQUIL[[#This Row],[Conversión]]),"")</f>
        <v>21</v>
      </c>
      <c r="W699" s="280">
        <f t="shared" si="53"/>
        <v>5</v>
      </c>
      <c r="X699" s="44">
        <f t="shared" si="54"/>
        <v>0.88888888888888884</v>
      </c>
      <c r="Y699" s="236">
        <f>IFERROR(VLOOKUP(GUAYAQUIL[[#This Row],[CODIGO]],MAESTRO!A:BI,21,FALSE),0)</f>
        <v>2.2867100000000002</v>
      </c>
      <c r="Z699" s="236">
        <f>+IFERROR(IF(GUAYAQUIL[[#This Row],[CODIGO]]="","",GUAYAQUIL[[#This Row],[COSTO UNIT base]]*GUAYAQUIL[[#This Row],[Conversión]]),"")</f>
        <v>2.2867100000000002</v>
      </c>
      <c r="AA699" s="236">
        <f>+IFERROR(IF(GUAYAQUIL[[#This Row],[CODIGO]]="","",GUAYAQUIL[[#This Row],[COSTO UNIT Conv]]*GUAYAQUIL[[#This Row],[Stock Actual Kgs]]),"")</f>
        <v>48.020910000000008</v>
      </c>
      <c r="AB699" s="180">
        <f ca="1">+IFERROR(IF(GUAYAQUIL[[#This Row],[CODIGO]]="","",$J$3-O699),"")</f>
        <v>9</v>
      </c>
      <c r="AC699" s="35" t="str">
        <f ca="1">IF(GUAYAQUIL[[#This Row],[CODIGO]]="","",IF(S699&lt;=0,"CADUCADO",IF(AND(S699&gt;0,S699&lt;=21),"FECHA CORTA",IF(AND(S699&gt;=22,S699&lt;=26),"PROXIMOS FECHA CORTA", "VIGENTE"))))</f>
        <v>VIGENTE</v>
      </c>
      <c r="AD699" s="289">
        <f>+IF(GUAYAQUIL[[#This Row],[CODIGO]]="","",GUAYAQUIL[[#This Row],[Stock Actual Unds]]*GUAYAQUIL[[#This Row],[Gramaje]]*GUAYAQUIL[[#This Row],[Conversión]])/1000</f>
        <v>2.1000000000000001E-2</v>
      </c>
    </row>
    <row r="700" spans="1:30">
      <c r="A700" s="42" t="str">
        <f>+IFERROR(IF(GUAYAQUIL[[#This Row],[CODIGO]]="","",VLOOKUP(GUAYAQUIL[[#This Row],[CODIGO]],MAESTRO!$A:$J,10,FALSE)),"")</f>
        <v>MACHACHI</v>
      </c>
      <c r="B700" s="42" t="str">
        <f>+IFERROR(IF(GUAYAQUIL[[#This Row],[CODIGO]]="","",VLOOKUP(GUAYAQUIL[[#This Row],[CODIGO]],MAESTRO!$A:$Q,17,FALSE)),"")</f>
        <v>BEBIDAS LACTEAS</v>
      </c>
      <c r="C700" s="42" t="str">
        <f>+IFERROR(IF(GUAYAQUIL[[#This Row],[CODIGO]]="","",VLOOKUP(GUAYAQUIL[[#This Row],[CODIGO]],MAESTRO!$A:$BA,53,FALSE)),"")</f>
        <v xml:space="preserve">Luis Armendariz                         </v>
      </c>
      <c r="D700" s="42" t="str">
        <f>+IFERROR(IF(GUAYAQUIL[[#This Row],[CODIGO]]="","",VLOOKUP(GUAYAQUIL[[#This Row],[CODIGO]],MAESTRO!$A:$D,4,FALSE)),"")</f>
        <v>REGENERIS</v>
      </c>
      <c r="E700" s="42" t="str">
        <f>+IFERROR(IF(GUAYAQUIL[[#This Row],[CODIGO]]="","",VLOOKUP(GUAYAQUIL[[#This Row],[CODIGO]],MAESTRO!$A:$F,6,FALSE)),"")</f>
        <v>REGENERIS BEBIBLE BOTELLA FAMILIAR</v>
      </c>
      <c r="F700" s="42" t="str">
        <f>IF(GUAYAQUIL[[#This Row],[CODIGO]]="","",$K$6)</f>
        <v>GUAYAQUIL</v>
      </c>
      <c r="G700" s="1">
        <f>IF(GUAYAQUIL[[#This Row],[CODIGO]]="","",7711)</f>
        <v>7711</v>
      </c>
      <c r="H700" s="1">
        <f>IF(GUAYAQUIL[[#This Row],[CODIGO]]="","",1001)</f>
        <v>1001</v>
      </c>
      <c r="I700" s="258" t="s">
        <v>1763</v>
      </c>
      <c r="J700" s="43" t="str">
        <f>IFERROR((VLOOKUP(GUAYAQUIL[[#This Row],[CODIGO]],MAESTRO!A:B,2,FALSE)),"")</f>
        <v>RGN BBLE FTLLA BOT 1750G</v>
      </c>
      <c r="K700" s="35">
        <v>24</v>
      </c>
      <c r="L700" s="205">
        <f>+IFERROR(IF(GUAYAQUIL[[#This Row],[CODIGO]]="","",VLOOKUP(GUAYAQUIL[[#This Row],[CODIGO]],MAESTRO!$A:$BF,58,FALSE)),"")</f>
        <v>1</v>
      </c>
      <c r="M700" s="27">
        <f>+IFERROR(IF(GUAYAQUIL[[#This Row],[CODIGO]]="","",VLOOKUP(GUAYAQUIL[[#This Row],[CODIGO]],MAESTRO!A:N,14,FALSE)),"")</f>
        <v>1.75</v>
      </c>
      <c r="N700" s="206">
        <f>+IFERROR(IF(GUAYAQUIL[[#This Row],[CODIGO]]="","",VLOOKUP(GUAYAQUIL[[#This Row],[CODIGO]],MAESTRO!A:P,16,FALSE)),"")</f>
        <v>45</v>
      </c>
      <c r="O700" s="303">
        <v>45616</v>
      </c>
      <c r="P700" s="99" t="str">
        <f t="shared" ref="P700:P732" si="57">+IF(R700="","",TEXT(O700,"dddd"))</f>
        <v>miércoles</v>
      </c>
      <c r="Q700" s="304">
        <f>IFERROR(IF(GUAYAQUIL[[#This Row],[CODIGO]]="","",IF(GUAYAQUIL[[#This Row],[Fecha Cad]]="","",(GUAYAQUIL[[#This Row],[Fecha Cad]]-GUAYAQUIL[[#This Row],[VIDA UTIL (Días)]]))+1),"")</f>
        <v>45615</v>
      </c>
      <c r="R700" s="303">
        <v>45659</v>
      </c>
      <c r="S700" s="30">
        <f t="shared" ca="1" si="56"/>
        <v>35</v>
      </c>
      <c r="T700" s="279">
        <f t="shared" ref="T700:T732" ca="1" si="58">IFERROR(IF(8="","",S700/N700),0)</f>
        <v>0.77777777777777779</v>
      </c>
      <c r="U700" s="288">
        <v>24</v>
      </c>
      <c r="V700" s="265">
        <f>+IFERROR(IF(GUAYAQUIL[[#This Row],[CODIGO]]="","",GUAYAQUIL[[#This Row],[Stock Actual Unds]]*GUAYAQUIL[[#This Row],[Gramaje]]*GUAYAQUIL[[#This Row],[Conversión]]),"")</f>
        <v>42</v>
      </c>
      <c r="W700" s="280">
        <f t="shared" ref="W700:W732" si="59">IFERROR(O700-Q700,0)</f>
        <v>1</v>
      </c>
      <c r="X700" s="44">
        <f t="shared" ref="X700:X732" si="60">IF(I700="","",1-(W700/N700))</f>
        <v>0.97777777777777775</v>
      </c>
      <c r="Y700" s="236">
        <f>IFERROR(VLOOKUP(GUAYAQUIL[[#This Row],[CODIGO]],MAESTRO!A:BI,21,FALSE),0)</f>
        <v>2.2867100000000002</v>
      </c>
      <c r="Z700" s="236">
        <f>+IFERROR(IF(GUAYAQUIL[[#This Row],[CODIGO]]="","",GUAYAQUIL[[#This Row],[COSTO UNIT base]]*GUAYAQUIL[[#This Row],[Conversión]]),"")</f>
        <v>2.2867100000000002</v>
      </c>
      <c r="AA700" s="236">
        <f>+IFERROR(IF(GUAYAQUIL[[#This Row],[CODIGO]]="","",GUAYAQUIL[[#This Row],[COSTO UNIT Conv]]*GUAYAQUIL[[#This Row],[Stock Actual Kgs]]),"")</f>
        <v>96.041820000000016</v>
      </c>
      <c r="AB700" s="180">
        <f ca="1">+IFERROR(IF(GUAYAQUIL[[#This Row],[CODIGO]]="","",$J$3-O700),"")</f>
        <v>8</v>
      </c>
      <c r="AC700" s="35" t="str">
        <f ca="1">IF(GUAYAQUIL[[#This Row],[CODIGO]]="","",IF(S700&lt;=0,"CADUCADO",IF(AND(S700&gt;0,S700&lt;=21),"FECHA CORTA",IF(AND(S700&gt;=22,S700&lt;=26),"PROXIMOS FECHA CORTA", "VIGENTE"))))</f>
        <v>VIGENTE</v>
      </c>
      <c r="AD700" s="289">
        <f>+IF(GUAYAQUIL[[#This Row],[CODIGO]]="","",GUAYAQUIL[[#This Row],[Stock Actual Unds]]*GUAYAQUIL[[#This Row],[Gramaje]]*GUAYAQUIL[[#This Row],[Conversión]])/1000</f>
        <v>4.2000000000000003E-2</v>
      </c>
    </row>
    <row r="701" spans="1:30">
      <c r="A701" s="42" t="str">
        <f>+IFERROR(IF(GUAYAQUIL[[#This Row],[CODIGO]]="","",VLOOKUP(GUAYAQUIL[[#This Row],[CODIGO]],MAESTRO!$A:$J,10,FALSE)),"")</f>
        <v>SAN GABRIEL</v>
      </c>
      <c r="B701" s="42" t="str">
        <f>+IFERROR(IF(GUAYAQUIL[[#This Row],[CODIGO]]="","",VLOOKUP(GUAYAQUIL[[#This Row],[CODIGO]],MAESTRO!$A:$Q,17,FALSE)),"")</f>
        <v>QUESOS Y GRASAS</v>
      </c>
      <c r="C701" s="42" t="str">
        <f>+IFERROR(IF(GUAYAQUIL[[#This Row],[CODIGO]]="","",VLOOKUP(GUAYAQUIL[[#This Row],[CODIGO]],MAESTRO!$A:$BA,53,FALSE)),"")</f>
        <v xml:space="preserve">Esteban Montenegro                      </v>
      </c>
      <c r="D701" s="42" t="str">
        <f>+IFERROR(IF(GUAYAQUIL[[#This Row],[CODIGO]]="","",VLOOKUP(GUAYAQUIL[[#This Row],[CODIGO]],MAESTRO!$A:$D,4,FALSE)),"")</f>
        <v>CREMA DE LECHE</v>
      </c>
      <c r="E701" s="42" t="str">
        <f>+IFERROR(IF(GUAYAQUIL[[#This Row],[CODIGO]]="","",VLOOKUP(GUAYAQUIL[[#This Row],[CODIGO]],MAESTRO!$A:$F,6,FALSE)),"")</f>
        <v>CREMA DE LECHE KIOSKO GALON</v>
      </c>
      <c r="F701" s="42" t="str">
        <f>IF(GUAYAQUIL[[#This Row],[CODIGO]]="","",$K$6)</f>
        <v>GUAYAQUIL</v>
      </c>
      <c r="G701" s="1">
        <f>IF(GUAYAQUIL[[#This Row],[CODIGO]]="","",7711)</f>
        <v>7711</v>
      </c>
      <c r="H701" s="1">
        <f>IF(GUAYAQUIL[[#This Row],[CODIGO]]="","",1001)</f>
        <v>1001</v>
      </c>
      <c r="I701" s="258" t="s">
        <v>993</v>
      </c>
      <c r="J701" s="43" t="str">
        <f>IFERROR((VLOOKUP(GUAYAQUIL[[#This Row],[CODIGO]],MAESTRO!A:B,2,FALSE)),"")</f>
        <v>CREM LCH AGRIA KIOSKO GAR 3.5KG</v>
      </c>
      <c r="K701" s="35">
        <v>54</v>
      </c>
      <c r="L701" s="205">
        <f>+IFERROR(IF(GUAYAQUIL[[#This Row],[CODIGO]]="","",VLOOKUP(GUAYAQUIL[[#This Row],[CODIGO]],MAESTRO!$A:$BF,58,FALSE)),"")</f>
        <v>1</v>
      </c>
      <c r="M701" s="27">
        <f>+IFERROR(IF(GUAYAQUIL[[#This Row],[CODIGO]]="","",VLOOKUP(GUAYAQUIL[[#This Row],[CODIGO]],MAESTRO!A:N,14,FALSE)),"")</f>
        <v>3.5</v>
      </c>
      <c r="N701" s="206">
        <f>+IFERROR(IF(GUAYAQUIL[[#This Row],[CODIGO]]="","",VLOOKUP(GUAYAQUIL[[#This Row],[CODIGO]],MAESTRO!A:P,16,FALSE)),"")</f>
        <v>30</v>
      </c>
      <c r="O701" s="303">
        <v>45611</v>
      </c>
      <c r="P701" s="99" t="str">
        <f t="shared" si="57"/>
        <v>viernes</v>
      </c>
      <c r="Q701" s="304">
        <f>IFERROR(IF(GUAYAQUIL[[#This Row],[CODIGO]]="","",IF(GUAYAQUIL[[#This Row],[Fecha Cad]]="","",(GUAYAQUIL[[#This Row],[Fecha Cad]]-GUAYAQUIL[[#This Row],[VIDA UTIL (Días)]]))+1),"")</f>
        <v>45610</v>
      </c>
      <c r="R701" s="303">
        <v>45639</v>
      </c>
      <c r="S701" s="30">
        <f t="shared" ca="1" si="56"/>
        <v>15</v>
      </c>
      <c r="T701" s="279">
        <f t="shared" ca="1" si="58"/>
        <v>0.5</v>
      </c>
      <c r="U701" s="288">
        <v>34</v>
      </c>
      <c r="V701" s="265">
        <f>+IFERROR(IF(GUAYAQUIL[[#This Row],[CODIGO]]="","",GUAYAQUIL[[#This Row],[Stock Actual Unds]]*GUAYAQUIL[[#This Row],[Gramaje]]*GUAYAQUIL[[#This Row],[Conversión]]),"")</f>
        <v>119</v>
      </c>
      <c r="W701" s="280">
        <f t="shared" si="59"/>
        <v>1</v>
      </c>
      <c r="X701" s="44">
        <f t="shared" si="60"/>
        <v>0.96666666666666667</v>
      </c>
      <c r="Y701" s="236">
        <f>IFERROR(VLOOKUP(GUAYAQUIL[[#This Row],[CODIGO]],MAESTRO!A:BI,21,FALSE),0)</f>
        <v>6.5987749999999998</v>
      </c>
      <c r="Z701" s="236">
        <f>+IFERROR(IF(GUAYAQUIL[[#This Row],[CODIGO]]="","",GUAYAQUIL[[#This Row],[COSTO UNIT base]]*GUAYAQUIL[[#This Row],[Conversión]]),"")</f>
        <v>6.5987749999999998</v>
      </c>
      <c r="AA701" s="236">
        <f>+IFERROR(IF(GUAYAQUIL[[#This Row],[CODIGO]]="","",GUAYAQUIL[[#This Row],[COSTO UNIT Conv]]*GUAYAQUIL[[#This Row],[Stock Actual Kgs]]),"")</f>
        <v>785.25422500000002</v>
      </c>
      <c r="AB701" s="180">
        <f ca="1">+IFERROR(IF(GUAYAQUIL[[#This Row],[CODIGO]]="","",$J$3-O701),"")</f>
        <v>13</v>
      </c>
      <c r="AC701" s="35" t="str">
        <f ca="1">IF(GUAYAQUIL[[#This Row],[CODIGO]]="","",IF(S701&lt;=0,"CADUCADO",IF(AND(S701&gt;0,S701&lt;=21),"FECHA CORTA",IF(AND(S701&gt;=22,S701&lt;=26),"PROXIMOS FECHA CORTA", "VIGENTE"))))</f>
        <v>FECHA CORTA</v>
      </c>
      <c r="AD701" s="289">
        <f>+IF(GUAYAQUIL[[#This Row],[CODIGO]]="","",GUAYAQUIL[[#This Row],[Stock Actual Unds]]*GUAYAQUIL[[#This Row],[Gramaje]]*GUAYAQUIL[[#This Row],[Conversión]])/1000</f>
        <v>0.11899999999999999</v>
      </c>
    </row>
    <row r="702" spans="1:30">
      <c r="A702" s="42" t="str">
        <f>+IFERROR(IF(GUAYAQUIL[[#This Row],[CODIGO]]="","",VLOOKUP(GUAYAQUIL[[#This Row],[CODIGO]],MAESTRO!$A:$J,10,FALSE)),"")</f>
        <v>SAN GABRIEL</v>
      </c>
      <c r="B702" s="42" t="str">
        <f>+IFERROR(IF(GUAYAQUIL[[#This Row],[CODIGO]]="","",VLOOKUP(GUAYAQUIL[[#This Row],[CODIGO]],MAESTRO!$A:$Q,17,FALSE)),"")</f>
        <v>QUESOS Y GRASAS</v>
      </c>
      <c r="C702" s="42" t="str">
        <f>+IFERROR(IF(GUAYAQUIL[[#This Row],[CODIGO]]="","",VLOOKUP(GUAYAQUIL[[#This Row],[CODIGO]],MAESTRO!$A:$BA,53,FALSE)),"")</f>
        <v xml:space="preserve">Esteban Montenegro                      </v>
      </c>
      <c r="D702" s="42" t="str">
        <f>+IFERROR(IF(GUAYAQUIL[[#This Row],[CODIGO]]="","",VLOOKUP(GUAYAQUIL[[#This Row],[CODIGO]],MAESTRO!$A:$D,4,FALSE)),"")</f>
        <v>CREMA DE LECHE</v>
      </c>
      <c r="E702" s="42" t="str">
        <f>+IFERROR(IF(GUAYAQUIL[[#This Row],[CODIGO]]="","",VLOOKUP(GUAYAQUIL[[#This Row],[CODIGO]],MAESTRO!$A:$F,6,FALSE)),"")</f>
        <v>CREMA DE LECHE KIOSKO GALON</v>
      </c>
      <c r="F702" s="42" t="str">
        <f>IF(GUAYAQUIL[[#This Row],[CODIGO]]="","",$K$6)</f>
        <v>GUAYAQUIL</v>
      </c>
      <c r="G702" s="1">
        <f>IF(GUAYAQUIL[[#This Row],[CODIGO]]="","",7711)</f>
        <v>7711</v>
      </c>
      <c r="H702" s="1">
        <f>IF(GUAYAQUIL[[#This Row],[CODIGO]]="","",1001)</f>
        <v>1001</v>
      </c>
      <c r="I702" s="258" t="s">
        <v>993</v>
      </c>
      <c r="J702" s="43" t="str">
        <f>IFERROR((VLOOKUP(GUAYAQUIL[[#This Row],[CODIGO]],MAESTRO!A:B,2,FALSE)),"")</f>
        <v>CREM LCH AGRIA KIOSKO GAR 3.5KG</v>
      </c>
      <c r="K702" s="35">
        <v>30</v>
      </c>
      <c r="L702" s="205">
        <f>+IFERROR(IF(GUAYAQUIL[[#This Row],[CODIGO]]="","",VLOOKUP(GUAYAQUIL[[#This Row],[CODIGO]],MAESTRO!$A:$BF,58,FALSE)),"")</f>
        <v>1</v>
      </c>
      <c r="M702" s="27">
        <f>+IFERROR(IF(GUAYAQUIL[[#This Row],[CODIGO]]="","",VLOOKUP(GUAYAQUIL[[#This Row],[CODIGO]],MAESTRO!A:N,14,FALSE)),"")</f>
        <v>3.5</v>
      </c>
      <c r="N702" s="206">
        <f>+IFERROR(IF(GUAYAQUIL[[#This Row],[CODIGO]]="","",VLOOKUP(GUAYAQUIL[[#This Row],[CODIGO]],MAESTRO!A:P,16,FALSE)),"")</f>
        <v>30</v>
      </c>
      <c r="O702" s="303">
        <v>45615</v>
      </c>
      <c r="P702" s="99" t="str">
        <f t="shared" si="57"/>
        <v>martes</v>
      </c>
      <c r="Q702" s="304">
        <f>IFERROR(IF(GUAYAQUIL[[#This Row],[CODIGO]]="","",IF(GUAYAQUIL[[#This Row],[Fecha Cad]]="","",(GUAYAQUIL[[#This Row],[Fecha Cad]]-GUAYAQUIL[[#This Row],[VIDA UTIL (Días)]]))+1),"")</f>
        <v>45610</v>
      </c>
      <c r="R702" s="303">
        <v>45639</v>
      </c>
      <c r="S702" s="30">
        <f t="shared" ca="1" si="56"/>
        <v>15</v>
      </c>
      <c r="T702" s="279">
        <f t="shared" ca="1" si="58"/>
        <v>0.5</v>
      </c>
      <c r="U702" s="288">
        <v>30</v>
      </c>
      <c r="V702" s="265">
        <f>+IFERROR(IF(GUAYAQUIL[[#This Row],[CODIGO]]="","",GUAYAQUIL[[#This Row],[Stock Actual Unds]]*GUAYAQUIL[[#This Row],[Gramaje]]*GUAYAQUIL[[#This Row],[Conversión]]),"")</f>
        <v>105</v>
      </c>
      <c r="W702" s="280">
        <f t="shared" si="59"/>
        <v>5</v>
      </c>
      <c r="X702" s="44">
        <f t="shared" si="60"/>
        <v>0.83333333333333337</v>
      </c>
      <c r="Y702" s="236">
        <f>IFERROR(VLOOKUP(GUAYAQUIL[[#This Row],[CODIGO]],MAESTRO!A:BI,21,FALSE),0)</f>
        <v>6.5987749999999998</v>
      </c>
      <c r="Z702" s="236">
        <f>+IFERROR(IF(GUAYAQUIL[[#This Row],[CODIGO]]="","",GUAYAQUIL[[#This Row],[COSTO UNIT base]]*GUAYAQUIL[[#This Row],[Conversión]]),"")</f>
        <v>6.5987749999999998</v>
      </c>
      <c r="AA702" s="236">
        <f>+IFERROR(IF(GUAYAQUIL[[#This Row],[CODIGO]]="","",GUAYAQUIL[[#This Row],[COSTO UNIT Conv]]*GUAYAQUIL[[#This Row],[Stock Actual Kgs]]),"")</f>
        <v>692.87137499999994</v>
      </c>
      <c r="AB702" s="180">
        <f ca="1">+IFERROR(IF(GUAYAQUIL[[#This Row],[CODIGO]]="","",$J$3-O702),"")</f>
        <v>9</v>
      </c>
      <c r="AC702" s="35" t="str">
        <f ca="1">IF(GUAYAQUIL[[#This Row],[CODIGO]]="","",IF(S702&lt;=0,"CADUCADO",IF(AND(S702&gt;0,S702&lt;=21),"FECHA CORTA",IF(AND(S702&gt;=22,S702&lt;=26),"PROXIMOS FECHA CORTA", "VIGENTE"))))</f>
        <v>FECHA CORTA</v>
      </c>
      <c r="AD702" s="289">
        <f>+IF(GUAYAQUIL[[#This Row],[CODIGO]]="","",GUAYAQUIL[[#This Row],[Stock Actual Unds]]*GUAYAQUIL[[#This Row],[Gramaje]]*GUAYAQUIL[[#This Row],[Conversión]])/1000</f>
        <v>0.105</v>
      </c>
    </row>
    <row r="703" spans="1:30">
      <c r="A703" s="42" t="str">
        <f>+IFERROR(IF(GUAYAQUIL[[#This Row],[CODIGO]]="","",VLOOKUP(GUAYAQUIL[[#This Row],[CODIGO]],MAESTRO!$A:$J,10,FALSE)),"")</f>
        <v>SAN GABRIEL</v>
      </c>
      <c r="B703" s="42" t="str">
        <f>+IFERROR(IF(GUAYAQUIL[[#This Row],[CODIGO]]="","",VLOOKUP(GUAYAQUIL[[#This Row],[CODIGO]],MAESTRO!$A:$Q,17,FALSE)),"")</f>
        <v>QUESOS Y GRASAS</v>
      </c>
      <c r="C703" s="42" t="str">
        <f>+IFERROR(IF(GUAYAQUIL[[#This Row],[CODIGO]]="","",VLOOKUP(GUAYAQUIL[[#This Row],[CODIGO]],MAESTRO!$A:$BA,53,FALSE)),"")</f>
        <v xml:space="preserve">Esteban Montenegro                      </v>
      </c>
      <c r="D703" s="42" t="str">
        <f>+IFERROR(IF(GUAYAQUIL[[#This Row],[CODIGO]]="","",VLOOKUP(GUAYAQUIL[[#This Row],[CODIGO]],MAESTRO!$A:$D,4,FALSE)),"")</f>
        <v>CREMA DE LECHE</v>
      </c>
      <c r="E703" s="42" t="str">
        <f>+IFERROR(IF(GUAYAQUIL[[#This Row],[CODIGO]]="","",VLOOKUP(GUAYAQUIL[[#This Row],[CODIGO]],MAESTRO!$A:$F,6,FALSE)),"")</f>
        <v>CREMA DE LECHE KIOSKO GALON</v>
      </c>
      <c r="F703" s="42" t="str">
        <f>IF(GUAYAQUIL[[#This Row],[CODIGO]]="","",$K$6)</f>
        <v>GUAYAQUIL</v>
      </c>
      <c r="G703" s="1">
        <f>IF(GUAYAQUIL[[#This Row],[CODIGO]]="","",7711)</f>
        <v>7711</v>
      </c>
      <c r="H703" s="1">
        <f>IF(GUAYAQUIL[[#This Row],[CODIGO]]="","",1001)</f>
        <v>1001</v>
      </c>
      <c r="I703" s="258" t="s">
        <v>993</v>
      </c>
      <c r="J703" s="43" t="str">
        <f>IFERROR((VLOOKUP(GUAYAQUIL[[#This Row],[CODIGO]],MAESTRO!A:B,2,FALSE)),"")</f>
        <v>CREM LCH AGRIA KIOSKO GAR 3.5KG</v>
      </c>
      <c r="K703" s="35">
        <v>66</v>
      </c>
      <c r="L703" s="205">
        <f>+IFERROR(IF(GUAYAQUIL[[#This Row],[CODIGO]]="","",VLOOKUP(GUAYAQUIL[[#This Row],[CODIGO]],MAESTRO!$A:$BF,58,FALSE)),"")</f>
        <v>1</v>
      </c>
      <c r="M703" s="27">
        <f>+IFERROR(IF(GUAYAQUIL[[#This Row],[CODIGO]]="","",VLOOKUP(GUAYAQUIL[[#This Row],[CODIGO]],MAESTRO!A:N,14,FALSE)),"")</f>
        <v>3.5</v>
      </c>
      <c r="N703" s="206">
        <f>+IFERROR(IF(GUAYAQUIL[[#This Row],[CODIGO]]="","",VLOOKUP(GUAYAQUIL[[#This Row],[CODIGO]],MAESTRO!A:P,16,FALSE)),"")</f>
        <v>30</v>
      </c>
      <c r="O703" s="303">
        <v>45617</v>
      </c>
      <c r="P703" s="99" t="str">
        <f t="shared" si="57"/>
        <v>jueves</v>
      </c>
      <c r="Q703" s="304">
        <f>IFERROR(IF(GUAYAQUIL[[#This Row],[CODIGO]]="","",IF(GUAYAQUIL[[#This Row],[Fecha Cad]]="","",(GUAYAQUIL[[#This Row],[Fecha Cad]]-GUAYAQUIL[[#This Row],[VIDA UTIL (Días)]]))+1),"")</f>
        <v>45616</v>
      </c>
      <c r="R703" s="303">
        <v>45645</v>
      </c>
      <c r="S703" s="30">
        <f t="shared" ca="1" si="56"/>
        <v>21</v>
      </c>
      <c r="T703" s="279">
        <f t="shared" ca="1" si="58"/>
        <v>0.7</v>
      </c>
      <c r="U703" s="288">
        <v>66</v>
      </c>
      <c r="V703" s="265">
        <f>+IFERROR(IF(GUAYAQUIL[[#This Row],[CODIGO]]="","",GUAYAQUIL[[#This Row],[Stock Actual Unds]]*GUAYAQUIL[[#This Row],[Gramaje]]*GUAYAQUIL[[#This Row],[Conversión]]),"")</f>
        <v>231</v>
      </c>
      <c r="W703" s="280">
        <f t="shared" si="59"/>
        <v>1</v>
      </c>
      <c r="X703" s="44">
        <f t="shared" si="60"/>
        <v>0.96666666666666667</v>
      </c>
      <c r="Y703" s="236">
        <f>IFERROR(VLOOKUP(GUAYAQUIL[[#This Row],[CODIGO]],MAESTRO!A:BI,21,FALSE),0)</f>
        <v>6.5987749999999998</v>
      </c>
      <c r="Z703" s="236">
        <f>+IFERROR(IF(GUAYAQUIL[[#This Row],[CODIGO]]="","",GUAYAQUIL[[#This Row],[COSTO UNIT base]]*GUAYAQUIL[[#This Row],[Conversión]]),"")</f>
        <v>6.5987749999999998</v>
      </c>
      <c r="AA703" s="236">
        <f>+IFERROR(IF(GUAYAQUIL[[#This Row],[CODIGO]]="","",GUAYAQUIL[[#This Row],[COSTO UNIT Conv]]*GUAYAQUIL[[#This Row],[Stock Actual Kgs]]),"")</f>
        <v>1524.3170250000001</v>
      </c>
      <c r="AB703" s="180">
        <f ca="1">+IFERROR(IF(GUAYAQUIL[[#This Row],[CODIGO]]="","",$J$3-O703),"")</f>
        <v>7</v>
      </c>
      <c r="AC703" s="35" t="str">
        <f ca="1">IF(GUAYAQUIL[[#This Row],[CODIGO]]="","",IF(S703&lt;=0,"CADUCADO",IF(AND(S703&gt;0,S703&lt;=21),"FECHA CORTA",IF(AND(S703&gt;=22,S703&lt;=26),"PROXIMOS FECHA CORTA", "VIGENTE"))))</f>
        <v>FECHA CORTA</v>
      </c>
      <c r="AD703" s="289">
        <f>+IF(GUAYAQUIL[[#This Row],[CODIGO]]="","",GUAYAQUIL[[#This Row],[Stock Actual Unds]]*GUAYAQUIL[[#This Row],[Gramaje]]*GUAYAQUIL[[#This Row],[Conversión]])/1000</f>
        <v>0.23100000000000001</v>
      </c>
    </row>
    <row r="704" spans="1:30">
      <c r="A704" s="42" t="str">
        <f>+IFERROR(IF(GUAYAQUIL[[#This Row],[CODIGO]]="","",VLOOKUP(GUAYAQUIL[[#This Row],[CODIGO]],MAESTRO!$A:$J,10,FALSE)),"")</f>
        <v>SAN GABRIEL</v>
      </c>
      <c r="B704" s="42" t="str">
        <f>+IFERROR(IF(GUAYAQUIL[[#This Row],[CODIGO]]="","",VLOOKUP(GUAYAQUIL[[#This Row],[CODIGO]],MAESTRO!$A:$Q,17,FALSE)),"")</f>
        <v>QUESOS Y GRASAS</v>
      </c>
      <c r="C704" s="42" t="str">
        <f>+IFERROR(IF(GUAYAQUIL[[#This Row],[CODIGO]]="","",VLOOKUP(GUAYAQUIL[[#This Row],[CODIGO]],MAESTRO!$A:$BA,53,FALSE)),"")</f>
        <v xml:space="preserve">Esteban Montenegro                      </v>
      </c>
      <c r="D704" s="42" t="str">
        <f>+IFERROR(IF(GUAYAQUIL[[#This Row],[CODIGO]]="","",VLOOKUP(GUAYAQUIL[[#This Row],[CODIGO]],MAESTRO!$A:$D,4,FALSE)),"")</f>
        <v>QUESO FRESCO KIOSKO</v>
      </c>
      <c r="E704" s="42" t="str">
        <f>+IFERROR(IF(GUAYAQUIL[[#This Row],[CODIGO]]="","",VLOOKUP(GUAYAQUIL[[#This Row],[CODIGO]],MAESTRO!$A:$F,6,FALSE)),"")</f>
        <v>QUESO FRESCO KIOSKO BLOQUE</v>
      </c>
      <c r="F704" s="42" t="str">
        <f>IF(GUAYAQUIL[[#This Row],[CODIGO]]="","",$K$6)</f>
        <v>GUAYAQUIL</v>
      </c>
      <c r="G704" s="1">
        <f>IF(GUAYAQUIL[[#This Row],[CODIGO]]="","",7711)</f>
        <v>7711</v>
      </c>
      <c r="H704" s="1">
        <f>IF(GUAYAQUIL[[#This Row],[CODIGO]]="","",1001)</f>
        <v>1001</v>
      </c>
      <c r="I704" s="258" t="s">
        <v>3903</v>
      </c>
      <c r="J704" s="43" t="str">
        <f>IFERROR((VLOOKUP(GUAYAQUIL[[#This Row],[CODIGO]],MAESTRO!A:B,2,FALSE)),"")</f>
        <v>Q FRES KIOSKO BLOQ 450G</v>
      </c>
      <c r="K704" s="35">
        <v>270</v>
      </c>
      <c r="L704" s="205">
        <f>+IFERROR(IF(GUAYAQUIL[[#This Row],[CODIGO]]="","",VLOOKUP(GUAYAQUIL[[#This Row],[CODIGO]],MAESTRO!$A:$BF,58,FALSE)),"")</f>
        <v>1</v>
      </c>
      <c r="M704" s="27">
        <f>+IFERROR(IF(GUAYAQUIL[[#This Row],[CODIGO]]="","",VLOOKUP(GUAYAQUIL[[#This Row],[CODIGO]],MAESTRO!A:N,14,FALSE)),"")</f>
        <v>0.45</v>
      </c>
      <c r="N704" s="206">
        <f>+IFERROR(IF(GUAYAQUIL[[#This Row],[CODIGO]]="","",VLOOKUP(GUAYAQUIL[[#This Row],[CODIGO]],MAESTRO!A:P,16,FALSE)),"")</f>
        <v>40</v>
      </c>
      <c r="O704" s="303">
        <v>45615</v>
      </c>
      <c r="P704" s="99" t="str">
        <f t="shared" si="57"/>
        <v>martes</v>
      </c>
      <c r="Q704" s="304">
        <f>IFERROR(IF(GUAYAQUIL[[#This Row],[CODIGO]]="","",IF(GUAYAQUIL[[#This Row],[Fecha Cad]]="","",(GUAYAQUIL[[#This Row],[Fecha Cad]]-GUAYAQUIL[[#This Row],[VIDA UTIL (Días)]]))+1),"")</f>
        <v>45615</v>
      </c>
      <c r="R704" s="303">
        <v>45654</v>
      </c>
      <c r="S704" s="30">
        <f t="shared" ca="1" si="56"/>
        <v>30</v>
      </c>
      <c r="T704" s="279">
        <f t="shared" ca="1" si="58"/>
        <v>0.75</v>
      </c>
      <c r="U704" s="288">
        <v>103</v>
      </c>
      <c r="V704" s="265">
        <f>+IFERROR(IF(GUAYAQUIL[[#This Row],[CODIGO]]="","",GUAYAQUIL[[#This Row],[Stock Actual Unds]]*GUAYAQUIL[[#This Row],[Gramaje]]*GUAYAQUIL[[#This Row],[Conversión]]),"")</f>
        <v>46.35</v>
      </c>
      <c r="W704" s="280">
        <f t="shared" si="59"/>
        <v>0</v>
      </c>
      <c r="X704" s="44">
        <f t="shared" si="60"/>
        <v>1</v>
      </c>
      <c r="Y704" s="236">
        <f>IFERROR(VLOOKUP(GUAYAQUIL[[#This Row],[CODIGO]],MAESTRO!A:BI,21,FALSE),0)</f>
        <v>2.1672899999999999</v>
      </c>
      <c r="Z704" s="236">
        <f>+IFERROR(IF(GUAYAQUIL[[#This Row],[CODIGO]]="","",GUAYAQUIL[[#This Row],[COSTO UNIT base]]*GUAYAQUIL[[#This Row],[Conversión]]),"")</f>
        <v>2.1672899999999999</v>
      </c>
      <c r="AA704" s="236">
        <f>+IFERROR(IF(GUAYAQUIL[[#This Row],[CODIGO]]="","",GUAYAQUIL[[#This Row],[COSTO UNIT Conv]]*GUAYAQUIL[[#This Row],[Stock Actual Kgs]]),"")</f>
        <v>100.4538915</v>
      </c>
      <c r="AB704" s="180">
        <f ca="1">+IFERROR(IF(GUAYAQUIL[[#This Row],[CODIGO]]="","",$J$3-O704),"")</f>
        <v>9</v>
      </c>
      <c r="AC704" s="35" t="str">
        <f ca="1">IF(GUAYAQUIL[[#This Row],[CODIGO]]="","",IF(S704&lt;=0,"CADUCADO",IF(AND(S704&gt;0,S704&lt;=21),"FECHA CORTA",IF(AND(S704&gt;=22,S704&lt;=26),"PROXIMOS FECHA CORTA", "VIGENTE"))))</f>
        <v>VIGENTE</v>
      </c>
      <c r="AD704" s="289">
        <f>+IF(GUAYAQUIL[[#This Row],[CODIGO]]="","",GUAYAQUIL[[#This Row],[Stock Actual Unds]]*GUAYAQUIL[[#This Row],[Gramaje]]*GUAYAQUIL[[#This Row],[Conversión]])/1000</f>
        <v>4.6350000000000002E-2</v>
      </c>
    </row>
    <row r="705" spans="1:30">
      <c r="A705" s="42" t="str">
        <f>+IFERROR(IF(GUAYAQUIL[[#This Row],[CODIGO]]="","",VLOOKUP(GUAYAQUIL[[#This Row],[CODIGO]],MAESTRO!$A:$J,10,FALSE)),"")</f>
        <v>SAN GABRIEL</v>
      </c>
      <c r="B705" s="42" t="str">
        <f>+IFERROR(IF(GUAYAQUIL[[#This Row],[CODIGO]]="","",VLOOKUP(GUAYAQUIL[[#This Row],[CODIGO]],MAESTRO!$A:$Q,17,FALSE)),"")</f>
        <v>QUESOS Y GRASAS</v>
      </c>
      <c r="C705" s="42" t="str">
        <f>+IFERROR(IF(GUAYAQUIL[[#This Row],[CODIGO]]="","",VLOOKUP(GUAYAQUIL[[#This Row],[CODIGO]],MAESTRO!$A:$BA,53,FALSE)),"")</f>
        <v xml:space="preserve">Esteban Montenegro                      </v>
      </c>
      <c r="D705" s="42" t="str">
        <f>+IFERROR(IF(GUAYAQUIL[[#This Row],[CODIGO]]="","",VLOOKUP(GUAYAQUIL[[#This Row],[CODIGO]],MAESTRO!$A:$D,4,FALSE)),"")</f>
        <v>QUESO FRESCO KIOSKO</v>
      </c>
      <c r="E705" s="42" t="str">
        <f>+IFERROR(IF(GUAYAQUIL[[#This Row],[CODIGO]]="","",VLOOKUP(GUAYAQUIL[[#This Row],[CODIGO]],MAESTRO!$A:$F,6,FALSE)),"")</f>
        <v>QUESO FRESCO KIOSKO BLOQUE</v>
      </c>
      <c r="F705" s="42" t="str">
        <f>IF(GUAYAQUIL[[#This Row],[CODIGO]]="","",$K$6)</f>
        <v>GUAYAQUIL</v>
      </c>
      <c r="G705" s="1">
        <f>IF(GUAYAQUIL[[#This Row],[CODIGO]]="","",7711)</f>
        <v>7711</v>
      </c>
      <c r="H705" s="1">
        <f>IF(GUAYAQUIL[[#This Row],[CODIGO]]="","",1001)</f>
        <v>1001</v>
      </c>
      <c r="I705" s="258" t="s">
        <v>3903</v>
      </c>
      <c r="J705" s="43" t="str">
        <f>IFERROR((VLOOKUP(GUAYAQUIL[[#This Row],[CODIGO]],MAESTRO!A:B,2,FALSE)),"")</f>
        <v>Q FRES KIOSKO BLOQ 450G</v>
      </c>
      <c r="K705" s="35">
        <v>45</v>
      </c>
      <c r="L705" s="205">
        <f>+IFERROR(IF(GUAYAQUIL[[#This Row],[CODIGO]]="","",VLOOKUP(GUAYAQUIL[[#This Row],[CODIGO]],MAESTRO!$A:$BF,58,FALSE)),"")</f>
        <v>1</v>
      </c>
      <c r="M705" s="27">
        <f>+IFERROR(IF(GUAYAQUIL[[#This Row],[CODIGO]]="","",VLOOKUP(GUAYAQUIL[[#This Row],[CODIGO]],MAESTRO!A:N,14,FALSE)),"")</f>
        <v>0.45</v>
      </c>
      <c r="N705" s="206">
        <f>+IFERROR(IF(GUAYAQUIL[[#This Row],[CODIGO]]="","",VLOOKUP(GUAYAQUIL[[#This Row],[CODIGO]],MAESTRO!A:P,16,FALSE)),"")</f>
        <v>40</v>
      </c>
      <c r="O705" s="303">
        <v>45616</v>
      </c>
      <c r="P705" s="99" t="str">
        <f t="shared" si="57"/>
        <v>miércoles</v>
      </c>
      <c r="Q705" s="304">
        <f>IFERROR(IF(GUAYAQUIL[[#This Row],[CODIGO]]="","",IF(GUAYAQUIL[[#This Row],[Fecha Cad]]="","",(GUAYAQUIL[[#This Row],[Fecha Cad]]-GUAYAQUIL[[#This Row],[VIDA UTIL (Días)]]))+1),"")</f>
        <v>45615</v>
      </c>
      <c r="R705" s="303">
        <v>45654</v>
      </c>
      <c r="S705" s="30">
        <f t="shared" ca="1" si="56"/>
        <v>30</v>
      </c>
      <c r="T705" s="279">
        <f t="shared" ca="1" si="58"/>
        <v>0.75</v>
      </c>
      <c r="U705" s="288">
        <v>45</v>
      </c>
      <c r="V705" s="265">
        <f>+IFERROR(IF(GUAYAQUIL[[#This Row],[CODIGO]]="","",GUAYAQUIL[[#This Row],[Stock Actual Unds]]*GUAYAQUIL[[#This Row],[Gramaje]]*GUAYAQUIL[[#This Row],[Conversión]]),"")</f>
        <v>20.25</v>
      </c>
      <c r="W705" s="280">
        <f t="shared" si="59"/>
        <v>1</v>
      </c>
      <c r="X705" s="44">
        <f t="shared" si="60"/>
        <v>0.97499999999999998</v>
      </c>
      <c r="Y705" s="236">
        <f>IFERROR(VLOOKUP(GUAYAQUIL[[#This Row],[CODIGO]],MAESTRO!A:BI,21,FALSE),0)</f>
        <v>2.1672899999999999</v>
      </c>
      <c r="Z705" s="236">
        <f>+IFERROR(IF(GUAYAQUIL[[#This Row],[CODIGO]]="","",GUAYAQUIL[[#This Row],[COSTO UNIT base]]*GUAYAQUIL[[#This Row],[Conversión]]),"")</f>
        <v>2.1672899999999999</v>
      </c>
      <c r="AA705" s="236">
        <f>+IFERROR(IF(GUAYAQUIL[[#This Row],[CODIGO]]="","",GUAYAQUIL[[#This Row],[COSTO UNIT Conv]]*GUAYAQUIL[[#This Row],[Stock Actual Kgs]]),"")</f>
        <v>43.887622499999999</v>
      </c>
      <c r="AB705" s="180">
        <f ca="1">+IFERROR(IF(GUAYAQUIL[[#This Row],[CODIGO]]="","",$J$3-O705),"")</f>
        <v>8</v>
      </c>
      <c r="AC705" s="35" t="str">
        <f ca="1">IF(GUAYAQUIL[[#This Row],[CODIGO]]="","",IF(S705&lt;=0,"CADUCADO",IF(AND(S705&gt;0,S705&lt;=21),"FECHA CORTA",IF(AND(S705&gt;=22,S705&lt;=26),"PROXIMOS FECHA CORTA", "VIGENTE"))))</f>
        <v>VIGENTE</v>
      </c>
      <c r="AD705" s="289">
        <f>+IF(GUAYAQUIL[[#This Row],[CODIGO]]="","",GUAYAQUIL[[#This Row],[Stock Actual Unds]]*GUAYAQUIL[[#This Row],[Gramaje]]*GUAYAQUIL[[#This Row],[Conversión]])/1000</f>
        <v>2.0250000000000001E-2</v>
      </c>
    </row>
    <row r="706" spans="1:30">
      <c r="A706" s="42" t="str">
        <f>+IFERROR(IF(GUAYAQUIL[[#This Row],[CODIGO]]="","",VLOOKUP(GUAYAQUIL[[#This Row],[CODIGO]],MAESTRO!$A:$J,10,FALSE)),"")</f>
        <v>SAN GABRIEL</v>
      </c>
      <c r="B706" s="42" t="str">
        <f>+IFERROR(IF(GUAYAQUIL[[#This Row],[CODIGO]]="","",VLOOKUP(GUAYAQUIL[[#This Row],[CODIGO]],MAESTRO!$A:$Q,17,FALSE)),"")</f>
        <v>QUESOS Y GRASAS</v>
      </c>
      <c r="C706" s="42" t="str">
        <f>+IFERROR(IF(GUAYAQUIL[[#This Row],[CODIGO]]="","",VLOOKUP(GUAYAQUIL[[#This Row],[CODIGO]],MAESTRO!$A:$BA,53,FALSE)),"")</f>
        <v xml:space="preserve">Esteban Montenegro                      </v>
      </c>
      <c r="D706" s="42" t="str">
        <f>+IFERROR(IF(GUAYAQUIL[[#This Row],[CODIGO]]="","",VLOOKUP(GUAYAQUIL[[#This Row],[CODIGO]],MAESTRO!$A:$D,4,FALSE)),"")</f>
        <v>QUESO FRESCO KIOSKO</v>
      </c>
      <c r="E706" s="42" t="str">
        <f>+IFERROR(IF(GUAYAQUIL[[#This Row],[CODIGO]]="","",VLOOKUP(GUAYAQUIL[[#This Row],[CODIGO]],MAESTRO!$A:$F,6,FALSE)),"")</f>
        <v>QUESO FRESCO KIOSKO BLOQUE</v>
      </c>
      <c r="F706" s="42" t="str">
        <f>IF(GUAYAQUIL[[#This Row],[CODIGO]]="","",$K$6)</f>
        <v>GUAYAQUIL</v>
      </c>
      <c r="G706" s="1">
        <f>IF(GUAYAQUIL[[#This Row],[CODIGO]]="","",7711)</f>
        <v>7711</v>
      </c>
      <c r="H706" s="1">
        <f>IF(GUAYAQUIL[[#This Row],[CODIGO]]="","",1001)</f>
        <v>1001</v>
      </c>
      <c r="I706" s="258" t="s">
        <v>3903</v>
      </c>
      <c r="J706" s="43" t="str">
        <f>IFERROR((VLOOKUP(GUAYAQUIL[[#This Row],[CODIGO]],MAESTRO!A:B,2,FALSE)),"")</f>
        <v>Q FRES KIOSKO BLOQ 450G</v>
      </c>
      <c r="K706" s="35">
        <v>270</v>
      </c>
      <c r="L706" s="205">
        <f>+IFERROR(IF(GUAYAQUIL[[#This Row],[CODIGO]]="","",VLOOKUP(GUAYAQUIL[[#This Row],[CODIGO]],MAESTRO!$A:$BF,58,FALSE)),"")</f>
        <v>1</v>
      </c>
      <c r="M706" s="27">
        <f>+IFERROR(IF(GUAYAQUIL[[#This Row],[CODIGO]]="","",VLOOKUP(GUAYAQUIL[[#This Row],[CODIGO]],MAESTRO!A:N,14,FALSE)),"")</f>
        <v>0.45</v>
      </c>
      <c r="N706" s="206">
        <f>+IFERROR(IF(GUAYAQUIL[[#This Row],[CODIGO]]="","",VLOOKUP(GUAYAQUIL[[#This Row],[CODIGO]],MAESTRO!A:P,16,FALSE)),"")</f>
        <v>40</v>
      </c>
      <c r="O706" s="303">
        <v>45617</v>
      </c>
      <c r="P706" s="99" t="str">
        <f t="shared" si="57"/>
        <v>jueves</v>
      </c>
      <c r="Q706" s="304">
        <f>IFERROR(IF(GUAYAQUIL[[#This Row],[CODIGO]]="","",IF(GUAYAQUIL[[#This Row],[Fecha Cad]]="","",(GUAYAQUIL[[#This Row],[Fecha Cad]]-GUAYAQUIL[[#This Row],[VIDA UTIL (Días)]]))+1),"")</f>
        <v>45615</v>
      </c>
      <c r="R706" s="303">
        <v>45654</v>
      </c>
      <c r="S706" s="30">
        <f t="shared" ca="1" si="56"/>
        <v>30</v>
      </c>
      <c r="T706" s="279">
        <f t="shared" ca="1" si="58"/>
        <v>0.75</v>
      </c>
      <c r="U706" s="288">
        <v>270</v>
      </c>
      <c r="V706" s="265">
        <f>+IFERROR(IF(GUAYAQUIL[[#This Row],[CODIGO]]="","",GUAYAQUIL[[#This Row],[Stock Actual Unds]]*GUAYAQUIL[[#This Row],[Gramaje]]*GUAYAQUIL[[#This Row],[Conversión]]),"")</f>
        <v>121.5</v>
      </c>
      <c r="W706" s="280">
        <f t="shared" si="59"/>
        <v>2</v>
      </c>
      <c r="X706" s="44">
        <f t="shared" si="60"/>
        <v>0.95</v>
      </c>
      <c r="Y706" s="236">
        <f>IFERROR(VLOOKUP(GUAYAQUIL[[#This Row],[CODIGO]],MAESTRO!A:BI,21,FALSE),0)</f>
        <v>2.1672899999999999</v>
      </c>
      <c r="Z706" s="236">
        <f>+IFERROR(IF(GUAYAQUIL[[#This Row],[CODIGO]]="","",GUAYAQUIL[[#This Row],[COSTO UNIT base]]*GUAYAQUIL[[#This Row],[Conversión]]),"")</f>
        <v>2.1672899999999999</v>
      </c>
      <c r="AA706" s="236">
        <f>+IFERROR(IF(GUAYAQUIL[[#This Row],[CODIGO]]="","",GUAYAQUIL[[#This Row],[COSTO UNIT Conv]]*GUAYAQUIL[[#This Row],[Stock Actual Kgs]]),"")</f>
        <v>263.32573500000001</v>
      </c>
      <c r="AB706" s="180">
        <f ca="1">+IFERROR(IF(GUAYAQUIL[[#This Row],[CODIGO]]="","",$J$3-O706),"")</f>
        <v>7</v>
      </c>
      <c r="AC706" s="35" t="str">
        <f ca="1">IF(GUAYAQUIL[[#This Row],[CODIGO]]="","",IF(S706&lt;=0,"CADUCADO",IF(AND(S706&gt;0,S706&lt;=21),"FECHA CORTA",IF(AND(S706&gt;=22,S706&lt;=26),"PROXIMOS FECHA CORTA", "VIGENTE"))))</f>
        <v>VIGENTE</v>
      </c>
      <c r="AD706" s="289">
        <f>+IF(GUAYAQUIL[[#This Row],[CODIGO]]="","",GUAYAQUIL[[#This Row],[Stock Actual Unds]]*GUAYAQUIL[[#This Row],[Gramaje]]*GUAYAQUIL[[#This Row],[Conversión]])/1000</f>
        <v>0.1215</v>
      </c>
    </row>
    <row r="707" spans="1:30">
      <c r="A707" s="42" t="str">
        <f>+IFERROR(IF(GUAYAQUIL[[#This Row],[CODIGO]]="","",VLOOKUP(GUAYAQUIL[[#This Row],[CODIGO]],MAESTRO!$A:$J,10,FALSE)),"")</f>
        <v>SAN GABRIEL</v>
      </c>
      <c r="B707" s="42" t="str">
        <f>+IFERROR(IF(GUAYAQUIL[[#This Row],[CODIGO]]="","",VLOOKUP(GUAYAQUIL[[#This Row],[CODIGO]],MAESTRO!$A:$Q,17,FALSE)),"")</f>
        <v>QUESOS Y GRASAS</v>
      </c>
      <c r="C707" s="42" t="str">
        <f>+IFERROR(IF(GUAYAQUIL[[#This Row],[CODIGO]]="","",VLOOKUP(GUAYAQUIL[[#This Row],[CODIGO]],MAESTRO!$A:$BA,53,FALSE)),"")</f>
        <v xml:space="preserve">Esteban Montenegro                      </v>
      </c>
      <c r="D707" s="42" t="str">
        <f>+IFERROR(IF(GUAYAQUIL[[#This Row],[CODIGO]]="","",VLOOKUP(GUAYAQUIL[[#This Row],[CODIGO]],MAESTRO!$A:$D,4,FALSE)),"")</f>
        <v>QUESO SEMIMADURO KIOSKO</v>
      </c>
      <c r="E707" s="42" t="str">
        <f>+IFERROR(IF(GUAYAQUIL[[#This Row],[CODIGO]]="","",VLOOKUP(GUAYAQUIL[[#This Row],[CODIGO]],MAESTRO!$A:$F,6,FALSE)),"")</f>
        <v>QUESO SEMIMADURO KIOSKO MIX CUBOS</v>
      </c>
      <c r="F707" s="42" t="str">
        <f>IF(GUAYAQUIL[[#This Row],[CODIGO]]="","",$K$6)</f>
        <v>GUAYAQUIL</v>
      </c>
      <c r="G707" s="1">
        <f>IF(GUAYAQUIL[[#This Row],[CODIGO]]="","",7711)</f>
        <v>7711</v>
      </c>
      <c r="H707" s="1">
        <f>IF(GUAYAQUIL[[#This Row],[CODIGO]]="","",1001)</f>
        <v>1001</v>
      </c>
      <c r="I707" s="258" t="s">
        <v>2861</v>
      </c>
      <c r="J707" s="43" t="str">
        <f>IFERROR((VLOOKUP(GUAYAQUIL[[#This Row],[CODIGO]],MAESTRO!A:B,2,FALSE)),"")</f>
        <v>Q MIX GOURMET KIOSKO CUBO BOL 150G</v>
      </c>
      <c r="K707" s="35">
        <v>370</v>
      </c>
      <c r="L707" s="205">
        <f>+IFERROR(IF(GUAYAQUIL[[#This Row],[CODIGO]]="","",VLOOKUP(GUAYAQUIL[[#This Row],[CODIGO]],MAESTRO!$A:$BF,58,FALSE)),"")</f>
        <v>1</v>
      </c>
      <c r="M707" s="27">
        <f>+IFERROR(IF(GUAYAQUIL[[#This Row],[CODIGO]]="","",VLOOKUP(GUAYAQUIL[[#This Row],[CODIGO]],MAESTRO!A:N,14,FALSE)),"")</f>
        <v>0.15</v>
      </c>
      <c r="N707" s="206">
        <f>+IFERROR(IF(GUAYAQUIL[[#This Row],[CODIGO]]="","",VLOOKUP(GUAYAQUIL[[#This Row],[CODIGO]],MAESTRO!A:P,16,FALSE)),"")</f>
        <v>60</v>
      </c>
      <c r="O707" s="303">
        <v>45595</v>
      </c>
      <c r="P707" s="99" t="str">
        <f t="shared" si="57"/>
        <v>miércoles</v>
      </c>
      <c r="Q707" s="304">
        <f>IFERROR(IF(GUAYAQUIL[[#This Row],[CODIGO]]="","",IF(GUAYAQUIL[[#This Row],[Fecha Cad]]="","",(GUAYAQUIL[[#This Row],[Fecha Cad]]-GUAYAQUIL[[#This Row],[VIDA UTIL (Días)]]))+1),"")</f>
        <v>45576</v>
      </c>
      <c r="R707" s="303">
        <v>45635</v>
      </c>
      <c r="S707" s="30">
        <f t="shared" ca="1" si="56"/>
        <v>11</v>
      </c>
      <c r="T707" s="279">
        <f t="shared" ca="1" si="58"/>
        <v>0.18333333333333332</v>
      </c>
      <c r="U707" s="288">
        <v>287</v>
      </c>
      <c r="V707" s="265">
        <f>+IFERROR(IF(GUAYAQUIL[[#This Row],[CODIGO]]="","",GUAYAQUIL[[#This Row],[Stock Actual Unds]]*GUAYAQUIL[[#This Row],[Gramaje]]*GUAYAQUIL[[#This Row],[Conversión]]),"")</f>
        <v>43.05</v>
      </c>
      <c r="W707" s="280">
        <f t="shared" si="59"/>
        <v>19</v>
      </c>
      <c r="X707" s="44">
        <f t="shared" si="60"/>
        <v>0.68333333333333335</v>
      </c>
      <c r="Y707" s="236">
        <f>IFERROR(VLOOKUP(GUAYAQUIL[[#This Row],[CODIGO]],MAESTRO!A:BI,21,FALSE),0)</f>
        <v>2.68</v>
      </c>
      <c r="Z707" s="236">
        <f>+IFERROR(IF(GUAYAQUIL[[#This Row],[CODIGO]]="","",GUAYAQUIL[[#This Row],[COSTO UNIT base]]*GUAYAQUIL[[#This Row],[Conversión]]),"")</f>
        <v>2.68</v>
      </c>
      <c r="AA707" s="236">
        <f>+IFERROR(IF(GUAYAQUIL[[#This Row],[CODIGO]]="","",GUAYAQUIL[[#This Row],[COSTO UNIT Conv]]*GUAYAQUIL[[#This Row],[Stock Actual Kgs]]),"")</f>
        <v>115.374</v>
      </c>
      <c r="AB707" s="180">
        <f ca="1">+IFERROR(IF(GUAYAQUIL[[#This Row],[CODIGO]]="","",$J$3-O707),"")</f>
        <v>29</v>
      </c>
      <c r="AC707" s="35" t="str">
        <f ca="1">IF(GUAYAQUIL[[#This Row],[CODIGO]]="","",IF(S707&lt;=0,"CADUCADO",IF(AND(S707&gt;0,S707&lt;=21),"FECHA CORTA",IF(AND(S707&gt;=22,S707&lt;=26),"PROXIMOS FECHA CORTA", "VIGENTE"))))</f>
        <v>FECHA CORTA</v>
      </c>
      <c r="AD707" s="289">
        <f>+IF(GUAYAQUIL[[#This Row],[CODIGO]]="","",GUAYAQUIL[[#This Row],[Stock Actual Unds]]*GUAYAQUIL[[#This Row],[Gramaje]]*GUAYAQUIL[[#This Row],[Conversión]])/1000</f>
        <v>4.3049999999999998E-2</v>
      </c>
    </row>
    <row r="708" spans="1:30">
      <c r="A708" s="42" t="str">
        <f>+IFERROR(IF(GUAYAQUIL[[#This Row],[CODIGO]]="","",VLOOKUP(GUAYAQUIL[[#This Row],[CODIGO]],MAESTRO!$A:$J,10,FALSE)),"")</f>
        <v>SAN GABRIEL</v>
      </c>
      <c r="B708" s="42" t="str">
        <f>+IFERROR(IF(GUAYAQUIL[[#This Row],[CODIGO]]="","",VLOOKUP(GUAYAQUIL[[#This Row],[CODIGO]],MAESTRO!$A:$Q,17,FALSE)),"")</f>
        <v>QUESOS Y GRASAS</v>
      </c>
      <c r="C708" s="42" t="str">
        <f>+IFERROR(IF(GUAYAQUIL[[#This Row],[CODIGO]]="","",VLOOKUP(GUAYAQUIL[[#This Row],[CODIGO]],MAESTRO!$A:$BA,53,FALSE)),"")</f>
        <v xml:space="preserve">Esteban Montenegro                      </v>
      </c>
      <c r="D708" s="42" t="str">
        <f>+IFERROR(IF(GUAYAQUIL[[#This Row],[CODIGO]]="","",VLOOKUP(GUAYAQUIL[[#This Row],[CODIGO]],MAESTRO!$A:$D,4,FALSE)),"")</f>
        <v>QUESO SEMIMADURO KIOSKO</v>
      </c>
      <c r="E708" s="42" t="str">
        <f>+IFERROR(IF(GUAYAQUIL[[#This Row],[CODIGO]]="","",VLOOKUP(GUAYAQUIL[[#This Row],[CODIGO]],MAESTRO!$A:$F,6,FALSE)),"")</f>
        <v>QUESO SEMIMADURO KIOSKO MIX CUBOS</v>
      </c>
      <c r="F708" s="42" t="str">
        <f>IF(GUAYAQUIL[[#This Row],[CODIGO]]="","",$K$6)</f>
        <v>GUAYAQUIL</v>
      </c>
      <c r="G708" s="1">
        <f>IF(GUAYAQUIL[[#This Row],[CODIGO]]="","",7711)</f>
        <v>7711</v>
      </c>
      <c r="H708" s="1">
        <f>IF(GUAYAQUIL[[#This Row],[CODIGO]]="","",1001)</f>
        <v>1001</v>
      </c>
      <c r="I708" s="258" t="s">
        <v>2861</v>
      </c>
      <c r="J708" s="43" t="str">
        <f>IFERROR((VLOOKUP(GUAYAQUIL[[#This Row],[CODIGO]],MAESTRO!A:B,2,FALSE)),"")</f>
        <v>Q MIX GOURMET KIOSKO CUBO BOL 150G</v>
      </c>
      <c r="K708" s="35">
        <v>300</v>
      </c>
      <c r="L708" s="205">
        <f>+IFERROR(IF(GUAYAQUIL[[#This Row],[CODIGO]]="","",VLOOKUP(GUAYAQUIL[[#This Row],[CODIGO]],MAESTRO!$A:$BF,58,FALSE)),"")</f>
        <v>1</v>
      </c>
      <c r="M708" s="27">
        <f>+IFERROR(IF(GUAYAQUIL[[#This Row],[CODIGO]]="","",VLOOKUP(GUAYAQUIL[[#This Row],[CODIGO]],MAESTRO!A:N,14,FALSE)),"")</f>
        <v>0.15</v>
      </c>
      <c r="N708" s="206">
        <f>+IFERROR(IF(GUAYAQUIL[[#This Row],[CODIGO]]="","",VLOOKUP(GUAYAQUIL[[#This Row],[CODIGO]],MAESTRO!A:P,16,FALSE)),"")</f>
        <v>60</v>
      </c>
      <c r="O708" s="303">
        <v>45615</v>
      </c>
      <c r="P708" s="99" t="str">
        <f t="shared" si="57"/>
        <v>martes</v>
      </c>
      <c r="Q708" s="304">
        <f>IFERROR(IF(GUAYAQUIL[[#This Row],[CODIGO]]="","",IF(GUAYAQUIL[[#This Row],[Fecha Cad]]="","",(GUAYAQUIL[[#This Row],[Fecha Cad]]-GUAYAQUIL[[#This Row],[VIDA UTIL (Días)]]))+1),"")</f>
        <v>45611</v>
      </c>
      <c r="R708" s="303">
        <v>45670</v>
      </c>
      <c r="S708" s="30">
        <f t="shared" ca="1" si="56"/>
        <v>46</v>
      </c>
      <c r="T708" s="279">
        <f t="shared" ca="1" si="58"/>
        <v>0.76666666666666672</v>
      </c>
      <c r="U708" s="288">
        <v>29</v>
      </c>
      <c r="V708" s="265">
        <f>+IFERROR(IF(GUAYAQUIL[[#This Row],[CODIGO]]="","",GUAYAQUIL[[#This Row],[Stock Actual Unds]]*GUAYAQUIL[[#This Row],[Gramaje]]*GUAYAQUIL[[#This Row],[Conversión]]),"")</f>
        <v>4.3499999999999996</v>
      </c>
      <c r="W708" s="280">
        <f t="shared" si="59"/>
        <v>4</v>
      </c>
      <c r="X708" s="44">
        <f t="shared" si="60"/>
        <v>0.93333333333333335</v>
      </c>
      <c r="Y708" s="236">
        <f>IFERROR(VLOOKUP(GUAYAQUIL[[#This Row],[CODIGO]],MAESTRO!A:BI,21,FALSE),0)</f>
        <v>2.68</v>
      </c>
      <c r="Z708" s="236">
        <f>+IFERROR(IF(GUAYAQUIL[[#This Row],[CODIGO]]="","",GUAYAQUIL[[#This Row],[COSTO UNIT base]]*GUAYAQUIL[[#This Row],[Conversión]]),"")</f>
        <v>2.68</v>
      </c>
      <c r="AA708" s="236">
        <f>+IFERROR(IF(GUAYAQUIL[[#This Row],[CODIGO]]="","",GUAYAQUIL[[#This Row],[COSTO UNIT Conv]]*GUAYAQUIL[[#This Row],[Stock Actual Kgs]]),"")</f>
        <v>11.657999999999999</v>
      </c>
      <c r="AB708" s="180">
        <f ca="1">+IFERROR(IF(GUAYAQUIL[[#This Row],[CODIGO]]="","",$J$3-O708),"")</f>
        <v>9</v>
      </c>
      <c r="AC708" s="35" t="str">
        <f ca="1">IF(GUAYAQUIL[[#This Row],[CODIGO]]="","",IF(S708&lt;=0,"CADUCADO",IF(AND(S708&gt;0,S708&lt;=21),"FECHA CORTA",IF(AND(S708&gt;=22,S708&lt;=26),"PROXIMOS FECHA CORTA", "VIGENTE"))))</f>
        <v>VIGENTE</v>
      </c>
      <c r="AD708" s="289">
        <f>+IF(GUAYAQUIL[[#This Row],[CODIGO]]="","",GUAYAQUIL[[#This Row],[Stock Actual Unds]]*GUAYAQUIL[[#This Row],[Gramaje]]*GUAYAQUIL[[#This Row],[Conversión]])/1000</f>
        <v>4.3499999999999997E-3</v>
      </c>
    </row>
    <row r="709" spans="1:30">
      <c r="A709" s="42" t="str">
        <f>+IFERROR(IF(GUAYAQUIL[[#This Row],[CODIGO]]="","",VLOOKUP(GUAYAQUIL[[#This Row],[CODIGO]],MAESTRO!$A:$J,10,FALSE)),"")</f>
        <v>MACHACHI</v>
      </c>
      <c r="B709" s="42" t="str">
        <f>+IFERROR(IF(GUAYAQUIL[[#This Row],[CODIGO]]="","",VLOOKUP(GUAYAQUIL[[#This Row],[CODIGO]],MAESTRO!$A:$Q,17,FALSE)),"")</f>
        <v>BEBIDAS LACTEAS</v>
      </c>
      <c r="C709" s="42" t="str">
        <f>+IFERROR(IF(GUAYAQUIL[[#This Row],[CODIGO]]="","",VLOOKUP(GUAYAQUIL[[#This Row],[CODIGO]],MAESTRO!$A:$BA,53,FALSE)),"")</f>
        <v xml:space="preserve">Luis Armendariz                         </v>
      </c>
      <c r="D709" s="42" t="str">
        <f>+IFERROR(IF(GUAYAQUIL[[#This Row],[CODIGO]]="","",VLOOKUP(GUAYAQUIL[[#This Row],[CODIGO]],MAESTRO!$A:$D,4,FALSE)),"")</f>
        <v>YOGURT KIOSKO</v>
      </c>
      <c r="E709" s="42" t="str">
        <f>+IFERROR(IF(GUAYAQUIL[[#This Row],[CODIGO]]="","",VLOOKUP(GUAYAQUIL[[#This Row],[CODIGO]],MAESTRO!$A:$F,6,FALSE)),"")</f>
        <v>BEBIDA DE YOGURT KIOSKO GALONERA</v>
      </c>
      <c r="F709" s="42" t="str">
        <f>IF(GUAYAQUIL[[#This Row],[CODIGO]]="","",$K$6)</f>
        <v>GUAYAQUIL</v>
      </c>
      <c r="G709" s="1">
        <f>IF(GUAYAQUIL[[#This Row],[CODIGO]]="","",7711)</f>
        <v>7711</v>
      </c>
      <c r="H709" s="1">
        <f>IF(GUAYAQUIL[[#This Row],[CODIGO]]="","",1001)</f>
        <v>1001</v>
      </c>
      <c r="I709" s="258" t="s">
        <v>3553</v>
      </c>
      <c r="J709" s="43" t="str">
        <f>IFERROR((VLOOKUP(GUAYAQUIL[[#This Row],[CODIGO]],MAESTRO!A:B,2,FALSE)),"")</f>
        <v>YOG BBLE KIOSKO MOR BOT 3.5KG</v>
      </c>
      <c r="K709" s="35">
        <v>56</v>
      </c>
      <c r="L709" s="205">
        <f>+IFERROR(IF(GUAYAQUIL[[#This Row],[CODIGO]]="","",VLOOKUP(GUAYAQUIL[[#This Row],[CODIGO]],MAESTRO!$A:$BF,58,FALSE)),"")</f>
        <v>1</v>
      </c>
      <c r="M709" s="27">
        <f>+IFERROR(IF(GUAYAQUIL[[#This Row],[CODIGO]]="","",VLOOKUP(GUAYAQUIL[[#This Row],[CODIGO]],MAESTRO!A:N,14,FALSE)),"")</f>
        <v>3.5</v>
      </c>
      <c r="N709" s="206">
        <f>+IFERROR(IF(GUAYAQUIL[[#This Row],[CODIGO]]="","",VLOOKUP(GUAYAQUIL[[#This Row],[CODIGO]],MAESTRO!A:P,16,FALSE)),"")</f>
        <v>45</v>
      </c>
      <c r="O709" s="303">
        <v>45612</v>
      </c>
      <c r="P709" s="99" t="str">
        <f t="shared" si="57"/>
        <v>sábado</v>
      </c>
      <c r="Q709" s="304">
        <f>IFERROR(IF(GUAYAQUIL[[#This Row],[CODIGO]]="","",IF(GUAYAQUIL[[#This Row],[Fecha Cad]]="","",(GUAYAQUIL[[#This Row],[Fecha Cad]]-GUAYAQUIL[[#This Row],[VIDA UTIL (Días)]]))+1),"")</f>
        <v>45610</v>
      </c>
      <c r="R709" s="303">
        <v>45654</v>
      </c>
      <c r="S709" s="30">
        <f t="shared" ca="1" si="56"/>
        <v>30</v>
      </c>
      <c r="T709" s="279">
        <f t="shared" ca="1" si="58"/>
        <v>0.66666666666666663</v>
      </c>
      <c r="U709" s="288">
        <v>56</v>
      </c>
      <c r="V709" s="265">
        <f>+IFERROR(IF(GUAYAQUIL[[#This Row],[CODIGO]]="","",GUAYAQUIL[[#This Row],[Stock Actual Unds]]*GUAYAQUIL[[#This Row],[Gramaje]]*GUAYAQUIL[[#This Row],[Conversión]]),"")</f>
        <v>196</v>
      </c>
      <c r="W709" s="280">
        <f t="shared" si="59"/>
        <v>2</v>
      </c>
      <c r="X709" s="44">
        <f t="shared" si="60"/>
        <v>0.9555555555555556</v>
      </c>
      <c r="Y709" s="236">
        <f>IFERROR(VLOOKUP(GUAYAQUIL[[#This Row],[CODIGO]],MAESTRO!A:BI,21,FALSE),0)</f>
        <v>2.9109100000000003</v>
      </c>
      <c r="Z709" s="236">
        <f>+IFERROR(IF(GUAYAQUIL[[#This Row],[CODIGO]]="","",GUAYAQUIL[[#This Row],[COSTO UNIT base]]*GUAYAQUIL[[#This Row],[Conversión]]),"")</f>
        <v>2.9109100000000003</v>
      </c>
      <c r="AA709" s="236">
        <f>+IFERROR(IF(GUAYAQUIL[[#This Row],[CODIGO]]="","",GUAYAQUIL[[#This Row],[COSTO UNIT Conv]]*GUAYAQUIL[[#This Row],[Stock Actual Kgs]]),"")</f>
        <v>570.53836000000001</v>
      </c>
      <c r="AB709" s="180">
        <f ca="1">+IFERROR(IF(GUAYAQUIL[[#This Row],[CODIGO]]="","",$J$3-O709),"")</f>
        <v>12</v>
      </c>
      <c r="AC709" s="35" t="str">
        <f ca="1">IF(GUAYAQUIL[[#This Row],[CODIGO]]="","",IF(S709&lt;=0,"CADUCADO",IF(AND(S709&gt;0,S709&lt;=21),"FECHA CORTA",IF(AND(S709&gt;=22,S709&lt;=26),"PROXIMOS FECHA CORTA", "VIGENTE"))))</f>
        <v>VIGENTE</v>
      </c>
      <c r="AD709" s="289">
        <f>+IF(GUAYAQUIL[[#This Row],[CODIGO]]="","",GUAYAQUIL[[#This Row],[Stock Actual Unds]]*GUAYAQUIL[[#This Row],[Gramaje]]*GUAYAQUIL[[#This Row],[Conversión]])/1000</f>
        <v>0.19600000000000001</v>
      </c>
    </row>
    <row r="710" spans="1:30">
      <c r="A710" s="42" t="str">
        <f>+IFERROR(IF(GUAYAQUIL[[#This Row],[CODIGO]]="","",VLOOKUP(GUAYAQUIL[[#This Row],[CODIGO]],MAESTRO!$A:$J,10,FALSE)),"")</f>
        <v>MACHACHI</v>
      </c>
      <c r="B710" s="42" t="str">
        <f>+IFERROR(IF(GUAYAQUIL[[#This Row],[CODIGO]]="","",VLOOKUP(GUAYAQUIL[[#This Row],[CODIGO]],MAESTRO!$A:$Q,17,FALSE)),"")</f>
        <v>BEBIDAS LACTEAS</v>
      </c>
      <c r="C710" s="42" t="str">
        <f>+IFERROR(IF(GUAYAQUIL[[#This Row],[CODIGO]]="","",VLOOKUP(GUAYAQUIL[[#This Row],[CODIGO]],MAESTRO!$A:$BA,53,FALSE)),"")</f>
        <v xml:space="preserve">Luis Armendariz                         </v>
      </c>
      <c r="D710" s="42" t="str">
        <f>+IFERROR(IF(GUAYAQUIL[[#This Row],[CODIGO]]="","",VLOOKUP(GUAYAQUIL[[#This Row],[CODIGO]],MAESTRO!$A:$D,4,FALSE)),"")</f>
        <v>YOGURT KIOSKO</v>
      </c>
      <c r="E710" s="42" t="str">
        <f>+IFERROR(IF(GUAYAQUIL[[#This Row],[CODIGO]]="","",VLOOKUP(GUAYAQUIL[[#This Row],[CODIGO]],MAESTRO!$A:$F,6,FALSE)),"")</f>
        <v>BEBIDA DE YOGURT KIOSKO GALONERA</v>
      </c>
      <c r="F710" s="42" t="str">
        <f>IF(GUAYAQUIL[[#This Row],[CODIGO]]="","",$K$6)</f>
        <v>GUAYAQUIL</v>
      </c>
      <c r="G710" s="1">
        <f>IF(GUAYAQUIL[[#This Row],[CODIGO]]="","",7711)</f>
        <v>7711</v>
      </c>
      <c r="H710" s="1">
        <f>IF(GUAYAQUIL[[#This Row],[CODIGO]]="","",1001)</f>
        <v>1001</v>
      </c>
      <c r="I710" s="258" t="s">
        <v>3553</v>
      </c>
      <c r="J710" s="43" t="str">
        <f>IFERROR((VLOOKUP(GUAYAQUIL[[#This Row],[CODIGO]],MAESTRO!A:B,2,FALSE)),"")</f>
        <v>YOG BBLE KIOSKO MOR BOT 3.5KG</v>
      </c>
      <c r="K710" s="35">
        <v>104</v>
      </c>
      <c r="L710" s="205">
        <f>+IFERROR(IF(GUAYAQUIL[[#This Row],[CODIGO]]="","",VLOOKUP(GUAYAQUIL[[#This Row],[CODIGO]],MAESTRO!$A:$BF,58,FALSE)),"")</f>
        <v>1</v>
      </c>
      <c r="M710" s="27">
        <f>+IFERROR(IF(GUAYAQUIL[[#This Row],[CODIGO]]="","",VLOOKUP(GUAYAQUIL[[#This Row],[CODIGO]],MAESTRO!A:N,14,FALSE)),"")</f>
        <v>3.5</v>
      </c>
      <c r="N710" s="206">
        <f>+IFERROR(IF(GUAYAQUIL[[#This Row],[CODIGO]]="","",VLOOKUP(GUAYAQUIL[[#This Row],[CODIGO]],MAESTRO!A:P,16,FALSE)),"")</f>
        <v>45</v>
      </c>
      <c r="O710" s="303">
        <v>45611</v>
      </c>
      <c r="P710" s="99" t="str">
        <f t="shared" si="57"/>
        <v>viernes</v>
      </c>
      <c r="Q710" s="304">
        <f>IFERROR(IF(GUAYAQUIL[[#This Row],[CODIGO]]="","",IF(GUAYAQUIL[[#This Row],[Fecha Cad]]="","",(GUAYAQUIL[[#This Row],[Fecha Cad]]-GUAYAQUIL[[#This Row],[VIDA UTIL (Días)]]))+1),"")</f>
        <v>45610</v>
      </c>
      <c r="R710" s="303">
        <v>45654</v>
      </c>
      <c r="S710" s="30">
        <f t="shared" ca="1" si="56"/>
        <v>30</v>
      </c>
      <c r="T710" s="279">
        <f t="shared" ca="1" si="58"/>
        <v>0.66666666666666663</v>
      </c>
      <c r="U710" s="288">
        <v>16</v>
      </c>
      <c r="V710" s="265">
        <f>+IFERROR(IF(GUAYAQUIL[[#This Row],[CODIGO]]="","",GUAYAQUIL[[#This Row],[Stock Actual Unds]]*GUAYAQUIL[[#This Row],[Gramaje]]*GUAYAQUIL[[#This Row],[Conversión]]),"")</f>
        <v>56</v>
      </c>
      <c r="W710" s="280">
        <f t="shared" si="59"/>
        <v>1</v>
      </c>
      <c r="X710" s="44">
        <f t="shared" si="60"/>
        <v>0.97777777777777775</v>
      </c>
      <c r="Y710" s="236">
        <f>IFERROR(VLOOKUP(GUAYAQUIL[[#This Row],[CODIGO]],MAESTRO!A:BI,21,FALSE),0)</f>
        <v>2.9109100000000003</v>
      </c>
      <c r="Z710" s="236">
        <f>+IFERROR(IF(GUAYAQUIL[[#This Row],[CODIGO]]="","",GUAYAQUIL[[#This Row],[COSTO UNIT base]]*GUAYAQUIL[[#This Row],[Conversión]]),"")</f>
        <v>2.9109100000000003</v>
      </c>
      <c r="AA710" s="236">
        <f>+IFERROR(IF(GUAYAQUIL[[#This Row],[CODIGO]]="","",GUAYAQUIL[[#This Row],[COSTO UNIT Conv]]*GUAYAQUIL[[#This Row],[Stock Actual Kgs]]),"")</f>
        <v>163.01096000000001</v>
      </c>
      <c r="AB710" s="180">
        <f ca="1">+IFERROR(IF(GUAYAQUIL[[#This Row],[CODIGO]]="","",$J$3-O710),"")</f>
        <v>13</v>
      </c>
      <c r="AC710" s="35" t="str">
        <f ca="1">IF(GUAYAQUIL[[#This Row],[CODIGO]]="","",IF(S710&lt;=0,"CADUCADO",IF(AND(S710&gt;0,S710&lt;=21),"FECHA CORTA",IF(AND(S710&gt;=22,S710&lt;=26),"PROXIMOS FECHA CORTA", "VIGENTE"))))</f>
        <v>VIGENTE</v>
      </c>
      <c r="AD710" s="289">
        <f>+IF(GUAYAQUIL[[#This Row],[CODIGO]]="","",GUAYAQUIL[[#This Row],[Stock Actual Unds]]*GUAYAQUIL[[#This Row],[Gramaje]]*GUAYAQUIL[[#This Row],[Conversión]])/1000</f>
        <v>5.6000000000000001E-2</v>
      </c>
    </row>
    <row r="711" spans="1:30">
      <c r="A711" s="42" t="str">
        <f>+IFERROR(IF(GUAYAQUIL[[#This Row],[CODIGO]]="","",VLOOKUP(GUAYAQUIL[[#This Row],[CODIGO]],MAESTRO!$A:$J,10,FALSE)),"")</f>
        <v>MACHACHI</v>
      </c>
      <c r="B711" s="42" t="str">
        <f>+IFERROR(IF(GUAYAQUIL[[#This Row],[CODIGO]]="","",VLOOKUP(GUAYAQUIL[[#This Row],[CODIGO]],MAESTRO!$A:$Q,17,FALSE)),"")</f>
        <v>BEBIDAS LACTEAS</v>
      </c>
      <c r="C711" s="42" t="str">
        <f>+IFERROR(IF(GUAYAQUIL[[#This Row],[CODIGO]]="","",VLOOKUP(GUAYAQUIL[[#This Row],[CODIGO]],MAESTRO!$A:$BA,53,FALSE)),"")</f>
        <v xml:space="preserve">Luis Armendariz                         </v>
      </c>
      <c r="D711" s="42" t="str">
        <f>+IFERROR(IF(GUAYAQUIL[[#This Row],[CODIGO]]="","",VLOOKUP(GUAYAQUIL[[#This Row],[CODIGO]],MAESTRO!$A:$D,4,FALSE)),"")</f>
        <v>YOGURT KIOSKO</v>
      </c>
      <c r="E711" s="42" t="str">
        <f>+IFERROR(IF(GUAYAQUIL[[#This Row],[CODIGO]]="","",VLOOKUP(GUAYAQUIL[[#This Row],[CODIGO]],MAESTRO!$A:$F,6,FALSE)),"")</f>
        <v>BEBIDA DE YOGURT KIOSKO GALONERA</v>
      </c>
      <c r="F711" s="42" t="str">
        <f>IF(GUAYAQUIL[[#This Row],[CODIGO]]="","",$K$6)</f>
        <v>GUAYAQUIL</v>
      </c>
      <c r="G711" s="1">
        <f>IF(GUAYAQUIL[[#This Row],[CODIGO]]="","",7711)</f>
        <v>7711</v>
      </c>
      <c r="H711" s="1">
        <f>IF(GUAYAQUIL[[#This Row],[CODIGO]]="","",1001)</f>
        <v>1001</v>
      </c>
      <c r="I711" s="258" t="s">
        <v>3553</v>
      </c>
      <c r="J711" s="43" t="str">
        <f>IFERROR((VLOOKUP(GUAYAQUIL[[#This Row],[CODIGO]],MAESTRO!A:B,2,FALSE)),"")</f>
        <v>YOG BBLE KIOSKO MOR BOT 3.5KG</v>
      </c>
      <c r="K711" s="35">
        <v>104</v>
      </c>
      <c r="L711" s="205">
        <f>+IFERROR(IF(GUAYAQUIL[[#This Row],[CODIGO]]="","",VLOOKUP(GUAYAQUIL[[#This Row],[CODIGO]],MAESTRO!$A:$BF,58,FALSE)),"")</f>
        <v>1</v>
      </c>
      <c r="M711" s="27">
        <f>+IFERROR(IF(GUAYAQUIL[[#This Row],[CODIGO]]="","",VLOOKUP(GUAYAQUIL[[#This Row],[CODIGO]],MAESTRO!A:N,14,FALSE)),"")</f>
        <v>3.5</v>
      </c>
      <c r="N711" s="206">
        <f>+IFERROR(IF(GUAYAQUIL[[#This Row],[CODIGO]]="","",VLOOKUP(GUAYAQUIL[[#This Row],[CODIGO]],MAESTRO!A:P,16,FALSE)),"")</f>
        <v>45</v>
      </c>
      <c r="O711" s="303">
        <v>45615</v>
      </c>
      <c r="P711" s="99" t="str">
        <f t="shared" si="57"/>
        <v>martes</v>
      </c>
      <c r="Q711" s="304">
        <f>IFERROR(IF(GUAYAQUIL[[#This Row],[CODIGO]]="","",IF(GUAYAQUIL[[#This Row],[Fecha Cad]]="","",(GUAYAQUIL[[#This Row],[Fecha Cad]]-GUAYAQUIL[[#This Row],[VIDA UTIL (Días)]]))+1),"")</f>
        <v>45610</v>
      </c>
      <c r="R711" s="303">
        <v>45654</v>
      </c>
      <c r="S711" s="30">
        <f t="shared" ca="1" si="56"/>
        <v>30</v>
      </c>
      <c r="T711" s="279">
        <f t="shared" ca="1" si="58"/>
        <v>0.66666666666666663</v>
      </c>
      <c r="U711" s="288">
        <v>104</v>
      </c>
      <c r="V711" s="265">
        <f>+IFERROR(IF(GUAYAQUIL[[#This Row],[CODIGO]]="","",GUAYAQUIL[[#This Row],[Stock Actual Unds]]*GUAYAQUIL[[#This Row],[Gramaje]]*GUAYAQUIL[[#This Row],[Conversión]]),"")</f>
        <v>364</v>
      </c>
      <c r="W711" s="280">
        <f t="shared" si="59"/>
        <v>5</v>
      </c>
      <c r="X711" s="44">
        <f t="shared" si="60"/>
        <v>0.88888888888888884</v>
      </c>
      <c r="Y711" s="236">
        <f>IFERROR(VLOOKUP(GUAYAQUIL[[#This Row],[CODIGO]],MAESTRO!A:BI,21,FALSE),0)</f>
        <v>2.9109100000000003</v>
      </c>
      <c r="Z711" s="236">
        <f>+IFERROR(IF(GUAYAQUIL[[#This Row],[CODIGO]]="","",GUAYAQUIL[[#This Row],[COSTO UNIT base]]*GUAYAQUIL[[#This Row],[Conversión]]),"")</f>
        <v>2.9109100000000003</v>
      </c>
      <c r="AA711" s="236">
        <f>+IFERROR(IF(GUAYAQUIL[[#This Row],[CODIGO]]="","",GUAYAQUIL[[#This Row],[COSTO UNIT Conv]]*GUAYAQUIL[[#This Row],[Stock Actual Kgs]]),"")</f>
        <v>1059.5712400000002</v>
      </c>
      <c r="AB711" s="180">
        <f ca="1">+IFERROR(IF(GUAYAQUIL[[#This Row],[CODIGO]]="","",$J$3-O711),"")</f>
        <v>9</v>
      </c>
      <c r="AC711" s="35" t="str">
        <f ca="1">IF(GUAYAQUIL[[#This Row],[CODIGO]]="","",IF(S711&lt;=0,"CADUCADO",IF(AND(S711&gt;0,S711&lt;=21),"FECHA CORTA",IF(AND(S711&gt;=22,S711&lt;=26),"PROXIMOS FECHA CORTA", "VIGENTE"))))</f>
        <v>VIGENTE</v>
      </c>
      <c r="AD711" s="289">
        <f>+IF(GUAYAQUIL[[#This Row],[CODIGO]]="","",GUAYAQUIL[[#This Row],[Stock Actual Unds]]*GUAYAQUIL[[#This Row],[Gramaje]]*GUAYAQUIL[[#This Row],[Conversión]])/1000</f>
        <v>0.36399999999999999</v>
      </c>
    </row>
    <row r="712" spans="1:30">
      <c r="A712" s="42" t="str">
        <f>+IFERROR(IF(GUAYAQUIL[[#This Row],[CODIGO]]="","",VLOOKUP(GUAYAQUIL[[#This Row],[CODIGO]],MAESTRO!$A:$J,10,FALSE)),"")</f>
        <v>SAN GABRIEL</v>
      </c>
      <c r="B712" s="42" t="str">
        <f>+IFERROR(IF(GUAYAQUIL[[#This Row],[CODIGO]]="","",VLOOKUP(GUAYAQUIL[[#This Row],[CODIGO]],MAESTRO!$A:$Q,17,FALSE)),"")</f>
        <v>QUESOS Y GRASAS</v>
      </c>
      <c r="C712" s="42" t="str">
        <f>+IFERROR(IF(GUAYAQUIL[[#This Row],[CODIGO]]="","",VLOOKUP(GUAYAQUIL[[#This Row],[CODIGO]],MAESTRO!$A:$BA,53,FALSE)),"")</f>
        <v xml:space="preserve">Esteban Montenegro                      </v>
      </c>
      <c r="D712" s="42" t="str">
        <f>+IFERROR(IF(GUAYAQUIL[[#This Row],[CODIGO]]="","",VLOOKUP(GUAYAQUIL[[#This Row],[CODIGO]],MAESTRO!$A:$D,4,FALSE)),"")</f>
        <v>QUESO SEMIMADURO KIOSKO</v>
      </c>
      <c r="E712" s="42" t="str">
        <f>+IFERROR(IF(GUAYAQUIL[[#This Row],[CODIGO]]="","",VLOOKUP(GUAYAQUIL[[#This Row],[CODIGO]],MAESTRO!$A:$F,6,FALSE)),"")</f>
        <v>QUESO PARMESANO KIOSKO RALLADO</v>
      </c>
      <c r="F712" s="42" t="str">
        <f>IF(GUAYAQUIL[[#This Row],[CODIGO]]="","",$K$6)</f>
        <v>GUAYAQUIL</v>
      </c>
      <c r="G712" s="1">
        <f>IF(GUAYAQUIL[[#This Row],[CODIGO]]="","",7711)</f>
        <v>7711</v>
      </c>
      <c r="H712" s="1">
        <f>IF(GUAYAQUIL[[#This Row],[CODIGO]]="","",1001)</f>
        <v>1001</v>
      </c>
      <c r="I712" s="258" t="s">
        <v>2353</v>
      </c>
      <c r="J712" s="43" t="str">
        <f>IFERROR((VLOOKUP(GUAYAQUIL[[#This Row],[CODIGO]],MAESTRO!A:B,2,FALSE)),"")</f>
        <v>Q PARME KIOSKO RALL BOL 100G</v>
      </c>
      <c r="K712" s="35">
        <v>400</v>
      </c>
      <c r="L712" s="205">
        <f>+IFERROR(IF(GUAYAQUIL[[#This Row],[CODIGO]]="","",VLOOKUP(GUAYAQUIL[[#This Row],[CODIGO]],MAESTRO!$A:$BF,58,FALSE)),"")</f>
        <v>1</v>
      </c>
      <c r="M712" s="27">
        <f>+IFERROR(IF(GUAYAQUIL[[#This Row],[CODIGO]]="","",VLOOKUP(GUAYAQUIL[[#This Row],[CODIGO]],MAESTRO!A:N,14,FALSE)),"")</f>
        <v>0.1</v>
      </c>
      <c r="N712" s="206">
        <f>+IFERROR(IF(GUAYAQUIL[[#This Row],[CODIGO]]="","",VLOOKUP(GUAYAQUIL[[#This Row],[CODIGO]],MAESTRO!A:P,16,FALSE)),"")</f>
        <v>180</v>
      </c>
      <c r="O712" s="303">
        <v>45611</v>
      </c>
      <c r="P712" s="99" t="str">
        <f t="shared" si="57"/>
        <v>viernes</v>
      </c>
      <c r="Q712" s="304">
        <f>IFERROR(IF(GUAYAQUIL[[#This Row],[CODIGO]]="","",IF(GUAYAQUIL[[#This Row],[Fecha Cad]]="","",(GUAYAQUIL[[#This Row],[Fecha Cad]]-GUAYAQUIL[[#This Row],[VIDA UTIL (Días)]]))+1),"")</f>
        <v>45609</v>
      </c>
      <c r="R712" s="303">
        <v>45788</v>
      </c>
      <c r="S712" s="30">
        <f t="shared" ca="1" si="56"/>
        <v>164</v>
      </c>
      <c r="T712" s="279">
        <f t="shared" ca="1" si="58"/>
        <v>0.91111111111111109</v>
      </c>
      <c r="U712" s="288">
        <v>400</v>
      </c>
      <c r="V712" s="265">
        <f>+IFERROR(IF(GUAYAQUIL[[#This Row],[CODIGO]]="","",GUAYAQUIL[[#This Row],[Stock Actual Unds]]*GUAYAQUIL[[#This Row],[Gramaje]]*GUAYAQUIL[[#This Row],[Conversión]]),"")</f>
        <v>40</v>
      </c>
      <c r="W712" s="280">
        <f t="shared" si="59"/>
        <v>2</v>
      </c>
      <c r="X712" s="44">
        <f t="shared" si="60"/>
        <v>0.98888888888888893</v>
      </c>
      <c r="Y712" s="236">
        <f>IFERROR(VLOOKUP(GUAYAQUIL[[#This Row],[CODIGO]],MAESTRO!A:BI,21,FALSE),0)</f>
        <v>1.0460849999999999</v>
      </c>
      <c r="Z712" s="236">
        <f>+IFERROR(IF(GUAYAQUIL[[#This Row],[CODIGO]]="","",GUAYAQUIL[[#This Row],[COSTO UNIT base]]*GUAYAQUIL[[#This Row],[Conversión]]),"")</f>
        <v>1.0460849999999999</v>
      </c>
      <c r="AA712" s="236">
        <f>+IFERROR(IF(GUAYAQUIL[[#This Row],[CODIGO]]="","",GUAYAQUIL[[#This Row],[COSTO UNIT Conv]]*GUAYAQUIL[[#This Row],[Stock Actual Kgs]]),"")</f>
        <v>41.843399999999995</v>
      </c>
      <c r="AB712" s="180">
        <f ca="1">+IFERROR(IF(GUAYAQUIL[[#This Row],[CODIGO]]="","",$J$3-O712),"")</f>
        <v>13</v>
      </c>
      <c r="AC712" s="35" t="str">
        <f ca="1">IF(GUAYAQUIL[[#This Row],[CODIGO]]="","",IF(S712&lt;=0,"CADUCADO",IF(AND(S712&gt;0,S712&lt;=21),"FECHA CORTA",IF(AND(S712&gt;=22,S712&lt;=26),"PROXIMOS FECHA CORTA", "VIGENTE"))))</f>
        <v>VIGENTE</v>
      </c>
      <c r="AD712" s="289">
        <f>+IF(GUAYAQUIL[[#This Row],[CODIGO]]="","",GUAYAQUIL[[#This Row],[Stock Actual Unds]]*GUAYAQUIL[[#This Row],[Gramaje]]*GUAYAQUIL[[#This Row],[Conversión]])/1000</f>
        <v>0.04</v>
      </c>
    </row>
    <row r="713" spans="1:30">
      <c r="A713" s="42" t="str">
        <f>+IFERROR(IF(GUAYAQUIL[[#This Row],[CODIGO]]="","",VLOOKUP(GUAYAQUIL[[#This Row],[CODIGO]],MAESTRO!$A:$J,10,FALSE)),"")</f>
        <v>SAN GABRIEL</v>
      </c>
      <c r="B713" s="42" t="str">
        <f>+IFERROR(IF(GUAYAQUIL[[#This Row],[CODIGO]]="","",VLOOKUP(GUAYAQUIL[[#This Row],[CODIGO]],MAESTRO!$A:$Q,17,FALSE)),"")</f>
        <v>QUESOS Y GRASAS</v>
      </c>
      <c r="C713" s="42" t="str">
        <f>+IFERROR(IF(GUAYAQUIL[[#This Row],[CODIGO]]="","",VLOOKUP(GUAYAQUIL[[#This Row],[CODIGO]],MAESTRO!$A:$BA,53,FALSE)),"")</f>
        <v xml:space="preserve">Esteban Montenegro                      </v>
      </c>
      <c r="D713" s="42" t="str">
        <f>+IFERROR(IF(GUAYAQUIL[[#This Row],[CODIGO]]="","",VLOOKUP(GUAYAQUIL[[#This Row],[CODIGO]],MAESTRO!$A:$D,4,FALSE)),"")</f>
        <v>QUESO SEMIMADURO KIOSKO</v>
      </c>
      <c r="E713" s="42" t="str">
        <f>+IFERROR(IF(GUAYAQUIL[[#This Row],[CODIGO]]="","",VLOOKUP(GUAYAQUIL[[#This Row],[CODIGO]],MAESTRO!$A:$F,6,FALSE)),"")</f>
        <v>QUESO PARMESANO KIOSKO RALLADO</v>
      </c>
      <c r="F713" s="42" t="str">
        <f>IF(GUAYAQUIL[[#This Row],[CODIGO]]="","",$K$6)</f>
        <v>GUAYAQUIL</v>
      </c>
      <c r="G713" s="1">
        <f>IF(GUAYAQUIL[[#This Row],[CODIGO]]="","",7711)</f>
        <v>7711</v>
      </c>
      <c r="H713" s="1">
        <f>IF(GUAYAQUIL[[#This Row],[CODIGO]]="","",1001)</f>
        <v>1001</v>
      </c>
      <c r="I713" s="258" t="s">
        <v>2353</v>
      </c>
      <c r="J713" s="43" t="str">
        <f>IFERROR((VLOOKUP(GUAYAQUIL[[#This Row],[CODIGO]],MAESTRO!A:B,2,FALSE)),"")</f>
        <v>Q PARME KIOSKO RALL BOL 100G</v>
      </c>
      <c r="K713" s="35">
        <v>1100</v>
      </c>
      <c r="L713" s="205">
        <f>+IFERROR(IF(GUAYAQUIL[[#This Row],[CODIGO]]="","",VLOOKUP(GUAYAQUIL[[#This Row],[CODIGO]],MAESTRO!$A:$BF,58,FALSE)),"")</f>
        <v>1</v>
      </c>
      <c r="M713" s="27">
        <f>+IFERROR(IF(GUAYAQUIL[[#This Row],[CODIGO]]="","",VLOOKUP(GUAYAQUIL[[#This Row],[CODIGO]],MAESTRO!A:N,14,FALSE)),"")</f>
        <v>0.1</v>
      </c>
      <c r="N713" s="206">
        <f>+IFERROR(IF(GUAYAQUIL[[#This Row],[CODIGO]]="","",VLOOKUP(GUAYAQUIL[[#This Row],[CODIGO]],MAESTRO!A:P,16,FALSE)),"")</f>
        <v>180</v>
      </c>
      <c r="O713" s="303">
        <v>45610</v>
      </c>
      <c r="P713" s="99" t="str">
        <f t="shared" si="57"/>
        <v>jueves</v>
      </c>
      <c r="Q713" s="304">
        <f>IFERROR(IF(GUAYAQUIL[[#This Row],[CODIGO]]="","",IF(GUAYAQUIL[[#This Row],[Fecha Cad]]="","",(GUAYAQUIL[[#This Row],[Fecha Cad]]-GUAYAQUIL[[#This Row],[VIDA UTIL (Días)]]))+1),"")</f>
        <v>45608</v>
      </c>
      <c r="R713" s="303">
        <v>45787</v>
      </c>
      <c r="S713" s="30">
        <f t="shared" ca="1" si="56"/>
        <v>163</v>
      </c>
      <c r="T713" s="279">
        <f t="shared" ca="1" si="58"/>
        <v>0.90555555555555556</v>
      </c>
      <c r="U713" s="288">
        <v>1018</v>
      </c>
      <c r="V713" s="265">
        <f>+IFERROR(IF(GUAYAQUIL[[#This Row],[CODIGO]]="","",GUAYAQUIL[[#This Row],[Stock Actual Unds]]*GUAYAQUIL[[#This Row],[Gramaje]]*GUAYAQUIL[[#This Row],[Conversión]]),"")</f>
        <v>101.80000000000001</v>
      </c>
      <c r="W713" s="280">
        <f t="shared" si="59"/>
        <v>2</v>
      </c>
      <c r="X713" s="44">
        <f t="shared" si="60"/>
        <v>0.98888888888888893</v>
      </c>
      <c r="Y713" s="236">
        <f>IFERROR(VLOOKUP(GUAYAQUIL[[#This Row],[CODIGO]],MAESTRO!A:BI,21,FALSE),0)</f>
        <v>1.0460849999999999</v>
      </c>
      <c r="Z713" s="236">
        <f>+IFERROR(IF(GUAYAQUIL[[#This Row],[CODIGO]]="","",GUAYAQUIL[[#This Row],[COSTO UNIT base]]*GUAYAQUIL[[#This Row],[Conversión]]),"")</f>
        <v>1.0460849999999999</v>
      </c>
      <c r="AA713" s="236">
        <f>+IFERROR(IF(GUAYAQUIL[[#This Row],[CODIGO]]="","",GUAYAQUIL[[#This Row],[COSTO UNIT Conv]]*GUAYAQUIL[[#This Row],[Stock Actual Kgs]]),"")</f>
        <v>106.49145300000001</v>
      </c>
      <c r="AB713" s="180">
        <f ca="1">+IFERROR(IF(GUAYAQUIL[[#This Row],[CODIGO]]="","",$J$3-O713),"")</f>
        <v>14</v>
      </c>
      <c r="AC713" s="35" t="str">
        <f ca="1">IF(GUAYAQUIL[[#This Row],[CODIGO]]="","",IF(S713&lt;=0,"CADUCADO",IF(AND(S713&gt;0,S713&lt;=21),"FECHA CORTA",IF(AND(S713&gt;=22,S713&lt;=26),"PROXIMOS FECHA CORTA", "VIGENTE"))))</f>
        <v>VIGENTE</v>
      </c>
      <c r="AD713" s="289">
        <f>+IF(GUAYAQUIL[[#This Row],[CODIGO]]="","",GUAYAQUIL[[#This Row],[Stock Actual Unds]]*GUAYAQUIL[[#This Row],[Gramaje]]*GUAYAQUIL[[#This Row],[Conversión]])/1000</f>
        <v>0.10180000000000002</v>
      </c>
    </row>
    <row r="714" spans="1:30">
      <c r="A714" s="42" t="str">
        <f>+IFERROR(IF(GUAYAQUIL[[#This Row],[CODIGO]]="","",VLOOKUP(GUAYAQUIL[[#This Row],[CODIGO]],MAESTRO!$A:$J,10,FALSE)),"")</f>
        <v>SAN GABRIEL</v>
      </c>
      <c r="B714" s="42" t="str">
        <f>+IFERROR(IF(GUAYAQUIL[[#This Row],[CODIGO]]="","",VLOOKUP(GUAYAQUIL[[#This Row],[CODIGO]],MAESTRO!$A:$Q,17,FALSE)),"")</f>
        <v>QUESOS Y GRASAS</v>
      </c>
      <c r="C714" s="42" t="str">
        <f>+IFERROR(IF(GUAYAQUIL[[#This Row],[CODIGO]]="","",VLOOKUP(GUAYAQUIL[[#This Row],[CODIGO]],MAESTRO!$A:$BA,53,FALSE)),"")</f>
        <v xml:space="preserve">Esteban Montenegro                      </v>
      </c>
      <c r="D714" s="42" t="str">
        <f>+IFERROR(IF(GUAYAQUIL[[#This Row],[CODIGO]]="","",VLOOKUP(GUAYAQUIL[[#This Row],[CODIGO]],MAESTRO!$A:$D,4,FALSE)),"")</f>
        <v>QUESO SEMIMADURO KIOSKO</v>
      </c>
      <c r="E714" s="42" t="str">
        <f>+IFERROR(IF(GUAYAQUIL[[#This Row],[CODIGO]]="","",VLOOKUP(GUAYAQUIL[[#This Row],[CODIGO]],MAESTRO!$A:$F,6,FALSE)),"")</f>
        <v>QUESO PARMESANO KIOSKO RALLADO</v>
      </c>
      <c r="F714" s="42" t="str">
        <f>IF(GUAYAQUIL[[#This Row],[CODIGO]]="","",$K$6)</f>
        <v>GUAYAQUIL</v>
      </c>
      <c r="G714" s="1">
        <f>IF(GUAYAQUIL[[#This Row],[CODIGO]]="","",7711)</f>
        <v>7711</v>
      </c>
      <c r="H714" s="1">
        <f>IF(GUAYAQUIL[[#This Row],[CODIGO]]="","",1001)</f>
        <v>1001</v>
      </c>
      <c r="I714" s="258" t="s">
        <v>2353</v>
      </c>
      <c r="J714" s="43" t="str">
        <f>IFERROR((VLOOKUP(GUAYAQUIL[[#This Row],[CODIGO]],MAESTRO!A:B,2,FALSE)),"")</f>
        <v>Q PARME KIOSKO RALL BOL 100G</v>
      </c>
      <c r="K714" s="35">
        <v>400</v>
      </c>
      <c r="L714" s="205">
        <f>+IFERROR(IF(GUAYAQUIL[[#This Row],[CODIGO]]="","",VLOOKUP(GUAYAQUIL[[#This Row],[CODIGO]],MAESTRO!$A:$BF,58,FALSE)),"")</f>
        <v>1</v>
      </c>
      <c r="M714" s="27">
        <f>+IFERROR(IF(GUAYAQUIL[[#This Row],[CODIGO]]="","",VLOOKUP(GUAYAQUIL[[#This Row],[CODIGO]],MAESTRO!A:N,14,FALSE)),"")</f>
        <v>0.1</v>
      </c>
      <c r="N714" s="206">
        <f>+IFERROR(IF(GUAYAQUIL[[#This Row],[CODIGO]]="","",VLOOKUP(GUAYAQUIL[[#This Row],[CODIGO]],MAESTRO!A:P,16,FALSE)),"")</f>
        <v>180</v>
      </c>
      <c r="O714" s="303">
        <v>45610</v>
      </c>
      <c r="P714" s="99" t="str">
        <f t="shared" si="57"/>
        <v>jueves</v>
      </c>
      <c r="Q714" s="304">
        <f>IFERROR(IF(GUAYAQUIL[[#This Row],[CODIGO]]="","",IF(GUAYAQUIL[[#This Row],[Fecha Cad]]="","",(GUAYAQUIL[[#This Row],[Fecha Cad]]-GUAYAQUIL[[#This Row],[VIDA UTIL (Días)]]))+1),"")</f>
        <v>45609</v>
      </c>
      <c r="R714" s="303">
        <v>45788</v>
      </c>
      <c r="S714" s="30">
        <f t="shared" ca="1" si="56"/>
        <v>164</v>
      </c>
      <c r="T714" s="279">
        <f t="shared" ca="1" si="58"/>
        <v>0.91111111111111109</v>
      </c>
      <c r="U714" s="288">
        <v>400</v>
      </c>
      <c r="V714" s="265">
        <f>+IFERROR(IF(GUAYAQUIL[[#This Row],[CODIGO]]="","",GUAYAQUIL[[#This Row],[Stock Actual Unds]]*GUAYAQUIL[[#This Row],[Gramaje]]*GUAYAQUIL[[#This Row],[Conversión]]),"")</f>
        <v>40</v>
      </c>
      <c r="W714" s="280">
        <f t="shared" si="59"/>
        <v>1</v>
      </c>
      <c r="X714" s="44">
        <f t="shared" si="60"/>
        <v>0.99444444444444446</v>
      </c>
      <c r="Y714" s="236">
        <f>IFERROR(VLOOKUP(GUAYAQUIL[[#This Row],[CODIGO]],MAESTRO!A:BI,21,FALSE),0)</f>
        <v>1.0460849999999999</v>
      </c>
      <c r="Z714" s="236">
        <f>+IFERROR(IF(GUAYAQUIL[[#This Row],[CODIGO]]="","",GUAYAQUIL[[#This Row],[COSTO UNIT base]]*GUAYAQUIL[[#This Row],[Conversión]]),"")</f>
        <v>1.0460849999999999</v>
      </c>
      <c r="AA714" s="236">
        <f>+IFERROR(IF(GUAYAQUIL[[#This Row],[CODIGO]]="","",GUAYAQUIL[[#This Row],[COSTO UNIT Conv]]*GUAYAQUIL[[#This Row],[Stock Actual Kgs]]),"")</f>
        <v>41.843399999999995</v>
      </c>
      <c r="AB714" s="180">
        <f ca="1">+IFERROR(IF(GUAYAQUIL[[#This Row],[CODIGO]]="","",$J$3-O714),"")</f>
        <v>14</v>
      </c>
      <c r="AC714" s="35" t="str">
        <f ca="1">IF(GUAYAQUIL[[#This Row],[CODIGO]]="","",IF(S714&lt;=0,"CADUCADO",IF(AND(S714&gt;0,S714&lt;=21),"FECHA CORTA",IF(AND(S714&gt;=22,S714&lt;=26),"PROXIMOS FECHA CORTA", "VIGENTE"))))</f>
        <v>VIGENTE</v>
      </c>
      <c r="AD714" s="289">
        <f>+IF(GUAYAQUIL[[#This Row],[CODIGO]]="","",GUAYAQUIL[[#This Row],[Stock Actual Unds]]*GUAYAQUIL[[#This Row],[Gramaje]]*GUAYAQUIL[[#This Row],[Conversión]])/1000</f>
        <v>0.04</v>
      </c>
    </row>
    <row r="715" spans="1:30">
      <c r="A715" s="42" t="str">
        <f>+IFERROR(IF(GUAYAQUIL[[#This Row],[CODIGO]]="","",VLOOKUP(GUAYAQUIL[[#This Row],[CODIGO]],MAESTRO!$A:$J,10,FALSE)),"")</f>
        <v>SAN GABRIEL</v>
      </c>
      <c r="B715" s="42" t="str">
        <f>+IFERROR(IF(GUAYAQUIL[[#This Row],[CODIGO]]="","",VLOOKUP(GUAYAQUIL[[#This Row],[CODIGO]],MAESTRO!$A:$Q,17,FALSE)),"")</f>
        <v>QUESOS Y GRASAS</v>
      </c>
      <c r="C715" s="42" t="str">
        <f>+IFERROR(IF(GUAYAQUIL[[#This Row],[CODIGO]]="","",VLOOKUP(GUAYAQUIL[[#This Row],[CODIGO]],MAESTRO!$A:$BA,53,FALSE)),"")</f>
        <v xml:space="preserve">Esteban Montenegro                      </v>
      </c>
      <c r="D715" s="42" t="str">
        <f>+IFERROR(IF(GUAYAQUIL[[#This Row],[CODIGO]]="","",VLOOKUP(GUAYAQUIL[[#This Row],[CODIGO]],MAESTRO!$A:$D,4,FALSE)),"")</f>
        <v>QUESO SEMIMADURO KIOSKO</v>
      </c>
      <c r="E715" s="42" t="str">
        <f>+IFERROR(IF(GUAYAQUIL[[#This Row],[CODIGO]]="","",VLOOKUP(GUAYAQUIL[[#This Row],[CODIGO]],MAESTRO!$A:$F,6,FALSE)),"")</f>
        <v>QUESO PARMESANO KIOSKO RALLADO</v>
      </c>
      <c r="F715" s="42" t="str">
        <f>IF(GUAYAQUIL[[#This Row],[CODIGO]]="","",$K$6)</f>
        <v>GUAYAQUIL</v>
      </c>
      <c r="G715" s="1">
        <f>IF(GUAYAQUIL[[#This Row],[CODIGO]]="","",7711)</f>
        <v>7711</v>
      </c>
      <c r="H715" s="1">
        <f>IF(GUAYAQUIL[[#This Row],[CODIGO]]="","",1001)</f>
        <v>1001</v>
      </c>
      <c r="I715" s="258" t="s">
        <v>2353</v>
      </c>
      <c r="J715" s="43" t="str">
        <f>IFERROR((VLOOKUP(GUAYAQUIL[[#This Row],[CODIGO]],MAESTRO!A:B,2,FALSE)),"")</f>
        <v>Q PARME KIOSKO RALL BOL 100G</v>
      </c>
      <c r="K715" s="35">
        <v>500</v>
      </c>
      <c r="L715" s="205">
        <f>+IFERROR(IF(GUAYAQUIL[[#This Row],[CODIGO]]="","",VLOOKUP(GUAYAQUIL[[#This Row],[CODIGO]],MAESTRO!$A:$BF,58,FALSE)),"")</f>
        <v>1</v>
      </c>
      <c r="M715" s="27">
        <f>+IFERROR(IF(GUAYAQUIL[[#This Row],[CODIGO]]="","",VLOOKUP(GUAYAQUIL[[#This Row],[CODIGO]],MAESTRO!A:N,14,FALSE)),"")</f>
        <v>0.1</v>
      </c>
      <c r="N715" s="206">
        <f>+IFERROR(IF(GUAYAQUIL[[#This Row],[CODIGO]]="","",VLOOKUP(GUAYAQUIL[[#This Row],[CODIGO]],MAESTRO!A:P,16,FALSE)),"")</f>
        <v>180</v>
      </c>
      <c r="O715" s="303">
        <v>45615</v>
      </c>
      <c r="P715" s="99" t="str">
        <f t="shared" si="57"/>
        <v>martes</v>
      </c>
      <c r="Q715" s="304">
        <f>IFERROR(IF(GUAYAQUIL[[#This Row],[CODIGO]]="","",IF(GUAYAQUIL[[#This Row],[Fecha Cad]]="","",(GUAYAQUIL[[#This Row],[Fecha Cad]]-GUAYAQUIL[[#This Row],[VIDA UTIL (Días)]]))+1),"")</f>
        <v>45610</v>
      </c>
      <c r="R715" s="303">
        <v>45789</v>
      </c>
      <c r="S715" s="30">
        <f t="shared" ca="1" si="56"/>
        <v>165</v>
      </c>
      <c r="T715" s="279">
        <f t="shared" ca="1" si="58"/>
        <v>0.91666666666666663</v>
      </c>
      <c r="U715" s="288">
        <v>503</v>
      </c>
      <c r="V715" s="265">
        <f>+IFERROR(IF(GUAYAQUIL[[#This Row],[CODIGO]]="","",GUAYAQUIL[[#This Row],[Stock Actual Unds]]*GUAYAQUIL[[#This Row],[Gramaje]]*GUAYAQUIL[[#This Row],[Conversión]]),"")</f>
        <v>50.300000000000004</v>
      </c>
      <c r="W715" s="280">
        <f t="shared" si="59"/>
        <v>5</v>
      </c>
      <c r="X715" s="44">
        <f t="shared" si="60"/>
        <v>0.97222222222222221</v>
      </c>
      <c r="Y715" s="236">
        <f>IFERROR(VLOOKUP(GUAYAQUIL[[#This Row],[CODIGO]],MAESTRO!A:BI,21,FALSE),0)</f>
        <v>1.0460849999999999</v>
      </c>
      <c r="Z715" s="236">
        <f>+IFERROR(IF(GUAYAQUIL[[#This Row],[CODIGO]]="","",GUAYAQUIL[[#This Row],[COSTO UNIT base]]*GUAYAQUIL[[#This Row],[Conversión]]),"")</f>
        <v>1.0460849999999999</v>
      </c>
      <c r="AA715" s="236">
        <f>+IFERROR(IF(GUAYAQUIL[[#This Row],[CODIGO]]="","",GUAYAQUIL[[#This Row],[COSTO UNIT Conv]]*GUAYAQUIL[[#This Row],[Stock Actual Kgs]]),"")</f>
        <v>52.618075500000003</v>
      </c>
      <c r="AB715" s="180">
        <f ca="1">+IFERROR(IF(GUAYAQUIL[[#This Row],[CODIGO]]="","",$J$3-O715),"")</f>
        <v>9</v>
      </c>
      <c r="AC715" s="35" t="str">
        <f ca="1">IF(GUAYAQUIL[[#This Row],[CODIGO]]="","",IF(S715&lt;=0,"CADUCADO",IF(AND(S715&gt;0,S715&lt;=21),"FECHA CORTA",IF(AND(S715&gt;=22,S715&lt;=26),"PROXIMOS FECHA CORTA", "VIGENTE"))))</f>
        <v>VIGENTE</v>
      </c>
      <c r="AD715" s="289">
        <f>+IF(GUAYAQUIL[[#This Row],[CODIGO]]="","",GUAYAQUIL[[#This Row],[Stock Actual Unds]]*GUAYAQUIL[[#This Row],[Gramaje]]*GUAYAQUIL[[#This Row],[Conversión]])/1000</f>
        <v>5.0300000000000004E-2</v>
      </c>
    </row>
    <row r="716" spans="1:30">
      <c r="A716" s="42" t="str">
        <f>+IFERROR(IF(GUAYAQUIL[[#This Row],[CODIGO]]="","",VLOOKUP(GUAYAQUIL[[#This Row],[CODIGO]],MAESTRO!$A:$J,10,FALSE)),"")</f>
        <v>SAN GABRIEL</v>
      </c>
      <c r="B716" s="42" t="str">
        <f>+IFERROR(IF(GUAYAQUIL[[#This Row],[CODIGO]]="","",VLOOKUP(GUAYAQUIL[[#This Row],[CODIGO]],MAESTRO!$A:$Q,17,FALSE)),"")</f>
        <v>QUESOS Y GRASAS</v>
      </c>
      <c r="C716" s="42" t="str">
        <f>+IFERROR(IF(GUAYAQUIL[[#This Row],[CODIGO]]="","",VLOOKUP(GUAYAQUIL[[#This Row],[CODIGO]],MAESTRO!$A:$BA,53,FALSE)),"")</f>
        <v xml:space="preserve">Esteban Montenegro                      </v>
      </c>
      <c r="D716" s="42" t="str">
        <f>+IFERROR(IF(GUAYAQUIL[[#This Row],[CODIGO]]="","",VLOOKUP(GUAYAQUIL[[#This Row],[CODIGO]],MAESTRO!$A:$D,4,FALSE)),"")</f>
        <v>QUESO SEMIMADURO KIOSKO</v>
      </c>
      <c r="E716" s="42" t="str">
        <f>+IFERROR(IF(GUAYAQUIL[[#This Row],[CODIGO]]="","",VLOOKUP(GUAYAQUIL[[#This Row],[CODIGO]],MAESTRO!$A:$F,6,FALSE)),"")</f>
        <v>QUESO PARMESANO KIOSKO RALLADO</v>
      </c>
      <c r="F716" s="42" t="str">
        <f>IF(GUAYAQUIL[[#This Row],[CODIGO]]="","",$K$6)</f>
        <v>GUAYAQUIL</v>
      </c>
      <c r="G716" s="1">
        <f>IF(GUAYAQUIL[[#This Row],[CODIGO]]="","",7711)</f>
        <v>7711</v>
      </c>
      <c r="H716" s="1">
        <f>IF(GUAYAQUIL[[#This Row],[CODIGO]]="","",1001)</f>
        <v>1001</v>
      </c>
      <c r="I716" s="258" t="s">
        <v>2353</v>
      </c>
      <c r="J716" s="43" t="str">
        <f>IFERROR((VLOOKUP(GUAYAQUIL[[#This Row],[CODIGO]],MAESTRO!A:B,2,FALSE)),"")</f>
        <v>Q PARME KIOSKO RALL BOL 100G</v>
      </c>
      <c r="K716" s="35">
        <v>400</v>
      </c>
      <c r="L716" s="205">
        <f>+IFERROR(IF(GUAYAQUIL[[#This Row],[CODIGO]]="","",VLOOKUP(GUAYAQUIL[[#This Row],[CODIGO]],MAESTRO!$A:$BF,58,FALSE)),"")</f>
        <v>1</v>
      </c>
      <c r="M716" s="27">
        <f>+IFERROR(IF(GUAYAQUIL[[#This Row],[CODIGO]]="","",VLOOKUP(GUAYAQUIL[[#This Row],[CODIGO]],MAESTRO!A:N,14,FALSE)),"")</f>
        <v>0.1</v>
      </c>
      <c r="N716" s="206">
        <f>+IFERROR(IF(GUAYAQUIL[[#This Row],[CODIGO]]="","",VLOOKUP(GUAYAQUIL[[#This Row],[CODIGO]],MAESTRO!A:P,16,FALSE)),"")</f>
        <v>180</v>
      </c>
      <c r="O716" s="303">
        <v>45616</v>
      </c>
      <c r="P716" s="99" t="str">
        <f t="shared" si="57"/>
        <v>miércoles</v>
      </c>
      <c r="Q716" s="304">
        <f>IFERROR(IF(GUAYAQUIL[[#This Row],[CODIGO]]="","",IF(GUAYAQUIL[[#This Row],[Fecha Cad]]="","",(GUAYAQUIL[[#This Row],[Fecha Cad]]-GUAYAQUIL[[#This Row],[VIDA UTIL (Días)]]))+1),"")</f>
        <v>45611</v>
      </c>
      <c r="R716" s="303">
        <v>45790</v>
      </c>
      <c r="S716" s="30">
        <f t="shared" ca="1" si="56"/>
        <v>166</v>
      </c>
      <c r="T716" s="279">
        <f t="shared" ca="1" si="58"/>
        <v>0.92222222222222228</v>
      </c>
      <c r="U716" s="288">
        <v>400</v>
      </c>
      <c r="V716" s="265">
        <f>+IFERROR(IF(GUAYAQUIL[[#This Row],[CODIGO]]="","",GUAYAQUIL[[#This Row],[Stock Actual Unds]]*GUAYAQUIL[[#This Row],[Gramaje]]*GUAYAQUIL[[#This Row],[Conversión]]),"")</f>
        <v>40</v>
      </c>
      <c r="W716" s="280">
        <f t="shared" si="59"/>
        <v>5</v>
      </c>
      <c r="X716" s="44">
        <f t="shared" si="60"/>
        <v>0.97222222222222221</v>
      </c>
      <c r="Y716" s="236">
        <f>IFERROR(VLOOKUP(GUAYAQUIL[[#This Row],[CODIGO]],MAESTRO!A:BI,21,FALSE),0)</f>
        <v>1.0460849999999999</v>
      </c>
      <c r="Z716" s="236">
        <f>+IFERROR(IF(GUAYAQUIL[[#This Row],[CODIGO]]="","",GUAYAQUIL[[#This Row],[COSTO UNIT base]]*GUAYAQUIL[[#This Row],[Conversión]]),"")</f>
        <v>1.0460849999999999</v>
      </c>
      <c r="AA716" s="236">
        <f>+IFERROR(IF(GUAYAQUIL[[#This Row],[CODIGO]]="","",GUAYAQUIL[[#This Row],[COSTO UNIT Conv]]*GUAYAQUIL[[#This Row],[Stock Actual Kgs]]),"")</f>
        <v>41.843399999999995</v>
      </c>
      <c r="AB716" s="180">
        <f ca="1">+IFERROR(IF(GUAYAQUIL[[#This Row],[CODIGO]]="","",$J$3-O716),"")</f>
        <v>8</v>
      </c>
      <c r="AC716" s="35" t="str">
        <f ca="1">IF(GUAYAQUIL[[#This Row],[CODIGO]]="","",IF(S716&lt;=0,"CADUCADO",IF(AND(S716&gt;0,S716&lt;=21),"FECHA CORTA",IF(AND(S716&gt;=22,S716&lt;=26),"PROXIMOS FECHA CORTA", "VIGENTE"))))</f>
        <v>VIGENTE</v>
      </c>
      <c r="AD716" s="289">
        <f>+IF(GUAYAQUIL[[#This Row],[CODIGO]]="","",GUAYAQUIL[[#This Row],[Stock Actual Unds]]*GUAYAQUIL[[#This Row],[Gramaje]]*GUAYAQUIL[[#This Row],[Conversión]])/1000</f>
        <v>0.04</v>
      </c>
    </row>
    <row r="717" spans="1:30">
      <c r="A717" s="42" t="str">
        <f>+IFERROR(IF(GUAYAQUIL[[#This Row],[CODIGO]]="","",VLOOKUP(GUAYAQUIL[[#This Row],[CODIGO]],MAESTRO!$A:$J,10,FALSE)),"")</f>
        <v>SAN GABRIEL</v>
      </c>
      <c r="B717" s="42" t="str">
        <f>+IFERROR(IF(GUAYAQUIL[[#This Row],[CODIGO]]="","",VLOOKUP(GUAYAQUIL[[#This Row],[CODIGO]],MAESTRO!$A:$Q,17,FALSE)),"")</f>
        <v>QUESOS Y GRASAS</v>
      </c>
      <c r="C717" s="42" t="str">
        <f>+IFERROR(IF(GUAYAQUIL[[#This Row],[CODIGO]]="","",VLOOKUP(GUAYAQUIL[[#This Row],[CODIGO]],MAESTRO!$A:$BA,53,FALSE)),"")</f>
        <v xml:space="preserve">Esteban Montenegro                      </v>
      </c>
      <c r="D717" s="42" t="str">
        <f>+IFERROR(IF(GUAYAQUIL[[#This Row],[CODIGO]]="","",VLOOKUP(GUAYAQUIL[[#This Row],[CODIGO]],MAESTRO!$A:$D,4,FALSE)),"")</f>
        <v>QUESO SEMIMADURO KIOSKO</v>
      </c>
      <c r="E717" s="42" t="str">
        <f>+IFERROR(IF(GUAYAQUIL[[#This Row],[CODIGO]]="","",VLOOKUP(GUAYAQUIL[[#This Row],[CODIGO]],MAESTRO!$A:$F,6,FALSE)),"")</f>
        <v>QUESO PARMESANO KIOSKO RALLADO</v>
      </c>
      <c r="F717" s="42" t="str">
        <f>IF(GUAYAQUIL[[#This Row],[CODIGO]]="","",$K$6)</f>
        <v>GUAYAQUIL</v>
      </c>
      <c r="G717" s="1">
        <f>IF(GUAYAQUIL[[#This Row],[CODIGO]]="","",7711)</f>
        <v>7711</v>
      </c>
      <c r="H717" s="1">
        <f>IF(GUAYAQUIL[[#This Row],[CODIGO]]="","",1001)</f>
        <v>1001</v>
      </c>
      <c r="I717" s="258" t="s">
        <v>2353</v>
      </c>
      <c r="J717" s="43" t="str">
        <f>IFERROR((VLOOKUP(GUAYAQUIL[[#This Row],[CODIGO]],MAESTRO!A:B,2,FALSE)),"")</f>
        <v>Q PARME KIOSKO RALL BOL 100G</v>
      </c>
      <c r="K717" s="35">
        <v>400</v>
      </c>
      <c r="L717" s="205">
        <f>+IFERROR(IF(GUAYAQUIL[[#This Row],[CODIGO]]="","",VLOOKUP(GUAYAQUIL[[#This Row],[CODIGO]],MAESTRO!$A:$BF,58,FALSE)),"")</f>
        <v>1</v>
      </c>
      <c r="M717" s="27">
        <f>+IFERROR(IF(GUAYAQUIL[[#This Row],[CODIGO]]="","",VLOOKUP(GUAYAQUIL[[#This Row],[CODIGO]],MAESTRO!A:N,14,FALSE)),"")</f>
        <v>0.1</v>
      </c>
      <c r="N717" s="206">
        <f>+IFERROR(IF(GUAYAQUIL[[#This Row],[CODIGO]]="","",VLOOKUP(GUAYAQUIL[[#This Row],[CODIGO]],MAESTRO!A:P,16,FALSE)),"")</f>
        <v>180</v>
      </c>
      <c r="O717" s="303">
        <v>45617</v>
      </c>
      <c r="P717" s="99" t="str">
        <f t="shared" si="57"/>
        <v>jueves</v>
      </c>
      <c r="Q717" s="304">
        <f>IFERROR(IF(GUAYAQUIL[[#This Row],[CODIGO]]="","",IF(GUAYAQUIL[[#This Row],[Fecha Cad]]="","",(GUAYAQUIL[[#This Row],[Fecha Cad]]-GUAYAQUIL[[#This Row],[VIDA UTIL (Días)]]))+1),"")</f>
        <v>45611</v>
      </c>
      <c r="R717" s="303">
        <v>45790</v>
      </c>
      <c r="S717" s="30">
        <f t="shared" ca="1" si="56"/>
        <v>166</v>
      </c>
      <c r="T717" s="279">
        <f t="shared" ca="1" si="58"/>
        <v>0.92222222222222228</v>
      </c>
      <c r="U717" s="288">
        <v>400</v>
      </c>
      <c r="V717" s="265">
        <f>+IFERROR(IF(GUAYAQUIL[[#This Row],[CODIGO]]="","",GUAYAQUIL[[#This Row],[Stock Actual Unds]]*GUAYAQUIL[[#This Row],[Gramaje]]*GUAYAQUIL[[#This Row],[Conversión]]),"")</f>
        <v>40</v>
      </c>
      <c r="W717" s="280">
        <f t="shared" si="59"/>
        <v>6</v>
      </c>
      <c r="X717" s="44">
        <f t="shared" si="60"/>
        <v>0.96666666666666667</v>
      </c>
      <c r="Y717" s="236">
        <f>IFERROR(VLOOKUP(GUAYAQUIL[[#This Row],[CODIGO]],MAESTRO!A:BI,21,FALSE),0)</f>
        <v>1.0460849999999999</v>
      </c>
      <c r="Z717" s="236">
        <f>+IFERROR(IF(GUAYAQUIL[[#This Row],[CODIGO]]="","",GUAYAQUIL[[#This Row],[COSTO UNIT base]]*GUAYAQUIL[[#This Row],[Conversión]]),"")</f>
        <v>1.0460849999999999</v>
      </c>
      <c r="AA717" s="236">
        <f>+IFERROR(IF(GUAYAQUIL[[#This Row],[CODIGO]]="","",GUAYAQUIL[[#This Row],[COSTO UNIT Conv]]*GUAYAQUIL[[#This Row],[Stock Actual Kgs]]),"")</f>
        <v>41.843399999999995</v>
      </c>
      <c r="AB717" s="180">
        <f ca="1">+IFERROR(IF(GUAYAQUIL[[#This Row],[CODIGO]]="","",$J$3-O717),"")</f>
        <v>7</v>
      </c>
      <c r="AC717" s="35" t="str">
        <f ca="1">IF(GUAYAQUIL[[#This Row],[CODIGO]]="","",IF(S717&lt;=0,"CADUCADO",IF(AND(S717&gt;0,S717&lt;=21),"FECHA CORTA",IF(AND(S717&gt;=22,S717&lt;=26),"PROXIMOS FECHA CORTA", "VIGENTE"))))</f>
        <v>VIGENTE</v>
      </c>
      <c r="AD717" s="289">
        <f>+IF(GUAYAQUIL[[#This Row],[CODIGO]]="","",GUAYAQUIL[[#This Row],[Stock Actual Unds]]*GUAYAQUIL[[#This Row],[Gramaje]]*GUAYAQUIL[[#This Row],[Conversión]])/1000</f>
        <v>0.04</v>
      </c>
    </row>
    <row r="718" spans="1:30">
      <c r="A718" s="42" t="str">
        <f>+IFERROR(IF(GUAYAQUIL[[#This Row],[CODIGO]]="","",VLOOKUP(GUAYAQUIL[[#This Row],[CODIGO]],MAESTRO!$A:$J,10,FALSE)),"")</f>
        <v>SAN GABRIEL</v>
      </c>
      <c r="B718" s="42" t="str">
        <f>+IFERROR(IF(GUAYAQUIL[[#This Row],[CODIGO]]="","",VLOOKUP(GUAYAQUIL[[#This Row],[CODIGO]],MAESTRO!$A:$Q,17,FALSE)),"")</f>
        <v>QUESOS Y GRASAS</v>
      </c>
      <c r="C718" s="42" t="str">
        <f>+IFERROR(IF(GUAYAQUIL[[#This Row],[CODIGO]]="","",VLOOKUP(GUAYAQUIL[[#This Row],[CODIGO]],MAESTRO!$A:$BA,53,FALSE)),"")</f>
        <v xml:space="preserve">Esteban Montenegro                      </v>
      </c>
      <c r="D718" s="42" t="str">
        <f>+IFERROR(IF(GUAYAQUIL[[#This Row],[CODIGO]]="","",VLOOKUP(GUAYAQUIL[[#This Row],[CODIGO]],MAESTRO!$A:$D,4,FALSE)),"")</f>
        <v>QUESO SEMIMADURO KIOSKO</v>
      </c>
      <c r="E718" s="42" t="str">
        <f>+IFERROR(IF(GUAYAQUIL[[#This Row],[CODIGO]]="","",VLOOKUP(GUAYAQUIL[[#This Row],[CODIGO]],MAESTRO!$A:$F,6,FALSE)),"")</f>
        <v>QUESO PARMESANO KIOSKO RALLADO</v>
      </c>
      <c r="F718" s="42" t="str">
        <f>IF(GUAYAQUIL[[#This Row],[CODIGO]]="","",$K$6)</f>
        <v>GUAYAQUIL</v>
      </c>
      <c r="G718" s="1">
        <f>IF(GUAYAQUIL[[#This Row],[CODIGO]]="","",7711)</f>
        <v>7711</v>
      </c>
      <c r="H718" s="1">
        <f>IF(GUAYAQUIL[[#This Row],[CODIGO]]="","",1001)</f>
        <v>1001</v>
      </c>
      <c r="I718" s="258" t="s">
        <v>2353</v>
      </c>
      <c r="J718" s="43" t="str">
        <f>IFERROR((VLOOKUP(GUAYAQUIL[[#This Row],[CODIGO]],MAESTRO!A:B,2,FALSE)),"")</f>
        <v>Q PARME KIOSKO RALL BOL 100G</v>
      </c>
      <c r="K718" s="35">
        <v>0</v>
      </c>
      <c r="L718" s="205">
        <f>+IFERROR(IF(GUAYAQUIL[[#This Row],[CODIGO]]="","",VLOOKUP(GUAYAQUIL[[#This Row],[CODIGO]],MAESTRO!$A:$BF,58,FALSE)),"")</f>
        <v>1</v>
      </c>
      <c r="M718" s="27">
        <f>+IFERROR(IF(GUAYAQUIL[[#This Row],[CODIGO]]="","",VLOOKUP(GUAYAQUIL[[#This Row],[CODIGO]],MAESTRO!A:N,14,FALSE)),"")</f>
        <v>0.1</v>
      </c>
      <c r="N718" s="206">
        <f>+IFERROR(IF(GUAYAQUIL[[#This Row],[CODIGO]]="","",VLOOKUP(GUAYAQUIL[[#This Row],[CODIGO]],MAESTRO!A:P,16,FALSE)),"")</f>
        <v>180</v>
      </c>
      <c r="O718" s="303">
        <v>45606</v>
      </c>
      <c r="P718" s="99" t="str">
        <f t="shared" si="57"/>
        <v>domingo</v>
      </c>
      <c r="Q718" s="304">
        <f>IFERROR(IF(GUAYAQUIL[[#This Row],[CODIGO]]="","",IF(GUAYAQUIL[[#This Row],[Fecha Cad]]="","",(GUAYAQUIL[[#This Row],[Fecha Cad]]-GUAYAQUIL[[#This Row],[VIDA UTIL (Días)]]))+1),"")</f>
        <v>45606</v>
      </c>
      <c r="R718" s="303">
        <v>45785</v>
      </c>
      <c r="S718" s="30">
        <f t="shared" ca="1" si="56"/>
        <v>161</v>
      </c>
      <c r="T718" s="279">
        <f t="shared" ca="1" si="58"/>
        <v>0.89444444444444449</v>
      </c>
      <c r="U718" s="288">
        <v>2</v>
      </c>
      <c r="V718" s="265">
        <f>+IFERROR(IF(GUAYAQUIL[[#This Row],[CODIGO]]="","",GUAYAQUIL[[#This Row],[Stock Actual Unds]]*GUAYAQUIL[[#This Row],[Gramaje]]*GUAYAQUIL[[#This Row],[Conversión]]),"")</f>
        <v>0.2</v>
      </c>
      <c r="W718" s="280">
        <f t="shared" si="59"/>
        <v>0</v>
      </c>
      <c r="X718" s="44">
        <f t="shared" si="60"/>
        <v>1</v>
      </c>
      <c r="Y718" s="236">
        <f>IFERROR(VLOOKUP(GUAYAQUIL[[#This Row],[CODIGO]],MAESTRO!A:BI,21,FALSE),0)</f>
        <v>1.0460849999999999</v>
      </c>
      <c r="Z718" s="236">
        <f>+IFERROR(IF(GUAYAQUIL[[#This Row],[CODIGO]]="","",GUAYAQUIL[[#This Row],[COSTO UNIT base]]*GUAYAQUIL[[#This Row],[Conversión]]),"")</f>
        <v>1.0460849999999999</v>
      </c>
      <c r="AA718" s="236">
        <f>+IFERROR(IF(GUAYAQUIL[[#This Row],[CODIGO]]="","",GUAYAQUIL[[#This Row],[COSTO UNIT Conv]]*GUAYAQUIL[[#This Row],[Stock Actual Kgs]]),"")</f>
        <v>0.20921699999999999</v>
      </c>
      <c r="AB718" s="180">
        <f ca="1">+IFERROR(IF(GUAYAQUIL[[#This Row],[CODIGO]]="","",$J$3-O718),"")</f>
        <v>18</v>
      </c>
      <c r="AC718" s="35" t="str">
        <f ca="1">IF(GUAYAQUIL[[#This Row],[CODIGO]]="","",IF(S718&lt;=0,"CADUCADO",IF(AND(S718&gt;0,S718&lt;=21),"FECHA CORTA",IF(AND(S718&gt;=22,S718&lt;=26),"PROXIMOS FECHA CORTA", "VIGENTE"))))</f>
        <v>VIGENTE</v>
      </c>
      <c r="AD718" s="289">
        <f>+IF(GUAYAQUIL[[#This Row],[CODIGO]]="","",GUAYAQUIL[[#This Row],[Stock Actual Unds]]*GUAYAQUIL[[#This Row],[Gramaje]]*GUAYAQUIL[[#This Row],[Conversión]])/1000</f>
        <v>2.0000000000000001E-4</v>
      </c>
    </row>
    <row r="719" spans="1:30">
      <c r="A719" s="42" t="str">
        <f>+IFERROR(IF(GUAYAQUIL[[#This Row],[CODIGO]]="","",VLOOKUP(GUAYAQUIL[[#This Row],[CODIGO]],MAESTRO!$A:$J,10,FALSE)),"")</f>
        <v>SAN GABRIEL</v>
      </c>
      <c r="B719" s="42" t="str">
        <f>+IFERROR(IF(GUAYAQUIL[[#This Row],[CODIGO]]="","",VLOOKUP(GUAYAQUIL[[#This Row],[CODIGO]],MAESTRO!$A:$Q,17,FALSE)),"")</f>
        <v>QUESOS Y GRASAS</v>
      </c>
      <c r="C719" s="42" t="str">
        <f>+IFERROR(IF(GUAYAQUIL[[#This Row],[CODIGO]]="","",VLOOKUP(GUAYAQUIL[[#This Row],[CODIGO]],MAESTRO!$A:$BA,53,FALSE)),"")</f>
        <v xml:space="preserve">Esteban Montenegro                      </v>
      </c>
      <c r="D719" s="42" t="str">
        <f>+IFERROR(IF(GUAYAQUIL[[#This Row],[CODIGO]]="","",VLOOKUP(GUAYAQUIL[[#This Row],[CODIGO]],MAESTRO!$A:$D,4,FALSE)),"")</f>
        <v>QUESO MOZARELLA KIOSKO</v>
      </c>
      <c r="E719" s="42" t="str">
        <f>+IFERROR(IF(GUAYAQUIL[[#This Row],[CODIGO]]="","",VLOOKUP(GUAYAQUIL[[#This Row],[CODIGO]],MAESTRO!$A:$F,6,FALSE)),"")</f>
        <v>QUESO MOZARELLA PIZZA KIOSKO RALLADO</v>
      </c>
      <c r="F719" s="42" t="str">
        <f>IF(GUAYAQUIL[[#This Row],[CODIGO]]="","",$K$6)</f>
        <v>GUAYAQUIL</v>
      </c>
      <c r="G719" s="1">
        <f>IF(GUAYAQUIL[[#This Row],[CODIGO]]="","",7711)</f>
        <v>7711</v>
      </c>
      <c r="H719" s="1">
        <f>IF(GUAYAQUIL[[#This Row],[CODIGO]]="","",1001)</f>
        <v>1001</v>
      </c>
      <c r="I719" s="258" t="s">
        <v>173</v>
      </c>
      <c r="J719" s="43" t="str">
        <f>IFERROR((VLOOKUP(GUAYAQUIL[[#This Row],[CODIGO]],MAESTRO!A:B,2,FALSE)),"")</f>
        <v>Q MOZZARELLA PIZZ KIOSKO RALLADO 1.5K</v>
      </c>
      <c r="K719" s="35">
        <v>0</v>
      </c>
      <c r="L719" s="205">
        <f>+IFERROR(IF(GUAYAQUIL[[#This Row],[CODIGO]]="","",VLOOKUP(GUAYAQUIL[[#This Row],[CODIGO]],MAESTRO!$A:$BF,58,FALSE)),"")</f>
        <v>1</v>
      </c>
      <c r="M719" s="27">
        <f>+IFERROR(IF(GUAYAQUIL[[#This Row],[CODIGO]]="","",VLOOKUP(GUAYAQUIL[[#This Row],[CODIGO]],MAESTRO!A:N,14,FALSE)),"")</f>
        <v>1.5</v>
      </c>
      <c r="N719" s="206">
        <f>+IFERROR(IF(GUAYAQUIL[[#This Row],[CODIGO]]="","",VLOOKUP(GUAYAQUIL[[#This Row],[CODIGO]],MAESTRO!A:P,16,FALSE)),"")</f>
        <v>30</v>
      </c>
      <c r="O719" s="303">
        <v>45580</v>
      </c>
      <c r="P719" s="99" t="str">
        <f t="shared" si="57"/>
        <v>martes</v>
      </c>
      <c r="Q719" s="304">
        <f>IFERROR(IF(GUAYAQUIL[[#This Row],[CODIGO]]="","",IF(GUAYAQUIL[[#This Row],[Fecha Cad]]="","",(GUAYAQUIL[[#This Row],[Fecha Cad]]-GUAYAQUIL[[#This Row],[VIDA UTIL (Días)]]))+1),"")</f>
        <v>45730</v>
      </c>
      <c r="R719" s="303">
        <v>45759</v>
      </c>
      <c r="S719" s="30">
        <f t="shared" ca="1" si="56"/>
        <v>135</v>
      </c>
      <c r="T719" s="279">
        <f t="shared" ca="1" si="58"/>
        <v>4.5</v>
      </c>
      <c r="U719" s="288">
        <v>2</v>
      </c>
      <c r="V719" s="265">
        <f>+IFERROR(IF(GUAYAQUIL[[#This Row],[CODIGO]]="","",GUAYAQUIL[[#This Row],[Stock Actual Unds]]*GUAYAQUIL[[#This Row],[Gramaje]]*GUAYAQUIL[[#This Row],[Conversión]]),"")</f>
        <v>3</v>
      </c>
      <c r="W719" s="280">
        <f t="shared" si="59"/>
        <v>-150</v>
      </c>
      <c r="X719" s="44">
        <f t="shared" si="60"/>
        <v>6</v>
      </c>
      <c r="Y719" s="236">
        <f>IFERROR(VLOOKUP(GUAYAQUIL[[#This Row],[CODIGO]],MAESTRO!A:BI,21,FALSE),0)</f>
        <v>9.0726650000000006</v>
      </c>
      <c r="Z719" s="236">
        <f>+IFERROR(IF(GUAYAQUIL[[#This Row],[CODIGO]]="","",GUAYAQUIL[[#This Row],[COSTO UNIT base]]*GUAYAQUIL[[#This Row],[Conversión]]),"")</f>
        <v>9.0726650000000006</v>
      </c>
      <c r="AA719" s="236">
        <f>+IFERROR(IF(GUAYAQUIL[[#This Row],[CODIGO]]="","",GUAYAQUIL[[#This Row],[COSTO UNIT Conv]]*GUAYAQUIL[[#This Row],[Stock Actual Kgs]]),"")</f>
        <v>27.217995000000002</v>
      </c>
      <c r="AB719" s="180">
        <f ca="1">+IFERROR(IF(GUAYAQUIL[[#This Row],[CODIGO]]="","",$J$3-O719),"")</f>
        <v>44</v>
      </c>
      <c r="AC719" s="35" t="str">
        <f ca="1">IF(GUAYAQUIL[[#This Row],[CODIGO]]="","",IF(S719&lt;=0,"CADUCADO",IF(AND(S719&gt;0,S719&lt;=21),"FECHA CORTA",IF(AND(S719&gt;=22,S719&lt;=26),"PROXIMOS FECHA CORTA", "VIGENTE"))))</f>
        <v>VIGENTE</v>
      </c>
      <c r="AD719" s="289">
        <f>+IF(GUAYAQUIL[[#This Row],[CODIGO]]="","",GUAYAQUIL[[#This Row],[Stock Actual Unds]]*GUAYAQUIL[[#This Row],[Gramaje]]*GUAYAQUIL[[#This Row],[Conversión]])/1000</f>
        <v>3.0000000000000001E-3</v>
      </c>
    </row>
    <row r="720" spans="1:30">
      <c r="A720" s="42" t="str">
        <f>+IFERROR(IF(GUAYAQUIL[[#This Row],[CODIGO]]="","",VLOOKUP(GUAYAQUIL[[#This Row],[CODIGO]],MAESTRO!$A:$J,10,FALSE)),"")</f>
        <v>SAN GABRIEL</v>
      </c>
      <c r="B720" s="42" t="str">
        <f>+IFERROR(IF(GUAYAQUIL[[#This Row],[CODIGO]]="","",VLOOKUP(GUAYAQUIL[[#This Row],[CODIGO]],MAESTRO!$A:$Q,17,FALSE)),"")</f>
        <v>QUESOS Y GRASAS</v>
      </c>
      <c r="C720" s="42" t="str">
        <f>+IFERROR(IF(GUAYAQUIL[[#This Row],[CODIGO]]="","",VLOOKUP(GUAYAQUIL[[#This Row],[CODIGO]],MAESTRO!$A:$BA,53,FALSE)),"")</f>
        <v xml:space="preserve">Esteban Montenegro                      </v>
      </c>
      <c r="D720" s="42" t="str">
        <f>+IFERROR(IF(GUAYAQUIL[[#This Row],[CODIGO]]="","",VLOOKUP(GUAYAQUIL[[#This Row],[CODIGO]],MAESTRO!$A:$D,4,FALSE)),"")</f>
        <v>QUESO MOZARELLA KIOSKO</v>
      </c>
      <c r="E720" s="42" t="str">
        <f>+IFERROR(IF(GUAYAQUIL[[#This Row],[CODIGO]]="","",VLOOKUP(GUAYAQUIL[[#This Row],[CODIGO]],MAESTRO!$A:$F,6,FALSE)),"")</f>
        <v>QUESO MOZARELLA PIZZA KIOSKO RALLADO</v>
      </c>
      <c r="F720" s="42" t="str">
        <f>IF(GUAYAQUIL[[#This Row],[CODIGO]]="","",$K$6)</f>
        <v>GUAYAQUIL</v>
      </c>
      <c r="G720" s="1">
        <f>IF(GUAYAQUIL[[#This Row],[CODIGO]]="","",7711)</f>
        <v>7711</v>
      </c>
      <c r="H720" s="1">
        <f>IF(GUAYAQUIL[[#This Row],[CODIGO]]="","",1001)</f>
        <v>1001</v>
      </c>
      <c r="I720" s="258" t="s">
        <v>173</v>
      </c>
      <c r="J720" s="43" t="str">
        <f>IFERROR((VLOOKUP(GUAYAQUIL[[#This Row],[CODIGO]],MAESTRO!A:B,2,FALSE)),"")</f>
        <v>Q MOZZARELLA PIZZ KIOSKO RALLADO 1.5K</v>
      </c>
      <c r="K720" s="35">
        <v>79</v>
      </c>
      <c r="L720" s="205">
        <f>+IFERROR(IF(GUAYAQUIL[[#This Row],[CODIGO]]="","",VLOOKUP(GUAYAQUIL[[#This Row],[CODIGO]],MAESTRO!$A:$BF,58,FALSE)),"")</f>
        <v>1</v>
      </c>
      <c r="M720" s="27">
        <f>+IFERROR(IF(GUAYAQUIL[[#This Row],[CODIGO]]="","",VLOOKUP(GUAYAQUIL[[#This Row],[CODIGO]],MAESTRO!A:N,14,FALSE)),"")</f>
        <v>1.5</v>
      </c>
      <c r="N720" s="206">
        <f>+IFERROR(IF(GUAYAQUIL[[#This Row],[CODIGO]]="","",VLOOKUP(GUAYAQUIL[[#This Row],[CODIGO]],MAESTRO!A:P,16,FALSE)),"")</f>
        <v>30</v>
      </c>
      <c r="O720" s="303">
        <v>45610</v>
      </c>
      <c r="P720" s="99" t="str">
        <f t="shared" si="57"/>
        <v>jueves</v>
      </c>
      <c r="Q720" s="304">
        <f>IFERROR(IF(GUAYAQUIL[[#This Row],[CODIGO]]="","",IF(GUAYAQUIL[[#This Row],[Fecha Cad]]="","",(GUAYAQUIL[[#This Row],[Fecha Cad]]-GUAYAQUIL[[#This Row],[VIDA UTIL (Días)]]))+1),"")</f>
        <v>45609</v>
      </c>
      <c r="R720" s="303">
        <v>45638</v>
      </c>
      <c r="S720" s="30">
        <f t="shared" ca="1" si="56"/>
        <v>14</v>
      </c>
      <c r="T720" s="279">
        <f t="shared" ca="1" si="58"/>
        <v>0.46666666666666667</v>
      </c>
      <c r="U720" s="288">
        <v>60</v>
      </c>
      <c r="V720" s="265">
        <f>+IFERROR(IF(GUAYAQUIL[[#This Row],[CODIGO]]="","",GUAYAQUIL[[#This Row],[Stock Actual Unds]]*GUAYAQUIL[[#This Row],[Gramaje]]*GUAYAQUIL[[#This Row],[Conversión]]),"")</f>
        <v>90</v>
      </c>
      <c r="W720" s="280">
        <f t="shared" si="59"/>
        <v>1</v>
      </c>
      <c r="X720" s="44">
        <f t="shared" si="60"/>
        <v>0.96666666666666667</v>
      </c>
      <c r="Y720" s="236">
        <f>IFERROR(VLOOKUP(GUAYAQUIL[[#This Row],[CODIGO]],MAESTRO!A:BI,21,FALSE),0)</f>
        <v>9.0726650000000006</v>
      </c>
      <c r="Z720" s="236">
        <f>+IFERROR(IF(GUAYAQUIL[[#This Row],[CODIGO]]="","",GUAYAQUIL[[#This Row],[COSTO UNIT base]]*GUAYAQUIL[[#This Row],[Conversión]]),"")</f>
        <v>9.0726650000000006</v>
      </c>
      <c r="AA720" s="236">
        <f>+IFERROR(IF(GUAYAQUIL[[#This Row],[CODIGO]]="","",GUAYAQUIL[[#This Row],[COSTO UNIT Conv]]*GUAYAQUIL[[#This Row],[Stock Actual Kgs]]),"")</f>
        <v>816.53985000000011</v>
      </c>
      <c r="AB720" s="180">
        <f ca="1">+IFERROR(IF(GUAYAQUIL[[#This Row],[CODIGO]]="","",$J$3-O720),"")</f>
        <v>14</v>
      </c>
      <c r="AC720" s="35" t="str">
        <f ca="1">IF(GUAYAQUIL[[#This Row],[CODIGO]]="","",IF(S720&lt;=0,"CADUCADO",IF(AND(S720&gt;0,S720&lt;=21),"FECHA CORTA",IF(AND(S720&gt;=22,S720&lt;=26),"PROXIMOS FECHA CORTA", "VIGENTE"))))</f>
        <v>FECHA CORTA</v>
      </c>
      <c r="AD720" s="289">
        <f>+IF(GUAYAQUIL[[#This Row],[CODIGO]]="","",GUAYAQUIL[[#This Row],[Stock Actual Unds]]*GUAYAQUIL[[#This Row],[Gramaje]]*GUAYAQUIL[[#This Row],[Conversión]])/1000</f>
        <v>0.09</v>
      </c>
    </row>
    <row r="721" spans="1:30">
      <c r="A721" s="42" t="str">
        <f>+IFERROR(IF(GUAYAQUIL[[#This Row],[CODIGO]]="","",VLOOKUP(GUAYAQUIL[[#This Row],[CODIGO]],MAESTRO!$A:$J,10,FALSE)),"")</f>
        <v>SAN GABRIEL</v>
      </c>
      <c r="B721" s="42" t="str">
        <f>+IFERROR(IF(GUAYAQUIL[[#This Row],[CODIGO]]="","",VLOOKUP(GUAYAQUIL[[#This Row],[CODIGO]],MAESTRO!$A:$Q,17,FALSE)),"")</f>
        <v>QUESOS Y GRASAS</v>
      </c>
      <c r="C721" s="42" t="str">
        <f>+IFERROR(IF(GUAYAQUIL[[#This Row],[CODIGO]]="","",VLOOKUP(GUAYAQUIL[[#This Row],[CODIGO]],MAESTRO!$A:$BA,53,FALSE)),"")</f>
        <v xml:space="preserve">Esteban Montenegro                      </v>
      </c>
      <c r="D721" s="42" t="str">
        <f>+IFERROR(IF(GUAYAQUIL[[#This Row],[CODIGO]]="","",VLOOKUP(GUAYAQUIL[[#This Row],[CODIGO]],MAESTRO!$A:$D,4,FALSE)),"")</f>
        <v>QUESO MOZARELLA KIOSKO</v>
      </c>
      <c r="E721" s="42" t="str">
        <f>+IFERROR(IF(GUAYAQUIL[[#This Row],[CODIGO]]="","",VLOOKUP(GUAYAQUIL[[#This Row],[CODIGO]],MAESTRO!$A:$F,6,FALSE)),"")</f>
        <v>QUESO MOZARELLA PIZZA KIOSKO RALLADO</v>
      </c>
      <c r="F721" s="42" t="str">
        <f>IF(GUAYAQUIL[[#This Row],[CODIGO]]="","",$K$6)</f>
        <v>GUAYAQUIL</v>
      </c>
      <c r="G721" s="1">
        <f>IF(GUAYAQUIL[[#This Row],[CODIGO]]="","",7711)</f>
        <v>7711</v>
      </c>
      <c r="H721" s="1">
        <f>IF(GUAYAQUIL[[#This Row],[CODIGO]]="","",1001)</f>
        <v>1001</v>
      </c>
      <c r="I721" s="258" t="s">
        <v>173</v>
      </c>
      <c r="J721" s="43" t="str">
        <f>IFERROR((VLOOKUP(GUAYAQUIL[[#This Row],[CODIGO]],MAESTRO!A:B,2,FALSE)),"")</f>
        <v>Q MOZZARELLA PIZZ KIOSKO RALLADO 1.5K</v>
      </c>
      <c r="K721" s="35">
        <v>40</v>
      </c>
      <c r="L721" s="205">
        <f>+IFERROR(IF(GUAYAQUIL[[#This Row],[CODIGO]]="","",VLOOKUP(GUAYAQUIL[[#This Row],[CODIGO]],MAESTRO!$A:$BF,58,FALSE)),"")</f>
        <v>1</v>
      </c>
      <c r="M721" s="27">
        <f>+IFERROR(IF(GUAYAQUIL[[#This Row],[CODIGO]]="","",VLOOKUP(GUAYAQUIL[[#This Row],[CODIGO]],MAESTRO!A:N,14,FALSE)),"")</f>
        <v>1.5</v>
      </c>
      <c r="N721" s="206">
        <f>+IFERROR(IF(GUAYAQUIL[[#This Row],[CODIGO]]="","",VLOOKUP(GUAYAQUIL[[#This Row],[CODIGO]],MAESTRO!A:P,16,FALSE)),"")</f>
        <v>30</v>
      </c>
      <c r="O721" s="303">
        <v>45615</v>
      </c>
      <c r="P721" s="99" t="str">
        <f t="shared" si="57"/>
        <v>martes</v>
      </c>
      <c r="Q721" s="304">
        <f>IFERROR(IF(GUAYAQUIL[[#This Row],[CODIGO]]="","",IF(GUAYAQUIL[[#This Row],[Fecha Cad]]="","",(GUAYAQUIL[[#This Row],[Fecha Cad]]-GUAYAQUIL[[#This Row],[VIDA UTIL (Días)]]))+1),"")</f>
        <v>45613</v>
      </c>
      <c r="R721" s="303">
        <v>45642</v>
      </c>
      <c r="S721" s="30">
        <f t="shared" ca="1" si="56"/>
        <v>18</v>
      </c>
      <c r="T721" s="279">
        <f t="shared" ca="1" si="58"/>
        <v>0.6</v>
      </c>
      <c r="U721" s="288">
        <v>40</v>
      </c>
      <c r="V721" s="265">
        <f>+IFERROR(IF(GUAYAQUIL[[#This Row],[CODIGO]]="","",GUAYAQUIL[[#This Row],[Stock Actual Unds]]*GUAYAQUIL[[#This Row],[Gramaje]]*GUAYAQUIL[[#This Row],[Conversión]]),"")</f>
        <v>60</v>
      </c>
      <c r="W721" s="280">
        <f t="shared" si="59"/>
        <v>2</v>
      </c>
      <c r="X721" s="44">
        <f t="shared" si="60"/>
        <v>0.93333333333333335</v>
      </c>
      <c r="Y721" s="236">
        <f>IFERROR(VLOOKUP(GUAYAQUIL[[#This Row],[CODIGO]],MAESTRO!A:BI,21,FALSE),0)</f>
        <v>9.0726650000000006</v>
      </c>
      <c r="Z721" s="236">
        <f>+IFERROR(IF(GUAYAQUIL[[#This Row],[CODIGO]]="","",GUAYAQUIL[[#This Row],[COSTO UNIT base]]*GUAYAQUIL[[#This Row],[Conversión]]),"")</f>
        <v>9.0726650000000006</v>
      </c>
      <c r="AA721" s="236">
        <f>+IFERROR(IF(GUAYAQUIL[[#This Row],[CODIGO]]="","",GUAYAQUIL[[#This Row],[COSTO UNIT Conv]]*GUAYAQUIL[[#This Row],[Stock Actual Kgs]]),"")</f>
        <v>544.35990000000004</v>
      </c>
      <c r="AB721" s="180">
        <f ca="1">+IFERROR(IF(GUAYAQUIL[[#This Row],[CODIGO]]="","",$J$3-O721),"")</f>
        <v>9</v>
      </c>
      <c r="AC721" s="35" t="str">
        <f ca="1">IF(GUAYAQUIL[[#This Row],[CODIGO]]="","",IF(S721&lt;=0,"CADUCADO",IF(AND(S721&gt;0,S721&lt;=21),"FECHA CORTA",IF(AND(S721&gt;=22,S721&lt;=26),"PROXIMOS FECHA CORTA", "VIGENTE"))))</f>
        <v>FECHA CORTA</v>
      </c>
      <c r="AD721" s="289">
        <f>+IF(GUAYAQUIL[[#This Row],[CODIGO]]="","",GUAYAQUIL[[#This Row],[Stock Actual Unds]]*GUAYAQUIL[[#This Row],[Gramaje]]*GUAYAQUIL[[#This Row],[Conversión]])/1000</f>
        <v>0.06</v>
      </c>
    </row>
    <row r="722" spans="1:30">
      <c r="A722" s="42" t="str">
        <f>+IFERROR(IF(GUAYAQUIL[[#This Row],[CODIGO]]="","",VLOOKUP(GUAYAQUIL[[#This Row],[CODIGO]],MAESTRO!$A:$J,10,FALSE)),"")</f>
        <v>SAN GABRIEL</v>
      </c>
      <c r="B722" s="42" t="str">
        <f>+IFERROR(IF(GUAYAQUIL[[#This Row],[CODIGO]]="","",VLOOKUP(GUAYAQUIL[[#This Row],[CODIGO]],MAESTRO!$A:$Q,17,FALSE)),"")</f>
        <v>QUESOS Y GRASAS</v>
      </c>
      <c r="C722" s="42" t="str">
        <f>+IFERROR(IF(GUAYAQUIL[[#This Row],[CODIGO]]="","",VLOOKUP(GUAYAQUIL[[#This Row],[CODIGO]],MAESTRO!$A:$BA,53,FALSE)),"")</f>
        <v xml:space="preserve">Esteban Montenegro                      </v>
      </c>
      <c r="D722" s="42" t="str">
        <f>+IFERROR(IF(GUAYAQUIL[[#This Row],[CODIGO]]="","",VLOOKUP(GUAYAQUIL[[#This Row],[CODIGO]],MAESTRO!$A:$D,4,FALSE)),"")</f>
        <v>QUESO MOZARELLA KIOSKO</v>
      </c>
      <c r="E722" s="42" t="str">
        <f>+IFERROR(IF(GUAYAQUIL[[#This Row],[CODIGO]]="","",VLOOKUP(GUAYAQUIL[[#This Row],[CODIGO]],MAESTRO!$A:$F,6,FALSE)),"")</f>
        <v>QUESO MOZARELLA PIZZA KIOSKO RALLADO</v>
      </c>
      <c r="F722" s="42" t="str">
        <f>IF(GUAYAQUIL[[#This Row],[CODIGO]]="","",$K$6)</f>
        <v>GUAYAQUIL</v>
      </c>
      <c r="G722" s="1">
        <f>IF(GUAYAQUIL[[#This Row],[CODIGO]]="","",7711)</f>
        <v>7711</v>
      </c>
      <c r="H722" s="1">
        <f>IF(GUAYAQUIL[[#This Row],[CODIGO]]="","",1001)</f>
        <v>1001</v>
      </c>
      <c r="I722" s="258" t="s">
        <v>173</v>
      </c>
      <c r="J722" s="43" t="str">
        <f>IFERROR((VLOOKUP(GUAYAQUIL[[#This Row],[CODIGO]],MAESTRO!A:B,2,FALSE)),"")</f>
        <v>Q MOZZARELLA PIZZ KIOSKO RALLADO 1.5K</v>
      </c>
      <c r="K722" s="35">
        <v>15</v>
      </c>
      <c r="L722" s="205">
        <f>+IFERROR(IF(GUAYAQUIL[[#This Row],[CODIGO]]="","",VLOOKUP(GUAYAQUIL[[#This Row],[CODIGO]],MAESTRO!$A:$BF,58,FALSE)),"")</f>
        <v>1</v>
      </c>
      <c r="M722" s="27">
        <f>+IFERROR(IF(GUAYAQUIL[[#This Row],[CODIGO]]="","",VLOOKUP(GUAYAQUIL[[#This Row],[CODIGO]],MAESTRO!A:N,14,FALSE)),"")</f>
        <v>1.5</v>
      </c>
      <c r="N722" s="206">
        <f>+IFERROR(IF(GUAYAQUIL[[#This Row],[CODIGO]]="","",VLOOKUP(GUAYAQUIL[[#This Row],[CODIGO]],MAESTRO!A:P,16,FALSE)),"")</f>
        <v>30</v>
      </c>
      <c r="O722" s="303">
        <v>45617</v>
      </c>
      <c r="P722" s="99" t="str">
        <f t="shared" si="57"/>
        <v>jueves</v>
      </c>
      <c r="Q722" s="304">
        <f>IFERROR(IF(GUAYAQUIL[[#This Row],[CODIGO]]="","",IF(GUAYAQUIL[[#This Row],[Fecha Cad]]="","",(GUAYAQUIL[[#This Row],[Fecha Cad]]-GUAYAQUIL[[#This Row],[VIDA UTIL (Días)]]))+1),"")</f>
        <v>45616</v>
      </c>
      <c r="R722" s="303">
        <v>45645</v>
      </c>
      <c r="S722" s="30">
        <f t="shared" ca="1" si="56"/>
        <v>21</v>
      </c>
      <c r="T722" s="279">
        <f t="shared" ca="1" si="58"/>
        <v>0.7</v>
      </c>
      <c r="U722" s="288">
        <v>15</v>
      </c>
      <c r="V722" s="265">
        <f>+IFERROR(IF(GUAYAQUIL[[#This Row],[CODIGO]]="","",GUAYAQUIL[[#This Row],[Stock Actual Unds]]*GUAYAQUIL[[#This Row],[Gramaje]]*GUAYAQUIL[[#This Row],[Conversión]]),"")</f>
        <v>22.5</v>
      </c>
      <c r="W722" s="280">
        <f t="shared" si="59"/>
        <v>1</v>
      </c>
      <c r="X722" s="44">
        <f t="shared" si="60"/>
        <v>0.96666666666666667</v>
      </c>
      <c r="Y722" s="236">
        <f>IFERROR(VLOOKUP(GUAYAQUIL[[#This Row],[CODIGO]],MAESTRO!A:BI,21,FALSE),0)</f>
        <v>9.0726650000000006</v>
      </c>
      <c r="Z722" s="236">
        <f>+IFERROR(IF(GUAYAQUIL[[#This Row],[CODIGO]]="","",GUAYAQUIL[[#This Row],[COSTO UNIT base]]*GUAYAQUIL[[#This Row],[Conversión]]),"")</f>
        <v>9.0726650000000006</v>
      </c>
      <c r="AA722" s="236">
        <f>+IFERROR(IF(GUAYAQUIL[[#This Row],[CODIGO]]="","",GUAYAQUIL[[#This Row],[COSTO UNIT Conv]]*GUAYAQUIL[[#This Row],[Stock Actual Kgs]]),"")</f>
        <v>204.13496250000003</v>
      </c>
      <c r="AB722" s="180">
        <f ca="1">+IFERROR(IF(GUAYAQUIL[[#This Row],[CODIGO]]="","",$J$3-O722),"")</f>
        <v>7</v>
      </c>
      <c r="AC722" s="35" t="str">
        <f ca="1">IF(GUAYAQUIL[[#This Row],[CODIGO]]="","",IF(S722&lt;=0,"CADUCADO",IF(AND(S722&gt;0,S722&lt;=21),"FECHA CORTA",IF(AND(S722&gt;=22,S722&lt;=26),"PROXIMOS FECHA CORTA", "VIGENTE"))))</f>
        <v>FECHA CORTA</v>
      </c>
      <c r="AD722" s="289">
        <f>+IF(GUAYAQUIL[[#This Row],[CODIGO]]="","",GUAYAQUIL[[#This Row],[Stock Actual Unds]]*GUAYAQUIL[[#This Row],[Gramaje]]*GUAYAQUIL[[#This Row],[Conversión]])/1000</f>
        <v>2.2499999999999999E-2</v>
      </c>
    </row>
    <row r="723" spans="1:30">
      <c r="A723" s="42" t="str">
        <f>+IFERROR(IF(GUAYAQUIL[[#This Row],[CODIGO]]="","",VLOOKUP(GUAYAQUIL[[#This Row],[CODIGO]],MAESTRO!$A:$J,10,FALSE)),"")</f>
        <v>SAN GABRIEL</v>
      </c>
      <c r="B723" s="42" t="str">
        <f>+IFERROR(IF(GUAYAQUIL[[#This Row],[CODIGO]]="","",VLOOKUP(GUAYAQUIL[[#This Row],[CODIGO]],MAESTRO!$A:$Q,17,FALSE)),"")</f>
        <v>QUESOS Y GRASAS</v>
      </c>
      <c r="C723" s="42" t="str">
        <f>+IFERROR(IF(GUAYAQUIL[[#This Row],[CODIGO]]="","",VLOOKUP(GUAYAQUIL[[#This Row],[CODIGO]],MAESTRO!$A:$BA,53,FALSE)),"")</f>
        <v xml:space="preserve">Esteban Montenegro                      </v>
      </c>
      <c r="D723" s="42" t="str">
        <f>+IFERROR(IF(GUAYAQUIL[[#This Row],[CODIGO]]="","",VLOOKUP(GUAYAQUIL[[#This Row],[CODIGO]],MAESTRO!$A:$D,4,FALSE)),"")</f>
        <v>QUESO SEMIMADURO KIOSKO</v>
      </c>
      <c r="E723" s="42" t="str">
        <f>+IFERROR(IF(GUAYAQUIL[[#This Row],[CODIGO]]="","",VLOOKUP(GUAYAQUIL[[#This Row],[CODIGO]],MAESTRO!$A:$F,6,FALSE)),"")</f>
        <v>QUESO HOLANDES KIOSKO TAJADO</v>
      </c>
      <c r="F723" s="42" t="str">
        <f>IF(GUAYAQUIL[[#This Row],[CODIGO]]="","",$K$6)</f>
        <v>GUAYAQUIL</v>
      </c>
      <c r="G723" s="1">
        <f>IF(GUAYAQUIL[[#This Row],[CODIGO]]="","",7711)</f>
        <v>7711</v>
      </c>
      <c r="H723" s="1">
        <f>IF(GUAYAQUIL[[#This Row],[CODIGO]]="","",1001)</f>
        <v>1001</v>
      </c>
      <c r="I723" s="258" t="s">
        <v>3215</v>
      </c>
      <c r="J723" s="43" t="str">
        <f>IFERROR((VLOOKUP(GUAYAQUIL[[#This Row],[CODIGO]],MAESTRO!A:B,2,FALSE)),"")</f>
        <v>Q HOLAN KIOSKO LONJ 500G BKING</v>
      </c>
      <c r="K723" s="35">
        <v>36</v>
      </c>
      <c r="L723" s="205">
        <f>+IFERROR(IF(GUAYAQUIL[[#This Row],[CODIGO]]="","",VLOOKUP(GUAYAQUIL[[#This Row],[CODIGO]],MAESTRO!$A:$BF,58,FALSE)),"")</f>
        <v>1</v>
      </c>
      <c r="M723" s="27">
        <f>+IFERROR(IF(GUAYAQUIL[[#This Row],[CODIGO]]="","",VLOOKUP(GUAYAQUIL[[#This Row],[CODIGO]],MAESTRO!A:N,14,FALSE)),"")</f>
        <v>0.5</v>
      </c>
      <c r="N723" s="206">
        <f>+IFERROR(IF(GUAYAQUIL[[#This Row],[CODIGO]]="","",VLOOKUP(GUAYAQUIL[[#This Row],[CODIGO]],MAESTRO!A:P,16,FALSE)),"")</f>
        <v>90</v>
      </c>
      <c r="O723" s="303">
        <v>45604</v>
      </c>
      <c r="P723" s="99" t="str">
        <f t="shared" si="57"/>
        <v>viernes</v>
      </c>
      <c r="Q723" s="304">
        <f>IFERROR(IF(GUAYAQUIL[[#This Row],[CODIGO]]="","",IF(GUAYAQUIL[[#This Row],[Fecha Cad]]="","",(GUAYAQUIL[[#This Row],[Fecha Cad]]-GUAYAQUIL[[#This Row],[VIDA UTIL (Días)]]))+1),"")</f>
        <v>45603</v>
      </c>
      <c r="R723" s="303">
        <v>45692</v>
      </c>
      <c r="S723" s="30">
        <f t="shared" ca="1" si="56"/>
        <v>68</v>
      </c>
      <c r="T723" s="279">
        <f t="shared" ca="1" si="58"/>
        <v>0.75555555555555554</v>
      </c>
      <c r="U723" s="288">
        <v>20</v>
      </c>
      <c r="V723" s="265">
        <f>+IFERROR(IF(GUAYAQUIL[[#This Row],[CODIGO]]="","",GUAYAQUIL[[#This Row],[Stock Actual Unds]]*GUAYAQUIL[[#This Row],[Gramaje]]*GUAYAQUIL[[#This Row],[Conversión]]),"")</f>
        <v>10</v>
      </c>
      <c r="W723" s="280">
        <f t="shared" si="59"/>
        <v>1</v>
      </c>
      <c r="X723" s="44">
        <f t="shared" si="60"/>
        <v>0.98888888888888893</v>
      </c>
      <c r="Y723" s="236">
        <f>IFERROR(VLOOKUP(GUAYAQUIL[[#This Row],[CODIGO]],MAESTRO!A:BI,21,FALSE),0)</f>
        <v>4.3248100000000003</v>
      </c>
      <c r="Z723" s="236">
        <f>+IFERROR(IF(GUAYAQUIL[[#This Row],[CODIGO]]="","",GUAYAQUIL[[#This Row],[COSTO UNIT base]]*GUAYAQUIL[[#This Row],[Conversión]]),"")</f>
        <v>4.3248100000000003</v>
      </c>
      <c r="AA723" s="236">
        <f>+IFERROR(IF(GUAYAQUIL[[#This Row],[CODIGO]]="","",GUAYAQUIL[[#This Row],[COSTO UNIT Conv]]*GUAYAQUIL[[#This Row],[Stock Actual Kgs]]),"")</f>
        <v>43.248100000000001</v>
      </c>
      <c r="AB723" s="180">
        <f ca="1">+IFERROR(IF(GUAYAQUIL[[#This Row],[CODIGO]]="","",$J$3-O723),"")</f>
        <v>20</v>
      </c>
      <c r="AC723" s="35" t="str">
        <f ca="1">IF(GUAYAQUIL[[#This Row],[CODIGO]]="","",IF(S723&lt;=0,"CADUCADO",IF(AND(S723&gt;0,S723&lt;=21),"FECHA CORTA",IF(AND(S723&gt;=22,S723&lt;=26),"PROXIMOS FECHA CORTA", "VIGENTE"))))</f>
        <v>VIGENTE</v>
      </c>
      <c r="AD723" s="289">
        <f>+IF(GUAYAQUIL[[#This Row],[CODIGO]]="","",GUAYAQUIL[[#This Row],[Stock Actual Unds]]*GUAYAQUIL[[#This Row],[Gramaje]]*GUAYAQUIL[[#This Row],[Conversión]])/1000</f>
        <v>0.01</v>
      </c>
    </row>
    <row r="724" spans="1:30">
      <c r="A724" s="42" t="str">
        <f>+IFERROR(IF(GUAYAQUIL[[#This Row],[CODIGO]]="","",VLOOKUP(GUAYAQUIL[[#This Row],[CODIGO]],MAESTRO!$A:$J,10,FALSE)),"")</f>
        <v>SAN GABRIEL</v>
      </c>
      <c r="B724" s="42" t="str">
        <f>+IFERROR(IF(GUAYAQUIL[[#This Row],[CODIGO]]="","",VLOOKUP(GUAYAQUIL[[#This Row],[CODIGO]],MAESTRO!$A:$Q,17,FALSE)),"")</f>
        <v>QUESOS Y GRASAS</v>
      </c>
      <c r="C724" s="42" t="str">
        <f>+IFERROR(IF(GUAYAQUIL[[#This Row],[CODIGO]]="","",VLOOKUP(GUAYAQUIL[[#This Row],[CODIGO]],MAESTRO!$A:$BA,53,FALSE)),"")</f>
        <v xml:space="preserve">Esteban Montenegro                      </v>
      </c>
      <c r="D724" s="42" t="str">
        <f>+IFERROR(IF(GUAYAQUIL[[#This Row],[CODIGO]]="","",VLOOKUP(GUAYAQUIL[[#This Row],[CODIGO]],MAESTRO!$A:$D,4,FALSE)),"")</f>
        <v>QUESO SEMIMADURO KIOSKO</v>
      </c>
      <c r="E724" s="42" t="str">
        <f>+IFERROR(IF(GUAYAQUIL[[#This Row],[CODIGO]]="","",VLOOKUP(GUAYAQUIL[[#This Row],[CODIGO]],MAESTRO!$A:$F,6,FALSE)),"")</f>
        <v>QUESO HOLANDES KIOSKO TAJADO</v>
      </c>
      <c r="F724" s="42" t="str">
        <f>IF(GUAYAQUIL[[#This Row],[CODIGO]]="","",$K$6)</f>
        <v>GUAYAQUIL</v>
      </c>
      <c r="G724" s="1">
        <f>IF(GUAYAQUIL[[#This Row],[CODIGO]]="","",7711)</f>
        <v>7711</v>
      </c>
      <c r="H724" s="1">
        <f>IF(GUAYAQUIL[[#This Row],[CODIGO]]="","",1001)</f>
        <v>1001</v>
      </c>
      <c r="I724" s="258" t="s">
        <v>3215</v>
      </c>
      <c r="J724" s="43" t="str">
        <f>IFERROR((VLOOKUP(GUAYAQUIL[[#This Row],[CODIGO]],MAESTRO!A:B,2,FALSE)),"")</f>
        <v>Q HOLAN KIOSKO LONJ 500G BKING</v>
      </c>
      <c r="K724" s="35">
        <v>12</v>
      </c>
      <c r="L724" s="205">
        <f>+IFERROR(IF(GUAYAQUIL[[#This Row],[CODIGO]]="","",VLOOKUP(GUAYAQUIL[[#This Row],[CODIGO]],MAESTRO!$A:$BF,58,FALSE)),"")</f>
        <v>1</v>
      </c>
      <c r="M724" s="27">
        <f>+IFERROR(IF(GUAYAQUIL[[#This Row],[CODIGO]]="","",VLOOKUP(GUAYAQUIL[[#This Row],[CODIGO]],MAESTRO!A:N,14,FALSE)),"")</f>
        <v>0.5</v>
      </c>
      <c r="N724" s="206">
        <f>+IFERROR(IF(GUAYAQUIL[[#This Row],[CODIGO]]="","",VLOOKUP(GUAYAQUIL[[#This Row],[CODIGO]],MAESTRO!A:P,16,FALSE)),"")</f>
        <v>90</v>
      </c>
      <c r="O724" s="303">
        <v>45611</v>
      </c>
      <c r="P724" s="99" t="str">
        <f t="shared" si="57"/>
        <v>viernes</v>
      </c>
      <c r="Q724" s="304">
        <f>IFERROR(IF(GUAYAQUIL[[#This Row],[CODIGO]]="","",IF(GUAYAQUIL[[#This Row],[Fecha Cad]]="","",(GUAYAQUIL[[#This Row],[Fecha Cad]]-GUAYAQUIL[[#This Row],[VIDA UTIL (Días)]]))+1),"")</f>
        <v>45610</v>
      </c>
      <c r="R724" s="303">
        <v>45699</v>
      </c>
      <c r="S724" s="30">
        <f t="shared" ca="1" si="56"/>
        <v>75</v>
      </c>
      <c r="T724" s="279">
        <f t="shared" ca="1" si="58"/>
        <v>0.83333333333333337</v>
      </c>
      <c r="U724" s="288">
        <v>12</v>
      </c>
      <c r="V724" s="265">
        <f>+IFERROR(IF(GUAYAQUIL[[#This Row],[CODIGO]]="","",GUAYAQUIL[[#This Row],[Stock Actual Unds]]*GUAYAQUIL[[#This Row],[Gramaje]]*GUAYAQUIL[[#This Row],[Conversión]]),"")</f>
        <v>6</v>
      </c>
      <c r="W724" s="280">
        <f t="shared" si="59"/>
        <v>1</v>
      </c>
      <c r="X724" s="44">
        <f t="shared" si="60"/>
        <v>0.98888888888888893</v>
      </c>
      <c r="Y724" s="236">
        <f>IFERROR(VLOOKUP(GUAYAQUIL[[#This Row],[CODIGO]],MAESTRO!A:BI,21,FALSE),0)</f>
        <v>4.3248100000000003</v>
      </c>
      <c r="Z724" s="236">
        <f>+IFERROR(IF(GUAYAQUIL[[#This Row],[CODIGO]]="","",GUAYAQUIL[[#This Row],[COSTO UNIT base]]*GUAYAQUIL[[#This Row],[Conversión]]),"")</f>
        <v>4.3248100000000003</v>
      </c>
      <c r="AA724" s="236">
        <f>+IFERROR(IF(GUAYAQUIL[[#This Row],[CODIGO]]="","",GUAYAQUIL[[#This Row],[COSTO UNIT Conv]]*GUAYAQUIL[[#This Row],[Stock Actual Kgs]]),"")</f>
        <v>25.948860000000003</v>
      </c>
      <c r="AB724" s="180">
        <f ca="1">+IFERROR(IF(GUAYAQUIL[[#This Row],[CODIGO]]="","",$J$3-O724),"")</f>
        <v>13</v>
      </c>
      <c r="AC724" s="35" t="str">
        <f ca="1">IF(GUAYAQUIL[[#This Row],[CODIGO]]="","",IF(S724&lt;=0,"CADUCADO",IF(AND(S724&gt;0,S724&lt;=21),"FECHA CORTA",IF(AND(S724&gt;=22,S724&lt;=26),"PROXIMOS FECHA CORTA", "VIGENTE"))))</f>
        <v>VIGENTE</v>
      </c>
      <c r="AD724" s="289">
        <f>+IF(GUAYAQUIL[[#This Row],[CODIGO]]="","",GUAYAQUIL[[#This Row],[Stock Actual Unds]]*GUAYAQUIL[[#This Row],[Gramaje]]*GUAYAQUIL[[#This Row],[Conversión]])/1000</f>
        <v>6.0000000000000001E-3</v>
      </c>
    </row>
    <row r="725" spans="1:30">
      <c r="A725" s="42" t="str">
        <f>+IFERROR(IF(GUAYAQUIL[[#This Row],[CODIGO]]="","",VLOOKUP(GUAYAQUIL[[#This Row],[CODIGO]],MAESTRO!$A:$J,10,FALSE)),"")</f>
        <v>SAN GABRIEL</v>
      </c>
      <c r="B725" s="42" t="str">
        <f>+IFERROR(IF(GUAYAQUIL[[#This Row],[CODIGO]]="","",VLOOKUP(GUAYAQUIL[[#This Row],[CODIGO]],MAESTRO!$A:$Q,17,FALSE)),"")</f>
        <v>QUESOS Y GRASAS</v>
      </c>
      <c r="C725" s="42" t="str">
        <f>+IFERROR(IF(GUAYAQUIL[[#This Row],[CODIGO]]="","",VLOOKUP(GUAYAQUIL[[#This Row],[CODIGO]],MAESTRO!$A:$BA,53,FALSE)),"")</f>
        <v xml:space="preserve">Esteban Montenegro                      </v>
      </c>
      <c r="D725" s="42" t="str">
        <f>+IFERROR(IF(GUAYAQUIL[[#This Row],[CODIGO]]="","",VLOOKUP(GUAYAQUIL[[#This Row],[CODIGO]],MAESTRO!$A:$D,4,FALSE)),"")</f>
        <v>QUESO SEMIMADURO KIOSKO</v>
      </c>
      <c r="E725" s="42" t="str">
        <f>+IFERROR(IF(GUAYAQUIL[[#This Row],[CODIGO]]="","",VLOOKUP(GUAYAQUIL[[#This Row],[CODIGO]],MAESTRO!$A:$F,6,FALSE)),"")</f>
        <v>QUESO SEMIMADURO KIOSKO MIX CUBOS</v>
      </c>
      <c r="F725" s="42" t="str">
        <f>IF(GUAYAQUIL[[#This Row],[CODIGO]]="","",$K$6)</f>
        <v>GUAYAQUIL</v>
      </c>
      <c r="G725" s="1">
        <f>IF(GUAYAQUIL[[#This Row],[CODIGO]]="","",7711)</f>
        <v>7711</v>
      </c>
      <c r="H725" s="1">
        <f>IF(GUAYAQUIL[[#This Row],[CODIGO]]="","",1001)</f>
        <v>1001</v>
      </c>
      <c r="I725" s="258" t="s">
        <v>3882</v>
      </c>
      <c r="J725" s="43" t="str">
        <f>IFERROR((VLOOKUP(GUAYAQUIL[[#This Row],[CODIGO]],MAESTRO!A:B,2,FALSE)),"")</f>
        <v>Q MIX ESPECIAL KIOSKO CUBO BOL 500G</v>
      </c>
      <c r="K725" s="35">
        <v>30</v>
      </c>
      <c r="L725" s="205">
        <f>+IFERROR(IF(GUAYAQUIL[[#This Row],[CODIGO]]="","",VLOOKUP(GUAYAQUIL[[#This Row],[CODIGO]],MAESTRO!$A:$BF,58,FALSE)),"")</f>
        <v>1</v>
      </c>
      <c r="M725" s="27">
        <f>+IFERROR(IF(GUAYAQUIL[[#This Row],[CODIGO]]="","",VLOOKUP(GUAYAQUIL[[#This Row],[CODIGO]],MAESTRO!A:N,14,FALSE)),"")</f>
        <v>0.5</v>
      </c>
      <c r="N725" s="206">
        <f>+IFERROR(IF(GUAYAQUIL[[#This Row],[CODIGO]]="","",VLOOKUP(GUAYAQUIL[[#This Row],[CODIGO]],MAESTRO!A:P,16,FALSE)),"")</f>
        <v>60</v>
      </c>
      <c r="O725" s="303">
        <v>45601</v>
      </c>
      <c r="P725" s="99" t="str">
        <f t="shared" si="57"/>
        <v>martes</v>
      </c>
      <c r="Q725" s="304">
        <f>IFERROR(IF(GUAYAQUIL[[#This Row],[CODIGO]]="","",IF(GUAYAQUIL[[#This Row],[Fecha Cad]]="","",(GUAYAQUIL[[#This Row],[Fecha Cad]]-GUAYAQUIL[[#This Row],[VIDA UTIL (Días)]]))+1),"")</f>
        <v>45595</v>
      </c>
      <c r="R725" s="303">
        <v>45654</v>
      </c>
      <c r="S725" s="30">
        <f t="shared" ca="1" si="56"/>
        <v>30</v>
      </c>
      <c r="T725" s="279">
        <f t="shared" ca="1" si="58"/>
        <v>0.5</v>
      </c>
      <c r="U725" s="288">
        <v>22</v>
      </c>
      <c r="V725" s="265">
        <f>+IFERROR(IF(GUAYAQUIL[[#This Row],[CODIGO]]="","",GUAYAQUIL[[#This Row],[Stock Actual Unds]]*GUAYAQUIL[[#This Row],[Gramaje]]*GUAYAQUIL[[#This Row],[Conversión]]),"")</f>
        <v>11</v>
      </c>
      <c r="W725" s="280">
        <f t="shared" si="59"/>
        <v>6</v>
      </c>
      <c r="X725" s="44">
        <f t="shared" si="60"/>
        <v>0.9</v>
      </c>
      <c r="Y725" s="236">
        <f>IFERROR(VLOOKUP(GUAYAQUIL[[#This Row],[CODIGO]],MAESTRO!A:BI,21,FALSE),0)</f>
        <v>3.3455399999999997</v>
      </c>
      <c r="Z725" s="236">
        <f>+IFERROR(IF(GUAYAQUIL[[#This Row],[CODIGO]]="","",GUAYAQUIL[[#This Row],[COSTO UNIT base]]*GUAYAQUIL[[#This Row],[Conversión]]),"")</f>
        <v>3.3455399999999997</v>
      </c>
      <c r="AA725" s="236">
        <f>+IFERROR(IF(GUAYAQUIL[[#This Row],[CODIGO]]="","",GUAYAQUIL[[#This Row],[COSTO UNIT Conv]]*GUAYAQUIL[[#This Row],[Stock Actual Kgs]]),"")</f>
        <v>36.800939999999997</v>
      </c>
      <c r="AB725" s="180">
        <f ca="1">+IFERROR(IF(GUAYAQUIL[[#This Row],[CODIGO]]="","",$J$3-O725),"")</f>
        <v>23</v>
      </c>
      <c r="AC725" s="35" t="str">
        <f ca="1">IF(GUAYAQUIL[[#This Row],[CODIGO]]="","",IF(S725&lt;=0,"CADUCADO",IF(AND(S725&gt;0,S725&lt;=21),"FECHA CORTA",IF(AND(S725&gt;=22,S725&lt;=26),"PROXIMOS FECHA CORTA", "VIGENTE"))))</f>
        <v>VIGENTE</v>
      </c>
      <c r="AD725" s="289">
        <f>+IF(GUAYAQUIL[[#This Row],[CODIGO]]="","",GUAYAQUIL[[#This Row],[Stock Actual Unds]]*GUAYAQUIL[[#This Row],[Gramaje]]*GUAYAQUIL[[#This Row],[Conversión]])/1000</f>
        <v>1.0999999999999999E-2</v>
      </c>
    </row>
    <row r="726" spans="1:30">
      <c r="A726" s="42" t="str">
        <f>+IFERROR(IF(GUAYAQUIL[[#This Row],[CODIGO]]="","",VLOOKUP(GUAYAQUIL[[#This Row],[CODIGO]],MAESTRO!$A:$J,10,FALSE)),"")</f>
        <v>SAN GABRIEL</v>
      </c>
      <c r="B726" s="42" t="str">
        <f>+IFERROR(IF(GUAYAQUIL[[#This Row],[CODIGO]]="","",VLOOKUP(GUAYAQUIL[[#This Row],[CODIGO]],MAESTRO!$A:$Q,17,FALSE)),"")</f>
        <v>QUESOS Y GRASAS</v>
      </c>
      <c r="C726" s="42" t="str">
        <f>+IFERROR(IF(GUAYAQUIL[[#This Row],[CODIGO]]="","",VLOOKUP(GUAYAQUIL[[#This Row],[CODIGO]],MAESTRO!$A:$BA,53,FALSE)),"")</f>
        <v xml:space="preserve">Esteban Montenegro                      </v>
      </c>
      <c r="D726" s="42" t="str">
        <f>+IFERROR(IF(GUAYAQUIL[[#This Row],[CODIGO]]="","",VLOOKUP(GUAYAQUIL[[#This Row],[CODIGO]],MAESTRO!$A:$D,4,FALSE)),"")</f>
        <v>QUESO MOZARELLA KIOSKO</v>
      </c>
      <c r="E726" s="42" t="str">
        <f>+IFERROR(IF(GUAYAQUIL[[#This Row],[CODIGO]]="","",VLOOKUP(GUAYAQUIL[[#This Row],[CODIGO]],MAESTRO!$A:$F,6,FALSE)),"")</f>
        <v>QUESO MOZARELLA SNACK</v>
      </c>
      <c r="F726" s="42" t="str">
        <f>IF(GUAYAQUIL[[#This Row],[CODIGO]]="","",$K$6)</f>
        <v>GUAYAQUIL</v>
      </c>
      <c r="G726" s="1">
        <f>IF(GUAYAQUIL[[#This Row],[CODIGO]]="","",7711)</f>
        <v>7711</v>
      </c>
      <c r="H726" s="1">
        <f>IF(GUAYAQUIL[[#This Row],[CODIGO]]="","",1001)</f>
        <v>1001</v>
      </c>
      <c r="I726" s="258" t="s">
        <v>4306</v>
      </c>
      <c r="J726" s="43" t="str">
        <f>IFERROR((VLOOKUP(GUAYAQUIL[[#This Row],[CODIGO]],MAESTRO!A:B,2,FALSE)),"")</f>
        <v>QUESO MOZARELLA LIGHT KIOSKO 35 G</v>
      </c>
      <c r="K726" s="35">
        <v>180</v>
      </c>
      <c r="L726" s="205">
        <f>+IFERROR(IF(GUAYAQUIL[[#This Row],[CODIGO]]="","",VLOOKUP(GUAYAQUIL[[#This Row],[CODIGO]],MAESTRO!$A:$BF,58,FALSE)),"")</f>
        <v>1</v>
      </c>
      <c r="M726" s="27">
        <f>+IFERROR(IF(GUAYAQUIL[[#This Row],[CODIGO]]="","",VLOOKUP(GUAYAQUIL[[#This Row],[CODIGO]],MAESTRO!A:N,14,FALSE)),"")</f>
        <v>3.5000000000000003E-2</v>
      </c>
      <c r="N726" s="206">
        <f>+IFERROR(IF(GUAYAQUIL[[#This Row],[CODIGO]]="","",VLOOKUP(GUAYAQUIL[[#This Row],[CODIGO]],MAESTRO!A:P,16,FALSE)),"")</f>
        <v>40</v>
      </c>
      <c r="O726" s="303">
        <v>45616</v>
      </c>
      <c r="P726" s="99" t="str">
        <f t="shared" si="57"/>
        <v>miércoles</v>
      </c>
      <c r="Q726" s="304">
        <f>IFERROR(IF(GUAYAQUIL[[#This Row],[CODIGO]]="","",IF(GUAYAQUIL[[#This Row],[Fecha Cad]]="","",(GUAYAQUIL[[#This Row],[Fecha Cad]]-GUAYAQUIL[[#This Row],[VIDA UTIL (Días)]]))+1),"")</f>
        <v>45610</v>
      </c>
      <c r="R726" s="303">
        <v>45649</v>
      </c>
      <c r="S726" s="30">
        <f t="shared" ca="1" si="56"/>
        <v>25</v>
      </c>
      <c r="T726" s="279">
        <f t="shared" ca="1" si="58"/>
        <v>0.625</v>
      </c>
      <c r="U726" s="288">
        <v>89</v>
      </c>
      <c r="V726" s="265">
        <f>+IFERROR(IF(GUAYAQUIL[[#This Row],[CODIGO]]="","",GUAYAQUIL[[#This Row],[Stock Actual Unds]]*GUAYAQUIL[[#This Row],[Gramaje]]*GUAYAQUIL[[#This Row],[Conversión]]),"")</f>
        <v>3.1150000000000002</v>
      </c>
      <c r="W726" s="280">
        <f t="shared" si="59"/>
        <v>6</v>
      </c>
      <c r="X726" s="44">
        <f t="shared" si="60"/>
        <v>0.85</v>
      </c>
      <c r="Y726" s="236">
        <f>IFERROR(VLOOKUP(GUAYAQUIL[[#This Row],[CODIGO]],MAESTRO!A:BI,21,FALSE),0)</f>
        <v>0.228385</v>
      </c>
      <c r="Z726" s="236">
        <f>+IFERROR(IF(GUAYAQUIL[[#This Row],[CODIGO]]="","",GUAYAQUIL[[#This Row],[COSTO UNIT base]]*GUAYAQUIL[[#This Row],[Conversión]]),"")</f>
        <v>0.228385</v>
      </c>
      <c r="AA726" s="236">
        <f>+IFERROR(IF(GUAYAQUIL[[#This Row],[CODIGO]]="","",GUAYAQUIL[[#This Row],[COSTO UNIT Conv]]*GUAYAQUIL[[#This Row],[Stock Actual Kgs]]),"")</f>
        <v>0.71141927500000002</v>
      </c>
      <c r="AB726" s="180">
        <f ca="1">+IFERROR(IF(GUAYAQUIL[[#This Row],[CODIGO]]="","",$J$3-O726),"")</f>
        <v>8</v>
      </c>
      <c r="AC726" s="35" t="str">
        <f ca="1">IF(GUAYAQUIL[[#This Row],[CODIGO]]="","",IF(S726&lt;=0,"CADUCADO",IF(AND(S726&gt;0,S726&lt;=21),"FECHA CORTA",IF(AND(S726&gt;=22,S726&lt;=26),"PROXIMOS FECHA CORTA", "VIGENTE"))))</f>
        <v>PROXIMOS FECHA CORTA</v>
      </c>
      <c r="AD726" s="289">
        <f>+IF(GUAYAQUIL[[#This Row],[CODIGO]]="","",GUAYAQUIL[[#This Row],[Stock Actual Unds]]*GUAYAQUIL[[#This Row],[Gramaje]]*GUAYAQUIL[[#This Row],[Conversión]])/1000</f>
        <v>3.1150000000000001E-3</v>
      </c>
    </row>
    <row r="727" spans="1:30">
      <c r="A727" s="42" t="str">
        <f>+IFERROR(IF(GUAYAQUIL[[#This Row],[CODIGO]]="","",VLOOKUP(GUAYAQUIL[[#This Row],[CODIGO]],MAESTRO!$A:$J,10,FALSE)),"")</f>
        <v>SAN GABRIEL</v>
      </c>
      <c r="B727" s="42" t="str">
        <f>+IFERROR(IF(GUAYAQUIL[[#This Row],[CODIGO]]="","",VLOOKUP(GUAYAQUIL[[#This Row],[CODIGO]],MAESTRO!$A:$Q,17,FALSE)),"")</f>
        <v>QUESOS Y GRASAS</v>
      </c>
      <c r="C727" s="42" t="str">
        <f>+IFERROR(IF(GUAYAQUIL[[#This Row],[CODIGO]]="","",VLOOKUP(GUAYAQUIL[[#This Row],[CODIGO]],MAESTRO!$A:$BA,53,FALSE)),"")</f>
        <v xml:space="preserve">Esteban Montenegro                      </v>
      </c>
      <c r="D727" s="42" t="str">
        <f>+IFERROR(IF(GUAYAQUIL[[#This Row],[CODIGO]]="","",VLOOKUP(GUAYAQUIL[[#This Row],[CODIGO]],MAESTRO!$A:$D,4,FALSE)),"")</f>
        <v>QUESO SEMIMADURO KIOSKO</v>
      </c>
      <c r="E727" s="42" t="str">
        <f>+IFERROR(IF(GUAYAQUIL[[#This Row],[CODIGO]]="","",VLOOKUP(GUAYAQUIL[[#This Row],[CODIGO]],MAESTRO!$A:$F,6,FALSE)),"")</f>
        <v>QUESO JAVIERINO KIOSKO BLOQUE</v>
      </c>
      <c r="F727" s="42" t="str">
        <f>IF(GUAYAQUIL[[#This Row],[CODIGO]]="","",$K$6)</f>
        <v>GUAYAQUIL</v>
      </c>
      <c r="G727" s="1">
        <f>IF(GUAYAQUIL[[#This Row],[CODIGO]]="","",7711)</f>
        <v>7711</v>
      </c>
      <c r="H727" s="1">
        <f>IF(GUAYAQUIL[[#This Row],[CODIGO]]="","",1001)</f>
        <v>1001</v>
      </c>
      <c r="I727" s="258" t="s">
        <v>1595</v>
      </c>
      <c r="J727" s="43" t="str">
        <f>IFERROR((VLOOKUP(GUAYAQUIL[[#This Row],[CODIGO]],MAESTRO!A:B,2,FALSE)),"")</f>
        <v>Q JAVIER KIOSKO BLOQ 320G</v>
      </c>
      <c r="K727" s="35">
        <v>20</v>
      </c>
      <c r="L727" s="205">
        <f>+IFERROR(IF(GUAYAQUIL[[#This Row],[CODIGO]]="","",VLOOKUP(GUAYAQUIL[[#This Row],[CODIGO]],MAESTRO!$A:$BF,58,FALSE)),"")</f>
        <v>1</v>
      </c>
      <c r="M727" s="27">
        <f>+IFERROR(IF(GUAYAQUIL[[#This Row],[CODIGO]]="","",VLOOKUP(GUAYAQUIL[[#This Row],[CODIGO]],MAESTRO!A:N,14,FALSE)),"")</f>
        <v>0.32</v>
      </c>
      <c r="N727" s="206">
        <f>+IFERROR(IF(GUAYAQUIL[[#This Row],[CODIGO]]="","",VLOOKUP(GUAYAQUIL[[#This Row],[CODIGO]],MAESTRO!A:P,16,FALSE)),"")</f>
        <v>60</v>
      </c>
      <c r="O727" s="303">
        <v>45610</v>
      </c>
      <c r="P727" s="99" t="str">
        <f t="shared" si="57"/>
        <v>jueves</v>
      </c>
      <c r="Q727" s="304">
        <f>IFERROR(IF(GUAYAQUIL[[#This Row],[CODIGO]]="","",IF(GUAYAQUIL[[#This Row],[Fecha Cad]]="","",(GUAYAQUIL[[#This Row],[Fecha Cad]]-GUAYAQUIL[[#This Row],[VIDA UTIL (Días)]]))+1),"")</f>
        <v>45633</v>
      </c>
      <c r="R727" s="303">
        <v>45692</v>
      </c>
      <c r="S727" s="30">
        <f t="shared" ca="1" si="56"/>
        <v>68</v>
      </c>
      <c r="T727" s="279">
        <f t="shared" ca="1" si="58"/>
        <v>1.1333333333333333</v>
      </c>
      <c r="U727" s="288">
        <v>2</v>
      </c>
      <c r="V727" s="265">
        <f>+IFERROR(IF(GUAYAQUIL[[#This Row],[CODIGO]]="","",GUAYAQUIL[[#This Row],[Stock Actual Unds]]*GUAYAQUIL[[#This Row],[Gramaje]]*GUAYAQUIL[[#This Row],[Conversión]]),"")</f>
        <v>0.64</v>
      </c>
      <c r="W727" s="280">
        <f t="shared" si="59"/>
        <v>-23</v>
      </c>
      <c r="X727" s="44">
        <f t="shared" si="60"/>
        <v>1.3833333333333333</v>
      </c>
      <c r="Y727" s="236">
        <f>IFERROR(VLOOKUP(GUAYAQUIL[[#This Row],[CODIGO]],MAESTRO!A:BI,21,FALSE),0)</f>
        <v>2.3771550000000001</v>
      </c>
      <c r="Z727" s="236">
        <f>+IFERROR(IF(GUAYAQUIL[[#This Row],[CODIGO]]="","",GUAYAQUIL[[#This Row],[COSTO UNIT base]]*GUAYAQUIL[[#This Row],[Conversión]]),"")</f>
        <v>2.3771550000000001</v>
      </c>
      <c r="AA727" s="236">
        <f>+IFERROR(IF(GUAYAQUIL[[#This Row],[CODIGO]]="","",GUAYAQUIL[[#This Row],[COSTO UNIT Conv]]*GUAYAQUIL[[#This Row],[Stock Actual Kgs]]),"")</f>
        <v>1.5213792000000002</v>
      </c>
      <c r="AB727" s="180">
        <f ca="1">+IFERROR(IF(GUAYAQUIL[[#This Row],[CODIGO]]="","",$J$3-O727),"")</f>
        <v>14</v>
      </c>
      <c r="AC727" s="35" t="str">
        <f ca="1">IF(GUAYAQUIL[[#This Row],[CODIGO]]="","",IF(S727&lt;=0,"CADUCADO",IF(AND(S727&gt;0,S727&lt;=21),"FECHA CORTA",IF(AND(S727&gt;=22,S727&lt;=26),"PROXIMOS FECHA CORTA", "VIGENTE"))))</f>
        <v>VIGENTE</v>
      </c>
      <c r="AD727" s="289">
        <f>+IF(GUAYAQUIL[[#This Row],[CODIGO]]="","",GUAYAQUIL[[#This Row],[Stock Actual Unds]]*GUAYAQUIL[[#This Row],[Gramaje]]*GUAYAQUIL[[#This Row],[Conversión]])/1000</f>
        <v>6.4000000000000005E-4</v>
      </c>
    </row>
    <row r="728" spans="1:30">
      <c r="A728" s="42" t="str">
        <f>+IFERROR(IF(GUAYAQUIL[[#This Row],[CODIGO]]="","",VLOOKUP(GUAYAQUIL[[#This Row],[CODIGO]],MAESTRO!$A:$J,10,FALSE)),"")</f>
        <v>MACHACHI</v>
      </c>
      <c r="B728" s="42" t="str">
        <f>+IFERROR(IF(GUAYAQUIL[[#This Row],[CODIGO]]="","",VLOOKUP(GUAYAQUIL[[#This Row],[CODIGO]],MAESTRO!$A:$Q,17,FALSE)),"")</f>
        <v>BEBIDAS LACTEAS</v>
      </c>
      <c r="C728" s="42" t="str">
        <f>+IFERROR(IF(GUAYAQUIL[[#This Row],[CODIGO]]="","",VLOOKUP(GUAYAQUIL[[#This Row],[CODIGO]],MAESTRO!$A:$BA,53,FALSE)),"")</f>
        <v xml:space="preserve">Luis Armendariz                         </v>
      </c>
      <c r="D728" s="42" t="str">
        <f>+IFERROR(IF(GUAYAQUIL[[#This Row],[CODIGO]]="","",VLOOKUP(GUAYAQUIL[[#This Row],[CODIGO]],MAESTRO!$A:$D,4,FALSE)),"")</f>
        <v>YOGURT KIOSKO</v>
      </c>
      <c r="E728" s="42" t="str">
        <f>+IFERROR(IF(GUAYAQUIL[[#This Row],[CODIGO]]="","",VLOOKUP(GUAYAQUIL[[#This Row],[CODIGO]],MAESTRO!$A:$F,6,FALSE)),"")</f>
        <v>BEBIDA DE YOGURT KIOSKO GALONERA</v>
      </c>
      <c r="F728" s="42" t="str">
        <f>IF(GUAYAQUIL[[#This Row],[CODIGO]]="","",$K$6)</f>
        <v>GUAYAQUIL</v>
      </c>
      <c r="G728" s="1">
        <f>IF(GUAYAQUIL[[#This Row],[CODIGO]]="","",7711)</f>
        <v>7711</v>
      </c>
      <c r="H728" s="1">
        <f>IF(GUAYAQUIL[[#This Row],[CODIGO]]="","",1001)</f>
        <v>1001</v>
      </c>
      <c r="I728" s="258" t="s">
        <v>4761</v>
      </c>
      <c r="J728" s="43" t="str">
        <f>IFERROR((VLOOKUP(GUAYAQUIL[[#This Row],[CODIGO]],MAESTRO!A:B,2,FALSE)),"")</f>
        <v>YOG BBLE KIOSKO FTLLA BOT 3.5KG</v>
      </c>
      <c r="K728" s="35">
        <v>152</v>
      </c>
      <c r="L728" s="205">
        <f>+IFERROR(IF(GUAYAQUIL[[#This Row],[CODIGO]]="","",VLOOKUP(GUAYAQUIL[[#This Row],[CODIGO]],MAESTRO!$A:$BF,58,FALSE)),"")</f>
        <v>1</v>
      </c>
      <c r="M728" s="27">
        <f>+IFERROR(IF(GUAYAQUIL[[#This Row],[CODIGO]]="","",VLOOKUP(GUAYAQUIL[[#This Row],[CODIGO]],MAESTRO!A:N,14,FALSE)),"")</f>
        <v>3.5</v>
      </c>
      <c r="N728" s="206">
        <f>+IFERROR(IF(GUAYAQUIL[[#This Row],[CODIGO]]="","",VLOOKUP(GUAYAQUIL[[#This Row],[CODIGO]],MAESTRO!A:P,16,FALSE)),"")</f>
        <v>45</v>
      </c>
      <c r="O728" s="303">
        <v>45612</v>
      </c>
      <c r="P728" s="99" t="str">
        <f t="shared" si="57"/>
        <v>sábado</v>
      </c>
      <c r="Q728" s="304">
        <f>IFERROR(IF(GUAYAQUIL[[#This Row],[CODIGO]]="","",IF(GUAYAQUIL[[#This Row],[Fecha Cad]]="","",(GUAYAQUIL[[#This Row],[Fecha Cad]]-GUAYAQUIL[[#This Row],[VIDA UTIL (Días)]]))+1),"")</f>
        <v>45610</v>
      </c>
      <c r="R728" s="303">
        <v>45654</v>
      </c>
      <c r="S728" s="30">
        <f t="shared" ca="1" si="56"/>
        <v>30</v>
      </c>
      <c r="T728" s="279">
        <f t="shared" ca="1" si="58"/>
        <v>0.66666666666666663</v>
      </c>
      <c r="U728" s="288">
        <v>152</v>
      </c>
      <c r="V728" s="265">
        <f>+IFERROR(IF(GUAYAQUIL[[#This Row],[CODIGO]]="","",GUAYAQUIL[[#This Row],[Stock Actual Unds]]*GUAYAQUIL[[#This Row],[Gramaje]]*GUAYAQUIL[[#This Row],[Conversión]]),"")</f>
        <v>532</v>
      </c>
      <c r="W728" s="280">
        <f t="shared" si="59"/>
        <v>2</v>
      </c>
      <c r="X728" s="44">
        <f t="shared" si="60"/>
        <v>0.9555555555555556</v>
      </c>
      <c r="Y728" s="236">
        <f>IFERROR(VLOOKUP(GUAYAQUIL[[#This Row],[CODIGO]],MAESTRO!A:BI,21,FALSE),0)</f>
        <v>2.91994</v>
      </c>
      <c r="Z728" s="236">
        <f>+IFERROR(IF(GUAYAQUIL[[#This Row],[CODIGO]]="","",GUAYAQUIL[[#This Row],[COSTO UNIT base]]*GUAYAQUIL[[#This Row],[Conversión]]),"")</f>
        <v>2.91994</v>
      </c>
      <c r="AA728" s="236">
        <f>+IFERROR(IF(GUAYAQUIL[[#This Row],[CODIGO]]="","",GUAYAQUIL[[#This Row],[COSTO UNIT Conv]]*GUAYAQUIL[[#This Row],[Stock Actual Kgs]]),"")</f>
        <v>1553.4080799999999</v>
      </c>
      <c r="AB728" s="180">
        <f ca="1">+IFERROR(IF(GUAYAQUIL[[#This Row],[CODIGO]]="","",$J$3-O728),"")</f>
        <v>12</v>
      </c>
      <c r="AC728" s="35" t="str">
        <f ca="1">IF(GUAYAQUIL[[#This Row],[CODIGO]]="","",IF(S728&lt;=0,"CADUCADO",IF(AND(S728&gt;0,S728&lt;=21),"FECHA CORTA",IF(AND(S728&gt;=22,S728&lt;=26),"PROXIMOS FECHA CORTA", "VIGENTE"))))</f>
        <v>VIGENTE</v>
      </c>
      <c r="AD728" s="289">
        <f>+IF(GUAYAQUIL[[#This Row],[CODIGO]]="","",GUAYAQUIL[[#This Row],[Stock Actual Unds]]*GUAYAQUIL[[#This Row],[Gramaje]]*GUAYAQUIL[[#This Row],[Conversión]])/1000</f>
        <v>0.53200000000000003</v>
      </c>
    </row>
    <row r="729" spans="1:30">
      <c r="A729" s="42" t="str">
        <f>+IFERROR(IF(GUAYAQUIL[[#This Row],[CODIGO]]="","",VLOOKUP(GUAYAQUIL[[#This Row],[CODIGO]],MAESTRO!$A:$J,10,FALSE)),"")</f>
        <v>MACHACHI</v>
      </c>
      <c r="B729" s="42" t="str">
        <f>+IFERROR(IF(GUAYAQUIL[[#This Row],[CODIGO]]="","",VLOOKUP(GUAYAQUIL[[#This Row],[CODIGO]],MAESTRO!$A:$Q,17,FALSE)),"")</f>
        <v>BEBIDAS LACTEAS</v>
      </c>
      <c r="C729" s="42" t="str">
        <f>+IFERROR(IF(GUAYAQUIL[[#This Row],[CODIGO]]="","",VLOOKUP(GUAYAQUIL[[#This Row],[CODIGO]],MAESTRO!$A:$BA,53,FALSE)),"")</f>
        <v xml:space="preserve">Luis Armendariz                         </v>
      </c>
      <c r="D729" s="42" t="str">
        <f>+IFERROR(IF(GUAYAQUIL[[#This Row],[CODIGO]]="","",VLOOKUP(GUAYAQUIL[[#This Row],[CODIGO]],MAESTRO!$A:$D,4,FALSE)),"")</f>
        <v>YOGURT KIOSKO</v>
      </c>
      <c r="E729" s="42" t="str">
        <f>+IFERROR(IF(GUAYAQUIL[[#This Row],[CODIGO]]="","",VLOOKUP(GUAYAQUIL[[#This Row],[CODIGO]],MAESTRO!$A:$F,6,FALSE)),"")</f>
        <v>BEBIDA DE YOGURT KIOSKO GALONERA</v>
      </c>
      <c r="F729" s="42" t="str">
        <f>IF(GUAYAQUIL[[#This Row],[CODIGO]]="","",$K$6)</f>
        <v>GUAYAQUIL</v>
      </c>
      <c r="G729" s="1">
        <f>IF(GUAYAQUIL[[#This Row],[CODIGO]]="","",7711)</f>
        <v>7711</v>
      </c>
      <c r="H729" s="1">
        <f>IF(GUAYAQUIL[[#This Row],[CODIGO]]="","",1001)</f>
        <v>1001</v>
      </c>
      <c r="I729" s="258" t="s">
        <v>4761</v>
      </c>
      <c r="J729" s="43" t="str">
        <f>IFERROR((VLOOKUP(GUAYAQUIL[[#This Row],[CODIGO]],MAESTRO!A:B,2,FALSE)),"")</f>
        <v>YOG BBLE KIOSKO FTLLA BOT 3.5KG</v>
      </c>
      <c r="K729" s="35">
        <v>200</v>
      </c>
      <c r="L729" s="205">
        <f>+IFERROR(IF(GUAYAQUIL[[#This Row],[CODIGO]]="","",VLOOKUP(GUAYAQUIL[[#This Row],[CODIGO]],MAESTRO!$A:$BF,58,FALSE)),"")</f>
        <v>1</v>
      </c>
      <c r="M729" s="27">
        <f>+IFERROR(IF(GUAYAQUIL[[#This Row],[CODIGO]]="","",VLOOKUP(GUAYAQUIL[[#This Row],[CODIGO]],MAESTRO!A:N,14,FALSE)),"")</f>
        <v>3.5</v>
      </c>
      <c r="N729" s="206">
        <f>+IFERROR(IF(GUAYAQUIL[[#This Row],[CODIGO]]="","",VLOOKUP(GUAYAQUIL[[#This Row],[CODIGO]],MAESTRO!A:P,16,FALSE)),"")</f>
        <v>45</v>
      </c>
      <c r="O729" s="303">
        <v>45611</v>
      </c>
      <c r="P729" s="99" t="str">
        <f t="shared" si="57"/>
        <v>viernes</v>
      </c>
      <c r="Q729" s="304">
        <f>IFERROR(IF(GUAYAQUIL[[#This Row],[CODIGO]]="","",IF(GUAYAQUIL[[#This Row],[Fecha Cad]]="","",(GUAYAQUIL[[#This Row],[Fecha Cad]]-GUAYAQUIL[[#This Row],[VIDA UTIL (Días)]]))+1),"")</f>
        <v>45610</v>
      </c>
      <c r="R729" s="303">
        <v>45654</v>
      </c>
      <c r="S729" s="30">
        <f t="shared" ca="1" si="56"/>
        <v>30</v>
      </c>
      <c r="T729" s="279">
        <f t="shared" ca="1" si="58"/>
        <v>0.66666666666666663</v>
      </c>
      <c r="U729" s="288">
        <v>20</v>
      </c>
      <c r="V729" s="265">
        <f>+IFERROR(IF(GUAYAQUIL[[#This Row],[CODIGO]]="","",GUAYAQUIL[[#This Row],[Stock Actual Unds]]*GUAYAQUIL[[#This Row],[Gramaje]]*GUAYAQUIL[[#This Row],[Conversión]]),"")</f>
        <v>70</v>
      </c>
      <c r="W729" s="280">
        <f t="shared" si="59"/>
        <v>1</v>
      </c>
      <c r="X729" s="44">
        <f t="shared" si="60"/>
        <v>0.97777777777777775</v>
      </c>
      <c r="Y729" s="236">
        <f>IFERROR(VLOOKUP(GUAYAQUIL[[#This Row],[CODIGO]],MAESTRO!A:BI,21,FALSE),0)</f>
        <v>2.91994</v>
      </c>
      <c r="Z729" s="236">
        <f>+IFERROR(IF(GUAYAQUIL[[#This Row],[CODIGO]]="","",GUAYAQUIL[[#This Row],[COSTO UNIT base]]*GUAYAQUIL[[#This Row],[Conversión]]),"")</f>
        <v>2.91994</v>
      </c>
      <c r="AA729" s="236">
        <f>+IFERROR(IF(GUAYAQUIL[[#This Row],[CODIGO]]="","",GUAYAQUIL[[#This Row],[COSTO UNIT Conv]]*GUAYAQUIL[[#This Row],[Stock Actual Kgs]]),"")</f>
        <v>204.39580000000001</v>
      </c>
      <c r="AB729" s="180">
        <f ca="1">+IFERROR(IF(GUAYAQUIL[[#This Row],[CODIGO]]="","",$J$3-O729),"")</f>
        <v>13</v>
      </c>
      <c r="AC729" s="35" t="str">
        <f ca="1">IF(GUAYAQUIL[[#This Row],[CODIGO]]="","",IF(S729&lt;=0,"CADUCADO",IF(AND(S729&gt;0,S729&lt;=21),"FECHA CORTA",IF(AND(S729&gt;=22,S729&lt;=26),"PROXIMOS FECHA CORTA", "VIGENTE"))))</f>
        <v>VIGENTE</v>
      </c>
      <c r="AD729" s="289">
        <f>+IF(GUAYAQUIL[[#This Row],[CODIGO]]="","",GUAYAQUIL[[#This Row],[Stock Actual Unds]]*GUAYAQUIL[[#This Row],[Gramaje]]*GUAYAQUIL[[#This Row],[Conversión]])/1000</f>
        <v>7.0000000000000007E-2</v>
      </c>
    </row>
    <row r="730" spans="1:30">
      <c r="A730" s="42" t="str">
        <f>+IFERROR(IF(GUAYAQUIL[[#This Row],[CODIGO]]="","",VLOOKUP(GUAYAQUIL[[#This Row],[CODIGO]],MAESTRO!$A:$J,10,FALSE)),"")</f>
        <v>MACHACHI</v>
      </c>
      <c r="B730" s="42" t="str">
        <f>+IFERROR(IF(GUAYAQUIL[[#This Row],[CODIGO]]="","",VLOOKUP(GUAYAQUIL[[#This Row],[CODIGO]],MAESTRO!$A:$Q,17,FALSE)),"")</f>
        <v>BEBIDAS LACTEAS</v>
      </c>
      <c r="C730" s="42" t="str">
        <f>+IFERROR(IF(GUAYAQUIL[[#This Row],[CODIGO]]="","",VLOOKUP(GUAYAQUIL[[#This Row],[CODIGO]],MAESTRO!$A:$BA,53,FALSE)),"")</f>
        <v xml:space="preserve">Luis Armendariz                         </v>
      </c>
      <c r="D730" s="42" t="str">
        <f>+IFERROR(IF(GUAYAQUIL[[#This Row],[CODIGO]]="","",VLOOKUP(GUAYAQUIL[[#This Row],[CODIGO]],MAESTRO!$A:$D,4,FALSE)),"")</f>
        <v>YOGURT KIOSKO</v>
      </c>
      <c r="E730" s="42" t="str">
        <f>+IFERROR(IF(GUAYAQUIL[[#This Row],[CODIGO]]="","",VLOOKUP(GUAYAQUIL[[#This Row],[CODIGO]],MAESTRO!$A:$F,6,FALSE)),"")</f>
        <v>BEBIDA DE YOGURT KIOSKO GALONERA</v>
      </c>
      <c r="F730" s="42" t="str">
        <f>IF(GUAYAQUIL[[#This Row],[CODIGO]]="","",$K$6)</f>
        <v>GUAYAQUIL</v>
      </c>
      <c r="G730" s="1">
        <f>IF(GUAYAQUIL[[#This Row],[CODIGO]]="","",7711)</f>
        <v>7711</v>
      </c>
      <c r="H730" s="1">
        <f>IF(GUAYAQUIL[[#This Row],[CODIGO]]="","",1001)</f>
        <v>1001</v>
      </c>
      <c r="I730" s="258" t="s">
        <v>4761</v>
      </c>
      <c r="J730" s="43" t="str">
        <f>IFERROR((VLOOKUP(GUAYAQUIL[[#This Row],[CODIGO]],MAESTRO!A:B,2,FALSE)),"")</f>
        <v>YOG BBLE KIOSKO FTLLA BOT 3.5KG</v>
      </c>
      <c r="K730" s="35">
        <v>200</v>
      </c>
      <c r="L730" s="205">
        <f>+IFERROR(IF(GUAYAQUIL[[#This Row],[CODIGO]]="","",VLOOKUP(GUAYAQUIL[[#This Row],[CODIGO]],MAESTRO!$A:$BF,58,FALSE)),"")</f>
        <v>1</v>
      </c>
      <c r="M730" s="27">
        <f>+IFERROR(IF(GUAYAQUIL[[#This Row],[CODIGO]]="","",VLOOKUP(GUAYAQUIL[[#This Row],[CODIGO]],MAESTRO!A:N,14,FALSE)),"")</f>
        <v>3.5</v>
      </c>
      <c r="N730" s="206">
        <f>+IFERROR(IF(GUAYAQUIL[[#This Row],[CODIGO]]="","",VLOOKUP(GUAYAQUIL[[#This Row],[CODIGO]],MAESTRO!A:P,16,FALSE)),"")</f>
        <v>45</v>
      </c>
      <c r="O730" s="303">
        <v>45615</v>
      </c>
      <c r="P730" s="99" t="str">
        <f t="shared" si="57"/>
        <v>martes</v>
      </c>
      <c r="Q730" s="304">
        <f>IFERROR(IF(GUAYAQUIL[[#This Row],[CODIGO]]="","",IF(GUAYAQUIL[[#This Row],[Fecha Cad]]="","",(GUAYAQUIL[[#This Row],[Fecha Cad]]-GUAYAQUIL[[#This Row],[VIDA UTIL (Días)]]))+1),"")</f>
        <v>45611</v>
      </c>
      <c r="R730" s="303">
        <v>45655</v>
      </c>
      <c r="S730" s="30">
        <f t="shared" ca="1" si="56"/>
        <v>31</v>
      </c>
      <c r="T730" s="279">
        <f t="shared" ca="1" si="58"/>
        <v>0.68888888888888888</v>
      </c>
      <c r="U730" s="288">
        <v>200</v>
      </c>
      <c r="V730" s="265">
        <f>+IFERROR(IF(GUAYAQUIL[[#This Row],[CODIGO]]="","",GUAYAQUIL[[#This Row],[Stock Actual Unds]]*GUAYAQUIL[[#This Row],[Gramaje]]*GUAYAQUIL[[#This Row],[Conversión]]),"")</f>
        <v>700</v>
      </c>
      <c r="W730" s="280">
        <f t="shared" si="59"/>
        <v>4</v>
      </c>
      <c r="X730" s="44">
        <f t="shared" si="60"/>
        <v>0.91111111111111109</v>
      </c>
      <c r="Y730" s="236">
        <f>IFERROR(VLOOKUP(GUAYAQUIL[[#This Row],[CODIGO]],MAESTRO!A:BI,21,FALSE),0)</f>
        <v>2.91994</v>
      </c>
      <c r="Z730" s="236">
        <f>+IFERROR(IF(GUAYAQUIL[[#This Row],[CODIGO]]="","",GUAYAQUIL[[#This Row],[COSTO UNIT base]]*GUAYAQUIL[[#This Row],[Conversión]]),"")</f>
        <v>2.91994</v>
      </c>
      <c r="AA730" s="236">
        <f>+IFERROR(IF(GUAYAQUIL[[#This Row],[CODIGO]]="","",GUAYAQUIL[[#This Row],[COSTO UNIT Conv]]*GUAYAQUIL[[#This Row],[Stock Actual Kgs]]),"")</f>
        <v>2043.9580000000001</v>
      </c>
      <c r="AB730" s="180">
        <f ca="1">+IFERROR(IF(GUAYAQUIL[[#This Row],[CODIGO]]="","",$J$3-O730),"")</f>
        <v>9</v>
      </c>
      <c r="AC730" s="35" t="str">
        <f ca="1">IF(GUAYAQUIL[[#This Row],[CODIGO]]="","",IF(S730&lt;=0,"CADUCADO",IF(AND(S730&gt;0,S730&lt;=21),"FECHA CORTA",IF(AND(S730&gt;=22,S730&lt;=26),"PROXIMOS FECHA CORTA", "VIGENTE"))))</f>
        <v>VIGENTE</v>
      </c>
      <c r="AD730" s="289">
        <f>+IF(GUAYAQUIL[[#This Row],[CODIGO]]="","",GUAYAQUIL[[#This Row],[Stock Actual Unds]]*GUAYAQUIL[[#This Row],[Gramaje]]*GUAYAQUIL[[#This Row],[Conversión]])/1000</f>
        <v>0.7</v>
      </c>
    </row>
    <row r="731" spans="1:30">
      <c r="A731" s="42" t="str">
        <f>+IFERROR(IF(GUAYAQUIL[[#This Row],[CODIGO]]="","",VLOOKUP(GUAYAQUIL[[#This Row],[CODIGO]],MAESTRO!$A:$J,10,FALSE)),"")</f>
        <v>PROMOCION</v>
      </c>
      <c r="B731" s="42" t="str">
        <f>+IFERROR(IF(GUAYAQUIL[[#This Row],[CODIGO]]="","",VLOOKUP(GUAYAQUIL[[#This Row],[CODIGO]],MAESTRO!$A:$Q,17,FALSE)),"")</f>
        <v>MULTIMARCA</v>
      </c>
      <c r="C731" s="42" t="str">
        <f>+IFERROR(IF(GUAYAQUIL[[#This Row],[CODIGO]]="","",VLOOKUP(GUAYAQUIL[[#This Row],[CODIGO]],MAESTRO!$A:$BA,53,FALSE)),"")</f>
        <v xml:space="preserve">Esteban Montenegro                      </v>
      </c>
      <c r="D731" s="42" t="str">
        <f>+IFERROR(IF(GUAYAQUIL[[#This Row],[CODIGO]]="","",VLOOKUP(GUAYAQUIL[[#This Row],[CODIGO]],MAESTRO!$A:$D,4,FALSE)),"")</f>
        <v>MULTIMARCA</v>
      </c>
      <c r="E731" s="42" t="str">
        <f>+IFERROR(IF(GUAYAQUIL[[#This Row],[CODIGO]]="","",VLOOKUP(GUAYAQUIL[[#This Row],[CODIGO]],MAESTRO!$A:$F,6,FALSE)),"")</f>
        <v>ARMADOS</v>
      </c>
      <c r="F731" s="42" t="str">
        <f>IF(GUAYAQUIL[[#This Row],[CODIGO]]="","",$K$6)</f>
        <v>GUAYAQUIL</v>
      </c>
      <c r="G731" s="1">
        <f>IF(GUAYAQUIL[[#This Row],[CODIGO]]="","",7711)</f>
        <v>7711</v>
      </c>
      <c r="H731" s="1">
        <f>IF(GUAYAQUIL[[#This Row],[CODIGO]]="","",1001)</f>
        <v>1001</v>
      </c>
      <c r="I731" s="258" t="s">
        <v>688</v>
      </c>
      <c r="J731" s="43" t="str">
        <f>IFERROR((VLOOKUP(GUAYAQUIL[[#This Row],[CODIGO]],MAESTRO!A:B,2,FALSE)),"")</f>
        <v>PACK QUESOS KIOSKO NAVIDAD + TABLA</v>
      </c>
      <c r="K731" s="35">
        <v>400</v>
      </c>
      <c r="L731" s="205">
        <f>+IFERROR(IF(GUAYAQUIL[[#This Row],[CODIGO]]="","",VLOOKUP(GUAYAQUIL[[#This Row],[CODIGO]],MAESTRO!$A:$BF,58,FALSE)),"")</f>
        <v>1</v>
      </c>
      <c r="M731" s="27">
        <f>+IFERROR(IF(GUAYAQUIL[[#This Row],[CODIGO]]="","",VLOOKUP(GUAYAQUIL[[#This Row],[CODIGO]],MAESTRO!A:N,14,FALSE)),"")</f>
        <v>0.6</v>
      </c>
      <c r="N731" s="206">
        <f>+IFERROR(IF(GUAYAQUIL[[#This Row],[CODIGO]]="","",VLOOKUP(GUAYAQUIL[[#This Row],[CODIGO]],MAESTRO!A:P,16,FALSE)),"")</f>
        <v>60</v>
      </c>
      <c r="O731" s="303">
        <v>45604</v>
      </c>
      <c r="P731" s="99" t="str">
        <f t="shared" si="57"/>
        <v>viernes</v>
      </c>
      <c r="Q731" s="304">
        <f>IFERROR(IF(GUAYAQUIL[[#This Row],[CODIGO]]="","",IF(GUAYAQUIL[[#This Row],[Fecha Cad]]="","",(GUAYAQUIL[[#This Row],[Fecha Cad]]-GUAYAQUIL[[#This Row],[VIDA UTIL (Días)]]))+1),"")</f>
        <v>45603</v>
      </c>
      <c r="R731" s="303">
        <v>45662</v>
      </c>
      <c r="S731" s="30">
        <f t="shared" ca="1" si="56"/>
        <v>38</v>
      </c>
      <c r="T731" s="279">
        <f t="shared" ca="1" si="58"/>
        <v>0.6333333333333333</v>
      </c>
      <c r="U731" s="288">
        <v>65</v>
      </c>
      <c r="V731" s="265">
        <f>+IFERROR(IF(GUAYAQUIL[[#This Row],[CODIGO]]="","",GUAYAQUIL[[#This Row],[Stock Actual Unds]]*GUAYAQUIL[[#This Row],[Gramaje]]*GUAYAQUIL[[#This Row],[Conversión]]),"")</f>
        <v>39</v>
      </c>
      <c r="W731" s="280">
        <f t="shared" si="59"/>
        <v>1</v>
      </c>
      <c r="X731" s="44">
        <f t="shared" si="60"/>
        <v>0.98333333333333328</v>
      </c>
      <c r="Y731" s="236">
        <f>IFERROR(VLOOKUP(GUAYAQUIL[[#This Row],[CODIGO]],MAESTRO!A:BI,21,FALSE),0)</f>
        <v>3.4317950000000002</v>
      </c>
      <c r="Z731" s="236">
        <f>+IFERROR(IF(GUAYAQUIL[[#This Row],[CODIGO]]="","",GUAYAQUIL[[#This Row],[COSTO UNIT base]]*GUAYAQUIL[[#This Row],[Conversión]]),"")</f>
        <v>3.4317950000000002</v>
      </c>
      <c r="AA731" s="236">
        <f>+IFERROR(IF(GUAYAQUIL[[#This Row],[CODIGO]]="","",GUAYAQUIL[[#This Row],[COSTO UNIT Conv]]*GUAYAQUIL[[#This Row],[Stock Actual Kgs]]),"")</f>
        <v>133.84000500000002</v>
      </c>
      <c r="AB731" s="180">
        <f ca="1">+IFERROR(IF(GUAYAQUIL[[#This Row],[CODIGO]]="","",$J$3-O731),"")</f>
        <v>20</v>
      </c>
      <c r="AC731" s="35" t="str">
        <f ca="1">IF(GUAYAQUIL[[#This Row],[CODIGO]]="","",IF(S731&lt;=0,"CADUCADO",IF(AND(S731&gt;0,S731&lt;=21),"FECHA CORTA",IF(AND(S731&gt;=22,S731&lt;=26),"PROXIMOS FECHA CORTA", "VIGENTE"))))</f>
        <v>VIGENTE</v>
      </c>
      <c r="AD731" s="289">
        <f>+IF(GUAYAQUIL[[#This Row],[CODIGO]]="","",GUAYAQUIL[[#This Row],[Stock Actual Unds]]*GUAYAQUIL[[#This Row],[Gramaje]]*GUAYAQUIL[[#This Row],[Conversión]])/1000</f>
        <v>3.9E-2</v>
      </c>
    </row>
    <row r="732" spans="1:30">
      <c r="A732" s="42" t="str">
        <f>+IFERROR(IF(GUAYAQUIL[[#This Row],[CODIGO]]="","",VLOOKUP(GUAYAQUIL[[#This Row],[CODIGO]],MAESTRO!$A:$J,10,FALSE)),"")</f>
        <v>MACHACHI</v>
      </c>
      <c r="B732" s="42" t="str">
        <f>+IFERROR(IF(GUAYAQUIL[[#This Row],[CODIGO]]="","",VLOOKUP(GUAYAQUIL[[#This Row],[CODIGO]],MAESTRO!$A:$Q,17,FALSE)),"")</f>
        <v>BEBIDAS LACTEAS</v>
      </c>
      <c r="C732" s="42" t="str">
        <f>+IFERROR(IF(GUAYAQUIL[[#This Row],[CODIGO]]="","",VLOOKUP(GUAYAQUIL[[#This Row],[CODIGO]],MAESTRO!$A:$BA,53,FALSE)),"")</f>
        <v xml:space="preserve">Luis Armendariz                         </v>
      </c>
      <c r="D732" s="42" t="str">
        <f>+IFERROR(IF(GUAYAQUIL[[#This Row],[CODIGO]]="","",VLOOKUP(GUAYAQUIL[[#This Row],[CODIGO]],MAESTRO!$A:$D,4,FALSE)),"")</f>
        <v>YOGURT FINESSE</v>
      </c>
      <c r="E732" s="42" t="str">
        <f>+IFERROR(IF(GUAYAQUIL[[#This Row],[CODIGO]]="","",VLOOKUP(GUAYAQUIL[[#This Row],[CODIGO]],MAESTRO!$A:$F,6,FALSE)),"")</f>
        <v>YOGURT FINESSE VASO</v>
      </c>
      <c r="F732" s="42" t="str">
        <f>IF(GUAYAQUIL[[#This Row],[CODIGO]]="","",$K$6)</f>
        <v>GUAYAQUIL</v>
      </c>
      <c r="G732" s="1">
        <f>IF(GUAYAQUIL[[#This Row],[CODIGO]]="","",7711)</f>
        <v>7711</v>
      </c>
      <c r="H732" s="1">
        <f>IF(GUAYAQUIL[[#This Row],[CODIGO]]="","",1001)</f>
        <v>1001</v>
      </c>
      <c r="I732" s="258" t="s">
        <v>74</v>
      </c>
      <c r="J732" s="43" t="str">
        <f>IFERROR((VLOOKUP(GUAYAQUIL[[#This Row],[CODIGO]],MAESTRO!A:B,2,FALSE)),"")</f>
        <v>YOG FNSSE FRTROJ MUSLI 155G</v>
      </c>
      <c r="K732" s="35">
        <v>180</v>
      </c>
      <c r="L732" s="205">
        <f>+IFERROR(IF(GUAYAQUIL[[#This Row],[CODIGO]]="","",VLOOKUP(GUAYAQUIL[[#This Row],[CODIGO]],MAESTRO!$A:$BF,58,FALSE)),"")</f>
        <v>1</v>
      </c>
      <c r="M732" s="27">
        <f>+IFERROR(IF(GUAYAQUIL[[#This Row],[CODIGO]]="","",VLOOKUP(GUAYAQUIL[[#This Row],[CODIGO]],MAESTRO!A:N,14,FALSE)),"")</f>
        <v>0.16500000000000001</v>
      </c>
      <c r="N732" s="206">
        <f>+IFERROR(IF(GUAYAQUIL[[#This Row],[CODIGO]]="","",VLOOKUP(GUAYAQUIL[[#This Row],[CODIGO]],MAESTRO!A:P,16,FALSE)),"")</f>
        <v>45</v>
      </c>
      <c r="O732" s="303">
        <v>45604</v>
      </c>
      <c r="P732" s="99" t="str">
        <f t="shared" si="57"/>
        <v>viernes</v>
      </c>
      <c r="Q732" s="304">
        <f>IFERROR(IF(GUAYAQUIL[[#This Row],[CODIGO]]="","",IF(GUAYAQUIL[[#This Row],[Fecha Cad]]="","",(GUAYAQUIL[[#This Row],[Fecha Cad]]-GUAYAQUIL[[#This Row],[VIDA UTIL (Días)]]))+1),"")</f>
        <v>45604</v>
      </c>
      <c r="R732" s="303">
        <v>45648</v>
      </c>
      <c r="S732" s="30">
        <f t="shared" ca="1" si="56"/>
        <v>24</v>
      </c>
      <c r="T732" s="279">
        <f t="shared" ca="1" si="58"/>
        <v>0.53333333333333333</v>
      </c>
      <c r="U732" s="288">
        <v>52</v>
      </c>
      <c r="V732" s="265">
        <f>+IFERROR(IF(GUAYAQUIL[[#This Row],[CODIGO]]="","",GUAYAQUIL[[#This Row],[Stock Actual Unds]]*GUAYAQUIL[[#This Row],[Gramaje]]*GUAYAQUIL[[#This Row],[Conversión]]),"")</f>
        <v>8.58</v>
      </c>
      <c r="W732" s="280">
        <f t="shared" si="59"/>
        <v>0</v>
      </c>
      <c r="X732" s="44">
        <f t="shared" si="60"/>
        <v>1</v>
      </c>
      <c r="Y732" s="236">
        <f>IFERROR(VLOOKUP(GUAYAQUIL[[#This Row],[CODIGO]],MAESTRO!A:BI,21,FALSE),0)</f>
        <v>0.35993999999999998</v>
      </c>
      <c r="Z732" s="236">
        <f>+IFERROR(IF(GUAYAQUIL[[#This Row],[CODIGO]]="","",GUAYAQUIL[[#This Row],[COSTO UNIT base]]*GUAYAQUIL[[#This Row],[Conversión]]),"")</f>
        <v>0.35993999999999998</v>
      </c>
      <c r="AA732" s="236">
        <f>+IFERROR(IF(GUAYAQUIL[[#This Row],[CODIGO]]="","",GUAYAQUIL[[#This Row],[COSTO UNIT Conv]]*GUAYAQUIL[[#This Row],[Stock Actual Kgs]]),"")</f>
        <v>3.0882852000000001</v>
      </c>
      <c r="AB732" s="180">
        <f ca="1">+IFERROR(IF(GUAYAQUIL[[#This Row],[CODIGO]]="","",$J$3-O732),"")</f>
        <v>20</v>
      </c>
      <c r="AC732" s="35" t="str">
        <f ca="1">IF(GUAYAQUIL[[#This Row],[CODIGO]]="","",IF(S732&lt;=0,"CADUCADO",IF(AND(S732&gt;0,S732&lt;=21),"FECHA CORTA",IF(AND(S732&gt;=22,S732&lt;=26),"PROXIMOS FECHA CORTA", "VIGENTE"))))</f>
        <v>PROXIMOS FECHA CORTA</v>
      </c>
      <c r="AD732" s="289">
        <f>+IF(GUAYAQUIL[[#This Row],[CODIGO]]="","",GUAYAQUIL[[#This Row],[Stock Actual Unds]]*GUAYAQUIL[[#This Row],[Gramaje]]*GUAYAQUIL[[#This Row],[Conversión]])/1000</f>
        <v>8.5800000000000008E-3</v>
      </c>
    </row>
    <row r="733" spans="1:30">
      <c r="A733" s="42" t="str">
        <f>+IFERROR(IF(GUAYAQUIL[[#This Row],[CODIGO]]="","",VLOOKUP(GUAYAQUIL[[#This Row],[CODIGO]],MAESTRO!$A:$J,10,FALSE)),"")</f>
        <v>MACHACHI</v>
      </c>
      <c r="B733" s="42" t="str">
        <f>+IFERROR(IF(GUAYAQUIL[[#This Row],[CODIGO]]="","",VLOOKUP(GUAYAQUIL[[#This Row],[CODIGO]],MAESTRO!$A:$Q,17,FALSE)),"")</f>
        <v>BEBIDAS LACTEAS</v>
      </c>
      <c r="C733" s="42" t="str">
        <f>+IFERROR(IF(GUAYAQUIL[[#This Row],[CODIGO]]="","",VLOOKUP(GUAYAQUIL[[#This Row],[CODIGO]],MAESTRO!$A:$BA,53,FALSE)),"")</f>
        <v xml:space="preserve">Luis Armendariz                         </v>
      </c>
      <c r="D733" s="42" t="str">
        <f>+IFERROR(IF(GUAYAQUIL[[#This Row],[CODIGO]]="","",VLOOKUP(GUAYAQUIL[[#This Row],[CODIGO]],MAESTRO!$A:$D,4,FALSE)),"")</f>
        <v>YOGURT FINESSE</v>
      </c>
      <c r="E733" s="42" t="str">
        <f>+IFERROR(IF(GUAYAQUIL[[#This Row],[CODIGO]]="","",VLOOKUP(GUAYAQUIL[[#This Row],[CODIGO]],MAESTRO!$A:$F,6,FALSE)),"")</f>
        <v>YOGURT FINESSE VASO</v>
      </c>
      <c r="F733" s="42" t="str">
        <f>IF(GUAYAQUIL[[#This Row],[CODIGO]]="","",$K$6)</f>
        <v>GUAYAQUIL</v>
      </c>
      <c r="G733" s="1">
        <f>IF(GUAYAQUIL[[#This Row],[CODIGO]]="","",7711)</f>
        <v>7711</v>
      </c>
      <c r="H733" s="1">
        <f>IF(GUAYAQUIL[[#This Row],[CODIGO]]="","",1001)</f>
        <v>1001</v>
      </c>
      <c r="I733" s="258" t="s">
        <v>3601</v>
      </c>
      <c r="J733" s="43" t="str">
        <f>IFERROR((VLOOKUP(GUAYAQUIL[[#This Row],[CODIGO]],MAESTRO!A:B,2,FALSE)),"")</f>
        <v>YOG FNSSE DURAZNO MUSLI 155G</v>
      </c>
      <c r="K733" s="35">
        <v>120</v>
      </c>
      <c r="L733" s="205">
        <f>+IFERROR(IF(GUAYAQUIL[[#This Row],[CODIGO]]="","",VLOOKUP(GUAYAQUIL[[#This Row],[CODIGO]],MAESTRO!$A:$BF,58,FALSE)),"")</f>
        <v>1</v>
      </c>
      <c r="M733" s="27">
        <f>+IFERROR(IF(GUAYAQUIL[[#This Row],[CODIGO]]="","",VLOOKUP(GUAYAQUIL[[#This Row],[CODIGO]],MAESTRO!A:N,14,FALSE)),"")</f>
        <v>0.16500000000000001</v>
      </c>
      <c r="N733" s="206">
        <f>+IFERROR(IF(GUAYAQUIL[[#This Row],[CODIGO]]="","",VLOOKUP(GUAYAQUIL[[#This Row],[CODIGO]],MAESTRO!A:P,16,FALSE)),"")</f>
        <v>45</v>
      </c>
      <c r="O733" s="303">
        <v>45617</v>
      </c>
      <c r="P733" s="99" t="str">
        <f t="shared" ref="P733:P764" si="61">+IF(R733="","",TEXT(O733,"dddd"))</f>
        <v>jueves</v>
      </c>
      <c r="Q733" s="304">
        <f>IFERROR(IF(GUAYAQUIL[[#This Row],[CODIGO]]="","",IF(GUAYAQUIL[[#This Row],[Fecha Cad]]="","",(GUAYAQUIL[[#This Row],[Fecha Cad]]-GUAYAQUIL[[#This Row],[VIDA UTIL (Días)]]))+1),"")</f>
        <v>45604</v>
      </c>
      <c r="R733" s="303">
        <v>45648</v>
      </c>
      <c r="S733" s="30">
        <f t="shared" ref="S733:S764" ca="1" si="62">+IFERROR(IF(R733="","",R733-$J$3),0)</f>
        <v>24</v>
      </c>
      <c r="T733" s="279">
        <f t="shared" ref="T733:T764" ca="1" si="63">IFERROR(IF(8="","",S733/N733),0)</f>
        <v>0.53333333333333333</v>
      </c>
      <c r="U733" s="288">
        <v>39</v>
      </c>
      <c r="V733" s="265">
        <f>+IFERROR(IF(GUAYAQUIL[[#This Row],[CODIGO]]="","",GUAYAQUIL[[#This Row],[Stock Actual Unds]]*GUAYAQUIL[[#This Row],[Gramaje]]*GUAYAQUIL[[#This Row],[Conversión]]),"")</f>
        <v>6.4350000000000005</v>
      </c>
      <c r="W733" s="280">
        <f t="shared" ref="W733:W764" si="64">IFERROR(O733-Q733,0)</f>
        <v>13</v>
      </c>
      <c r="X733" s="44">
        <f t="shared" ref="X733:X764" si="65">IF(I733="","",1-(W733/N733))</f>
        <v>0.71111111111111114</v>
      </c>
      <c r="Y733" s="236">
        <f>IFERROR(VLOOKUP(GUAYAQUIL[[#This Row],[CODIGO]],MAESTRO!A:BI,21,FALSE),0)</f>
        <v>0.36751</v>
      </c>
      <c r="Z733" s="236">
        <f>+IFERROR(IF(GUAYAQUIL[[#This Row],[CODIGO]]="","",GUAYAQUIL[[#This Row],[COSTO UNIT base]]*GUAYAQUIL[[#This Row],[Conversión]]),"")</f>
        <v>0.36751</v>
      </c>
      <c r="AA733" s="236">
        <f>+IFERROR(IF(GUAYAQUIL[[#This Row],[CODIGO]]="","",GUAYAQUIL[[#This Row],[COSTO UNIT Conv]]*GUAYAQUIL[[#This Row],[Stock Actual Kgs]]),"")</f>
        <v>2.3649268500000002</v>
      </c>
      <c r="AB733" s="180">
        <f ca="1">+IFERROR(IF(GUAYAQUIL[[#This Row],[CODIGO]]="","",$J$3-O733),"")</f>
        <v>7</v>
      </c>
      <c r="AC733" s="35" t="str">
        <f ca="1">IF(GUAYAQUIL[[#This Row],[CODIGO]]="","",IF(S733&lt;=0,"CADUCADO",IF(AND(S733&gt;0,S733&lt;=21),"FECHA CORTA",IF(AND(S733&gt;=22,S733&lt;=26),"PROXIMOS FECHA CORTA", "VIGENTE"))))</f>
        <v>PROXIMOS FECHA CORTA</v>
      </c>
      <c r="AD733" s="289">
        <f>+IF(GUAYAQUIL[[#This Row],[CODIGO]]="","",GUAYAQUIL[[#This Row],[Stock Actual Unds]]*GUAYAQUIL[[#This Row],[Gramaje]]*GUAYAQUIL[[#This Row],[Conversión]])/1000</f>
        <v>6.4350000000000006E-3</v>
      </c>
    </row>
    <row r="734" spans="1:30">
      <c r="A734" s="42" t="str">
        <f>+IFERROR(IF(GUAYAQUIL[[#This Row],[CODIGO]]="","",VLOOKUP(GUAYAQUIL[[#This Row],[CODIGO]],MAESTRO!$A:$J,10,FALSE)),"")</f>
        <v>MULTIEMPAQUE_MACH</v>
      </c>
      <c r="B734" s="42" t="str">
        <f>+IFERROR(IF(GUAYAQUIL[[#This Row],[CODIGO]]="","",VLOOKUP(GUAYAQUIL[[#This Row],[CODIGO]],MAESTRO!$A:$Q,17,FALSE)),"")</f>
        <v>BEBIDAS LACTEAS</v>
      </c>
      <c r="C734" s="42" t="str">
        <f>+IFERROR(IF(GUAYAQUIL[[#This Row],[CODIGO]]="","",VLOOKUP(GUAYAQUIL[[#This Row],[CODIGO]],MAESTRO!$A:$BA,53,FALSE)),"")</f>
        <v xml:space="preserve">Luis Armendariz                         </v>
      </c>
      <c r="D734" s="42" t="str">
        <f>+IFERROR(IF(GUAYAQUIL[[#This Row],[CODIGO]]="","",VLOOKUP(GUAYAQUIL[[#This Row],[CODIGO]],MAESTRO!$A:$D,4,FALSE)),"")</f>
        <v>BON YURT</v>
      </c>
      <c r="E734" s="42" t="str">
        <f>+IFERROR(IF(GUAYAQUIL[[#This Row],[CODIGO]]="","",VLOOKUP(GUAYAQUIL[[#This Row],[CODIGO]],MAESTRO!$A:$F,6,FALSE)),"")</f>
        <v>BON YURT REGULAR</v>
      </c>
      <c r="F734" s="42" t="str">
        <f>IF(GUAYAQUIL[[#This Row],[CODIGO]]="","",$K$6)</f>
        <v>GUAYAQUIL</v>
      </c>
      <c r="G734" s="1">
        <f>IF(GUAYAQUIL[[#This Row],[CODIGO]]="","",7711)</f>
        <v>7711</v>
      </c>
      <c r="H734" s="1">
        <f>IF(GUAYAQUIL[[#This Row],[CODIGO]]="","",1001)</f>
        <v>1001</v>
      </c>
      <c r="I734" s="258" t="s">
        <v>4196</v>
      </c>
      <c r="J734" s="43" t="str">
        <f>IFERROR((VLOOKUP(GUAYAQUIL[[#This Row],[CODIGO]],MAESTRO!A:B,2,FALSE)),"")</f>
        <v>MPLX4 BY MULTSAB VASO</v>
      </c>
      <c r="K734" s="35">
        <v>6</v>
      </c>
      <c r="L734" s="205">
        <f>+IFERROR(IF(GUAYAQUIL[[#This Row],[CODIGO]]="","",VLOOKUP(GUAYAQUIL[[#This Row],[CODIGO]],MAESTRO!$A:$BF,58,FALSE)),"")</f>
        <v>1</v>
      </c>
      <c r="M734" s="27">
        <f>+IFERROR(IF(GUAYAQUIL[[#This Row],[CODIGO]]="","",VLOOKUP(GUAYAQUIL[[#This Row],[CODIGO]],MAESTRO!A:N,14,FALSE)),"")</f>
        <v>0.66500000000000004</v>
      </c>
      <c r="N734" s="206">
        <f>+IFERROR(IF(GUAYAQUIL[[#This Row],[CODIGO]]="","",VLOOKUP(GUAYAQUIL[[#This Row],[CODIGO]],MAESTRO!A:P,16,FALSE)),"")</f>
        <v>45</v>
      </c>
      <c r="O734" s="303">
        <v>45608</v>
      </c>
      <c r="P734" s="99" t="str">
        <f t="shared" si="61"/>
        <v>martes</v>
      </c>
      <c r="Q734" s="304">
        <f>IFERROR(IF(GUAYAQUIL[[#This Row],[CODIGO]]="","",IF(GUAYAQUIL[[#This Row],[Fecha Cad]]="","",(GUAYAQUIL[[#This Row],[Fecha Cad]]-GUAYAQUIL[[#This Row],[VIDA UTIL (Días)]]))+1),"")</f>
        <v>45597</v>
      </c>
      <c r="R734" s="303">
        <v>45641</v>
      </c>
      <c r="S734" s="30">
        <f t="shared" ca="1" si="62"/>
        <v>17</v>
      </c>
      <c r="T734" s="279">
        <f t="shared" ca="1" si="63"/>
        <v>0.37777777777777777</v>
      </c>
      <c r="U734" s="288">
        <v>6</v>
      </c>
      <c r="V734" s="265">
        <f>+IFERROR(IF(GUAYAQUIL[[#This Row],[CODIGO]]="","",GUAYAQUIL[[#This Row],[Stock Actual Unds]]*GUAYAQUIL[[#This Row],[Gramaje]]*GUAYAQUIL[[#This Row],[Conversión]]),"")</f>
        <v>3.99</v>
      </c>
      <c r="W734" s="280">
        <f t="shared" si="64"/>
        <v>11</v>
      </c>
      <c r="X734" s="44">
        <f t="shared" si="65"/>
        <v>0.75555555555555554</v>
      </c>
      <c r="Y734" s="236">
        <f>IFERROR(VLOOKUP(GUAYAQUIL[[#This Row],[CODIGO]],MAESTRO!A:BI,21,FALSE),0)</f>
        <v>1.5265749999999998</v>
      </c>
      <c r="Z734" s="236">
        <f>+IFERROR(IF(GUAYAQUIL[[#This Row],[CODIGO]]="","",GUAYAQUIL[[#This Row],[COSTO UNIT base]]*GUAYAQUIL[[#This Row],[Conversión]]),"")</f>
        <v>1.5265749999999998</v>
      </c>
      <c r="AA734" s="236">
        <f>+IFERROR(IF(GUAYAQUIL[[#This Row],[CODIGO]]="","",GUAYAQUIL[[#This Row],[COSTO UNIT Conv]]*GUAYAQUIL[[#This Row],[Stock Actual Kgs]]),"")</f>
        <v>6.0910342499999999</v>
      </c>
      <c r="AB734" s="180">
        <f ca="1">+IFERROR(IF(GUAYAQUIL[[#This Row],[CODIGO]]="","",$J$3-O734),"")</f>
        <v>16</v>
      </c>
      <c r="AC734" s="35" t="str">
        <f ca="1">IF(GUAYAQUIL[[#This Row],[CODIGO]]="","",IF(S734&lt;=0,"CADUCADO",IF(AND(S734&gt;0,S734&lt;=21),"FECHA CORTA",IF(AND(S734&gt;=22,S734&lt;=26),"PROXIMOS FECHA CORTA", "VIGENTE"))))</f>
        <v>FECHA CORTA</v>
      </c>
      <c r="AD734" s="289">
        <f>+IF(GUAYAQUIL[[#This Row],[CODIGO]]="","",GUAYAQUIL[[#This Row],[Stock Actual Unds]]*GUAYAQUIL[[#This Row],[Gramaje]]*GUAYAQUIL[[#This Row],[Conversión]])/1000</f>
        <v>3.9900000000000005E-3</v>
      </c>
    </row>
    <row r="735" spans="1:30">
      <c r="A735" s="42" t="str">
        <f>+IFERROR(IF(GUAYAQUIL[[#This Row],[CODIGO]]="","",VLOOKUP(GUAYAQUIL[[#This Row],[CODIGO]],MAESTRO!$A:$J,10,FALSE)),"")</f>
        <v>SAN GABRIEL</v>
      </c>
      <c r="B735" s="42" t="str">
        <f>+IFERROR(IF(GUAYAQUIL[[#This Row],[CODIGO]]="","",VLOOKUP(GUAYAQUIL[[#This Row],[CODIGO]],MAESTRO!$A:$Q,17,FALSE)),"")</f>
        <v>QUESOS Y GRASAS</v>
      </c>
      <c r="C735" s="42" t="str">
        <f>+IFERROR(IF(GUAYAQUIL[[#This Row],[CODIGO]]="","",VLOOKUP(GUAYAQUIL[[#This Row],[CODIGO]],MAESTRO!$A:$BA,53,FALSE)),"")</f>
        <v xml:space="preserve">Esteban Montenegro                      </v>
      </c>
      <c r="D735" s="42" t="str">
        <f>+IFERROR(IF(GUAYAQUIL[[#This Row],[CODIGO]]="","",VLOOKUP(GUAYAQUIL[[#This Row],[CODIGO]],MAESTRO!$A:$D,4,FALSE)),"")</f>
        <v>QUESO SEMIMADURO KIOSKO</v>
      </c>
      <c r="E735" s="42" t="str">
        <f>+IFERROR(IF(GUAYAQUIL[[#This Row],[CODIGO]]="","",VLOOKUP(GUAYAQUIL[[#This Row],[CODIGO]],MAESTRO!$A:$F,6,FALSE)),"")</f>
        <v>QUESO MOZARELLA PIZZA KIOSKO TAJADO</v>
      </c>
      <c r="F735" s="42" t="str">
        <f>IF(GUAYAQUIL[[#This Row],[CODIGO]]="","",$K$6)</f>
        <v>GUAYAQUIL</v>
      </c>
      <c r="G735" s="1">
        <f>IF(GUAYAQUIL[[#This Row],[CODIGO]]="","",7711)</f>
        <v>7711</v>
      </c>
      <c r="H735" s="1">
        <f>IF(GUAYAQUIL[[#This Row],[CODIGO]]="","",1001)</f>
        <v>1001</v>
      </c>
      <c r="I735" s="258" t="s">
        <v>1221</v>
      </c>
      <c r="J735" s="43" t="str">
        <f>IFERROR((VLOOKUP(GUAYAQUIL[[#This Row],[CODIGO]],MAESTRO!A:B,2,FALSE)),"")</f>
        <v>QUESO KIOSKO MOZZARELLA LONJ 1KG AL PESO</v>
      </c>
      <c r="K735" s="35">
        <v>50</v>
      </c>
      <c r="L735" s="205">
        <f>+IFERROR(IF(GUAYAQUIL[[#This Row],[CODIGO]]="","",VLOOKUP(GUAYAQUIL[[#This Row],[CODIGO]],MAESTRO!$A:$BF,58,FALSE)),"")</f>
        <v>1</v>
      </c>
      <c r="M735" s="27">
        <f>+IFERROR(IF(GUAYAQUIL[[#This Row],[CODIGO]]="","",VLOOKUP(GUAYAQUIL[[#This Row],[CODIGO]],MAESTRO!A:N,14,FALSE)),"")</f>
        <v>1</v>
      </c>
      <c r="N735" s="206">
        <f>+IFERROR(IF(GUAYAQUIL[[#This Row],[CODIGO]]="","",VLOOKUP(GUAYAQUIL[[#This Row],[CODIGO]],MAESTRO!A:P,16,FALSE)),"")</f>
        <v>45</v>
      </c>
      <c r="O735" s="303">
        <v>45609</v>
      </c>
      <c r="P735" s="99" t="str">
        <f t="shared" si="61"/>
        <v>miércoles</v>
      </c>
      <c r="Q735" s="304">
        <f>IFERROR(IF(GUAYAQUIL[[#This Row],[CODIGO]]="","",IF(GUAYAQUIL[[#This Row],[Fecha Cad]]="","",(GUAYAQUIL[[#This Row],[Fecha Cad]]-GUAYAQUIL[[#This Row],[VIDA UTIL (Días)]]))+1),"")</f>
        <v>45593</v>
      </c>
      <c r="R735" s="303">
        <v>45637</v>
      </c>
      <c r="S735" s="30">
        <f t="shared" ca="1" si="62"/>
        <v>13</v>
      </c>
      <c r="T735" s="279">
        <f t="shared" ca="1" si="63"/>
        <v>0.28888888888888886</v>
      </c>
      <c r="U735" s="288">
        <v>2</v>
      </c>
      <c r="V735" s="265">
        <f>+IFERROR(IF(GUAYAQUIL[[#This Row],[CODIGO]]="","",GUAYAQUIL[[#This Row],[Stock Actual Unds]]*GUAYAQUIL[[#This Row],[Gramaje]]*GUAYAQUIL[[#This Row],[Conversión]]),"")</f>
        <v>2</v>
      </c>
      <c r="W735" s="280">
        <f t="shared" si="64"/>
        <v>16</v>
      </c>
      <c r="X735" s="44">
        <f t="shared" si="65"/>
        <v>0.64444444444444438</v>
      </c>
      <c r="Y735" s="236">
        <f>IFERROR(VLOOKUP(GUAYAQUIL[[#This Row],[CODIGO]],MAESTRO!A:BI,21,FALSE),0)</f>
        <v>6.5915400000000002</v>
      </c>
      <c r="Z735" s="236">
        <f>+IFERROR(IF(GUAYAQUIL[[#This Row],[CODIGO]]="","",GUAYAQUIL[[#This Row],[COSTO UNIT base]]*GUAYAQUIL[[#This Row],[Conversión]]),"")</f>
        <v>6.5915400000000002</v>
      </c>
      <c r="AA735" s="236">
        <f>+IFERROR(IF(GUAYAQUIL[[#This Row],[CODIGO]]="","",GUAYAQUIL[[#This Row],[COSTO UNIT Conv]]*GUAYAQUIL[[#This Row],[Stock Actual Kgs]]),"")</f>
        <v>13.18308</v>
      </c>
      <c r="AB735" s="180">
        <f ca="1">+IFERROR(IF(GUAYAQUIL[[#This Row],[CODIGO]]="","",$J$3-O735),"")</f>
        <v>15</v>
      </c>
      <c r="AC735" s="35" t="str">
        <f ca="1">IF(GUAYAQUIL[[#This Row],[CODIGO]]="","",IF(S735&lt;=0,"CADUCADO",IF(AND(S735&gt;0,S735&lt;=21),"FECHA CORTA",IF(AND(S735&gt;=22,S735&lt;=26),"PROXIMOS FECHA CORTA", "VIGENTE"))))</f>
        <v>FECHA CORTA</v>
      </c>
      <c r="AD735" s="289">
        <f>+IF(GUAYAQUIL[[#This Row],[CODIGO]]="","",GUAYAQUIL[[#This Row],[Stock Actual Unds]]*GUAYAQUIL[[#This Row],[Gramaje]]*GUAYAQUIL[[#This Row],[Conversión]])/1000</f>
        <v>2E-3</v>
      </c>
    </row>
    <row r="736" spans="1:30">
      <c r="A736" s="42" t="str">
        <f>+IFERROR(IF(GUAYAQUIL[[#This Row],[CODIGO]]="","",VLOOKUP(GUAYAQUIL[[#This Row],[CODIGO]],MAESTRO!$A:$J,10,FALSE)),"")</f>
        <v>SAN GABRIEL</v>
      </c>
      <c r="B736" s="42" t="str">
        <f>+IFERROR(IF(GUAYAQUIL[[#This Row],[CODIGO]]="","",VLOOKUP(GUAYAQUIL[[#This Row],[CODIGO]],MAESTRO!$A:$Q,17,FALSE)),"")</f>
        <v>QUESOS Y GRASAS</v>
      </c>
      <c r="C736" s="42" t="str">
        <f>+IFERROR(IF(GUAYAQUIL[[#This Row],[CODIGO]]="","",VLOOKUP(GUAYAQUIL[[#This Row],[CODIGO]],MAESTRO!$A:$BA,53,FALSE)),"")</f>
        <v xml:space="preserve">Esteban Montenegro                      </v>
      </c>
      <c r="D736" s="42" t="str">
        <f>+IFERROR(IF(GUAYAQUIL[[#This Row],[CODIGO]]="","",VLOOKUP(GUAYAQUIL[[#This Row],[CODIGO]],MAESTRO!$A:$D,4,FALSE)),"")</f>
        <v>QUESO SEMIMADURO KIOSKO</v>
      </c>
      <c r="E736" s="42" t="str">
        <f>+IFERROR(IF(GUAYAQUIL[[#This Row],[CODIGO]]="","",VLOOKUP(GUAYAQUIL[[#This Row],[CODIGO]],MAESTRO!$A:$F,6,FALSE)),"")</f>
        <v>QUESO MOZARELLA PIZZA KIOSKO TAJADO</v>
      </c>
      <c r="F736" s="42" t="str">
        <f>IF(GUAYAQUIL[[#This Row],[CODIGO]]="","",$K$6)</f>
        <v>GUAYAQUIL</v>
      </c>
      <c r="G736" s="1">
        <f>IF(GUAYAQUIL[[#This Row],[CODIGO]]="","",7711)</f>
        <v>7711</v>
      </c>
      <c r="H736" s="1">
        <f>IF(GUAYAQUIL[[#This Row],[CODIGO]]="","",1001)</f>
        <v>1001</v>
      </c>
      <c r="I736" s="258" t="s">
        <v>1221</v>
      </c>
      <c r="J736" s="43" t="str">
        <f>IFERROR((VLOOKUP(GUAYAQUIL[[#This Row],[CODIGO]],MAESTRO!A:B,2,FALSE)),"")</f>
        <v>QUESO KIOSKO MOZZARELLA LONJ 1KG AL PESO</v>
      </c>
      <c r="K736" s="35">
        <v>20</v>
      </c>
      <c r="L736" s="205">
        <f>+IFERROR(IF(GUAYAQUIL[[#This Row],[CODIGO]]="","",VLOOKUP(GUAYAQUIL[[#This Row],[CODIGO]],MAESTRO!$A:$BF,58,FALSE)),"")</f>
        <v>1</v>
      </c>
      <c r="M736" s="27">
        <f>+IFERROR(IF(GUAYAQUIL[[#This Row],[CODIGO]]="","",VLOOKUP(GUAYAQUIL[[#This Row],[CODIGO]],MAESTRO!A:N,14,FALSE)),"")</f>
        <v>1</v>
      </c>
      <c r="N736" s="206">
        <f>+IFERROR(IF(GUAYAQUIL[[#This Row],[CODIGO]]="","",VLOOKUP(GUAYAQUIL[[#This Row],[CODIGO]],MAESTRO!A:P,16,FALSE)),"")</f>
        <v>45</v>
      </c>
      <c r="O736" s="303">
        <v>45616</v>
      </c>
      <c r="P736" s="99" t="str">
        <f t="shared" si="61"/>
        <v>miércoles</v>
      </c>
      <c r="Q736" s="304">
        <f>IFERROR(IF(GUAYAQUIL[[#This Row],[CODIGO]]="","",IF(GUAYAQUIL[[#This Row],[Fecha Cad]]="","",(GUAYAQUIL[[#This Row],[Fecha Cad]]-GUAYAQUIL[[#This Row],[VIDA UTIL (Días)]]))+1),"")</f>
        <v>45600</v>
      </c>
      <c r="R736" s="303">
        <v>45644</v>
      </c>
      <c r="S736" s="30">
        <f t="shared" ca="1" si="62"/>
        <v>20</v>
      </c>
      <c r="T736" s="279">
        <f t="shared" ca="1" si="63"/>
        <v>0.44444444444444442</v>
      </c>
      <c r="U736" s="288">
        <v>20</v>
      </c>
      <c r="V736" s="265">
        <f>+IFERROR(IF(GUAYAQUIL[[#This Row],[CODIGO]]="","",GUAYAQUIL[[#This Row],[Stock Actual Unds]]*GUAYAQUIL[[#This Row],[Gramaje]]*GUAYAQUIL[[#This Row],[Conversión]]),"")</f>
        <v>20</v>
      </c>
      <c r="W736" s="280">
        <f t="shared" si="64"/>
        <v>16</v>
      </c>
      <c r="X736" s="44">
        <f t="shared" si="65"/>
        <v>0.64444444444444438</v>
      </c>
      <c r="Y736" s="236">
        <f>IFERROR(VLOOKUP(GUAYAQUIL[[#This Row],[CODIGO]],MAESTRO!A:BI,21,FALSE),0)</f>
        <v>6.5915400000000002</v>
      </c>
      <c r="Z736" s="236">
        <f>+IFERROR(IF(GUAYAQUIL[[#This Row],[CODIGO]]="","",GUAYAQUIL[[#This Row],[COSTO UNIT base]]*GUAYAQUIL[[#This Row],[Conversión]]),"")</f>
        <v>6.5915400000000002</v>
      </c>
      <c r="AA736" s="236">
        <f>+IFERROR(IF(GUAYAQUIL[[#This Row],[CODIGO]]="","",GUAYAQUIL[[#This Row],[COSTO UNIT Conv]]*GUAYAQUIL[[#This Row],[Stock Actual Kgs]]),"")</f>
        <v>131.83080000000001</v>
      </c>
      <c r="AB736" s="180">
        <f ca="1">+IFERROR(IF(GUAYAQUIL[[#This Row],[CODIGO]]="","",$J$3-O736),"")</f>
        <v>8</v>
      </c>
      <c r="AC736" s="35" t="str">
        <f ca="1">IF(GUAYAQUIL[[#This Row],[CODIGO]]="","",IF(S736&lt;=0,"CADUCADO",IF(AND(S736&gt;0,S736&lt;=21),"FECHA CORTA",IF(AND(S736&gt;=22,S736&lt;=26),"PROXIMOS FECHA CORTA", "VIGENTE"))))</f>
        <v>FECHA CORTA</v>
      </c>
      <c r="AD736" s="289">
        <f>+IF(GUAYAQUIL[[#This Row],[CODIGO]]="","",GUAYAQUIL[[#This Row],[Stock Actual Unds]]*GUAYAQUIL[[#This Row],[Gramaje]]*GUAYAQUIL[[#This Row],[Conversión]])/1000</f>
        <v>0.02</v>
      </c>
    </row>
    <row r="737" spans="1:30">
      <c r="A737" s="42" t="str">
        <f>+IFERROR(IF(GUAYAQUIL[[#This Row],[CODIGO]]="","",VLOOKUP(GUAYAQUIL[[#This Row],[CODIGO]],MAESTRO!$A:$J,10,FALSE)),"")</f>
        <v>SAN GABRIEL</v>
      </c>
      <c r="B737" s="42" t="str">
        <f>+IFERROR(IF(GUAYAQUIL[[#This Row],[CODIGO]]="","",VLOOKUP(GUAYAQUIL[[#This Row],[CODIGO]],MAESTRO!$A:$Q,17,FALSE)),"")</f>
        <v>QUESOS Y GRASAS</v>
      </c>
      <c r="C737" s="42" t="str">
        <f>+IFERROR(IF(GUAYAQUIL[[#This Row],[CODIGO]]="","",VLOOKUP(GUAYAQUIL[[#This Row],[CODIGO]],MAESTRO!$A:$BA,53,FALSE)),"")</f>
        <v xml:space="preserve">Esteban Montenegro                      </v>
      </c>
      <c r="D737" s="42" t="str">
        <f>+IFERROR(IF(GUAYAQUIL[[#This Row],[CODIGO]]="","",VLOOKUP(GUAYAQUIL[[#This Row],[CODIGO]],MAESTRO!$A:$D,4,FALSE)),"")</f>
        <v>QUESO SEMIMADURO KIOSKO</v>
      </c>
      <c r="E737" s="42" t="str">
        <f>+IFERROR(IF(GUAYAQUIL[[#This Row],[CODIGO]]="","",VLOOKUP(GUAYAQUIL[[#This Row],[CODIGO]],MAESTRO!$A:$F,6,FALSE)),"")</f>
        <v>QUESO SANDUCHE KIOSKO TAJADO</v>
      </c>
      <c r="F737" s="42" t="str">
        <f>IF(GUAYAQUIL[[#This Row],[CODIGO]]="","",$K$6)</f>
        <v>GUAYAQUIL</v>
      </c>
      <c r="G737" s="1">
        <f>IF(GUAYAQUIL[[#This Row],[CODIGO]]="","",7711)</f>
        <v>7711</v>
      </c>
      <c r="H737" s="1">
        <f>IF(GUAYAQUIL[[#This Row],[CODIGO]]="","",1001)</f>
        <v>1001</v>
      </c>
      <c r="I737" s="258" t="s">
        <v>1737</v>
      </c>
      <c r="J737" s="43" t="str">
        <f>IFERROR((VLOOKUP(GUAYAQUIL[[#This Row],[CODIGO]],MAESTRO!A:B,2,FALSE)),"")</f>
        <v>KIOSKO SANDUCHE LONJAS LINEA DIARIA 75G</v>
      </c>
      <c r="K737" s="35">
        <v>120</v>
      </c>
      <c r="L737" s="205">
        <f>+IFERROR(IF(GUAYAQUIL[[#This Row],[CODIGO]]="","",VLOOKUP(GUAYAQUIL[[#This Row],[CODIGO]],MAESTRO!$A:$BF,58,FALSE)),"")</f>
        <v>1</v>
      </c>
      <c r="M737" s="27">
        <f>+IFERROR(IF(GUAYAQUIL[[#This Row],[CODIGO]]="","",VLOOKUP(GUAYAQUIL[[#This Row],[CODIGO]],MAESTRO!A:N,14,FALSE)),"")</f>
        <v>7.4999999999999997E-2</v>
      </c>
      <c r="N737" s="206">
        <f>+IFERROR(IF(GUAYAQUIL[[#This Row],[CODIGO]]="","",VLOOKUP(GUAYAQUIL[[#This Row],[CODIGO]],MAESTRO!A:P,16,FALSE)),"")</f>
        <v>90</v>
      </c>
      <c r="O737" s="303">
        <v>45609</v>
      </c>
      <c r="P737" s="99" t="str">
        <f t="shared" si="61"/>
        <v>miércoles</v>
      </c>
      <c r="Q737" s="304">
        <f>IFERROR(IF(GUAYAQUIL[[#This Row],[CODIGO]]="","",IF(GUAYAQUIL[[#This Row],[Fecha Cad]]="","",(GUAYAQUIL[[#This Row],[Fecha Cad]]-GUAYAQUIL[[#This Row],[VIDA UTIL (Días)]]))+1),"")</f>
        <v>45604</v>
      </c>
      <c r="R737" s="303">
        <v>45693</v>
      </c>
      <c r="S737" s="30">
        <f t="shared" ca="1" si="62"/>
        <v>69</v>
      </c>
      <c r="T737" s="279">
        <f t="shared" ca="1" si="63"/>
        <v>0.76666666666666672</v>
      </c>
      <c r="U737" s="288">
        <v>30</v>
      </c>
      <c r="V737" s="265">
        <f>+IFERROR(IF(GUAYAQUIL[[#This Row],[CODIGO]]="","",GUAYAQUIL[[#This Row],[Stock Actual Unds]]*GUAYAQUIL[[#This Row],[Gramaje]]*GUAYAQUIL[[#This Row],[Conversión]]),"")</f>
        <v>2.25</v>
      </c>
      <c r="W737" s="280">
        <f t="shared" si="64"/>
        <v>5</v>
      </c>
      <c r="X737" s="44">
        <f t="shared" si="65"/>
        <v>0.94444444444444442</v>
      </c>
      <c r="Y737" s="236">
        <f>IFERROR(VLOOKUP(GUAYAQUIL[[#This Row],[CODIGO]],MAESTRO!A:BI,21,FALSE),0)</f>
        <v>0.60429999999999995</v>
      </c>
      <c r="Z737" s="236">
        <f>+IFERROR(IF(GUAYAQUIL[[#This Row],[CODIGO]]="","",GUAYAQUIL[[#This Row],[COSTO UNIT base]]*GUAYAQUIL[[#This Row],[Conversión]]),"")</f>
        <v>0.60429999999999995</v>
      </c>
      <c r="AA737" s="236">
        <f>+IFERROR(IF(GUAYAQUIL[[#This Row],[CODIGO]]="","",GUAYAQUIL[[#This Row],[COSTO UNIT Conv]]*GUAYAQUIL[[#This Row],[Stock Actual Kgs]]),"")</f>
        <v>1.359675</v>
      </c>
      <c r="AB737" s="180">
        <f ca="1">+IFERROR(IF(GUAYAQUIL[[#This Row],[CODIGO]]="","",$J$3-O737),"")</f>
        <v>15</v>
      </c>
      <c r="AC737" s="35" t="str">
        <f ca="1">IF(GUAYAQUIL[[#This Row],[CODIGO]]="","",IF(S737&lt;=0,"CADUCADO",IF(AND(S737&gt;0,S737&lt;=21),"FECHA CORTA",IF(AND(S737&gt;=22,S737&lt;=26),"PROXIMOS FECHA CORTA", "VIGENTE"))))</f>
        <v>VIGENTE</v>
      </c>
      <c r="AD737" s="289">
        <f>+IF(GUAYAQUIL[[#This Row],[CODIGO]]="","",GUAYAQUIL[[#This Row],[Stock Actual Unds]]*GUAYAQUIL[[#This Row],[Gramaje]]*GUAYAQUIL[[#This Row],[Conversión]])/1000</f>
        <v>2.2499999999999998E-3</v>
      </c>
    </row>
    <row r="738" spans="1:30">
      <c r="A738" s="42" t="str">
        <f>+IFERROR(IF(GUAYAQUIL[[#This Row],[CODIGO]]="","",VLOOKUP(GUAYAQUIL[[#This Row],[CODIGO]],MAESTRO!$A:$J,10,FALSE)),"")</f>
        <v>SAN GABRIEL</v>
      </c>
      <c r="B738" s="42" t="str">
        <f>+IFERROR(IF(GUAYAQUIL[[#This Row],[CODIGO]]="","",VLOOKUP(GUAYAQUIL[[#This Row],[CODIGO]],MAESTRO!$A:$Q,17,FALSE)),"")</f>
        <v>QUESOS Y GRASAS</v>
      </c>
      <c r="C738" s="42" t="str">
        <f>+IFERROR(IF(GUAYAQUIL[[#This Row],[CODIGO]]="","",VLOOKUP(GUAYAQUIL[[#This Row],[CODIGO]],MAESTRO!$A:$BA,53,FALSE)),"")</f>
        <v xml:space="preserve">Esteban Montenegro                      </v>
      </c>
      <c r="D738" s="42" t="str">
        <f>+IFERROR(IF(GUAYAQUIL[[#This Row],[CODIGO]]="","",VLOOKUP(GUAYAQUIL[[#This Row],[CODIGO]],MAESTRO!$A:$D,4,FALSE)),"")</f>
        <v>QUESO SEMIMADURO KIOSKO</v>
      </c>
      <c r="E738" s="42" t="str">
        <f>+IFERROR(IF(GUAYAQUIL[[#This Row],[CODIGO]]="","",VLOOKUP(GUAYAQUIL[[#This Row],[CODIGO]],MAESTRO!$A:$F,6,FALSE)),"")</f>
        <v>QUESO SANDUCHE KIOSKO TAJADO</v>
      </c>
      <c r="F738" s="42" t="str">
        <f>IF(GUAYAQUIL[[#This Row],[CODIGO]]="","",$K$6)</f>
        <v>GUAYAQUIL</v>
      </c>
      <c r="G738" s="1">
        <f>IF(GUAYAQUIL[[#This Row],[CODIGO]]="","",7711)</f>
        <v>7711</v>
      </c>
      <c r="H738" s="1">
        <f>IF(GUAYAQUIL[[#This Row],[CODIGO]]="","",1001)</f>
        <v>1001</v>
      </c>
      <c r="I738" s="258" t="s">
        <v>1737</v>
      </c>
      <c r="J738" s="43" t="str">
        <f>IFERROR((VLOOKUP(GUAYAQUIL[[#This Row],[CODIGO]],MAESTRO!A:B,2,FALSE)),"")</f>
        <v>KIOSKO SANDUCHE LONJAS LINEA DIARIA 75G</v>
      </c>
      <c r="K738" s="35">
        <v>60</v>
      </c>
      <c r="L738" s="205">
        <f>+IFERROR(IF(GUAYAQUIL[[#This Row],[CODIGO]]="","",VLOOKUP(GUAYAQUIL[[#This Row],[CODIGO]],MAESTRO!$A:$BF,58,FALSE)),"")</f>
        <v>1</v>
      </c>
      <c r="M738" s="27">
        <f>+IFERROR(IF(GUAYAQUIL[[#This Row],[CODIGO]]="","",VLOOKUP(GUAYAQUIL[[#This Row],[CODIGO]],MAESTRO!A:N,14,FALSE)),"")</f>
        <v>7.4999999999999997E-2</v>
      </c>
      <c r="N738" s="206">
        <f>+IFERROR(IF(GUAYAQUIL[[#This Row],[CODIGO]]="","",VLOOKUP(GUAYAQUIL[[#This Row],[CODIGO]],MAESTRO!A:P,16,FALSE)),"")</f>
        <v>90</v>
      </c>
      <c r="O738" s="303">
        <v>45617</v>
      </c>
      <c r="P738" s="99" t="str">
        <f t="shared" si="61"/>
        <v>jueves</v>
      </c>
      <c r="Q738" s="304">
        <f>IFERROR(IF(GUAYAQUIL[[#This Row],[CODIGO]]="","",IF(GUAYAQUIL[[#This Row],[Fecha Cad]]="","",(GUAYAQUIL[[#This Row],[Fecha Cad]]-GUAYAQUIL[[#This Row],[VIDA UTIL (Días)]]))+1),"")</f>
        <v>45608</v>
      </c>
      <c r="R738" s="303">
        <v>45697</v>
      </c>
      <c r="S738" s="30">
        <f t="shared" ca="1" si="62"/>
        <v>73</v>
      </c>
      <c r="T738" s="279">
        <f t="shared" ca="1" si="63"/>
        <v>0.81111111111111112</v>
      </c>
      <c r="U738" s="288">
        <v>60</v>
      </c>
      <c r="V738" s="265">
        <f>+IFERROR(IF(GUAYAQUIL[[#This Row],[CODIGO]]="","",GUAYAQUIL[[#This Row],[Stock Actual Unds]]*GUAYAQUIL[[#This Row],[Gramaje]]*GUAYAQUIL[[#This Row],[Conversión]]),"")</f>
        <v>4.5</v>
      </c>
      <c r="W738" s="280">
        <f t="shared" si="64"/>
        <v>9</v>
      </c>
      <c r="X738" s="44">
        <f t="shared" si="65"/>
        <v>0.9</v>
      </c>
      <c r="Y738" s="236">
        <f>IFERROR(VLOOKUP(GUAYAQUIL[[#This Row],[CODIGO]],MAESTRO!A:BI,21,FALSE),0)</f>
        <v>0.60429999999999995</v>
      </c>
      <c r="Z738" s="236">
        <f>+IFERROR(IF(GUAYAQUIL[[#This Row],[CODIGO]]="","",GUAYAQUIL[[#This Row],[COSTO UNIT base]]*GUAYAQUIL[[#This Row],[Conversión]]),"")</f>
        <v>0.60429999999999995</v>
      </c>
      <c r="AA738" s="236">
        <f>+IFERROR(IF(GUAYAQUIL[[#This Row],[CODIGO]]="","",GUAYAQUIL[[#This Row],[COSTO UNIT Conv]]*GUAYAQUIL[[#This Row],[Stock Actual Kgs]]),"")</f>
        <v>2.7193499999999999</v>
      </c>
      <c r="AB738" s="180">
        <f ca="1">+IFERROR(IF(GUAYAQUIL[[#This Row],[CODIGO]]="","",$J$3-O738),"")</f>
        <v>7</v>
      </c>
      <c r="AC738" s="35" t="str">
        <f ca="1">IF(GUAYAQUIL[[#This Row],[CODIGO]]="","",IF(S738&lt;=0,"CADUCADO",IF(AND(S738&gt;0,S738&lt;=21),"FECHA CORTA",IF(AND(S738&gt;=22,S738&lt;=26),"PROXIMOS FECHA CORTA", "VIGENTE"))))</f>
        <v>VIGENTE</v>
      </c>
      <c r="AD738" s="289">
        <f>+IF(GUAYAQUIL[[#This Row],[CODIGO]]="","",GUAYAQUIL[[#This Row],[Stock Actual Unds]]*GUAYAQUIL[[#This Row],[Gramaje]]*GUAYAQUIL[[#This Row],[Conversión]])/1000</f>
        <v>4.4999999999999997E-3</v>
      </c>
    </row>
    <row r="739" spans="1:30">
      <c r="A739" s="42" t="str">
        <f>+IFERROR(IF(GUAYAQUIL[[#This Row],[CODIGO]]="","",VLOOKUP(GUAYAQUIL[[#This Row],[CODIGO]],MAESTRO!$A:$J,10,FALSE)),"")</f>
        <v>SAN GABRIEL</v>
      </c>
      <c r="B739" s="42" t="str">
        <f>+IFERROR(IF(GUAYAQUIL[[#This Row],[CODIGO]]="","",VLOOKUP(GUAYAQUIL[[#This Row],[CODIGO]],MAESTRO!$A:$Q,17,FALSE)),"")</f>
        <v>QUESOS Y GRASAS</v>
      </c>
      <c r="C739" s="42" t="str">
        <f>+IFERROR(IF(GUAYAQUIL[[#This Row],[CODIGO]]="","",VLOOKUP(GUAYAQUIL[[#This Row],[CODIGO]],MAESTRO!$A:$BA,53,FALSE)),"")</f>
        <v xml:space="preserve">Esteban Montenegro                      </v>
      </c>
      <c r="D739" s="42" t="str">
        <f>+IFERROR(IF(GUAYAQUIL[[#This Row],[CODIGO]]="","",VLOOKUP(GUAYAQUIL[[#This Row],[CODIGO]],MAESTRO!$A:$D,4,FALSE)),"")</f>
        <v>CREMA DE LECHE</v>
      </c>
      <c r="E739" s="42" t="str">
        <f>+IFERROR(IF(GUAYAQUIL[[#This Row],[CODIGO]]="","",VLOOKUP(GUAYAQUIL[[#This Row],[CODIGO]],MAESTRO!$A:$F,6,FALSE)),"")</f>
        <v>CREMA DE LECHE KIOSKO FAMILIAR</v>
      </c>
      <c r="F739" s="42" t="str">
        <f>IF(GUAYAQUIL[[#This Row],[CODIGO]]="","",$K$6)</f>
        <v>GUAYAQUIL</v>
      </c>
      <c r="G739" s="1">
        <f>IF(GUAYAQUIL[[#This Row],[CODIGO]]="","",7711)</f>
        <v>7711</v>
      </c>
      <c r="H739" s="1">
        <f>IF(GUAYAQUIL[[#This Row],[CODIGO]]="","",1001)</f>
        <v>1001</v>
      </c>
      <c r="I739" s="258" t="s">
        <v>4885</v>
      </c>
      <c r="J739" s="43" t="str">
        <f>IFERROR((VLOOKUP(GUAYAQUIL[[#This Row],[CODIGO]],MAESTRO!A:B,2,FALSE)),"")</f>
        <v>CREM LCH AGRIA KIOSKO DOYP 200G</v>
      </c>
      <c r="K739" s="35">
        <v>210</v>
      </c>
      <c r="L739" s="205">
        <f>+IFERROR(IF(GUAYAQUIL[[#This Row],[CODIGO]]="","",VLOOKUP(GUAYAQUIL[[#This Row],[CODIGO]],MAESTRO!$A:$BF,58,FALSE)),"")</f>
        <v>1</v>
      </c>
      <c r="M739" s="27">
        <f>+IFERROR(IF(GUAYAQUIL[[#This Row],[CODIGO]]="","",VLOOKUP(GUAYAQUIL[[#This Row],[CODIGO]],MAESTRO!A:N,14,FALSE)),"")</f>
        <v>0.2</v>
      </c>
      <c r="N739" s="206">
        <f>+IFERROR(IF(GUAYAQUIL[[#This Row],[CODIGO]]="","",VLOOKUP(GUAYAQUIL[[#This Row],[CODIGO]],MAESTRO!A:P,16,FALSE)),"")</f>
        <v>60</v>
      </c>
      <c r="O739" s="303">
        <v>45615</v>
      </c>
      <c r="P739" s="99" t="str">
        <f t="shared" si="61"/>
        <v>martes</v>
      </c>
      <c r="Q739" s="304">
        <f>IFERROR(IF(GUAYAQUIL[[#This Row],[CODIGO]]="","",IF(GUAYAQUIL[[#This Row],[Fecha Cad]]="","",(GUAYAQUIL[[#This Row],[Fecha Cad]]-GUAYAQUIL[[#This Row],[VIDA UTIL (Días)]]))+1),"")</f>
        <v>45611</v>
      </c>
      <c r="R739" s="303">
        <v>45670</v>
      </c>
      <c r="S739" s="30">
        <f t="shared" ca="1" si="62"/>
        <v>46</v>
      </c>
      <c r="T739" s="279">
        <f t="shared" ca="1" si="63"/>
        <v>0.76666666666666672</v>
      </c>
      <c r="U739" s="288">
        <v>17</v>
      </c>
      <c r="V739" s="265">
        <f>+IFERROR(IF(GUAYAQUIL[[#This Row],[CODIGO]]="","",GUAYAQUIL[[#This Row],[Stock Actual Unds]]*GUAYAQUIL[[#This Row],[Gramaje]]*GUAYAQUIL[[#This Row],[Conversión]]),"")</f>
        <v>3.4000000000000004</v>
      </c>
      <c r="W739" s="280">
        <f t="shared" si="64"/>
        <v>4</v>
      </c>
      <c r="X739" s="44">
        <f t="shared" si="65"/>
        <v>0.93333333333333335</v>
      </c>
      <c r="Y739" s="236">
        <f>IFERROR(VLOOKUP(GUAYAQUIL[[#This Row],[CODIGO]],MAESTRO!A:BI,21,FALSE),0)</f>
        <v>0.45100499999999999</v>
      </c>
      <c r="Z739" s="236">
        <f>+IFERROR(IF(GUAYAQUIL[[#This Row],[CODIGO]]="","",GUAYAQUIL[[#This Row],[COSTO UNIT base]]*GUAYAQUIL[[#This Row],[Conversión]]),"")</f>
        <v>0.45100499999999999</v>
      </c>
      <c r="AA739" s="236">
        <f>+IFERROR(IF(GUAYAQUIL[[#This Row],[CODIGO]]="","",GUAYAQUIL[[#This Row],[COSTO UNIT Conv]]*GUAYAQUIL[[#This Row],[Stock Actual Kgs]]),"")</f>
        <v>1.533417</v>
      </c>
      <c r="AB739" s="180">
        <f ca="1">+IFERROR(IF(GUAYAQUIL[[#This Row],[CODIGO]]="","",$J$3-O739),"")</f>
        <v>9</v>
      </c>
      <c r="AC739" s="35" t="str">
        <f ca="1">IF(GUAYAQUIL[[#This Row],[CODIGO]]="","",IF(S739&lt;=0,"CADUCADO",IF(AND(S739&gt;0,S739&lt;=21),"FECHA CORTA",IF(AND(S739&gt;=22,S739&lt;=26),"PROXIMOS FECHA CORTA", "VIGENTE"))))</f>
        <v>VIGENTE</v>
      </c>
      <c r="AD739" s="289">
        <f>+IF(GUAYAQUIL[[#This Row],[CODIGO]]="","",GUAYAQUIL[[#This Row],[Stock Actual Unds]]*GUAYAQUIL[[#This Row],[Gramaje]]*GUAYAQUIL[[#This Row],[Conversión]])/1000</f>
        <v>3.4000000000000002E-3</v>
      </c>
    </row>
    <row r="740" spans="1:30">
      <c r="A740" s="42" t="str">
        <f>+IFERROR(IF(GUAYAQUIL[[#This Row],[CODIGO]]="","",VLOOKUP(GUAYAQUIL[[#This Row],[CODIGO]],MAESTRO!$A:$J,10,FALSE)),"")</f>
        <v>SAN GABRIEL</v>
      </c>
      <c r="B740" s="42" t="str">
        <f>+IFERROR(IF(GUAYAQUIL[[#This Row],[CODIGO]]="","",VLOOKUP(GUAYAQUIL[[#This Row],[CODIGO]],MAESTRO!$A:$Q,17,FALSE)),"")</f>
        <v>QUESOS Y GRASAS</v>
      </c>
      <c r="C740" s="42" t="str">
        <f>+IFERROR(IF(GUAYAQUIL[[#This Row],[CODIGO]]="","",VLOOKUP(GUAYAQUIL[[#This Row],[CODIGO]],MAESTRO!$A:$BA,53,FALSE)),"")</f>
        <v xml:space="preserve">Esteban Montenegro                      </v>
      </c>
      <c r="D740" s="42" t="str">
        <f>+IFERROR(IF(GUAYAQUIL[[#This Row],[CODIGO]]="","",VLOOKUP(GUAYAQUIL[[#This Row],[CODIGO]],MAESTRO!$A:$D,4,FALSE)),"")</f>
        <v>CREMA DE LECHE</v>
      </c>
      <c r="E740" s="42" t="str">
        <f>+IFERROR(IF(GUAYAQUIL[[#This Row],[CODIGO]]="","",VLOOKUP(GUAYAQUIL[[#This Row],[CODIGO]],MAESTRO!$A:$F,6,FALSE)),"")</f>
        <v>CREMA DE LECHE KIOSKO FAMILIAR</v>
      </c>
      <c r="F740" s="42" t="str">
        <f>IF(GUAYAQUIL[[#This Row],[CODIGO]]="","",$K$6)</f>
        <v>GUAYAQUIL</v>
      </c>
      <c r="G740" s="1">
        <f>IF(GUAYAQUIL[[#This Row],[CODIGO]]="","",7711)</f>
        <v>7711</v>
      </c>
      <c r="H740" s="1">
        <f>IF(GUAYAQUIL[[#This Row],[CODIGO]]="","",1001)</f>
        <v>1001</v>
      </c>
      <c r="I740" s="258" t="s">
        <v>4885</v>
      </c>
      <c r="J740" s="43" t="str">
        <f>IFERROR((VLOOKUP(GUAYAQUIL[[#This Row],[CODIGO]],MAESTRO!A:B,2,FALSE)),"")</f>
        <v>CREM LCH AGRIA KIOSKO DOYP 200G</v>
      </c>
      <c r="K740" s="35">
        <v>140</v>
      </c>
      <c r="L740" s="205">
        <f>+IFERROR(IF(GUAYAQUIL[[#This Row],[CODIGO]]="","",VLOOKUP(GUAYAQUIL[[#This Row],[CODIGO]],MAESTRO!$A:$BF,58,FALSE)),"")</f>
        <v>1</v>
      </c>
      <c r="M740" s="27">
        <f>+IFERROR(IF(GUAYAQUIL[[#This Row],[CODIGO]]="","",VLOOKUP(GUAYAQUIL[[#This Row],[CODIGO]],MAESTRO!A:N,14,FALSE)),"")</f>
        <v>0.2</v>
      </c>
      <c r="N740" s="206">
        <f>+IFERROR(IF(GUAYAQUIL[[#This Row],[CODIGO]]="","",VLOOKUP(GUAYAQUIL[[#This Row],[CODIGO]],MAESTRO!A:P,16,FALSE)),"")</f>
        <v>60</v>
      </c>
      <c r="O740" s="303">
        <v>45616</v>
      </c>
      <c r="P740" s="99" t="str">
        <f t="shared" si="61"/>
        <v>miércoles</v>
      </c>
      <c r="Q740" s="304">
        <f>IFERROR(IF(GUAYAQUIL[[#This Row],[CODIGO]]="","",IF(GUAYAQUIL[[#This Row],[Fecha Cad]]="","",(GUAYAQUIL[[#This Row],[Fecha Cad]]-GUAYAQUIL[[#This Row],[VIDA UTIL (Días)]]))+1),"")</f>
        <v>45611</v>
      </c>
      <c r="R740" s="303">
        <v>45670</v>
      </c>
      <c r="S740" s="30">
        <f t="shared" ca="1" si="62"/>
        <v>46</v>
      </c>
      <c r="T740" s="279">
        <f t="shared" ca="1" si="63"/>
        <v>0.76666666666666672</v>
      </c>
      <c r="U740" s="288">
        <v>140</v>
      </c>
      <c r="V740" s="265">
        <f>+IFERROR(IF(GUAYAQUIL[[#This Row],[CODIGO]]="","",GUAYAQUIL[[#This Row],[Stock Actual Unds]]*GUAYAQUIL[[#This Row],[Gramaje]]*GUAYAQUIL[[#This Row],[Conversión]]),"")</f>
        <v>28</v>
      </c>
      <c r="W740" s="280">
        <f t="shared" si="64"/>
        <v>5</v>
      </c>
      <c r="X740" s="44">
        <f t="shared" si="65"/>
        <v>0.91666666666666663</v>
      </c>
      <c r="Y740" s="236">
        <f>IFERROR(VLOOKUP(GUAYAQUIL[[#This Row],[CODIGO]],MAESTRO!A:BI,21,FALSE),0)</f>
        <v>0.45100499999999999</v>
      </c>
      <c r="Z740" s="236">
        <f>+IFERROR(IF(GUAYAQUIL[[#This Row],[CODIGO]]="","",GUAYAQUIL[[#This Row],[COSTO UNIT base]]*GUAYAQUIL[[#This Row],[Conversión]]),"")</f>
        <v>0.45100499999999999</v>
      </c>
      <c r="AA740" s="236">
        <f>+IFERROR(IF(GUAYAQUIL[[#This Row],[CODIGO]]="","",GUAYAQUIL[[#This Row],[COSTO UNIT Conv]]*GUAYAQUIL[[#This Row],[Stock Actual Kgs]]),"")</f>
        <v>12.62814</v>
      </c>
      <c r="AB740" s="180">
        <f ca="1">+IFERROR(IF(GUAYAQUIL[[#This Row],[CODIGO]]="","",$J$3-O740),"")</f>
        <v>8</v>
      </c>
      <c r="AC740" s="35" t="str">
        <f ca="1">IF(GUAYAQUIL[[#This Row],[CODIGO]]="","",IF(S740&lt;=0,"CADUCADO",IF(AND(S740&gt;0,S740&lt;=21),"FECHA CORTA",IF(AND(S740&gt;=22,S740&lt;=26),"PROXIMOS FECHA CORTA", "VIGENTE"))))</f>
        <v>VIGENTE</v>
      </c>
      <c r="AD740" s="289">
        <f>+IF(GUAYAQUIL[[#This Row],[CODIGO]]="","",GUAYAQUIL[[#This Row],[Stock Actual Unds]]*GUAYAQUIL[[#This Row],[Gramaje]]*GUAYAQUIL[[#This Row],[Conversión]])/1000</f>
        <v>2.8000000000000001E-2</v>
      </c>
    </row>
    <row r="741" spans="1:30">
      <c r="A741" s="42" t="str">
        <f>+IFERROR(IF(GUAYAQUIL[[#This Row],[CODIGO]]="","",VLOOKUP(GUAYAQUIL[[#This Row],[CODIGO]],MAESTRO!$A:$J,10,FALSE)),"")</f>
        <v>SAN GABRIEL</v>
      </c>
      <c r="B741" s="42" t="str">
        <f>+IFERROR(IF(GUAYAQUIL[[#This Row],[CODIGO]]="","",VLOOKUP(GUAYAQUIL[[#This Row],[CODIGO]],MAESTRO!$A:$Q,17,FALSE)),"")</f>
        <v>QUESOS Y GRASAS</v>
      </c>
      <c r="C741" s="42" t="str">
        <f>+IFERROR(IF(GUAYAQUIL[[#This Row],[CODIGO]]="","",VLOOKUP(GUAYAQUIL[[#This Row],[CODIGO]],MAESTRO!$A:$BA,53,FALSE)),"")</f>
        <v xml:space="preserve">Esteban Montenegro                      </v>
      </c>
      <c r="D741" s="42" t="str">
        <f>+IFERROR(IF(GUAYAQUIL[[#This Row],[CODIGO]]="","",VLOOKUP(GUAYAQUIL[[#This Row],[CODIGO]],MAESTRO!$A:$D,4,FALSE)),"")</f>
        <v>CREMA DE LECHE</v>
      </c>
      <c r="E741" s="42" t="str">
        <f>+IFERROR(IF(GUAYAQUIL[[#This Row],[CODIGO]]="","",VLOOKUP(GUAYAQUIL[[#This Row],[CODIGO]],MAESTRO!$A:$F,6,FALSE)),"")</f>
        <v>CREMA DE LECHE KIOSKO FAMILIAR</v>
      </c>
      <c r="F741" s="42" t="str">
        <f>IF(GUAYAQUIL[[#This Row],[CODIGO]]="","",$K$6)</f>
        <v>GUAYAQUIL</v>
      </c>
      <c r="G741" s="1">
        <f>IF(GUAYAQUIL[[#This Row],[CODIGO]]="","",7711)</f>
        <v>7711</v>
      </c>
      <c r="H741" s="1">
        <f>IF(GUAYAQUIL[[#This Row],[CODIGO]]="","",1001)</f>
        <v>1001</v>
      </c>
      <c r="I741" s="258" t="s">
        <v>4885</v>
      </c>
      <c r="J741" s="43" t="str">
        <f>IFERROR((VLOOKUP(GUAYAQUIL[[#This Row],[CODIGO]],MAESTRO!A:B,2,FALSE)),"")</f>
        <v>CREM LCH AGRIA KIOSKO DOYP 200G</v>
      </c>
      <c r="K741" s="35">
        <v>70</v>
      </c>
      <c r="L741" s="205">
        <f>+IFERROR(IF(GUAYAQUIL[[#This Row],[CODIGO]]="","",VLOOKUP(GUAYAQUIL[[#This Row],[CODIGO]],MAESTRO!$A:$BF,58,FALSE)),"")</f>
        <v>1</v>
      </c>
      <c r="M741" s="27">
        <f>+IFERROR(IF(GUAYAQUIL[[#This Row],[CODIGO]]="","",VLOOKUP(GUAYAQUIL[[#This Row],[CODIGO]],MAESTRO!A:N,14,FALSE)),"")</f>
        <v>0.2</v>
      </c>
      <c r="N741" s="206">
        <f>+IFERROR(IF(GUAYAQUIL[[#This Row],[CODIGO]]="","",VLOOKUP(GUAYAQUIL[[#This Row],[CODIGO]],MAESTRO!A:P,16,FALSE)),"")</f>
        <v>60</v>
      </c>
      <c r="O741" s="303">
        <v>45617</v>
      </c>
      <c r="P741" s="99" t="str">
        <f t="shared" si="61"/>
        <v>jueves</v>
      </c>
      <c r="Q741" s="304">
        <f>IFERROR(IF(GUAYAQUIL[[#This Row],[CODIGO]]="","",IF(GUAYAQUIL[[#This Row],[Fecha Cad]]="","",(GUAYAQUIL[[#This Row],[Fecha Cad]]-GUAYAQUIL[[#This Row],[VIDA UTIL (Días)]]))+1),"")</f>
        <v>45611</v>
      </c>
      <c r="R741" s="303">
        <v>45670</v>
      </c>
      <c r="S741" s="30">
        <f t="shared" ca="1" si="62"/>
        <v>46</v>
      </c>
      <c r="T741" s="279">
        <f t="shared" ca="1" si="63"/>
        <v>0.76666666666666672</v>
      </c>
      <c r="U741" s="288">
        <v>70</v>
      </c>
      <c r="V741" s="265">
        <f>+IFERROR(IF(GUAYAQUIL[[#This Row],[CODIGO]]="","",GUAYAQUIL[[#This Row],[Stock Actual Unds]]*GUAYAQUIL[[#This Row],[Gramaje]]*GUAYAQUIL[[#This Row],[Conversión]]),"")</f>
        <v>14</v>
      </c>
      <c r="W741" s="280">
        <f t="shared" si="64"/>
        <v>6</v>
      </c>
      <c r="X741" s="44">
        <f t="shared" si="65"/>
        <v>0.9</v>
      </c>
      <c r="Y741" s="236">
        <f>IFERROR(VLOOKUP(GUAYAQUIL[[#This Row],[CODIGO]],MAESTRO!A:BI,21,FALSE),0)</f>
        <v>0.45100499999999999</v>
      </c>
      <c r="Z741" s="236">
        <f>+IFERROR(IF(GUAYAQUIL[[#This Row],[CODIGO]]="","",GUAYAQUIL[[#This Row],[COSTO UNIT base]]*GUAYAQUIL[[#This Row],[Conversión]]),"")</f>
        <v>0.45100499999999999</v>
      </c>
      <c r="AA741" s="236">
        <f>+IFERROR(IF(GUAYAQUIL[[#This Row],[CODIGO]]="","",GUAYAQUIL[[#This Row],[COSTO UNIT Conv]]*GUAYAQUIL[[#This Row],[Stock Actual Kgs]]),"")</f>
        <v>6.3140700000000001</v>
      </c>
      <c r="AB741" s="180">
        <f ca="1">+IFERROR(IF(GUAYAQUIL[[#This Row],[CODIGO]]="","",$J$3-O741),"")</f>
        <v>7</v>
      </c>
      <c r="AC741" s="35" t="str">
        <f ca="1">IF(GUAYAQUIL[[#This Row],[CODIGO]]="","",IF(S741&lt;=0,"CADUCADO",IF(AND(S741&gt;0,S741&lt;=21),"FECHA CORTA",IF(AND(S741&gt;=22,S741&lt;=26),"PROXIMOS FECHA CORTA", "VIGENTE"))))</f>
        <v>VIGENTE</v>
      </c>
      <c r="AD741" s="289">
        <f>+IF(GUAYAQUIL[[#This Row],[CODIGO]]="","",GUAYAQUIL[[#This Row],[Stock Actual Unds]]*GUAYAQUIL[[#This Row],[Gramaje]]*GUAYAQUIL[[#This Row],[Conversión]])/1000</f>
        <v>1.4E-2</v>
      </c>
    </row>
    <row r="742" spans="1:30">
      <c r="A742" s="42" t="str">
        <f>+IFERROR(IF(GUAYAQUIL[[#This Row],[CODIGO]]="","",VLOOKUP(GUAYAQUIL[[#This Row],[CODIGO]],MAESTRO!$A:$J,10,FALSE)),"")</f>
        <v>SAN GABRIEL</v>
      </c>
      <c r="B742" s="42" t="str">
        <f>+IFERROR(IF(GUAYAQUIL[[#This Row],[CODIGO]]="","",VLOOKUP(GUAYAQUIL[[#This Row],[CODIGO]],MAESTRO!$A:$Q,17,FALSE)),"")</f>
        <v>QUESOS Y GRASAS</v>
      </c>
      <c r="C742" s="42" t="str">
        <f>+IFERROR(IF(GUAYAQUIL[[#This Row],[CODIGO]]="","",VLOOKUP(GUAYAQUIL[[#This Row],[CODIGO]],MAESTRO!$A:$BA,53,FALSE)),"")</f>
        <v xml:space="preserve">Esteban Montenegro                      </v>
      </c>
      <c r="D742" s="42" t="str">
        <f>+IFERROR(IF(GUAYAQUIL[[#This Row],[CODIGO]]="","",VLOOKUP(GUAYAQUIL[[#This Row],[CODIGO]],MAESTRO!$A:$D,4,FALSE)),"")</f>
        <v>QUESO MOZARELLA KIOSKO</v>
      </c>
      <c r="E742" s="42" t="str">
        <f>+IFERROR(IF(GUAYAQUIL[[#This Row],[CODIGO]]="","",VLOOKUP(GUAYAQUIL[[#This Row],[CODIGO]],MAESTRO!$A:$F,6,FALSE)),"")</f>
        <v>QUESO MOZARELLA SNACK</v>
      </c>
      <c r="F742" s="42" t="str">
        <f>IF(GUAYAQUIL[[#This Row],[CODIGO]]="","",$K$6)</f>
        <v>GUAYAQUIL</v>
      </c>
      <c r="G742" s="1">
        <f>IF(GUAYAQUIL[[#This Row],[CODIGO]]="","",7711)</f>
        <v>7711</v>
      </c>
      <c r="H742" s="1">
        <f>IF(GUAYAQUIL[[#This Row],[CODIGO]]="","",1001)</f>
        <v>1001</v>
      </c>
      <c r="I742" s="258" t="s">
        <v>1228</v>
      </c>
      <c r="J742" s="43" t="str">
        <f>IFERROR((VLOOKUP(GUAYAQUIL[[#This Row],[CODIGO]],MAESTRO!A:B,2,FALSE)),"")</f>
        <v>MOZZARELLA STICK AL GRANEL X 40 UN</v>
      </c>
      <c r="K742" s="35">
        <v>5</v>
      </c>
      <c r="L742" s="205">
        <f>+IFERROR(IF(GUAYAQUIL[[#This Row],[CODIGO]]="","",VLOOKUP(GUAYAQUIL[[#This Row],[CODIGO]],MAESTRO!$A:$BF,58,FALSE)),"")</f>
        <v>1</v>
      </c>
      <c r="M742" s="27">
        <f>+IFERROR(IF(GUAYAQUIL[[#This Row],[CODIGO]]="","",VLOOKUP(GUAYAQUIL[[#This Row],[CODIGO]],MAESTRO!A:N,14,FALSE)),"")</f>
        <v>1.4</v>
      </c>
      <c r="N742" s="206">
        <f>+IFERROR(IF(GUAYAQUIL[[#This Row],[CODIGO]]="","",VLOOKUP(GUAYAQUIL[[#This Row],[CODIGO]],MAESTRO!A:P,16,FALSE)),"")</f>
        <v>40</v>
      </c>
      <c r="O742" s="303">
        <v>45610</v>
      </c>
      <c r="P742" s="99" t="str">
        <f t="shared" si="61"/>
        <v>jueves</v>
      </c>
      <c r="Q742" s="304">
        <f>IFERROR(IF(GUAYAQUIL[[#This Row],[CODIGO]]="","",IF(GUAYAQUIL[[#This Row],[Fecha Cad]]="","",(GUAYAQUIL[[#This Row],[Fecha Cad]]-GUAYAQUIL[[#This Row],[VIDA UTIL (Días)]]))+1),"")</f>
        <v>45609</v>
      </c>
      <c r="R742" s="303">
        <v>45648</v>
      </c>
      <c r="S742" s="30">
        <f t="shared" ca="1" si="62"/>
        <v>24</v>
      </c>
      <c r="T742" s="279">
        <f t="shared" ca="1" si="63"/>
        <v>0.6</v>
      </c>
      <c r="U742" s="288">
        <v>3</v>
      </c>
      <c r="V742" s="265">
        <f>+IFERROR(IF(GUAYAQUIL[[#This Row],[CODIGO]]="","",GUAYAQUIL[[#This Row],[Stock Actual Unds]]*GUAYAQUIL[[#This Row],[Gramaje]]*GUAYAQUIL[[#This Row],[Conversión]]),"")</f>
        <v>4.1999999999999993</v>
      </c>
      <c r="W742" s="280">
        <f t="shared" si="64"/>
        <v>1</v>
      </c>
      <c r="X742" s="44">
        <f t="shared" si="65"/>
        <v>0.97499999999999998</v>
      </c>
      <c r="Y742" s="236">
        <f>IFERROR(VLOOKUP(GUAYAQUIL[[#This Row],[CODIGO]],MAESTRO!A:BI,21,FALSE),0)</f>
        <v>7.3991449999999999</v>
      </c>
      <c r="Z742" s="236">
        <f>+IFERROR(IF(GUAYAQUIL[[#This Row],[CODIGO]]="","",GUAYAQUIL[[#This Row],[COSTO UNIT base]]*GUAYAQUIL[[#This Row],[Conversión]]),"")</f>
        <v>7.3991449999999999</v>
      </c>
      <c r="AA742" s="236">
        <f>+IFERROR(IF(GUAYAQUIL[[#This Row],[CODIGO]]="","",GUAYAQUIL[[#This Row],[COSTO UNIT Conv]]*GUAYAQUIL[[#This Row],[Stock Actual Kgs]]),"")</f>
        <v>31.076408999999995</v>
      </c>
      <c r="AB742" s="180">
        <f ca="1">+IFERROR(IF(GUAYAQUIL[[#This Row],[CODIGO]]="","",$J$3-O742),"")</f>
        <v>14</v>
      </c>
      <c r="AC742" s="35" t="str">
        <f ca="1">IF(GUAYAQUIL[[#This Row],[CODIGO]]="","",IF(S742&lt;=0,"CADUCADO",IF(AND(S742&gt;0,S742&lt;=21),"FECHA CORTA",IF(AND(S742&gt;=22,S742&lt;=26),"PROXIMOS FECHA CORTA", "VIGENTE"))))</f>
        <v>PROXIMOS FECHA CORTA</v>
      </c>
      <c r="AD742" s="289">
        <f>+IF(GUAYAQUIL[[#This Row],[CODIGO]]="","",GUAYAQUIL[[#This Row],[Stock Actual Unds]]*GUAYAQUIL[[#This Row],[Gramaje]]*GUAYAQUIL[[#This Row],[Conversión]])/1000</f>
        <v>4.1999999999999989E-3</v>
      </c>
    </row>
    <row r="743" spans="1:30">
      <c r="A743" s="42" t="str">
        <f>+IFERROR(IF(GUAYAQUIL[[#This Row],[CODIGO]]="","",VLOOKUP(GUAYAQUIL[[#This Row],[CODIGO]],MAESTRO!$A:$J,10,FALSE)),"")</f>
        <v>SAN GABRIEL</v>
      </c>
      <c r="B743" s="42" t="str">
        <f>+IFERROR(IF(GUAYAQUIL[[#This Row],[CODIGO]]="","",VLOOKUP(GUAYAQUIL[[#This Row],[CODIGO]],MAESTRO!$A:$Q,17,FALSE)),"")</f>
        <v>QUESOS Y GRASAS</v>
      </c>
      <c r="C743" s="42" t="str">
        <f>+IFERROR(IF(GUAYAQUIL[[#This Row],[CODIGO]]="","",VLOOKUP(GUAYAQUIL[[#This Row],[CODIGO]],MAESTRO!$A:$BA,53,FALSE)),"")</f>
        <v xml:space="preserve">Esteban Montenegro                      </v>
      </c>
      <c r="D743" s="42" t="str">
        <f>+IFERROR(IF(GUAYAQUIL[[#This Row],[CODIGO]]="","",VLOOKUP(GUAYAQUIL[[#This Row],[CODIGO]],MAESTRO!$A:$D,4,FALSE)),"")</f>
        <v>QUESO MOZARELLA KIOSKO</v>
      </c>
      <c r="E743" s="42" t="str">
        <f>+IFERROR(IF(GUAYAQUIL[[#This Row],[CODIGO]]="","",VLOOKUP(GUAYAQUIL[[#This Row],[CODIGO]],MAESTRO!$A:$F,6,FALSE)),"")</f>
        <v>QUESO MOZARELLA SNACK</v>
      </c>
      <c r="F743" s="42" t="str">
        <f>IF(GUAYAQUIL[[#This Row],[CODIGO]]="","",$K$6)</f>
        <v>GUAYAQUIL</v>
      </c>
      <c r="G743" s="1">
        <f>IF(GUAYAQUIL[[#This Row],[CODIGO]]="","",7711)</f>
        <v>7711</v>
      </c>
      <c r="H743" s="1">
        <f>IF(GUAYAQUIL[[#This Row],[CODIGO]]="","",1001)</f>
        <v>1001</v>
      </c>
      <c r="I743" s="258" t="s">
        <v>1228</v>
      </c>
      <c r="J743" s="43" t="str">
        <f>IFERROR((VLOOKUP(GUAYAQUIL[[#This Row],[CODIGO]],MAESTRO!A:B,2,FALSE)),"")</f>
        <v>MOZZARELLA STICK AL GRANEL X 40 UN</v>
      </c>
      <c r="K743" s="35">
        <v>5</v>
      </c>
      <c r="L743" s="205">
        <f>+IFERROR(IF(GUAYAQUIL[[#This Row],[CODIGO]]="","",VLOOKUP(GUAYAQUIL[[#This Row],[CODIGO]],MAESTRO!$A:$BF,58,FALSE)),"")</f>
        <v>1</v>
      </c>
      <c r="M743" s="27">
        <f>+IFERROR(IF(GUAYAQUIL[[#This Row],[CODIGO]]="","",VLOOKUP(GUAYAQUIL[[#This Row],[CODIGO]],MAESTRO!A:N,14,FALSE)),"")</f>
        <v>1.4</v>
      </c>
      <c r="N743" s="206">
        <f>+IFERROR(IF(GUAYAQUIL[[#This Row],[CODIGO]]="","",VLOOKUP(GUAYAQUIL[[#This Row],[CODIGO]],MAESTRO!A:P,16,FALSE)),"")</f>
        <v>40</v>
      </c>
      <c r="O743" s="303">
        <v>45617</v>
      </c>
      <c r="P743" s="99" t="str">
        <f t="shared" si="61"/>
        <v>jueves</v>
      </c>
      <c r="Q743" s="304">
        <f>IFERROR(IF(GUAYAQUIL[[#This Row],[CODIGO]]="","",IF(GUAYAQUIL[[#This Row],[Fecha Cad]]="","",(GUAYAQUIL[[#This Row],[Fecha Cad]]-GUAYAQUIL[[#This Row],[VIDA UTIL (Días)]]))+1),"")</f>
        <v>45616</v>
      </c>
      <c r="R743" s="303">
        <v>45655</v>
      </c>
      <c r="S743" s="30">
        <f t="shared" ca="1" si="62"/>
        <v>31</v>
      </c>
      <c r="T743" s="279">
        <f t="shared" ca="1" si="63"/>
        <v>0.77500000000000002</v>
      </c>
      <c r="U743" s="288">
        <v>5</v>
      </c>
      <c r="V743" s="265">
        <f>+IFERROR(IF(GUAYAQUIL[[#This Row],[CODIGO]]="","",GUAYAQUIL[[#This Row],[Stock Actual Unds]]*GUAYAQUIL[[#This Row],[Gramaje]]*GUAYAQUIL[[#This Row],[Conversión]]),"")</f>
        <v>7</v>
      </c>
      <c r="W743" s="280">
        <f t="shared" si="64"/>
        <v>1</v>
      </c>
      <c r="X743" s="44">
        <f t="shared" si="65"/>
        <v>0.97499999999999998</v>
      </c>
      <c r="Y743" s="236">
        <f>IFERROR(VLOOKUP(GUAYAQUIL[[#This Row],[CODIGO]],MAESTRO!A:BI,21,FALSE),0)</f>
        <v>7.3991449999999999</v>
      </c>
      <c r="Z743" s="236">
        <f>+IFERROR(IF(GUAYAQUIL[[#This Row],[CODIGO]]="","",GUAYAQUIL[[#This Row],[COSTO UNIT base]]*GUAYAQUIL[[#This Row],[Conversión]]),"")</f>
        <v>7.3991449999999999</v>
      </c>
      <c r="AA743" s="236">
        <f>+IFERROR(IF(GUAYAQUIL[[#This Row],[CODIGO]]="","",GUAYAQUIL[[#This Row],[COSTO UNIT Conv]]*GUAYAQUIL[[#This Row],[Stock Actual Kgs]]),"")</f>
        <v>51.794015000000002</v>
      </c>
      <c r="AB743" s="180">
        <f ca="1">+IFERROR(IF(GUAYAQUIL[[#This Row],[CODIGO]]="","",$J$3-O743),"")</f>
        <v>7</v>
      </c>
      <c r="AC743" s="35" t="str">
        <f ca="1">IF(GUAYAQUIL[[#This Row],[CODIGO]]="","",IF(S743&lt;=0,"CADUCADO",IF(AND(S743&gt;0,S743&lt;=21),"FECHA CORTA",IF(AND(S743&gt;=22,S743&lt;=26),"PROXIMOS FECHA CORTA", "VIGENTE"))))</f>
        <v>VIGENTE</v>
      </c>
      <c r="AD743" s="289">
        <f>+IF(GUAYAQUIL[[#This Row],[CODIGO]]="","",GUAYAQUIL[[#This Row],[Stock Actual Unds]]*GUAYAQUIL[[#This Row],[Gramaje]]*GUAYAQUIL[[#This Row],[Conversión]])/1000</f>
        <v>7.0000000000000001E-3</v>
      </c>
    </row>
    <row r="744" spans="1:30">
      <c r="A744" s="42" t="str">
        <f>+IFERROR(IF(GUAYAQUIL[[#This Row],[CODIGO]]="","",VLOOKUP(GUAYAQUIL[[#This Row],[CODIGO]],MAESTRO!$A:$J,10,FALSE)),"")</f>
        <v>SAN GABRIEL</v>
      </c>
      <c r="B744" s="42" t="str">
        <f>+IFERROR(IF(GUAYAQUIL[[#This Row],[CODIGO]]="","",VLOOKUP(GUAYAQUIL[[#This Row],[CODIGO]],MAESTRO!$A:$Q,17,FALSE)),"")</f>
        <v>QUESOS Y GRASAS</v>
      </c>
      <c r="C744" s="42" t="str">
        <f>+IFERROR(IF(GUAYAQUIL[[#This Row],[CODIGO]]="","",VLOOKUP(GUAYAQUIL[[#This Row],[CODIGO]],MAESTRO!$A:$BA,53,FALSE)),"")</f>
        <v xml:space="preserve">Esteban Montenegro                      </v>
      </c>
      <c r="D744" s="42" t="str">
        <f>+IFERROR(IF(GUAYAQUIL[[#This Row],[CODIGO]]="","",VLOOKUP(GUAYAQUIL[[#This Row],[CODIGO]],MAESTRO!$A:$D,4,FALSE)),"")</f>
        <v>MANTEQUILLA</v>
      </c>
      <c r="E744" s="42" t="str">
        <f>+IFERROR(IF(GUAYAQUIL[[#This Row],[CODIGO]]="","",VLOOKUP(GUAYAQUIL[[#This Row],[CODIGO]],MAESTRO!$A:$F,6,FALSE)),"")</f>
        <v>MANTEQUILLA INSTITUCIONAL</v>
      </c>
      <c r="F744" s="42" t="str">
        <f>IF(GUAYAQUIL[[#This Row],[CODIGO]]="","",$K$6)</f>
        <v>GUAYAQUIL</v>
      </c>
      <c r="G744" s="1">
        <f>IF(GUAYAQUIL[[#This Row],[CODIGO]]="","",7711)</f>
        <v>7711</v>
      </c>
      <c r="H744" s="1">
        <f>IF(GUAYAQUIL[[#This Row],[CODIGO]]="","",1001)</f>
        <v>1001</v>
      </c>
      <c r="I744" s="258" t="s">
        <v>3928</v>
      </c>
      <c r="J744" s="43" t="str">
        <f>IFERROR((VLOOKUP(GUAYAQUIL[[#This Row],[CODIGO]],MAESTRO!A:B,2,FALSE)),"")</f>
        <v>MQUILLA NAT KIOSKO 1KG INST MOD OTROS</v>
      </c>
      <c r="K744" s="35">
        <v>756</v>
      </c>
      <c r="L744" s="205">
        <f>+IFERROR(IF(GUAYAQUIL[[#This Row],[CODIGO]]="","",VLOOKUP(GUAYAQUIL[[#This Row],[CODIGO]],MAESTRO!$A:$BF,58,FALSE)),"")</f>
        <v>1</v>
      </c>
      <c r="M744" s="27">
        <f>+IFERROR(IF(GUAYAQUIL[[#This Row],[CODIGO]]="","",VLOOKUP(GUAYAQUIL[[#This Row],[CODIGO]],MAESTRO!A:N,14,FALSE)),"")</f>
        <v>1</v>
      </c>
      <c r="N744" s="206">
        <f>+IFERROR(IF(GUAYAQUIL[[#This Row],[CODIGO]]="","",VLOOKUP(GUAYAQUIL[[#This Row],[CODIGO]],MAESTRO!A:P,16,FALSE)),"")</f>
        <v>40</v>
      </c>
      <c r="O744" s="303">
        <v>45616</v>
      </c>
      <c r="P744" s="99" t="str">
        <f t="shared" si="61"/>
        <v>miércoles</v>
      </c>
      <c r="Q744" s="304">
        <f>IFERROR(IF(GUAYAQUIL[[#This Row],[CODIGO]]="","",IF(GUAYAQUIL[[#This Row],[Fecha Cad]]="","",(GUAYAQUIL[[#This Row],[Fecha Cad]]-GUAYAQUIL[[#This Row],[VIDA UTIL (Días)]]))+1),"")</f>
        <v>45615</v>
      </c>
      <c r="R744" s="303">
        <v>45654</v>
      </c>
      <c r="S744" s="30">
        <f t="shared" ca="1" si="62"/>
        <v>30</v>
      </c>
      <c r="T744" s="279">
        <f t="shared" ca="1" si="63"/>
        <v>0.75</v>
      </c>
      <c r="U744" s="288">
        <v>41</v>
      </c>
      <c r="V744" s="265">
        <f>+IFERROR(IF(GUAYAQUIL[[#This Row],[CODIGO]]="","",GUAYAQUIL[[#This Row],[Stock Actual Unds]]*GUAYAQUIL[[#This Row],[Gramaje]]*GUAYAQUIL[[#This Row],[Conversión]]),"")</f>
        <v>41</v>
      </c>
      <c r="W744" s="280">
        <f t="shared" si="64"/>
        <v>1</v>
      </c>
      <c r="X744" s="44">
        <f t="shared" si="65"/>
        <v>0.97499999999999998</v>
      </c>
      <c r="Y744" s="236">
        <f>IFERROR(VLOOKUP(GUAYAQUIL[[#This Row],[CODIGO]],MAESTRO!A:BI,21,FALSE),0)</f>
        <v>4.1816800000000001</v>
      </c>
      <c r="Z744" s="236">
        <f>+IFERROR(IF(GUAYAQUIL[[#This Row],[CODIGO]]="","",GUAYAQUIL[[#This Row],[COSTO UNIT base]]*GUAYAQUIL[[#This Row],[Conversión]]),"")</f>
        <v>4.1816800000000001</v>
      </c>
      <c r="AA744" s="236">
        <f>+IFERROR(IF(GUAYAQUIL[[#This Row],[CODIGO]]="","",GUAYAQUIL[[#This Row],[COSTO UNIT Conv]]*GUAYAQUIL[[#This Row],[Stock Actual Kgs]]),"")</f>
        <v>171.44888</v>
      </c>
      <c r="AB744" s="180">
        <f ca="1">+IFERROR(IF(GUAYAQUIL[[#This Row],[CODIGO]]="","",$J$3-O744),"")</f>
        <v>8</v>
      </c>
      <c r="AC744" s="35" t="str">
        <f ca="1">IF(GUAYAQUIL[[#This Row],[CODIGO]]="","",IF(S744&lt;=0,"CADUCADO",IF(AND(S744&gt;0,S744&lt;=21),"FECHA CORTA",IF(AND(S744&gt;=22,S744&lt;=26),"PROXIMOS FECHA CORTA", "VIGENTE"))))</f>
        <v>VIGENTE</v>
      </c>
      <c r="AD744" s="289">
        <f>+IF(GUAYAQUIL[[#This Row],[CODIGO]]="","",GUAYAQUIL[[#This Row],[Stock Actual Unds]]*GUAYAQUIL[[#This Row],[Gramaje]]*GUAYAQUIL[[#This Row],[Conversión]])/1000</f>
        <v>4.1000000000000002E-2</v>
      </c>
    </row>
    <row r="745" spans="1:30">
      <c r="A745" s="42" t="str">
        <f>+IFERROR(IF(GUAYAQUIL[[#This Row],[CODIGO]]="","",VLOOKUP(GUAYAQUIL[[#This Row],[CODIGO]],MAESTRO!$A:$J,10,FALSE)),"")</f>
        <v>SAN GABRIEL</v>
      </c>
      <c r="B745" s="42" t="str">
        <f>+IFERROR(IF(GUAYAQUIL[[#This Row],[CODIGO]]="","",VLOOKUP(GUAYAQUIL[[#This Row],[CODIGO]],MAESTRO!$A:$Q,17,FALSE)),"")</f>
        <v>QUESOS Y GRASAS</v>
      </c>
      <c r="C745" s="42" t="str">
        <f>+IFERROR(IF(GUAYAQUIL[[#This Row],[CODIGO]]="","",VLOOKUP(GUAYAQUIL[[#This Row],[CODIGO]],MAESTRO!$A:$BA,53,FALSE)),"")</f>
        <v xml:space="preserve">Esteban Montenegro                      </v>
      </c>
      <c r="D745" s="42" t="str">
        <f>+IFERROR(IF(GUAYAQUIL[[#This Row],[CODIGO]]="","",VLOOKUP(GUAYAQUIL[[#This Row],[CODIGO]],MAESTRO!$A:$D,4,FALSE)),"")</f>
        <v>MANTEQUILLA</v>
      </c>
      <c r="E745" s="42" t="str">
        <f>+IFERROR(IF(GUAYAQUIL[[#This Row],[CODIGO]]="","",VLOOKUP(GUAYAQUIL[[#This Row],[CODIGO]],MAESTRO!$A:$F,6,FALSE)),"")</f>
        <v>MANTEQUILLA INSTITUCIONAL</v>
      </c>
      <c r="F745" s="42" t="str">
        <f>IF(GUAYAQUIL[[#This Row],[CODIGO]]="","",$K$6)</f>
        <v>GUAYAQUIL</v>
      </c>
      <c r="G745" s="1">
        <f>IF(GUAYAQUIL[[#This Row],[CODIGO]]="","",7711)</f>
        <v>7711</v>
      </c>
      <c r="H745" s="1">
        <f>IF(GUAYAQUIL[[#This Row],[CODIGO]]="","",1001)</f>
        <v>1001</v>
      </c>
      <c r="I745" s="258" t="s">
        <v>3928</v>
      </c>
      <c r="J745" s="43" t="str">
        <f>IFERROR((VLOOKUP(GUAYAQUIL[[#This Row],[CODIGO]],MAESTRO!A:B,2,FALSE)),"")</f>
        <v>MQUILLA NAT KIOSKO 1KG INST MOD OTROS</v>
      </c>
      <c r="K745" s="35">
        <v>224</v>
      </c>
      <c r="L745" s="205">
        <f>+IFERROR(IF(GUAYAQUIL[[#This Row],[CODIGO]]="","",VLOOKUP(GUAYAQUIL[[#This Row],[CODIGO]],MAESTRO!$A:$BF,58,FALSE)),"")</f>
        <v>1</v>
      </c>
      <c r="M745" s="27">
        <f>+IFERROR(IF(GUAYAQUIL[[#This Row],[CODIGO]]="","",VLOOKUP(GUAYAQUIL[[#This Row],[CODIGO]],MAESTRO!A:N,14,FALSE)),"")</f>
        <v>1</v>
      </c>
      <c r="N745" s="206">
        <f>+IFERROR(IF(GUAYAQUIL[[#This Row],[CODIGO]]="","",VLOOKUP(GUAYAQUIL[[#This Row],[CODIGO]],MAESTRO!A:P,16,FALSE)),"")</f>
        <v>40</v>
      </c>
      <c r="O745" s="303">
        <v>45617</v>
      </c>
      <c r="P745" s="99" t="str">
        <f t="shared" si="61"/>
        <v>jueves</v>
      </c>
      <c r="Q745" s="304">
        <f>IFERROR(IF(GUAYAQUIL[[#This Row],[CODIGO]]="","",IF(GUAYAQUIL[[#This Row],[Fecha Cad]]="","",(GUAYAQUIL[[#This Row],[Fecha Cad]]-GUAYAQUIL[[#This Row],[VIDA UTIL (Días)]]))+1),"")</f>
        <v>45615</v>
      </c>
      <c r="R745" s="303">
        <v>45654</v>
      </c>
      <c r="S745" s="30">
        <f t="shared" ca="1" si="62"/>
        <v>30</v>
      </c>
      <c r="T745" s="279">
        <f t="shared" ca="1" si="63"/>
        <v>0.75</v>
      </c>
      <c r="U745" s="288">
        <v>224</v>
      </c>
      <c r="V745" s="265">
        <f>+IFERROR(IF(GUAYAQUIL[[#This Row],[CODIGO]]="","",GUAYAQUIL[[#This Row],[Stock Actual Unds]]*GUAYAQUIL[[#This Row],[Gramaje]]*GUAYAQUIL[[#This Row],[Conversión]]),"")</f>
        <v>224</v>
      </c>
      <c r="W745" s="280">
        <f t="shared" si="64"/>
        <v>2</v>
      </c>
      <c r="X745" s="44">
        <f t="shared" si="65"/>
        <v>0.95</v>
      </c>
      <c r="Y745" s="236">
        <f>IFERROR(VLOOKUP(GUAYAQUIL[[#This Row],[CODIGO]],MAESTRO!A:BI,21,FALSE),0)</f>
        <v>4.1816800000000001</v>
      </c>
      <c r="Z745" s="236">
        <f>+IFERROR(IF(GUAYAQUIL[[#This Row],[CODIGO]]="","",GUAYAQUIL[[#This Row],[COSTO UNIT base]]*GUAYAQUIL[[#This Row],[Conversión]]),"")</f>
        <v>4.1816800000000001</v>
      </c>
      <c r="AA745" s="236">
        <f>+IFERROR(IF(GUAYAQUIL[[#This Row],[CODIGO]]="","",GUAYAQUIL[[#This Row],[COSTO UNIT Conv]]*GUAYAQUIL[[#This Row],[Stock Actual Kgs]]),"")</f>
        <v>936.69632000000001</v>
      </c>
      <c r="AB745" s="180">
        <f ca="1">+IFERROR(IF(GUAYAQUIL[[#This Row],[CODIGO]]="","",$J$3-O745),"")</f>
        <v>7</v>
      </c>
      <c r="AC745" s="35" t="str">
        <f ca="1">IF(GUAYAQUIL[[#This Row],[CODIGO]]="","",IF(S745&lt;=0,"CADUCADO",IF(AND(S745&gt;0,S745&lt;=21),"FECHA CORTA",IF(AND(S745&gt;=22,S745&lt;=26),"PROXIMOS FECHA CORTA", "VIGENTE"))))</f>
        <v>VIGENTE</v>
      </c>
      <c r="AD745" s="289">
        <f>+IF(GUAYAQUIL[[#This Row],[CODIGO]]="","",GUAYAQUIL[[#This Row],[Stock Actual Unds]]*GUAYAQUIL[[#This Row],[Gramaje]]*GUAYAQUIL[[#This Row],[Conversión]])/1000</f>
        <v>0.224</v>
      </c>
    </row>
    <row r="746" spans="1:30">
      <c r="A746" s="42" t="str">
        <f>+IFERROR(IF(GUAYAQUIL[[#This Row],[CODIGO]]="","",VLOOKUP(GUAYAQUIL[[#This Row],[CODIGO]],MAESTRO!$A:$J,10,FALSE)),"")</f>
        <v>SAN GABRIEL</v>
      </c>
      <c r="B746" s="42" t="str">
        <f>+IFERROR(IF(GUAYAQUIL[[#This Row],[CODIGO]]="","",VLOOKUP(GUAYAQUIL[[#This Row],[CODIGO]],MAESTRO!$A:$Q,17,FALSE)),"")</f>
        <v>QUESOS Y GRASAS</v>
      </c>
      <c r="C746" s="42" t="str">
        <f>+IFERROR(IF(GUAYAQUIL[[#This Row],[CODIGO]]="","",VLOOKUP(GUAYAQUIL[[#This Row],[CODIGO]],MAESTRO!$A:$BA,53,FALSE)),"")</f>
        <v xml:space="preserve">Esteban Montenegro                      </v>
      </c>
      <c r="D746" s="42" t="str">
        <f>+IFERROR(IF(GUAYAQUIL[[#This Row],[CODIGO]]="","",VLOOKUP(GUAYAQUIL[[#This Row],[CODIGO]],MAESTRO!$A:$D,4,FALSE)),"")</f>
        <v>MANTEQUILLA</v>
      </c>
      <c r="E746" s="42" t="str">
        <f>+IFERROR(IF(GUAYAQUIL[[#This Row],[CODIGO]]="","",VLOOKUP(GUAYAQUIL[[#This Row],[CODIGO]],MAESTRO!$A:$F,6,FALSE)),"")</f>
        <v>MANTEQUILLA INSTITUCIONAL</v>
      </c>
      <c r="F746" s="42" t="str">
        <f>IF(GUAYAQUIL[[#This Row],[CODIGO]]="","",$K$6)</f>
        <v>GUAYAQUIL</v>
      </c>
      <c r="G746" s="1">
        <f>IF(GUAYAQUIL[[#This Row],[CODIGO]]="","",7711)</f>
        <v>7711</v>
      </c>
      <c r="H746" s="1">
        <f>IF(GUAYAQUIL[[#This Row],[CODIGO]]="","",1001)</f>
        <v>1001</v>
      </c>
      <c r="I746" s="258" t="s">
        <v>2924</v>
      </c>
      <c r="J746" s="43" t="str">
        <f>IFERROR((VLOOKUP(GUAYAQUIL[[#This Row],[CODIGO]],MAESTRO!A:B,2,FALSE)),"")</f>
        <v>MQUILLA NAT KIOSKO AL PESO</v>
      </c>
      <c r="K746" s="35">
        <v>160</v>
      </c>
      <c r="L746" s="205">
        <f>+IFERROR(IF(GUAYAQUIL[[#This Row],[CODIGO]]="","",VLOOKUP(GUAYAQUIL[[#This Row],[CODIGO]],MAESTRO!$A:$BF,58,FALSE)),"")</f>
        <v>1</v>
      </c>
      <c r="M746" s="27">
        <f>+IFERROR(IF(GUAYAQUIL[[#This Row],[CODIGO]]="","",VLOOKUP(GUAYAQUIL[[#This Row],[CODIGO]],MAESTRO!A:N,14,FALSE)),"")</f>
        <v>1</v>
      </c>
      <c r="N746" s="206">
        <f>+IFERROR(IF(GUAYAQUIL[[#This Row],[CODIGO]]="","",VLOOKUP(GUAYAQUIL[[#This Row],[CODIGO]],MAESTRO!A:P,16,FALSE)),"")</f>
        <v>40</v>
      </c>
      <c r="O746" s="303">
        <v>45610</v>
      </c>
      <c r="P746" s="99" t="str">
        <f t="shared" si="61"/>
        <v>jueves</v>
      </c>
      <c r="Q746" s="304">
        <f>IFERROR(IF(GUAYAQUIL[[#This Row],[CODIGO]]="","",IF(GUAYAQUIL[[#This Row],[Fecha Cad]]="","",(GUAYAQUIL[[#This Row],[Fecha Cad]]-GUAYAQUIL[[#This Row],[VIDA UTIL (Días)]]))+1),"")</f>
        <v>45608</v>
      </c>
      <c r="R746" s="303">
        <v>45647</v>
      </c>
      <c r="S746" s="30">
        <f t="shared" ca="1" si="62"/>
        <v>23</v>
      </c>
      <c r="T746" s="279">
        <f t="shared" ca="1" si="63"/>
        <v>0.57499999999999996</v>
      </c>
      <c r="U746" s="288">
        <v>160</v>
      </c>
      <c r="V746" s="265">
        <f>+IFERROR(IF(GUAYAQUIL[[#This Row],[CODIGO]]="","",GUAYAQUIL[[#This Row],[Stock Actual Unds]]*GUAYAQUIL[[#This Row],[Gramaje]]*GUAYAQUIL[[#This Row],[Conversión]]),"")</f>
        <v>160</v>
      </c>
      <c r="W746" s="280">
        <f t="shared" si="64"/>
        <v>2</v>
      </c>
      <c r="X746" s="44">
        <f t="shared" si="65"/>
        <v>0.95</v>
      </c>
      <c r="Y746" s="236">
        <f>IFERROR(VLOOKUP(GUAYAQUIL[[#This Row],[CODIGO]],MAESTRO!A:BI,21,FALSE),0)</f>
        <v>4.3502849999999995</v>
      </c>
      <c r="Z746" s="236">
        <f>+IFERROR(IF(GUAYAQUIL[[#This Row],[CODIGO]]="","",GUAYAQUIL[[#This Row],[COSTO UNIT base]]*GUAYAQUIL[[#This Row],[Conversión]]),"")</f>
        <v>4.3502849999999995</v>
      </c>
      <c r="AA746" s="236">
        <f>+IFERROR(IF(GUAYAQUIL[[#This Row],[CODIGO]]="","",GUAYAQUIL[[#This Row],[COSTO UNIT Conv]]*GUAYAQUIL[[#This Row],[Stock Actual Kgs]]),"")</f>
        <v>696.04559999999992</v>
      </c>
      <c r="AB746" s="180">
        <f ca="1">+IFERROR(IF(GUAYAQUIL[[#This Row],[CODIGO]]="","",$J$3-O746),"")</f>
        <v>14</v>
      </c>
      <c r="AC746" s="35" t="str">
        <f ca="1">IF(GUAYAQUIL[[#This Row],[CODIGO]]="","",IF(S746&lt;=0,"CADUCADO",IF(AND(S746&gt;0,S746&lt;=21),"FECHA CORTA",IF(AND(S746&gt;=22,S746&lt;=26),"PROXIMOS FECHA CORTA", "VIGENTE"))))</f>
        <v>PROXIMOS FECHA CORTA</v>
      </c>
      <c r="AD746" s="289">
        <f>+IF(GUAYAQUIL[[#This Row],[CODIGO]]="","",GUAYAQUIL[[#This Row],[Stock Actual Unds]]*GUAYAQUIL[[#This Row],[Gramaje]]*GUAYAQUIL[[#This Row],[Conversión]])/1000</f>
        <v>0.16</v>
      </c>
    </row>
    <row r="747" spans="1:30">
      <c r="A747" s="42" t="str">
        <f>+IFERROR(IF(GUAYAQUIL[[#This Row],[CODIGO]]="","",VLOOKUP(GUAYAQUIL[[#This Row],[CODIGO]],MAESTRO!$A:$J,10,FALSE)),"")</f>
        <v>SAN GABRIEL</v>
      </c>
      <c r="B747" s="42" t="str">
        <f>+IFERROR(IF(GUAYAQUIL[[#This Row],[CODIGO]]="","",VLOOKUP(GUAYAQUIL[[#This Row],[CODIGO]],MAESTRO!$A:$Q,17,FALSE)),"")</f>
        <v>QUESOS Y GRASAS</v>
      </c>
      <c r="C747" s="42" t="str">
        <f>+IFERROR(IF(GUAYAQUIL[[#This Row],[CODIGO]]="","",VLOOKUP(GUAYAQUIL[[#This Row],[CODIGO]],MAESTRO!$A:$BA,53,FALSE)),"")</f>
        <v xml:space="preserve">Esteban Montenegro                      </v>
      </c>
      <c r="D747" s="42" t="str">
        <f>+IFERROR(IF(GUAYAQUIL[[#This Row],[CODIGO]]="","",VLOOKUP(GUAYAQUIL[[#This Row],[CODIGO]],MAESTRO!$A:$D,4,FALSE)),"")</f>
        <v>QUESO FRESCO KIOSKO</v>
      </c>
      <c r="E747" s="42" t="str">
        <f>+IFERROR(IF(GUAYAQUIL[[#This Row],[CODIGO]]="","",VLOOKUP(GUAYAQUIL[[#This Row],[CODIGO]],MAESTRO!$A:$F,6,FALSE)),"")</f>
        <v>QUESO AMASADO KIOSKO BLOQUE</v>
      </c>
      <c r="F747" s="42" t="str">
        <f>IF(GUAYAQUIL[[#This Row],[CODIGO]]="","",$K$6)</f>
        <v>GUAYAQUIL</v>
      </c>
      <c r="G747" s="1">
        <f>IF(GUAYAQUIL[[#This Row],[CODIGO]]="","",7711)</f>
        <v>7711</v>
      </c>
      <c r="H747" s="1">
        <f>IF(GUAYAQUIL[[#This Row],[CODIGO]]="","",1001)</f>
        <v>1001</v>
      </c>
      <c r="I747" s="258" t="s">
        <v>2557</v>
      </c>
      <c r="J747" s="43" t="str">
        <f>IFERROR((VLOOKUP(GUAYAQUIL[[#This Row],[CODIGO]],MAESTRO!A:B,2,FALSE)),"")</f>
        <v>Q AMASADO KIOSKO BLOQ 450G</v>
      </c>
      <c r="K747" s="35">
        <v>45</v>
      </c>
      <c r="L747" s="205">
        <f>+IFERROR(IF(GUAYAQUIL[[#This Row],[CODIGO]]="","",VLOOKUP(GUAYAQUIL[[#This Row],[CODIGO]],MAESTRO!$A:$BF,58,FALSE)),"")</f>
        <v>1</v>
      </c>
      <c r="M747" s="27">
        <f>+IFERROR(IF(GUAYAQUIL[[#This Row],[CODIGO]]="","",VLOOKUP(GUAYAQUIL[[#This Row],[CODIGO]],MAESTRO!A:N,14,FALSE)),"")</f>
        <v>0.45</v>
      </c>
      <c r="N747" s="206">
        <f>+IFERROR(IF(GUAYAQUIL[[#This Row],[CODIGO]]="","",VLOOKUP(GUAYAQUIL[[#This Row],[CODIGO]],MAESTRO!A:P,16,FALSE)),"")</f>
        <v>35</v>
      </c>
      <c r="O747" s="303">
        <v>45615</v>
      </c>
      <c r="P747" s="99" t="str">
        <f t="shared" si="61"/>
        <v>martes</v>
      </c>
      <c r="Q747" s="304">
        <f>IFERROR(IF(GUAYAQUIL[[#This Row],[CODIGO]]="","",IF(GUAYAQUIL[[#This Row],[Fecha Cad]]="","",(GUAYAQUIL[[#This Row],[Fecha Cad]]-GUAYAQUIL[[#This Row],[VIDA UTIL (Días)]]))+1),"")</f>
        <v>45612</v>
      </c>
      <c r="R747" s="303">
        <v>45646</v>
      </c>
      <c r="S747" s="30">
        <f t="shared" ca="1" si="62"/>
        <v>22</v>
      </c>
      <c r="T747" s="279">
        <f t="shared" ca="1" si="63"/>
        <v>0.62857142857142856</v>
      </c>
      <c r="U747" s="288">
        <v>26</v>
      </c>
      <c r="V747" s="265">
        <f>+IFERROR(IF(GUAYAQUIL[[#This Row],[CODIGO]]="","",GUAYAQUIL[[#This Row],[Stock Actual Unds]]*GUAYAQUIL[[#This Row],[Gramaje]]*GUAYAQUIL[[#This Row],[Conversión]]),"")</f>
        <v>11.700000000000001</v>
      </c>
      <c r="W747" s="280">
        <f t="shared" si="64"/>
        <v>3</v>
      </c>
      <c r="X747" s="44">
        <f t="shared" si="65"/>
        <v>0.91428571428571426</v>
      </c>
      <c r="Y747" s="236">
        <f>IFERROR(VLOOKUP(GUAYAQUIL[[#This Row],[CODIGO]],MAESTRO!A:BI,21,FALSE),0)</f>
        <v>1.2293700000000001</v>
      </c>
      <c r="Z747" s="236">
        <f>+IFERROR(IF(GUAYAQUIL[[#This Row],[CODIGO]]="","",GUAYAQUIL[[#This Row],[COSTO UNIT base]]*GUAYAQUIL[[#This Row],[Conversión]]),"")</f>
        <v>1.2293700000000001</v>
      </c>
      <c r="AA747" s="236">
        <f>+IFERROR(IF(GUAYAQUIL[[#This Row],[CODIGO]]="","",GUAYAQUIL[[#This Row],[COSTO UNIT Conv]]*GUAYAQUIL[[#This Row],[Stock Actual Kgs]]),"")</f>
        <v>14.383629000000003</v>
      </c>
      <c r="AB747" s="180">
        <f ca="1">+IFERROR(IF(GUAYAQUIL[[#This Row],[CODIGO]]="","",$J$3-O747),"")</f>
        <v>9</v>
      </c>
      <c r="AC747" s="35" t="str">
        <f ca="1">IF(GUAYAQUIL[[#This Row],[CODIGO]]="","",IF(S747&lt;=0,"CADUCADO",IF(AND(S747&gt;0,S747&lt;=21),"FECHA CORTA",IF(AND(S747&gt;=22,S747&lt;=26),"PROXIMOS FECHA CORTA", "VIGENTE"))))</f>
        <v>PROXIMOS FECHA CORTA</v>
      </c>
      <c r="AD747" s="289">
        <f>+IF(GUAYAQUIL[[#This Row],[CODIGO]]="","",GUAYAQUIL[[#This Row],[Stock Actual Unds]]*GUAYAQUIL[[#This Row],[Gramaje]]*GUAYAQUIL[[#This Row],[Conversión]])/1000</f>
        <v>1.17E-2</v>
      </c>
    </row>
    <row r="748" spans="1:30">
      <c r="A748" s="42" t="str">
        <f>+IFERROR(IF(GUAYAQUIL[[#This Row],[CODIGO]]="","",VLOOKUP(GUAYAQUIL[[#This Row],[CODIGO]],MAESTRO!$A:$J,10,FALSE)),"")</f>
        <v>SAN GABRIEL</v>
      </c>
      <c r="B748" s="42" t="str">
        <f>+IFERROR(IF(GUAYAQUIL[[#This Row],[CODIGO]]="","",VLOOKUP(GUAYAQUIL[[#This Row],[CODIGO]],MAESTRO!$A:$Q,17,FALSE)),"")</f>
        <v>QUESOS Y GRASAS</v>
      </c>
      <c r="C748" s="42" t="str">
        <f>+IFERROR(IF(GUAYAQUIL[[#This Row],[CODIGO]]="","",VLOOKUP(GUAYAQUIL[[#This Row],[CODIGO]],MAESTRO!$A:$BA,53,FALSE)),"")</f>
        <v xml:space="preserve">Esteban Montenegro                      </v>
      </c>
      <c r="D748" s="42" t="str">
        <f>+IFERROR(IF(GUAYAQUIL[[#This Row],[CODIGO]]="","",VLOOKUP(GUAYAQUIL[[#This Row],[CODIGO]],MAESTRO!$A:$D,4,FALSE)),"")</f>
        <v>QUESO FRESCO KIOSKO</v>
      </c>
      <c r="E748" s="42" t="str">
        <f>+IFERROR(IF(GUAYAQUIL[[#This Row],[CODIGO]]="","",VLOOKUP(GUAYAQUIL[[#This Row],[CODIGO]],MAESTRO!$A:$F,6,FALSE)),"")</f>
        <v>QUESO AMASADO KIOSKO BLOQUE</v>
      </c>
      <c r="F748" s="42" t="str">
        <f>IF(GUAYAQUIL[[#This Row],[CODIGO]]="","",$K$6)</f>
        <v>GUAYAQUIL</v>
      </c>
      <c r="G748" s="1">
        <f>IF(GUAYAQUIL[[#This Row],[CODIGO]]="","",7711)</f>
        <v>7711</v>
      </c>
      <c r="H748" s="1">
        <f>IF(GUAYAQUIL[[#This Row],[CODIGO]]="","",1001)</f>
        <v>1001</v>
      </c>
      <c r="I748" s="258" t="s">
        <v>2557</v>
      </c>
      <c r="J748" s="43" t="str">
        <f>IFERROR((VLOOKUP(GUAYAQUIL[[#This Row],[CODIGO]],MAESTRO!A:B,2,FALSE)),"")</f>
        <v>Q AMASADO KIOSKO BLOQ 450G</v>
      </c>
      <c r="K748" s="35">
        <v>45</v>
      </c>
      <c r="L748" s="205">
        <f>+IFERROR(IF(GUAYAQUIL[[#This Row],[CODIGO]]="","",VLOOKUP(GUAYAQUIL[[#This Row],[CODIGO]],MAESTRO!$A:$BF,58,FALSE)),"")</f>
        <v>1</v>
      </c>
      <c r="M748" s="27">
        <f>+IFERROR(IF(GUAYAQUIL[[#This Row],[CODIGO]]="","",VLOOKUP(GUAYAQUIL[[#This Row],[CODIGO]],MAESTRO!A:N,14,FALSE)),"")</f>
        <v>0.45</v>
      </c>
      <c r="N748" s="206">
        <f>+IFERROR(IF(GUAYAQUIL[[#This Row],[CODIGO]]="","",VLOOKUP(GUAYAQUIL[[#This Row],[CODIGO]],MAESTRO!A:P,16,FALSE)),"")</f>
        <v>35</v>
      </c>
      <c r="O748" s="303">
        <v>45617</v>
      </c>
      <c r="P748" s="99" t="str">
        <f t="shared" si="61"/>
        <v>jueves</v>
      </c>
      <c r="Q748" s="304">
        <f>IFERROR(IF(GUAYAQUIL[[#This Row],[CODIGO]]="","",IF(GUAYAQUIL[[#This Row],[Fecha Cad]]="","",(GUAYAQUIL[[#This Row],[Fecha Cad]]-GUAYAQUIL[[#This Row],[VIDA UTIL (Días)]]))+1),"")</f>
        <v>45612</v>
      </c>
      <c r="R748" s="303">
        <v>45646</v>
      </c>
      <c r="S748" s="30">
        <f t="shared" ca="1" si="62"/>
        <v>22</v>
      </c>
      <c r="T748" s="279">
        <f t="shared" ca="1" si="63"/>
        <v>0.62857142857142856</v>
      </c>
      <c r="U748" s="288">
        <v>45</v>
      </c>
      <c r="V748" s="265">
        <f>+IFERROR(IF(GUAYAQUIL[[#This Row],[CODIGO]]="","",GUAYAQUIL[[#This Row],[Stock Actual Unds]]*GUAYAQUIL[[#This Row],[Gramaje]]*GUAYAQUIL[[#This Row],[Conversión]]),"")</f>
        <v>20.25</v>
      </c>
      <c r="W748" s="280">
        <f t="shared" si="64"/>
        <v>5</v>
      </c>
      <c r="X748" s="44">
        <f t="shared" si="65"/>
        <v>0.85714285714285721</v>
      </c>
      <c r="Y748" s="236">
        <f>IFERROR(VLOOKUP(GUAYAQUIL[[#This Row],[CODIGO]],MAESTRO!A:BI,21,FALSE),0)</f>
        <v>1.2293700000000001</v>
      </c>
      <c r="Z748" s="236">
        <f>+IFERROR(IF(GUAYAQUIL[[#This Row],[CODIGO]]="","",GUAYAQUIL[[#This Row],[COSTO UNIT base]]*GUAYAQUIL[[#This Row],[Conversión]]),"")</f>
        <v>1.2293700000000001</v>
      </c>
      <c r="AA748" s="236">
        <f>+IFERROR(IF(GUAYAQUIL[[#This Row],[CODIGO]]="","",GUAYAQUIL[[#This Row],[COSTO UNIT Conv]]*GUAYAQUIL[[#This Row],[Stock Actual Kgs]]),"")</f>
        <v>24.894742500000003</v>
      </c>
      <c r="AB748" s="180">
        <f ca="1">+IFERROR(IF(GUAYAQUIL[[#This Row],[CODIGO]]="","",$J$3-O748),"")</f>
        <v>7</v>
      </c>
      <c r="AC748" s="35" t="str">
        <f ca="1">IF(GUAYAQUIL[[#This Row],[CODIGO]]="","",IF(S748&lt;=0,"CADUCADO",IF(AND(S748&gt;0,S748&lt;=21),"FECHA CORTA",IF(AND(S748&gt;=22,S748&lt;=26),"PROXIMOS FECHA CORTA", "VIGENTE"))))</f>
        <v>PROXIMOS FECHA CORTA</v>
      </c>
      <c r="AD748" s="289">
        <f>+IF(GUAYAQUIL[[#This Row],[CODIGO]]="","",GUAYAQUIL[[#This Row],[Stock Actual Unds]]*GUAYAQUIL[[#This Row],[Gramaje]]*GUAYAQUIL[[#This Row],[Conversión]])/1000</f>
        <v>2.0250000000000001E-2</v>
      </c>
    </row>
    <row r="749" spans="1:30">
      <c r="A749" s="42" t="str">
        <f>+IFERROR(IF(GUAYAQUIL[[#This Row],[CODIGO]]="","",VLOOKUP(GUAYAQUIL[[#This Row],[CODIGO]],MAESTRO!$A:$J,10,FALSE)),"")</f>
        <v>MACHACHI</v>
      </c>
      <c r="B749" s="42" t="str">
        <f>+IFERROR(IF(GUAYAQUIL[[#This Row],[CODIGO]]="","",VLOOKUP(GUAYAQUIL[[#This Row],[CODIGO]],MAESTRO!$A:$Q,17,FALSE)),"")</f>
        <v>BEBIDAS LACTEAS</v>
      </c>
      <c r="C749" s="42" t="str">
        <f>+IFERROR(IF(GUAYAQUIL[[#This Row],[CODIGO]]="","",VLOOKUP(GUAYAQUIL[[#This Row],[CODIGO]],MAESTRO!$A:$BA,53,FALSE)),"")</f>
        <v xml:space="preserve">Luis Armendariz                         </v>
      </c>
      <c r="D749" s="42" t="str">
        <f>+IFERROR(IF(GUAYAQUIL[[#This Row],[CODIGO]]="","",VLOOKUP(GUAYAQUIL[[#This Row],[CODIGO]],MAESTRO!$A:$D,4,FALSE)),"")</f>
        <v>YOGURT KIOSKO</v>
      </c>
      <c r="E749" s="42" t="str">
        <f>+IFERROR(IF(GUAYAQUIL[[#This Row],[CODIGO]]="","",VLOOKUP(GUAYAQUIL[[#This Row],[CODIGO]],MAESTRO!$A:$F,6,FALSE)),"")</f>
        <v>GRIEGO SABORIZADO</v>
      </c>
      <c r="F749" s="42" t="str">
        <f>IF(GUAYAQUIL[[#This Row],[CODIGO]]="","",$K$6)</f>
        <v>GUAYAQUIL</v>
      </c>
      <c r="G749" s="1">
        <f>IF(GUAYAQUIL[[#This Row],[CODIGO]]="","",7711)</f>
        <v>7711</v>
      </c>
      <c r="H749" s="1">
        <f>IF(GUAYAQUIL[[#This Row],[CODIGO]]="","",1001)</f>
        <v>1001</v>
      </c>
      <c r="I749" s="258" t="s">
        <v>1180</v>
      </c>
      <c r="J749" s="43" t="str">
        <f>IFERROR((VLOOKUP(GUAYAQUIL[[#This Row],[CODIGO]],MAESTRO!A:B,2,FALSE)),"")</f>
        <v>GRIEG KIOSKO NATURAL 120</v>
      </c>
      <c r="K749" s="35">
        <v>720</v>
      </c>
      <c r="L749" s="205">
        <f>+IFERROR(IF(GUAYAQUIL[[#This Row],[CODIGO]]="","",VLOOKUP(GUAYAQUIL[[#This Row],[CODIGO]],MAESTRO!$A:$BF,58,FALSE)),"")</f>
        <v>1</v>
      </c>
      <c r="M749" s="27">
        <f>+IFERROR(IF(GUAYAQUIL[[#This Row],[CODIGO]]="","",VLOOKUP(GUAYAQUIL[[#This Row],[CODIGO]],MAESTRO!A:N,14,FALSE)),"")</f>
        <v>0.12</v>
      </c>
      <c r="N749" s="206">
        <f>+IFERROR(IF(GUAYAQUIL[[#This Row],[CODIGO]]="","",VLOOKUP(GUAYAQUIL[[#This Row],[CODIGO]],MAESTRO!A:P,16,FALSE)),"")</f>
        <v>45</v>
      </c>
      <c r="O749" s="303">
        <v>45612</v>
      </c>
      <c r="P749" s="99" t="str">
        <f t="shared" si="61"/>
        <v>sábado</v>
      </c>
      <c r="Q749" s="304">
        <f>IFERROR(IF(GUAYAQUIL[[#This Row],[CODIGO]]="","",IF(GUAYAQUIL[[#This Row],[Fecha Cad]]="","",(GUAYAQUIL[[#This Row],[Fecha Cad]]-GUAYAQUIL[[#This Row],[VIDA UTIL (Días)]]))+1),"")</f>
        <v>45611</v>
      </c>
      <c r="R749" s="303">
        <v>45655</v>
      </c>
      <c r="S749" s="30">
        <f t="shared" ca="1" si="62"/>
        <v>31</v>
      </c>
      <c r="T749" s="279">
        <f t="shared" ca="1" si="63"/>
        <v>0.68888888888888888</v>
      </c>
      <c r="U749" s="288">
        <v>200</v>
      </c>
      <c r="V749" s="265">
        <f>+IFERROR(IF(GUAYAQUIL[[#This Row],[CODIGO]]="","",GUAYAQUIL[[#This Row],[Stock Actual Unds]]*GUAYAQUIL[[#This Row],[Gramaje]]*GUAYAQUIL[[#This Row],[Conversión]]),"")</f>
        <v>24</v>
      </c>
      <c r="W749" s="280">
        <f t="shared" si="64"/>
        <v>1</v>
      </c>
      <c r="X749" s="44">
        <f t="shared" si="65"/>
        <v>0.97777777777777775</v>
      </c>
      <c r="Y749" s="236">
        <f>IFERROR(VLOOKUP(GUAYAQUIL[[#This Row],[CODIGO]],MAESTRO!A:BI,21,FALSE),0)</f>
        <v>0.32286000000000004</v>
      </c>
      <c r="Z749" s="236">
        <f>+IFERROR(IF(GUAYAQUIL[[#This Row],[CODIGO]]="","",GUAYAQUIL[[#This Row],[COSTO UNIT base]]*GUAYAQUIL[[#This Row],[Conversión]]),"")</f>
        <v>0.32286000000000004</v>
      </c>
      <c r="AA749" s="236">
        <f>+IFERROR(IF(GUAYAQUIL[[#This Row],[CODIGO]]="","",GUAYAQUIL[[#This Row],[COSTO UNIT Conv]]*GUAYAQUIL[[#This Row],[Stock Actual Kgs]]),"")</f>
        <v>7.7486400000000009</v>
      </c>
      <c r="AB749" s="180">
        <f ca="1">+IFERROR(IF(GUAYAQUIL[[#This Row],[CODIGO]]="","",$J$3-O749),"")</f>
        <v>12</v>
      </c>
      <c r="AC749" s="35" t="str">
        <f ca="1">IF(GUAYAQUIL[[#This Row],[CODIGO]]="","",IF(S749&lt;=0,"CADUCADO",IF(AND(S749&gt;0,S749&lt;=21),"FECHA CORTA",IF(AND(S749&gt;=22,S749&lt;=26),"PROXIMOS FECHA CORTA", "VIGENTE"))))</f>
        <v>VIGENTE</v>
      </c>
      <c r="AD749" s="289">
        <f>+IF(GUAYAQUIL[[#This Row],[CODIGO]]="","",GUAYAQUIL[[#This Row],[Stock Actual Unds]]*GUAYAQUIL[[#This Row],[Gramaje]]*GUAYAQUIL[[#This Row],[Conversión]])/1000</f>
        <v>2.4E-2</v>
      </c>
    </row>
    <row r="750" spans="1:30">
      <c r="A750" s="42" t="str">
        <f>+IFERROR(IF(GUAYAQUIL[[#This Row],[CODIGO]]="","",VLOOKUP(GUAYAQUIL[[#This Row],[CODIGO]],MAESTRO!$A:$J,10,FALSE)),"")</f>
        <v>MACHACHI</v>
      </c>
      <c r="B750" s="42" t="str">
        <f>+IFERROR(IF(GUAYAQUIL[[#This Row],[CODIGO]]="","",VLOOKUP(GUAYAQUIL[[#This Row],[CODIGO]],MAESTRO!$A:$Q,17,FALSE)),"")</f>
        <v>BEBIDAS LACTEAS</v>
      </c>
      <c r="C750" s="42" t="str">
        <f>+IFERROR(IF(GUAYAQUIL[[#This Row],[CODIGO]]="","",VLOOKUP(GUAYAQUIL[[#This Row],[CODIGO]],MAESTRO!$A:$BA,53,FALSE)),"")</f>
        <v xml:space="preserve">Luis Armendariz                         </v>
      </c>
      <c r="D750" s="42" t="str">
        <f>+IFERROR(IF(GUAYAQUIL[[#This Row],[CODIGO]]="","",VLOOKUP(GUAYAQUIL[[#This Row],[CODIGO]],MAESTRO!$A:$D,4,FALSE)),"")</f>
        <v>YOGURT KIOSKO</v>
      </c>
      <c r="E750" s="42" t="str">
        <f>+IFERROR(IF(GUAYAQUIL[[#This Row],[CODIGO]]="","",VLOOKUP(GUAYAQUIL[[#This Row],[CODIGO]],MAESTRO!$A:$F,6,FALSE)),"")</f>
        <v>GRIEGO SABORIZADO</v>
      </c>
      <c r="F750" s="42" t="str">
        <f>IF(GUAYAQUIL[[#This Row],[CODIGO]]="","",$K$6)</f>
        <v>GUAYAQUIL</v>
      </c>
      <c r="G750" s="1">
        <f>IF(GUAYAQUIL[[#This Row],[CODIGO]]="","",7711)</f>
        <v>7711</v>
      </c>
      <c r="H750" s="1">
        <f>IF(GUAYAQUIL[[#This Row],[CODIGO]]="","",1001)</f>
        <v>1001</v>
      </c>
      <c r="I750" s="258" t="s">
        <v>1180</v>
      </c>
      <c r="J750" s="43" t="str">
        <f>IFERROR((VLOOKUP(GUAYAQUIL[[#This Row],[CODIGO]],MAESTRO!A:B,2,FALSE)),"")</f>
        <v>GRIEG KIOSKO NATURAL 120</v>
      </c>
      <c r="K750" s="35">
        <v>120</v>
      </c>
      <c r="L750" s="205">
        <f>+IFERROR(IF(GUAYAQUIL[[#This Row],[CODIGO]]="","",VLOOKUP(GUAYAQUIL[[#This Row],[CODIGO]],MAESTRO!$A:$BF,58,FALSE)),"")</f>
        <v>1</v>
      </c>
      <c r="M750" s="27">
        <f>+IFERROR(IF(GUAYAQUIL[[#This Row],[CODIGO]]="","",VLOOKUP(GUAYAQUIL[[#This Row],[CODIGO]],MAESTRO!A:N,14,FALSE)),"")</f>
        <v>0.12</v>
      </c>
      <c r="N750" s="206">
        <f>+IFERROR(IF(GUAYAQUIL[[#This Row],[CODIGO]]="","",VLOOKUP(GUAYAQUIL[[#This Row],[CODIGO]],MAESTRO!A:P,16,FALSE)),"")</f>
        <v>45</v>
      </c>
      <c r="O750" s="303">
        <v>45615</v>
      </c>
      <c r="P750" s="99" t="str">
        <f t="shared" si="61"/>
        <v>martes</v>
      </c>
      <c r="Q750" s="304">
        <f>IFERROR(IF(GUAYAQUIL[[#This Row],[CODIGO]]="","",IF(GUAYAQUIL[[#This Row],[Fecha Cad]]="","",(GUAYAQUIL[[#This Row],[Fecha Cad]]-GUAYAQUIL[[#This Row],[VIDA UTIL (Días)]]))+1),"")</f>
        <v>45611</v>
      </c>
      <c r="R750" s="303">
        <v>45655</v>
      </c>
      <c r="S750" s="30">
        <f t="shared" ca="1" si="62"/>
        <v>31</v>
      </c>
      <c r="T750" s="279">
        <f t="shared" ca="1" si="63"/>
        <v>0.68888888888888888</v>
      </c>
      <c r="U750" s="288">
        <v>120</v>
      </c>
      <c r="V750" s="265">
        <f>+IFERROR(IF(GUAYAQUIL[[#This Row],[CODIGO]]="","",GUAYAQUIL[[#This Row],[Stock Actual Unds]]*GUAYAQUIL[[#This Row],[Gramaje]]*GUAYAQUIL[[#This Row],[Conversión]]),"")</f>
        <v>14.399999999999999</v>
      </c>
      <c r="W750" s="280">
        <f t="shared" si="64"/>
        <v>4</v>
      </c>
      <c r="X750" s="44">
        <f t="shared" si="65"/>
        <v>0.91111111111111109</v>
      </c>
      <c r="Y750" s="236">
        <f>IFERROR(VLOOKUP(GUAYAQUIL[[#This Row],[CODIGO]],MAESTRO!A:BI,21,FALSE),0)</f>
        <v>0.32286000000000004</v>
      </c>
      <c r="Z750" s="236">
        <f>+IFERROR(IF(GUAYAQUIL[[#This Row],[CODIGO]]="","",GUAYAQUIL[[#This Row],[COSTO UNIT base]]*GUAYAQUIL[[#This Row],[Conversión]]),"")</f>
        <v>0.32286000000000004</v>
      </c>
      <c r="AA750" s="236">
        <f>+IFERROR(IF(GUAYAQUIL[[#This Row],[CODIGO]]="","",GUAYAQUIL[[#This Row],[COSTO UNIT Conv]]*GUAYAQUIL[[#This Row],[Stock Actual Kgs]]),"")</f>
        <v>4.649184</v>
      </c>
      <c r="AB750" s="180">
        <f ca="1">+IFERROR(IF(GUAYAQUIL[[#This Row],[CODIGO]]="","",$J$3-O750),"")</f>
        <v>9</v>
      </c>
      <c r="AC750" s="35" t="str">
        <f ca="1">IF(GUAYAQUIL[[#This Row],[CODIGO]]="","",IF(S750&lt;=0,"CADUCADO",IF(AND(S750&gt;0,S750&lt;=21),"FECHA CORTA",IF(AND(S750&gt;=22,S750&lt;=26),"PROXIMOS FECHA CORTA", "VIGENTE"))))</f>
        <v>VIGENTE</v>
      </c>
      <c r="AD750" s="289">
        <f>+IF(GUAYAQUIL[[#This Row],[CODIGO]]="","",GUAYAQUIL[[#This Row],[Stock Actual Unds]]*GUAYAQUIL[[#This Row],[Gramaje]]*GUAYAQUIL[[#This Row],[Conversión]])/1000</f>
        <v>1.4399999999999998E-2</v>
      </c>
    </row>
    <row r="751" spans="1:30">
      <c r="A751" s="42" t="str">
        <f>+IFERROR(IF(GUAYAQUIL[[#This Row],[CODIGO]]="","",VLOOKUP(GUAYAQUIL[[#This Row],[CODIGO]],MAESTRO!$A:$J,10,FALSE)),"")</f>
        <v>SAN GABRIEL</v>
      </c>
      <c r="B751" s="42" t="str">
        <f>+IFERROR(IF(GUAYAQUIL[[#This Row],[CODIGO]]="","",VLOOKUP(GUAYAQUIL[[#This Row],[CODIGO]],MAESTRO!$A:$Q,17,FALSE)),"")</f>
        <v>QUESOS Y GRASAS</v>
      </c>
      <c r="C751" s="42" t="str">
        <f>+IFERROR(IF(GUAYAQUIL[[#This Row],[CODIGO]]="","",VLOOKUP(GUAYAQUIL[[#This Row],[CODIGO]],MAESTRO!$A:$BA,53,FALSE)),"")</f>
        <v xml:space="preserve">Esteban Montenegro                      </v>
      </c>
      <c r="D751" s="42" t="str">
        <f>+IFERROR(IF(GUAYAQUIL[[#This Row],[CODIGO]]="","",VLOOKUP(GUAYAQUIL[[#This Row],[CODIGO]],MAESTRO!$A:$D,4,FALSE)),"")</f>
        <v>QUESO SEMIMADURO KIOSKO</v>
      </c>
      <c r="E751" s="42" t="str">
        <f>+IFERROR(IF(GUAYAQUIL[[#This Row],[CODIGO]]="","",VLOOKUP(GUAYAQUIL[[#This Row],[CODIGO]],MAESTRO!$A:$F,6,FALSE)),"")</f>
        <v>QUESO MIX KIOSKO TAJADO</v>
      </c>
      <c r="F751" s="42" t="str">
        <f>IF(GUAYAQUIL[[#This Row],[CODIGO]]="","",$K$6)</f>
        <v>GUAYAQUIL</v>
      </c>
      <c r="G751" s="1">
        <f>IF(GUAYAQUIL[[#This Row],[CODIGO]]="","",7711)</f>
        <v>7711</v>
      </c>
      <c r="H751" s="1">
        <f>IF(GUAYAQUIL[[#This Row],[CODIGO]]="","",1001)</f>
        <v>1001</v>
      </c>
      <c r="I751" s="258" t="s">
        <v>974</v>
      </c>
      <c r="J751" s="43" t="str">
        <f>IFERROR((VLOOKUP(GUAYAQUIL[[#This Row],[CODIGO]],MAESTRO!A:B,2,FALSE)),"")</f>
        <v>KIOSKO MIX LONJEADOS 400 G</v>
      </c>
      <c r="K751" s="35">
        <v>10</v>
      </c>
      <c r="L751" s="205">
        <f>+IFERROR(IF(GUAYAQUIL[[#This Row],[CODIGO]]="","",VLOOKUP(GUAYAQUIL[[#This Row],[CODIGO]],MAESTRO!$A:$BF,58,FALSE)),"")</f>
        <v>1</v>
      </c>
      <c r="M751" s="27">
        <f>+IFERROR(IF(GUAYAQUIL[[#This Row],[CODIGO]]="","",VLOOKUP(GUAYAQUIL[[#This Row],[CODIGO]],MAESTRO!A:N,14,FALSE)),"")</f>
        <v>0.4</v>
      </c>
      <c r="N751" s="206">
        <f>+IFERROR(IF(GUAYAQUIL[[#This Row],[CODIGO]]="","",VLOOKUP(GUAYAQUIL[[#This Row],[CODIGO]],MAESTRO!A:P,16,FALSE)),"")</f>
        <v>90</v>
      </c>
      <c r="O751" s="303">
        <v>45615</v>
      </c>
      <c r="P751" s="99" t="str">
        <f t="shared" si="61"/>
        <v>martes</v>
      </c>
      <c r="Q751" s="304">
        <f>IFERROR(IF(GUAYAQUIL[[#This Row],[CODIGO]]="","",IF(GUAYAQUIL[[#This Row],[Fecha Cad]]="","",(GUAYAQUIL[[#This Row],[Fecha Cad]]-GUAYAQUIL[[#This Row],[VIDA UTIL (Días)]]))+1),"")</f>
        <v>45603</v>
      </c>
      <c r="R751" s="303">
        <v>45692</v>
      </c>
      <c r="S751" s="30">
        <f t="shared" ca="1" si="62"/>
        <v>68</v>
      </c>
      <c r="T751" s="279">
        <f t="shared" ca="1" si="63"/>
        <v>0.75555555555555554</v>
      </c>
      <c r="U751" s="288">
        <v>10</v>
      </c>
      <c r="V751" s="265">
        <f>+IFERROR(IF(GUAYAQUIL[[#This Row],[CODIGO]]="","",GUAYAQUIL[[#This Row],[Stock Actual Unds]]*GUAYAQUIL[[#This Row],[Gramaje]]*GUAYAQUIL[[#This Row],[Conversión]]),"")</f>
        <v>4</v>
      </c>
      <c r="W751" s="280">
        <f t="shared" si="64"/>
        <v>12</v>
      </c>
      <c r="X751" s="44">
        <f t="shared" si="65"/>
        <v>0.8666666666666667</v>
      </c>
      <c r="Y751" s="236">
        <f>IFERROR(VLOOKUP(GUAYAQUIL[[#This Row],[CODIGO]],MAESTRO!A:BI,21,FALSE),0)</f>
        <v>3.1343899999999998</v>
      </c>
      <c r="Z751" s="236">
        <f>+IFERROR(IF(GUAYAQUIL[[#This Row],[CODIGO]]="","",GUAYAQUIL[[#This Row],[COSTO UNIT base]]*GUAYAQUIL[[#This Row],[Conversión]]),"")</f>
        <v>3.1343899999999998</v>
      </c>
      <c r="AA751" s="236">
        <f>+IFERROR(IF(GUAYAQUIL[[#This Row],[CODIGO]]="","",GUAYAQUIL[[#This Row],[COSTO UNIT Conv]]*GUAYAQUIL[[#This Row],[Stock Actual Kgs]]),"")</f>
        <v>12.537559999999999</v>
      </c>
      <c r="AB751" s="180">
        <f ca="1">+IFERROR(IF(GUAYAQUIL[[#This Row],[CODIGO]]="","",$J$3-O751),"")</f>
        <v>9</v>
      </c>
      <c r="AC751" s="35" t="str">
        <f ca="1">IF(GUAYAQUIL[[#This Row],[CODIGO]]="","",IF(S751&lt;=0,"CADUCADO",IF(AND(S751&gt;0,S751&lt;=21),"FECHA CORTA",IF(AND(S751&gt;=22,S751&lt;=26),"PROXIMOS FECHA CORTA", "VIGENTE"))))</f>
        <v>VIGENTE</v>
      </c>
      <c r="AD751" s="289">
        <f>+IF(GUAYAQUIL[[#This Row],[CODIGO]]="","",GUAYAQUIL[[#This Row],[Stock Actual Unds]]*GUAYAQUIL[[#This Row],[Gramaje]]*GUAYAQUIL[[#This Row],[Conversión]])/1000</f>
        <v>4.0000000000000001E-3</v>
      </c>
    </row>
    <row r="752" spans="1:30">
      <c r="A752" s="42" t="str">
        <f>+IFERROR(IF(GUAYAQUIL[[#This Row],[CODIGO]]="","",VLOOKUP(GUAYAQUIL[[#This Row],[CODIGO]],MAESTRO!$A:$J,10,FALSE)),"")</f>
        <v>SAN GABRIEL</v>
      </c>
      <c r="B752" s="42" t="str">
        <f>+IFERROR(IF(GUAYAQUIL[[#This Row],[CODIGO]]="","",VLOOKUP(GUAYAQUIL[[#This Row],[CODIGO]],MAESTRO!$A:$Q,17,FALSE)),"")</f>
        <v>QUESOS Y GRASAS</v>
      </c>
      <c r="C752" s="42" t="str">
        <f>+IFERROR(IF(GUAYAQUIL[[#This Row],[CODIGO]]="","",VLOOKUP(GUAYAQUIL[[#This Row],[CODIGO]],MAESTRO!$A:$BA,53,FALSE)),"")</f>
        <v xml:space="preserve">Esteban Montenegro                      </v>
      </c>
      <c r="D752" s="42" t="str">
        <f>+IFERROR(IF(GUAYAQUIL[[#This Row],[CODIGO]]="","",VLOOKUP(GUAYAQUIL[[#This Row],[CODIGO]],MAESTRO!$A:$D,4,FALSE)),"")</f>
        <v>QUESO MOZARELLA KIOSKO</v>
      </c>
      <c r="E752" s="42" t="str">
        <f>+IFERROR(IF(GUAYAQUIL[[#This Row],[CODIGO]]="","",VLOOKUP(GUAYAQUIL[[#This Row],[CODIGO]],MAESTRO!$A:$F,6,FALSE)),"")</f>
        <v>QUESO MOZARELLA PIZZA KIOSKO TAJADO</v>
      </c>
      <c r="F752" s="42" t="str">
        <f>IF(GUAYAQUIL[[#This Row],[CODIGO]]="","",$K$6)</f>
        <v>GUAYAQUIL</v>
      </c>
      <c r="G752" s="1">
        <f>IF(GUAYAQUIL[[#This Row],[CODIGO]]="","",7711)</f>
        <v>7711</v>
      </c>
      <c r="H752" s="1">
        <f>IF(GUAYAQUIL[[#This Row],[CODIGO]]="","",1001)</f>
        <v>1001</v>
      </c>
      <c r="I752" s="258" t="s">
        <v>4014</v>
      </c>
      <c r="J752" s="43" t="str">
        <f>IFERROR((VLOOKUP(GUAYAQUIL[[#This Row],[CODIGO]],MAESTRO!A:B,2,FALSE)),"")</f>
        <v>KIOSKO MOZZARELL LONJAS LINEA DIARIA 75G</v>
      </c>
      <c r="K752" s="35">
        <v>90</v>
      </c>
      <c r="L752" s="205">
        <f>+IFERROR(IF(GUAYAQUIL[[#This Row],[CODIGO]]="","",VLOOKUP(GUAYAQUIL[[#This Row],[CODIGO]],MAESTRO!$A:$BF,58,FALSE)),"")</f>
        <v>1</v>
      </c>
      <c r="M752" s="27">
        <f>+IFERROR(IF(GUAYAQUIL[[#This Row],[CODIGO]]="","",VLOOKUP(GUAYAQUIL[[#This Row],[CODIGO]],MAESTRO!A:N,14,FALSE)),"")</f>
        <v>7.4999999999999997E-2</v>
      </c>
      <c r="N752" s="206">
        <f>+IFERROR(IF(GUAYAQUIL[[#This Row],[CODIGO]]="","",VLOOKUP(GUAYAQUIL[[#This Row],[CODIGO]],MAESTRO!A:P,16,FALSE)),"")</f>
        <v>30</v>
      </c>
      <c r="O752" s="303">
        <v>45615</v>
      </c>
      <c r="P752" s="99" t="str">
        <f t="shared" si="61"/>
        <v>martes</v>
      </c>
      <c r="Q752" s="304">
        <f>IFERROR(IF(GUAYAQUIL[[#This Row],[CODIGO]]="","",IF(GUAYAQUIL[[#This Row],[Fecha Cad]]="","",(GUAYAQUIL[[#This Row],[Fecha Cad]]-GUAYAQUIL[[#This Row],[VIDA UTIL (Días)]]))+1),"")</f>
        <v>45608</v>
      </c>
      <c r="R752" s="303">
        <v>45637</v>
      </c>
      <c r="S752" s="30">
        <f t="shared" ca="1" si="62"/>
        <v>13</v>
      </c>
      <c r="T752" s="279">
        <f t="shared" ca="1" si="63"/>
        <v>0.43333333333333335</v>
      </c>
      <c r="U752" s="288">
        <v>90</v>
      </c>
      <c r="V752" s="265">
        <f>+IFERROR(IF(GUAYAQUIL[[#This Row],[CODIGO]]="","",GUAYAQUIL[[#This Row],[Stock Actual Unds]]*GUAYAQUIL[[#This Row],[Gramaje]]*GUAYAQUIL[[#This Row],[Conversión]]),"")</f>
        <v>6.75</v>
      </c>
      <c r="W752" s="280">
        <f t="shared" si="64"/>
        <v>7</v>
      </c>
      <c r="X752" s="44">
        <f t="shared" si="65"/>
        <v>0.76666666666666661</v>
      </c>
      <c r="Y752" s="236">
        <f>IFERROR(VLOOKUP(GUAYAQUIL[[#This Row],[CODIGO]],MAESTRO!A:BI,21,FALSE),0)</f>
        <v>0.62214499999999995</v>
      </c>
      <c r="Z752" s="236">
        <f>+IFERROR(IF(GUAYAQUIL[[#This Row],[CODIGO]]="","",GUAYAQUIL[[#This Row],[COSTO UNIT base]]*GUAYAQUIL[[#This Row],[Conversión]]),"")</f>
        <v>0.62214499999999995</v>
      </c>
      <c r="AA752" s="236">
        <f>+IFERROR(IF(GUAYAQUIL[[#This Row],[CODIGO]]="","",GUAYAQUIL[[#This Row],[COSTO UNIT Conv]]*GUAYAQUIL[[#This Row],[Stock Actual Kgs]]),"")</f>
        <v>4.1994787499999999</v>
      </c>
      <c r="AB752" s="180">
        <f ca="1">+IFERROR(IF(GUAYAQUIL[[#This Row],[CODIGO]]="","",$J$3-O752),"")</f>
        <v>9</v>
      </c>
      <c r="AC752" s="35" t="str">
        <f ca="1">IF(GUAYAQUIL[[#This Row],[CODIGO]]="","",IF(S752&lt;=0,"CADUCADO",IF(AND(S752&gt;0,S752&lt;=21),"FECHA CORTA",IF(AND(S752&gt;=22,S752&lt;=26),"PROXIMOS FECHA CORTA", "VIGENTE"))))</f>
        <v>FECHA CORTA</v>
      </c>
      <c r="AD752" s="289">
        <f>+IF(GUAYAQUIL[[#This Row],[CODIGO]]="","",GUAYAQUIL[[#This Row],[Stock Actual Unds]]*GUAYAQUIL[[#This Row],[Gramaje]]*GUAYAQUIL[[#This Row],[Conversión]])/1000</f>
        <v>6.7499999999999999E-3</v>
      </c>
    </row>
    <row r="753" spans="1:30">
      <c r="A753" s="42" t="str">
        <f>+IFERROR(IF(GUAYAQUIL[[#This Row],[CODIGO]]="","",VLOOKUP(GUAYAQUIL[[#This Row],[CODIGO]],MAESTRO!$A:$J,10,FALSE)),"")</f>
        <v>SAN GABRIEL</v>
      </c>
      <c r="B753" s="42" t="str">
        <f>+IFERROR(IF(GUAYAQUIL[[#This Row],[CODIGO]]="","",VLOOKUP(GUAYAQUIL[[#This Row],[CODIGO]],MAESTRO!$A:$Q,17,FALSE)),"")</f>
        <v>QUESOS Y GRASAS</v>
      </c>
      <c r="C753" s="42" t="str">
        <f>+IFERROR(IF(GUAYAQUIL[[#This Row],[CODIGO]]="","",VLOOKUP(GUAYAQUIL[[#This Row],[CODIGO]],MAESTRO!$A:$BA,53,FALSE)),"")</f>
        <v xml:space="preserve">Esteban Montenegro                      </v>
      </c>
      <c r="D753" s="42" t="str">
        <f>+IFERROR(IF(GUAYAQUIL[[#This Row],[CODIGO]]="","",VLOOKUP(GUAYAQUIL[[#This Row],[CODIGO]],MAESTRO!$A:$D,4,FALSE)),"")</f>
        <v>QUESO MOZARELLA KIOSKO</v>
      </c>
      <c r="E753" s="42" t="str">
        <f>+IFERROR(IF(GUAYAQUIL[[#This Row],[CODIGO]]="","",VLOOKUP(GUAYAQUIL[[#This Row],[CODIGO]],MAESTRO!$A:$F,6,FALSE)),"")</f>
        <v>QUESO MOZARELLA PIZZA KIOSKO RALLADO</v>
      </c>
      <c r="F753" s="42" t="str">
        <f>IF(GUAYAQUIL[[#This Row],[CODIGO]]="","",$K$6)</f>
        <v>GUAYAQUIL</v>
      </c>
      <c r="G753" s="1">
        <f>IF(GUAYAQUIL[[#This Row],[CODIGO]]="","",7711)</f>
        <v>7711</v>
      </c>
      <c r="H753" s="1">
        <f>IF(GUAYAQUIL[[#This Row],[CODIGO]]="","",1001)</f>
        <v>1001</v>
      </c>
      <c r="I753" s="258" t="s">
        <v>1814</v>
      </c>
      <c r="J753" s="43" t="str">
        <f>IFERROR((VLOOKUP(GUAYAQUIL[[#This Row],[CODIGO]],MAESTRO!A:B,2,FALSE)),"")</f>
        <v>Q MOZAR PIZZ KIOSKO RALL BOL 300G</v>
      </c>
      <c r="K753" s="35">
        <v>60</v>
      </c>
      <c r="L753" s="205">
        <f>+IFERROR(IF(GUAYAQUIL[[#This Row],[CODIGO]]="","",VLOOKUP(GUAYAQUIL[[#This Row],[CODIGO]],MAESTRO!$A:$BF,58,FALSE)),"")</f>
        <v>1</v>
      </c>
      <c r="M753" s="27">
        <f>+IFERROR(IF(GUAYAQUIL[[#This Row],[CODIGO]]="","",VLOOKUP(GUAYAQUIL[[#This Row],[CODIGO]],MAESTRO!A:N,14,FALSE)),"")</f>
        <v>0.3</v>
      </c>
      <c r="N753" s="206">
        <f>+IFERROR(IF(GUAYAQUIL[[#This Row],[CODIGO]]="","",VLOOKUP(GUAYAQUIL[[#This Row],[CODIGO]],MAESTRO!A:P,16,FALSE)),"")</f>
        <v>30</v>
      </c>
      <c r="O753" s="303">
        <v>45616</v>
      </c>
      <c r="P753" s="99" t="str">
        <f t="shared" si="61"/>
        <v>miércoles</v>
      </c>
      <c r="Q753" s="304">
        <f>IFERROR(IF(GUAYAQUIL[[#This Row],[CODIGO]]="","",IF(GUAYAQUIL[[#This Row],[Fecha Cad]]="","",(GUAYAQUIL[[#This Row],[Fecha Cad]]-GUAYAQUIL[[#This Row],[VIDA UTIL (Días)]]))+1),"")</f>
        <v>45615</v>
      </c>
      <c r="R753" s="303">
        <v>45644</v>
      </c>
      <c r="S753" s="30">
        <f t="shared" ca="1" si="62"/>
        <v>20</v>
      </c>
      <c r="T753" s="279">
        <f t="shared" ca="1" si="63"/>
        <v>0.66666666666666663</v>
      </c>
      <c r="U753" s="288">
        <v>38</v>
      </c>
      <c r="V753" s="265">
        <f>+IFERROR(IF(GUAYAQUIL[[#This Row],[CODIGO]]="","",GUAYAQUIL[[#This Row],[Stock Actual Unds]]*GUAYAQUIL[[#This Row],[Gramaje]]*GUAYAQUIL[[#This Row],[Conversión]]),"")</f>
        <v>11.4</v>
      </c>
      <c r="W753" s="280">
        <f t="shared" si="64"/>
        <v>1</v>
      </c>
      <c r="X753" s="44">
        <f t="shared" si="65"/>
        <v>0.96666666666666667</v>
      </c>
      <c r="Y753" s="236">
        <f>IFERROR(VLOOKUP(GUAYAQUIL[[#This Row],[CODIGO]],MAESTRO!A:BI,21,FALSE),0)</f>
        <v>2.0200649999999998</v>
      </c>
      <c r="Z753" s="236">
        <f>+IFERROR(IF(GUAYAQUIL[[#This Row],[CODIGO]]="","",GUAYAQUIL[[#This Row],[COSTO UNIT base]]*GUAYAQUIL[[#This Row],[Conversión]]),"")</f>
        <v>2.0200649999999998</v>
      </c>
      <c r="AA753" s="236">
        <f>+IFERROR(IF(GUAYAQUIL[[#This Row],[CODIGO]]="","",GUAYAQUIL[[#This Row],[COSTO UNIT Conv]]*GUAYAQUIL[[#This Row],[Stock Actual Kgs]]),"")</f>
        <v>23.028740999999997</v>
      </c>
      <c r="AB753" s="180">
        <f ca="1">+IFERROR(IF(GUAYAQUIL[[#This Row],[CODIGO]]="","",$J$3-O753),"")</f>
        <v>8</v>
      </c>
      <c r="AC753" s="35" t="str">
        <f ca="1">IF(GUAYAQUIL[[#This Row],[CODIGO]]="","",IF(S753&lt;=0,"CADUCADO",IF(AND(S753&gt;0,S753&lt;=21),"FECHA CORTA",IF(AND(S753&gt;=22,S753&lt;=26),"PROXIMOS FECHA CORTA", "VIGENTE"))))</f>
        <v>FECHA CORTA</v>
      </c>
      <c r="AD753" s="289">
        <f>+IF(GUAYAQUIL[[#This Row],[CODIGO]]="","",GUAYAQUIL[[#This Row],[Stock Actual Unds]]*GUAYAQUIL[[#This Row],[Gramaje]]*GUAYAQUIL[[#This Row],[Conversión]])/1000</f>
        <v>1.14E-2</v>
      </c>
    </row>
    <row r="754" spans="1:30">
      <c r="A754" s="42" t="str">
        <f>+IFERROR(IF(GUAYAQUIL[[#This Row],[CODIGO]]="","",VLOOKUP(GUAYAQUIL[[#This Row],[CODIGO]],MAESTRO!$A:$J,10,FALSE)),"")</f>
        <v>SAN GABRIEL</v>
      </c>
      <c r="B754" s="42" t="str">
        <f>+IFERROR(IF(GUAYAQUIL[[#This Row],[CODIGO]]="","",VLOOKUP(GUAYAQUIL[[#This Row],[CODIGO]],MAESTRO!$A:$Q,17,FALSE)),"")</f>
        <v>QUESOS Y GRASAS</v>
      </c>
      <c r="C754" s="42" t="str">
        <f>+IFERROR(IF(GUAYAQUIL[[#This Row],[CODIGO]]="","",VLOOKUP(GUAYAQUIL[[#This Row],[CODIGO]],MAESTRO!$A:$BA,53,FALSE)),"")</f>
        <v xml:space="preserve">Esteban Montenegro                      </v>
      </c>
      <c r="D754" s="42" t="str">
        <f>+IFERROR(IF(GUAYAQUIL[[#This Row],[CODIGO]]="","",VLOOKUP(GUAYAQUIL[[#This Row],[CODIGO]],MAESTRO!$A:$D,4,FALSE)),"")</f>
        <v>QUESO MOZARELLA KIOSKO</v>
      </c>
      <c r="E754" s="42" t="str">
        <f>+IFERROR(IF(GUAYAQUIL[[#This Row],[CODIGO]]="","",VLOOKUP(GUAYAQUIL[[#This Row],[CODIGO]],MAESTRO!$A:$F,6,FALSE)),"")</f>
        <v>QUESO MOZARELLA PIZZA KIOSKO RALLADO</v>
      </c>
      <c r="F754" s="42" t="str">
        <f>IF(GUAYAQUIL[[#This Row],[CODIGO]]="","",$K$6)</f>
        <v>GUAYAQUIL</v>
      </c>
      <c r="G754" s="1">
        <f>IF(GUAYAQUIL[[#This Row],[CODIGO]]="","",7711)</f>
        <v>7711</v>
      </c>
      <c r="H754" s="1">
        <f>IF(GUAYAQUIL[[#This Row],[CODIGO]]="","",1001)</f>
        <v>1001</v>
      </c>
      <c r="I754" s="258" t="s">
        <v>1814</v>
      </c>
      <c r="J754" s="43" t="str">
        <f>IFERROR((VLOOKUP(GUAYAQUIL[[#This Row],[CODIGO]],MAESTRO!A:B,2,FALSE)),"")</f>
        <v>Q MOZAR PIZZ KIOSKO RALL BOL 300G</v>
      </c>
      <c r="K754" s="35">
        <v>30</v>
      </c>
      <c r="L754" s="205">
        <f>+IFERROR(IF(GUAYAQUIL[[#This Row],[CODIGO]]="","",VLOOKUP(GUAYAQUIL[[#This Row],[CODIGO]],MAESTRO!$A:$BF,58,FALSE)),"")</f>
        <v>1</v>
      </c>
      <c r="M754" s="27">
        <f>+IFERROR(IF(GUAYAQUIL[[#This Row],[CODIGO]]="","",VLOOKUP(GUAYAQUIL[[#This Row],[CODIGO]],MAESTRO!A:N,14,FALSE)),"")</f>
        <v>0.3</v>
      </c>
      <c r="N754" s="206">
        <f>+IFERROR(IF(GUAYAQUIL[[#This Row],[CODIGO]]="","",VLOOKUP(GUAYAQUIL[[#This Row],[CODIGO]],MAESTRO!A:P,16,FALSE)),"")</f>
        <v>30</v>
      </c>
      <c r="O754" s="303">
        <v>45617</v>
      </c>
      <c r="P754" s="99" t="str">
        <f t="shared" si="61"/>
        <v>jueves</v>
      </c>
      <c r="Q754" s="304">
        <f>IFERROR(IF(GUAYAQUIL[[#This Row],[CODIGO]]="","",IF(GUAYAQUIL[[#This Row],[Fecha Cad]]="","",(GUAYAQUIL[[#This Row],[Fecha Cad]]-GUAYAQUIL[[#This Row],[VIDA UTIL (Días)]]))+1),"")</f>
        <v>45615</v>
      </c>
      <c r="R754" s="303">
        <v>45644</v>
      </c>
      <c r="S754" s="30">
        <f t="shared" ca="1" si="62"/>
        <v>20</v>
      </c>
      <c r="T754" s="279">
        <f t="shared" ca="1" si="63"/>
        <v>0.66666666666666663</v>
      </c>
      <c r="U754" s="288">
        <v>30</v>
      </c>
      <c r="V754" s="265">
        <f>+IFERROR(IF(GUAYAQUIL[[#This Row],[CODIGO]]="","",GUAYAQUIL[[#This Row],[Stock Actual Unds]]*GUAYAQUIL[[#This Row],[Gramaje]]*GUAYAQUIL[[#This Row],[Conversión]]),"")</f>
        <v>9</v>
      </c>
      <c r="W754" s="280">
        <f t="shared" si="64"/>
        <v>2</v>
      </c>
      <c r="X754" s="44">
        <f t="shared" si="65"/>
        <v>0.93333333333333335</v>
      </c>
      <c r="Y754" s="236">
        <f>IFERROR(VLOOKUP(GUAYAQUIL[[#This Row],[CODIGO]],MAESTRO!A:BI,21,FALSE),0)</f>
        <v>2.0200649999999998</v>
      </c>
      <c r="Z754" s="236">
        <f>+IFERROR(IF(GUAYAQUIL[[#This Row],[CODIGO]]="","",GUAYAQUIL[[#This Row],[COSTO UNIT base]]*GUAYAQUIL[[#This Row],[Conversión]]),"")</f>
        <v>2.0200649999999998</v>
      </c>
      <c r="AA754" s="236">
        <f>+IFERROR(IF(GUAYAQUIL[[#This Row],[CODIGO]]="","",GUAYAQUIL[[#This Row],[COSTO UNIT Conv]]*GUAYAQUIL[[#This Row],[Stock Actual Kgs]]),"")</f>
        <v>18.180584999999997</v>
      </c>
      <c r="AB754" s="180">
        <f ca="1">+IFERROR(IF(GUAYAQUIL[[#This Row],[CODIGO]]="","",$J$3-O754),"")</f>
        <v>7</v>
      </c>
      <c r="AC754" s="35" t="str">
        <f ca="1">IF(GUAYAQUIL[[#This Row],[CODIGO]]="","",IF(S754&lt;=0,"CADUCADO",IF(AND(S754&gt;0,S754&lt;=21),"FECHA CORTA",IF(AND(S754&gt;=22,S754&lt;=26),"PROXIMOS FECHA CORTA", "VIGENTE"))))</f>
        <v>FECHA CORTA</v>
      </c>
      <c r="AD754" s="289">
        <f>+IF(GUAYAQUIL[[#This Row],[CODIGO]]="","",GUAYAQUIL[[#This Row],[Stock Actual Unds]]*GUAYAQUIL[[#This Row],[Gramaje]]*GUAYAQUIL[[#This Row],[Conversión]])/1000</f>
        <v>8.9999999999999993E-3</v>
      </c>
    </row>
    <row r="755" spans="1:30">
      <c r="A755" s="42" t="str">
        <f>+IFERROR(IF(GUAYAQUIL[[#This Row],[CODIGO]]="","",VLOOKUP(GUAYAQUIL[[#This Row],[CODIGO]],MAESTRO!$A:$J,10,FALSE)),"")</f>
        <v>COLOMBIA</v>
      </c>
      <c r="B755" s="42" t="str">
        <f>+IFERROR(IF(GUAYAQUIL[[#This Row],[CODIGO]]="","",VLOOKUP(GUAYAQUIL[[#This Row],[CODIGO]],MAESTRO!$A:$Q,17,FALSE)),"")</f>
        <v>POSTRES</v>
      </c>
      <c r="C755" s="42" t="str">
        <f>+IFERROR(IF(GUAYAQUIL[[#This Row],[CODIGO]]="","",VLOOKUP(GUAYAQUIL[[#This Row],[CODIGO]],MAESTRO!$A:$BA,53,FALSE)),"")</f>
        <v xml:space="preserve">Luis Armendariz                         </v>
      </c>
      <c r="D755" s="42" t="str">
        <f>+IFERROR(IF(GUAYAQUIL[[#This Row],[CODIGO]]="","",VLOOKUP(GUAYAQUIL[[#This Row],[CODIGO]],MAESTRO!$A:$D,4,FALSE)),"")</f>
        <v>ALPINETTE</v>
      </c>
      <c r="E755" s="42" t="str">
        <f>+IFERROR(IF(GUAYAQUIL[[#This Row],[CODIGO]]="","",VLOOKUP(GUAYAQUIL[[#This Row],[CODIGO]],MAESTRO!$A:$F,6,FALSE)),"")</f>
        <v>ALPINETTE</v>
      </c>
      <c r="F755" s="42" t="str">
        <f>IF(GUAYAQUIL[[#This Row],[CODIGO]]="","",$K$6)</f>
        <v>GUAYAQUIL</v>
      </c>
      <c r="G755" s="1">
        <f>IF(GUAYAQUIL[[#This Row],[CODIGO]]="","",7711)</f>
        <v>7711</v>
      </c>
      <c r="H755" s="1">
        <f>IF(GUAYAQUIL[[#This Row],[CODIGO]]="","",1001)</f>
        <v>1001</v>
      </c>
      <c r="I755" s="258" t="s">
        <v>1130</v>
      </c>
      <c r="J755" s="43" t="str">
        <f>IFERROR((VLOOKUP(GUAYAQUIL[[#This Row],[CODIGO]],MAESTRO!A:B,2,FALSE)),"")</f>
        <v>ALPINETTE CEREZA 140G ECU</v>
      </c>
      <c r="K755" s="35">
        <v>750</v>
      </c>
      <c r="L755" s="205">
        <f>+IFERROR(IF(GUAYAQUIL[[#This Row],[CODIGO]]="","",VLOOKUP(GUAYAQUIL[[#This Row],[CODIGO]],MAESTRO!$A:$BF,58,FALSE)),"")</f>
        <v>1</v>
      </c>
      <c r="M755" s="27">
        <f>+IFERROR(IF(GUAYAQUIL[[#This Row],[CODIGO]]="","",VLOOKUP(GUAYAQUIL[[#This Row],[CODIGO]],MAESTRO!A:N,14,FALSE)),"")</f>
        <v>0.14000000000000001</v>
      </c>
      <c r="N755" s="206">
        <f>+IFERROR(IF(GUAYAQUIL[[#This Row],[CODIGO]]="","",VLOOKUP(GUAYAQUIL[[#This Row],[CODIGO]],MAESTRO!A:P,16,FALSE)),"")</f>
        <v>60</v>
      </c>
      <c r="O755" s="303">
        <v>45608</v>
      </c>
      <c r="P755" s="99" t="str">
        <f t="shared" si="61"/>
        <v>martes</v>
      </c>
      <c r="Q755" s="304">
        <f>IFERROR(IF(GUAYAQUIL[[#This Row],[CODIGO]]="","",IF(GUAYAQUIL[[#This Row],[Fecha Cad]]="","",(GUAYAQUIL[[#This Row],[Fecha Cad]]-GUAYAQUIL[[#This Row],[VIDA UTIL (Días)]]))+1),"")</f>
        <v>45590</v>
      </c>
      <c r="R755" s="303">
        <v>45649</v>
      </c>
      <c r="S755" s="30">
        <f t="shared" ca="1" si="62"/>
        <v>25</v>
      </c>
      <c r="T755" s="279">
        <f t="shared" ca="1" si="63"/>
        <v>0.41666666666666669</v>
      </c>
      <c r="U755" s="288">
        <v>15</v>
      </c>
      <c r="V755" s="265">
        <f>+IFERROR(IF(GUAYAQUIL[[#This Row],[CODIGO]]="","",GUAYAQUIL[[#This Row],[Stock Actual Unds]]*GUAYAQUIL[[#This Row],[Gramaje]]*GUAYAQUIL[[#This Row],[Conversión]]),"")</f>
        <v>2.1</v>
      </c>
      <c r="W755" s="280">
        <f t="shared" si="64"/>
        <v>18</v>
      </c>
      <c r="X755" s="44">
        <f t="shared" si="65"/>
        <v>0.7</v>
      </c>
      <c r="Y755" s="236">
        <f>IFERROR(VLOOKUP(GUAYAQUIL[[#This Row],[CODIGO]],MAESTRO!A:BI,21,FALSE),0)</f>
        <v>0.48814500000000005</v>
      </c>
      <c r="Z755" s="236">
        <f>+IFERROR(IF(GUAYAQUIL[[#This Row],[CODIGO]]="","",GUAYAQUIL[[#This Row],[COSTO UNIT base]]*GUAYAQUIL[[#This Row],[Conversión]]),"")</f>
        <v>0.48814500000000005</v>
      </c>
      <c r="AA755" s="236">
        <f>+IFERROR(IF(GUAYAQUIL[[#This Row],[CODIGO]]="","",GUAYAQUIL[[#This Row],[COSTO UNIT Conv]]*GUAYAQUIL[[#This Row],[Stock Actual Kgs]]),"")</f>
        <v>1.0251045000000001</v>
      </c>
      <c r="AB755" s="180">
        <f ca="1">+IFERROR(IF(GUAYAQUIL[[#This Row],[CODIGO]]="","",$J$3-O755),"")</f>
        <v>16</v>
      </c>
      <c r="AC755" s="35" t="str">
        <f ca="1">IF(GUAYAQUIL[[#This Row],[CODIGO]]="","",IF(S755&lt;=0,"CADUCADO",IF(AND(S755&gt;0,S755&lt;=21),"FECHA CORTA",IF(AND(S755&gt;=22,S755&lt;=26),"PROXIMOS FECHA CORTA", "VIGENTE"))))</f>
        <v>PROXIMOS FECHA CORTA</v>
      </c>
      <c r="AD755" s="289">
        <f>+IF(GUAYAQUIL[[#This Row],[CODIGO]]="","",GUAYAQUIL[[#This Row],[Stock Actual Unds]]*GUAYAQUIL[[#This Row],[Gramaje]]*GUAYAQUIL[[#This Row],[Conversión]])/1000</f>
        <v>2.1000000000000003E-3</v>
      </c>
    </row>
    <row r="756" spans="1:30">
      <c r="A756" s="42" t="str">
        <f>+IFERROR(IF(GUAYAQUIL[[#This Row],[CODIGO]]="","",VLOOKUP(GUAYAQUIL[[#This Row],[CODIGO]],MAESTRO!$A:$J,10,FALSE)),"")</f>
        <v/>
      </c>
      <c r="B756" s="42" t="str">
        <f>+IFERROR(IF(GUAYAQUIL[[#This Row],[CODIGO]]="","",VLOOKUP(GUAYAQUIL[[#This Row],[CODIGO]],MAESTRO!$A:$Q,17,FALSE)),"")</f>
        <v/>
      </c>
      <c r="C756" s="42" t="str">
        <f>+IFERROR(IF(GUAYAQUIL[[#This Row],[CODIGO]]="","",VLOOKUP(GUAYAQUIL[[#This Row],[CODIGO]],MAESTRO!$A:$BA,53,FALSE)),"")</f>
        <v/>
      </c>
      <c r="D756" s="42" t="str">
        <f>+IFERROR(IF(GUAYAQUIL[[#This Row],[CODIGO]]="","",VLOOKUP(GUAYAQUIL[[#This Row],[CODIGO]],MAESTRO!$A:$D,4,FALSE)),"")</f>
        <v/>
      </c>
      <c r="E756" s="42" t="str">
        <f>+IFERROR(IF(GUAYAQUIL[[#This Row],[CODIGO]]="","",VLOOKUP(GUAYAQUIL[[#This Row],[CODIGO]],MAESTRO!$A:$F,6,FALSE)),"")</f>
        <v/>
      </c>
      <c r="F756" s="42" t="str">
        <f>IF(GUAYAQUIL[[#This Row],[CODIGO]]="","",$K$6)</f>
        <v/>
      </c>
      <c r="G756" s="1" t="str">
        <f>IF(GUAYAQUIL[[#This Row],[CODIGO]]="","",7711)</f>
        <v/>
      </c>
      <c r="H756" s="1" t="str">
        <f>IF(GUAYAQUIL[[#This Row],[CODIGO]]="","",1001)</f>
        <v/>
      </c>
      <c r="I756" s="258"/>
      <c r="J756" s="43" t="str">
        <f>IFERROR((VLOOKUP(GUAYAQUIL[[#This Row],[CODIGO]],MAESTRO!A:B,2,FALSE)),"")</f>
        <v/>
      </c>
      <c r="K756" s="35"/>
      <c r="L756" s="205" t="str">
        <f>+IFERROR(IF(GUAYAQUIL[[#This Row],[CODIGO]]="","",VLOOKUP(GUAYAQUIL[[#This Row],[CODIGO]],MAESTRO!$A:$BF,58,FALSE)),"")</f>
        <v/>
      </c>
      <c r="M756" s="27" t="str">
        <f>+IFERROR(IF(GUAYAQUIL[[#This Row],[CODIGO]]="","",VLOOKUP(GUAYAQUIL[[#This Row],[CODIGO]],MAESTRO!A:N,14,FALSE)),"")</f>
        <v/>
      </c>
      <c r="N756" s="206" t="str">
        <f>+IFERROR(IF(GUAYAQUIL[[#This Row],[CODIGO]]="","",VLOOKUP(GUAYAQUIL[[#This Row],[CODIGO]],MAESTRO!A:P,16,FALSE)),"")</f>
        <v/>
      </c>
      <c r="O756" s="303"/>
      <c r="P756" s="99" t="str">
        <f t="shared" si="61"/>
        <v/>
      </c>
      <c r="Q756" s="304" t="str">
        <f>IFERROR(IF(GUAYAQUIL[[#This Row],[CODIGO]]="","",IF(GUAYAQUIL[[#This Row],[Fecha Cad]]="","",(GUAYAQUIL[[#This Row],[Fecha Cad]]-GUAYAQUIL[[#This Row],[VIDA UTIL (Días)]]))+1),"")</f>
        <v/>
      </c>
      <c r="R756" s="303"/>
      <c r="S756" s="30" t="str">
        <f t="shared" si="62"/>
        <v/>
      </c>
      <c r="T756" s="279">
        <f t="shared" si="63"/>
        <v>0</v>
      </c>
      <c r="U756" s="288"/>
      <c r="V756" s="265" t="str">
        <f>+IFERROR(IF(GUAYAQUIL[[#This Row],[CODIGO]]="","",GUAYAQUIL[[#This Row],[Stock Actual Unds]]*GUAYAQUIL[[#This Row],[Gramaje]]*GUAYAQUIL[[#This Row],[Conversión]]),"")</f>
        <v/>
      </c>
      <c r="W756" s="280">
        <f t="shared" si="64"/>
        <v>0</v>
      </c>
      <c r="X756" s="44" t="str">
        <f t="shared" si="65"/>
        <v/>
      </c>
      <c r="Y756" s="236">
        <f>IFERROR(VLOOKUP(GUAYAQUIL[[#This Row],[CODIGO]],MAESTRO!A:BI,21,FALSE),0)</f>
        <v>0</v>
      </c>
      <c r="Z756" s="236" t="str">
        <f>+IFERROR(IF(GUAYAQUIL[[#This Row],[CODIGO]]="","",GUAYAQUIL[[#This Row],[COSTO UNIT base]]*GUAYAQUIL[[#This Row],[Conversión]]),"")</f>
        <v/>
      </c>
      <c r="AA756" s="236" t="str">
        <f>+IFERROR(IF(GUAYAQUIL[[#This Row],[CODIGO]]="","",GUAYAQUIL[[#This Row],[COSTO UNIT Conv]]*GUAYAQUIL[[#This Row],[Stock Actual Kgs]]),"")</f>
        <v/>
      </c>
      <c r="AB756" s="180" t="str">
        <f>+IFERROR(IF(GUAYAQUIL[[#This Row],[CODIGO]]="","",$J$3-O756),"")</f>
        <v/>
      </c>
      <c r="AC756" s="35" t="str">
        <f>IF(GUAYAQUIL[[#This Row],[CODIGO]]="","",IF(S756&lt;=0,"CADUCADO",IF(AND(S756&gt;0,S756&lt;=21),"FECHA CORTA",IF(AND(S756&gt;=22,S756&lt;=26),"PROXIMOS FECHA CORTA", "VIGENTE"))))</f>
        <v/>
      </c>
      <c r="AD756" s="289" t="e">
        <f>+IF(GUAYAQUIL[[#This Row],[CODIGO]]="","",GUAYAQUIL[[#This Row],[Stock Actual Unds]]*GUAYAQUIL[[#This Row],[Gramaje]]*GUAYAQUIL[[#This Row],[Conversión]])/1000</f>
        <v>#VALUE!</v>
      </c>
    </row>
    <row r="757" spans="1:30">
      <c r="A757" s="42" t="str">
        <f>+IFERROR(IF(GUAYAQUIL[[#This Row],[CODIGO]]="","",VLOOKUP(GUAYAQUIL[[#This Row],[CODIGO]],MAESTRO!$A:$J,10,FALSE)),"")</f>
        <v/>
      </c>
      <c r="B757" s="42" t="str">
        <f>+IFERROR(IF(GUAYAQUIL[[#This Row],[CODIGO]]="","",VLOOKUP(GUAYAQUIL[[#This Row],[CODIGO]],MAESTRO!$A:$Q,17,FALSE)),"")</f>
        <v/>
      </c>
      <c r="C757" s="42" t="str">
        <f>+IFERROR(IF(GUAYAQUIL[[#This Row],[CODIGO]]="","",VLOOKUP(GUAYAQUIL[[#This Row],[CODIGO]],MAESTRO!$A:$BA,53,FALSE)),"")</f>
        <v/>
      </c>
      <c r="D757" s="42" t="str">
        <f>+IFERROR(IF(GUAYAQUIL[[#This Row],[CODIGO]]="","",VLOOKUP(GUAYAQUIL[[#This Row],[CODIGO]],MAESTRO!$A:$D,4,FALSE)),"")</f>
        <v/>
      </c>
      <c r="E757" s="42" t="str">
        <f>+IFERROR(IF(GUAYAQUIL[[#This Row],[CODIGO]]="","",VLOOKUP(GUAYAQUIL[[#This Row],[CODIGO]],MAESTRO!$A:$F,6,FALSE)),"")</f>
        <v/>
      </c>
      <c r="F757" s="42" t="str">
        <f>IF(GUAYAQUIL[[#This Row],[CODIGO]]="","",$K$6)</f>
        <v/>
      </c>
      <c r="G757" s="1" t="str">
        <f>IF(GUAYAQUIL[[#This Row],[CODIGO]]="","",7711)</f>
        <v/>
      </c>
      <c r="H757" s="1" t="str">
        <f>IF(GUAYAQUIL[[#This Row],[CODIGO]]="","",1001)</f>
        <v/>
      </c>
      <c r="I757" s="258"/>
      <c r="J757" s="43" t="str">
        <f>IFERROR((VLOOKUP(GUAYAQUIL[[#This Row],[CODIGO]],MAESTRO!A:B,2,FALSE)),"")</f>
        <v/>
      </c>
      <c r="K757" s="35"/>
      <c r="L757" s="205" t="str">
        <f>+IFERROR(IF(GUAYAQUIL[[#This Row],[CODIGO]]="","",VLOOKUP(GUAYAQUIL[[#This Row],[CODIGO]],MAESTRO!$A:$BF,58,FALSE)),"")</f>
        <v/>
      </c>
      <c r="M757" s="27" t="str">
        <f>+IFERROR(IF(GUAYAQUIL[[#This Row],[CODIGO]]="","",VLOOKUP(GUAYAQUIL[[#This Row],[CODIGO]],MAESTRO!A:N,14,FALSE)),"")</f>
        <v/>
      </c>
      <c r="N757" s="206" t="str">
        <f>+IFERROR(IF(GUAYAQUIL[[#This Row],[CODIGO]]="","",VLOOKUP(GUAYAQUIL[[#This Row],[CODIGO]],MAESTRO!A:P,16,FALSE)),"")</f>
        <v/>
      </c>
      <c r="O757" s="303"/>
      <c r="P757" s="99" t="str">
        <f t="shared" si="61"/>
        <v/>
      </c>
      <c r="Q757" s="304" t="str">
        <f>IFERROR(IF(GUAYAQUIL[[#This Row],[CODIGO]]="","",IF(GUAYAQUIL[[#This Row],[Fecha Cad]]="","",(GUAYAQUIL[[#This Row],[Fecha Cad]]-GUAYAQUIL[[#This Row],[VIDA UTIL (Días)]]))+1),"")</f>
        <v/>
      </c>
      <c r="R757" s="303"/>
      <c r="S757" s="30" t="str">
        <f t="shared" si="62"/>
        <v/>
      </c>
      <c r="T757" s="279">
        <f t="shared" si="63"/>
        <v>0</v>
      </c>
      <c r="U757" s="288"/>
      <c r="V757" s="265" t="str">
        <f>+IFERROR(IF(GUAYAQUIL[[#This Row],[CODIGO]]="","",GUAYAQUIL[[#This Row],[Stock Actual Unds]]*GUAYAQUIL[[#This Row],[Gramaje]]*GUAYAQUIL[[#This Row],[Conversión]]),"")</f>
        <v/>
      </c>
      <c r="W757" s="280">
        <f t="shared" si="64"/>
        <v>0</v>
      </c>
      <c r="X757" s="44" t="str">
        <f t="shared" si="65"/>
        <v/>
      </c>
      <c r="Y757" s="236">
        <f>IFERROR(VLOOKUP(GUAYAQUIL[[#This Row],[CODIGO]],MAESTRO!A:BI,21,FALSE),0)</f>
        <v>0</v>
      </c>
      <c r="Z757" s="236" t="str">
        <f>+IFERROR(IF(GUAYAQUIL[[#This Row],[CODIGO]]="","",GUAYAQUIL[[#This Row],[COSTO UNIT base]]*GUAYAQUIL[[#This Row],[Conversión]]),"")</f>
        <v/>
      </c>
      <c r="AA757" s="236" t="str">
        <f>+IFERROR(IF(GUAYAQUIL[[#This Row],[CODIGO]]="","",GUAYAQUIL[[#This Row],[COSTO UNIT Conv]]*GUAYAQUIL[[#This Row],[Stock Actual Kgs]]),"")</f>
        <v/>
      </c>
      <c r="AB757" s="180" t="str">
        <f>+IFERROR(IF(GUAYAQUIL[[#This Row],[CODIGO]]="","",$J$3-O757),"")</f>
        <v/>
      </c>
      <c r="AC757" s="35" t="str">
        <f>IF(GUAYAQUIL[[#This Row],[CODIGO]]="","",IF(S757&lt;=0,"CADUCADO",IF(AND(S757&gt;0,S757&lt;=21),"FECHA CORTA",IF(AND(S757&gt;=22,S757&lt;=26),"PROXIMOS FECHA CORTA", "VIGENTE"))))</f>
        <v/>
      </c>
      <c r="AD757" s="289" t="e">
        <f>+IF(GUAYAQUIL[[#This Row],[CODIGO]]="","",GUAYAQUIL[[#This Row],[Stock Actual Unds]]*GUAYAQUIL[[#This Row],[Gramaje]]*GUAYAQUIL[[#This Row],[Conversión]])/1000</f>
        <v>#VALUE!</v>
      </c>
    </row>
    <row r="758" spans="1:30">
      <c r="A758" s="42" t="str">
        <f>+IFERROR(IF(GUAYAQUIL[[#This Row],[CODIGO]]="","",VLOOKUP(GUAYAQUIL[[#This Row],[CODIGO]],MAESTRO!$A:$J,10,FALSE)),"")</f>
        <v/>
      </c>
      <c r="B758" s="42" t="str">
        <f>+IFERROR(IF(GUAYAQUIL[[#This Row],[CODIGO]]="","",VLOOKUP(GUAYAQUIL[[#This Row],[CODIGO]],MAESTRO!$A:$Q,17,FALSE)),"")</f>
        <v/>
      </c>
      <c r="C758" s="42" t="str">
        <f>+IFERROR(IF(GUAYAQUIL[[#This Row],[CODIGO]]="","",VLOOKUP(GUAYAQUIL[[#This Row],[CODIGO]],MAESTRO!$A:$BA,53,FALSE)),"")</f>
        <v/>
      </c>
      <c r="D758" s="42" t="str">
        <f>+IFERROR(IF(GUAYAQUIL[[#This Row],[CODIGO]]="","",VLOOKUP(GUAYAQUIL[[#This Row],[CODIGO]],MAESTRO!$A:$D,4,FALSE)),"")</f>
        <v/>
      </c>
      <c r="E758" s="42" t="str">
        <f>+IFERROR(IF(GUAYAQUIL[[#This Row],[CODIGO]]="","",VLOOKUP(GUAYAQUIL[[#This Row],[CODIGO]],MAESTRO!$A:$F,6,FALSE)),"")</f>
        <v/>
      </c>
      <c r="F758" s="42" t="str">
        <f>IF(GUAYAQUIL[[#This Row],[CODIGO]]="","",$K$6)</f>
        <v/>
      </c>
      <c r="G758" s="1" t="str">
        <f>IF(GUAYAQUIL[[#This Row],[CODIGO]]="","",7711)</f>
        <v/>
      </c>
      <c r="H758" s="1" t="str">
        <f>IF(GUAYAQUIL[[#This Row],[CODIGO]]="","",1001)</f>
        <v/>
      </c>
      <c r="I758" s="258"/>
      <c r="J758" s="43" t="str">
        <f>IFERROR((VLOOKUP(GUAYAQUIL[[#This Row],[CODIGO]],MAESTRO!A:B,2,FALSE)),"")</f>
        <v/>
      </c>
      <c r="K758" s="35"/>
      <c r="L758" s="205" t="str">
        <f>+IFERROR(IF(GUAYAQUIL[[#This Row],[CODIGO]]="","",VLOOKUP(GUAYAQUIL[[#This Row],[CODIGO]],MAESTRO!$A:$BF,58,FALSE)),"")</f>
        <v/>
      </c>
      <c r="M758" s="27" t="str">
        <f>+IFERROR(IF(GUAYAQUIL[[#This Row],[CODIGO]]="","",VLOOKUP(GUAYAQUIL[[#This Row],[CODIGO]],MAESTRO!A:N,14,FALSE)),"")</f>
        <v/>
      </c>
      <c r="N758" s="206" t="str">
        <f>+IFERROR(IF(GUAYAQUIL[[#This Row],[CODIGO]]="","",VLOOKUP(GUAYAQUIL[[#This Row],[CODIGO]],MAESTRO!A:P,16,FALSE)),"")</f>
        <v/>
      </c>
      <c r="O758" s="303"/>
      <c r="P758" s="99" t="str">
        <f t="shared" si="61"/>
        <v/>
      </c>
      <c r="Q758" s="304" t="str">
        <f>IFERROR(IF(GUAYAQUIL[[#This Row],[CODIGO]]="","",IF(GUAYAQUIL[[#This Row],[Fecha Cad]]="","",(GUAYAQUIL[[#This Row],[Fecha Cad]]-GUAYAQUIL[[#This Row],[VIDA UTIL (Días)]]))+1),"")</f>
        <v/>
      </c>
      <c r="R758" s="303"/>
      <c r="S758" s="30" t="str">
        <f t="shared" si="62"/>
        <v/>
      </c>
      <c r="T758" s="279">
        <f t="shared" si="63"/>
        <v>0</v>
      </c>
      <c r="U758" s="288"/>
      <c r="V758" s="265" t="str">
        <f>+IFERROR(IF(GUAYAQUIL[[#This Row],[CODIGO]]="","",GUAYAQUIL[[#This Row],[Stock Actual Unds]]*GUAYAQUIL[[#This Row],[Gramaje]]*GUAYAQUIL[[#This Row],[Conversión]]),"")</f>
        <v/>
      </c>
      <c r="W758" s="280">
        <f t="shared" si="64"/>
        <v>0</v>
      </c>
      <c r="X758" s="44" t="str">
        <f t="shared" si="65"/>
        <v/>
      </c>
      <c r="Y758" s="236">
        <f>IFERROR(VLOOKUP(GUAYAQUIL[[#This Row],[CODIGO]],MAESTRO!A:BI,21,FALSE),0)</f>
        <v>0</v>
      </c>
      <c r="Z758" s="236" t="str">
        <f>+IFERROR(IF(GUAYAQUIL[[#This Row],[CODIGO]]="","",GUAYAQUIL[[#This Row],[COSTO UNIT base]]*GUAYAQUIL[[#This Row],[Conversión]]),"")</f>
        <v/>
      </c>
      <c r="AA758" s="236" t="str">
        <f>+IFERROR(IF(GUAYAQUIL[[#This Row],[CODIGO]]="","",GUAYAQUIL[[#This Row],[COSTO UNIT Conv]]*GUAYAQUIL[[#This Row],[Stock Actual Kgs]]),"")</f>
        <v/>
      </c>
      <c r="AB758" s="180" t="str">
        <f>+IFERROR(IF(GUAYAQUIL[[#This Row],[CODIGO]]="","",$J$3-O758),"")</f>
        <v/>
      </c>
      <c r="AC758" s="35" t="str">
        <f>IF(GUAYAQUIL[[#This Row],[CODIGO]]="","",IF(S758&lt;=0,"CADUCADO",IF(AND(S758&gt;0,S758&lt;=21),"FECHA CORTA",IF(AND(S758&gt;=22,S758&lt;=26),"PROXIMOS FECHA CORTA", "VIGENTE"))))</f>
        <v/>
      </c>
      <c r="AD758" s="289" t="e">
        <f>+IF(GUAYAQUIL[[#This Row],[CODIGO]]="","",GUAYAQUIL[[#This Row],[Stock Actual Unds]]*GUAYAQUIL[[#This Row],[Gramaje]]*GUAYAQUIL[[#This Row],[Conversión]])/1000</f>
        <v>#VALUE!</v>
      </c>
    </row>
    <row r="759" spans="1:30">
      <c r="A759" s="42" t="str">
        <f>+IFERROR(IF(GUAYAQUIL[[#This Row],[CODIGO]]="","",VLOOKUP(GUAYAQUIL[[#This Row],[CODIGO]],MAESTRO!$A:$J,10,FALSE)),"")</f>
        <v/>
      </c>
      <c r="B759" s="42" t="str">
        <f>+IFERROR(IF(GUAYAQUIL[[#This Row],[CODIGO]]="","",VLOOKUP(GUAYAQUIL[[#This Row],[CODIGO]],MAESTRO!$A:$Q,17,FALSE)),"")</f>
        <v/>
      </c>
      <c r="C759" s="42" t="str">
        <f>+IFERROR(IF(GUAYAQUIL[[#This Row],[CODIGO]]="","",VLOOKUP(GUAYAQUIL[[#This Row],[CODIGO]],MAESTRO!$A:$BA,53,FALSE)),"")</f>
        <v/>
      </c>
      <c r="D759" s="42" t="str">
        <f>+IFERROR(IF(GUAYAQUIL[[#This Row],[CODIGO]]="","",VLOOKUP(GUAYAQUIL[[#This Row],[CODIGO]],MAESTRO!$A:$D,4,FALSE)),"")</f>
        <v/>
      </c>
      <c r="E759" s="42" t="str">
        <f>+IFERROR(IF(GUAYAQUIL[[#This Row],[CODIGO]]="","",VLOOKUP(GUAYAQUIL[[#This Row],[CODIGO]],MAESTRO!$A:$F,6,FALSE)),"")</f>
        <v/>
      </c>
      <c r="F759" s="42" t="str">
        <f>IF(GUAYAQUIL[[#This Row],[CODIGO]]="","",$K$6)</f>
        <v/>
      </c>
      <c r="G759" s="1" t="str">
        <f>IF(GUAYAQUIL[[#This Row],[CODIGO]]="","",7711)</f>
        <v/>
      </c>
      <c r="H759" s="1" t="str">
        <f>IF(GUAYAQUIL[[#This Row],[CODIGO]]="","",1001)</f>
        <v/>
      </c>
      <c r="I759" s="258"/>
      <c r="J759" s="43" t="str">
        <f>IFERROR((VLOOKUP(GUAYAQUIL[[#This Row],[CODIGO]],MAESTRO!A:B,2,FALSE)),"")</f>
        <v/>
      </c>
      <c r="K759" s="35"/>
      <c r="L759" s="205" t="str">
        <f>+IFERROR(IF(GUAYAQUIL[[#This Row],[CODIGO]]="","",VLOOKUP(GUAYAQUIL[[#This Row],[CODIGO]],MAESTRO!$A:$BF,58,FALSE)),"")</f>
        <v/>
      </c>
      <c r="M759" s="27" t="str">
        <f>+IFERROR(IF(GUAYAQUIL[[#This Row],[CODIGO]]="","",VLOOKUP(GUAYAQUIL[[#This Row],[CODIGO]],MAESTRO!A:N,14,FALSE)),"")</f>
        <v/>
      </c>
      <c r="N759" s="206" t="str">
        <f>+IFERROR(IF(GUAYAQUIL[[#This Row],[CODIGO]]="","",VLOOKUP(GUAYAQUIL[[#This Row],[CODIGO]],MAESTRO!A:P,16,FALSE)),"")</f>
        <v/>
      </c>
      <c r="O759" s="303"/>
      <c r="P759" s="99" t="str">
        <f t="shared" si="61"/>
        <v/>
      </c>
      <c r="Q759" s="304" t="str">
        <f>IFERROR(IF(GUAYAQUIL[[#This Row],[CODIGO]]="","",IF(GUAYAQUIL[[#This Row],[Fecha Cad]]="","",(GUAYAQUIL[[#This Row],[Fecha Cad]]-GUAYAQUIL[[#This Row],[VIDA UTIL (Días)]]))+1),"")</f>
        <v/>
      </c>
      <c r="R759" s="303"/>
      <c r="S759" s="30" t="str">
        <f t="shared" si="62"/>
        <v/>
      </c>
      <c r="T759" s="279">
        <f t="shared" si="63"/>
        <v>0</v>
      </c>
      <c r="U759" s="288"/>
      <c r="V759" s="265" t="str">
        <f>+IFERROR(IF(GUAYAQUIL[[#This Row],[CODIGO]]="","",GUAYAQUIL[[#This Row],[Stock Actual Unds]]*GUAYAQUIL[[#This Row],[Gramaje]]*GUAYAQUIL[[#This Row],[Conversión]]),"")</f>
        <v/>
      </c>
      <c r="W759" s="280">
        <f t="shared" si="64"/>
        <v>0</v>
      </c>
      <c r="X759" s="44" t="str">
        <f t="shared" si="65"/>
        <v/>
      </c>
      <c r="Y759" s="236">
        <f>IFERROR(VLOOKUP(GUAYAQUIL[[#This Row],[CODIGO]],MAESTRO!A:BI,21,FALSE),0)</f>
        <v>0</v>
      </c>
      <c r="Z759" s="236" t="str">
        <f>+IFERROR(IF(GUAYAQUIL[[#This Row],[CODIGO]]="","",GUAYAQUIL[[#This Row],[COSTO UNIT base]]*GUAYAQUIL[[#This Row],[Conversión]]),"")</f>
        <v/>
      </c>
      <c r="AA759" s="236" t="str">
        <f>+IFERROR(IF(GUAYAQUIL[[#This Row],[CODIGO]]="","",GUAYAQUIL[[#This Row],[COSTO UNIT Conv]]*GUAYAQUIL[[#This Row],[Stock Actual Kgs]]),"")</f>
        <v/>
      </c>
      <c r="AB759" s="180" t="str">
        <f>+IFERROR(IF(GUAYAQUIL[[#This Row],[CODIGO]]="","",$J$3-O759),"")</f>
        <v/>
      </c>
      <c r="AC759" s="35" t="str">
        <f>IF(GUAYAQUIL[[#This Row],[CODIGO]]="","",IF(S759&lt;=0,"CADUCADO",IF(AND(S759&gt;0,S759&lt;=21),"FECHA CORTA",IF(AND(S759&gt;=22,S759&lt;=26),"PROXIMOS FECHA CORTA", "VIGENTE"))))</f>
        <v/>
      </c>
      <c r="AD759" s="289" t="e">
        <f>+IF(GUAYAQUIL[[#This Row],[CODIGO]]="","",GUAYAQUIL[[#This Row],[Stock Actual Unds]]*GUAYAQUIL[[#This Row],[Gramaje]]*GUAYAQUIL[[#This Row],[Conversión]])/1000</f>
        <v>#VALUE!</v>
      </c>
    </row>
    <row r="760" spans="1:30">
      <c r="A760" s="42" t="str">
        <f>+IFERROR(IF(GUAYAQUIL[[#This Row],[CODIGO]]="","",VLOOKUP(GUAYAQUIL[[#This Row],[CODIGO]],MAESTRO!$A:$J,10,FALSE)),"")</f>
        <v/>
      </c>
      <c r="B760" s="42" t="str">
        <f>+IFERROR(IF(GUAYAQUIL[[#This Row],[CODIGO]]="","",VLOOKUP(GUAYAQUIL[[#This Row],[CODIGO]],MAESTRO!$A:$Q,17,FALSE)),"")</f>
        <v/>
      </c>
      <c r="C760" s="42" t="str">
        <f>+IFERROR(IF(GUAYAQUIL[[#This Row],[CODIGO]]="","",VLOOKUP(GUAYAQUIL[[#This Row],[CODIGO]],MAESTRO!$A:$BA,53,FALSE)),"")</f>
        <v/>
      </c>
      <c r="D760" s="42" t="str">
        <f>+IFERROR(IF(GUAYAQUIL[[#This Row],[CODIGO]]="","",VLOOKUP(GUAYAQUIL[[#This Row],[CODIGO]],MAESTRO!$A:$D,4,FALSE)),"")</f>
        <v/>
      </c>
      <c r="E760" s="42" t="str">
        <f>+IFERROR(IF(GUAYAQUIL[[#This Row],[CODIGO]]="","",VLOOKUP(GUAYAQUIL[[#This Row],[CODIGO]],MAESTRO!$A:$F,6,FALSE)),"")</f>
        <v/>
      </c>
      <c r="F760" s="42" t="str">
        <f>IF(GUAYAQUIL[[#This Row],[CODIGO]]="","",$K$6)</f>
        <v/>
      </c>
      <c r="G760" s="1" t="str">
        <f>IF(GUAYAQUIL[[#This Row],[CODIGO]]="","",7711)</f>
        <v/>
      </c>
      <c r="H760" s="1" t="str">
        <f>IF(GUAYAQUIL[[#This Row],[CODIGO]]="","",1001)</f>
        <v/>
      </c>
      <c r="I760" s="258"/>
      <c r="J760" s="43" t="str">
        <f>IFERROR((VLOOKUP(GUAYAQUIL[[#This Row],[CODIGO]],MAESTRO!A:B,2,FALSE)),"")</f>
        <v/>
      </c>
      <c r="K760" s="35"/>
      <c r="L760" s="205" t="str">
        <f>+IFERROR(IF(GUAYAQUIL[[#This Row],[CODIGO]]="","",VLOOKUP(GUAYAQUIL[[#This Row],[CODIGO]],MAESTRO!$A:$BF,58,FALSE)),"")</f>
        <v/>
      </c>
      <c r="M760" s="27" t="str">
        <f>+IFERROR(IF(GUAYAQUIL[[#This Row],[CODIGO]]="","",VLOOKUP(GUAYAQUIL[[#This Row],[CODIGO]],MAESTRO!A:N,14,FALSE)),"")</f>
        <v/>
      </c>
      <c r="N760" s="206" t="str">
        <f>+IFERROR(IF(GUAYAQUIL[[#This Row],[CODIGO]]="","",VLOOKUP(GUAYAQUIL[[#This Row],[CODIGO]],MAESTRO!A:P,16,FALSE)),"")</f>
        <v/>
      </c>
      <c r="O760" s="303"/>
      <c r="P760" s="99" t="str">
        <f t="shared" si="61"/>
        <v/>
      </c>
      <c r="Q760" s="304" t="str">
        <f>IFERROR(IF(GUAYAQUIL[[#This Row],[CODIGO]]="","",IF(GUAYAQUIL[[#This Row],[Fecha Cad]]="","",(GUAYAQUIL[[#This Row],[Fecha Cad]]-GUAYAQUIL[[#This Row],[VIDA UTIL (Días)]]))+1),"")</f>
        <v/>
      </c>
      <c r="R760" s="303"/>
      <c r="S760" s="30" t="str">
        <f t="shared" si="62"/>
        <v/>
      </c>
      <c r="T760" s="279">
        <f t="shared" si="63"/>
        <v>0</v>
      </c>
      <c r="U760" s="288"/>
      <c r="V760" s="265" t="str">
        <f>+IFERROR(IF(GUAYAQUIL[[#This Row],[CODIGO]]="","",GUAYAQUIL[[#This Row],[Stock Actual Unds]]*GUAYAQUIL[[#This Row],[Gramaje]]*GUAYAQUIL[[#This Row],[Conversión]]),"")</f>
        <v/>
      </c>
      <c r="W760" s="280">
        <f t="shared" si="64"/>
        <v>0</v>
      </c>
      <c r="X760" s="44" t="str">
        <f t="shared" si="65"/>
        <v/>
      </c>
      <c r="Y760" s="236">
        <f>IFERROR(VLOOKUP(GUAYAQUIL[[#This Row],[CODIGO]],MAESTRO!A:BI,21,FALSE),0)</f>
        <v>0</v>
      </c>
      <c r="Z760" s="236" t="str">
        <f>+IFERROR(IF(GUAYAQUIL[[#This Row],[CODIGO]]="","",GUAYAQUIL[[#This Row],[COSTO UNIT base]]*GUAYAQUIL[[#This Row],[Conversión]]),"")</f>
        <v/>
      </c>
      <c r="AA760" s="236" t="str">
        <f>+IFERROR(IF(GUAYAQUIL[[#This Row],[CODIGO]]="","",GUAYAQUIL[[#This Row],[COSTO UNIT Conv]]*GUAYAQUIL[[#This Row],[Stock Actual Kgs]]),"")</f>
        <v/>
      </c>
      <c r="AB760" s="180" t="str">
        <f>+IFERROR(IF(GUAYAQUIL[[#This Row],[CODIGO]]="","",$J$3-O760),"")</f>
        <v/>
      </c>
      <c r="AC760" s="35" t="str">
        <f>IF(GUAYAQUIL[[#This Row],[CODIGO]]="","",IF(S760&lt;=0,"CADUCADO",IF(AND(S760&gt;0,S760&lt;=21),"FECHA CORTA",IF(AND(S760&gt;=22,S760&lt;=26),"PROXIMOS FECHA CORTA", "VIGENTE"))))</f>
        <v/>
      </c>
      <c r="AD760" s="289" t="e">
        <f>+IF(GUAYAQUIL[[#This Row],[CODIGO]]="","",GUAYAQUIL[[#This Row],[Stock Actual Unds]]*GUAYAQUIL[[#This Row],[Gramaje]]*GUAYAQUIL[[#This Row],[Conversión]])/1000</f>
        <v>#VALUE!</v>
      </c>
    </row>
    <row r="761" spans="1:30">
      <c r="A761" s="42" t="str">
        <f>+IFERROR(IF(GUAYAQUIL[[#This Row],[CODIGO]]="","",VLOOKUP(GUAYAQUIL[[#This Row],[CODIGO]],MAESTRO!$A:$J,10,FALSE)),"")</f>
        <v/>
      </c>
      <c r="B761" s="42" t="str">
        <f>+IFERROR(IF(GUAYAQUIL[[#This Row],[CODIGO]]="","",VLOOKUP(GUAYAQUIL[[#This Row],[CODIGO]],MAESTRO!$A:$Q,17,FALSE)),"")</f>
        <v/>
      </c>
      <c r="C761" s="42" t="str">
        <f>+IFERROR(IF(GUAYAQUIL[[#This Row],[CODIGO]]="","",VLOOKUP(GUAYAQUIL[[#This Row],[CODIGO]],MAESTRO!$A:$BA,53,FALSE)),"")</f>
        <v/>
      </c>
      <c r="D761" s="42" t="str">
        <f>+IFERROR(IF(GUAYAQUIL[[#This Row],[CODIGO]]="","",VLOOKUP(GUAYAQUIL[[#This Row],[CODIGO]],MAESTRO!$A:$D,4,FALSE)),"")</f>
        <v/>
      </c>
      <c r="E761" s="42" t="str">
        <f>+IFERROR(IF(GUAYAQUIL[[#This Row],[CODIGO]]="","",VLOOKUP(GUAYAQUIL[[#This Row],[CODIGO]],MAESTRO!$A:$F,6,FALSE)),"")</f>
        <v/>
      </c>
      <c r="F761" s="42" t="str">
        <f>IF(GUAYAQUIL[[#This Row],[CODIGO]]="","",$K$6)</f>
        <v/>
      </c>
      <c r="G761" s="1" t="str">
        <f>IF(GUAYAQUIL[[#This Row],[CODIGO]]="","",7711)</f>
        <v/>
      </c>
      <c r="H761" s="1" t="str">
        <f>IF(GUAYAQUIL[[#This Row],[CODIGO]]="","",1001)</f>
        <v/>
      </c>
      <c r="I761" s="258"/>
      <c r="J761" s="43" t="str">
        <f>IFERROR((VLOOKUP(GUAYAQUIL[[#This Row],[CODIGO]],MAESTRO!A:B,2,FALSE)),"")</f>
        <v/>
      </c>
      <c r="K761" s="35"/>
      <c r="L761" s="205" t="str">
        <f>+IFERROR(IF(GUAYAQUIL[[#This Row],[CODIGO]]="","",VLOOKUP(GUAYAQUIL[[#This Row],[CODIGO]],MAESTRO!$A:$BF,58,FALSE)),"")</f>
        <v/>
      </c>
      <c r="M761" s="27" t="str">
        <f>+IFERROR(IF(GUAYAQUIL[[#This Row],[CODIGO]]="","",VLOOKUP(GUAYAQUIL[[#This Row],[CODIGO]],MAESTRO!A:N,14,FALSE)),"")</f>
        <v/>
      </c>
      <c r="N761" s="206" t="str">
        <f>+IFERROR(IF(GUAYAQUIL[[#This Row],[CODIGO]]="","",VLOOKUP(GUAYAQUIL[[#This Row],[CODIGO]],MAESTRO!A:P,16,FALSE)),"")</f>
        <v/>
      </c>
      <c r="O761" s="303"/>
      <c r="P761" s="99" t="str">
        <f t="shared" si="61"/>
        <v/>
      </c>
      <c r="Q761" s="304" t="str">
        <f>IFERROR(IF(GUAYAQUIL[[#This Row],[CODIGO]]="","",IF(GUAYAQUIL[[#This Row],[Fecha Cad]]="","",(GUAYAQUIL[[#This Row],[Fecha Cad]]-GUAYAQUIL[[#This Row],[VIDA UTIL (Días)]]))+1),"")</f>
        <v/>
      </c>
      <c r="R761" s="303"/>
      <c r="S761" s="30" t="str">
        <f t="shared" si="62"/>
        <v/>
      </c>
      <c r="T761" s="279">
        <f t="shared" si="63"/>
        <v>0</v>
      </c>
      <c r="U761" s="288"/>
      <c r="V761" s="265" t="str">
        <f>+IFERROR(IF(GUAYAQUIL[[#This Row],[CODIGO]]="","",GUAYAQUIL[[#This Row],[Stock Actual Unds]]*GUAYAQUIL[[#This Row],[Gramaje]]*GUAYAQUIL[[#This Row],[Conversión]]),"")</f>
        <v/>
      </c>
      <c r="W761" s="280">
        <f t="shared" si="64"/>
        <v>0</v>
      </c>
      <c r="X761" s="44" t="str">
        <f t="shared" si="65"/>
        <v/>
      </c>
      <c r="Y761" s="236">
        <f>IFERROR(VLOOKUP(GUAYAQUIL[[#This Row],[CODIGO]],MAESTRO!A:BI,21,FALSE),0)</f>
        <v>0</v>
      </c>
      <c r="Z761" s="236" t="str">
        <f>+IFERROR(IF(GUAYAQUIL[[#This Row],[CODIGO]]="","",GUAYAQUIL[[#This Row],[COSTO UNIT base]]*GUAYAQUIL[[#This Row],[Conversión]]),"")</f>
        <v/>
      </c>
      <c r="AA761" s="236" t="str">
        <f>+IFERROR(IF(GUAYAQUIL[[#This Row],[CODIGO]]="","",GUAYAQUIL[[#This Row],[COSTO UNIT Conv]]*GUAYAQUIL[[#This Row],[Stock Actual Kgs]]),"")</f>
        <v/>
      </c>
      <c r="AB761" s="180" t="str">
        <f>+IFERROR(IF(GUAYAQUIL[[#This Row],[CODIGO]]="","",$J$3-O761),"")</f>
        <v/>
      </c>
      <c r="AC761" s="35" t="str">
        <f>IF(GUAYAQUIL[[#This Row],[CODIGO]]="","",IF(S761&lt;=0,"CADUCADO",IF(AND(S761&gt;0,S761&lt;=21),"FECHA CORTA",IF(AND(S761&gt;=22,S761&lt;=26),"PROXIMOS FECHA CORTA", "VIGENTE"))))</f>
        <v/>
      </c>
      <c r="AD761" s="289" t="e">
        <f>+IF(GUAYAQUIL[[#This Row],[CODIGO]]="","",GUAYAQUIL[[#This Row],[Stock Actual Unds]]*GUAYAQUIL[[#This Row],[Gramaje]]*GUAYAQUIL[[#This Row],[Conversión]])/1000</f>
        <v>#VALUE!</v>
      </c>
    </row>
    <row r="762" spans="1:30">
      <c r="A762" s="42" t="str">
        <f>+IFERROR(IF(GUAYAQUIL[[#This Row],[CODIGO]]="","",VLOOKUP(GUAYAQUIL[[#This Row],[CODIGO]],MAESTRO!$A:$J,10,FALSE)),"")</f>
        <v/>
      </c>
      <c r="B762" s="42" t="str">
        <f>+IFERROR(IF(GUAYAQUIL[[#This Row],[CODIGO]]="","",VLOOKUP(GUAYAQUIL[[#This Row],[CODIGO]],MAESTRO!$A:$Q,17,FALSE)),"")</f>
        <v/>
      </c>
      <c r="C762" s="42" t="str">
        <f>+IFERROR(IF(GUAYAQUIL[[#This Row],[CODIGO]]="","",VLOOKUP(GUAYAQUIL[[#This Row],[CODIGO]],MAESTRO!$A:$BA,53,FALSE)),"")</f>
        <v/>
      </c>
      <c r="D762" s="42" t="str">
        <f>+IFERROR(IF(GUAYAQUIL[[#This Row],[CODIGO]]="","",VLOOKUP(GUAYAQUIL[[#This Row],[CODIGO]],MAESTRO!$A:$D,4,FALSE)),"")</f>
        <v/>
      </c>
      <c r="E762" s="42" t="str">
        <f>+IFERROR(IF(GUAYAQUIL[[#This Row],[CODIGO]]="","",VLOOKUP(GUAYAQUIL[[#This Row],[CODIGO]],MAESTRO!$A:$F,6,FALSE)),"")</f>
        <v/>
      </c>
      <c r="F762" s="42" t="str">
        <f>IF(GUAYAQUIL[[#This Row],[CODIGO]]="","",$K$6)</f>
        <v/>
      </c>
      <c r="G762" s="1" t="str">
        <f>IF(GUAYAQUIL[[#This Row],[CODIGO]]="","",7711)</f>
        <v/>
      </c>
      <c r="H762" s="1" t="str">
        <f>IF(GUAYAQUIL[[#This Row],[CODIGO]]="","",1001)</f>
        <v/>
      </c>
      <c r="I762" s="258"/>
      <c r="J762" s="43" t="str">
        <f>IFERROR((VLOOKUP(GUAYAQUIL[[#This Row],[CODIGO]],MAESTRO!A:B,2,FALSE)),"")</f>
        <v/>
      </c>
      <c r="K762" s="35"/>
      <c r="L762" s="205" t="str">
        <f>+IFERROR(IF(GUAYAQUIL[[#This Row],[CODIGO]]="","",VLOOKUP(GUAYAQUIL[[#This Row],[CODIGO]],MAESTRO!$A:$BF,58,FALSE)),"")</f>
        <v/>
      </c>
      <c r="M762" s="27" t="str">
        <f>+IFERROR(IF(GUAYAQUIL[[#This Row],[CODIGO]]="","",VLOOKUP(GUAYAQUIL[[#This Row],[CODIGO]],MAESTRO!A:N,14,FALSE)),"")</f>
        <v/>
      </c>
      <c r="N762" s="206" t="str">
        <f>+IFERROR(IF(GUAYAQUIL[[#This Row],[CODIGO]]="","",VLOOKUP(GUAYAQUIL[[#This Row],[CODIGO]],MAESTRO!A:P,16,FALSE)),"")</f>
        <v/>
      </c>
      <c r="O762" s="303"/>
      <c r="P762" s="99" t="str">
        <f t="shared" si="61"/>
        <v/>
      </c>
      <c r="Q762" s="304" t="str">
        <f>IFERROR(IF(GUAYAQUIL[[#This Row],[CODIGO]]="","",IF(GUAYAQUIL[[#This Row],[Fecha Cad]]="","",(GUAYAQUIL[[#This Row],[Fecha Cad]]-GUAYAQUIL[[#This Row],[VIDA UTIL (Días)]]))+1),"")</f>
        <v/>
      </c>
      <c r="R762" s="303"/>
      <c r="S762" s="30" t="str">
        <f t="shared" si="62"/>
        <v/>
      </c>
      <c r="T762" s="279">
        <f t="shared" si="63"/>
        <v>0</v>
      </c>
      <c r="U762" s="288"/>
      <c r="V762" s="265" t="str">
        <f>+IFERROR(IF(GUAYAQUIL[[#This Row],[CODIGO]]="","",GUAYAQUIL[[#This Row],[Stock Actual Unds]]*GUAYAQUIL[[#This Row],[Gramaje]]*GUAYAQUIL[[#This Row],[Conversión]]),"")</f>
        <v/>
      </c>
      <c r="W762" s="280">
        <f t="shared" si="64"/>
        <v>0</v>
      </c>
      <c r="X762" s="44" t="str">
        <f t="shared" si="65"/>
        <v/>
      </c>
      <c r="Y762" s="236">
        <f>IFERROR(VLOOKUP(GUAYAQUIL[[#This Row],[CODIGO]],MAESTRO!A:BI,21,FALSE),0)</f>
        <v>0</v>
      </c>
      <c r="Z762" s="236" t="str">
        <f>+IFERROR(IF(GUAYAQUIL[[#This Row],[CODIGO]]="","",GUAYAQUIL[[#This Row],[COSTO UNIT base]]*GUAYAQUIL[[#This Row],[Conversión]]),"")</f>
        <v/>
      </c>
      <c r="AA762" s="236" t="str">
        <f>+IFERROR(IF(GUAYAQUIL[[#This Row],[CODIGO]]="","",GUAYAQUIL[[#This Row],[COSTO UNIT Conv]]*GUAYAQUIL[[#This Row],[Stock Actual Kgs]]),"")</f>
        <v/>
      </c>
      <c r="AB762" s="180" t="str">
        <f>+IFERROR(IF(GUAYAQUIL[[#This Row],[CODIGO]]="","",$J$3-O762),"")</f>
        <v/>
      </c>
      <c r="AC762" s="35" t="str">
        <f>IF(GUAYAQUIL[[#This Row],[CODIGO]]="","",IF(S762&lt;=0,"CADUCADO",IF(AND(S762&gt;0,S762&lt;=21),"FECHA CORTA",IF(AND(S762&gt;=22,S762&lt;=26),"PROXIMOS FECHA CORTA", "VIGENTE"))))</f>
        <v/>
      </c>
      <c r="AD762" s="289" t="e">
        <f>+IF(GUAYAQUIL[[#This Row],[CODIGO]]="","",GUAYAQUIL[[#This Row],[Stock Actual Unds]]*GUAYAQUIL[[#This Row],[Gramaje]]*GUAYAQUIL[[#This Row],[Conversión]])/1000</f>
        <v>#VALUE!</v>
      </c>
    </row>
    <row r="763" spans="1:30">
      <c r="A763" s="42" t="str">
        <f>+IFERROR(IF(GUAYAQUIL[[#This Row],[CODIGO]]="","",VLOOKUP(GUAYAQUIL[[#This Row],[CODIGO]],MAESTRO!$A:$J,10,FALSE)),"")</f>
        <v/>
      </c>
      <c r="B763" s="42" t="str">
        <f>+IFERROR(IF(GUAYAQUIL[[#This Row],[CODIGO]]="","",VLOOKUP(GUAYAQUIL[[#This Row],[CODIGO]],MAESTRO!$A:$Q,17,FALSE)),"")</f>
        <v/>
      </c>
      <c r="C763" s="42" t="str">
        <f>+IFERROR(IF(GUAYAQUIL[[#This Row],[CODIGO]]="","",VLOOKUP(GUAYAQUIL[[#This Row],[CODIGO]],MAESTRO!$A:$BA,53,FALSE)),"")</f>
        <v/>
      </c>
      <c r="D763" s="42" t="str">
        <f>+IFERROR(IF(GUAYAQUIL[[#This Row],[CODIGO]]="","",VLOOKUP(GUAYAQUIL[[#This Row],[CODIGO]],MAESTRO!$A:$D,4,FALSE)),"")</f>
        <v/>
      </c>
      <c r="E763" s="42" t="str">
        <f>+IFERROR(IF(GUAYAQUIL[[#This Row],[CODIGO]]="","",VLOOKUP(GUAYAQUIL[[#This Row],[CODIGO]],MAESTRO!$A:$F,6,FALSE)),"")</f>
        <v/>
      </c>
      <c r="F763" s="42" t="str">
        <f>IF(GUAYAQUIL[[#This Row],[CODIGO]]="","",$K$6)</f>
        <v/>
      </c>
      <c r="G763" s="1" t="str">
        <f>IF(GUAYAQUIL[[#This Row],[CODIGO]]="","",7711)</f>
        <v/>
      </c>
      <c r="H763" s="1" t="str">
        <f>IF(GUAYAQUIL[[#This Row],[CODIGO]]="","",1001)</f>
        <v/>
      </c>
      <c r="I763" s="258"/>
      <c r="J763" s="43" t="str">
        <f>IFERROR((VLOOKUP(GUAYAQUIL[[#This Row],[CODIGO]],MAESTRO!A:B,2,FALSE)),"")</f>
        <v/>
      </c>
      <c r="K763" s="35"/>
      <c r="L763" s="205" t="str">
        <f>+IFERROR(IF(GUAYAQUIL[[#This Row],[CODIGO]]="","",VLOOKUP(GUAYAQUIL[[#This Row],[CODIGO]],MAESTRO!$A:$BF,58,FALSE)),"")</f>
        <v/>
      </c>
      <c r="M763" s="27" t="str">
        <f>+IFERROR(IF(GUAYAQUIL[[#This Row],[CODIGO]]="","",VLOOKUP(GUAYAQUIL[[#This Row],[CODIGO]],MAESTRO!A:N,14,FALSE)),"")</f>
        <v/>
      </c>
      <c r="N763" s="206" t="str">
        <f>+IFERROR(IF(GUAYAQUIL[[#This Row],[CODIGO]]="","",VLOOKUP(GUAYAQUIL[[#This Row],[CODIGO]],MAESTRO!A:P,16,FALSE)),"")</f>
        <v/>
      </c>
      <c r="O763" s="303"/>
      <c r="P763" s="99" t="str">
        <f t="shared" si="61"/>
        <v/>
      </c>
      <c r="Q763" s="304" t="str">
        <f>IFERROR(IF(GUAYAQUIL[[#This Row],[CODIGO]]="","",IF(GUAYAQUIL[[#This Row],[Fecha Cad]]="","",(GUAYAQUIL[[#This Row],[Fecha Cad]]-GUAYAQUIL[[#This Row],[VIDA UTIL (Días)]]))+1),"")</f>
        <v/>
      </c>
      <c r="R763" s="303"/>
      <c r="S763" s="30" t="str">
        <f t="shared" si="62"/>
        <v/>
      </c>
      <c r="T763" s="279">
        <f t="shared" si="63"/>
        <v>0</v>
      </c>
      <c r="U763" s="288"/>
      <c r="V763" s="265" t="str">
        <f>+IFERROR(IF(GUAYAQUIL[[#This Row],[CODIGO]]="","",GUAYAQUIL[[#This Row],[Stock Actual Unds]]*GUAYAQUIL[[#This Row],[Gramaje]]*GUAYAQUIL[[#This Row],[Conversión]]),"")</f>
        <v/>
      </c>
      <c r="W763" s="280">
        <f t="shared" si="64"/>
        <v>0</v>
      </c>
      <c r="X763" s="44" t="str">
        <f t="shared" si="65"/>
        <v/>
      </c>
      <c r="Y763" s="236">
        <f>IFERROR(VLOOKUP(GUAYAQUIL[[#This Row],[CODIGO]],MAESTRO!A:BI,21,FALSE),0)</f>
        <v>0</v>
      </c>
      <c r="Z763" s="236" t="str">
        <f>+IFERROR(IF(GUAYAQUIL[[#This Row],[CODIGO]]="","",GUAYAQUIL[[#This Row],[COSTO UNIT base]]*GUAYAQUIL[[#This Row],[Conversión]]),"")</f>
        <v/>
      </c>
      <c r="AA763" s="236" t="str">
        <f>+IFERROR(IF(GUAYAQUIL[[#This Row],[CODIGO]]="","",GUAYAQUIL[[#This Row],[COSTO UNIT Conv]]*GUAYAQUIL[[#This Row],[Stock Actual Kgs]]),"")</f>
        <v/>
      </c>
      <c r="AB763" s="180" t="str">
        <f>+IFERROR(IF(GUAYAQUIL[[#This Row],[CODIGO]]="","",$J$3-O763),"")</f>
        <v/>
      </c>
      <c r="AC763" s="35" t="str">
        <f>IF(GUAYAQUIL[[#This Row],[CODIGO]]="","",IF(S763&lt;=0,"CADUCADO",IF(AND(S763&gt;0,S763&lt;=21),"FECHA CORTA",IF(AND(S763&gt;=22,S763&lt;=26),"PROXIMOS FECHA CORTA", "VIGENTE"))))</f>
        <v/>
      </c>
      <c r="AD763" s="289" t="e">
        <f>+IF(GUAYAQUIL[[#This Row],[CODIGO]]="","",GUAYAQUIL[[#This Row],[Stock Actual Unds]]*GUAYAQUIL[[#This Row],[Gramaje]]*GUAYAQUIL[[#This Row],[Conversión]])/1000</f>
        <v>#VALUE!</v>
      </c>
    </row>
    <row r="764" spans="1:30">
      <c r="A764" s="42" t="str">
        <f>+IFERROR(IF(GUAYAQUIL[[#This Row],[CODIGO]]="","",VLOOKUP(GUAYAQUIL[[#This Row],[CODIGO]],MAESTRO!$A:$J,10,FALSE)),"")</f>
        <v/>
      </c>
      <c r="B764" s="42" t="str">
        <f>+IFERROR(IF(GUAYAQUIL[[#This Row],[CODIGO]]="","",VLOOKUP(GUAYAQUIL[[#This Row],[CODIGO]],MAESTRO!$A:$Q,17,FALSE)),"")</f>
        <v/>
      </c>
      <c r="C764" s="42" t="str">
        <f>+IFERROR(IF(GUAYAQUIL[[#This Row],[CODIGO]]="","",VLOOKUP(GUAYAQUIL[[#This Row],[CODIGO]],MAESTRO!$A:$BA,53,FALSE)),"")</f>
        <v/>
      </c>
      <c r="D764" s="42" t="str">
        <f>+IFERROR(IF(GUAYAQUIL[[#This Row],[CODIGO]]="","",VLOOKUP(GUAYAQUIL[[#This Row],[CODIGO]],MAESTRO!$A:$D,4,FALSE)),"")</f>
        <v/>
      </c>
      <c r="E764" s="42" t="str">
        <f>+IFERROR(IF(GUAYAQUIL[[#This Row],[CODIGO]]="","",VLOOKUP(GUAYAQUIL[[#This Row],[CODIGO]],MAESTRO!$A:$F,6,FALSE)),"")</f>
        <v/>
      </c>
      <c r="F764" s="42" t="str">
        <f>IF(GUAYAQUIL[[#This Row],[CODIGO]]="","",$K$6)</f>
        <v/>
      </c>
      <c r="G764" s="1" t="str">
        <f>IF(GUAYAQUIL[[#This Row],[CODIGO]]="","",7711)</f>
        <v/>
      </c>
      <c r="H764" s="1" t="str">
        <f>IF(GUAYAQUIL[[#This Row],[CODIGO]]="","",1001)</f>
        <v/>
      </c>
      <c r="I764" s="258"/>
      <c r="J764" s="43" t="str">
        <f>IFERROR((VLOOKUP(GUAYAQUIL[[#This Row],[CODIGO]],MAESTRO!A:B,2,FALSE)),"")</f>
        <v/>
      </c>
      <c r="K764" s="35"/>
      <c r="L764" s="205" t="str">
        <f>+IFERROR(IF(GUAYAQUIL[[#This Row],[CODIGO]]="","",VLOOKUP(GUAYAQUIL[[#This Row],[CODIGO]],MAESTRO!$A:$BF,58,FALSE)),"")</f>
        <v/>
      </c>
      <c r="M764" s="27" t="str">
        <f>+IFERROR(IF(GUAYAQUIL[[#This Row],[CODIGO]]="","",VLOOKUP(GUAYAQUIL[[#This Row],[CODIGO]],MAESTRO!A:N,14,FALSE)),"")</f>
        <v/>
      </c>
      <c r="N764" s="206" t="str">
        <f>+IFERROR(IF(GUAYAQUIL[[#This Row],[CODIGO]]="","",VLOOKUP(GUAYAQUIL[[#This Row],[CODIGO]],MAESTRO!A:P,16,FALSE)),"")</f>
        <v/>
      </c>
      <c r="O764" s="303"/>
      <c r="P764" s="99" t="str">
        <f t="shared" si="61"/>
        <v/>
      </c>
      <c r="Q764" s="304" t="str">
        <f>IFERROR(IF(GUAYAQUIL[[#This Row],[CODIGO]]="","",IF(GUAYAQUIL[[#This Row],[Fecha Cad]]="","",(GUAYAQUIL[[#This Row],[Fecha Cad]]-GUAYAQUIL[[#This Row],[VIDA UTIL (Días)]]))+1),"")</f>
        <v/>
      </c>
      <c r="R764" s="303"/>
      <c r="S764" s="30" t="str">
        <f t="shared" si="62"/>
        <v/>
      </c>
      <c r="T764" s="279">
        <f t="shared" si="63"/>
        <v>0</v>
      </c>
      <c r="U764" s="288"/>
      <c r="V764" s="265" t="str">
        <f>+IFERROR(IF(GUAYAQUIL[[#This Row],[CODIGO]]="","",GUAYAQUIL[[#This Row],[Stock Actual Unds]]*GUAYAQUIL[[#This Row],[Gramaje]]*GUAYAQUIL[[#This Row],[Conversión]]),"")</f>
        <v/>
      </c>
      <c r="W764" s="280">
        <f t="shared" si="64"/>
        <v>0</v>
      </c>
      <c r="X764" s="44" t="str">
        <f t="shared" si="65"/>
        <v/>
      </c>
      <c r="Y764" s="236">
        <f>IFERROR(VLOOKUP(GUAYAQUIL[[#This Row],[CODIGO]],MAESTRO!A:BI,21,FALSE),0)</f>
        <v>0</v>
      </c>
      <c r="Z764" s="236" t="str">
        <f>+IFERROR(IF(GUAYAQUIL[[#This Row],[CODIGO]]="","",GUAYAQUIL[[#This Row],[COSTO UNIT base]]*GUAYAQUIL[[#This Row],[Conversión]]),"")</f>
        <v/>
      </c>
      <c r="AA764" s="236" t="str">
        <f>+IFERROR(IF(GUAYAQUIL[[#This Row],[CODIGO]]="","",GUAYAQUIL[[#This Row],[COSTO UNIT Conv]]*GUAYAQUIL[[#This Row],[Stock Actual Kgs]]),"")</f>
        <v/>
      </c>
      <c r="AB764" s="180" t="str">
        <f>+IFERROR(IF(GUAYAQUIL[[#This Row],[CODIGO]]="","",$J$3-O764),"")</f>
        <v/>
      </c>
      <c r="AC764" s="35" t="str">
        <f>IF(GUAYAQUIL[[#This Row],[CODIGO]]="","",IF(S764&lt;=0,"CADUCADO",IF(AND(S764&gt;0,S764&lt;=21),"FECHA CORTA",IF(AND(S764&gt;=22,S764&lt;=26),"PROXIMOS FECHA CORTA", "VIGENTE"))))</f>
        <v/>
      </c>
      <c r="AD764" s="289" t="e">
        <f>+IF(GUAYAQUIL[[#This Row],[CODIGO]]="","",GUAYAQUIL[[#This Row],[Stock Actual Unds]]*GUAYAQUIL[[#This Row],[Gramaje]]*GUAYAQUIL[[#This Row],[Conversión]])/1000</f>
        <v>#VALUE!</v>
      </c>
    </row>
    <row r="765" spans="1:30">
      <c r="A765" s="42" t="str">
        <f>+IFERROR(IF(GUAYAQUIL[[#This Row],[CODIGO]]="","",VLOOKUP(GUAYAQUIL[[#This Row],[CODIGO]],MAESTRO!$A:$J,10,FALSE)),"")</f>
        <v/>
      </c>
      <c r="B765" s="42" t="str">
        <f>+IFERROR(IF(GUAYAQUIL[[#This Row],[CODIGO]]="","",VLOOKUP(GUAYAQUIL[[#This Row],[CODIGO]],MAESTRO!$A:$Q,17,FALSE)),"")</f>
        <v/>
      </c>
      <c r="C765" s="42" t="str">
        <f>+IFERROR(IF(GUAYAQUIL[[#This Row],[CODIGO]]="","",VLOOKUP(GUAYAQUIL[[#This Row],[CODIGO]],MAESTRO!$A:$BA,53,FALSE)),"")</f>
        <v/>
      </c>
      <c r="D765" s="42" t="str">
        <f>+IFERROR(IF(GUAYAQUIL[[#This Row],[CODIGO]]="","",VLOOKUP(GUAYAQUIL[[#This Row],[CODIGO]],MAESTRO!$A:$D,4,FALSE)),"")</f>
        <v/>
      </c>
      <c r="E765" s="42" t="str">
        <f>+IFERROR(IF(GUAYAQUIL[[#This Row],[CODIGO]]="","",VLOOKUP(GUAYAQUIL[[#This Row],[CODIGO]],MAESTRO!$A:$F,6,FALSE)),"")</f>
        <v/>
      </c>
      <c r="F765" s="42" t="str">
        <f>IF(GUAYAQUIL[[#This Row],[CODIGO]]="","",$K$6)</f>
        <v/>
      </c>
      <c r="G765" s="1" t="str">
        <f>IF(GUAYAQUIL[[#This Row],[CODIGO]]="","",7711)</f>
        <v/>
      </c>
      <c r="H765" s="1" t="str">
        <f>IF(GUAYAQUIL[[#This Row],[CODIGO]]="","",1001)</f>
        <v/>
      </c>
      <c r="I765" s="258"/>
      <c r="J765" s="43" t="str">
        <f>IFERROR((VLOOKUP(GUAYAQUIL[[#This Row],[CODIGO]],MAESTRO!A:B,2,FALSE)),"")</f>
        <v/>
      </c>
      <c r="K765" s="35"/>
      <c r="L765" s="205" t="str">
        <f>+IFERROR(IF(GUAYAQUIL[[#This Row],[CODIGO]]="","",VLOOKUP(GUAYAQUIL[[#This Row],[CODIGO]],MAESTRO!$A:$BF,58,FALSE)),"")</f>
        <v/>
      </c>
      <c r="M765" s="27" t="str">
        <f>+IFERROR(IF(GUAYAQUIL[[#This Row],[CODIGO]]="","",VLOOKUP(GUAYAQUIL[[#This Row],[CODIGO]],MAESTRO!A:N,14,FALSE)),"")</f>
        <v/>
      </c>
      <c r="N765" s="206" t="str">
        <f>+IFERROR(IF(GUAYAQUIL[[#This Row],[CODIGO]]="","",VLOOKUP(GUAYAQUIL[[#This Row],[CODIGO]],MAESTRO!A:P,16,FALSE)),"")</f>
        <v/>
      </c>
      <c r="O765" s="303"/>
      <c r="P765" s="99" t="str">
        <f t="shared" ref="P765:P796" si="66">+IF(R765="","",TEXT(O765,"dddd"))</f>
        <v/>
      </c>
      <c r="Q765" s="304" t="str">
        <f>IFERROR(IF(GUAYAQUIL[[#This Row],[CODIGO]]="","",IF(GUAYAQUIL[[#This Row],[Fecha Cad]]="","",(GUAYAQUIL[[#This Row],[Fecha Cad]]-GUAYAQUIL[[#This Row],[VIDA UTIL (Días)]]))+1),"")</f>
        <v/>
      </c>
      <c r="R765" s="303"/>
      <c r="S765" s="30" t="str">
        <f t="shared" ref="S765:S796" si="67">+IFERROR(IF(R765="","",R765-$J$3),0)</f>
        <v/>
      </c>
      <c r="T765" s="279">
        <f t="shared" ref="T765:T796" si="68">IFERROR(IF(8="","",S765/N765),0)</f>
        <v>0</v>
      </c>
      <c r="U765" s="288"/>
      <c r="V765" s="265" t="str">
        <f>+IFERROR(IF(GUAYAQUIL[[#This Row],[CODIGO]]="","",GUAYAQUIL[[#This Row],[Stock Actual Unds]]*GUAYAQUIL[[#This Row],[Gramaje]]*GUAYAQUIL[[#This Row],[Conversión]]),"")</f>
        <v/>
      </c>
      <c r="W765" s="280">
        <f t="shared" ref="W765:W796" si="69">IFERROR(O765-Q765,0)</f>
        <v>0</v>
      </c>
      <c r="X765" s="44" t="str">
        <f t="shared" ref="X765:X796" si="70">IF(I765="","",1-(W765/N765))</f>
        <v/>
      </c>
      <c r="Y765" s="236">
        <f>IFERROR(VLOOKUP(GUAYAQUIL[[#This Row],[CODIGO]],MAESTRO!A:BI,21,FALSE),0)</f>
        <v>0</v>
      </c>
      <c r="Z765" s="236" t="str">
        <f>+IFERROR(IF(GUAYAQUIL[[#This Row],[CODIGO]]="","",GUAYAQUIL[[#This Row],[COSTO UNIT base]]*GUAYAQUIL[[#This Row],[Conversión]]),"")</f>
        <v/>
      </c>
      <c r="AA765" s="236" t="str">
        <f>+IFERROR(IF(GUAYAQUIL[[#This Row],[CODIGO]]="","",GUAYAQUIL[[#This Row],[COSTO UNIT Conv]]*GUAYAQUIL[[#This Row],[Stock Actual Kgs]]),"")</f>
        <v/>
      </c>
      <c r="AB765" s="180" t="str">
        <f>+IFERROR(IF(GUAYAQUIL[[#This Row],[CODIGO]]="","",$J$3-O765),"")</f>
        <v/>
      </c>
      <c r="AC765" s="35" t="str">
        <f>IF(GUAYAQUIL[[#This Row],[CODIGO]]="","",IF(S765&lt;=0,"CADUCADO",IF(AND(S765&gt;0,S765&lt;=21),"FECHA CORTA",IF(AND(S765&gt;=22,S765&lt;=26),"PROXIMOS FECHA CORTA", "VIGENTE"))))</f>
        <v/>
      </c>
      <c r="AD765" s="289" t="e">
        <f>+IF(GUAYAQUIL[[#This Row],[CODIGO]]="","",GUAYAQUIL[[#This Row],[Stock Actual Unds]]*GUAYAQUIL[[#This Row],[Gramaje]]*GUAYAQUIL[[#This Row],[Conversión]])/1000</f>
        <v>#VALUE!</v>
      </c>
    </row>
    <row r="766" spans="1:30">
      <c r="A766" s="42" t="str">
        <f>+IFERROR(IF(GUAYAQUIL[[#This Row],[CODIGO]]="","",VLOOKUP(GUAYAQUIL[[#This Row],[CODIGO]],MAESTRO!$A:$J,10,FALSE)),"")</f>
        <v/>
      </c>
      <c r="B766" s="42" t="str">
        <f>+IFERROR(IF(GUAYAQUIL[[#This Row],[CODIGO]]="","",VLOOKUP(GUAYAQUIL[[#This Row],[CODIGO]],MAESTRO!$A:$Q,17,FALSE)),"")</f>
        <v/>
      </c>
      <c r="C766" s="42" t="str">
        <f>+IFERROR(IF(GUAYAQUIL[[#This Row],[CODIGO]]="","",VLOOKUP(GUAYAQUIL[[#This Row],[CODIGO]],MAESTRO!$A:$BA,53,FALSE)),"")</f>
        <v/>
      </c>
      <c r="D766" s="42" t="str">
        <f>+IFERROR(IF(GUAYAQUIL[[#This Row],[CODIGO]]="","",VLOOKUP(GUAYAQUIL[[#This Row],[CODIGO]],MAESTRO!$A:$D,4,FALSE)),"")</f>
        <v/>
      </c>
      <c r="E766" s="42" t="str">
        <f>+IFERROR(IF(GUAYAQUIL[[#This Row],[CODIGO]]="","",VLOOKUP(GUAYAQUIL[[#This Row],[CODIGO]],MAESTRO!$A:$F,6,FALSE)),"")</f>
        <v/>
      </c>
      <c r="F766" s="42" t="str">
        <f>IF(GUAYAQUIL[[#This Row],[CODIGO]]="","",$K$6)</f>
        <v/>
      </c>
      <c r="G766" s="1" t="str">
        <f>IF(GUAYAQUIL[[#This Row],[CODIGO]]="","",7711)</f>
        <v/>
      </c>
      <c r="H766" s="1" t="str">
        <f>IF(GUAYAQUIL[[#This Row],[CODIGO]]="","",1001)</f>
        <v/>
      </c>
      <c r="I766" s="258"/>
      <c r="J766" s="43" t="str">
        <f>IFERROR((VLOOKUP(GUAYAQUIL[[#This Row],[CODIGO]],MAESTRO!A:B,2,FALSE)),"")</f>
        <v/>
      </c>
      <c r="K766" s="35"/>
      <c r="L766" s="205" t="str">
        <f>+IFERROR(IF(GUAYAQUIL[[#This Row],[CODIGO]]="","",VLOOKUP(GUAYAQUIL[[#This Row],[CODIGO]],MAESTRO!$A:$BF,58,FALSE)),"")</f>
        <v/>
      </c>
      <c r="M766" s="27" t="str">
        <f>+IFERROR(IF(GUAYAQUIL[[#This Row],[CODIGO]]="","",VLOOKUP(GUAYAQUIL[[#This Row],[CODIGO]],MAESTRO!A:N,14,FALSE)),"")</f>
        <v/>
      </c>
      <c r="N766" s="206" t="str">
        <f>+IFERROR(IF(GUAYAQUIL[[#This Row],[CODIGO]]="","",VLOOKUP(GUAYAQUIL[[#This Row],[CODIGO]],MAESTRO!A:P,16,FALSE)),"")</f>
        <v/>
      </c>
      <c r="O766" s="303"/>
      <c r="P766" s="99" t="str">
        <f t="shared" si="66"/>
        <v/>
      </c>
      <c r="Q766" s="304" t="str">
        <f>IFERROR(IF(GUAYAQUIL[[#This Row],[CODIGO]]="","",IF(GUAYAQUIL[[#This Row],[Fecha Cad]]="","",(GUAYAQUIL[[#This Row],[Fecha Cad]]-GUAYAQUIL[[#This Row],[VIDA UTIL (Días)]]))+1),"")</f>
        <v/>
      </c>
      <c r="R766" s="303"/>
      <c r="S766" s="30" t="str">
        <f t="shared" si="67"/>
        <v/>
      </c>
      <c r="T766" s="279">
        <f t="shared" si="68"/>
        <v>0</v>
      </c>
      <c r="U766" s="288"/>
      <c r="V766" s="265" t="str">
        <f>+IFERROR(IF(GUAYAQUIL[[#This Row],[CODIGO]]="","",GUAYAQUIL[[#This Row],[Stock Actual Unds]]*GUAYAQUIL[[#This Row],[Gramaje]]*GUAYAQUIL[[#This Row],[Conversión]]),"")</f>
        <v/>
      </c>
      <c r="W766" s="280">
        <f t="shared" si="69"/>
        <v>0</v>
      </c>
      <c r="X766" s="44" t="str">
        <f t="shared" si="70"/>
        <v/>
      </c>
      <c r="Y766" s="236">
        <f>IFERROR(VLOOKUP(GUAYAQUIL[[#This Row],[CODIGO]],MAESTRO!A:BI,21,FALSE),0)</f>
        <v>0</v>
      </c>
      <c r="Z766" s="236" t="str">
        <f>+IFERROR(IF(GUAYAQUIL[[#This Row],[CODIGO]]="","",GUAYAQUIL[[#This Row],[COSTO UNIT base]]*GUAYAQUIL[[#This Row],[Conversión]]),"")</f>
        <v/>
      </c>
      <c r="AA766" s="236" t="str">
        <f>+IFERROR(IF(GUAYAQUIL[[#This Row],[CODIGO]]="","",GUAYAQUIL[[#This Row],[COSTO UNIT Conv]]*GUAYAQUIL[[#This Row],[Stock Actual Kgs]]),"")</f>
        <v/>
      </c>
      <c r="AB766" s="180" t="str">
        <f>+IFERROR(IF(GUAYAQUIL[[#This Row],[CODIGO]]="","",$J$3-O766),"")</f>
        <v/>
      </c>
      <c r="AC766" s="35" t="str">
        <f>IF(GUAYAQUIL[[#This Row],[CODIGO]]="","",IF(S766&lt;=0,"CADUCADO",IF(AND(S766&gt;0,S766&lt;=21),"FECHA CORTA",IF(AND(S766&gt;=22,S766&lt;=26),"PROXIMOS FECHA CORTA", "VIGENTE"))))</f>
        <v/>
      </c>
      <c r="AD766" s="289" t="e">
        <f>+IF(GUAYAQUIL[[#This Row],[CODIGO]]="","",GUAYAQUIL[[#This Row],[Stock Actual Unds]]*GUAYAQUIL[[#This Row],[Gramaje]]*GUAYAQUIL[[#This Row],[Conversión]])/1000</f>
        <v>#VALUE!</v>
      </c>
    </row>
    <row r="767" spans="1:30">
      <c r="A767" s="42" t="str">
        <f>+IFERROR(IF(GUAYAQUIL[[#This Row],[CODIGO]]="","",VLOOKUP(GUAYAQUIL[[#This Row],[CODIGO]],MAESTRO!$A:$J,10,FALSE)),"")</f>
        <v/>
      </c>
      <c r="B767" s="42" t="str">
        <f>+IFERROR(IF(GUAYAQUIL[[#This Row],[CODIGO]]="","",VLOOKUP(GUAYAQUIL[[#This Row],[CODIGO]],MAESTRO!$A:$Q,17,FALSE)),"")</f>
        <v/>
      </c>
      <c r="C767" s="42" t="str">
        <f>+IFERROR(IF(GUAYAQUIL[[#This Row],[CODIGO]]="","",VLOOKUP(GUAYAQUIL[[#This Row],[CODIGO]],MAESTRO!$A:$BA,53,FALSE)),"")</f>
        <v/>
      </c>
      <c r="D767" s="42" t="str">
        <f>+IFERROR(IF(GUAYAQUIL[[#This Row],[CODIGO]]="","",VLOOKUP(GUAYAQUIL[[#This Row],[CODIGO]],MAESTRO!$A:$D,4,FALSE)),"")</f>
        <v/>
      </c>
      <c r="E767" s="42" t="str">
        <f>+IFERROR(IF(GUAYAQUIL[[#This Row],[CODIGO]]="","",VLOOKUP(GUAYAQUIL[[#This Row],[CODIGO]],MAESTRO!$A:$F,6,FALSE)),"")</f>
        <v/>
      </c>
      <c r="F767" s="42" t="str">
        <f>IF(GUAYAQUIL[[#This Row],[CODIGO]]="","",$K$6)</f>
        <v/>
      </c>
      <c r="G767" s="1" t="str">
        <f>IF(GUAYAQUIL[[#This Row],[CODIGO]]="","",7711)</f>
        <v/>
      </c>
      <c r="H767" s="1" t="str">
        <f>IF(GUAYAQUIL[[#This Row],[CODIGO]]="","",1001)</f>
        <v/>
      </c>
      <c r="I767" s="258"/>
      <c r="J767" s="43" t="str">
        <f>IFERROR((VLOOKUP(GUAYAQUIL[[#This Row],[CODIGO]],MAESTRO!A:B,2,FALSE)),"")</f>
        <v/>
      </c>
      <c r="K767" s="35"/>
      <c r="L767" s="205" t="str">
        <f>+IFERROR(IF(GUAYAQUIL[[#This Row],[CODIGO]]="","",VLOOKUP(GUAYAQUIL[[#This Row],[CODIGO]],MAESTRO!$A:$BF,58,FALSE)),"")</f>
        <v/>
      </c>
      <c r="M767" s="27" t="str">
        <f>+IFERROR(IF(GUAYAQUIL[[#This Row],[CODIGO]]="","",VLOOKUP(GUAYAQUIL[[#This Row],[CODIGO]],MAESTRO!A:N,14,FALSE)),"")</f>
        <v/>
      </c>
      <c r="N767" s="206" t="str">
        <f>+IFERROR(IF(GUAYAQUIL[[#This Row],[CODIGO]]="","",VLOOKUP(GUAYAQUIL[[#This Row],[CODIGO]],MAESTRO!A:P,16,FALSE)),"")</f>
        <v/>
      </c>
      <c r="O767" s="303"/>
      <c r="P767" s="99" t="str">
        <f t="shared" si="66"/>
        <v/>
      </c>
      <c r="Q767" s="304" t="str">
        <f>IFERROR(IF(GUAYAQUIL[[#This Row],[CODIGO]]="","",IF(GUAYAQUIL[[#This Row],[Fecha Cad]]="","",(GUAYAQUIL[[#This Row],[Fecha Cad]]-GUAYAQUIL[[#This Row],[VIDA UTIL (Días)]]))+1),"")</f>
        <v/>
      </c>
      <c r="R767" s="303"/>
      <c r="S767" s="30" t="str">
        <f t="shared" si="67"/>
        <v/>
      </c>
      <c r="T767" s="279">
        <f t="shared" si="68"/>
        <v>0</v>
      </c>
      <c r="U767" s="288"/>
      <c r="V767" s="265" t="str">
        <f>+IFERROR(IF(GUAYAQUIL[[#This Row],[CODIGO]]="","",GUAYAQUIL[[#This Row],[Stock Actual Unds]]*GUAYAQUIL[[#This Row],[Gramaje]]*GUAYAQUIL[[#This Row],[Conversión]]),"")</f>
        <v/>
      </c>
      <c r="W767" s="280">
        <f t="shared" si="69"/>
        <v>0</v>
      </c>
      <c r="X767" s="44" t="str">
        <f t="shared" si="70"/>
        <v/>
      </c>
      <c r="Y767" s="236">
        <f>IFERROR(VLOOKUP(GUAYAQUIL[[#This Row],[CODIGO]],MAESTRO!A:BI,21,FALSE),0)</f>
        <v>0</v>
      </c>
      <c r="Z767" s="236" t="str">
        <f>+IFERROR(IF(GUAYAQUIL[[#This Row],[CODIGO]]="","",GUAYAQUIL[[#This Row],[COSTO UNIT base]]*GUAYAQUIL[[#This Row],[Conversión]]),"")</f>
        <v/>
      </c>
      <c r="AA767" s="236" t="str">
        <f>+IFERROR(IF(GUAYAQUIL[[#This Row],[CODIGO]]="","",GUAYAQUIL[[#This Row],[COSTO UNIT Conv]]*GUAYAQUIL[[#This Row],[Stock Actual Kgs]]),"")</f>
        <v/>
      </c>
      <c r="AB767" s="180" t="str">
        <f>+IFERROR(IF(GUAYAQUIL[[#This Row],[CODIGO]]="","",$J$3-O767),"")</f>
        <v/>
      </c>
      <c r="AC767" s="35" t="str">
        <f>IF(GUAYAQUIL[[#This Row],[CODIGO]]="","",IF(S767&lt;=0,"CADUCADO",IF(AND(S767&gt;0,S767&lt;=21),"FECHA CORTA",IF(AND(S767&gt;=22,S767&lt;=26),"PROXIMOS FECHA CORTA", "VIGENTE"))))</f>
        <v/>
      </c>
      <c r="AD767" s="289" t="e">
        <f>+IF(GUAYAQUIL[[#This Row],[CODIGO]]="","",GUAYAQUIL[[#This Row],[Stock Actual Unds]]*GUAYAQUIL[[#This Row],[Gramaje]]*GUAYAQUIL[[#This Row],[Conversión]])/1000</f>
        <v>#VALUE!</v>
      </c>
    </row>
    <row r="768" spans="1:30">
      <c r="A768" s="42" t="str">
        <f>+IFERROR(IF(GUAYAQUIL[[#This Row],[CODIGO]]="","",VLOOKUP(GUAYAQUIL[[#This Row],[CODIGO]],MAESTRO!$A:$J,10,FALSE)),"")</f>
        <v/>
      </c>
      <c r="B768" s="42" t="str">
        <f>+IFERROR(IF(GUAYAQUIL[[#This Row],[CODIGO]]="","",VLOOKUP(GUAYAQUIL[[#This Row],[CODIGO]],MAESTRO!$A:$Q,17,FALSE)),"")</f>
        <v/>
      </c>
      <c r="C768" s="42" t="str">
        <f>+IFERROR(IF(GUAYAQUIL[[#This Row],[CODIGO]]="","",VLOOKUP(GUAYAQUIL[[#This Row],[CODIGO]],MAESTRO!$A:$BA,53,FALSE)),"")</f>
        <v/>
      </c>
      <c r="D768" s="42" t="str">
        <f>+IFERROR(IF(GUAYAQUIL[[#This Row],[CODIGO]]="","",VLOOKUP(GUAYAQUIL[[#This Row],[CODIGO]],MAESTRO!$A:$D,4,FALSE)),"")</f>
        <v/>
      </c>
      <c r="E768" s="42" t="str">
        <f>+IFERROR(IF(GUAYAQUIL[[#This Row],[CODIGO]]="","",VLOOKUP(GUAYAQUIL[[#This Row],[CODIGO]],MAESTRO!$A:$F,6,FALSE)),"")</f>
        <v/>
      </c>
      <c r="F768" s="42" t="str">
        <f>IF(GUAYAQUIL[[#This Row],[CODIGO]]="","",$K$6)</f>
        <v/>
      </c>
      <c r="G768" s="1" t="str">
        <f>IF(GUAYAQUIL[[#This Row],[CODIGO]]="","",7711)</f>
        <v/>
      </c>
      <c r="H768" s="1" t="str">
        <f>IF(GUAYAQUIL[[#This Row],[CODIGO]]="","",1001)</f>
        <v/>
      </c>
      <c r="I768" s="258"/>
      <c r="J768" s="43" t="str">
        <f>IFERROR((VLOOKUP(GUAYAQUIL[[#This Row],[CODIGO]],MAESTRO!A:B,2,FALSE)),"")</f>
        <v/>
      </c>
      <c r="K768" s="35"/>
      <c r="L768" s="205" t="str">
        <f>+IFERROR(IF(GUAYAQUIL[[#This Row],[CODIGO]]="","",VLOOKUP(GUAYAQUIL[[#This Row],[CODIGO]],MAESTRO!$A:$BF,58,FALSE)),"")</f>
        <v/>
      </c>
      <c r="M768" s="27" t="str">
        <f>+IFERROR(IF(GUAYAQUIL[[#This Row],[CODIGO]]="","",VLOOKUP(GUAYAQUIL[[#This Row],[CODIGO]],MAESTRO!A:N,14,FALSE)),"")</f>
        <v/>
      </c>
      <c r="N768" s="206" t="str">
        <f>+IFERROR(IF(GUAYAQUIL[[#This Row],[CODIGO]]="","",VLOOKUP(GUAYAQUIL[[#This Row],[CODIGO]],MAESTRO!A:P,16,FALSE)),"")</f>
        <v/>
      </c>
      <c r="O768" s="303"/>
      <c r="P768" s="99" t="str">
        <f t="shared" si="66"/>
        <v/>
      </c>
      <c r="Q768" s="304" t="str">
        <f>IFERROR(IF(GUAYAQUIL[[#This Row],[CODIGO]]="","",IF(GUAYAQUIL[[#This Row],[Fecha Cad]]="","",(GUAYAQUIL[[#This Row],[Fecha Cad]]-GUAYAQUIL[[#This Row],[VIDA UTIL (Días)]]))+1),"")</f>
        <v/>
      </c>
      <c r="R768" s="303"/>
      <c r="S768" s="30" t="str">
        <f t="shared" si="67"/>
        <v/>
      </c>
      <c r="T768" s="279">
        <f t="shared" si="68"/>
        <v>0</v>
      </c>
      <c r="U768" s="288"/>
      <c r="V768" s="265" t="str">
        <f>+IFERROR(IF(GUAYAQUIL[[#This Row],[CODIGO]]="","",GUAYAQUIL[[#This Row],[Stock Actual Unds]]*GUAYAQUIL[[#This Row],[Gramaje]]*GUAYAQUIL[[#This Row],[Conversión]]),"")</f>
        <v/>
      </c>
      <c r="W768" s="280">
        <f t="shared" si="69"/>
        <v>0</v>
      </c>
      <c r="X768" s="44" t="str">
        <f t="shared" si="70"/>
        <v/>
      </c>
      <c r="Y768" s="236">
        <f>IFERROR(VLOOKUP(GUAYAQUIL[[#This Row],[CODIGO]],MAESTRO!A:BI,21,FALSE),0)</f>
        <v>0</v>
      </c>
      <c r="Z768" s="236" t="str">
        <f>+IFERROR(IF(GUAYAQUIL[[#This Row],[CODIGO]]="","",GUAYAQUIL[[#This Row],[COSTO UNIT base]]*GUAYAQUIL[[#This Row],[Conversión]]),"")</f>
        <v/>
      </c>
      <c r="AA768" s="236" t="str">
        <f>+IFERROR(IF(GUAYAQUIL[[#This Row],[CODIGO]]="","",GUAYAQUIL[[#This Row],[COSTO UNIT Conv]]*GUAYAQUIL[[#This Row],[Stock Actual Kgs]]),"")</f>
        <v/>
      </c>
      <c r="AB768" s="180" t="str">
        <f>+IFERROR(IF(GUAYAQUIL[[#This Row],[CODIGO]]="","",$J$3-O768),"")</f>
        <v/>
      </c>
      <c r="AC768" s="35" t="str">
        <f>IF(GUAYAQUIL[[#This Row],[CODIGO]]="","",IF(S768&lt;=0,"CADUCADO",IF(AND(S768&gt;0,S768&lt;=21),"FECHA CORTA",IF(AND(S768&gt;=22,S768&lt;=26),"PROXIMOS FECHA CORTA", "VIGENTE"))))</f>
        <v/>
      </c>
      <c r="AD768" s="289" t="e">
        <f>+IF(GUAYAQUIL[[#This Row],[CODIGO]]="","",GUAYAQUIL[[#This Row],[Stock Actual Unds]]*GUAYAQUIL[[#This Row],[Gramaje]]*GUAYAQUIL[[#This Row],[Conversión]])/1000</f>
        <v>#VALUE!</v>
      </c>
    </row>
    <row r="769" spans="1:30">
      <c r="A769" s="42" t="str">
        <f>+IFERROR(IF(GUAYAQUIL[[#This Row],[CODIGO]]="","",VLOOKUP(GUAYAQUIL[[#This Row],[CODIGO]],MAESTRO!$A:$J,10,FALSE)),"")</f>
        <v/>
      </c>
      <c r="B769" s="42" t="str">
        <f>+IFERROR(IF(GUAYAQUIL[[#This Row],[CODIGO]]="","",VLOOKUP(GUAYAQUIL[[#This Row],[CODIGO]],MAESTRO!$A:$Q,17,FALSE)),"")</f>
        <v/>
      </c>
      <c r="C769" s="42" t="str">
        <f>+IFERROR(IF(GUAYAQUIL[[#This Row],[CODIGO]]="","",VLOOKUP(GUAYAQUIL[[#This Row],[CODIGO]],MAESTRO!$A:$BA,53,FALSE)),"")</f>
        <v/>
      </c>
      <c r="D769" s="42" t="str">
        <f>+IFERROR(IF(GUAYAQUIL[[#This Row],[CODIGO]]="","",VLOOKUP(GUAYAQUIL[[#This Row],[CODIGO]],MAESTRO!$A:$D,4,FALSE)),"")</f>
        <v/>
      </c>
      <c r="E769" s="42" t="str">
        <f>+IFERROR(IF(GUAYAQUIL[[#This Row],[CODIGO]]="","",VLOOKUP(GUAYAQUIL[[#This Row],[CODIGO]],MAESTRO!$A:$F,6,FALSE)),"")</f>
        <v/>
      </c>
      <c r="F769" s="42" t="str">
        <f>IF(GUAYAQUIL[[#This Row],[CODIGO]]="","",$K$6)</f>
        <v/>
      </c>
      <c r="G769" s="1" t="str">
        <f>IF(GUAYAQUIL[[#This Row],[CODIGO]]="","",7711)</f>
        <v/>
      </c>
      <c r="H769" s="1" t="str">
        <f>IF(GUAYAQUIL[[#This Row],[CODIGO]]="","",1001)</f>
        <v/>
      </c>
      <c r="I769" s="258"/>
      <c r="J769" s="43" t="str">
        <f>IFERROR((VLOOKUP(GUAYAQUIL[[#This Row],[CODIGO]],MAESTRO!A:B,2,FALSE)),"")</f>
        <v/>
      </c>
      <c r="K769" s="35"/>
      <c r="L769" s="205" t="str">
        <f>+IFERROR(IF(GUAYAQUIL[[#This Row],[CODIGO]]="","",VLOOKUP(GUAYAQUIL[[#This Row],[CODIGO]],MAESTRO!$A:$BF,58,FALSE)),"")</f>
        <v/>
      </c>
      <c r="M769" s="27" t="str">
        <f>+IFERROR(IF(GUAYAQUIL[[#This Row],[CODIGO]]="","",VLOOKUP(GUAYAQUIL[[#This Row],[CODIGO]],MAESTRO!A:N,14,FALSE)),"")</f>
        <v/>
      </c>
      <c r="N769" s="206" t="str">
        <f>+IFERROR(IF(GUAYAQUIL[[#This Row],[CODIGO]]="","",VLOOKUP(GUAYAQUIL[[#This Row],[CODIGO]],MAESTRO!A:P,16,FALSE)),"")</f>
        <v/>
      </c>
      <c r="O769" s="303"/>
      <c r="P769" s="99" t="str">
        <f t="shared" si="66"/>
        <v/>
      </c>
      <c r="Q769" s="304" t="str">
        <f>IFERROR(IF(GUAYAQUIL[[#This Row],[CODIGO]]="","",IF(GUAYAQUIL[[#This Row],[Fecha Cad]]="","",(GUAYAQUIL[[#This Row],[Fecha Cad]]-GUAYAQUIL[[#This Row],[VIDA UTIL (Días)]]))+1),"")</f>
        <v/>
      </c>
      <c r="R769" s="303"/>
      <c r="S769" s="30" t="str">
        <f t="shared" si="67"/>
        <v/>
      </c>
      <c r="T769" s="279">
        <f t="shared" si="68"/>
        <v>0</v>
      </c>
      <c r="U769" s="288"/>
      <c r="V769" s="265" t="str">
        <f>+IFERROR(IF(GUAYAQUIL[[#This Row],[CODIGO]]="","",GUAYAQUIL[[#This Row],[Stock Actual Unds]]*GUAYAQUIL[[#This Row],[Gramaje]]*GUAYAQUIL[[#This Row],[Conversión]]),"")</f>
        <v/>
      </c>
      <c r="W769" s="280">
        <f t="shared" si="69"/>
        <v>0</v>
      </c>
      <c r="X769" s="44" t="str">
        <f t="shared" si="70"/>
        <v/>
      </c>
      <c r="Y769" s="236">
        <f>IFERROR(VLOOKUP(GUAYAQUIL[[#This Row],[CODIGO]],MAESTRO!A:BI,21,FALSE),0)</f>
        <v>0</v>
      </c>
      <c r="Z769" s="236" t="str">
        <f>+IFERROR(IF(GUAYAQUIL[[#This Row],[CODIGO]]="","",GUAYAQUIL[[#This Row],[COSTO UNIT base]]*GUAYAQUIL[[#This Row],[Conversión]]),"")</f>
        <v/>
      </c>
      <c r="AA769" s="236" t="str">
        <f>+IFERROR(IF(GUAYAQUIL[[#This Row],[CODIGO]]="","",GUAYAQUIL[[#This Row],[COSTO UNIT Conv]]*GUAYAQUIL[[#This Row],[Stock Actual Kgs]]),"")</f>
        <v/>
      </c>
      <c r="AB769" s="180" t="str">
        <f>+IFERROR(IF(GUAYAQUIL[[#This Row],[CODIGO]]="","",$J$3-O769),"")</f>
        <v/>
      </c>
      <c r="AC769" s="35" t="str">
        <f>IF(GUAYAQUIL[[#This Row],[CODIGO]]="","",IF(S769&lt;=0,"CADUCADO",IF(AND(S769&gt;0,S769&lt;=21),"FECHA CORTA",IF(AND(S769&gt;=22,S769&lt;=26),"PROXIMOS FECHA CORTA", "VIGENTE"))))</f>
        <v/>
      </c>
      <c r="AD769" s="289" t="e">
        <f>+IF(GUAYAQUIL[[#This Row],[CODIGO]]="","",GUAYAQUIL[[#This Row],[Stock Actual Unds]]*GUAYAQUIL[[#This Row],[Gramaje]]*GUAYAQUIL[[#This Row],[Conversión]])/1000</f>
        <v>#VALUE!</v>
      </c>
    </row>
    <row r="770" spans="1:30">
      <c r="A770" s="42" t="str">
        <f>+IFERROR(IF(GUAYAQUIL[[#This Row],[CODIGO]]="","",VLOOKUP(GUAYAQUIL[[#This Row],[CODIGO]],MAESTRO!$A:$J,10,FALSE)),"")</f>
        <v/>
      </c>
      <c r="B770" s="42" t="str">
        <f>+IFERROR(IF(GUAYAQUIL[[#This Row],[CODIGO]]="","",VLOOKUP(GUAYAQUIL[[#This Row],[CODIGO]],MAESTRO!$A:$Q,17,FALSE)),"")</f>
        <v/>
      </c>
      <c r="C770" s="42" t="str">
        <f>+IFERROR(IF(GUAYAQUIL[[#This Row],[CODIGO]]="","",VLOOKUP(GUAYAQUIL[[#This Row],[CODIGO]],MAESTRO!$A:$BA,53,FALSE)),"")</f>
        <v/>
      </c>
      <c r="D770" s="42" t="str">
        <f>+IFERROR(IF(GUAYAQUIL[[#This Row],[CODIGO]]="","",VLOOKUP(GUAYAQUIL[[#This Row],[CODIGO]],MAESTRO!$A:$D,4,FALSE)),"")</f>
        <v/>
      </c>
      <c r="E770" s="42" t="str">
        <f>+IFERROR(IF(GUAYAQUIL[[#This Row],[CODIGO]]="","",VLOOKUP(GUAYAQUIL[[#This Row],[CODIGO]],MAESTRO!$A:$F,6,FALSE)),"")</f>
        <v/>
      </c>
      <c r="F770" s="42" t="str">
        <f>IF(GUAYAQUIL[[#This Row],[CODIGO]]="","",$K$6)</f>
        <v/>
      </c>
      <c r="G770" s="1" t="str">
        <f>IF(GUAYAQUIL[[#This Row],[CODIGO]]="","",7711)</f>
        <v/>
      </c>
      <c r="H770" s="1" t="str">
        <f>IF(GUAYAQUIL[[#This Row],[CODIGO]]="","",1001)</f>
        <v/>
      </c>
      <c r="I770" s="258"/>
      <c r="J770" s="43" t="str">
        <f>IFERROR((VLOOKUP(GUAYAQUIL[[#This Row],[CODIGO]],MAESTRO!A:B,2,FALSE)),"")</f>
        <v/>
      </c>
      <c r="K770" s="35"/>
      <c r="L770" s="205" t="str">
        <f>+IFERROR(IF(GUAYAQUIL[[#This Row],[CODIGO]]="","",VLOOKUP(GUAYAQUIL[[#This Row],[CODIGO]],MAESTRO!$A:$BF,58,FALSE)),"")</f>
        <v/>
      </c>
      <c r="M770" s="27" t="str">
        <f>+IFERROR(IF(GUAYAQUIL[[#This Row],[CODIGO]]="","",VLOOKUP(GUAYAQUIL[[#This Row],[CODIGO]],MAESTRO!A:N,14,FALSE)),"")</f>
        <v/>
      </c>
      <c r="N770" s="206" t="str">
        <f>+IFERROR(IF(GUAYAQUIL[[#This Row],[CODIGO]]="","",VLOOKUP(GUAYAQUIL[[#This Row],[CODIGO]],MAESTRO!A:P,16,FALSE)),"")</f>
        <v/>
      </c>
      <c r="O770" s="303"/>
      <c r="P770" s="99" t="str">
        <f t="shared" si="66"/>
        <v/>
      </c>
      <c r="Q770" s="304" t="str">
        <f>IFERROR(IF(GUAYAQUIL[[#This Row],[CODIGO]]="","",IF(GUAYAQUIL[[#This Row],[Fecha Cad]]="","",(GUAYAQUIL[[#This Row],[Fecha Cad]]-GUAYAQUIL[[#This Row],[VIDA UTIL (Días)]]))+1),"")</f>
        <v/>
      </c>
      <c r="R770" s="303"/>
      <c r="S770" s="30" t="str">
        <f t="shared" si="67"/>
        <v/>
      </c>
      <c r="T770" s="279">
        <f t="shared" si="68"/>
        <v>0</v>
      </c>
      <c r="U770" s="288"/>
      <c r="V770" s="265" t="str">
        <f>+IFERROR(IF(GUAYAQUIL[[#This Row],[CODIGO]]="","",GUAYAQUIL[[#This Row],[Stock Actual Unds]]*GUAYAQUIL[[#This Row],[Gramaje]]*GUAYAQUIL[[#This Row],[Conversión]]),"")</f>
        <v/>
      </c>
      <c r="W770" s="280">
        <f t="shared" si="69"/>
        <v>0</v>
      </c>
      <c r="X770" s="44" t="str">
        <f t="shared" si="70"/>
        <v/>
      </c>
      <c r="Y770" s="236">
        <f>IFERROR(VLOOKUP(GUAYAQUIL[[#This Row],[CODIGO]],MAESTRO!A:BI,21,FALSE),0)</f>
        <v>0</v>
      </c>
      <c r="Z770" s="236" t="str">
        <f>+IFERROR(IF(GUAYAQUIL[[#This Row],[CODIGO]]="","",GUAYAQUIL[[#This Row],[COSTO UNIT base]]*GUAYAQUIL[[#This Row],[Conversión]]),"")</f>
        <v/>
      </c>
      <c r="AA770" s="236" t="str">
        <f>+IFERROR(IF(GUAYAQUIL[[#This Row],[CODIGO]]="","",GUAYAQUIL[[#This Row],[COSTO UNIT Conv]]*GUAYAQUIL[[#This Row],[Stock Actual Kgs]]),"")</f>
        <v/>
      </c>
      <c r="AB770" s="180" t="str">
        <f>+IFERROR(IF(GUAYAQUIL[[#This Row],[CODIGO]]="","",$J$3-O770),"")</f>
        <v/>
      </c>
      <c r="AC770" s="35" t="str">
        <f>IF(GUAYAQUIL[[#This Row],[CODIGO]]="","",IF(S770&lt;=0,"CADUCADO",IF(AND(S770&gt;0,S770&lt;=21),"FECHA CORTA",IF(AND(S770&gt;=22,S770&lt;=26),"PROXIMOS FECHA CORTA", "VIGENTE"))))</f>
        <v/>
      </c>
      <c r="AD770" s="289" t="e">
        <f>+IF(GUAYAQUIL[[#This Row],[CODIGO]]="","",GUAYAQUIL[[#This Row],[Stock Actual Unds]]*GUAYAQUIL[[#This Row],[Gramaje]]*GUAYAQUIL[[#This Row],[Conversión]])/1000</f>
        <v>#VALUE!</v>
      </c>
    </row>
    <row r="771" spans="1:30">
      <c r="A771" s="42" t="str">
        <f>+IFERROR(IF(GUAYAQUIL[[#This Row],[CODIGO]]="","",VLOOKUP(GUAYAQUIL[[#This Row],[CODIGO]],MAESTRO!$A:$J,10,FALSE)),"")</f>
        <v/>
      </c>
      <c r="B771" s="42" t="str">
        <f>+IFERROR(IF(GUAYAQUIL[[#This Row],[CODIGO]]="","",VLOOKUP(GUAYAQUIL[[#This Row],[CODIGO]],MAESTRO!$A:$Q,17,FALSE)),"")</f>
        <v/>
      </c>
      <c r="C771" s="42" t="str">
        <f>+IFERROR(IF(GUAYAQUIL[[#This Row],[CODIGO]]="","",VLOOKUP(GUAYAQUIL[[#This Row],[CODIGO]],MAESTRO!$A:$BA,53,FALSE)),"")</f>
        <v/>
      </c>
      <c r="D771" s="42" t="str">
        <f>+IFERROR(IF(GUAYAQUIL[[#This Row],[CODIGO]]="","",VLOOKUP(GUAYAQUIL[[#This Row],[CODIGO]],MAESTRO!$A:$D,4,FALSE)),"")</f>
        <v/>
      </c>
      <c r="E771" s="42" t="str">
        <f>+IFERROR(IF(GUAYAQUIL[[#This Row],[CODIGO]]="","",VLOOKUP(GUAYAQUIL[[#This Row],[CODIGO]],MAESTRO!$A:$F,6,FALSE)),"")</f>
        <v/>
      </c>
      <c r="F771" s="42" t="str">
        <f>IF(GUAYAQUIL[[#This Row],[CODIGO]]="","",$K$6)</f>
        <v/>
      </c>
      <c r="G771" s="1" t="str">
        <f>IF(GUAYAQUIL[[#This Row],[CODIGO]]="","",7711)</f>
        <v/>
      </c>
      <c r="H771" s="1" t="str">
        <f>IF(GUAYAQUIL[[#This Row],[CODIGO]]="","",1001)</f>
        <v/>
      </c>
      <c r="I771" s="258"/>
      <c r="J771" s="43" t="str">
        <f>IFERROR((VLOOKUP(GUAYAQUIL[[#This Row],[CODIGO]],MAESTRO!A:B,2,FALSE)),"")</f>
        <v/>
      </c>
      <c r="K771" s="35"/>
      <c r="L771" s="205" t="str">
        <f>+IFERROR(IF(GUAYAQUIL[[#This Row],[CODIGO]]="","",VLOOKUP(GUAYAQUIL[[#This Row],[CODIGO]],MAESTRO!$A:$BF,58,FALSE)),"")</f>
        <v/>
      </c>
      <c r="M771" s="27" t="str">
        <f>+IFERROR(IF(GUAYAQUIL[[#This Row],[CODIGO]]="","",VLOOKUP(GUAYAQUIL[[#This Row],[CODIGO]],MAESTRO!A:N,14,FALSE)),"")</f>
        <v/>
      </c>
      <c r="N771" s="206" t="str">
        <f>+IFERROR(IF(GUAYAQUIL[[#This Row],[CODIGO]]="","",VLOOKUP(GUAYAQUIL[[#This Row],[CODIGO]],MAESTRO!A:P,16,FALSE)),"")</f>
        <v/>
      </c>
      <c r="O771" s="303"/>
      <c r="P771" s="99" t="str">
        <f t="shared" si="66"/>
        <v/>
      </c>
      <c r="Q771" s="304" t="str">
        <f>IFERROR(IF(GUAYAQUIL[[#This Row],[CODIGO]]="","",IF(GUAYAQUIL[[#This Row],[Fecha Cad]]="","",(GUAYAQUIL[[#This Row],[Fecha Cad]]-GUAYAQUIL[[#This Row],[VIDA UTIL (Días)]]))+1),"")</f>
        <v/>
      </c>
      <c r="R771" s="303"/>
      <c r="S771" s="30" t="str">
        <f t="shared" si="67"/>
        <v/>
      </c>
      <c r="T771" s="279">
        <f t="shared" si="68"/>
        <v>0</v>
      </c>
      <c r="U771" s="288"/>
      <c r="V771" s="265" t="str">
        <f>+IFERROR(IF(GUAYAQUIL[[#This Row],[CODIGO]]="","",GUAYAQUIL[[#This Row],[Stock Actual Unds]]*GUAYAQUIL[[#This Row],[Gramaje]]*GUAYAQUIL[[#This Row],[Conversión]]),"")</f>
        <v/>
      </c>
      <c r="W771" s="280">
        <f t="shared" si="69"/>
        <v>0</v>
      </c>
      <c r="X771" s="44" t="str">
        <f t="shared" si="70"/>
        <v/>
      </c>
      <c r="Y771" s="236">
        <f>IFERROR(VLOOKUP(GUAYAQUIL[[#This Row],[CODIGO]],MAESTRO!A:BI,21,FALSE),0)</f>
        <v>0</v>
      </c>
      <c r="Z771" s="236" t="str">
        <f>+IFERROR(IF(GUAYAQUIL[[#This Row],[CODIGO]]="","",GUAYAQUIL[[#This Row],[COSTO UNIT base]]*GUAYAQUIL[[#This Row],[Conversión]]),"")</f>
        <v/>
      </c>
      <c r="AA771" s="236" t="str">
        <f>+IFERROR(IF(GUAYAQUIL[[#This Row],[CODIGO]]="","",GUAYAQUIL[[#This Row],[COSTO UNIT Conv]]*GUAYAQUIL[[#This Row],[Stock Actual Kgs]]),"")</f>
        <v/>
      </c>
      <c r="AB771" s="180" t="str">
        <f>+IFERROR(IF(GUAYAQUIL[[#This Row],[CODIGO]]="","",$J$3-O771),"")</f>
        <v/>
      </c>
      <c r="AC771" s="35" t="str">
        <f>IF(GUAYAQUIL[[#This Row],[CODIGO]]="","",IF(S771&lt;=0,"CADUCADO",IF(AND(S771&gt;0,S771&lt;=21),"FECHA CORTA",IF(AND(S771&gt;=22,S771&lt;=26),"PROXIMOS FECHA CORTA", "VIGENTE"))))</f>
        <v/>
      </c>
      <c r="AD771" s="289" t="e">
        <f>+IF(GUAYAQUIL[[#This Row],[CODIGO]]="","",GUAYAQUIL[[#This Row],[Stock Actual Unds]]*GUAYAQUIL[[#This Row],[Gramaje]]*GUAYAQUIL[[#This Row],[Conversión]])/1000</f>
        <v>#VALUE!</v>
      </c>
    </row>
    <row r="772" spans="1:30">
      <c r="A772" s="42" t="str">
        <f>+IFERROR(IF(GUAYAQUIL[[#This Row],[CODIGO]]="","",VLOOKUP(GUAYAQUIL[[#This Row],[CODIGO]],MAESTRO!$A:$J,10,FALSE)),"")</f>
        <v/>
      </c>
      <c r="B772" s="42" t="str">
        <f>+IFERROR(IF(GUAYAQUIL[[#This Row],[CODIGO]]="","",VLOOKUP(GUAYAQUIL[[#This Row],[CODIGO]],MAESTRO!$A:$Q,17,FALSE)),"")</f>
        <v/>
      </c>
      <c r="C772" s="42" t="str">
        <f>+IFERROR(IF(GUAYAQUIL[[#This Row],[CODIGO]]="","",VLOOKUP(GUAYAQUIL[[#This Row],[CODIGO]],MAESTRO!$A:$BA,53,FALSE)),"")</f>
        <v/>
      </c>
      <c r="D772" s="42" t="str">
        <f>+IFERROR(IF(GUAYAQUIL[[#This Row],[CODIGO]]="","",VLOOKUP(GUAYAQUIL[[#This Row],[CODIGO]],MAESTRO!$A:$D,4,FALSE)),"")</f>
        <v/>
      </c>
      <c r="E772" s="42" t="str">
        <f>+IFERROR(IF(GUAYAQUIL[[#This Row],[CODIGO]]="","",VLOOKUP(GUAYAQUIL[[#This Row],[CODIGO]],MAESTRO!$A:$F,6,FALSE)),"")</f>
        <v/>
      </c>
      <c r="F772" s="42" t="str">
        <f>IF(GUAYAQUIL[[#This Row],[CODIGO]]="","",$K$6)</f>
        <v/>
      </c>
      <c r="G772" s="1" t="str">
        <f>IF(GUAYAQUIL[[#This Row],[CODIGO]]="","",7711)</f>
        <v/>
      </c>
      <c r="H772" s="1" t="str">
        <f>IF(GUAYAQUIL[[#This Row],[CODIGO]]="","",1001)</f>
        <v/>
      </c>
      <c r="I772" s="258"/>
      <c r="J772" s="43" t="str">
        <f>IFERROR((VLOOKUP(GUAYAQUIL[[#This Row],[CODIGO]],MAESTRO!A:B,2,FALSE)),"")</f>
        <v/>
      </c>
      <c r="K772" s="35"/>
      <c r="L772" s="205" t="str">
        <f>+IFERROR(IF(GUAYAQUIL[[#This Row],[CODIGO]]="","",VLOOKUP(GUAYAQUIL[[#This Row],[CODIGO]],MAESTRO!$A:$BF,58,FALSE)),"")</f>
        <v/>
      </c>
      <c r="M772" s="27" t="str">
        <f>+IFERROR(IF(GUAYAQUIL[[#This Row],[CODIGO]]="","",VLOOKUP(GUAYAQUIL[[#This Row],[CODIGO]],MAESTRO!A:N,14,FALSE)),"")</f>
        <v/>
      </c>
      <c r="N772" s="206" t="str">
        <f>+IFERROR(IF(GUAYAQUIL[[#This Row],[CODIGO]]="","",VLOOKUP(GUAYAQUIL[[#This Row],[CODIGO]],MAESTRO!A:P,16,FALSE)),"")</f>
        <v/>
      </c>
      <c r="O772" s="303"/>
      <c r="P772" s="99" t="str">
        <f t="shared" si="66"/>
        <v/>
      </c>
      <c r="Q772" s="304" t="str">
        <f>IFERROR(IF(GUAYAQUIL[[#This Row],[CODIGO]]="","",IF(GUAYAQUIL[[#This Row],[Fecha Cad]]="","",(GUAYAQUIL[[#This Row],[Fecha Cad]]-GUAYAQUIL[[#This Row],[VIDA UTIL (Días)]]))+1),"")</f>
        <v/>
      </c>
      <c r="R772" s="303"/>
      <c r="S772" s="30" t="str">
        <f t="shared" si="67"/>
        <v/>
      </c>
      <c r="T772" s="279">
        <f t="shared" si="68"/>
        <v>0</v>
      </c>
      <c r="U772" s="288"/>
      <c r="V772" s="265" t="str">
        <f>+IFERROR(IF(GUAYAQUIL[[#This Row],[CODIGO]]="","",GUAYAQUIL[[#This Row],[Stock Actual Unds]]*GUAYAQUIL[[#This Row],[Gramaje]]*GUAYAQUIL[[#This Row],[Conversión]]),"")</f>
        <v/>
      </c>
      <c r="W772" s="280">
        <f t="shared" si="69"/>
        <v>0</v>
      </c>
      <c r="X772" s="44" t="str">
        <f t="shared" si="70"/>
        <v/>
      </c>
      <c r="Y772" s="236">
        <f>IFERROR(VLOOKUP(GUAYAQUIL[[#This Row],[CODIGO]],MAESTRO!A:BI,21,FALSE),0)</f>
        <v>0</v>
      </c>
      <c r="Z772" s="236" t="str">
        <f>+IFERROR(IF(GUAYAQUIL[[#This Row],[CODIGO]]="","",GUAYAQUIL[[#This Row],[COSTO UNIT base]]*GUAYAQUIL[[#This Row],[Conversión]]),"")</f>
        <v/>
      </c>
      <c r="AA772" s="236" t="str">
        <f>+IFERROR(IF(GUAYAQUIL[[#This Row],[CODIGO]]="","",GUAYAQUIL[[#This Row],[COSTO UNIT Conv]]*GUAYAQUIL[[#This Row],[Stock Actual Kgs]]),"")</f>
        <v/>
      </c>
      <c r="AB772" s="180" t="str">
        <f>+IFERROR(IF(GUAYAQUIL[[#This Row],[CODIGO]]="","",$J$3-O772),"")</f>
        <v/>
      </c>
      <c r="AC772" s="35" t="str">
        <f>IF(GUAYAQUIL[[#This Row],[CODIGO]]="","",IF(S772&lt;=0,"CADUCADO",IF(AND(S772&gt;0,S772&lt;=21),"FECHA CORTA",IF(AND(S772&gt;=22,S772&lt;=26),"PROXIMOS FECHA CORTA", "VIGENTE"))))</f>
        <v/>
      </c>
      <c r="AD772" s="289" t="e">
        <f>+IF(GUAYAQUIL[[#This Row],[CODIGO]]="","",GUAYAQUIL[[#This Row],[Stock Actual Unds]]*GUAYAQUIL[[#This Row],[Gramaje]]*GUAYAQUIL[[#This Row],[Conversión]])/1000</f>
        <v>#VALUE!</v>
      </c>
    </row>
    <row r="773" spans="1:30">
      <c r="A773" s="42" t="str">
        <f>+IFERROR(IF(GUAYAQUIL[[#This Row],[CODIGO]]="","",VLOOKUP(GUAYAQUIL[[#This Row],[CODIGO]],MAESTRO!$A:$J,10,FALSE)),"")</f>
        <v/>
      </c>
      <c r="B773" s="42" t="str">
        <f>+IFERROR(IF(GUAYAQUIL[[#This Row],[CODIGO]]="","",VLOOKUP(GUAYAQUIL[[#This Row],[CODIGO]],MAESTRO!$A:$Q,17,FALSE)),"")</f>
        <v/>
      </c>
      <c r="C773" s="42" t="str">
        <f>+IFERROR(IF(GUAYAQUIL[[#This Row],[CODIGO]]="","",VLOOKUP(GUAYAQUIL[[#This Row],[CODIGO]],MAESTRO!$A:$BA,53,FALSE)),"")</f>
        <v/>
      </c>
      <c r="D773" s="42" t="str">
        <f>+IFERROR(IF(GUAYAQUIL[[#This Row],[CODIGO]]="","",VLOOKUP(GUAYAQUIL[[#This Row],[CODIGO]],MAESTRO!$A:$D,4,FALSE)),"")</f>
        <v/>
      </c>
      <c r="E773" s="42" t="str">
        <f>+IFERROR(IF(GUAYAQUIL[[#This Row],[CODIGO]]="","",VLOOKUP(GUAYAQUIL[[#This Row],[CODIGO]],MAESTRO!$A:$F,6,FALSE)),"")</f>
        <v/>
      </c>
      <c r="F773" s="42" t="str">
        <f>IF(GUAYAQUIL[[#This Row],[CODIGO]]="","",$K$6)</f>
        <v/>
      </c>
      <c r="G773" s="1" t="str">
        <f>IF(GUAYAQUIL[[#This Row],[CODIGO]]="","",7711)</f>
        <v/>
      </c>
      <c r="H773" s="1" t="str">
        <f>IF(GUAYAQUIL[[#This Row],[CODIGO]]="","",1001)</f>
        <v/>
      </c>
      <c r="I773" s="258"/>
      <c r="J773" s="43" t="str">
        <f>IFERROR((VLOOKUP(GUAYAQUIL[[#This Row],[CODIGO]],MAESTRO!A:B,2,FALSE)),"")</f>
        <v/>
      </c>
      <c r="K773" s="35"/>
      <c r="L773" s="205" t="str">
        <f>+IFERROR(IF(GUAYAQUIL[[#This Row],[CODIGO]]="","",VLOOKUP(GUAYAQUIL[[#This Row],[CODIGO]],MAESTRO!$A:$BF,58,FALSE)),"")</f>
        <v/>
      </c>
      <c r="M773" s="27" t="str">
        <f>+IFERROR(IF(GUAYAQUIL[[#This Row],[CODIGO]]="","",VLOOKUP(GUAYAQUIL[[#This Row],[CODIGO]],MAESTRO!A:N,14,FALSE)),"")</f>
        <v/>
      </c>
      <c r="N773" s="206" t="str">
        <f>+IFERROR(IF(GUAYAQUIL[[#This Row],[CODIGO]]="","",VLOOKUP(GUAYAQUIL[[#This Row],[CODIGO]],MAESTRO!A:P,16,FALSE)),"")</f>
        <v/>
      </c>
      <c r="O773" s="303"/>
      <c r="P773" s="99" t="str">
        <f t="shared" si="66"/>
        <v/>
      </c>
      <c r="Q773" s="304" t="str">
        <f>IFERROR(IF(GUAYAQUIL[[#This Row],[CODIGO]]="","",IF(GUAYAQUIL[[#This Row],[Fecha Cad]]="","",(GUAYAQUIL[[#This Row],[Fecha Cad]]-GUAYAQUIL[[#This Row],[VIDA UTIL (Días)]]))+1),"")</f>
        <v/>
      </c>
      <c r="R773" s="303"/>
      <c r="S773" s="30" t="str">
        <f t="shared" si="67"/>
        <v/>
      </c>
      <c r="T773" s="279">
        <f t="shared" si="68"/>
        <v>0</v>
      </c>
      <c r="U773" s="288"/>
      <c r="V773" s="265" t="str">
        <f>+IFERROR(IF(GUAYAQUIL[[#This Row],[CODIGO]]="","",GUAYAQUIL[[#This Row],[Stock Actual Unds]]*GUAYAQUIL[[#This Row],[Gramaje]]*GUAYAQUIL[[#This Row],[Conversión]]),"")</f>
        <v/>
      </c>
      <c r="W773" s="280">
        <f t="shared" si="69"/>
        <v>0</v>
      </c>
      <c r="X773" s="44" t="str">
        <f t="shared" si="70"/>
        <v/>
      </c>
      <c r="Y773" s="236">
        <f>IFERROR(VLOOKUP(GUAYAQUIL[[#This Row],[CODIGO]],MAESTRO!A:BI,21,FALSE),0)</f>
        <v>0</v>
      </c>
      <c r="Z773" s="236" t="str">
        <f>+IFERROR(IF(GUAYAQUIL[[#This Row],[CODIGO]]="","",GUAYAQUIL[[#This Row],[COSTO UNIT base]]*GUAYAQUIL[[#This Row],[Conversión]]),"")</f>
        <v/>
      </c>
      <c r="AA773" s="236" t="str">
        <f>+IFERROR(IF(GUAYAQUIL[[#This Row],[CODIGO]]="","",GUAYAQUIL[[#This Row],[COSTO UNIT Conv]]*GUAYAQUIL[[#This Row],[Stock Actual Kgs]]),"")</f>
        <v/>
      </c>
      <c r="AB773" s="180" t="str">
        <f>+IFERROR(IF(GUAYAQUIL[[#This Row],[CODIGO]]="","",$J$3-O773),"")</f>
        <v/>
      </c>
      <c r="AC773" s="35" t="str">
        <f>IF(GUAYAQUIL[[#This Row],[CODIGO]]="","",IF(S773&lt;=0,"CADUCADO",IF(AND(S773&gt;0,S773&lt;=21),"FECHA CORTA",IF(AND(S773&gt;=22,S773&lt;=26),"PROXIMOS FECHA CORTA", "VIGENTE"))))</f>
        <v/>
      </c>
      <c r="AD773" s="289" t="e">
        <f>+IF(GUAYAQUIL[[#This Row],[CODIGO]]="","",GUAYAQUIL[[#This Row],[Stock Actual Unds]]*GUAYAQUIL[[#This Row],[Gramaje]]*GUAYAQUIL[[#This Row],[Conversión]])/1000</f>
        <v>#VALUE!</v>
      </c>
    </row>
    <row r="774" spans="1:30">
      <c r="A774" s="42" t="str">
        <f>+IFERROR(IF(GUAYAQUIL[[#This Row],[CODIGO]]="","",VLOOKUP(GUAYAQUIL[[#This Row],[CODIGO]],MAESTRO!$A:$J,10,FALSE)),"")</f>
        <v/>
      </c>
      <c r="B774" s="42" t="str">
        <f>+IFERROR(IF(GUAYAQUIL[[#This Row],[CODIGO]]="","",VLOOKUP(GUAYAQUIL[[#This Row],[CODIGO]],MAESTRO!$A:$Q,17,FALSE)),"")</f>
        <v/>
      </c>
      <c r="C774" s="42" t="str">
        <f>+IFERROR(IF(GUAYAQUIL[[#This Row],[CODIGO]]="","",VLOOKUP(GUAYAQUIL[[#This Row],[CODIGO]],MAESTRO!$A:$BA,53,FALSE)),"")</f>
        <v/>
      </c>
      <c r="D774" s="42" t="str">
        <f>+IFERROR(IF(GUAYAQUIL[[#This Row],[CODIGO]]="","",VLOOKUP(GUAYAQUIL[[#This Row],[CODIGO]],MAESTRO!$A:$D,4,FALSE)),"")</f>
        <v/>
      </c>
      <c r="E774" s="42" t="str">
        <f>+IFERROR(IF(GUAYAQUIL[[#This Row],[CODIGO]]="","",VLOOKUP(GUAYAQUIL[[#This Row],[CODIGO]],MAESTRO!$A:$F,6,FALSE)),"")</f>
        <v/>
      </c>
      <c r="F774" s="42" t="str">
        <f>IF(GUAYAQUIL[[#This Row],[CODIGO]]="","",$K$6)</f>
        <v/>
      </c>
      <c r="G774" s="1" t="str">
        <f>IF(GUAYAQUIL[[#This Row],[CODIGO]]="","",7711)</f>
        <v/>
      </c>
      <c r="H774" s="1" t="str">
        <f>IF(GUAYAQUIL[[#This Row],[CODIGO]]="","",1001)</f>
        <v/>
      </c>
      <c r="I774" s="258"/>
      <c r="J774" s="43" t="str">
        <f>IFERROR((VLOOKUP(GUAYAQUIL[[#This Row],[CODIGO]],MAESTRO!A:B,2,FALSE)),"")</f>
        <v/>
      </c>
      <c r="K774" s="35"/>
      <c r="L774" s="205" t="str">
        <f>+IFERROR(IF(GUAYAQUIL[[#This Row],[CODIGO]]="","",VLOOKUP(GUAYAQUIL[[#This Row],[CODIGO]],MAESTRO!$A:$BF,58,FALSE)),"")</f>
        <v/>
      </c>
      <c r="M774" s="27" t="str">
        <f>+IFERROR(IF(GUAYAQUIL[[#This Row],[CODIGO]]="","",VLOOKUP(GUAYAQUIL[[#This Row],[CODIGO]],MAESTRO!A:N,14,FALSE)),"")</f>
        <v/>
      </c>
      <c r="N774" s="206" t="str">
        <f>+IFERROR(IF(GUAYAQUIL[[#This Row],[CODIGO]]="","",VLOOKUP(GUAYAQUIL[[#This Row],[CODIGO]],MAESTRO!A:P,16,FALSE)),"")</f>
        <v/>
      </c>
      <c r="O774" s="303"/>
      <c r="P774" s="99" t="str">
        <f t="shared" si="66"/>
        <v/>
      </c>
      <c r="Q774" s="304" t="str">
        <f>IFERROR(IF(GUAYAQUIL[[#This Row],[CODIGO]]="","",IF(GUAYAQUIL[[#This Row],[Fecha Cad]]="","",(GUAYAQUIL[[#This Row],[Fecha Cad]]-GUAYAQUIL[[#This Row],[VIDA UTIL (Días)]]))+1),"")</f>
        <v/>
      </c>
      <c r="R774" s="303"/>
      <c r="S774" s="30" t="str">
        <f t="shared" si="67"/>
        <v/>
      </c>
      <c r="T774" s="279">
        <f t="shared" si="68"/>
        <v>0</v>
      </c>
      <c r="U774" s="288"/>
      <c r="V774" s="265" t="str">
        <f>+IFERROR(IF(GUAYAQUIL[[#This Row],[CODIGO]]="","",GUAYAQUIL[[#This Row],[Stock Actual Unds]]*GUAYAQUIL[[#This Row],[Gramaje]]*GUAYAQUIL[[#This Row],[Conversión]]),"")</f>
        <v/>
      </c>
      <c r="W774" s="280">
        <f t="shared" si="69"/>
        <v>0</v>
      </c>
      <c r="X774" s="44" t="str">
        <f t="shared" si="70"/>
        <v/>
      </c>
      <c r="Y774" s="236">
        <f>IFERROR(VLOOKUP(GUAYAQUIL[[#This Row],[CODIGO]],MAESTRO!A:BI,21,FALSE),0)</f>
        <v>0</v>
      </c>
      <c r="Z774" s="236" t="str">
        <f>+IFERROR(IF(GUAYAQUIL[[#This Row],[CODIGO]]="","",GUAYAQUIL[[#This Row],[COSTO UNIT base]]*GUAYAQUIL[[#This Row],[Conversión]]),"")</f>
        <v/>
      </c>
      <c r="AA774" s="236" t="str">
        <f>+IFERROR(IF(GUAYAQUIL[[#This Row],[CODIGO]]="","",GUAYAQUIL[[#This Row],[COSTO UNIT Conv]]*GUAYAQUIL[[#This Row],[Stock Actual Kgs]]),"")</f>
        <v/>
      </c>
      <c r="AB774" s="180" t="str">
        <f>+IFERROR(IF(GUAYAQUIL[[#This Row],[CODIGO]]="","",$J$3-O774),"")</f>
        <v/>
      </c>
      <c r="AC774" s="35" t="str">
        <f>IF(GUAYAQUIL[[#This Row],[CODIGO]]="","",IF(S774&lt;=0,"CADUCADO",IF(AND(S774&gt;0,S774&lt;=21),"FECHA CORTA",IF(AND(S774&gt;=22,S774&lt;=26),"PROXIMOS FECHA CORTA", "VIGENTE"))))</f>
        <v/>
      </c>
      <c r="AD774" s="289" t="e">
        <f>+IF(GUAYAQUIL[[#This Row],[CODIGO]]="","",GUAYAQUIL[[#This Row],[Stock Actual Unds]]*GUAYAQUIL[[#This Row],[Gramaje]]*GUAYAQUIL[[#This Row],[Conversión]])/1000</f>
        <v>#VALUE!</v>
      </c>
    </row>
    <row r="775" spans="1:30">
      <c r="A775" s="42" t="str">
        <f>+IFERROR(IF(GUAYAQUIL[[#This Row],[CODIGO]]="","",VLOOKUP(GUAYAQUIL[[#This Row],[CODIGO]],MAESTRO!$A:$J,10,FALSE)),"")</f>
        <v/>
      </c>
      <c r="B775" s="42" t="str">
        <f>+IFERROR(IF(GUAYAQUIL[[#This Row],[CODIGO]]="","",VLOOKUP(GUAYAQUIL[[#This Row],[CODIGO]],MAESTRO!$A:$Q,17,FALSE)),"")</f>
        <v/>
      </c>
      <c r="C775" s="42" t="str">
        <f>+IFERROR(IF(GUAYAQUIL[[#This Row],[CODIGO]]="","",VLOOKUP(GUAYAQUIL[[#This Row],[CODIGO]],MAESTRO!$A:$BA,53,FALSE)),"")</f>
        <v/>
      </c>
      <c r="D775" s="42" t="str">
        <f>+IFERROR(IF(GUAYAQUIL[[#This Row],[CODIGO]]="","",VLOOKUP(GUAYAQUIL[[#This Row],[CODIGO]],MAESTRO!$A:$D,4,FALSE)),"")</f>
        <v/>
      </c>
      <c r="E775" s="42" t="str">
        <f>+IFERROR(IF(GUAYAQUIL[[#This Row],[CODIGO]]="","",VLOOKUP(GUAYAQUIL[[#This Row],[CODIGO]],MAESTRO!$A:$F,6,FALSE)),"")</f>
        <v/>
      </c>
      <c r="F775" s="42" t="str">
        <f>IF(GUAYAQUIL[[#This Row],[CODIGO]]="","",$K$6)</f>
        <v/>
      </c>
      <c r="G775" s="1" t="str">
        <f>IF(GUAYAQUIL[[#This Row],[CODIGO]]="","",7711)</f>
        <v/>
      </c>
      <c r="H775" s="1" t="str">
        <f>IF(GUAYAQUIL[[#This Row],[CODIGO]]="","",1001)</f>
        <v/>
      </c>
      <c r="I775" s="258"/>
      <c r="J775" s="43" t="str">
        <f>IFERROR((VLOOKUP(GUAYAQUIL[[#This Row],[CODIGO]],MAESTRO!A:B,2,FALSE)),"")</f>
        <v/>
      </c>
      <c r="K775" s="35"/>
      <c r="L775" s="205" t="str">
        <f>+IFERROR(IF(GUAYAQUIL[[#This Row],[CODIGO]]="","",VLOOKUP(GUAYAQUIL[[#This Row],[CODIGO]],MAESTRO!$A:$BF,58,FALSE)),"")</f>
        <v/>
      </c>
      <c r="M775" s="27" t="str">
        <f>+IFERROR(IF(GUAYAQUIL[[#This Row],[CODIGO]]="","",VLOOKUP(GUAYAQUIL[[#This Row],[CODIGO]],MAESTRO!A:N,14,FALSE)),"")</f>
        <v/>
      </c>
      <c r="N775" s="206" t="str">
        <f>+IFERROR(IF(GUAYAQUIL[[#This Row],[CODIGO]]="","",VLOOKUP(GUAYAQUIL[[#This Row],[CODIGO]],MAESTRO!A:P,16,FALSE)),"")</f>
        <v/>
      </c>
      <c r="O775" s="303"/>
      <c r="P775" s="99" t="str">
        <f t="shared" si="66"/>
        <v/>
      </c>
      <c r="Q775" s="304" t="str">
        <f>IFERROR(IF(GUAYAQUIL[[#This Row],[CODIGO]]="","",IF(GUAYAQUIL[[#This Row],[Fecha Cad]]="","",(GUAYAQUIL[[#This Row],[Fecha Cad]]-GUAYAQUIL[[#This Row],[VIDA UTIL (Días)]]))+1),"")</f>
        <v/>
      </c>
      <c r="R775" s="303"/>
      <c r="S775" s="30" t="str">
        <f t="shared" si="67"/>
        <v/>
      </c>
      <c r="T775" s="279">
        <f t="shared" si="68"/>
        <v>0</v>
      </c>
      <c r="U775" s="288"/>
      <c r="V775" s="265" t="str">
        <f>+IFERROR(IF(GUAYAQUIL[[#This Row],[CODIGO]]="","",GUAYAQUIL[[#This Row],[Stock Actual Unds]]*GUAYAQUIL[[#This Row],[Gramaje]]*GUAYAQUIL[[#This Row],[Conversión]]),"")</f>
        <v/>
      </c>
      <c r="W775" s="280">
        <f t="shared" si="69"/>
        <v>0</v>
      </c>
      <c r="X775" s="44" t="str">
        <f t="shared" si="70"/>
        <v/>
      </c>
      <c r="Y775" s="236">
        <f>IFERROR(VLOOKUP(GUAYAQUIL[[#This Row],[CODIGO]],MAESTRO!A:BI,21,FALSE),0)</f>
        <v>0</v>
      </c>
      <c r="Z775" s="236" t="str">
        <f>+IFERROR(IF(GUAYAQUIL[[#This Row],[CODIGO]]="","",GUAYAQUIL[[#This Row],[COSTO UNIT base]]*GUAYAQUIL[[#This Row],[Conversión]]),"")</f>
        <v/>
      </c>
      <c r="AA775" s="236" t="str">
        <f>+IFERROR(IF(GUAYAQUIL[[#This Row],[CODIGO]]="","",GUAYAQUIL[[#This Row],[COSTO UNIT Conv]]*GUAYAQUIL[[#This Row],[Stock Actual Kgs]]),"")</f>
        <v/>
      </c>
      <c r="AB775" s="180" t="str">
        <f>+IFERROR(IF(GUAYAQUIL[[#This Row],[CODIGO]]="","",$J$3-O775),"")</f>
        <v/>
      </c>
      <c r="AC775" s="35" t="str">
        <f>IF(GUAYAQUIL[[#This Row],[CODIGO]]="","",IF(S775&lt;=0,"CADUCADO",IF(AND(S775&gt;0,S775&lt;=21),"FECHA CORTA",IF(AND(S775&gt;=22,S775&lt;=26),"PROXIMOS FECHA CORTA", "VIGENTE"))))</f>
        <v/>
      </c>
      <c r="AD775" s="289" t="e">
        <f>+IF(GUAYAQUIL[[#This Row],[CODIGO]]="","",GUAYAQUIL[[#This Row],[Stock Actual Unds]]*GUAYAQUIL[[#This Row],[Gramaje]]*GUAYAQUIL[[#This Row],[Conversión]])/1000</f>
        <v>#VALUE!</v>
      </c>
    </row>
    <row r="776" spans="1:30">
      <c r="A776" s="42" t="str">
        <f>+IFERROR(IF(GUAYAQUIL[[#This Row],[CODIGO]]="","",VLOOKUP(GUAYAQUIL[[#This Row],[CODIGO]],MAESTRO!$A:$J,10,FALSE)),"")</f>
        <v/>
      </c>
      <c r="B776" s="42" t="str">
        <f>+IFERROR(IF(GUAYAQUIL[[#This Row],[CODIGO]]="","",VLOOKUP(GUAYAQUIL[[#This Row],[CODIGO]],MAESTRO!$A:$Q,17,FALSE)),"")</f>
        <v/>
      </c>
      <c r="C776" s="42" t="str">
        <f>+IFERROR(IF(GUAYAQUIL[[#This Row],[CODIGO]]="","",VLOOKUP(GUAYAQUIL[[#This Row],[CODIGO]],MAESTRO!$A:$BA,53,FALSE)),"")</f>
        <v/>
      </c>
      <c r="D776" s="42" t="str">
        <f>+IFERROR(IF(GUAYAQUIL[[#This Row],[CODIGO]]="","",VLOOKUP(GUAYAQUIL[[#This Row],[CODIGO]],MAESTRO!$A:$D,4,FALSE)),"")</f>
        <v/>
      </c>
      <c r="E776" s="42" t="str">
        <f>+IFERROR(IF(GUAYAQUIL[[#This Row],[CODIGO]]="","",VLOOKUP(GUAYAQUIL[[#This Row],[CODIGO]],MAESTRO!$A:$F,6,FALSE)),"")</f>
        <v/>
      </c>
      <c r="F776" s="42" t="str">
        <f>IF(GUAYAQUIL[[#This Row],[CODIGO]]="","",$K$6)</f>
        <v/>
      </c>
      <c r="G776" s="1" t="str">
        <f>IF(GUAYAQUIL[[#This Row],[CODIGO]]="","",7711)</f>
        <v/>
      </c>
      <c r="H776" s="1" t="str">
        <f>IF(GUAYAQUIL[[#This Row],[CODIGO]]="","",1001)</f>
        <v/>
      </c>
      <c r="I776" s="258"/>
      <c r="J776" s="43" t="str">
        <f>IFERROR((VLOOKUP(GUAYAQUIL[[#This Row],[CODIGO]],MAESTRO!A:B,2,FALSE)),"")</f>
        <v/>
      </c>
      <c r="K776" s="35"/>
      <c r="L776" s="205" t="str">
        <f>+IFERROR(IF(GUAYAQUIL[[#This Row],[CODIGO]]="","",VLOOKUP(GUAYAQUIL[[#This Row],[CODIGO]],MAESTRO!$A:$BF,58,FALSE)),"")</f>
        <v/>
      </c>
      <c r="M776" s="27" t="str">
        <f>+IFERROR(IF(GUAYAQUIL[[#This Row],[CODIGO]]="","",VLOOKUP(GUAYAQUIL[[#This Row],[CODIGO]],MAESTRO!A:N,14,FALSE)),"")</f>
        <v/>
      </c>
      <c r="N776" s="206" t="str">
        <f>+IFERROR(IF(GUAYAQUIL[[#This Row],[CODIGO]]="","",VLOOKUP(GUAYAQUIL[[#This Row],[CODIGO]],MAESTRO!A:P,16,FALSE)),"")</f>
        <v/>
      </c>
      <c r="O776" s="303"/>
      <c r="P776" s="99" t="str">
        <f t="shared" si="66"/>
        <v/>
      </c>
      <c r="Q776" s="304" t="str">
        <f>IFERROR(IF(GUAYAQUIL[[#This Row],[CODIGO]]="","",IF(GUAYAQUIL[[#This Row],[Fecha Cad]]="","",(GUAYAQUIL[[#This Row],[Fecha Cad]]-GUAYAQUIL[[#This Row],[VIDA UTIL (Días)]]))+1),"")</f>
        <v/>
      </c>
      <c r="R776" s="303"/>
      <c r="S776" s="30" t="str">
        <f t="shared" si="67"/>
        <v/>
      </c>
      <c r="T776" s="279">
        <f t="shared" si="68"/>
        <v>0</v>
      </c>
      <c r="U776" s="288"/>
      <c r="V776" s="265" t="str">
        <f>+IFERROR(IF(GUAYAQUIL[[#This Row],[CODIGO]]="","",GUAYAQUIL[[#This Row],[Stock Actual Unds]]*GUAYAQUIL[[#This Row],[Gramaje]]*GUAYAQUIL[[#This Row],[Conversión]]),"")</f>
        <v/>
      </c>
      <c r="W776" s="280">
        <f t="shared" si="69"/>
        <v>0</v>
      </c>
      <c r="X776" s="44" t="str">
        <f t="shared" si="70"/>
        <v/>
      </c>
      <c r="Y776" s="236">
        <f>IFERROR(VLOOKUP(GUAYAQUIL[[#This Row],[CODIGO]],MAESTRO!A:BI,21,FALSE),0)</f>
        <v>0</v>
      </c>
      <c r="Z776" s="236" t="str">
        <f>+IFERROR(IF(GUAYAQUIL[[#This Row],[CODIGO]]="","",GUAYAQUIL[[#This Row],[COSTO UNIT base]]*GUAYAQUIL[[#This Row],[Conversión]]),"")</f>
        <v/>
      </c>
      <c r="AA776" s="236" t="str">
        <f>+IFERROR(IF(GUAYAQUIL[[#This Row],[CODIGO]]="","",GUAYAQUIL[[#This Row],[COSTO UNIT Conv]]*GUAYAQUIL[[#This Row],[Stock Actual Kgs]]),"")</f>
        <v/>
      </c>
      <c r="AB776" s="180" t="str">
        <f>+IFERROR(IF(GUAYAQUIL[[#This Row],[CODIGO]]="","",$J$3-O776),"")</f>
        <v/>
      </c>
      <c r="AC776" s="35" t="str">
        <f>IF(GUAYAQUIL[[#This Row],[CODIGO]]="","",IF(S776&lt;=0,"CADUCADO",IF(AND(S776&gt;0,S776&lt;=21),"FECHA CORTA",IF(AND(S776&gt;=22,S776&lt;=26),"PROXIMOS FECHA CORTA", "VIGENTE"))))</f>
        <v/>
      </c>
      <c r="AD776" s="289" t="e">
        <f>+IF(GUAYAQUIL[[#This Row],[CODIGO]]="","",GUAYAQUIL[[#This Row],[Stock Actual Unds]]*GUAYAQUIL[[#This Row],[Gramaje]]*GUAYAQUIL[[#This Row],[Conversión]])/1000</f>
        <v>#VALUE!</v>
      </c>
    </row>
    <row r="777" spans="1:30">
      <c r="A777" s="42" t="str">
        <f>+IFERROR(IF(GUAYAQUIL[[#This Row],[CODIGO]]="","",VLOOKUP(GUAYAQUIL[[#This Row],[CODIGO]],MAESTRO!$A:$J,10,FALSE)),"")</f>
        <v/>
      </c>
      <c r="B777" s="42" t="str">
        <f>+IFERROR(IF(GUAYAQUIL[[#This Row],[CODIGO]]="","",VLOOKUP(GUAYAQUIL[[#This Row],[CODIGO]],MAESTRO!$A:$Q,17,FALSE)),"")</f>
        <v/>
      </c>
      <c r="C777" s="42" t="str">
        <f>+IFERROR(IF(GUAYAQUIL[[#This Row],[CODIGO]]="","",VLOOKUP(GUAYAQUIL[[#This Row],[CODIGO]],MAESTRO!$A:$BA,53,FALSE)),"")</f>
        <v/>
      </c>
      <c r="D777" s="42" t="str">
        <f>+IFERROR(IF(GUAYAQUIL[[#This Row],[CODIGO]]="","",VLOOKUP(GUAYAQUIL[[#This Row],[CODIGO]],MAESTRO!$A:$D,4,FALSE)),"")</f>
        <v/>
      </c>
      <c r="E777" s="42" t="str">
        <f>+IFERROR(IF(GUAYAQUIL[[#This Row],[CODIGO]]="","",VLOOKUP(GUAYAQUIL[[#This Row],[CODIGO]],MAESTRO!$A:$F,6,FALSE)),"")</f>
        <v/>
      </c>
      <c r="F777" s="42" t="str">
        <f>IF(GUAYAQUIL[[#This Row],[CODIGO]]="","",$K$6)</f>
        <v/>
      </c>
      <c r="G777" s="1" t="str">
        <f>IF(GUAYAQUIL[[#This Row],[CODIGO]]="","",7711)</f>
        <v/>
      </c>
      <c r="H777" s="1" t="str">
        <f>IF(GUAYAQUIL[[#This Row],[CODIGO]]="","",1001)</f>
        <v/>
      </c>
      <c r="I777" s="258"/>
      <c r="J777" s="43" t="str">
        <f>IFERROR((VLOOKUP(GUAYAQUIL[[#This Row],[CODIGO]],MAESTRO!A:B,2,FALSE)),"")</f>
        <v/>
      </c>
      <c r="K777" s="35"/>
      <c r="L777" s="205" t="str">
        <f>+IFERROR(IF(GUAYAQUIL[[#This Row],[CODIGO]]="","",VLOOKUP(GUAYAQUIL[[#This Row],[CODIGO]],MAESTRO!$A:$BF,58,FALSE)),"")</f>
        <v/>
      </c>
      <c r="M777" s="27" t="str">
        <f>+IFERROR(IF(GUAYAQUIL[[#This Row],[CODIGO]]="","",VLOOKUP(GUAYAQUIL[[#This Row],[CODIGO]],MAESTRO!A:N,14,FALSE)),"")</f>
        <v/>
      </c>
      <c r="N777" s="206" t="str">
        <f>+IFERROR(IF(GUAYAQUIL[[#This Row],[CODIGO]]="","",VLOOKUP(GUAYAQUIL[[#This Row],[CODIGO]],MAESTRO!A:P,16,FALSE)),"")</f>
        <v/>
      </c>
      <c r="O777" s="303"/>
      <c r="P777" s="99" t="str">
        <f t="shared" si="66"/>
        <v/>
      </c>
      <c r="Q777" s="304" t="str">
        <f>IFERROR(IF(GUAYAQUIL[[#This Row],[CODIGO]]="","",IF(GUAYAQUIL[[#This Row],[Fecha Cad]]="","",(GUAYAQUIL[[#This Row],[Fecha Cad]]-GUAYAQUIL[[#This Row],[VIDA UTIL (Días)]]))+1),"")</f>
        <v/>
      </c>
      <c r="R777" s="303"/>
      <c r="S777" s="30" t="str">
        <f t="shared" si="67"/>
        <v/>
      </c>
      <c r="T777" s="279">
        <f t="shared" si="68"/>
        <v>0</v>
      </c>
      <c r="U777" s="288"/>
      <c r="V777" s="265" t="str">
        <f>+IFERROR(IF(GUAYAQUIL[[#This Row],[CODIGO]]="","",GUAYAQUIL[[#This Row],[Stock Actual Unds]]*GUAYAQUIL[[#This Row],[Gramaje]]*GUAYAQUIL[[#This Row],[Conversión]]),"")</f>
        <v/>
      </c>
      <c r="W777" s="280">
        <f t="shared" si="69"/>
        <v>0</v>
      </c>
      <c r="X777" s="44" t="str">
        <f t="shared" si="70"/>
        <v/>
      </c>
      <c r="Y777" s="236">
        <f>IFERROR(VLOOKUP(GUAYAQUIL[[#This Row],[CODIGO]],MAESTRO!A:BI,21,FALSE),0)</f>
        <v>0</v>
      </c>
      <c r="Z777" s="236" t="str">
        <f>+IFERROR(IF(GUAYAQUIL[[#This Row],[CODIGO]]="","",GUAYAQUIL[[#This Row],[COSTO UNIT base]]*GUAYAQUIL[[#This Row],[Conversión]]),"")</f>
        <v/>
      </c>
      <c r="AA777" s="236" t="str">
        <f>+IFERROR(IF(GUAYAQUIL[[#This Row],[CODIGO]]="","",GUAYAQUIL[[#This Row],[COSTO UNIT Conv]]*GUAYAQUIL[[#This Row],[Stock Actual Kgs]]),"")</f>
        <v/>
      </c>
      <c r="AB777" s="180" t="str">
        <f>+IFERROR(IF(GUAYAQUIL[[#This Row],[CODIGO]]="","",$J$3-O777),"")</f>
        <v/>
      </c>
      <c r="AC777" s="35" t="str">
        <f>IF(GUAYAQUIL[[#This Row],[CODIGO]]="","",IF(S777&lt;=0,"CADUCADO",IF(AND(S777&gt;0,S777&lt;=21),"FECHA CORTA",IF(AND(S777&gt;=22,S777&lt;=26),"PROXIMOS FECHA CORTA", "VIGENTE"))))</f>
        <v/>
      </c>
      <c r="AD777" s="289" t="e">
        <f>+IF(GUAYAQUIL[[#This Row],[CODIGO]]="","",GUAYAQUIL[[#This Row],[Stock Actual Unds]]*GUAYAQUIL[[#This Row],[Gramaje]]*GUAYAQUIL[[#This Row],[Conversión]])/1000</f>
        <v>#VALUE!</v>
      </c>
    </row>
    <row r="778" spans="1:30">
      <c r="A778" s="42" t="str">
        <f>+IFERROR(IF(GUAYAQUIL[[#This Row],[CODIGO]]="","",VLOOKUP(GUAYAQUIL[[#This Row],[CODIGO]],MAESTRO!$A:$J,10,FALSE)),"")</f>
        <v/>
      </c>
      <c r="B778" s="42" t="str">
        <f>+IFERROR(IF(GUAYAQUIL[[#This Row],[CODIGO]]="","",VLOOKUP(GUAYAQUIL[[#This Row],[CODIGO]],MAESTRO!$A:$Q,17,FALSE)),"")</f>
        <v/>
      </c>
      <c r="C778" s="42" t="str">
        <f>+IFERROR(IF(GUAYAQUIL[[#This Row],[CODIGO]]="","",VLOOKUP(GUAYAQUIL[[#This Row],[CODIGO]],MAESTRO!$A:$BA,53,FALSE)),"")</f>
        <v/>
      </c>
      <c r="D778" s="42" t="str">
        <f>+IFERROR(IF(GUAYAQUIL[[#This Row],[CODIGO]]="","",VLOOKUP(GUAYAQUIL[[#This Row],[CODIGO]],MAESTRO!$A:$D,4,FALSE)),"")</f>
        <v/>
      </c>
      <c r="E778" s="42" t="str">
        <f>+IFERROR(IF(GUAYAQUIL[[#This Row],[CODIGO]]="","",VLOOKUP(GUAYAQUIL[[#This Row],[CODIGO]],MAESTRO!$A:$F,6,FALSE)),"")</f>
        <v/>
      </c>
      <c r="F778" s="42" t="str">
        <f>IF(GUAYAQUIL[[#This Row],[CODIGO]]="","",$K$6)</f>
        <v/>
      </c>
      <c r="G778" s="1" t="str">
        <f>IF(GUAYAQUIL[[#This Row],[CODIGO]]="","",7711)</f>
        <v/>
      </c>
      <c r="H778" s="1" t="str">
        <f>IF(GUAYAQUIL[[#This Row],[CODIGO]]="","",1001)</f>
        <v/>
      </c>
      <c r="I778" s="258"/>
      <c r="J778" s="43" t="str">
        <f>IFERROR((VLOOKUP(GUAYAQUIL[[#This Row],[CODIGO]],MAESTRO!A:B,2,FALSE)),"")</f>
        <v/>
      </c>
      <c r="K778" s="35"/>
      <c r="L778" s="205" t="str">
        <f>+IFERROR(IF(GUAYAQUIL[[#This Row],[CODIGO]]="","",VLOOKUP(GUAYAQUIL[[#This Row],[CODIGO]],MAESTRO!$A:$BF,58,FALSE)),"")</f>
        <v/>
      </c>
      <c r="M778" s="27" t="str">
        <f>+IFERROR(IF(GUAYAQUIL[[#This Row],[CODIGO]]="","",VLOOKUP(GUAYAQUIL[[#This Row],[CODIGO]],MAESTRO!A:N,14,FALSE)),"")</f>
        <v/>
      </c>
      <c r="N778" s="206" t="str">
        <f>+IFERROR(IF(GUAYAQUIL[[#This Row],[CODIGO]]="","",VLOOKUP(GUAYAQUIL[[#This Row],[CODIGO]],MAESTRO!A:P,16,FALSE)),"")</f>
        <v/>
      </c>
      <c r="O778" s="303"/>
      <c r="P778" s="99" t="str">
        <f t="shared" si="66"/>
        <v/>
      </c>
      <c r="Q778" s="304" t="str">
        <f>IFERROR(IF(GUAYAQUIL[[#This Row],[CODIGO]]="","",IF(GUAYAQUIL[[#This Row],[Fecha Cad]]="","",(GUAYAQUIL[[#This Row],[Fecha Cad]]-GUAYAQUIL[[#This Row],[VIDA UTIL (Días)]]))+1),"")</f>
        <v/>
      </c>
      <c r="R778" s="303"/>
      <c r="S778" s="30" t="str">
        <f t="shared" si="67"/>
        <v/>
      </c>
      <c r="T778" s="279">
        <f t="shared" si="68"/>
        <v>0</v>
      </c>
      <c r="U778" s="288"/>
      <c r="V778" s="265" t="str">
        <f>+IFERROR(IF(GUAYAQUIL[[#This Row],[CODIGO]]="","",GUAYAQUIL[[#This Row],[Stock Actual Unds]]*GUAYAQUIL[[#This Row],[Gramaje]]*GUAYAQUIL[[#This Row],[Conversión]]),"")</f>
        <v/>
      </c>
      <c r="W778" s="280">
        <f t="shared" si="69"/>
        <v>0</v>
      </c>
      <c r="X778" s="44" t="str">
        <f t="shared" si="70"/>
        <v/>
      </c>
      <c r="Y778" s="236">
        <f>IFERROR(VLOOKUP(GUAYAQUIL[[#This Row],[CODIGO]],MAESTRO!A:BI,21,FALSE),0)</f>
        <v>0</v>
      </c>
      <c r="Z778" s="236" t="str">
        <f>+IFERROR(IF(GUAYAQUIL[[#This Row],[CODIGO]]="","",GUAYAQUIL[[#This Row],[COSTO UNIT base]]*GUAYAQUIL[[#This Row],[Conversión]]),"")</f>
        <v/>
      </c>
      <c r="AA778" s="236" t="str">
        <f>+IFERROR(IF(GUAYAQUIL[[#This Row],[CODIGO]]="","",GUAYAQUIL[[#This Row],[COSTO UNIT Conv]]*GUAYAQUIL[[#This Row],[Stock Actual Kgs]]),"")</f>
        <v/>
      </c>
      <c r="AB778" s="180" t="str">
        <f>+IFERROR(IF(GUAYAQUIL[[#This Row],[CODIGO]]="","",$J$3-O778),"")</f>
        <v/>
      </c>
      <c r="AC778" s="35" t="str">
        <f>IF(GUAYAQUIL[[#This Row],[CODIGO]]="","",IF(S778&lt;=0,"CADUCADO",IF(AND(S778&gt;0,S778&lt;=21),"FECHA CORTA",IF(AND(S778&gt;=22,S778&lt;=26),"PROXIMOS FECHA CORTA", "VIGENTE"))))</f>
        <v/>
      </c>
      <c r="AD778" s="289" t="e">
        <f>+IF(GUAYAQUIL[[#This Row],[CODIGO]]="","",GUAYAQUIL[[#This Row],[Stock Actual Unds]]*GUAYAQUIL[[#This Row],[Gramaje]]*GUAYAQUIL[[#This Row],[Conversión]])/1000</f>
        <v>#VALUE!</v>
      </c>
    </row>
    <row r="779" spans="1:30">
      <c r="A779" s="42" t="str">
        <f>+IFERROR(IF(GUAYAQUIL[[#This Row],[CODIGO]]="","",VLOOKUP(GUAYAQUIL[[#This Row],[CODIGO]],MAESTRO!$A:$J,10,FALSE)),"")</f>
        <v/>
      </c>
      <c r="B779" s="42" t="str">
        <f>+IFERROR(IF(GUAYAQUIL[[#This Row],[CODIGO]]="","",VLOOKUP(GUAYAQUIL[[#This Row],[CODIGO]],MAESTRO!$A:$Q,17,FALSE)),"")</f>
        <v/>
      </c>
      <c r="C779" s="42" t="str">
        <f>+IFERROR(IF(GUAYAQUIL[[#This Row],[CODIGO]]="","",VLOOKUP(GUAYAQUIL[[#This Row],[CODIGO]],MAESTRO!$A:$BA,53,FALSE)),"")</f>
        <v/>
      </c>
      <c r="D779" s="42" t="str">
        <f>+IFERROR(IF(GUAYAQUIL[[#This Row],[CODIGO]]="","",VLOOKUP(GUAYAQUIL[[#This Row],[CODIGO]],MAESTRO!$A:$D,4,FALSE)),"")</f>
        <v/>
      </c>
      <c r="E779" s="42" t="str">
        <f>+IFERROR(IF(GUAYAQUIL[[#This Row],[CODIGO]]="","",VLOOKUP(GUAYAQUIL[[#This Row],[CODIGO]],MAESTRO!$A:$F,6,FALSE)),"")</f>
        <v/>
      </c>
      <c r="F779" s="42" t="str">
        <f>IF(GUAYAQUIL[[#This Row],[CODIGO]]="","",$K$6)</f>
        <v/>
      </c>
      <c r="G779" s="1" t="str">
        <f>IF(GUAYAQUIL[[#This Row],[CODIGO]]="","",7711)</f>
        <v/>
      </c>
      <c r="H779" s="1" t="str">
        <f>IF(GUAYAQUIL[[#This Row],[CODIGO]]="","",1001)</f>
        <v/>
      </c>
      <c r="I779" s="258"/>
      <c r="J779" s="43" t="str">
        <f>IFERROR((VLOOKUP(GUAYAQUIL[[#This Row],[CODIGO]],MAESTRO!A:B,2,FALSE)),"")</f>
        <v/>
      </c>
      <c r="K779" s="35"/>
      <c r="L779" s="205" t="str">
        <f>+IFERROR(IF(GUAYAQUIL[[#This Row],[CODIGO]]="","",VLOOKUP(GUAYAQUIL[[#This Row],[CODIGO]],MAESTRO!$A:$BF,58,FALSE)),"")</f>
        <v/>
      </c>
      <c r="M779" s="27" t="str">
        <f>+IFERROR(IF(GUAYAQUIL[[#This Row],[CODIGO]]="","",VLOOKUP(GUAYAQUIL[[#This Row],[CODIGO]],MAESTRO!A:N,14,FALSE)),"")</f>
        <v/>
      </c>
      <c r="N779" s="206" t="str">
        <f>+IFERROR(IF(GUAYAQUIL[[#This Row],[CODIGO]]="","",VLOOKUP(GUAYAQUIL[[#This Row],[CODIGO]],MAESTRO!A:P,16,FALSE)),"")</f>
        <v/>
      </c>
      <c r="O779" s="303"/>
      <c r="P779" s="99" t="str">
        <f t="shared" si="66"/>
        <v/>
      </c>
      <c r="Q779" s="304" t="str">
        <f>IFERROR(IF(GUAYAQUIL[[#This Row],[CODIGO]]="","",IF(GUAYAQUIL[[#This Row],[Fecha Cad]]="","",(GUAYAQUIL[[#This Row],[Fecha Cad]]-GUAYAQUIL[[#This Row],[VIDA UTIL (Días)]]))+1),"")</f>
        <v/>
      </c>
      <c r="R779" s="303"/>
      <c r="S779" s="30" t="str">
        <f t="shared" si="67"/>
        <v/>
      </c>
      <c r="T779" s="279">
        <f t="shared" si="68"/>
        <v>0</v>
      </c>
      <c r="U779" s="288"/>
      <c r="V779" s="265" t="str">
        <f>+IFERROR(IF(GUAYAQUIL[[#This Row],[CODIGO]]="","",GUAYAQUIL[[#This Row],[Stock Actual Unds]]*GUAYAQUIL[[#This Row],[Gramaje]]*GUAYAQUIL[[#This Row],[Conversión]]),"")</f>
        <v/>
      </c>
      <c r="W779" s="280">
        <f t="shared" si="69"/>
        <v>0</v>
      </c>
      <c r="X779" s="44" t="str">
        <f t="shared" si="70"/>
        <v/>
      </c>
      <c r="Y779" s="236">
        <f>IFERROR(VLOOKUP(GUAYAQUIL[[#This Row],[CODIGO]],MAESTRO!A:BI,21,FALSE),0)</f>
        <v>0</v>
      </c>
      <c r="Z779" s="236" t="str">
        <f>+IFERROR(IF(GUAYAQUIL[[#This Row],[CODIGO]]="","",GUAYAQUIL[[#This Row],[COSTO UNIT base]]*GUAYAQUIL[[#This Row],[Conversión]]),"")</f>
        <v/>
      </c>
      <c r="AA779" s="236" t="str">
        <f>+IFERROR(IF(GUAYAQUIL[[#This Row],[CODIGO]]="","",GUAYAQUIL[[#This Row],[COSTO UNIT Conv]]*GUAYAQUIL[[#This Row],[Stock Actual Kgs]]),"")</f>
        <v/>
      </c>
      <c r="AB779" s="180" t="str">
        <f>+IFERROR(IF(GUAYAQUIL[[#This Row],[CODIGO]]="","",$J$3-O779),"")</f>
        <v/>
      </c>
      <c r="AC779" s="35" t="str">
        <f>IF(GUAYAQUIL[[#This Row],[CODIGO]]="","",IF(S779&lt;=0,"CADUCADO",IF(AND(S779&gt;0,S779&lt;=21),"FECHA CORTA",IF(AND(S779&gt;=22,S779&lt;=26),"PROXIMOS FECHA CORTA", "VIGENTE"))))</f>
        <v/>
      </c>
      <c r="AD779" s="289" t="e">
        <f>+IF(GUAYAQUIL[[#This Row],[CODIGO]]="","",GUAYAQUIL[[#This Row],[Stock Actual Unds]]*GUAYAQUIL[[#This Row],[Gramaje]]*GUAYAQUIL[[#This Row],[Conversión]])/1000</f>
        <v>#VALUE!</v>
      </c>
    </row>
    <row r="780" spans="1:30">
      <c r="A780" s="42" t="str">
        <f>+IFERROR(IF(GUAYAQUIL[[#This Row],[CODIGO]]="","",VLOOKUP(GUAYAQUIL[[#This Row],[CODIGO]],MAESTRO!$A:$J,10,FALSE)),"")</f>
        <v/>
      </c>
      <c r="B780" s="42" t="str">
        <f>+IFERROR(IF(GUAYAQUIL[[#This Row],[CODIGO]]="","",VLOOKUP(GUAYAQUIL[[#This Row],[CODIGO]],MAESTRO!$A:$Q,17,FALSE)),"")</f>
        <v/>
      </c>
      <c r="C780" s="42" t="str">
        <f>+IFERROR(IF(GUAYAQUIL[[#This Row],[CODIGO]]="","",VLOOKUP(GUAYAQUIL[[#This Row],[CODIGO]],MAESTRO!$A:$BA,53,FALSE)),"")</f>
        <v/>
      </c>
      <c r="D780" s="42" t="str">
        <f>+IFERROR(IF(GUAYAQUIL[[#This Row],[CODIGO]]="","",VLOOKUP(GUAYAQUIL[[#This Row],[CODIGO]],MAESTRO!$A:$D,4,FALSE)),"")</f>
        <v/>
      </c>
      <c r="E780" s="42" t="str">
        <f>+IFERROR(IF(GUAYAQUIL[[#This Row],[CODIGO]]="","",VLOOKUP(GUAYAQUIL[[#This Row],[CODIGO]],MAESTRO!$A:$F,6,FALSE)),"")</f>
        <v/>
      </c>
      <c r="F780" s="42" t="str">
        <f>IF(GUAYAQUIL[[#This Row],[CODIGO]]="","",$K$6)</f>
        <v/>
      </c>
      <c r="G780" s="1" t="str">
        <f>IF(GUAYAQUIL[[#This Row],[CODIGO]]="","",7711)</f>
        <v/>
      </c>
      <c r="H780" s="1" t="str">
        <f>IF(GUAYAQUIL[[#This Row],[CODIGO]]="","",1001)</f>
        <v/>
      </c>
      <c r="I780" s="258"/>
      <c r="J780" s="43" t="str">
        <f>IFERROR((VLOOKUP(GUAYAQUIL[[#This Row],[CODIGO]],MAESTRO!A:B,2,FALSE)),"")</f>
        <v/>
      </c>
      <c r="K780" s="35"/>
      <c r="L780" s="205" t="str">
        <f>+IFERROR(IF(GUAYAQUIL[[#This Row],[CODIGO]]="","",VLOOKUP(GUAYAQUIL[[#This Row],[CODIGO]],MAESTRO!$A:$BF,58,FALSE)),"")</f>
        <v/>
      </c>
      <c r="M780" s="27" t="str">
        <f>+IFERROR(IF(GUAYAQUIL[[#This Row],[CODIGO]]="","",VLOOKUP(GUAYAQUIL[[#This Row],[CODIGO]],MAESTRO!A:N,14,FALSE)),"")</f>
        <v/>
      </c>
      <c r="N780" s="206" t="str">
        <f>+IFERROR(IF(GUAYAQUIL[[#This Row],[CODIGO]]="","",VLOOKUP(GUAYAQUIL[[#This Row],[CODIGO]],MAESTRO!A:P,16,FALSE)),"")</f>
        <v/>
      </c>
      <c r="O780" s="303"/>
      <c r="P780" s="99" t="str">
        <f t="shared" si="66"/>
        <v/>
      </c>
      <c r="Q780" s="304" t="str">
        <f>IFERROR(IF(GUAYAQUIL[[#This Row],[CODIGO]]="","",IF(GUAYAQUIL[[#This Row],[Fecha Cad]]="","",(GUAYAQUIL[[#This Row],[Fecha Cad]]-GUAYAQUIL[[#This Row],[VIDA UTIL (Días)]]))+1),"")</f>
        <v/>
      </c>
      <c r="R780" s="303"/>
      <c r="S780" s="30" t="str">
        <f t="shared" si="67"/>
        <v/>
      </c>
      <c r="T780" s="279">
        <f t="shared" si="68"/>
        <v>0</v>
      </c>
      <c r="U780" s="288"/>
      <c r="V780" s="265" t="str">
        <f>+IFERROR(IF(GUAYAQUIL[[#This Row],[CODIGO]]="","",GUAYAQUIL[[#This Row],[Stock Actual Unds]]*GUAYAQUIL[[#This Row],[Gramaje]]*GUAYAQUIL[[#This Row],[Conversión]]),"")</f>
        <v/>
      </c>
      <c r="W780" s="280">
        <f t="shared" si="69"/>
        <v>0</v>
      </c>
      <c r="X780" s="44" t="str">
        <f t="shared" si="70"/>
        <v/>
      </c>
      <c r="Y780" s="236">
        <f>IFERROR(VLOOKUP(GUAYAQUIL[[#This Row],[CODIGO]],MAESTRO!A:BI,21,FALSE),0)</f>
        <v>0</v>
      </c>
      <c r="Z780" s="236" t="str">
        <f>+IFERROR(IF(GUAYAQUIL[[#This Row],[CODIGO]]="","",GUAYAQUIL[[#This Row],[COSTO UNIT base]]*GUAYAQUIL[[#This Row],[Conversión]]),"")</f>
        <v/>
      </c>
      <c r="AA780" s="236" t="str">
        <f>+IFERROR(IF(GUAYAQUIL[[#This Row],[CODIGO]]="","",GUAYAQUIL[[#This Row],[COSTO UNIT Conv]]*GUAYAQUIL[[#This Row],[Stock Actual Kgs]]),"")</f>
        <v/>
      </c>
      <c r="AB780" s="180" t="str">
        <f>+IFERROR(IF(GUAYAQUIL[[#This Row],[CODIGO]]="","",$J$3-O780),"")</f>
        <v/>
      </c>
      <c r="AC780" s="35" t="str">
        <f>IF(GUAYAQUIL[[#This Row],[CODIGO]]="","",IF(S780&lt;=0,"CADUCADO",IF(AND(S780&gt;0,S780&lt;=21),"FECHA CORTA",IF(AND(S780&gt;=22,S780&lt;=26),"PROXIMOS FECHA CORTA", "VIGENTE"))))</f>
        <v/>
      </c>
      <c r="AD780" s="289" t="e">
        <f>+IF(GUAYAQUIL[[#This Row],[CODIGO]]="","",GUAYAQUIL[[#This Row],[Stock Actual Unds]]*GUAYAQUIL[[#This Row],[Gramaje]]*GUAYAQUIL[[#This Row],[Conversión]])/1000</f>
        <v>#VALUE!</v>
      </c>
    </row>
    <row r="781" spans="1:30">
      <c r="A781" s="42" t="str">
        <f>+IFERROR(IF(GUAYAQUIL[[#This Row],[CODIGO]]="","",VLOOKUP(GUAYAQUIL[[#This Row],[CODIGO]],MAESTRO!$A:$J,10,FALSE)),"")</f>
        <v/>
      </c>
      <c r="B781" s="42" t="str">
        <f>+IFERROR(IF(GUAYAQUIL[[#This Row],[CODIGO]]="","",VLOOKUP(GUAYAQUIL[[#This Row],[CODIGO]],MAESTRO!$A:$Q,17,FALSE)),"")</f>
        <v/>
      </c>
      <c r="C781" s="42" t="str">
        <f>+IFERROR(IF(GUAYAQUIL[[#This Row],[CODIGO]]="","",VLOOKUP(GUAYAQUIL[[#This Row],[CODIGO]],MAESTRO!$A:$BA,53,FALSE)),"")</f>
        <v/>
      </c>
      <c r="D781" s="42" t="str">
        <f>+IFERROR(IF(GUAYAQUIL[[#This Row],[CODIGO]]="","",VLOOKUP(GUAYAQUIL[[#This Row],[CODIGO]],MAESTRO!$A:$D,4,FALSE)),"")</f>
        <v/>
      </c>
      <c r="E781" s="42" t="str">
        <f>+IFERROR(IF(GUAYAQUIL[[#This Row],[CODIGO]]="","",VLOOKUP(GUAYAQUIL[[#This Row],[CODIGO]],MAESTRO!$A:$F,6,FALSE)),"")</f>
        <v/>
      </c>
      <c r="F781" s="42" t="str">
        <f>IF(GUAYAQUIL[[#This Row],[CODIGO]]="","",$K$6)</f>
        <v/>
      </c>
      <c r="G781" s="1" t="str">
        <f>IF(GUAYAQUIL[[#This Row],[CODIGO]]="","",7711)</f>
        <v/>
      </c>
      <c r="H781" s="1" t="str">
        <f>IF(GUAYAQUIL[[#This Row],[CODIGO]]="","",1001)</f>
        <v/>
      </c>
      <c r="I781" s="258"/>
      <c r="J781" s="43" t="str">
        <f>IFERROR((VLOOKUP(GUAYAQUIL[[#This Row],[CODIGO]],MAESTRO!A:B,2,FALSE)),"")</f>
        <v/>
      </c>
      <c r="K781" s="35"/>
      <c r="L781" s="205" t="str">
        <f>+IFERROR(IF(GUAYAQUIL[[#This Row],[CODIGO]]="","",VLOOKUP(GUAYAQUIL[[#This Row],[CODIGO]],MAESTRO!$A:$BF,58,FALSE)),"")</f>
        <v/>
      </c>
      <c r="M781" s="27" t="str">
        <f>+IFERROR(IF(GUAYAQUIL[[#This Row],[CODIGO]]="","",VLOOKUP(GUAYAQUIL[[#This Row],[CODIGO]],MAESTRO!A:N,14,FALSE)),"")</f>
        <v/>
      </c>
      <c r="N781" s="206" t="str">
        <f>+IFERROR(IF(GUAYAQUIL[[#This Row],[CODIGO]]="","",VLOOKUP(GUAYAQUIL[[#This Row],[CODIGO]],MAESTRO!A:P,16,FALSE)),"")</f>
        <v/>
      </c>
      <c r="O781" s="303"/>
      <c r="P781" s="99" t="str">
        <f t="shared" si="66"/>
        <v/>
      </c>
      <c r="Q781" s="304" t="str">
        <f>IFERROR(IF(GUAYAQUIL[[#This Row],[CODIGO]]="","",IF(GUAYAQUIL[[#This Row],[Fecha Cad]]="","",(GUAYAQUIL[[#This Row],[Fecha Cad]]-GUAYAQUIL[[#This Row],[VIDA UTIL (Días)]]))+1),"")</f>
        <v/>
      </c>
      <c r="R781" s="303"/>
      <c r="S781" s="30" t="str">
        <f t="shared" si="67"/>
        <v/>
      </c>
      <c r="T781" s="279">
        <f t="shared" si="68"/>
        <v>0</v>
      </c>
      <c r="U781" s="288"/>
      <c r="V781" s="265" t="str">
        <f>+IFERROR(IF(GUAYAQUIL[[#This Row],[CODIGO]]="","",GUAYAQUIL[[#This Row],[Stock Actual Unds]]*GUAYAQUIL[[#This Row],[Gramaje]]*GUAYAQUIL[[#This Row],[Conversión]]),"")</f>
        <v/>
      </c>
      <c r="W781" s="280">
        <f t="shared" si="69"/>
        <v>0</v>
      </c>
      <c r="X781" s="44" t="str">
        <f t="shared" si="70"/>
        <v/>
      </c>
      <c r="Y781" s="236">
        <f>IFERROR(VLOOKUP(GUAYAQUIL[[#This Row],[CODIGO]],MAESTRO!A:BI,21,FALSE),0)</f>
        <v>0</v>
      </c>
      <c r="Z781" s="236" t="str">
        <f>+IFERROR(IF(GUAYAQUIL[[#This Row],[CODIGO]]="","",GUAYAQUIL[[#This Row],[COSTO UNIT base]]*GUAYAQUIL[[#This Row],[Conversión]]),"")</f>
        <v/>
      </c>
      <c r="AA781" s="236" t="str">
        <f>+IFERROR(IF(GUAYAQUIL[[#This Row],[CODIGO]]="","",GUAYAQUIL[[#This Row],[COSTO UNIT Conv]]*GUAYAQUIL[[#This Row],[Stock Actual Kgs]]),"")</f>
        <v/>
      </c>
      <c r="AB781" s="180" t="str">
        <f>+IFERROR(IF(GUAYAQUIL[[#This Row],[CODIGO]]="","",$J$3-O781),"")</f>
        <v/>
      </c>
      <c r="AC781" s="35" t="str">
        <f>IF(GUAYAQUIL[[#This Row],[CODIGO]]="","",IF(S781&lt;=0,"CADUCADO",IF(AND(S781&gt;0,S781&lt;=21),"FECHA CORTA",IF(AND(S781&gt;=22,S781&lt;=26),"PROXIMOS FECHA CORTA", "VIGENTE"))))</f>
        <v/>
      </c>
      <c r="AD781" s="289" t="e">
        <f>+IF(GUAYAQUIL[[#This Row],[CODIGO]]="","",GUAYAQUIL[[#This Row],[Stock Actual Unds]]*GUAYAQUIL[[#This Row],[Gramaje]]*GUAYAQUIL[[#This Row],[Conversión]])/1000</f>
        <v>#VALUE!</v>
      </c>
    </row>
    <row r="782" spans="1:30">
      <c r="A782" s="42" t="str">
        <f>+IFERROR(IF(GUAYAQUIL[[#This Row],[CODIGO]]="","",VLOOKUP(GUAYAQUIL[[#This Row],[CODIGO]],MAESTRO!$A:$J,10,FALSE)),"")</f>
        <v/>
      </c>
      <c r="B782" s="42" t="str">
        <f>+IFERROR(IF(GUAYAQUIL[[#This Row],[CODIGO]]="","",VLOOKUP(GUAYAQUIL[[#This Row],[CODIGO]],MAESTRO!$A:$Q,17,FALSE)),"")</f>
        <v/>
      </c>
      <c r="C782" s="42" t="str">
        <f>+IFERROR(IF(GUAYAQUIL[[#This Row],[CODIGO]]="","",VLOOKUP(GUAYAQUIL[[#This Row],[CODIGO]],MAESTRO!$A:$BA,53,FALSE)),"")</f>
        <v/>
      </c>
      <c r="D782" s="42" t="str">
        <f>+IFERROR(IF(GUAYAQUIL[[#This Row],[CODIGO]]="","",VLOOKUP(GUAYAQUIL[[#This Row],[CODIGO]],MAESTRO!$A:$D,4,FALSE)),"")</f>
        <v/>
      </c>
      <c r="E782" s="42" t="str">
        <f>+IFERROR(IF(GUAYAQUIL[[#This Row],[CODIGO]]="","",VLOOKUP(GUAYAQUIL[[#This Row],[CODIGO]],MAESTRO!$A:$F,6,FALSE)),"")</f>
        <v/>
      </c>
      <c r="F782" s="42" t="str">
        <f>IF(GUAYAQUIL[[#This Row],[CODIGO]]="","",$K$6)</f>
        <v/>
      </c>
      <c r="G782" s="1" t="str">
        <f>IF(GUAYAQUIL[[#This Row],[CODIGO]]="","",7711)</f>
        <v/>
      </c>
      <c r="H782" s="1" t="str">
        <f>IF(GUAYAQUIL[[#This Row],[CODIGO]]="","",1001)</f>
        <v/>
      </c>
      <c r="I782" s="258"/>
      <c r="J782" s="43" t="str">
        <f>IFERROR((VLOOKUP(GUAYAQUIL[[#This Row],[CODIGO]],MAESTRO!A:B,2,FALSE)),"")</f>
        <v/>
      </c>
      <c r="K782" s="35"/>
      <c r="L782" s="205" t="str">
        <f>+IFERROR(IF(GUAYAQUIL[[#This Row],[CODIGO]]="","",VLOOKUP(GUAYAQUIL[[#This Row],[CODIGO]],MAESTRO!$A:$BF,58,FALSE)),"")</f>
        <v/>
      </c>
      <c r="M782" s="27" t="str">
        <f>+IFERROR(IF(GUAYAQUIL[[#This Row],[CODIGO]]="","",VLOOKUP(GUAYAQUIL[[#This Row],[CODIGO]],MAESTRO!A:N,14,FALSE)),"")</f>
        <v/>
      </c>
      <c r="N782" s="206" t="str">
        <f>+IFERROR(IF(GUAYAQUIL[[#This Row],[CODIGO]]="","",VLOOKUP(GUAYAQUIL[[#This Row],[CODIGO]],MAESTRO!A:P,16,FALSE)),"")</f>
        <v/>
      </c>
      <c r="O782" s="303"/>
      <c r="P782" s="99" t="str">
        <f t="shared" si="66"/>
        <v/>
      </c>
      <c r="Q782" s="304" t="str">
        <f>IFERROR(IF(GUAYAQUIL[[#This Row],[CODIGO]]="","",IF(GUAYAQUIL[[#This Row],[Fecha Cad]]="","",(GUAYAQUIL[[#This Row],[Fecha Cad]]-GUAYAQUIL[[#This Row],[VIDA UTIL (Días)]]))+1),"")</f>
        <v/>
      </c>
      <c r="R782" s="303"/>
      <c r="S782" s="30" t="str">
        <f t="shared" si="67"/>
        <v/>
      </c>
      <c r="T782" s="279">
        <f t="shared" si="68"/>
        <v>0</v>
      </c>
      <c r="U782" s="288"/>
      <c r="V782" s="265" t="str">
        <f>+IFERROR(IF(GUAYAQUIL[[#This Row],[CODIGO]]="","",GUAYAQUIL[[#This Row],[Stock Actual Unds]]*GUAYAQUIL[[#This Row],[Gramaje]]*GUAYAQUIL[[#This Row],[Conversión]]),"")</f>
        <v/>
      </c>
      <c r="W782" s="280">
        <f t="shared" si="69"/>
        <v>0</v>
      </c>
      <c r="X782" s="44" t="str">
        <f t="shared" si="70"/>
        <v/>
      </c>
      <c r="Y782" s="236">
        <f>IFERROR(VLOOKUP(GUAYAQUIL[[#This Row],[CODIGO]],MAESTRO!A:BI,21,FALSE),0)</f>
        <v>0</v>
      </c>
      <c r="Z782" s="236" t="str">
        <f>+IFERROR(IF(GUAYAQUIL[[#This Row],[CODIGO]]="","",GUAYAQUIL[[#This Row],[COSTO UNIT base]]*GUAYAQUIL[[#This Row],[Conversión]]),"")</f>
        <v/>
      </c>
      <c r="AA782" s="236" t="str">
        <f>+IFERROR(IF(GUAYAQUIL[[#This Row],[CODIGO]]="","",GUAYAQUIL[[#This Row],[COSTO UNIT Conv]]*GUAYAQUIL[[#This Row],[Stock Actual Kgs]]),"")</f>
        <v/>
      </c>
      <c r="AB782" s="180" t="str">
        <f>+IFERROR(IF(GUAYAQUIL[[#This Row],[CODIGO]]="","",$J$3-O782),"")</f>
        <v/>
      </c>
      <c r="AC782" s="35" t="str">
        <f>IF(GUAYAQUIL[[#This Row],[CODIGO]]="","",IF(S782&lt;=0,"CADUCADO",IF(AND(S782&gt;0,S782&lt;=21),"FECHA CORTA",IF(AND(S782&gt;=22,S782&lt;=26),"PROXIMOS FECHA CORTA", "VIGENTE"))))</f>
        <v/>
      </c>
      <c r="AD782" s="289" t="e">
        <f>+IF(GUAYAQUIL[[#This Row],[CODIGO]]="","",GUAYAQUIL[[#This Row],[Stock Actual Unds]]*GUAYAQUIL[[#This Row],[Gramaje]]*GUAYAQUIL[[#This Row],[Conversión]])/1000</f>
        <v>#VALUE!</v>
      </c>
    </row>
    <row r="783" spans="1:30">
      <c r="A783" s="42" t="str">
        <f>+IFERROR(IF(GUAYAQUIL[[#This Row],[CODIGO]]="","",VLOOKUP(GUAYAQUIL[[#This Row],[CODIGO]],MAESTRO!$A:$J,10,FALSE)),"")</f>
        <v/>
      </c>
      <c r="B783" s="42" t="str">
        <f>+IFERROR(IF(GUAYAQUIL[[#This Row],[CODIGO]]="","",VLOOKUP(GUAYAQUIL[[#This Row],[CODIGO]],MAESTRO!$A:$Q,17,FALSE)),"")</f>
        <v/>
      </c>
      <c r="C783" s="42" t="str">
        <f>+IFERROR(IF(GUAYAQUIL[[#This Row],[CODIGO]]="","",VLOOKUP(GUAYAQUIL[[#This Row],[CODIGO]],MAESTRO!$A:$BA,53,FALSE)),"")</f>
        <v/>
      </c>
      <c r="D783" s="42" t="str">
        <f>+IFERROR(IF(GUAYAQUIL[[#This Row],[CODIGO]]="","",VLOOKUP(GUAYAQUIL[[#This Row],[CODIGO]],MAESTRO!$A:$D,4,FALSE)),"")</f>
        <v/>
      </c>
      <c r="E783" s="42" t="str">
        <f>+IFERROR(IF(GUAYAQUIL[[#This Row],[CODIGO]]="","",VLOOKUP(GUAYAQUIL[[#This Row],[CODIGO]],MAESTRO!$A:$F,6,FALSE)),"")</f>
        <v/>
      </c>
      <c r="F783" s="42" t="str">
        <f>IF(GUAYAQUIL[[#This Row],[CODIGO]]="","",$K$6)</f>
        <v/>
      </c>
      <c r="G783" s="1" t="str">
        <f>IF(GUAYAQUIL[[#This Row],[CODIGO]]="","",7711)</f>
        <v/>
      </c>
      <c r="H783" s="1" t="str">
        <f>IF(GUAYAQUIL[[#This Row],[CODIGO]]="","",1001)</f>
        <v/>
      </c>
      <c r="I783" s="258"/>
      <c r="J783" s="43" t="str">
        <f>IFERROR((VLOOKUP(GUAYAQUIL[[#This Row],[CODIGO]],MAESTRO!A:B,2,FALSE)),"")</f>
        <v/>
      </c>
      <c r="K783" s="35"/>
      <c r="L783" s="205" t="str">
        <f>+IFERROR(IF(GUAYAQUIL[[#This Row],[CODIGO]]="","",VLOOKUP(GUAYAQUIL[[#This Row],[CODIGO]],MAESTRO!$A:$BF,58,FALSE)),"")</f>
        <v/>
      </c>
      <c r="M783" s="27" t="str">
        <f>+IFERROR(IF(GUAYAQUIL[[#This Row],[CODIGO]]="","",VLOOKUP(GUAYAQUIL[[#This Row],[CODIGO]],MAESTRO!A:N,14,FALSE)),"")</f>
        <v/>
      </c>
      <c r="N783" s="206" t="str">
        <f>+IFERROR(IF(GUAYAQUIL[[#This Row],[CODIGO]]="","",VLOOKUP(GUAYAQUIL[[#This Row],[CODIGO]],MAESTRO!A:P,16,FALSE)),"")</f>
        <v/>
      </c>
      <c r="O783" s="303"/>
      <c r="P783" s="99" t="str">
        <f t="shared" si="66"/>
        <v/>
      </c>
      <c r="Q783" s="304" t="str">
        <f>IFERROR(IF(GUAYAQUIL[[#This Row],[CODIGO]]="","",IF(GUAYAQUIL[[#This Row],[Fecha Cad]]="","",(GUAYAQUIL[[#This Row],[Fecha Cad]]-GUAYAQUIL[[#This Row],[VIDA UTIL (Días)]]))+1),"")</f>
        <v/>
      </c>
      <c r="R783" s="303"/>
      <c r="S783" s="30" t="str">
        <f t="shared" si="67"/>
        <v/>
      </c>
      <c r="T783" s="279">
        <f t="shared" si="68"/>
        <v>0</v>
      </c>
      <c r="U783" s="288"/>
      <c r="V783" s="265" t="str">
        <f>+IFERROR(IF(GUAYAQUIL[[#This Row],[CODIGO]]="","",GUAYAQUIL[[#This Row],[Stock Actual Unds]]*GUAYAQUIL[[#This Row],[Gramaje]]*GUAYAQUIL[[#This Row],[Conversión]]),"")</f>
        <v/>
      </c>
      <c r="W783" s="280">
        <f t="shared" si="69"/>
        <v>0</v>
      </c>
      <c r="X783" s="44" t="str">
        <f t="shared" si="70"/>
        <v/>
      </c>
      <c r="Y783" s="236">
        <f>IFERROR(VLOOKUP(GUAYAQUIL[[#This Row],[CODIGO]],MAESTRO!A:BI,21,FALSE),0)</f>
        <v>0</v>
      </c>
      <c r="Z783" s="236" t="str">
        <f>+IFERROR(IF(GUAYAQUIL[[#This Row],[CODIGO]]="","",GUAYAQUIL[[#This Row],[COSTO UNIT base]]*GUAYAQUIL[[#This Row],[Conversión]]),"")</f>
        <v/>
      </c>
      <c r="AA783" s="236" t="str">
        <f>+IFERROR(IF(GUAYAQUIL[[#This Row],[CODIGO]]="","",GUAYAQUIL[[#This Row],[COSTO UNIT Conv]]*GUAYAQUIL[[#This Row],[Stock Actual Kgs]]),"")</f>
        <v/>
      </c>
      <c r="AB783" s="180" t="str">
        <f>+IFERROR(IF(GUAYAQUIL[[#This Row],[CODIGO]]="","",$J$3-O783),"")</f>
        <v/>
      </c>
      <c r="AC783" s="35" t="str">
        <f>IF(GUAYAQUIL[[#This Row],[CODIGO]]="","",IF(S783&lt;=0,"CADUCADO",IF(AND(S783&gt;0,S783&lt;=21),"FECHA CORTA",IF(AND(S783&gt;=22,S783&lt;=26),"PROXIMOS FECHA CORTA", "VIGENTE"))))</f>
        <v/>
      </c>
      <c r="AD783" s="289" t="e">
        <f>+IF(GUAYAQUIL[[#This Row],[CODIGO]]="","",GUAYAQUIL[[#This Row],[Stock Actual Unds]]*GUAYAQUIL[[#This Row],[Gramaje]]*GUAYAQUIL[[#This Row],[Conversión]])/1000</f>
        <v>#VALUE!</v>
      </c>
    </row>
    <row r="784" spans="1:30">
      <c r="A784" s="42" t="str">
        <f>+IFERROR(IF(GUAYAQUIL[[#This Row],[CODIGO]]="","",VLOOKUP(GUAYAQUIL[[#This Row],[CODIGO]],MAESTRO!$A:$J,10,FALSE)),"")</f>
        <v/>
      </c>
      <c r="B784" s="42" t="str">
        <f>+IFERROR(IF(GUAYAQUIL[[#This Row],[CODIGO]]="","",VLOOKUP(GUAYAQUIL[[#This Row],[CODIGO]],MAESTRO!$A:$Q,17,FALSE)),"")</f>
        <v/>
      </c>
      <c r="C784" s="42" t="str">
        <f>+IFERROR(IF(GUAYAQUIL[[#This Row],[CODIGO]]="","",VLOOKUP(GUAYAQUIL[[#This Row],[CODIGO]],MAESTRO!$A:$BA,53,FALSE)),"")</f>
        <v/>
      </c>
      <c r="D784" s="42" t="str">
        <f>+IFERROR(IF(GUAYAQUIL[[#This Row],[CODIGO]]="","",VLOOKUP(GUAYAQUIL[[#This Row],[CODIGO]],MAESTRO!$A:$D,4,FALSE)),"")</f>
        <v/>
      </c>
      <c r="E784" s="42" t="str">
        <f>+IFERROR(IF(GUAYAQUIL[[#This Row],[CODIGO]]="","",VLOOKUP(GUAYAQUIL[[#This Row],[CODIGO]],MAESTRO!$A:$F,6,FALSE)),"")</f>
        <v/>
      </c>
      <c r="F784" s="42" t="str">
        <f>IF(GUAYAQUIL[[#This Row],[CODIGO]]="","",$K$6)</f>
        <v/>
      </c>
      <c r="G784" s="1" t="str">
        <f>IF(GUAYAQUIL[[#This Row],[CODIGO]]="","",7711)</f>
        <v/>
      </c>
      <c r="H784" s="1" t="str">
        <f>IF(GUAYAQUIL[[#This Row],[CODIGO]]="","",1001)</f>
        <v/>
      </c>
      <c r="I784" s="258"/>
      <c r="J784" s="43" t="str">
        <f>IFERROR((VLOOKUP(GUAYAQUIL[[#This Row],[CODIGO]],MAESTRO!A:B,2,FALSE)),"")</f>
        <v/>
      </c>
      <c r="K784" s="35"/>
      <c r="L784" s="205" t="str">
        <f>+IFERROR(IF(GUAYAQUIL[[#This Row],[CODIGO]]="","",VLOOKUP(GUAYAQUIL[[#This Row],[CODIGO]],MAESTRO!$A:$BF,58,FALSE)),"")</f>
        <v/>
      </c>
      <c r="M784" s="27" t="str">
        <f>+IFERROR(IF(GUAYAQUIL[[#This Row],[CODIGO]]="","",VLOOKUP(GUAYAQUIL[[#This Row],[CODIGO]],MAESTRO!A:N,14,FALSE)),"")</f>
        <v/>
      </c>
      <c r="N784" s="206" t="str">
        <f>+IFERROR(IF(GUAYAQUIL[[#This Row],[CODIGO]]="","",VLOOKUP(GUAYAQUIL[[#This Row],[CODIGO]],MAESTRO!A:P,16,FALSE)),"")</f>
        <v/>
      </c>
      <c r="O784" s="303"/>
      <c r="P784" s="99" t="str">
        <f t="shared" si="66"/>
        <v/>
      </c>
      <c r="Q784" s="304" t="str">
        <f>IFERROR(IF(GUAYAQUIL[[#This Row],[CODIGO]]="","",IF(GUAYAQUIL[[#This Row],[Fecha Cad]]="","",(GUAYAQUIL[[#This Row],[Fecha Cad]]-GUAYAQUIL[[#This Row],[VIDA UTIL (Días)]]))+1),"")</f>
        <v/>
      </c>
      <c r="R784" s="303"/>
      <c r="S784" s="30" t="str">
        <f t="shared" si="67"/>
        <v/>
      </c>
      <c r="T784" s="279">
        <f t="shared" si="68"/>
        <v>0</v>
      </c>
      <c r="U784" s="288"/>
      <c r="V784" s="265" t="str">
        <f>+IFERROR(IF(GUAYAQUIL[[#This Row],[CODIGO]]="","",GUAYAQUIL[[#This Row],[Stock Actual Unds]]*GUAYAQUIL[[#This Row],[Gramaje]]*GUAYAQUIL[[#This Row],[Conversión]]),"")</f>
        <v/>
      </c>
      <c r="W784" s="280">
        <f t="shared" si="69"/>
        <v>0</v>
      </c>
      <c r="X784" s="44" t="str">
        <f t="shared" si="70"/>
        <v/>
      </c>
      <c r="Y784" s="236">
        <f>IFERROR(VLOOKUP(GUAYAQUIL[[#This Row],[CODIGO]],MAESTRO!A:BI,21,FALSE),0)</f>
        <v>0</v>
      </c>
      <c r="Z784" s="236" t="str">
        <f>+IFERROR(IF(GUAYAQUIL[[#This Row],[CODIGO]]="","",GUAYAQUIL[[#This Row],[COSTO UNIT base]]*GUAYAQUIL[[#This Row],[Conversión]]),"")</f>
        <v/>
      </c>
      <c r="AA784" s="236" t="str">
        <f>+IFERROR(IF(GUAYAQUIL[[#This Row],[CODIGO]]="","",GUAYAQUIL[[#This Row],[COSTO UNIT Conv]]*GUAYAQUIL[[#This Row],[Stock Actual Kgs]]),"")</f>
        <v/>
      </c>
      <c r="AB784" s="180" t="str">
        <f>+IFERROR(IF(GUAYAQUIL[[#This Row],[CODIGO]]="","",$J$3-O784),"")</f>
        <v/>
      </c>
      <c r="AC784" s="35" t="str">
        <f>IF(GUAYAQUIL[[#This Row],[CODIGO]]="","",IF(S784&lt;=0,"CADUCADO",IF(AND(S784&gt;0,S784&lt;=21),"FECHA CORTA",IF(AND(S784&gt;=22,S784&lt;=26),"PROXIMOS FECHA CORTA", "VIGENTE"))))</f>
        <v/>
      </c>
      <c r="AD784" s="289" t="e">
        <f>+IF(GUAYAQUIL[[#This Row],[CODIGO]]="","",GUAYAQUIL[[#This Row],[Stock Actual Unds]]*GUAYAQUIL[[#This Row],[Gramaje]]*GUAYAQUIL[[#This Row],[Conversión]])/1000</f>
        <v>#VALUE!</v>
      </c>
    </row>
    <row r="785" spans="1:30">
      <c r="A785" s="42" t="str">
        <f>+IFERROR(IF(GUAYAQUIL[[#This Row],[CODIGO]]="","",VLOOKUP(GUAYAQUIL[[#This Row],[CODIGO]],MAESTRO!$A:$J,10,FALSE)),"")</f>
        <v/>
      </c>
      <c r="B785" s="42" t="str">
        <f>+IFERROR(IF(GUAYAQUIL[[#This Row],[CODIGO]]="","",VLOOKUP(GUAYAQUIL[[#This Row],[CODIGO]],MAESTRO!$A:$Q,17,FALSE)),"")</f>
        <v/>
      </c>
      <c r="C785" s="42" t="str">
        <f>+IFERROR(IF(GUAYAQUIL[[#This Row],[CODIGO]]="","",VLOOKUP(GUAYAQUIL[[#This Row],[CODIGO]],MAESTRO!$A:$BA,53,FALSE)),"")</f>
        <v/>
      </c>
      <c r="D785" s="42" t="str">
        <f>+IFERROR(IF(GUAYAQUIL[[#This Row],[CODIGO]]="","",VLOOKUP(GUAYAQUIL[[#This Row],[CODIGO]],MAESTRO!$A:$D,4,FALSE)),"")</f>
        <v/>
      </c>
      <c r="E785" s="42" t="str">
        <f>+IFERROR(IF(GUAYAQUIL[[#This Row],[CODIGO]]="","",VLOOKUP(GUAYAQUIL[[#This Row],[CODIGO]],MAESTRO!$A:$F,6,FALSE)),"")</f>
        <v/>
      </c>
      <c r="F785" s="42" t="str">
        <f>IF(GUAYAQUIL[[#This Row],[CODIGO]]="","",$K$6)</f>
        <v/>
      </c>
      <c r="G785" s="1" t="str">
        <f>IF(GUAYAQUIL[[#This Row],[CODIGO]]="","",7711)</f>
        <v/>
      </c>
      <c r="H785" s="1" t="str">
        <f>IF(GUAYAQUIL[[#This Row],[CODIGO]]="","",1001)</f>
        <v/>
      </c>
      <c r="I785" s="258"/>
      <c r="J785" s="43" t="str">
        <f>IFERROR((VLOOKUP(GUAYAQUIL[[#This Row],[CODIGO]],MAESTRO!A:B,2,FALSE)),"")</f>
        <v/>
      </c>
      <c r="K785" s="35"/>
      <c r="L785" s="205" t="str">
        <f>+IFERROR(IF(GUAYAQUIL[[#This Row],[CODIGO]]="","",VLOOKUP(GUAYAQUIL[[#This Row],[CODIGO]],MAESTRO!$A:$BF,58,FALSE)),"")</f>
        <v/>
      </c>
      <c r="M785" s="27" t="str">
        <f>+IFERROR(IF(GUAYAQUIL[[#This Row],[CODIGO]]="","",VLOOKUP(GUAYAQUIL[[#This Row],[CODIGO]],MAESTRO!A:N,14,FALSE)),"")</f>
        <v/>
      </c>
      <c r="N785" s="206" t="str">
        <f>+IFERROR(IF(GUAYAQUIL[[#This Row],[CODIGO]]="","",VLOOKUP(GUAYAQUIL[[#This Row],[CODIGO]],MAESTRO!A:P,16,FALSE)),"")</f>
        <v/>
      </c>
      <c r="O785" s="303"/>
      <c r="P785" s="99" t="str">
        <f t="shared" si="66"/>
        <v/>
      </c>
      <c r="Q785" s="304" t="str">
        <f>IFERROR(IF(GUAYAQUIL[[#This Row],[CODIGO]]="","",IF(GUAYAQUIL[[#This Row],[Fecha Cad]]="","",(GUAYAQUIL[[#This Row],[Fecha Cad]]-GUAYAQUIL[[#This Row],[VIDA UTIL (Días)]]))+1),"")</f>
        <v/>
      </c>
      <c r="R785" s="303"/>
      <c r="S785" s="30" t="str">
        <f t="shared" si="67"/>
        <v/>
      </c>
      <c r="T785" s="279">
        <f t="shared" si="68"/>
        <v>0</v>
      </c>
      <c r="U785" s="288"/>
      <c r="V785" s="265" t="str">
        <f>+IFERROR(IF(GUAYAQUIL[[#This Row],[CODIGO]]="","",GUAYAQUIL[[#This Row],[Stock Actual Unds]]*GUAYAQUIL[[#This Row],[Gramaje]]*GUAYAQUIL[[#This Row],[Conversión]]),"")</f>
        <v/>
      </c>
      <c r="W785" s="280">
        <f t="shared" si="69"/>
        <v>0</v>
      </c>
      <c r="X785" s="44" t="str">
        <f t="shared" si="70"/>
        <v/>
      </c>
      <c r="Y785" s="236">
        <f>IFERROR(VLOOKUP(GUAYAQUIL[[#This Row],[CODIGO]],MAESTRO!A:BI,21,FALSE),0)</f>
        <v>0</v>
      </c>
      <c r="Z785" s="236" t="str">
        <f>+IFERROR(IF(GUAYAQUIL[[#This Row],[CODIGO]]="","",GUAYAQUIL[[#This Row],[COSTO UNIT base]]*GUAYAQUIL[[#This Row],[Conversión]]),"")</f>
        <v/>
      </c>
      <c r="AA785" s="236" t="str">
        <f>+IFERROR(IF(GUAYAQUIL[[#This Row],[CODIGO]]="","",GUAYAQUIL[[#This Row],[COSTO UNIT Conv]]*GUAYAQUIL[[#This Row],[Stock Actual Kgs]]),"")</f>
        <v/>
      </c>
      <c r="AB785" s="180" t="str">
        <f>+IFERROR(IF(GUAYAQUIL[[#This Row],[CODIGO]]="","",$J$3-O785),"")</f>
        <v/>
      </c>
      <c r="AC785" s="35" t="str">
        <f>IF(GUAYAQUIL[[#This Row],[CODIGO]]="","",IF(S785&lt;=0,"CADUCADO",IF(AND(S785&gt;0,S785&lt;=21),"FECHA CORTA",IF(AND(S785&gt;=22,S785&lt;=26),"PROXIMOS FECHA CORTA", "VIGENTE"))))</f>
        <v/>
      </c>
      <c r="AD785" s="289" t="e">
        <f>+IF(GUAYAQUIL[[#This Row],[CODIGO]]="","",GUAYAQUIL[[#This Row],[Stock Actual Unds]]*GUAYAQUIL[[#This Row],[Gramaje]]*GUAYAQUIL[[#This Row],[Conversión]])/1000</f>
        <v>#VALUE!</v>
      </c>
    </row>
    <row r="786" spans="1:30">
      <c r="A786" s="42" t="str">
        <f>+IFERROR(IF(GUAYAQUIL[[#This Row],[CODIGO]]="","",VLOOKUP(GUAYAQUIL[[#This Row],[CODIGO]],MAESTRO!$A:$J,10,FALSE)),"")</f>
        <v/>
      </c>
      <c r="B786" s="42" t="str">
        <f>+IFERROR(IF(GUAYAQUIL[[#This Row],[CODIGO]]="","",VLOOKUP(GUAYAQUIL[[#This Row],[CODIGO]],MAESTRO!$A:$Q,17,FALSE)),"")</f>
        <v/>
      </c>
      <c r="C786" s="42" t="str">
        <f>+IFERROR(IF(GUAYAQUIL[[#This Row],[CODIGO]]="","",VLOOKUP(GUAYAQUIL[[#This Row],[CODIGO]],MAESTRO!$A:$BA,53,FALSE)),"")</f>
        <v/>
      </c>
      <c r="D786" s="42" t="str">
        <f>+IFERROR(IF(GUAYAQUIL[[#This Row],[CODIGO]]="","",VLOOKUP(GUAYAQUIL[[#This Row],[CODIGO]],MAESTRO!$A:$D,4,FALSE)),"")</f>
        <v/>
      </c>
      <c r="E786" s="42" t="str">
        <f>+IFERROR(IF(GUAYAQUIL[[#This Row],[CODIGO]]="","",VLOOKUP(GUAYAQUIL[[#This Row],[CODIGO]],MAESTRO!$A:$F,6,FALSE)),"")</f>
        <v/>
      </c>
      <c r="F786" s="42" t="str">
        <f>IF(GUAYAQUIL[[#This Row],[CODIGO]]="","",$K$6)</f>
        <v/>
      </c>
      <c r="G786" s="1" t="str">
        <f>IF(GUAYAQUIL[[#This Row],[CODIGO]]="","",7711)</f>
        <v/>
      </c>
      <c r="H786" s="1" t="str">
        <f>IF(GUAYAQUIL[[#This Row],[CODIGO]]="","",1001)</f>
        <v/>
      </c>
      <c r="I786" s="258"/>
      <c r="J786" s="43" t="str">
        <f>IFERROR((VLOOKUP(GUAYAQUIL[[#This Row],[CODIGO]],MAESTRO!A:B,2,FALSE)),"")</f>
        <v/>
      </c>
      <c r="K786" s="35"/>
      <c r="L786" s="205" t="str">
        <f>+IFERROR(IF(GUAYAQUIL[[#This Row],[CODIGO]]="","",VLOOKUP(GUAYAQUIL[[#This Row],[CODIGO]],MAESTRO!$A:$BF,58,FALSE)),"")</f>
        <v/>
      </c>
      <c r="M786" s="27" t="str">
        <f>+IFERROR(IF(GUAYAQUIL[[#This Row],[CODIGO]]="","",VLOOKUP(GUAYAQUIL[[#This Row],[CODIGO]],MAESTRO!A:N,14,FALSE)),"")</f>
        <v/>
      </c>
      <c r="N786" s="206" t="str">
        <f>+IFERROR(IF(GUAYAQUIL[[#This Row],[CODIGO]]="","",VLOOKUP(GUAYAQUIL[[#This Row],[CODIGO]],MAESTRO!A:P,16,FALSE)),"")</f>
        <v/>
      </c>
      <c r="O786" s="303"/>
      <c r="P786" s="99" t="str">
        <f t="shared" si="66"/>
        <v/>
      </c>
      <c r="Q786" s="304" t="str">
        <f>IFERROR(IF(GUAYAQUIL[[#This Row],[CODIGO]]="","",IF(GUAYAQUIL[[#This Row],[Fecha Cad]]="","",(GUAYAQUIL[[#This Row],[Fecha Cad]]-GUAYAQUIL[[#This Row],[VIDA UTIL (Días)]]))+1),"")</f>
        <v/>
      </c>
      <c r="R786" s="303"/>
      <c r="S786" s="30" t="str">
        <f t="shared" si="67"/>
        <v/>
      </c>
      <c r="T786" s="279">
        <f t="shared" si="68"/>
        <v>0</v>
      </c>
      <c r="U786" s="288"/>
      <c r="V786" s="265" t="str">
        <f>+IFERROR(IF(GUAYAQUIL[[#This Row],[CODIGO]]="","",GUAYAQUIL[[#This Row],[Stock Actual Unds]]*GUAYAQUIL[[#This Row],[Gramaje]]*GUAYAQUIL[[#This Row],[Conversión]]),"")</f>
        <v/>
      </c>
      <c r="W786" s="280">
        <f t="shared" si="69"/>
        <v>0</v>
      </c>
      <c r="X786" s="44" t="str">
        <f t="shared" si="70"/>
        <v/>
      </c>
      <c r="Y786" s="236">
        <f>IFERROR(VLOOKUP(GUAYAQUIL[[#This Row],[CODIGO]],MAESTRO!A:BI,21,FALSE),0)</f>
        <v>0</v>
      </c>
      <c r="Z786" s="236" t="str">
        <f>+IFERROR(IF(GUAYAQUIL[[#This Row],[CODIGO]]="","",GUAYAQUIL[[#This Row],[COSTO UNIT base]]*GUAYAQUIL[[#This Row],[Conversión]]),"")</f>
        <v/>
      </c>
      <c r="AA786" s="236" t="str">
        <f>+IFERROR(IF(GUAYAQUIL[[#This Row],[CODIGO]]="","",GUAYAQUIL[[#This Row],[COSTO UNIT Conv]]*GUAYAQUIL[[#This Row],[Stock Actual Kgs]]),"")</f>
        <v/>
      </c>
      <c r="AB786" s="180" t="str">
        <f>+IFERROR(IF(GUAYAQUIL[[#This Row],[CODIGO]]="","",$J$3-O786),"")</f>
        <v/>
      </c>
      <c r="AC786" s="35" t="str">
        <f>IF(GUAYAQUIL[[#This Row],[CODIGO]]="","",IF(S786&lt;=0,"CADUCADO",IF(AND(S786&gt;0,S786&lt;=21),"FECHA CORTA",IF(AND(S786&gt;=22,S786&lt;=26),"PROXIMOS FECHA CORTA", "VIGENTE"))))</f>
        <v/>
      </c>
      <c r="AD786" s="289" t="e">
        <f>+IF(GUAYAQUIL[[#This Row],[CODIGO]]="","",GUAYAQUIL[[#This Row],[Stock Actual Unds]]*GUAYAQUIL[[#This Row],[Gramaje]]*GUAYAQUIL[[#This Row],[Conversión]])/1000</f>
        <v>#VALUE!</v>
      </c>
    </row>
    <row r="787" spans="1:30">
      <c r="A787" s="42" t="str">
        <f>+IFERROR(IF(GUAYAQUIL[[#This Row],[CODIGO]]="","",VLOOKUP(GUAYAQUIL[[#This Row],[CODIGO]],MAESTRO!$A:$J,10,FALSE)),"")</f>
        <v/>
      </c>
      <c r="B787" s="42" t="str">
        <f>+IFERROR(IF(GUAYAQUIL[[#This Row],[CODIGO]]="","",VLOOKUP(GUAYAQUIL[[#This Row],[CODIGO]],MAESTRO!$A:$Q,17,FALSE)),"")</f>
        <v/>
      </c>
      <c r="C787" s="42" t="str">
        <f>+IFERROR(IF(GUAYAQUIL[[#This Row],[CODIGO]]="","",VLOOKUP(GUAYAQUIL[[#This Row],[CODIGO]],MAESTRO!$A:$BA,53,FALSE)),"")</f>
        <v/>
      </c>
      <c r="D787" s="42" t="str">
        <f>+IFERROR(IF(GUAYAQUIL[[#This Row],[CODIGO]]="","",VLOOKUP(GUAYAQUIL[[#This Row],[CODIGO]],MAESTRO!$A:$D,4,FALSE)),"")</f>
        <v/>
      </c>
      <c r="E787" s="42" t="str">
        <f>+IFERROR(IF(GUAYAQUIL[[#This Row],[CODIGO]]="","",VLOOKUP(GUAYAQUIL[[#This Row],[CODIGO]],MAESTRO!$A:$F,6,FALSE)),"")</f>
        <v/>
      </c>
      <c r="F787" s="42" t="str">
        <f>IF(GUAYAQUIL[[#This Row],[CODIGO]]="","",$K$6)</f>
        <v/>
      </c>
      <c r="G787" s="1" t="str">
        <f>IF(GUAYAQUIL[[#This Row],[CODIGO]]="","",7711)</f>
        <v/>
      </c>
      <c r="H787" s="1" t="str">
        <f>IF(GUAYAQUIL[[#This Row],[CODIGO]]="","",1001)</f>
        <v/>
      </c>
      <c r="I787" s="258"/>
      <c r="J787" s="43" t="str">
        <f>IFERROR((VLOOKUP(GUAYAQUIL[[#This Row],[CODIGO]],MAESTRO!A:B,2,FALSE)),"")</f>
        <v/>
      </c>
      <c r="K787" s="35"/>
      <c r="L787" s="205" t="str">
        <f>+IFERROR(IF(GUAYAQUIL[[#This Row],[CODIGO]]="","",VLOOKUP(GUAYAQUIL[[#This Row],[CODIGO]],MAESTRO!$A:$BF,58,FALSE)),"")</f>
        <v/>
      </c>
      <c r="M787" s="27" t="str">
        <f>+IFERROR(IF(GUAYAQUIL[[#This Row],[CODIGO]]="","",VLOOKUP(GUAYAQUIL[[#This Row],[CODIGO]],MAESTRO!A:N,14,FALSE)),"")</f>
        <v/>
      </c>
      <c r="N787" s="206" t="str">
        <f>+IFERROR(IF(GUAYAQUIL[[#This Row],[CODIGO]]="","",VLOOKUP(GUAYAQUIL[[#This Row],[CODIGO]],MAESTRO!A:P,16,FALSE)),"")</f>
        <v/>
      </c>
      <c r="O787" s="303"/>
      <c r="P787" s="99" t="str">
        <f t="shared" si="66"/>
        <v/>
      </c>
      <c r="Q787" s="304" t="str">
        <f>IFERROR(IF(GUAYAQUIL[[#This Row],[CODIGO]]="","",IF(GUAYAQUIL[[#This Row],[Fecha Cad]]="","",(GUAYAQUIL[[#This Row],[Fecha Cad]]-GUAYAQUIL[[#This Row],[VIDA UTIL (Días)]]))+1),"")</f>
        <v/>
      </c>
      <c r="R787" s="303"/>
      <c r="S787" s="30" t="str">
        <f t="shared" si="67"/>
        <v/>
      </c>
      <c r="T787" s="279">
        <f t="shared" si="68"/>
        <v>0</v>
      </c>
      <c r="U787" s="288"/>
      <c r="V787" s="265" t="str">
        <f>+IFERROR(IF(GUAYAQUIL[[#This Row],[CODIGO]]="","",GUAYAQUIL[[#This Row],[Stock Actual Unds]]*GUAYAQUIL[[#This Row],[Gramaje]]*GUAYAQUIL[[#This Row],[Conversión]]),"")</f>
        <v/>
      </c>
      <c r="W787" s="280">
        <f t="shared" si="69"/>
        <v>0</v>
      </c>
      <c r="X787" s="44" t="str">
        <f t="shared" si="70"/>
        <v/>
      </c>
      <c r="Y787" s="236">
        <f>IFERROR(VLOOKUP(GUAYAQUIL[[#This Row],[CODIGO]],MAESTRO!A:BI,21,FALSE),0)</f>
        <v>0</v>
      </c>
      <c r="Z787" s="236" t="str">
        <f>+IFERROR(IF(GUAYAQUIL[[#This Row],[CODIGO]]="","",GUAYAQUIL[[#This Row],[COSTO UNIT base]]*GUAYAQUIL[[#This Row],[Conversión]]),"")</f>
        <v/>
      </c>
      <c r="AA787" s="236" t="str">
        <f>+IFERROR(IF(GUAYAQUIL[[#This Row],[CODIGO]]="","",GUAYAQUIL[[#This Row],[COSTO UNIT Conv]]*GUAYAQUIL[[#This Row],[Stock Actual Kgs]]),"")</f>
        <v/>
      </c>
      <c r="AB787" s="180" t="str">
        <f>+IFERROR(IF(GUAYAQUIL[[#This Row],[CODIGO]]="","",$J$3-O787),"")</f>
        <v/>
      </c>
      <c r="AC787" s="35" t="str">
        <f>IF(GUAYAQUIL[[#This Row],[CODIGO]]="","",IF(S787&lt;=0,"CADUCADO",IF(AND(S787&gt;0,S787&lt;=21),"FECHA CORTA",IF(AND(S787&gt;=22,S787&lt;=26),"PROXIMOS FECHA CORTA", "VIGENTE"))))</f>
        <v/>
      </c>
      <c r="AD787" s="289" t="e">
        <f>+IF(GUAYAQUIL[[#This Row],[CODIGO]]="","",GUAYAQUIL[[#This Row],[Stock Actual Unds]]*GUAYAQUIL[[#This Row],[Gramaje]]*GUAYAQUIL[[#This Row],[Conversión]])/1000</f>
        <v>#VALUE!</v>
      </c>
    </row>
    <row r="788" spans="1:30">
      <c r="A788" s="42" t="str">
        <f>+IFERROR(IF(GUAYAQUIL[[#This Row],[CODIGO]]="","",VLOOKUP(GUAYAQUIL[[#This Row],[CODIGO]],MAESTRO!$A:$J,10,FALSE)),"")</f>
        <v/>
      </c>
      <c r="B788" s="42" t="str">
        <f>+IFERROR(IF(GUAYAQUIL[[#This Row],[CODIGO]]="","",VLOOKUP(GUAYAQUIL[[#This Row],[CODIGO]],MAESTRO!$A:$Q,17,FALSE)),"")</f>
        <v/>
      </c>
      <c r="C788" s="42" t="str">
        <f>+IFERROR(IF(GUAYAQUIL[[#This Row],[CODIGO]]="","",VLOOKUP(GUAYAQUIL[[#This Row],[CODIGO]],MAESTRO!$A:$BA,53,FALSE)),"")</f>
        <v/>
      </c>
      <c r="D788" s="42" t="str">
        <f>+IFERROR(IF(GUAYAQUIL[[#This Row],[CODIGO]]="","",VLOOKUP(GUAYAQUIL[[#This Row],[CODIGO]],MAESTRO!$A:$D,4,FALSE)),"")</f>
        <v/>
      </c>
      <c r="E788" s="42" t="str">
        <f>+IFERROR(IF(GUAYAQUIL[[#This Row],[CODIGO]]="","",VLOOKUP(GUAYAQUIL[[#This Row],[CODIGO]],MAESTRO!$A:$F,6,FALSE)),"")</f>
        <v/>
      </c>
      <c r="F788" s="42" t="str">
        <f>IF(GUAYAQUIL[[#This Row],[CODIGO]]="","",$K$6)</f>
        <v/>
      </c>
      <c r="G788" s="1" t="str">
        <f>IF(GUAYAQUIL[[#This Row],[CODIGO]]="","",7711)</f>
        <v/>
      </c>
      <c r="H788" s="1" t="str">
        <f>IF(GUAYAQUIL[[#This Row],[CODIGO]]="","",1001)</f>
        <v/>
      </c>
      <c r="I788" s="258"/>
      <c r="J788" s="43" t="str">
        <f>IFERROR((VLOOKUP(GUAYAQUIL[[#This Row],[CODIGO]],MAESTRO!A:B,2,FALSE)),"")</f>
        <v/>
      </c>
      <c r="K788" s="35"/>
      <c r="L788" s="205" t="str">
        <f>+IFERROR(IF(GUAYAQUIL[[#This Row],[CODIGO]]="","",VLOOKUP(GUAYAQUIL[[#This Row],[CODIGO]],MAESTRO!$A:$BF,58,FALSE)),"")</f>
        <v/>
      </c>
      <c r="M788" s="27" t="str">
        <f>+IFERROR(IF(GUAYAQUIL[[#This Row],[CODIGO]]="","",VLOOKUP(GUAYAQUIL[[#This Row],[CODIGO]],MAESTRO!A:N,14,FALSE)),"")</f>
        <v/>
      </c>
      <c r="N788" s="206" t="str">
        <f>+IFERROR(IF(GUAYAQUIL[[#This Row],[CODIGO]]="","",VLOOKUP(GUAYAQUIL[[#This Row],[CODIGO]],MAESTRO!A:P,16,FALSE)),"")</f>
        <v/>
      </c>
      <c r="O788" s="303"/>
      <c r="P788" s="99" t="str">
        <f t="shared" si="66"/>
        <v/>
      </c>
      <c r="Q788" s="304" t="str">
        <f>IFERROR(IF(GUAYAQUIL[[#This Row],[CODIGO]]="","",IF(GUAYAQUIL[[#This Row],[Fecha Cad]]="","",(GUAYAQUIL[[#This Row],[Fecha Cad]]-GUAYAQUIL[[#This Row],[VIDA UTIL (Días)]]))+1),"")</f>
        <v/>
      </c>
      <c r="R788" s="303"/>
      <c r="S788" s="30" t="str">
        <f t="shared" si="67"/>
        <v/>
      </c>
      <c r="T788" s="279">
        <f t="shared" si="68"/>
        <v>0</v>
      </c>
      <c r="U788" s="288"/>
      <c r="V788" s="265" t="str">
        <f>+IFERROR(IF(GUAYAQUIL[[#This Row],[CODIGO]]="","",GUAYAQUIL[[#This Row],[Stock Actual Unds]]*GUAYAQUIL[[#This Row],[Gramaje]]*GUAYAQUIL[[#This Row],[Conversión]]),"")</f>
        <v/>
      </c>
      <c r="W788" s="280">
        <f t="shared" si="69"/>
        <v>0</v>
      </c>
      <c r="X788" s="44" t="str">
        <f t="shared" si="70"/>
        <v/>
      </c>
      <c r="Y788" s="236">
        <f>IFERROR(VLOOKUP(GUAYAQUIL[[#This Row],[CODIGO]],MAESTRO!A:BI,21,FALSE),0)</f>
        <v>0</v>
      </c>
      <c r="Z788" s="236" t="str">
        <f>+IFERROR(IF(GUAYAQUIL[[#This Row],[CODIGO]]="","",GUAYAQUIL[[#This Row],[COSTO UNIT base]]*GUAYAQUIL[[#This Row],[Conversión]]),"")</f>
        <v/>
      </c>
      <c r="AA788" s="236" t="str">
        <f>+IFERROR(IF(GUAYAQUIL[[#This Row],[CODIGO]]="","",GUAYAQUIL[[#This Row],[COSTO UNIT Conv]]*GUAYAQUIL[[#This Row],[Stock Actual Kgs]]),"")</f>
        <v/>
      </c>
      <c r="AB788" s="180" t="str">
        <f>+IFERROR(IF(GUAYAQUIL[[#This Row],[CODIGO]]="","",$J$3-O788),"")</f>
        <v/>
      </c>
      <c r="AC788" s="35" t="str">
        <f>IF(GUAYAQUIL[[#This Row],[CODIGO]]="","",IF(S788&lt;=0,"CADUCADO",IF(AND(S788&gt;0,S788&lt;=21),"FECHA CORTA",IF(AND(S788&gt;=22,S788&lt;=26),"PROXIMOS FECHA CORTA", "VIGENTE"))))</f>
        <v/>
      </c>
      <c r="AD788" s="289" t="e">
        <f>+IF(GUAYAQUIL[[#This Row],[CODIGO]]="","",GUAYAQUIL[[#This Row],[Stock Actual Unds]]*GUAYAQUIL[[#This Row],[Gramaje]]*GUAYAQUIL[[#This Row],[Conversión]])/1000</f>
        <v>#VALUE!</v>
      </c>
    </row>
    <row r="789" spans="1:30">
      <c r="A789" s="42" t="str">
        <f>+IFERROR(IF(GUAYAQUIL[[#This Row],[CODIGO]]="","",VLOOKUP(GUAYAQUIL[[#This Row],[CODIGO]],MAESTRO!$A:$J,10,FALSE)),"")</f>
        <v/>
      </c>
      <c r="B789" s="42" t="str">
        <f>+IFERROR(IF(GUAYAQUIL[[#This Row],[CODIGO]]="","",VLOOKUP(GUAYAQUIL[[#This Row],[CODIGO]],MAESTRO!$A:$Q,17,FALSE)),"")</f>
        <v/>
      </c>
      <c r="C789" s="42" t="str">
        <f>+IFERROR(IF(GUAYAQUIL[[#This Row],[CODIGO]]="","",VLOOKUP(GUAYAQUIL[[#This Row],[CODIGO]],MAESTRO!$A:$BA,53,FALSE)),"")</f>
        <v/>
      </c>
      <c r="D789" s="42" t="str">
        <f>+IFERROR(IF(GUAYAQUIL[[#This Row],[CODIGO]]="","",VLOOKUP(GUAYAQUIL[[#This Row],[CODIGO]],MAESTRO!$A:$D,4,FALSE)),"")</f>
        <v/>
      </c>
      <c r="E789" s="42" t="str">
        <f>+IFERROR(IF(GUAYAQUIL[[#This Row],[CODIGO]]="","",VLOOKUP(GUAYAQUIL[[#This Row],[CODIGO]],MAESTRO!$A:$F,6,FALSE)),"")</f>
        <v/>
      </c>
      <c r="F789" s="42" t="str">
        <f>IF(GUAYAQUIL[[#This Row],[CODIGO]]="","",$K$6)</f>
        <v/>
      </c>
      <c r="G789" s="1" t="str">
        <f>IF(GUAYAQUIL[[#This Row],[CODIGO]]="","",7711)</f>
        <v/>
      </c>
      <c r="H789" s="1" t="str">
        <f>IF(GUAYAQUIL[[#This Row],[CODIGO]]="","",1001)</f>
        <v/>
      </c>
      <c r="I789" s="258"/>
      <c r="J789" s="43" t="str">
        <f>IFERROR((VLOOKUP(GUAYAQUIL[[#This Row],[CODIGO]],MAESTRO!A:B,2,FALSE)),"")</f>
        <v/>
      </c>
      <c r="K789" s="35"/>
      <c r="L789" s="205" t="str">
        <f>+IFERROR(IF(GUAYAQUIL[[#This Row],[CODIGO]]="","",VLOOKUP(GUAYAQUIL[[#This Row],[CODIGO]],MAESTRO!$A:$BF,58,FALSE)),"")</f>
        <v/>
      </c>
      <c r="M789" s="27" t="str">
        <f>+IFERROR(IF(GUAYAQUIL[[#This Row],[CODIGO]]="","",VLOOKUP(GUAYAQUIL[[#This Row],[CODIGO]],MAESTRO!A:N,14,FALSE)),"")</f>
        <v/>
      </c>
      <c r="N789" s="206" t="str">
        <f>+IFERROR(IF(GUAYAQUIL[[#This Row],[CODIGO]]="","",VLOOKUP(GUAYAQUIL[[#This Row],[CODIGO]],MAESTRO!A:P,16,FALSE)),"")</f>
        <v/>
      </c>
      <c r="O789" s="303"/>
      <c r="P789" s="99" t="str">
        <f t="shared" si="66"/>
        <v/>
      </c>
      <c r="Q789" s="304" t="str">
        <f>IFERROR(IF(GUAYAQUIL[[#This Row],[CODIGO]]="","",IF(GUAYAQUIL[[#This Row],[Fecha Cad]]="","",(GUAYAQUIL[[#This Row],[Fecha Cad]]-GUAYAQUIL[[#This Row],[VIDA UTIL (Días)]]))+1),"")</f>
        <v/>
      </c>
      <c r="R789" s="303"/>
      <c r="S789" s="30" t="str">
        <f t="shared" si="67"/>
        <v/>
      </c>
      <c r="T789" s="279">
        <f t="shared" si="68"/>
        <v>0</v>
      </c>
      <c r="U789" s="288"/>
      <c r="V789" s="265" t="str">
        <f>+IFERROR(IF(GUAYAQUIL[[#This Row],[CODIGO]]="","",GUAYAQUIL[[#This Row],[Stock Actual Unds]]*GUAYAQUIL[[#This Row],[Gramaje]]*GUAYAQUIL[[#This Row],[Conversión]]),"")</f>
        <v/>
      </c>
      <c r="W789" s="280">
        <f t="shared" si="69"/>
        <v>0</v>
      </c>
      <c r="X789" s="44" t="str">
        <f t="shared" si="70"/>
        <v/>
      </c>
      <c r="Y789" s="236">
        <f>IFERROR(VLOOKUP(GUAYAQUIL[[#This Row],[CODIGO]],MAESTRO!A:BI,21,FALSE),0)</f>
        <v>0</v>
      </c>
      <c r="Z789" s="236" t="str">
        <f>+IFERROR(IF(GUAYAQUIL[[#This Row],[CODIGO]]="","",GUAYAQUIL[[#This Row],[COSTO UNIT base]]*GUAYAQUIL[[#This Row],[Conversión]]),"")</f>
        <v/>
      </c>
      <c r="AA789" s="236" t="str">
        <f>+IFERROR(IF(GUAYAQUIL[[#This Row],[CODIGO]]="","",GUAYAQUIL[[#This Row],[COSTO UNIT Conv]]*GUAYAQUIL[[#This Row],[Stock Actual Kgs]]),"")</f>
        <v/>
      </c>
      <c r="AB789" s="180" t="str">
        <f>+IFERROR(IF(GUAYAQUIL[[#This Row],[CODIGO]]="","",$J$3-O789),"")</f>
        <v/>
      </c>
      <c r="AC789" s="35" t="str">
        <f>IF(GUAYAQUIL[[#This Row],[CODIGO]]="","",IF(S789&lt;=0,"CADUCADO",IF(AND(S789&gt;0,S789&lt;=21),"FECHA CORTA",IF(AND(S789&gt;=22,S789&lt;=26),"PROXIMOS FECHA CORTA", "VIGENTE"))))</f>
        <v/>
      </c>
      <c r="AD789" s="289" t="e">
        <f>+IF(GUAYAQUIL[[#This Row],[CODIGO]]="","",GUAYAQUIL[[#This Row],[Stock Actual Unds]]*GUAYAQUIL[[#This Row],[Gramaje]]*GUAYAQUIL[[#This Row],[Conversión]])/1000</f>
        <v>#VALUE!</v>
      </c>
    </row>
    <row r="790" spans="1:30">
      <c r="A790" s="42" t="str">
        <f>+IFERROR(IF(GUAYAQUIL[[#This Row],[CODIGO]]="","",VLOOKUP(GUAYAQUIL[[#This Row],[CODIGO]],MAESTRO!$A:$J,10,FALSE)),"")</f>
        <v/>
      </c>
      <c r="B790" s="42" t="str">
        <f>+IFERROR(IF(GUAYAQUIL[[#This Row],[CODIGO]]="","",VLOOKUP(GUAYAQUIL[[#This Row],[CODIGO]],MAESTRO!$A:$Q,17,FALSE)),"")</f>
        <v/>
      </c>
      <c r="C790" s="42" t="str">
        <f>+IFERROR(IF(GUAYAQUIL[[#This Row],[CODIGO]]="","",VLOOKUP(GUAYAQUIL[[#This Row],[CODIGO]],MAESTRO!$A:$BA,53,FALSE)),"")</f>
        <v/>
      </c>
      <c r="D790" s="42" t="str">
        <f>+IFERROR(IF(GUAYAQUIL[[#This Row],[CODIGO]]="","",VLOOKUP(GUAYAQUIL[[#This Row],[CODIGO]],MAESTRO!$A:$D,4,FALSE)),"")</f>
        <v/>
      </c>
      <c r="E790" s="42" t="str">
        <f>+IFERROR(IF(GUAYAQUIL[[#This Row],[CODIGO]]="","",VLOOKUP(GUAYAQUIL[[#This Row],[CODIGO]],MAESTRO!$A:$F,6,FALSE)),"")</f>
        <v/>
      </c>
      <c r="F790" s="42" t="str">
        <f>IF(GUAYAQUIL[[#This Row],[CODIGO]]="","",$K$6)</f>
        <v/>
      </c>
      <c r="G790" s="1" t="str">
        <f>IF(GUAYAQUIL[[#This Row],[CODIGO]]="","",7711)</f>
        <v/>
      </c>
      <c r="H790" s="1" t="str">
        <f>IF(GUAYAQUIL[[#This Row],[CODIGO]]="","",1001)</f>
        <v/>
      </c>
      <c r="I790" s="258"/>
      <c r="J790" s="43" t="str">
        <f>IFERROR((VLOOKUP(GUAYAQUIL[[#This Row],[CODIGO]],MAESTRO!A:B,2,FALSE)),"")</f>
        <v/>
      </c>
      <c r="K790" s="35"/>
      <c r="L790" s="205" t="str">
        <f>+IFERROR(IF(GUAYAQUIL[[#This Row],[CODIGO]]="","",VLOOKUP(GUAYAQUIL[[#This Row],[CODIGO]],MAESTRO!$A:$BF,58,FALSE)),"")</f>
        <v/>
      </c>
      <c r="M790" s="27" t="str">
        <f>+IFERROR(IF(GUAYAQUIL[[#This Row],[CODIGO]]="","",VLOOKUP(GUAYAQUIL[[#This Row],[CODIGO]],MAESTRO!A:N,14,FALSE)),"")</f>
        <v/>
      </c>
      <c r="N790" s="206" t="str">
        <f>+IFERROR(IF(GUAYAQUIL[[#This Row],[CODIGO]]="","",VLOOKUP(GUAYAQUIL[[#This Row],[CODIGO]],MAESTRO!A:P,16,FALSE)),"")</f>
        <v/>
      </c>
      <c r="O790" s="303"/>
      <c r="P790" s="99" t="str">
        <f t="shared" si="66"/>
        <v/>
      </c>
      <c r="Q790" s="304" t="str">
        <f>IFERROR(IF(GUAYAQUIL[[#This Row],[CODIGO]]="","",IF(GUAYAQUIL[[#This Row],[Fecha Cad]]="","",(GUAYAQUIL[[#This Row],[Fecha Cad]]-GUAYAQUIL[[#This Row],[VIDA UTIL (Días)]]))+1),"")</f>
        <v/>
      </c>
      <c r="R790" s="303"/>
      <c r="S790" s="30" t="str">
        <f t="shared" si="67"/>
        <v/>
      </c>
      <c r="T790" s="279">
        <f t="shared" si="68"/>
        <v>0</v>
      </c>
      <c r="U790" s="288"/>
      <c r="V790" s="265" t="str">
        <f>+IFERROR(IF(GUAYAQUIL[[#This Row],[CODIGO]]="","",GUAYAQUIL[[#This Row],[Stock Actual Unds]]*GUAYAQUIL[[#This Row],[Gramaje]]*GUAYAQUIL[[#This Row],[Conversión]]),"")</f>
        <v/>
      </c>
      <c r="W790" s="280">
        <f t="shared" si="69"/>
        <v>0</v>
      </c>
      <c r="X790" s="44" t="str">
        <f t="shared" si="70"/>
        <v/>
      </c>
      <c r="Y790" s="236">
        <f>IFERROR(VLOOKUP(GUAYAQUIL[[#This Row],[CODIGO]],MAESTRO!A:BI,21,FALSE),0)</f>
        <v>0</v>
      </c>
      <c r="Z790" s="236" t="str">
        <f>+IFERROR(IF(GUAYAQUIL[[#This Row],[CODIGO]]="","",GUAYAQUIL[[#This Row],[COSTO UNIT base]]*GUAYAQUIL[[#This Row],[Conversión]]),"")</f>
        <v/>
      </c>
      <c r="AA790" s="236" t="str">
        <f>+IFERROR(IF(GUAYAQUIL[[#This Row],[CODIGO]]="","",GUAYAQUIL[[#This Row],[COSTO UNIT Conv]]*GUAYAQUIL[[#This Row],[Stock Actual Kgs]]),"")</f>
        <v/>
      </c>
      <c r="AB790" s="180" t="str">
        <f>+IFERROR(IF(GUAYAQUIL[[#This Row],[CODIGO]]="","",$J$3-O790),"")</f>
        <v/>
      </c>
      <c r="AC790" s="35" t="str">
        <f>IF(GUAYAQUIL[[#This Row],[CODIGO]]="","",IF(S790&lt;=0,"CADUCADO",IF(AND(S790&gt;0,S790&lt;=21),"FECHA CORTA",IF(AND(S790&gt;=22,S790&lt;=26),"PROXIMOS FECHA CORTA", "VIGENTE"))))</f>
        <v/>
      </c>
      <c r="AD790" s="289" t="e">
        <f>+IF(GUAYAQUIL[[#This Row],[CODIGO]]="","",GUAYAQUIL[[#This Row],[Stock Actual Unds]]*GUAYAQUIL[[#This Row],[Gramaje]]*GUAYAQUIL[[#This Row],[Conversión]])/1000</f>
        <v>#VALUE!</v>
      </c>
    </row>
    <row r="791" spans="1:30">
      <c r="A791" s="42" t="str">
        <f>+IFERROR(IF(GUAYAQUIL[[#This Row],[CODIGO]]="","",VLOOKUP(GUAYAQUIL[[#This Row],[CODIGO]],MAESTRO!$A:$J,10,FALSE)),"")</f>
        <v/>
      </c>
      <c r="B791" s="42" t="str">
        <f>+IFERROR(IF(GUAYAQUIL[[#This Row],[CODIGO]]="","",VLOOKUP(GUAYAQUIL[[#This Row],[CODIGO]],MAESTRO!$A:$Q,17,FALSE)),"")</f>
        <v/>
      </c>
      <c r="C791" s="42" t="str">
        <f>+IFERROR(IF(GUAYAQUIL[[#This Row],[CODIGO]]="","",VLOOKUP(GUAYAQUIL[[#This Row],[CODIGO]],MAESTRO!$A:$BA,53,FALSE)),"")</f>
        <v/>
      </c>
      <c r="D791" s="42" t="str">
        <f>+IFERROR(IF(GUAYAQUIL[[#This Row],[CODIGO]]="","",VLOOKUP(GUAYAQUIL[[#This Row],[CODIGO]],MAESTRO!$A:$D,4,FALSE)),"")</f>
        <v/>
      </c>
      <c r="E791" s="42" t="str">
        <f>+IFERROR(IF(GUAYAQUIL[[#This Row],[CODIGO]]="","",VLOOKUP(GUAYAQUIL[[#This Row],[CODIGO]],MAESTRO!$A:$F,6,FALSE)),"")</f>
        <v/>
      </c>
      <c r="F791" s="42" t="str">
        <f>IF(GUAYAQUIL[[#This Row],[CODIGO]]="","",$K$6)</f>
        <v/>
      </c>
      <c r="G791" s="1" t="str">
        <f>IF(GUAYAQUIL[[#This Row],[CODIGO]]="","",7711)</f>
        <v/>
      </c>
      <c r="H791" s="1" t="str">
        <f>IF(GUAYAQUIL[[#This Row],[CODIGO]]="","",1001)</f>
        <v/>
      </c>
      <c r="I791" s="258"/>
      <c r="J791" s="43" t="str">
        <f>IFERROR((VLOOKUP(GUAYAQUIL[[#This Row],[CODIGO]],MAESTRO!A:B,2,FALSE)),"")</f>
        <v/>
      </c>
      <c r="K791" s="35"/>
      <c r="L791" s="205" t="str">
        <f>+IFERROR(IF(GUAYAQUIL[[#This Row],[CODIGO]]="","",VLOOKUP(GUAYAQUIL[[#This Row],[CODIGO]],MAESTRO!$A:$BF,58,FALSE)),"")</f>
        <v/>
      </c>
      <c r="M791" s="27" t="str">
        <f>+IFERROR(IF(GUAYAQUIL[[#This Row],[CODIGO]]="","",VLOOKUP(GUAYAQUIL[[#This Row],[CODIGO]],MAESTRO!A:N,14,FALSE)),"")</f>
        <v/>
      </c>
      <c r="N791" s="206" t="str">
        <f>+IFERROR(IF(GUAYAQUIL[[#This Row],[CODIGO]]="","",VLOOKUP(GUAYAQUIL[[#This Row],[CODIGO]],MAESTRO!A:P,16,FALSE)),"")</f>
        <v/>
      </c>
      <c r="O791" s="303"/>
      <c r="P791" s="99" t="str">
        <f t="shared" si="66"/>
        <v/>
      </c>
      <c r="Q791" s="304" t="str">
        <f>IFERROR(IF(GUAYAQUIL[[#This Row],[CODIGO]]="","",IF(GUAYAQUIL[[#This Row],[Fecha Cad]]="","",(GUAYAQUIL[[#This Row],[Fecha Cad]]-GUAYAQUIL[[#This Row],[VIDA UTIL (Días)]]))+1),"")</f>
        <v/>
      </c>
      <c r="R791" s="303"/>
      <c r="S791" s="30" t="str">
        <f t="shared" si="67"/>
        <v/>
      </c>
      <c r="T791" s="279">
        <f t="shared" si="68"/>
        <v>0</v>
      </c>
      <c r="U791" s="288"/>
      <c r="V791" s="265" t="str">
        <f>+IFERROR(IF(GUAYAQUIL[[#This Row],[CODIGO]]="","",GUAYAQUIL[[#This Row],[Stock Actual Unds]]*GUAYAQUIL[[#This Row],[Gramaje]]*GUAYAQUIL[[#This Row],[Conversión]]),"")</f>
        <v/>
      </c>
      <c r="W791" s="280">
        <f t="shared" si="69"/>
        <v>0</v>
      </c>
      <c r="X791" s="44" t="str">
        <f t="shared" si="70"/>
        <v/>
      </c>
      <c r="Y791" s="236">
        <f>IFERROR(VLOOKUP(GUAYAQUIL[[#This Row],[CODIGO]],MAESTRO!A:BI,21,FALSE),0)</f>
        <v>0</v>
      </c>
      <c r="Z791" s="236" t="str">
        <f>+IFERROR(IF(GUAYAQUIL[[#This Row],[CODIGO]]="","",GUAYAQUIL[[#This Row],[COSTO UNIT base]]*GUAYAQUIL[[#This Row],[Conversión]]),"")</f>
        <v/>
      </c>
      <c r="AA791" s="236" t="str">
        <f>+IFERROR(IF(GUAYAQUIL[[#This Row],[CODIGO]]="","",GUAYAQUIL[[#This Row],[COSTO UNIT Conv]]*GUAYAQUIL[[#This Row],[Stock Actual Kgs]]),"")</f>
        <v/>
      </c>
      <c r="AB791" s="180" t="str">
        <f>+IFERROR(IF(GUAYAQUIL[[#This Row],[CODIGO]]="","",$J$3-O791),"")</f>
        <v/>
      </c>
      <c r="AC791" s="35" t="str">
        <f>IF(GUAYAQUIL[[#This Row],[CODIGO]]="","",IF(S791&lt;=0,"CADUCADO",IF(AND(S791&gt;0,S791&lt;=21),"FECHA CORTA",IF(AND(S791&gt;=22,S791&lt;=26),"PROXIMOS FECHA CORTA", "VIGENTE"))))</f>
        <v/>
      </c>
      <c r="AD791" s="289" t="e">
        <f>+IF(GUAYAQUIL[[#This Row],[CODIGO]]="","",GUAYAQUIL[[#This Row],[Stock Actual Unds]]*GUAYAQUIL[[#This Row],[Gramaje]]*GUAYAQUIL[[#This Row],[Conversión]])/1000</f>
        <v>#VALUE!</v>
      </c>
    </row>
    <row r="792" spans="1:30">
      <c r="A792" s="42" t="str">
        <f>+IFERROR(IF(GUAYAQUIL[[#This Row],[CODIGO]]="","",VLOOKUP(GUAYAQUIL[[#This Row],[CODIGO]],MAESTRO!$A:$J,10,FALSE)),"")</f>
        <v/>
      </c>
      <c r="B792" s="42" t="str">
        <f>+IFERROR(IF(GUAYAQUIL[[#This Row],[CODIGO]]="","",VLOOKUP(GUAYAQUIL[[#This Row],[CODIGO]],MAESTRO!$A:$Q,17,FALSE)),"")</f>
        <v/>
      </c>
      <c r="C792" s="42" t="str">
        <f>+IFERROR(IF(GUAYAQUIL[[#This Row],[CODIGO]]="","",VLOOKUP(GUAYAQUIL[[#This Row],[CODIGO]],MAESTRO!$A:$BA,53,FALSE)),"")</f>
        <v/>
      </c>
      <c r="D792" s="42" t="str">
        <f>+IFERROR(IF(GUAYAQUIL[[#This Row],[CODIGO]]="","",VLOOKUP(GUAYAQUIL[[#This Row],[CODIGO]],MAESTRO!$A:$D,4,FALSE)),"")</f>
        <v/>
      </c>
      <c r="E792" s="42" t="str">
        <f>+IFERROR(IF(GUAYAQUIL[[#This Row],[CODIGO]]="","",VLOOKUP(GUAYAQUIL[[#This Row],[CODIGO]],MAESTRO!$A:$F,6,FALSE)),"")</f>
        <v/>
      </c>
      <c r="F792" s="42" t="str">
        <f>IF(GUAYAQUIL[[#This Row],[CODIGO]]="","",$K$6)</f>
        <v/>
      </c>
      <c r="G792" s="1" t="str">
        <f>IF(GUAYAQUIL[[#This Row],[CODIGO]]="","",7711)</f>
        <v/>
      </c>
      <c r="H792" s="1" t="str">
        <f>IF(GUAYAQUIL[[#This Row],[CODIGO]]="","",1001)</f>
        <v/>
      </c>
      <c r="I792" s="258"/>
      <c r="J792" s="43" t="str">
        <f>IFERROR((VLOOKUP(GUAYAQUIL[[#This Row],[CODIGO]],MAESTRO!A:B,2,FALSE)),"")</f>
        <v/>
      </c>
      <c r="K792" s="35"/>
      <c r="L792" s="205" t="str">
        <f>+IFERROR(IF(GUAYAQUIL[[#This Row],[CODIGO]]="","",VLOOKUP(GUAYAQUIL[[#This Row],[CODIGO]],MAESTRO!$A:$BF,58,FALSE)),"")</f>
        <v/>
      </c>
      <c r="M792" s="27" t="str">
        <f>+IFERROR(IF(GUAYAQUIL[[#This Row],[CODIGO]]="","",VLOOKUP(GUAYAQUIL[[#This Row],[CODIGO]],MAESTRO!A:N,14,FALSE)),"")</f>
        <v/>
      </c>
      <c r="N792" s="206" t="str">
        <f>+IFERROR(IF(GUAYAQUIL[[#This Row],[CODIGO]]="","",VLOOKUP(GUAYAQUIL[[#This Row],[CODIGO]],MAESTRO!A:P,16,FALSE)),"")</f>
        <v/>
      </c>
      <c r="O792" s="303"/>
      <c r="P792" s="99" t="str">
        <f t="shared" si="66"/>
        <v/>
      </c>
      <c r="Q792" s="304" t="str">
        <f>IFERROR(IF(GUAYAQUIL[[#This Row],[CODIGO]]="","",IF(GUAYAQUIL[[#This Row],[Fecha Cad]]="","",(GUAYAQUIL[[#This Row],[Fecha Cad]]-GUAYAQUIL[[#This Row],[VIDA UTIL (Días)]]))+1),"")</f>
        <v/>
      </c>
      <c r="R792" s="303"/>
      <c r="S792" s="30" t="str">
        <f t="shared" si="67"/>
        <v/>
      </c>
      <c r="T792" s="279">
        <f t="shared" si="68"/>
        <v>0</v>
      </c>
      <c r="U792" s="288"/>
      <c r="V792" s="265" t="str">
        <f>+IFERROR(IF(GUAYAQUIL[[#This Row],[CODIGO]]="","",GUAYAQUIL[[#This Row],[Stock Actual Unds]]*GUAYAQUIL[[#This Row],[Gramaje]]*GUAYAQUIL[[#This Row],[Conversión]]),"")</f>
        <v/>
      </c>
      <c r="W792" s="280">
        <f t="shared" si="69"/>
        <v>0</v>
      </c>
      <c r="X792" s="44" t="str">
        <f t="shared" si="70"/>
        <v/>
      </c>
      <c r="Y792" s="236">
        <f>IFERROR(VLOOKUP(GUAYAQUIL[[#This Row],[CODIGO]],MAESTRO!A:BI,21,FALSE),0)</f>
        <v>0</v>
      </c>
      <c r="Z792" s="236" t="str">
        <f>+IFERROR(IF(GUAYAQUIL[[#This Row],[CODIGO]]="","",GUAYAQUIL[[#This Row],[COSTO UNIT base]]*GUAYAQUIL[[#This Row],[Conversión]]),"")</f>
        <v/>
      </c>
      <c r="AA792" s="236" t="str">
        <f>+IFERROR(IF(GUAYAQUIL[[#This Row],[CODIGO]]="","",GUAYAQUIL[[#This Row],[COSTO UNIT Conv]]*GUAYAQUIL[[#This Row],[Stock Actual Kgs]]),"")</f>
        <v/>
      </c>
      <c r="AB792" s="180" t="str">
        <f>+IFERROR(IF(GUAYAQUIL[[#This Row],[CODIGO]]="","",$J$3-O792),"")</f>
        <v/>
      </c>
      <c r="AC792" s="35" t="str">
        <f>IF(GUAYAQUIL[[#This Row],[CODIGO]]="","",IF(S792&lt;=0,"CADUCADO",IF(AND(S792&gt;0,S792&lt;=21),"FECHA CORTA",IF(AND(S792&gt;=22,S792&lt;=26),"PROXIMOS FECHA CORTA", "VIGENTE"))))</f>
        <v/>
      </c>
      <c r="AD792" s="289" t="e">
        <f>+IF(GUAYAQUIL[[#This Row],[CODIGO]]="","",GUAYAQUIL[[#This Row],[Stock Actual Unds]]*GUAYAQUIL[[#This Row],[Gramaje]]*GUAYAQUIL[[#This Row],[Conversión]])/1000</f>
        <v>#VALUE!</v>
      </c>
    </row>
    <row r="793" spans="1:30">
      <c r="A793" s="42" t="str">
        <f>+IFERROR(IF(GUAYAQUIL[[#This Row],[CODIGO]]="","",VLOOKUP(GUAYAQUIL[[#This Row],[CODIGO]],MAESTRO!$A:$J,10,FALSE)),"")</f>
        <v/>
      </c>
      <c r="B793" s="42" t="str">
        <f>+IFERROR(IF(GUAYAQUIL[[#This Row],[CODIGO]]="","",VLOOKUP(GUAYAQUIL[[#This Row],[CODIGO]],MAESTRO!$A:$Q,17,FALSE)),"")</f>
        <v/>
      </c>
      <c r="C793" s="42" t="str">
        <f>+IFERROR(IF(GUAYAQUIL[[#This Row],[CODIGO]]="","",VLOOKUP(GUAYAQUIL[[#This Row],[CODIGO]],MAESTRO!$A:$BA,53,FALSE)),"")</f>
        <v/>
      </c>
      <c r="D793" s="42" t="str">
        <f>+IFERROR(IF(GUAYAQUIL[[#This Row],[CODIGO]]="","",VLOOKUP(GUAYAQUIL[[#This Row],[CODIGO]],MAESTRO!$A:$D,4,FALSE)),"")</f>
        <v/>
      </c>
      <c r="E793" s="42" t="str">
        <f>+IFERROR(IF(GUAYAQUIL[[#This Row],[CODIGO]]="","",VLOOKUP(GUAYAQUIL[[#This Row],[CODIGO]],MAESTRO!$A:$F,6,FALSE)),"")</f>
        <v/>
      </c>
      <c r="F793" s="42" t="str">
        <f>IF(GUAYAQUIL[[#This Row],[CODIGO]]="","",$K$6)</f>
        <v/>
      </c>
      <c r="G793" s="1" t="str">
        <f>IF(GUAYAQUIL[[#This Row],[CODIGO]]="","",7711)</f>
        <v/>
      </c>
      <c r="H793" s="1" t="str">
        <f>IF(GUAYAQUIL[[#This Row],[CODIGO]]="","",1001)</f>
        <v/>
      </c>
      <c r="I793" s="258"/>
      <c r="J793" s="43" t="str">
        <f>IFERROR((VLOOKUP(GUAYAQUIL[[#This Row],[CODIGO]],MAESTRO!A:B,2,FALSE)),"")</f>
        <v/>
      </c>
      <c r="K793" s="35"/>
      <c r="L793" s="205" t="str">
        <f>+IFERROR(IF(GUAYAQUIL[[#This Row],[CODIGO]]="","",VLOOKUP(GUAYAQUIL[[#This Row],[CODIGO]],MAESTRO!$A:$BF,58,FALSE)),"")</f>
        <v/>
      </c>
      <c r="M793" s="27" t="str">
        <f>+IFERROR(IF(GUAYAQUIL[[#This Row],[CODIGO]]="","",VLOOKUP(GUAYAQUIL[[#This Row],[CODIGO]],MAESTRO!A:N,14,FALSE)),"")</f>
        <v/>
      </c>
      <c r="N793" s="206" t="str">
        <f>+IFERROR(IF(GUAYAQUIL[[#This Row],[CODIGO]]="","",VLOOKUP(GUAYAQUIL[[#This Row],[CODIGO]],MAESTRO!A:P,16,FALSE)),"")</f>
        <v/>
      </c>
      <c r="O793" s="303"/>
      <c r="P793" s="99" t="str">
        <f t="shared" si="66"/>
        <v/>
      </c>
      <c r="Q793" s="304" t="str">
        <f>IFERROR(IF(GUAYAQUIL[[#This Row],[CODIGO]]="","",IF(GUAYAQUIL[[#This Row],[Fecha Cad]]="","",(GUAYAQUIL[[#This Row],[Fecha Cad]]-GUAYAQUIL[[#This Row],[VIDA UTIL (Días)]]))+1),"")</f>
        <v/>
      </c>
      <c r="R793" s="303"/>
      <c r="S793" s="30" t="str">
        <f t="shared" si="67"/>
        <v/>
      </c>
      <c r="T793" s="279">
        <f t="shared" si="68"/>
        <v>0</v>
      </c>
      <c r="U793" s="288"/>
      <c r="V793" s="265" t="str">
        <f>+IFERROR(IF(GUAYAQUIL[[#This Row],[CODIGO]]="","",GUAYAQUIL[[#This Row],[Stock Actual Unds]]*GUAYAQUIL[[#This Row],[Gramaje]]*GUAYAQUIL[[#This Row],[Conversión]]),"")</f>
        <v/>
      </c>
      <c r="W793" s="280">
        <f t="shared" si="69"/>
        <v>0</v>
      </c>
      <c r="X793" s="44" t="str">
        <f t="shared" si="70"/>
        <v/>
      </c>
      <c r="Y793" s="236">
        <f>IFERROR(VLOOKUP(GUAYAQUIL[[#This Row],[CODIGO]],MAESTRO!A:BI,21,FALSE),0)</f>
        <v>0</v>
      </c>
      <c r="Z793" s="236" t="str">
        <f>+IFERROR(IF(GUAYAQUIL[[#This Row],[CODIGO]]="","",GUAYAQUIL[[#This Row],[COSTO UNIT base]]*GUAYAQUIL[[#This Row],[Conversión]]),"")</f>
        <v/>
      </c>
      <c r="AA793" s="236" t="str">
        <f>+IFERROR(IF(GUAYAQUIL[[#This Row],[CODIGO]]="","",GUAYAQUIL[[#This Row],[COSTO UNIT Conv]]*GUAYAQUIL[[#This Row],[Stock Actual Kgs]]),"")</f>
        <v/>
      </c>
      <c r="AB793" s="180" t="str">
        <f>+IFERROR(IF(GUAYAQUIL[[#This Row],[CODIGO]]="","",$J$3-O793),"")</f>
        <v/>
      </c>
      <c r="AC793" s="35" t="str">
        <f>IF(GUAYAQUIL[[#This Row],[CODIGO]]="","",IF(S793&lt;=0,"CADUCADO",IF(AND(S793&gt;0,S793&lt;=21),"FECHA CORTA",IF(AND(S793&gt;=22,S793&lt;=26),"PROXIMOS FECHA CORTA", "VIGENTE"))))</f>
        <v/>
      </c>
      <c r="AD793" s="289" t="e">
        <f>+IF(GUAYAQUIL[[#This Row],[CODIGO]]="","",GUAYAQUIL[[#This Row],[Stock Actual Unds]]*GUAYAQUIL[[#This Row],[Gramaje]]*GUAYAQUIL[[#This Row],[Conversión]])/1000</f>
        <v>#VALUE!</v>
      </c>
    </row>
    <row r="794" spans="1:30">
      <c r="A794" s="42" t="str">
        <f>+IFERROR(IF(GUAYAQUIL[[#This Row],[CODIGO]]="","",VLOOKUP(GUAYAQUIL[[#This Row],[CODIGO]],MAESTRO!$A:$J,10,FALSE)),"")</f>
        <v/>
      </c>
      <c r="B794" s="42" t="str">
        <f>+IFERROR(IF(GUAYAQUIL[[#This Row],[CODIGO]]="","",VLOOKUP(GUAYAQUIL[[#This Row],[CODIGO]],MAESTRO!$A:$Q,17,FALSE)),"")</f>
        <v/>
      </c>
      <c r="C794" s="42" t="str">
        <f>+IFERROR(IF(GUAYAQUIL[[#This Row],[CODIGO]]="","",VLOOKUP(GUAYAQUIL[[#This Row],[CODIGO]],MAESTRO!$A:$BA,53,FALSE)),"")</f>
        <v/>
      </c>
      <c r="D794" s="42" t="str">
        <f>+IFERROR(IF(GUAYAQUIL[[#This Row],[CODIGO]]="","",VLOOKUP(GUAYAQUIL[[#This Row],[CODIGO]],MAESTRO!$A:$D,4,FALSE)),"")</f>
        <v/>
      </c>
      <c r="E794" s="42" t="str">
        <f>+IFERROR(IF(GUAYAQUIL[[#This Row],[CODIGO]]="","",VLOOKUP(GUAYAQUIL[[#This Row],[CODIGO]],MAESTRO!$A:$F,6,FALSE)),"")</f>
        <v/>
      </c>
      <c r="F794" s="42" t="str">
        <f>IF(GUAYAQUIL[[#This Row],[CODIGO]]="","",$K$6)</f>
        <v/>
      </c>
      <c r="G794" s="1" t="str">
        <f>IF(GUAYAQUIL[[#This Row],[CODIGO]]="","",7711)</f>
        <v/>
      </c>
      <c r="H794" s="1" t="str">
        <f>IF(GUAYAQUIL[[#This Row],[CODIGO]]="","",1001)</f>
        <v/>
      </c>
      <c r="I794" s="258"/>
      <c r="J794" s="43" t="str">
        <f>IFERROR((VLOOKUP(GUAYAQUIL[[#This Row],[CODIGO]],MAESTRO!A:B,2,FALSE)),"")</f>
        <v/>
      </c>
      <c r="K794" s="35"/>
      <c r="L794" s="205" t="str">
        <f>+IFERROR(IF(GUAYAQUIL[[#This Row],[CODIGO]]="","",VLOOKUP(GUAYAQUIL[[#This Row],[CODIGO]],MAESTRO!$A:$BF,58,FALSE)),"")</f>
        <v/>
      </c>
      <c r="M794" s="27" t="str">
        <f>+IFERROR(IF(GUAYAQUIL[[#This Row],[CODIGO]]="","",VLOOKUP(GUAYAQUIL[[#This Row],[CODIGO]],MAESTRO!A:N,14,FALSE)),"")</f>
        <v/>
      </c>
      <c r="N794" s="206" t="str">
        <f>+IFERROR(IF(GUAYAQUIL[[#This Row],[CODIGO]]="","",VLOOKUP(GUAYAQUIL[[#This Row],[CODIGO]],MAESTRO!A:P,16,FALSE)),"")</f>
        <v/>
      </c>
      <c r="O794" s="303"/>
      <c r="P794" s="99" t="str">
        <f t="shared" si="66"/>
        <v/>
      </c>
      <c r="Q794" s="304" t="str">
        <f>IFERROR(IF(GUAYAQUIL[[#This Row],[CODIGO]]="","",IF(GUAYAQUIL[[#This Row],[Fecha Cad]]="","",(GUAYAQUIL[[#This Row],[Fecha Cad]]-GUAYAQUIL[[#This Row],[VIDA UTIL (Días)]]))+1),"")</f>
        <v/>
      </c>
      <c r="R794" s="303"/>
      <c r="S794" s="30" t="str">
        <f t="shared" si="67"/>
        <v/>
      </c>
      <c r="T794" s="279">
        <f t="shared" si="68"/>
        <v>0</v>
      </c>
      <c r="U794" s="288"/>
      <c r="V794" s="265" t="str">
        <f>+IFERROR(IF(GUAYAQUIL[[#This Row],[CODIGO]]="","",GUAYAQUIL[[#This Row],[Stock Actual Unds]]*GUAYAQUIL[[#This Row],[Gramaje]]*GUAYAQUIL[[#This Row],[Conversión]]),"")</f>
        <v/>
      </c>
      <c r="W794" s="280">
        <f t="shared" si="69"/>
        <v>0</v>
      </c>
      <c r="X794" s="44" t="str">
        <f t="shared" si="70"/>
        <v/>
      </c>
      <c r="Y794" s="236">
        <f>IFERROR(VLOOKUP(GUAYAQUIL[[#This Row],[CODIGO]],MAESTRO!A:BI,21,FALSE),0)</f>
        <v>0</v>
      </c>
      <c r="Z794" s="236" t="str">
        <f>+IFERROR(IF(GUAYAQUIL[[#This Row],[CODIGO]]="","",GUAYAQUIL[[#This Row],[COSTO UNIT base]]*GUAYAQUIL[[#This Row],[Conversión]]),"")</f>
        <v/>
      </c>
      <c r="AA794" s="236" t="str">
        <f>+IFERROR(IF(GUAYAQUIL[[#This Row],[CODIGO]]="","",GUAYAQUIL[[#This Row],[COSTO UNIT Conv]]*GUAYAQUIL[[#This Row],[Stock Actual Kgs]]),"")</f>
        <v/>
      </c>
      <c r="AB794" s="180" t="str">
        <f>+IFERROR(IF(GUAYAQUIL[[#This Row],[CODIGO]]="","",$J$3-O794),"")</f>
        <v/>
      </c>
      <c r="AC794" s="35" t="str">
        <f>IF(GUAYAQUIL[[#This Row],[CODIGO]]="","",IF(S794&lt;=0,"CADUCADO",IF(AND(S794&gt;0,S794&lt;=21),"FECHA CORTA",IF(AND(S794&gt;=22,S794&lt;=26),"PROXIMOS FECHA CORTA", "VIGENTE"))))</f>
        <v/>
      </c>
      <c r="AD794" s="289" t="e">
        <f>+IF(GUAYAQUIL[[#This Row],[CODIGO]]="","",GUAYAQUIL[[#This Row],[Stock Actual Unds]]*GUAYAQUIL[[#This Row],[Gramaje]]*GUAYAQUIL[[#This Row],[Conversión]])/1000</f>
        <v>#VALUE!</v>
      </c>
    </row>
    <row r="795" spans="1:30">
      <c r="A795" s="42" t="str">
        <f>+IFERROR(IF(GUAYAQUIL[[#This Row],[CODIGO]]="","",VLOOKUP(GUAYAQUIL[[#This Row],[CODIGO]],MAESTRO!$A:$J,10,FALSE)),"")</f>
        <v/>
      </c>
      <c r="B795" s="42" t="str">
        <f>+IFERROR(IF(GUAYAQUIL[[#This Row],[CODIGO]]="","",VLOOKUP(GUAYAQUIL[[#This Row],[CODIGO]],MAESTRO!$A:$Q,17,FALSE)),"")</f>
        <v/>
      </c>
      <c r="C795" s="42" t="str">
        <f>+IFERROR(IF(GUAYAQUIL[[#This Row],[CODIGO]]="","",VLOOKUP(GUAYAQUIL[[#This Row],[CODIGO]],MAESTRO!$A:$BA,53,FALSE)),"")</f>
        <v/>
      </c>
      <c r="D795" s="42" t="str">
        <f>+IFERROR(IF(GUAYAQUIL[[#This Row],[CODIGO]]="","",VLOOKUP(GUAYAQUIL[[#This Row],[CODIGO]],MAESTRO!$A:$D,4,FALSE)),"")</f>
        <v/>
      </c>
      <c r="E795" s="42" t="str">
        <f>+IFERROR(IF(GUAYAQUIL[[#This Row],[CODIGO]]="","",VLOOKUP(GUAYAQUIL[[#This Row],[CODIGO]],MAESTRO!$A:$F,6,FALSE)),"")</f>
        <v/>
      </c>
      <c r="F795" s="42" t="str">
        <f>IF(GUAYAQUIL[[#This Row],[CODIGO]]="","",$K$6)</f>
        <v/>
      </c>
      <c r="G795" s="1" t="str">
        <f>IF(GUAYAQUIL[[#This Row],[CODIGO]]="","",7711)</f>
        <v/>
      </c>
      <c r="H795" s="1" t="str">
        <f>IF(GUAYAQUIL[[#This Row],[CODIGO]]="","",1001)</f>
        <v/>
      </c>
      <c r="I795" s="258"/>
      <c r="J795" s="43" t="str">
        <f>IFERROR((VLOOKUP(GUAYAQUIL[[#This Row],[CODIGO]],MAESTRO!A:B,2,FALSE)),"")</f>
        <v/>
      </c>
      <c r="K795" s="35"/>
      <c r="L795" s="205" t="str">
        <f>+IFERROR(IF(GUAYAQUIL[[#This Row],[CODIGO]]="","",VLOOKUP(GUAYAQUIL[[#This Row],[CODIGO]],MAESTRO!$A:$BF,58,FALSE)),"")</f>
        <v/>
      </c>
      <c r="M795" s="27" t="str">
        <f>+IFERROR(IF(GUAYAQUIL[[#This Row],[CODIGO]]="","",VLOOKUP(GUAYAQUIL[[#This Row],[CODIGO]],MAESTRO!A:N,14,FALSE)),"")</f>
        <v/>
      </c>
      <c r="N795" s="206" t="str">
        <f>+IFERROR(IF(GUAYAQUIL[[#This Row],[CODIGO]]="","",VLOOKUP(GUAYAQUIL[[#This Row],[CODIGO]],MAESTRO!A:P,16,FALSE)),"")</f>
        <v/>
      </c>
      <c r="O795" s="303"/>
      <c r="P795" s="99" t="str">
        <f t="shared" si="66"/>
        <v/>
      </c>
      <c r="Q795" s="304" t="str">
        <f>IFERROR(IF(GUAYAQUIL[[#This Row],[CODIGO]]="","",IF(GUAYAQUIL[[#This Row],[Fecha Cad]]="","",(GUAYAQUIL[[#This Row],[Fecha Cad]]-GUAYAQUIL[[#This Row],[VIDA UTIL (Días)]]))+1),"")</f>
        <v/>
      </c>
      <c r="R795" s="303"/>
      <c r="S795" s="30" t="str">
        <f t="shared" si="67"/>
        <v/>
      </c>
      <c r="T795" s="279">
        <f t="shared" si="68"/>
        <v>0</v>
      </c>
      <c r="U795" s="288"/>
      <c r="V795" s="265" t="str">
        <f>+IFERROR(IF(GUAYAQUIL[[#This Row],[CODIGO]]="","",GUAYAQUIL[[#This Row],[Stock Actual Unds]]*GUAYAQUIL[[#This Row],[Gramaje]]*GUAYAQUIL[[#This Row],[Conversión]]),"")</f>
        <v/>
      </c>
      <c r="W795" s="280">
        <f t="shared" si="69"/>
        <v>0</v>
      </c>
      <c r="X795" s="44" t="str">
        <f t="shared" si="70"/>
        <v/>
      </c>
      <c r="Y795" s="236">
        <f>IFERROR(VLOOKUP(GUAYAQUIL[[#This Row],[CODIGO]],MAESTRO!A:BI,21,FALSE),0)</f>
        <v>0</v>
      </c>
      <c r="Z795" s="236" t="str">
        <f>+IFERROR(IF(GUAYAQUIL[[#This Row],[CODIGO]]="","",GUAYAQUIL[[#This Row],[COSTO UNIT base]]*GUAYAQUIL[[#This Row],[Conversión]]),"")</f>
        <v/>
      </c>
      <c r="AA795" s="236" t="str">
        <f>+IFERROR(IF(GUAYAQUIL[[#This Row],[CODIGO]]="","",GUAYAQUIL[[#This Row],[COSTO UNIT Conv]]*GUAYAQUIL[[#This Row],[Stock Actual Kgs]]),"")</f>
        <v/>
      </c>
      <c r="AB795" s="180" t="str">
        <f>+IFERROR(IF(GUAYAQUIL[[#This Row],[CODIGO]]="","",$J$3-O795),"")</f>
        <v/>
      </c>
      <c r="AC795" s="35" t="str">
        <f>IF(GUAYAQUIL[[#This Row],[CODIGO]]="","",IF(S795&lt;=0,"CADUCADO",IF(AND(S795&gt;0,S795&lt;=21),"FECHA CORTA",IF(AND(S795&gt;=22,S795&lt;=26),"PROXIMOS FECHA CORTA", "VIGENTE"))))</f>
        <v/>
      </c>
      <c r="AD795" s="289" t="e">
        <f>+IF(GUAYAQUIL[[#This Row],[CODIGO]]="","",GUAYAQUIL[[#This Row],[Stock Actual Unds]]*GUAYAQUIL[[#This Row],[Gramaje]]*GUAYAQUIL[[#This Row],[Conversión]])/1000</f>
        <v>#VALUE!</v>
      </c>
    </row>
    <row r="796" spans="1:30">
      <c r="A796" s="42" t="str">
        <f>+IFERROR(IF(GUAYAQUIL[[#This Row],[CODIGO]]="","",VLOOKUP(GUAYAQUIL[[#This Row],[CODIGO]],MAESTRO!$A:$J,10,FALSE)),"")</f>
        <v/>
      </c>
      <c r="B796" s="42" t="str">
        <f>+IFERROR(IF(GUAYAQUIL[[#This Row],[CODIGO]]="","",VLOOKUP(GUAYAQUIL[[#This Row],[CODIGO]],MAESTRO!$A:$Q,17,FALSE)),"")</f>
        <v/>
      </c>
      <c r="C796" s="42" t="str">
        <f>+IFERROR(IF(GUAYAQUIL[[#This Row],[CODIGO]]="","",VLOOKUP(GUAYAQUIL[[#This Row],[CODIGO]],MAESTRO!$A:$BA,53,FALSE)),"")</f>
        <v/>
      </c>
      <c r="D796" s="42" t="str">
        <f>+IFERROR(IF(GUAYAQUIL[[#This Row],[CODIGO]]="","",VLOOKUP(GUAYAQUIL[[#This Row],[CODIGO]],MAESTRO!$A:$D,4,FALSE)),"")</f>
        <v/>
      </c>
      <c r="E796" s="42" t="str">
        <f>+IFERROR(IF(GUAYAQUIL[[#This Row],[CODIGO]]="","",VLOOKUP(GUAYAQUIL[[#This Row],[CODIGO]],MAESTRO!$A:$F,6,FALSE)),"")</f>
        <v/>
      </c>
      <c r="F796" s="42" t="str">
        <f>IF(GUAYAQUIL[[#This Row],[CODIGO]]="","",$K$6)</f>
        <v/>
      </c>
      <c r="G796" s="1" t="str">
        <f>IF(GUAYAQUIL[[#This Row],[CODIGO]]="","",7711)</f>
        <v/>
      </c>
      <c r="H796" s="1" t="str">
        <f>IF(GUAYAQUIL[[#This Row],[CODIGO]]="","",1001)</f>
        <v/>
      </c>
      <c r="I796" s="258"/>
      <c r="J796" s="43" t="str">
        <f>IFERROR((VLOOKUP(GUAYAQUIL[[#This Row],[CODIGO]],MAESTRO!A:B,2,FALSE)),"")</f>
        <v/>
      </c>
      <c r="K796" s="35"/>
      <c r="L796" s="205" t="str">
        <f>+IFERROR(IF(GUAYAQUIL[[#This Row],[CODIGO]]="","",VLOOKUP(GUAYAQUIL[[#This Row],[CODIGO]],MAESTRO!$A:$BF,58,FALSE)),"")</f>
        <v/>
      </c>
      <c r="M796" s="27" t="str">
        <f>+IFERROR(IF(GUAYAQUIL[[#This Row],[CODIGO]]="","",VLOOKUP(GUAYAQUIL[[#This Row],[CODIGO]],MAESTRO!A:N,14,FALSE)),"")</f>
        <v/>
      </c>
      <c r="N796" s="206" t="str">
        <f>+IFERROR(IF(GUAYAQUIL[[#This Row],[CODIGO]]="","",VLOOKUP(GUAYAQUIL[[#This Row],[CODIGO]],MAESTRO!A:P,16,FALSE)),"")</f>
        <v/>
      </c>
      <c r="O796" s="303"/>
      <c r="P796" s="99" t="str">
        <f t="shared" si="66"/>
        <v/>
      </c>
      <c r="Q796" s="304" t="str">
        <f>IFERROR(IF(GUAYAQUIL[[#This Row],[CODIGO]]="","",IF(GUAYAQUIL[[#This Row],[Fecha Cad]]="","",(GUAYAQUIL[[#This Row],[Fecha Cad]]-GUAYAQUIL[[#This Row],[VIDA UTIL (Días)]]))+1),"")</f>
        <v/>
      </c>
      <c r="R796" s="303"/>
      <c r="S796" s="30" t="str">
        <f t="shared" si="67"/>
        <v/>
      </c>
      <c r="T796" s="279">
        <f t="shared" si="68"/>
        <v>0</v>
      </c>
      <c r="U796" s="288"/>
      <c r="V796" s="265" t="str">
        <f>+IFERROR(IF(GUAYAQUIL[[#This Row],[CODIGO]]="","",GUAYAQUIL[[#This Row],[Stock Actual Unds]]*GUAYAQUIL[[#This Row],[Gramaje]]*GUAYAQUIL[[#This Row],[Conversión]]),"")</f>
        <v/>
      </c>
      <c r="W796" s="280">
        <f t="shared" si="69"/>
        <v>0</v>
      </c>
      <c r="X796" s="44" t="str">
        <f t="shared" si="70"/>
        <v/>
      </c>
      <c r="Y796" s="236">
        <f>IFERROR(VLOOKUP(GUAYAQUIL[[#This Row],[CODIGO]],MAESTRO!A:BI,21,FALSE),0)</f>
        <v>0</v>
      </c>
      <c r="Z796" s="236" t="str">
        <f>+IFERROR(IF(GUAYAQUIL[[#This Row],[CODIGO]]="","",GUAYAQUIL[[#This Row],[COSTO UNIT base]]*GUAYAQUIL[[#This Row],[Conversión]]),"")</f>
        <v/>
      </c>
      <c r="AA796" s="236" t="str">
        <f>+IFERROR(IF(GUAYAQUIL[[#This Row],[CODIGO]]="","",GUAYAQUIL[[#This Row],[COSTO UNIT Conv]]*GUAYAQUIL[[#This Row],[Stock Actual Kgs]]),"")</f>
        <v/>
      </c>
      <c r="AB796" s="180" t="str">
        <f>+IFERROR(IF(GUAYAQUIL[[#This Row],[CODIGO]]="","",$J$3-O796),"")</f>
        <v/>
      </c>
      <c r="AC796" s="35" t="str">
        <f>IF(GUAYAQUIL[[#This Row],[CODIGO]]="","",IF(S796&lt;=0,"CADUCADO",IF(AND(S796&gt;0,S796&lt;=21),"FECHA CORTA",IF(AND(S796&gt;=22,S796&lt;=26),"PROXIMOS FECHA CORTA", "VIGENTE"))))</f>
        <v/>
      </c>
      <c r="AD796" s="289" t="e">
        <f>+IF(GUAYAQUIL[[#This Row],[CODIGO]]="","",GUAYAQUIL[[#This Row],[Stock Actual Unds]]*GUAYAQUIL[[#This Row],[Gramaje]]*GUAYAQUIL[[#This Row],[Conversión]])/1000</f>
        <v>#VALUE!</v>
      </c>
    </row>
    <row r="797" spans="1:30">
      <c r="A797" s="42" t="str">
        <f>+IFERROR(IF(GUAYAQUIL[[#This Row],[CODIGO]]="","",VLOOKUP(GUAYAQUIL[[#This Row],[CODIGO]],MAESTRO!$A:$J,10,FALSE)),"")</f>
        <v/>
      </c>
      <c r="B797" s="42" t="str">
        <f>+IFERROR(IF(GUAYAQUIL[[#This Row],[CODIGO]]="","",VLOOKUP(GUAYAQUIL[[#This Row],[CODIGO]],MAESTRO!$A:$Q,17,FALSE)),"")</f>
        <v/>
      </c>
      <c r="C797" s="42" t="str">
        <f>+IFERROR(IF(GUAYAQUIL[[#This Row],[CODIGO]]="","",VLOOKUP(GUAYAQUIL[[#This Row],[CODIGO]],MAESTRO!$A:$BA,53,FALSE)),"")</f>
        <v/>
      </c>
      <c r="D797" s="42" t="str">
        <f>+IFERROR(IF(GUAYAQUIL[[#This Row],[CODIGO]]="","",VLOOKUP(GUAYAQUIL[[#This Row],[CODIGO]],MAESTRO!$A:$D,4,FALSE)),"")</f>
        <v/>
      </c>
      <c r="E797" s="42" t="str">
        <f>+IFERROR(IF(GUAYAQUIL[[#This Row],[CODIGO]]="","",VLOOKUP(GUAYAQUIL[[#This Row],[CODIGO]],MAESTRO!$A:$F,6,FALSE)),"")</f>
        <v/>
      </c>
      <c r="F797" s="42" t="str">
        <f>IF(GUAYAQUIL[[#This Row],[CODIGO]]="","",$K$6)</f>
        <v/>
      </c>
      <c r="G797" s="1" t="str">
        <f>IF(GUAYAQUIL[[#This Row],[CODIGO]]="","",7711)</f>
        <v/>
      </c>
      <c r="H797" s="1" t="str">
        <f>IF(GUAYAQUIL[[#This Row],[CODIGO]]="","",1001)</f>
        <v/>
      </c>
      <c r="I797" s="258"/>
      <c r="J797" s="43" t="str">
        <f>IFERROR((VLOOKUP(GUAYAQUIL[[#This Row],[CODIGO]],MAESTRO!A:B,2,FALSE)),"")</f>
        <v/>
      </c>
      <c r="K797" s="35"/>
      <c r="L797" s="205" t="str">
        <f>+IFERROR(IF(GUAYAQUIL[[#This Row],[CODIGO]]="","",VLOOKUP(GUAYAQUIL[[#This Row],[CODIGO]],MAESTRO!$A:$BF,58,FALSE)),"")</f>
        <v/>
      </c>
      <c r="M797" s="27" t="str">
        <f>+IFERROR(IF(GUAYAQUIL[[#This Row],[CODIGO]]="","",VLOOKUP(GUAYAQUIL[[#This Row],[CODIGO]],MAESTRO!A:N,14,FALSE)),"")</f>
        <v/>
      </c>
      <c r="N797" s="206" t="str">
        <f>+IFERROR(IF(GUAYAQUIL[[#This Row],[CODIGO]]="","",VLOOKUP(GUAYAQUIL[[#This Row],[CODIGO]],MAESTRO!A:P,16,FALSE)),"")</f>
        <v/>
      </c>
      <c r="O797" s="303"/>
      <c r="P797" s="99" t="str">
        <f t="shared" ref="P797:P805" si="71">+IF(R797="","",TEXT(O797,"dddd"))</f>
        <v/>
      </c>
      <c r="Q797" s="304" t="str">
        <f>IFERROR(IF(GUAYAQUIL[[#This Row],[CODIGO]]="","",IF(GUAYAQUIL[[#This Row],[Fecha Cad]]="","",(GUAYAQUIL[[#This Row],[Fecha Cad]]-GUAYAQUIL[[#This Row],[VIDA UTIL (Días)]]))+1),"")</f>
        <v/>
      </c>
      <c r="R797" s="303"/>
      <c r="S797" s="30" t="str">
        <f t="shared" ref="S797:S805" si="72">+IFERROR(IF(R797="","",R797-$J$3),0)</f>
        <v/>
      </c>
      <c r="T797" s="279">
        <f t="shared" ref="T797:T805" si="73">IFERROR(IF(8="","",S797/N797),0)</f>
        <v>0</v>
      </c>
      <c r="U797" s="288"/>
      <c r="V797" s="265" t="str">
        <f>+IFERROR(IF(GUAYAQUIL[[#This Row],[CODIGO]]="","",GUAYAQUIL[[#This Row],[Stock Actual Unds]]*GUAYAQUIL[[#This Row],[Gramaje]]*GUAYAQUIL[[#This Row],[Conversión]]),"")</f>
        <v/>
      </c>
      <c r="W797" s="280">
        <f t="shared" ref="W797:W805" si="74">IFERROR(O797-Q797,0)</f>
        <v>0</v>
      </c>
      <c r="X797" s="44" t="str">
        <f t="shared" ref="X797:X805" si="75">IF(I797="","",1-(W797/N797))</f>
        <v/>
      </c>
      <c r="Y797" s="236">
        <f>IFERROR(VLOOKUP(GUAYAQUIL[[#This Row],[CODIGO]],MAESTRO!A:BI,21,FALSE),0)</f>
        <v>0</v>
      </c>
      <c r="Z797" s="236" t="str">
        <f>+IFERROR(IF(GUAYAQUIL[[#This Row],[CODIGO]]="","",GUAYAQUIL[[#This Row],[COSTO UNIT base]]*GUAYAQUIL[[#This Row],[Conversión]]),"")</f>
        <v/>
      </c>
      <c r="AA797" s="236" t="str">
        <f>+IFERROR(IF(GUAYAQUIL[[#This Row],[CODIGO]]="","",GUAYAQUIL[[#This Row],[COSTO UNIT Conv]]*GUAYAQUIL[[#This Row],[Stock Actual Kgs]]),"")</f>
        <v/>
      </c>
      <c r="AB797" s="180" t="str">
        <f>+IFERROR(IF(GUAYAQUIL[[#This Row],[CODIGO]]="","",$J$3-O797),"")</f>
        <v/>
      </c>
      <c r="AC797" s="35" t="str">
        <f>IF(GUAYAQUIL[[#This Row],[CODIGO]]="","",IF(S797&lt;=0,"CADUCADO",IF(AND(S797&gt;0,S797&lt;=21),"FECHA CORTA",IF(AND(S797&gt;=22,S797&lt;=26),"PROXIMOS FECHA CORTA", "VIGENTE"))))</f>
        <v/>
      </c>
      <c r="AD797" s="289" t="e">
        <f>+IF(GUAYAQUIL[[#This Row],[CODIGO]]="","",GUAYAQUIL[[#This Row],[Stock Actual Unds]]*GUAYAQUIL[[#This Row],[Gramaje]]*GUAYAQUIL[[#This Row],[Conversión]])/1000</f>
        <v>#VALUE!</v>
      </c>
    </row>
    <row r="798" spans="1:30">
      <c r="A798" s="42" t="str">
        <f>+IFERROR(IF(GUAYAQUIL[[#This Row],[CODIGO]]="","",VLOOKUP(GUAYAQUIL[[#This Row],[CODIGO]],MAESTRO!$A:$J,10,FALSE)),"")</f>
        <v/>
      </c>
      <c r="B798" s="42" t="str">
        <f>+IFERROR(IF(GUAYAQUIL[[#This Row],[CODIGO]]="","",VLOOKUP(GUAYAQUIL[[#This Row],[CODIGO]],MAESTRO!$A:$Q,17,FALSE)),"")</f>
        <v/>
      </c>
      <c r="C798" s="42" t="str">
        <f>+IFERROR(IF(GUAYAQUIL[[#This Row],[CODIGO]]="","",VLOOKUP(GUAYAQUIL[[#This Row],[CODIGO]],MAESTRO!$A:$BA,53,FALSE)),"")</f>
        <v/>
      </c>
      <c r="D798" s="42" t="str">
        <f>+IFERROR(IF(GUAYAQUIL[[#This Row],[CODIGO]]="","",VLOOKUP(GUAYAQUIL[[#This Row],[CODIGO]],MAESTRO!$A:$D,4,FALSE)),"")</f>
        <v/>
      </c>
      <c r="E798" s="42" t="str">
        <f>+IFERROR(IF(GUAYAQUIL[[#This Row],[CODIGO]]="","",VLOOKUP(GUAYAQUIL[[#This Row],[CODIGO]],MAESTRO!$A:$F,6,FALSE)),"")</f>
        <v/>
      </c>
      <c r="F798" s="42" t="str">
        <f>IF(GUAYAQUIL[[#This Row],[CODIGO]]="","",$K$6)</f>
        <v/>
      </c>
      <c r="G798" s="1" t="str">
        <f>IF(GUAYAQUIL[[#This Row],[CODIGO]]="","",7711)</f>
        <v/>
      </c>
      <c r="H798" s="1" t="str">
        <f>IF(GUAYAQUIL[[#This Row],[CODIGO]]="","",1001)</f>
        <v/>
      </c>
      <c r="I798" s="258"/>
      <c r="J798" s="43" t="str">
        <f>IFERROR((VLOOKUP(GUAYAQUIL[[#This Row],[CODIGO]],MAESTRO!A:B,2,FALSE)),"")</f>
        <v/>
      </c>
      <c r="K798" s="35"/>
      <c r="L798" s="205" t="str">
        <f>+IFERROR(IF(GUAYAQUIL[[#This Row],[CODIGO]]="","",VLOOKUP(GUAYAQUIL[[#This Row],[CODIGO]],MAESTRO!$A:$BF,58,FALSE)),"")</f>
        <v/>
      </c>
      <c r="M798" s="27" t="str">
        <f>+IFERROR(IF(GUAYAQUIL[[#This Row],[CODIGO]]="","",VLOOKUP(GUAYAQUIL[[#This Row],[CODIGO]],MAESTRO!A:N,14,FALSE)),"")</f>
        <v/>
      </c>
      <c r="N798" s="206" t="str">
        <f>+IFERROR(IF(GUAYAQUIL[[#This Row],[CODIGO]]="","",VLOOKUP(GUAYAQUIL[[#This Row],[CODIGO]],MAESTRO!A:P,16,FALSE)),"")</f>
        <v/>
      </c>
      <c r="O798" s="303"/>
      <c r="P798" s="99" t="str">
        <f t="shared" si="71"/>
        <v/>
      </c>
      <c r="Q798" s="304" t="str">
        <f>IFERROR(IF(GUAYAQUIL[[#This Row],[CODIGO]]="","",IF(GUAYAQUIL[[#This Row],[Fecha Cad]]="","",(GUAYAQUIL[[#This Row],[Fecha Cad]]-GUAYAQUIL[[#This Row],[VIDA UTIL (Días)]]))+1),"")</f>
        <v/>
      </c>
      <c r="R798" s="303"/>
      <c r="S798" s="30" t="str">
        <f t="shared" si="72"/>
        <v/>
      </c>
      <c r="T798" s="279">
        <f t="shared" si="73"/>
        <v>0</v>
      </c>
      <c r="U798" s="288"/>
      <c r="V798" s="265" t="str">
        <f>+IFERROR(IF(GUAYAQUIL[[#This Row],[CODIGO]]="","",GUAYAQUIL[[#This Row],[Stock Actual Unds]]*GUAYAQUIL[[#This Row],[Gramaje]]*GUAYAQUIL[[#This Row],[Conversión]]),"")</f>
        <v/>
      </c>
      <c r="W798" s="280">
        <f t="shared" si="74"/>
        <v>0</v>
      </c>
      <c r="X798" s="44" t="str">
        <f t="shared" si="75"/>
        <v/>
      </c>
      <c r="Y798" s="236">
        <f>IFERROR(VLOOKUP(GUAYAQUIL[[#This Row],[CODIGO]],MAESTRO!A:BI,21,FALSE),0)</f>
        <v>0</v>
      </c>
      <c r="Z798" s="236" t="str">
        <f>+IFERROR(IF(GUAYAQUIL[[#This Row],[CODIGO]]="","",GUAYAQUIL[[#This Row],[COSTO UNIT base]]*GUAYAQUIL[[#This Row],[Conversión]]),"")</f>
        <v/>
      </c>
      <c r="AA798" s="236" t="str">
        <f>+IFERROR(IF(GUAYAQUIL[[#This Row],[CODIGO]]="","",GUAYAQUIL[[#This Row],[COSTO UNIT Conv]]*GUAYAQUIL[[#This Row],[Stock Actual Kgs]]),"")</f>
        <v/>
      </c>
      <c r="AB798" s="180" t="str">
        <f>+IFERROR(IF(GUAYAQUIL[[#This Row],[CODIGO]]="","",$J$3-O798),"")</f>
        <v/>
      </c>
      <c r="AC798" s="35" t="str">
        <f>IF(GUAYAQUIL[[#This Row],[CODIGO]]="","",IF(S798&lt;=0,"CADUCADO",IF(AND(S798&gt;0,S798&lt;=21),"FECHA CORTA",IF(AND(S798&gt;=22,S798&lt;=26),"PROXIMOS FECHA CORTA", "VIGENTE"))))</f>
        <v/>
      </c>
      <c r="AD798" s="289" t="e">
        <f>+IF(GUAYAQUIL[[#This Row],[CODIGO]]="","",GUAYAQUIL[[#This Row],[Stock Actual Unds]]*GUAYAQUIL[[#This Row],[Gramaje]]*GUAYAQUIL[[#This Row],[Conversión]])/1000</f>
        <v>#VALUE!</v>
      </c>
    </row>
    <row r="799" spans="1:30">
      <c r="A799" s="42" t="str">
        <f>+IFERROR(IF(GUAYAQUIL[[#This Row],[CODIGO]]="","",VLOOKUP(GUAYAQUIL[[#This Row],[CODIGO]],MAESTRO!$A:$J,10,FALSE)),"")</f>
        <v/>
      </c>
      <c r="B799" s="42" t="str">
        <f>+IFERROR(IF(GUAYAQUIL[[#This Row],[CODIGO]]="","",VLOOKUP(GUAYAQUIL[[#This Row],[CODIGO]],MAESTRO!$A:$Q,17,FALSE)),"")</f>
        <v/>
      </c>
      <c r="C799" s="42" t="str">
        <f>+IFERROR(IF(GUAYAQUIL[[#This Row],[CODIGO]]="","",VLOOKUP(GUAYAQUIL[[#This Row],[CODIGO]],MAESTRO!$A:$BA,53,FALSE)),"")</f>
        <v/>
      </c>
      <c r="D799" s="42" t="str">
        <f>+IFERROR(IF(GUAYAQUIL[[#This Row],[CODIGO]]="","",VLOOKUP(GUAYAQUIL[[#This Row],[CODIGO]],MAESTRO!$A:$D,4,FALSE)),"")</f>
        <v/>
      </c>
      <c r="E799" s="42" t="str">
        <f>+IFERROR(IF(GUAYAQUIL[[#This Row],[CODIGO]]="","",VLOOKUP(GUAYAQUIL[[#This Row],[CODIGO]],MAESTRO!$A:$F,6,FALSE)),"")</f>
        <v/>
      </c>
      <c r="F799" s="42" t="str">
        <f>IF(GUAYAQUIL[[#This Row],[CODIGO]]="","",$K$6)</f>
        <v/>
      </c>
      <c r="G799" s="1" t="str">
        <f>IF(GUAYAQUIL[[#This Row],[CODIGO]]="","",7711)</f>
        <v/>
      </c>
      <c r="H799" s="1" t="str">
        <f>IF(GUAYAQUIL[[#This Row],[CODIGO]]="","",1001)</f>
        <v/>
      </c>
      <c r="I799" s="258"/>
      <c r="J799" s="43" t="str">
        <f>IFERROR((VLOOKUP(GUAYAQUIL[[#This Row],[CODIGO]],MAESTRO!A:B,2,FALSE)),"")</f>
        <v/>
      </c>
      <c r="K799" s="35"/>
      <c r="L799" s="205" t="str">
        <f>+IFERROR(IF(GUAYAQUIL[[#This Row],[CODIGO]]="","",VLOOKUP(GUAYAQUIL[[#This Row],[CODIGO]],MAESTRO!$A:$BF,58,FALSE)),"")</f>
        <v/>
      </c>
      <c r="M799" s="27" t="str">
        <f>+IFERROR(IF(GUAYAQUIL[[#This Row],[CODIGO]]="","",VLOOKUP(GUAYAQUIL[[#This Row],[CODIGO]],MAESTRO!A:N,14,FALSE)),"")</f>
        <v/>
      </c>
      <c r="N799" s="206" t="str">
        <f>+IFERROR(IF(GUAYAQUIL[[#This Row],[CODIGO]]="","",VLOOKUP(GUAYAQUIL[[#This Row],[CODIGO]],MAESTRO!A:P,16,FALSE)),"")</f>
        <v/>
      </c>
      <c r="O799" s="303"/>
      <c r="P799" s="99" t="str">
        <f t="shared" si="71"/>
        <v/>
      </c>
      <c r="Q799" s="304" t="str">
        <f>IFERROR(IF(GUAYAQUIL[[#This Row],[CODIGO]]="","",IF(GUAYAQUIL[[#This Row],[Fecha Cad]]="","",(GUAYAQUIL[[#This Row],[Fecha Cad]]-GUAYAQUIL[[#This Row],[VIDA UTIL (Días)]]))+1),"")</f>
        <v/>
      </c>
      <c r="R799" s="303"/>
      <c r="S799" s="30" t="str">
        <f t="shared" si="72"/>
        <v/>
      </c>
      <c r="T799" s="279">
        <f t="shared" si="73"/>
        <v>0</v>
      </c>
      <c r="U799" s="288"/>
      <c r="V799" s="265" t="str">
        <f>+IFERROR(IF(GUAYAQUIL[[#This Row],[CODIGO]]="","",GUAYAQUIL[[#This Row],[Stock Actual Unds]]*GUAYAQUIL[[#This Row],[Gramaje]]*GUAYAQUIL[[#This Row],[Conversión]]),"")</f>
        <v/>
      </c>
      <c r="W799" s="280">
        <f t="shared" si="74"/>
        <v>0</v>
      </c>
      <c r="X799" s="44" t="str">
        <f t="shared" si="75"/>
        <v/>
      </c>
      <c r="Y799" s="236">
        <f>IFERROR(VLOOKUP(GUAYAQUIL[[#This Row],[CODIGO]],MAESTRO!A:BI,21,FALSE),0)</f>
        <v>0</v>
      </c>
      <c r="Z799" s="236" t="str">
        <f>+IFERROR(IF(GUAYAQUIL[[#This Row],[CODIGO]]="","",GUAYAQUIL[[#This Row],[COSTO UNIT base]]*GUAYAQUIL[[#This Row],[Conversión]]),"")</f>
        <v/>
      </c>
      <c r="AA799" s="236" t="str">
        <f>+IFERROR(IF(GUAYAQUIL[[#This Row],[CODIGO]]="","",GUAYAQUIL[[#This Row],[COSTO UNIT Conv]]*GUAYAQUIL[[#This Row],[Stock Actual Kgs]]),"")</f>
        <v/>
      </c>
      <c r="AB799" s="180" t="str">
        <f>+IFERROR(IF(GUAYAQUIL[[#This Row],[CODIGO]]="","",$J$3-O799),"")</f>
        <v/>
      </c>
      <c r="AC799" s="35" t="str">
        <f>IF(GUAYAQUIL[[#This Row],[CODIGO]]="","",IF(S799&lt;=0,"CADUCADO",IF(AND(S799&gt;0,S799&lt;=21),"FECHA CORTA",IF(AND(S799&gt;=22,S799&lt;=26),"PROXIMOS FECHA CORTA", "VIGENTE"))))</f>
        <v/>
      </c>
      <c r="AD799" s="289" t="e">
        <f>+IF(GUAYAQUIL[[#This Row],[CODIGO]]="","",GUAYAQUIL[[#This Row],[Stock Actual Unds]]*GUAYAQUIL[[#This Row],[Gramaje]]*GUAYAQUIL[[#This Row],[Conversión]])/1000</f>
        <v>#VALUE!</v>
      </c>
    </row>
    <row r="800" spans="1:30">
      <c r="A800" s="42" t="str">
        <f>+IFERROR(IF(GUAYAQUIL[[#This Row],[CODIGO]]="","",VLOOKUP(GUAYAQUIL[[#This Row],[CODIGO]],MAESTRO!$A:$J,10,FALSE)),"")</f>
        <v/>
      </c>
      <c r="B800" s="42" t="str">
        <f>+IFERROR(IF(GUAYAQUIL[[#This Row],[CODIGO]]="","",VLOOKUP(GUAYAQUIL[[#This Row],[CODIGO]],MAESTRO!$A:$Q,17,FALSE)),"")</f>
        <v/>
      </c>
      <c r="C800" s="42" t="str">
        <f>+IFERROR(IF(GUAYAQUIL[[#This Row],[CODIGO]]="","",VLOOKUP(GUAYAQUIL[[#This Row],[CODIGO]],MAESTRO!$A:$BA,53,FALSE)),"")</f>
        <v/>
      </c>
      <c r="D800" s="42" t="str">
        <f>+IFERROR(IF(GUAYAQUIL[[#This Row],[CODIGO]]="","",VLOOKUP(GUAYAQUIL[[#This Row],[CODIGO]],MAESTRO!$A:$D,4,FALSE)),"")</f>
        <v/>
      </c>
      <c r="E800" s="42" t="str">
        <f>+IFERROR(IF(GUAYAQUIL[[#This Row],[CODIGO]]="","",VLOOKUP(GUAYAQUIL[[#This Row],[CODIGO]],MAESTRO!$A:$F,6,FALSE)),"")</f>
        <v/>
      </c>
      <c r="F800" s="42" t="str">
        <f>IF(GUAYAQUIL[[#This Row],[CODIGO]]="","",$K$6)</f>
        <v/>
      </c>
      <c r="G800" s="1" t="str">
        <f>IF(GUAYAQUIL[[#This Row],[CODIGO]]="","",7711)</f>
        <v/>
      </c>
      <c r="H800" s="1" t="str">
        <f>IF(GUAYAQUIL[[#This Row],[CODIGO]]="","",1001)</f>
        <v/>
      </c>
      <c r="I800" s="258"/>
      <c r="J800" s="43" t="str">
        <f>IFERROR((VLOOKUP(GUAYAQUIL[[#This Row],[CODIGO]],MAESTRO!A:B,2,FALSE)),"")</f>
        <v/>
      </c>
      <c r="K800" s="35"/>
      <c r="L800" s="205" t="str">
        <f>+IFERROR(IF(GUAYAQUIL[[#This Row],[CODIGO]]="","",VLOOKUP(GUAYAQUIL[[#This Row],[CODIGO]],MAESTRO!$A:$BF,58,FALSE)),"")</f>
        <v/>
      </c>
      <c r="M800" s="27" t="str">
        <f>+IFERROR(IF(GUAYAQUIL[[#This Row],[CODIGO]]="","",VLOOKUP(GUAYAQUIL[[#This Row],[CODIGO]],MAESTRO!A:N,14,FALSE)),"")</f>
        <v/>
      </c>
      <c r="N800" s="206" t="str">
        <f>+IFERROR(IF(GUAYAQUIL[[#This Row],[CODIGO]]="","",VLOOKUP(GUAYAQUIL[[#This Row],[CODIGO]],MAESTRO!A:P,16,FALSE)),"")</f>
        <v/>
      </c>
      <c r="O800" s="303"/>
      <c r="P800" s="99" t="str">
        <f t="shared" si="71"/>
        <v/>
      </c>
      <c r="Q800" s="304" t="str">
        <f>IFERROR(IF(GUAYAQUIL[[#This Row],[CODIGO]]="","",IF(GUAYAQUIL[[#This Row],[Fecha Cad]]="","",(GUAYAQUIL[[#This Row],[Fecha Cad]]-GUAYAQUIL[[#This Row],[VIDA UTIL (Días)]]))+1),"")</f>
        <v/>
      </c>
      <c r="R800" s="303"/>
      <c r="S800" s="30" t="str">
        <f t="shared" si="72"/>
        <v/>
      </c>
      <c r="T800" s="279">
        <f t="shared" si="73"/>
        <v>0</v>
      </c>
      <c r="U800" s="288"/>
      <c r="V800" s="265" t="str">
        <f>+IFERROR(IF(GUAYAQUIL[[#This Row],[CODIGO]]="","",GUAYAQUIL[[#This Row],[Stock Actual Unds]]*GUAYAQUIL[[#This Row],[Gramaje]]*GUAYAQUIL[[#This Row],[Conversión]]),"")</f>
        <v/>
      </c>
      <c r="W800" s="280">
        <f t="shared" si="74"/>
        <v>0</v>
      </c>
      <c r="X800" s="44" t="str">
        <f t="shared" si="75"/>
        <v/>
      </c>
      <c r="Y800" s="236">
        <f>IFERROR(VLOOKUP(GUAYAQUIL[[#This Row],[CODIGO]],MAESTRO!A:BI,21,FALSE),0)</f>
        <v>0</v>
      </c>
      <c r="Z800" s="236" t="str">
        <f>+IFERROR(IF(GUAYAQUIL[[#This Row],[CODIGO]]="","",GUAYAQUIL[[#This Row],[COSTO UNIT base]]*GUAYAQUIL[[#This Row],[Conversión]]),"")</f>
        <v/>
      </c>
      <c r="AA800" s="236" t="str">
        <f>+IFERROR(IF(GUAYAQUIL[[#This Row],[CODIGO]]="","",GUAYAQUIL[[#This Row],[COSTO UNIT Conv]]*GUAYAQUIL[[#This Row],[Stock Actual Kgs]]),"")</f>
        <v/>
      </c>
      <c r="AB800" s="180" t="str">
        <f>+IFERROR(IF(GUAYAQUIL[[#This Row],[CODIGO]]="","",$J$3-O800),"")</f>
        <v/>
      </c>
      <c r="AC800" s="35" t="str">
        <f>IF(GUAYAQUIL[[#This Row],[CODIGO]]="","",IF(S800&lt;=0,"CADUCADO",IF(AND(S800&gt;0,S800&lt;=21),"FECHA CORTA",IF(AND(S800&gt;=22,S800&lt;=26),"PROXIMOS FECHA CORTA", "VIGENTE"))))</f>
        <v/>
      </c>
      <c r="AD800" s="289" t="e">
        <f>+IF(GUAYAQUIL[[#This Row],[CODIGO]]="","",GUAYAQUIL[[#This Row],[Stock Actual Unds]]*GUAYAQUIL[[#This Row],[Gramaje]]*GUAYAQUIL[[#This Row],[Conversión]])/1000</f>
        <v>#VALUE!</v>
      </c>
    </row>
    <row r="801" spans="1:30">
      <c r="A801" s="42" t="str">
        <f>+IFERROR(IF(GUAYAQUIL[[#This Row],[CODIGO]]="","",VLOOKUP(GUAYAQUIL[[#This Row],[CODIGO]],MAESTRO!$A:$J,10,FALSE)),"")</f>
        <v/>
      </c>
      <c r="B801" s="42" t="str">
        <f>+IFERROR(IF(GUAYAQUIL[[#This Row],[CODIGO]]="","",VLOOKUP(GUAYAQUIL[[#This Row],[CODIGO]],MAESTRO!$A:$Q,17,FALSE)),"")</f>
        <v/>
      </c>
      <c r="C801" s="42" t="str">
        <f>+IFERROR(IF(GUAYAQUIL[[#This Row],[CODIGO]]="","",VLOOKUP(GUAYAQUIL[[#This Row],[CODIGO]],MAESTRO!$A:$BA,53,FALSE)),"")</f>
        <v/>
      </c>
      <c r="D801" s="42" t="str">
        <f>+IFERROR(IF(GUAYAQUIL[[#This Row],[CODIGO]]="","",VLOOKUP(GUAYAQUIL[[#This Row],[CODIGO]],MAESTRO!$A:$D,4,FALSE)),"")</f>
        <v/>
      </c>
      <c r="E801" s="42" t="str">
        <f>+IFERROR(IF(GUAYAQUIL[[#This Row],[CODIGO]]="","",VLOOKUP(GUAYAQUIL[[#This Row],[CODIGO]],MAESTRO!$A:$F,6,FALSE)),"")</f>
        <v/>
      </c>
      <c r="F801" s="42" t="str">
        <f>IF(GUAYAQUIL[[#This Row],[CODIGO]]="","",$K$6)</f>
        <v/>
      </c>
      <c r="G801" s="1" t="str">
        <f>IF(GUAYAQUIL[[#This Row],[CODIGO]]="","",7711)</f>
        <v/>
      </c>
      <c r="H801" s="1" t="str">
        <f>IF(GUAYAQUIL[[#This Row],[CODIGO]]="","",1001)</f>
        <v/>
      </c>
      <c r="I801" s="258"/>
      <c r="J801" s="43" t="str">
        <f>IFERROR((VLOOKUP(GUAYAQUIL[[#This Row],[CODIGO]],MAESTRO!A:B,2,FALSE)),"")</f>
        <v/>
      </c>
      <c r="K801" s="35"/>
      <c r="L801" s="205" t="str">
        <f>+IFERROR(IF(GUAYAQUIL[[#This Row],[CODIGO]]="","",VLOOKUP(GUAYAQUIL[[#This Row],[CODIGO]],MAESTRO!$A:$BF,58,FALSE)),"")</f>
        <v/>
      </c>
      <c r="M801" s="27" t="str">
        <f>+IFERROR(IF(GUAYAQUIL[[#This Row],[CODIGO]]="","",VLOOKUP(GUAYAQUIL[[#This Row],[CODIGO]],MAESTRO!A:N,14,FALSE)),"")</f>
        <v/>
      </c>
      <c r="N801" s="206" t="str">
        <f>+IFERROR(IF(GUAYAQUIL[[#This Row],[CODIGO]]="","",VLOOKUP(GUAYAQUIL[[#This Row],[CODIGO]],MAESTRO!A:P,16,FALSE)),"")</f>
        <v/>
      </c>
      <c r="O801" s="303"/>
      <c r="P801" s="99" t="str">
        <f t="shared" si="71"/>
        <v/>
      </c>
      <c r="Q801" s="304" t="str">
        <f>IFERROR(IF(GUAYAQUIL[[#This Row],[CODIGO]]="","",IF(GUAYAQUIL[[#This Row],[Fecha Cad]]="","",(GUAYAQUIL[[#This Row],[Fecha Cad]]-GUAYAQUIL[[#This Row],[VIDA UTIL (Días)]]))+1),"")</f>
        <v/>
      </c>
      <c r="R801" s="303"/>
      <c r="S801" s="30" t="str">
        <f t="shared" si="72"/>
        <v/>
      </c>
      <c r="T801" s="279">
        <f t="shared" si="73"/>
        <v>0</v>
      </c>
      <c r="U801" s="288"/>
      <c r="V801" s="265" t="str">
        <f>+IFERROR(IF(GUAYAQUIL[[#This Row],[CODIGO]]="","",GUAYAQUIL[[#This Row],[Stock Actual Unds]]*GUAYAQUIL[[#This Row],[Gramaje]]*GUAYAQUIL[[#This Row],[Conversión]]),"")</f>
        <v/>
      </c>
      <c r="W801" s="280">
        <f t="shared" si="74"/>
        <v>0</v>
      </c>
      <c r="X801" s="44" t="str">
        <f t="shared" si="75"/>
        <v/>
      </c>
      <c r="Y801" s="236">
        <f>IFERROR(VLOOKUP(GUAYAQUIL[[#This Row],[CODIGO]],MAESTRO!A:BI,21,FALSE),0)</f>
        <v>0</v>
      </c>
      <c r="Z801" s="236" t="str">
        <f>+IFERROR(IF(GUAYAQUIL[[#This Row],[CODIGO]]="","",GUAYAQUIL[[#This Row],[COSTO UNIT base]]*GUAYAQUIL[[#This Row],[Conversión]]),"")</f>
        <v/>
      </c>
      <c r="AA801" s="236" t="str">
        <f>+IFERROR(IF(GUAYAQUIL[[#This Row],[CODIGO]]="","",GUAYAQUIL[[#This Row],[COSTO UNIT Conv]]*GUAYAQUIL[[#This Row],[Stock Actual Kgs]]),"")</f>
        <v/>
      </c>
      <c r="AB801" s="180" t="str">
        <f>+IFERROR(IF(GUAYAQUIL[[#This Row],[CODIGO]]="","",$J$3-O801),"")</f>
        <v/>
      </c>
      <c r="AC801" s="35" t="str">
        <f>IF(GUAYAQUIL[[#This Row],[CODIGO]]="","",IF(S801&lt;=0,"CADUCADO",IF(AND(S801&gt;0,S801&lt;=21),"FECHA CORTA",IF(AND(S801&gt;=22,S801&lt;=26),"PROXIMOS FECHA CORTA", "VIGENTE"))))</f>
        <v/>
      </c>
      <c r="AD801" s="289" t="e">
        <f>+IF(GUAYAQUIL[[#This Row],[CODIGO]]="","",GUAYAQUIL[[#This Row],[Stock Actual Unds]]*GUAYAQUIL[[#This Row],[Gramaje]]*GUAYAQUIL[[#This Row],[Conversión]])/1000</f>
        <v>#VALUE!</v>
      </c>
    </row>
    <row r="802" spans="1:30">
      <c r="A802" s="42" t="str">
        <f>+IFERROR(IF(GUAYAQUIL[[#This Row],[CODIGO]]="","",VLOOKUP(GUAYAQUIL[[#This Row],[CODIGO]],MAESTRO!$A:$J,10,FALSE)),"")</f>
        <v/>
      </c>
      <c r="B802" s="42" t="str">
        <f>+IFERROR(IF(GUAYAQUIL[[#This Row],[CODIGO]]="","",VLOOKUP(GUAYAQUIL[[#This Row],[CODIGO]],MAESTRO!$A:$Q,17,FALSE)),"")</f>
        <v/>
      </c>
      <c r="C802" s="42" t="str">
        <f>+IFERROR(IF(GUAYAQUIL[[#This Row],[CODIGO]]="","",VLOOKUP(GUAYAQUIL[[#This Row],[CODIGO]],MAESTRO!$A:$BA,53,FALSE)),"")</f>
        <v/>
      </c>
      <c r="D802" s="42" t="str">
        <f>+IFERROR(IF(GUAYAQUIL[[#This Row],[CODIGO]]="","",VLOOKUP(GUAYAQUIL[[#This Row],[CODIGO]],MAESTRO!$A:$D,4,FALSE)),"")</f>
        <v/>
      </c>
      <c r="E802" s="42" t="str">
        <f>+IFERROR(IF(GUAYAQUIL[[#This Row],[CODIGO]]="","",VLOOKUP(GUAYAQUIL[[#This Row],[CODIGO]],MAESTRO!$A:$F,6,FALSE)),"")</f>
        <v/>
      </c>
      <c r="F802" s="42" t="str">
        <f>IF(GUAYAQUIL[[#This Row],[CODIGO]]="","",$K$6)</f>
        <v/>
      </c>
      <c r="G802" s="1" t="str">
        <f>IF(GUAYAQUIL[[#This Row],[CODIGO]]="","",7711)</f>
        <v/>
      </c>
      <c r="H802" s="1" t="str">
        <f>IF(GUAYAQUIL[[#This Row],[CODIGO]]="","",1001)</f>
        <v/>
      </c>
      <c r="I802" s="258"/>
      <c r="J802" s="43" t="str">
        <f>IFERROR((VLOOKUP(GUAYAQUIL[[#This Row],[CODIGO]],MAESTRO!A:B,2,FALSE)),"")</f>
        <v/>
      </c>
      <c r="K802" s="35"/>
      <c r="L802" s="205" t="str">
        <f>+IFERROR(IF(GUAYAQUIL[[#This Row],[CODIGO]]="","",VLOOKUP(GUAYAQUIL[[#This Row],[CODIGO]],MAESTRO!$A:$BF,58,FALSE)),"")</f>
        <v/>
      </c>
      <c r="M802" s="27" t="str">
        <f>+IFERROR(IF(GUAYAQUIL[[#This Row],[CODIGO]]="","",VLOOKUP(GUAYAQUIL[[#This Row],[CODIGO]],MAESTRO!A:N,14,FALSE)),"")</f>
        <v/>
      </c>
      <c r="N802" s="206" t="str">
        <f>+IFERROR(IF(GUAYAQUIL[[#This Row],[CODIGO]]="","",VLOOKUP(GUAYAQUIL[[#This Row],[CODIGO]],MAESTRO!A:P,16,FALSE)),"")</f>
        <v/>
      </c>
      <c r="O802" s="303"/>
      <c r="P802" s="99" t="str">
        <f t="shared" si="71"/>
        <v/>
      </c>
      <c r="Q802" s="304" t="str">
        <f>IFERROR(IF(GUAYAQUIL[[#This Row],[CODIGO]]="","",IF(GUAYAQUIL[[#This Row],[Fecha Cad]]="","",(GUAYAQUIL[[#This Row],[Fecha Cad]]-GUAYAQUIL[[#This Row],[VIDA UTIL (Días)]]))+1),"")</f>
        <v/>
      </c>
      <c r="R802" s="303"/>
      <c r="S802" s="30" t="str">
        <f t="shared" si="72"/>
        <v/>
      </c>
      <c r="T802" s="279">
        <f t="shared" si="73"/>
        <v>0</v>
      </c>
      <c r="U802" s="288"/>
      <c r="V802" s="265" t="str">
        <f>+IFERROR(IF(GUAYAQUIL[[#This Row],[CODIGO]]="","",GUAYAQUIL[[#This Row],[Stock Actual Unds]]*GUAYAQUIL[[#This Row],[Gramaje]]*GUAYAQUIL[[#This Row],[Conversión]]),"")</f>
        <v/>
      </c>
      <c r="W802" s="280">
        <f t="shared" si="74"/>
        <v>0</v>
      </c>
      <c r="X802" s="44" t="str">
        <f t="shared" si="75"/>
        <v/>
      </c>
      <c r="Y802" s="236">
        <f>IFERROR(VLOOKUP(GUAYAQUIL[[#This Row],[CODIGO]],MAESTRO!A:BI,21,FALSE),0)</f>
        <v>0</v>
      </c>
      <c r="Z802" s="236" t="str">
        <f>+IFERROR(IF(GUAYAQUIL[[#This Row],[CODIGO]]="","",GUAYAQUIL[[#This Row],[COSTO UNIT base]]*GUAYAQUIL[[#This Row],[Conversión]]),"")</f>
        <v/>
      </c>
      <c r="AA802" s="236" t="str">
        <f>+IFERROR(IF(GUAYAQUIL[[#This Row],[CODIGO]]="","",GUAYAQUIL[[#This Row],[COSTO UNIT Conv]]*GUAYAQUIL[[#This Row],[Stock Actual Kgs]]),"")</f>
        <v/>
      </c>
      <c r="AB802" s="180" t="str">
        <f>+IFERROR(IF(GUAYAQUIL[[#This Row],[CODIGO]]="","",$J$3-O802),"")</f>
        <v/>
      </c>
      <c r="AC802" s="35" t="str">
        <f>IF(GUAYAQUIL[[#This Row],[CODIGO]]="","",IF(S802&lt;=0,"CADUCADO",IF(AND(S802&gt;0,S802&lt;=21),"FECHA CORTA",IF(AND(S802&gt;=22,S802&lt;=26),"PROXIMOS FECHA CORTA", "VIGENTE"))))</f>
        <v/>
      </c>
      <c r="AD802" s="289" t="e">
        <f>+IF(GUAYAQUIL[[#This Row],[CODIGO]]="","",GUAYAQUIL[[#This Row],[Stock Actual Unds]]*GUAYAQUIL[[#This Row],[Gramaje]]*GUAYAQUIL[[#This Row],[Conversión]])/1000</f>
        <v>#VALUE!</v>
      </c>
    </row>
    <row r="803" spans="1:30">
      <c r="A803" s="42" t="str">
        <f>+IFERROR(IF(GUAYAQUIL[[#This Row],[CODIGO]]="","",VLOOKUP(GUAYAQUIL[[#This Row],[CODIGO]],MAESTRO!$A:$J,10,FALSE)),"")</f>
        <v/>
      </c>
      <c r="B803" s="42" t="str">
        <f>+IFERROR(IF(GUAYAQUIL[[#This Row],[CODIGO]]="","",VLOOKUP(GUAYAQUIL[[#This Row],[CODIGO]],MAESTRO!$A:$Q,17,FALSE)),"")</f>
        <v/>
      </c>
      <c r="C803" s="42" t="str">
        <f>+IFERROR(IF(GUAYAQUIL[[#This Row],[CODIGO]]="","",VLOOKUP(GUAYAQUIL[[#This Row],[CODIGO]],MAESTRO!$A:$BA,53,FALSE)),"")</f>
        <v/>
      </c>
      <c r="D803" s="42" t="str">
        <f>+IFERROR(IF(GUAYAQUIL[[#This Row],[CODIGO]]="","",VLOOKUP(GUAYAQUIL[[#This Row],[CODIGO]],MAESTRO!$A:$D,4,FALSE)),"")</f>
        <v/>
      </c>
      <c r="E803" s="42" t="str">
        <f>+IFERROR(IF(GUAYAQUIL[[#This Row],[CODIGO]]="","",VLOOKUP(GUAYAQUIL[[#This Row],[CODIGO]],MAESTRO!$A:$F,6,FALSE)),"")</f>
        <v/>
      </c>
      <c r="F803" s="42" t="str">
        <f>IF(GUAYAQUIL[[#This Row],[CODIGO]]="","",$K$6)</f>
        <v/>
      </c>
      <c r="G803" s="1" t="str">
        <f>IF(GUAYAQUIL[[#This Row],[CODIGO]]="","",7711)</f>
        <v/>
      </c>
      <c r="H803" s="1" t="str">
        <f>IF(GUAYAQUIL[[#This Row],[CODIGO]]="","",1001)</f>
        <v/>
      </c>
      <c r="I803" s="258"/>
      <c r="J803" s="43" t="str">
        <f>IFERROR((VLOOKUP(GUAYAQUIL[[#This Row],[CODIGO]],MAESTRO!A:B,2,FALSE)),"")</f>
        <v/>
      </c>
      <c r="K803" s="35"/>
      <c r="L803" s="205" t="str">
        <f>+IFERROR(IF(GUAYAQUIL[[#This Row],[CODIGO]]="","",VLOOKUP(GUAYAQUIL[[#This Row],[CODIGO]],MAESTRO!$A:$BF,58,FALSE)),"")</f>
        <v/>
      </c>
      <c r="M803" s="27" t="str">
        <f>+IFERROR(IF(GUAYAQUIL[[#This Row],[CODIGO]]="","",VLOOKUP(GUAYAQUIL[[#This Row],[CODIGO]],MAESTRO!A:N,14,FALSE)),"")</f>
        <v/>
      </c>
      <c r="N803" s="206" t="str">
        <f>+IFERROR(IF(GUAYAQUIL[[#This Row],[CODIGO]]="","",VLOOKUP(GUAYAQUIL[[#This Row],[CODIGO]],MAESTRO!A:P,16,FALSE)),"")</f>
        <v/>
      </c>
      <c r="O803" s="303"/>
      <c r="P803" s="99" t="str">
        <f t="shared" si="71"/>
        <v/>
      </c>
      <c r="Q803" s="304" t="str">
        <f>IFERROR(IF(GUAYAQUIL[[#This Row],[CODIGO]]="","",IF(GUAYAQUIL[[#This Row],[Fecha Cad]]="","",(GUAYAQUIL[[#This Row],[Fecha Cad]]-GUAYAQUIL[[#This Row],[VIDA UTIL (Días)]]))+1),"")</f>
        <v/>
      </c>
      <c r="R803" s="303"/>
      <c r="S803" s="30" t="str">
        <f t="shared" si="72"/>
        <v/>
      </c>
      <c r="T803" s="279">
        <f t="shared" si="73"/>
        <v>0</v>
      </c>
      <c r="U803" s="288"/>
      <c r="V803" s="265" t="str">
        <f>+IFERROR(IF(GUAYAQUIL[[#This Row],[CODIGO]]="","",GUAYAQUIL[[#This Row],[Stock Actual Unds]]*GUAYAQUIL[[#This Row],[Gramaje]]*GUAYAQUIL[[#This Row],[Conversión]]),"")</f>
        <v/>
      </c>
      <c r="W803" s="280">
        <f t="shared" si="74"/>
        <v>0</v>
      </c>
      <c r="X803" s="44" t="str">
        <f t="shared" si="75"/>
        <v/>
      </c>
      <c r="Y803" s="236">
        <f>IFERROR(VLOOKUP(GUAYAQUIL[[#This Row],[CODIGO]],MAESTRO!A:BI,21,FALSE),0)</f>
        <v>0</v>
      </c>
      <c r="Z803" s="236" t="str">
        <f>+IFERROR(IF(GUAYAQUIL[[#This Row],[CODIGO]]="","",GUAYAQUIL[[#This Row],[COSTO UNIT base]]*GUAYAQUIL[[#This Row],[Conversión]]),"")</f>
        <v/>
      </c>
      <c r="AA803" s="236" t="str">
        <f>+IFERROR(IF(GUAYAQUIL[[#This Row],[CODIGO]]="","",GUAYAQUIL[[#This Row],[COSTO UNIT Conv]]*GUAYAQUIL[[#This Row],[Stock Actual Kgs]]),"")</f>
        <v/>
      </c>
      <c r="AB803" s="180" t="str">
        <f>+IFERROR(IF(GUAYAQUIL[[#This Row],[CODIGO]]="","",$J$3-O803),"")</f>
        <v/>
      </c>
      <c r="AC803" s="35" t="str">
        <f>IF(GUAYAQUIL[[#This Row],[CODIGO]]="","",IF(S803&lt;=0,"CADUCADO",IF(AND(S803&gt;0,S803&lt;=21),"FECHA CORTA",IF(AND(S803&gt;=22,S803&lt;=26),"PROXIMOS FECHA CORTA", "VIGENTE"))))</f>
        <v/>
      </c>
      <c r="AD803" s="289" t="e">
        <f>+IF(GUAYAQUIL[[#This Row],[CODIGO]]="","",GUAYAQUIL[[#This Row],[Stock Actual Unds]]*GUAYAQUIL[[#This Row],[Gramaje]]*GUAYAQUIL[[#This Row],[Conversión]])/1000</f>
        <v>#VALUE!</v>
      </c>
    </row>
    <row r="804" spans="1:30">
      <c r="A804" s="42" t="str">
        <f>+IFERROR(IF(GUAYAQUIL[[#This Row],[CODIGO]]="","",VLOOKUP(GUAYAQUIL[[#This Row],[CODIGO]],MAESTRO!$A:$J,10,FALSE)),"")</f>
        <v/>
      </c>
      <c r="B804" s="42" t="str">
        <f>+IFERROR(IF(GUAYAQUIL[[#This Row],[CODIGO]]="","",VLOOKUP(GUAYAQUIL[[#This Row],[CODIGO]],MAESTRO!$A:$Q,17,FALSE)),"")</f>
        <v/>
      </c>
      <c r="C804" s="42" t="str">
        <f>+IFERROR(IF(GUAYAQUIL[[#This Row],[CODIGO]]="","",VLOOKUP(GUAYAQUIL[[#This Row],[CODIGO]],MAESTRO!$A:$BA,53,FALSE)),"")</f>
        <v/>
      </c>
      <c r="D804" s="42" t="str">
        <f>+IFERROR(IF(GUAYAQUIL[[#This Row],[CODIGO]]="","",VLOOKUP(GUAYAQUIL[[#This Row],[CODIGO]],MAESTRO!$A:$D,4,FALSE)),"")</f>
        <v/>
      </c>
      <c r="E804" s="42" t="str">
        <f>+IFERROR(IF(GUAYAQUIL[[#This Row],[CODIGO]]="","",VLOOKUP(GUAYAQUIL[[#This Row],[CODIGO]],MAESTRO!$A:$F,6,FALSE)),"")</f>
        <v/>
      </c>
      <c r="F804" s="42" t="str">
        <f>IF(GUAYAQUIL[[#This Row],[CODIGO]]="","",$K$6)</f>
        <v/>
      </c>
      <c r="G804" s="1" t="str">
        <f>IF(GUAYAQUIL[[#This Row],[CODIGO]]="","",7711)</f>
        <v/>
      </c>
      <c r="H804" s="1" t="str">
        <f>IF(GUAYAQUIL[[#This Row],[CODIGO]]="","",1001)</f>
        <v/>
      </c>
      <c r="I804" s="258"/>
      <c r="J804" s="43" t="str">
        <f>IFERROR((VLOOKUP(GUAYAQUIL[[#This Row],[CODIGO]],MAESTRO!A:B,2,FALSE)),"")</f>
        <v/>
      </c>
      <c r="K804" s="35"/>
      <c r="L804" s="205" t="str">
        <f>+IFERROR(IF(GUAYAQUIL[[#This Row],[CODIGO]]="","",VLOOKUP(GUAYAQUIL[[#This Row],[CODIGO]],MAESTRO!$A:$BF,58,FALSE)),"")</f>
        <v/>
      </c>
      <c r="M804" s="27" t="str">
        <f>+IFERROR(IF(GUAYAQUIL[[#This Row],[CODIGO]]="","",VLOOKUP(GUAYAQUIL[[#This Row],[CODIGO]],MAESTRO!A:N,14,FALSE)),"")</f>
        <v/>
      </c>
      <c r="N804" s="206" t="str">
        <f>+IFERROR(IF(GUAYAQUIL[[#This Row],[CODIGO]]="","",VLOOKUP(GUAYAQUIL[[#This Row],[CODIGO]],MAESTRO!A:P,16,FALSE)),"")</f>
        <v/>
      </c>
      <c r="O804" s="303"/>
      <c r="P804" s="99" t="str">
        <f t="shared" si="71"/>
        <v/>
      </c>
      <c r="Q804" s="304" t="str">
        <f>IFERROR(IF(GUAYAQUIL[[#This Row],[CODIGO]]="","",IF(GUAYAQUIL[[#This Row],[Fecha Cad]]="","",(GUAYAQUIL[[#This Row],[Fecha Cad]]-GUAYAQUIL[[#This Row],[VIDA UTIL (Días)]]))+1),"")</f>
        <v/>
      </c>
      <c r="R804" s="303"/>
      <c r="S804" s="30" t="str">
        <f t="shared" si="72"/>
        <v/>
      </c>
      <c r="T804" s="279">
        <f t="shared" si="73"/>
        <v>0</v>
      </c>
      <c r="U804" s="288"/>
      <c r="V804" s="265" t="str">
        <f>+IFERROR(IF(GUAYAQUIL[[#This Row],[CODIGO]]="","",GUAYAQUIL[[#This Row],[Stock Actual Unds]]*GUAYAQUIL[[#This Row],[Gramaje]]*GUAYAQUIL[[#This Row],[Conversión]]),"")</f>
        <v/>
      </c>
      <c r="W804" s="280">
        <f t="shared" si="74"/>
        <v>0</v>
      </c>
      <c r="X804" s="44" t="str">
        <f t="shared" si="75"/>
        <v/>
      </c>
      <c r="Y804" s="236">
        <f>IFERROR(VLOOKUP(GUAYAQUIL[[#This Row],[CODIGO]],MAESTRO!A:BI,21,FALSE),0)</f>
        <v>0</v>
      </c>
      <c r="Z804" s="236" t="str">
        <f>+IFERROR(IF(GUAYAQUIL[[#This Row],[CODIGO]]="","",GUAYAQUIL[[#This Row],[COSTO UNIT base]]*GUAYAQUIL[[#This Row],[Conversión]]),"")</f>
        <v/>
      </c>
      <c r="AA804" s="236" t="str">
        <f>+IFERROR(IF(GUAYAQUIL[[#This Row],[CODIGO]]="","",GUAYAQUIL[[#This Row],[COSTO UNIT Conv]]*GUAYAQUIL[[#This Row],[Stock Actual Kgs]]),"")</f>
        <v/>
      </c>
      <c r="AB804" s="180" t="str">
        <f>+IFERROR(IF(GUAYAQUIL[[#This Row],[CODIGO]]="","",$J$3-O804),"")</f>
        <v/>
      </c>
      <c r="AC804" s="35" t="str">
        <f>IF(GUAYAQUIL[[#This Row],[CODIGO]]="","",IF(S804&lt;=0,"CADUCADO",IF(AND(S804&gt;0,S804&lt;=21),"FECHA CORTA",IF(AND(S804&gt;=22,S804&lt;=26),"PROXIMOS FECHA CORTA", "VIGENTE"))))</f>
        <v/>
      </c>
      <c r="AD804" s="289" t="e">
        <f>+IF(GUAYAQUIL[[#This Row],[CODIGO]]="","",GUAYAQUIL[[#This Row],[Stock Actual Unds]]*GUAYAQUIL[[#This Row],[Gramaje]]*GUAYAQUIL[[#This Row],[Conversión]])/1000</f>
        <v>#VALUE!</v>
      </c>
    </row>
    <row r="805" spans="1:30">
      <c r="A805" s="42" t="str">
        <f>+IFERROR(IF(GUAYAQUIL[[#This Row],[CODIGO]]="","",VLOOKUP(GUAYAQUIL[[#This Row],[CODIGO]],MAESTRO!$A:$J,10,FALSE)),"")</f>
        <v/>
      </c>
      <c r="B805" s="42" t="str">
        <f>+IFERROR(IF(GUAYAQUIL[[#This Row],[CODIGO]]="","",VLOOKUP(GUAYAQUIL[[#This Row],[CODIGO]],MAESTRO!$A:$Q,17,FALSE)),"")</f>
        <v/>
      </c>
      <c r="C805" s="42" t="str">
        <f>+IFERROR(IF(GUAYAQUIL[[#This Row],[CODIGO]]="","",VLOOKUP(GUAYAQUIL[[#This Row],[CODIGO]],MAESTRO!$A:$BA,53,FALSE)),"")</f>
        <v/>
      </c>
      <c r="D805" s="42" t="str">
        <f>+IFERROR(IF(GUAYAQUIL[[#This Row],[CODIGO]]="","",VLOOKUP(GUAYAQUIL[[#This Row],[CODIGO]],MAESTRO!$A:$D,4,FALSE)),"")</f>
        <v/>
      </c>
      <c r="E805" s="42" t="str">
        <f>+IFERROR(IF(GUAYAQUIL[[#This Row],[CODIGO]]="","",VLOOKUP(GUAYAQUIL[[#This Row],[CODIGO]],MAESTRO!$A:$F,6,FALSE)),"")</f>
        <v/>
      </c>
      <c r="F805" s="42" t="str">
        <f>IF(GUAYAQUIL[[#This Row],[CODIGO]]="","",$K$6)</f>
        <v/>
      </c>
      <c r="G805" s="1" t="str">
        <f>IF(GUAYAQUIL[[#This Row],[CODIGO]]="","",7711)</f>
        <v/>
      </c>
      <c r="H805" s="1" t="str">
        <f>IF(GUAYAQUIL[[#This Row],[CODIGO]]="","",1001)</f>
        <v/>
      </c>
      <c r="I805" s="258"/>
      <c r="J805" s="43" t="str">
        <f>IFERROR((VLOOKUP(GUAYAQUIL[[#This Row],[CODIGO]],MAESTRO!A:B,2,FALSE)),"")</f>
        <v/>
      </c>
      <c r="K805" s="35"/>
      <c r="L805" s="205" t="str">
        <f>+IFERROR(IF(GUAYAQUIL[[#This Row],[CODIGO]]="","",VLOOKUP(GUAYAQUIL[[#This Row],[CODIGO]],MAESTRO!$A:$BF,58,FALSE)),"")</f>
        <v/>
      </c>
      <c r="M805" s="27" t="str">
        <f>+IFERROR(IF(GUAYAQUIL[[#This Row],[CODIGO]]="","",VLOOKUP(GUAYAQUIL[[#This Row],[CODIGO]],MAESTRO!A:N,14,FALSE)),"")</f>
        <v/>
      </c>
      <c r="N805" s="206" t="str">
        <f>+IFERROR(IF(GUAYAQUIL[[#This Row],[CODIGO]]="","",VLOOKUP(GUAYAQUIL[[#This Row],[CODIGO]],MAESTRO!A:P,16,FALSE)),"")</f>
        <v/>
      </c>
      <c r="O805" s="303"/>
      <c r="P805" s="99" t="str">
        <f t="shared" si="71"/>
        <v/>
      </c>
      <c r="Q805" s="304" t="str">
        <f>IFERROR(IF(GUAYAQUIL[[#This Row],[CODIGO]]="","",IF(GUAYAQUIL[[#This Row],[Fecha Cad]]="","",(GUAYAQUIL[[#This Row],[Fecha Cad]]-GUAYAQUIL[[#This Row],[VIDA UTIL (Días)]]))+1),"")</f>
        <v/>
      </c>
      <c r="R805" s="303"/>
      <c r="S805" s="30" t="str">
        <f t="shared" si="72"/>
        <v/>
      </c>
      <c r="T805" s="279">
        <f t="shared" si="73"/>
        <v>0</v>
      </c>
      <c r="U805" s="288"/>
      <c r="V805" s="265" t="str">
        <f>+IFERROR(IF(GUAYAQUIL[[#This Row],[CODIGO]]="","",GUAYAQUIL[[#This Row],[Stock Actual Unds]]*GUAYAQUIL[[#This Row],[Gramaje]]*GUAYAQUIL[[#This Row],[Conversión]]),"")</f>
        <v/>
      </c>
      <c r="W805" s="280">
        <f t="shared" si="74"/>
        <v>0</v>
      </c>
      <c r="X805" s="44" t="str">
        <f t="shared" si="75"/>
        <v/>
      </c>
      <c r="Y805" s="236">
        <f>IFERROR(VLOOKUP(GUAYAQUIL[[#This Row],[CODIGO]],MAESTRO!A:BI,21,FALSE),0)</f>
        <v>0</v>
      </c>
      <c r="Z805" s="236" t="str">
        <f>+IFERROR(IF(GUAYAQUIL[[#This Row],[CODIGO]]="","",GUAYAQUIL[[#This Row],[COSTO UNIT base]]*GUAYAQUIL[[#This Row],[Conversión]]),"")</f>
        <v/>
      </c>
      <c r="AA805" s="236" t="str">
        <f>+IFERROR(IF(GUAYAQUIL[[#This Row],[CODIGO]]="","",GUAYAQUIL[[#This Row],[COSTO UNIT Conv]]*GUAYAQUIL[[#This Row],[Stock Actual Kgs]]),"")</f>
        <v/>
      </c>
      <c r="AB805" s="180" t="str">
        <f>+IFERROR(IF(GUAYAQUIL[[#This Row],[CODIGO]]="","",$J$3-O805),"")</f>
        <v/>
      </c>
      <c r="AC805" s="35" t="str">
        <f>IF(GUAYAQUIL[[#This Row],[CODIGO]]="","",IF(S805&lt;=0,"CADUCADO",IF(AND(S805&gt;0,S805&lt;=21),"FECHA CORTA",IF(AND(S805&gt;=22,S805&lt;=26),"PROXIMOS FECHA CORTA", "VIGENTE"))))</f>
        <v/>
      </c>
      <c r="AD805" s="289" t="e">
        <f>+IF(GUAYAQUIL[[#This Row],[CODIGO]]="","",GUAYAQUIL[[#This Row],[Stock Actual Unds]]*GUAYAQUIL[[#This Row],[Gramaje]]*GUAYAQUIL[[#This Row],[Conversión]])/1000</f>
        <v>#VALUE!</v>
      </c>
    </row>
    <row r="806" spans="1:30">
      <c r="U806" s="287"/>
    </row>
    <row r="807" spans="1:30">
      <c r="U807" s="287"/>
    </row>
    <row r="808" spans="1:30">
      <c r="U808" s="287"/>
    </row>
    <row r="809" spans="1:30">
      <c r="U809" s="287"/>
    </row>
    <row r="810" spans="1:30">
      <c r="U810" s="287"/>
    </row>
    <row r="811" spans="1:30">
      <c r="S811" s="250"/>
      <c r="U811" s="287"/>
    </row>
    <row r="812" spans="1:30">
      <c r="S812" s="251"/>
      <c r="U812" s="287"/>
    </row>
    <row r="813" spans="1:30">
      <c r="S813" s="252"/>
      <c r="U813" s="287"/>
    </row>
    <row r="814" spans="1:30">
      <c r="S814" s="253"/>
      <c r="U814" s="287"/>
    </row>
    <row r="815" spans="1:30">
      <c r="S815" s="250"/>
      <c r="U815" s="287"/>
    </row>
    <row r="816" spans="1:30">
      <c r="S816" s="253"/>
      <c r="U816" s="287"/>
    </row>
    <row r="817" spans="19:21">
      <c r="S817" s="250"/>
      <c r="U817" s="287"/>
    </row>
    <row r="818" spans="19:21">
      <c r="S818" s="253"/>
      <c r="U818" s="287"/>
    </row>
    <row r="819" spans="19:21">
      <c r="S819" s="250"/>
      <c r="U819" s="287"/>
    </row>
    <row r="820" spans="19:21">
      <c r="S820" s="251"/>
      <c r="U820" s="287"/>
    </row>
    <row r="821" spans="19:21">
      <c r="S821" s="250"/>
      <c r="U821" s="287"/>
    </row>
    <row r="822" spans="19:21">
      <c r="S822" s="251"/>
      <c r="U822" s="287"/>
    </row>
    <row r="823" spans="19:21">
      <c r="S823" s="250"/>
      <c r="U823" s="287"/>
    </row>
    <row r="824" spans="19:21">
      <c r="S824" s="251"/>
      <c r="U824" s="287"/>
    </row>
    <row r="825" spans="19:21">
      <c r="S825" s="250"/>
      <c r="U825" s="287"/>
    </row>
    <row r="826" spans="19:21">
      <c r="S826" s="253"/>
      <c r="U826" s="287"/>
    </row>
    <row r="827" spans="19:21">
      <c r="S827" s="250"/>
      <c r="U827" s="287"/>
    </row>
    <row r="828" spans="19:21">
      <c r="S828" s="251"/>
      <c r="U828" s="287"/>
    </row>
    <row r="829" spans="19:21">
      <c r="S829" s="250"/>
      <c r="U829" s="287"/>
    </row>
    <row r="830" spans="19:21">
      <c r="S830" s="251"/>
      <c r="U830" s="287"/>
    </row>
    <row r="831" spans="19:21">
      <c r="S831" s="250"/>
      <c r="U831" s="287"/>
    </row>
    <row r="832" spans="19:21">
      <c r="S832" s="251"/>
      <c r="U832" s="287"/>
    </row>
    <row r="833" spans="19:21">
      <c r="S833" s="252"/>
      <c r="U833" s="287"/>
    </row>
    <row r="834" spans="19:21">
      <c r="S834" s="251"/>
      <c r="U834" s="287"/>
    </row>
    <row r="835" spans="19:21">
      <c r="S835" s="252"/>
      <c r="U835" s="287"/>
    </row>
    <row r="836" spans="19:21">
      <c r="S836" s="253"/>
      <c r="U836" s="287"/>
    </row>
    <row r="837" spans="19:21">
      <c r="S837" s="250"/>
      <c r="U837" s="287"/>
    </row>
    <row r="838" spans="19:21">
      <c r="S838" s="251"/>
      <c r="U838" s="287"/>
    </row>
    <row r="839" spans="19:21">
      <c r="S839" s="250"/>
      <c r="U839" s="287"/>
    </row>
    <row r="840" spans="19:21">
      <c r="S840" s="253"/>
      <c r="U840" s="287"/>
    </row>
    <row r="841" spans="19:21">
      <c r="S841" s="250"/>
      <c r="U841" s="287"/>
    </row>
    <row r="842" spans="19:21">
      <c r="S842" s="251"/>
      <c r="U842" s="287"/>
    </row>
    <row r="843" spans="19:21">
      <c r="S843" s="252"/>
      <c r="U843" s="287"/>
    </row>
    <row r="844" spans="19:21">
      <c r="S844" s="253"/>
      <c r="U844" s="287"/>
    </row>
    <row r="845" spans="19:21">
      <c r="S845" s="252"/>
      <c r="U845" s="287"/>
    </row>
    <row r="846" spans="19:21">
      <c r="S846" s="253"/>
      <c r="U846" s="287"/>
    </row>
    <row r="847" spans="19:21">
      <c r="S847" s="252"/>
      <c r="U847" s="287"/>
    </row>
    <row r="848" spans="19:21">
      <c r="S848" s="253"/>
      <c r="U848" s="287"/>
    </row>
    <row r="849" spans="19:21">
      <c r="S849" s="250"/>
      <c r="U849" s="287"/>
    </row>
    <row r="850" spans="19:21">
      <c r="S850" s="251"/>
      <c r="U850" s="287"/>
    </row>
    <row r="851" spans="19:21">
      <c r="S851" s="250"/>
      <c r="U851" s="287"/>
    </row>
    <row r="852" spans="19:21">
      <c r="S852" s="253"/>
      <c r="U852" s="287"/>
    </row>
    <row r="853" spans="19:21">
      <c r="S853" s="250"/>
      <c r="U853" s="287"/>
    </row>
    <row r="854" spans="19:21">
      <c r="S854" s="251"/>
      <c r="U854" s="287"/>
    </row>
    <row r="855" spans="19:21">
      <c r="S855" s="252"/>
      <c r="U855" s="287"/>
    </row>
    <row r="856" spans="19:21">
      <c r="S856" s="253"/>
      <c r="U856" s="287"/>
    </row>
    <row r="857" spans="19:21">
      <c r="S857" s="252"/>
      <c r="U857" s="287"/>
    </row>
    <row r="858" spans="19:21">
      <c r="S858" s="253"/>
      <c r="U858" s="287"/>
    </row>
    <row r="859" spans="19:21">
      <c r="S859" s="252"/>
      <c r="U859" s="287"/>
    </row>
    <row r="860" spans="19:21">
      <c r="S860" s="253"/>
      <c r="U860" s="287"/>
    </row>
    <row r="861" spans="19:21">
      <c r="S861" s="252"/>
      <c r="U861" s="287"/>
    </row>
    <row r="862" spans="19:21">
      <c r="S862" s="253"/>
      <c r="U862" s="287"/>
    </row>
    <row r="863" spans="19:21">
      <c r="S863" s="252"/>
      <c r="U863" s="287"/>
    </row>
    <row r="864" spans="19:21">
      <c r="S864" s="253"/>
      <c r="U864" s="287"/>
    </row>
    <row r="865" spans="19:21">
      <c r="S865" s="252"/>
      <c r="U865" s="287"/>
    </row>
    <row r="866" spans="19:21">
      <c r="S866" s="253"/>
      <c r="U866" s="287"/>
    </row>
    <row r="867" spans="19:21">
      <c r="S867" s="250"/>
      <c r="U867" s="287"/>
    </row>
    <row r="868" spans="19:21">
      <c r="S868" s="251"/>
      <c r="U868" s="287"/>
    </row>
    <row r="869" spans="19:21">
      <c r="S869" s="252"/>
      <c r="U869" s="287"/>
    </row>
    <row r="870" spans="19:21">
      <c r="S870" s="253"/>
      <c r="U870" s="287"/>
    </row>
    <row r="871" spans="19:21">
      <c r="S871" s="252"/>
      <c r="U871" s="287"/>
    </row>
    <row r="872" spans="19:21">
      <c r="S872" s="253"/>
      <c r="U872" s="287"/>
    </row>
    <row r="873" spans="19:21">
      <c r="S873" s="252"/>
      <c r="U873" s="287"/>
    </row>
    <row r="874" spans="19:21">
      <c r="S874" s="251"/>
      <c r="U874" s="287"/>
    </row>
    <row r="875" spans="19:21">
      <c r="S875" s="250"/>
      <c r="U875" s="287"/>
    </row>
    <row r="876" spans="19:21">
      <c r="S876" s="253"/>
      <c r="U876" s="287"/>
    </row>
    <row r="877" spans="19:21">
      <c r="S877" s="252"/>
      <c r="U877" s="287"/>
    </row>
    <row r="878" spans="19:21">
      <c r="S878" s="251"/>
      <c r="U878" s="287"/>
    </row>
    <row r="879" spans="19:21">
      <c r="S879" s="252"/>
      <c r="U879" s="287"/>
    </row>
    <row r="880" spans="19:21">
      <c r="S880" s="253"/>
      <c r="U880" s="287"/>
    </row>
    <row r="881" spans="19:21">
      <c r="S881" s="252"/>
      <c r="U881" s="287"/>
    </row>
    <row r="882" spans="19:21">
      <c r="S882" s="251"/>
      <c r="U882" s="287"/>
    </row>
    <row r="883" spans="19:21">
      <c r="S883" s="250"/>
      <c r="U883" s="287"/>
    </row>
    <row r="884" spans="19:21">
      <c r="S884" s="253"/>
      <c r="U884" s="287"/>
    </row>
    <row r="885" spans="19:21">
      <c r="S885" s="252"/>
      <c r="U885" s="287"/>
    </row>
    <row r="886" spans="19:21">
      <c r="S886" s="253"/>
      <c r="U886" s="287"/>
    </row>
    <row r="887" spans="19:21">
      <c r="S887" s="250"/>
      <c r="U887" s="287"/>
    </row>
    <row r="888" spans="19:21">
      <c r="S888" s="251"/>
      <c r="U888" s="287"/>
    </row>
    <row r="889" spans="19:21">
      <c r="S889" s="252"/>
      <c r="U889" s="287"/>
    </row>
    <row r="890" spans="19:21">
      <c r="S890" s="253"/>
      <c r="U890" s="287"/>
    </row>
    <row r="891" spans="19:21">
      <c r="S891" s="252"/>
      <c r="U891" s="287"/>
    </row>
    <row r="892" spans="19:21">
      <c r="S892" s="251"/>
      <c r="U892" s="287"/>
    </row>
    <row r="893" spans="19:21">
      <c r="S893" s="250"/>
      <c r="U893" s="287"/>
    </row>
    <row r="894" spans="19:21">
      <c r="S894" s="253"/>
      <c r="U894" s="287"/>
    </row>
    <row r="895" spans="19:21">
      <c r="S895" s="252"/>
      <c r="U895" s="287"/>
    </row>
    <row r="896" spans="19:21">
      <c r="S896" s="253"/>
      <c r="U896" s="287"/>
    </row>
    <row r="897" spans="19:21">
      <c r="S897" s="252"/>
      <c r="U897" s="287"/>
    </row>
    <row r="898" spans="19:21">
      <c r="S898" s="253"/>
      <c r="U898" s="287"/>
    </row>
    <row r="899" spans="19:21">
      <c r="S899" s="252"/>
      <c r="U899" s="287"/>
    </row>
    <row r="900" spans="19:21">
      <c r="S900" s="253"/>
      <c r="U900" s="287"/>
    </row>
    <row r="901" spans="19:21">
      <c r="S901" s="252"/>
      <c r="U901" s="287"/>
    </row>
    <row r="902" spans="19:21">
      <c r="S902" s="251"/>
      <c r="U902" s="287"/>
    </row>
    <row r="903" spans="19:21">
      <c r="S903" s="250"/>
      <c r="U903" s="287"/>
    </row>
    <row r="904" spans="19:21">
      <c r="S904" s="251"/>
      <c r="U904" s="287"/>
    </row>
    <row r="905" spans="19:21">
      <c r="S905" s="252"/>
      <c r="U905" s="287"/>
    </row>
    <row r="906" spans="19:21">
      <c r="S906" s="253"/>
      <c r="U906" s="287"/>
    </row>
    <row r="907" spans="19:21">
      <c r="S907" s="252"/>
      <c r="U907" s="287"/>
    </row>
    <row r="908" spans="19:21">
      <c r="S908" s="253"/>
      <c r="U908" s="287"/>
    </row>
    <row r="909" spans="19:21">
      <c r="S909" s="252"/>
      <c r="U909" s="287"/>
    </row>
    <row r="910" spans="19:21">
      <c r="S910" s="251"/>
      <c r="U910" s="287"/>
    </row>
    <row r="911" spans="19:21">
      <c r="S911" s="250"/>
      <c r="U911" s="287"/>
    </row>
    <row r="912" spans="19:21">
      <c r="S912" s="253"/>
      <c r="U912" s="287"/>
    </row>
    <row r="913" spans="19:21">
      <c r="S913" s="252"/>
      <c r="U913" s="287"/>
    </row>
    <row r="914" spans="19:21">
      <c r="S914" s="253"/>
      <c r="U914" s="287"/>
    </row>
    <row r="915" spans="19:21">
      <c r="S915" s="250"/>
      <c r="U915" s="287"/>
    </row>
    <row r="916" spans="19:21">
      <c r="S916" s="251"/>
      <c r="U916" s="287"/>
    </row>
    <row r="917" spans="19:21">
      <c r="S917" s="250"/>
      <c r="U917" s="287"/>
    </row>
    <row r="918" spans="19:21">
      <c r="S918" s="251"/>
      <c r="U918" s="287"/>
    </row>
    <row r="919" spans="19:21">
      <c r="S919" s="250"/>
      <c r="U919" s="287"/>
    </row>
    <row r="920" spans="19:21">
      <c r="S920" s="251"/>
      <c r="U920" s="287"/>
    </row>
    <row r="921" spans="19:21">
      <c r="S921" s="252"/>
      <c r="U921" s="287"/>
    </row>
    <row r="922" spans="19:21">
      <c r="S922" s="251"/>
      <c r="U922" s="287"/>
    </row>
    <row r="923" spans="19:21">
      <c r="S923" s="250"/>
      <c r="U923" s="287"/>
    </row>
    <row r="924" spans="19:21">
      <c r="S924" s="253"/>
      <c r="U924" s="287"/>
    </row>
    <row r="925" spans="19:21">
      <c r="S925" s="252"/>
      <c r="U925" s="287"/>
    </row>
    <row r="926" spans="19:21">
      <c r="S926" s="253"/>
      <c r="U926" s="287"/>
    </row>
    <row r="927" spans="19:21">
      <c r="S927" s="252"/>
      <c r="U927" s="287"/>
    </row>
    <row r="928" spans="19:21">
      <c r="S928" s="253"/>
      <c r="U928" s="287"/>
    </row>
    <row r="929" spans="19:21">
      <c r="S929" s="252"/>
      <c r="U929" s="287"/>
    </row>
    <row r="930" spans="19:21">
      <c r="S930" s="253"/>
      <c r="U930" s="287"/>
    </row>
    <row r="931" spans="19:21">
      <c r="S931" s="252"/>
      <c r="U931" s="287"/>
    </row>
    <row r="932" spans="19:21">
      <c r="S932" s="253"/>
      <c r="U932" s="287"/>
    </row>
    <row r="933" spans="19:21">
      <c r="S933" s="252"/>
      <c r="U933" s="287"/>
    </row>
    <row r="934" spans="19:21">
      <c r="S934" s="253"/>
      <c r="U934" s="287"/>
    </row>
    <row r="935" spans="19:21">
      <c r="S935" s="252"/>
      <c r="U935" s="287"/>
    </row>
    <row r="936" spans="19:21">
      <c r="S936" s="253"/>
      <c r="U936" s="287"/>
    </row>
    <row r="937" spans="19:21">
      <c r="S937" s="252"/>
      <c r="U937" s="287"/>
    </row>
    <row r="938" spans="19:21">
      <c r="S938" s="253"/>
      <c r="U938" s="287"/>
    </row>
    <row r="939" spans="19:21">
      <c r="S939" s="252"/>
      <c r="U939" s="287"/>
    </row>
    <row r="940" spans="19:21">
      <c r="S940" s="251"/>
      <c r="U940" s="287"/>
    </row>
    <row r="941" spans="19:21">
      <c r="S941" s="250"/>
      <c r="U941" s="287"/>
    </row>
    <row r="942" spans="19:21">
      <c r="S942" s="251"/>
      <c r="U942" s="287"/>
    </row>
    <row r="943" spans="19:21">
      <c r="S943" s="250"/>
      <c r="U943" s="287"/>
    </row>
    <row r="944" spans="19:21">
      <c r="S944" s="251"/>
      <c r="U944" s="287"/>
    </row>
    <row r="945" spans="19:21">
      <c r="S945" s="252"/>
      <c r="U945" s="287"/>
    </row>
    <row r="946" spans="19:21">
      <c r="S946" s="253"/>
      <c r="U946" s="287"/>
    </row>
    <row r="947" spans="19:21">
      <c r="S947" s="252"/>
      <c r="U947" s="287"/>
    </row>
    <row r="948" spans="19:21">
      <c r="S948" s="253"/>
      <c r="U948" s="287"/>
    </row>
    <row r="949" spans="19:21">
      <c r="S949" s="252"/>
      <c r="U949" s="287"/>
    </row>
    <row r="950" spans="19:21">
      <c r="S950" s="253"/>
      <c r="U950" s="287"/>
    </row>
    <row r="951" spans="19:21">
      <c r="S951" s="252"/>
      <c r="U951" s="287"/>
    </row>
    <row r="952" spans="19:21">
      <c r="S952" s="253"/>
      <c r="U952" s="287"/>
    </row>
    <row r="953" spans="19:21">
      <c r="S953" s="252"/>
      <c r="U953" s="287"/>
    </row>
    <row r="954" spans="19:21">
      <c r="S954" s="253"/>
      <c r="U954" s="287"/>
    </row>
    <row r="955" spans="19:21">
      <c r="S955" s="252"/>
      <c r="U955" s="287"/>
    </row>
    <row r="956" spans="19:21">
      <c r="S956" s="253"/>
      <c r="U956" s="287"/>
    </row>
    <row r="957" spans="19:21">
      <c r="S957" s="252"/>
      <c r="U957" s="287"/>
    </row>
    <row r="958" spans="19:21">
      <c r="S958" s="253"/>
      <c r="U958" s="287"/>
    </row>
    <row r="959" spans="19:21">
      <c r="S959" s="250"/>
      <c r="U959" s="287"/>
    </row>
    <row r="960" spans="19:21">
      <c r="S960" s="253"/>
      <c r="U960" s="287"/>
    </row>
    <row r="961" spans="19:21">
      <c r="S961" s="252"/>
      <c r="U961" s="287"/>
    </row>
    <row r="962" spans="19:21">
      <c r="S962" s="253"/>
      <c r="U962" s="287"/>
    </row>
    <row r="963" spans="19:21">
      <c r="S963" s="250"/>
      <c r="U963" s="287"/>
    </row>
    <row r="964" spans="19:21">
      <c r="S964" s="253"/>
      <c r="U964" s="287"/>
    </row>
    <row r="965" spans="19:21">
      <c r="S965" s="250"/>
      <c r="U965" s="287"/>
    </row>
    <row r="966" spans="19:21">
      <c r="S966" s="253"/>
      <c r="U966" s="287"/>
    </row>
    <row r="967" spans="19:21">
      <c r="S967" s="252"/>
      <c r="U967" s="287"/>
    </row>
    <row r="968" spans="19:21">
      <c r="S968" s="253"/>
      <c r="U968" s="287"/>
    </row>
    <row r="969" spans="19:21">
      <c r="S969" s="252"/>
      <c r="U969" s="287"/>
    </row>
    <row r="970" spans="19:21">
      <c r="S970" s="253"/>
      <c r="U970" s="287"/>
    </row>
    <row r="971" spans="19:21">
      <c r="S971" s="252"/>
      <c r="U971" s="287"/>
    </row>
    <row r="972" spans="19:21">
      <c r="S972" s="253"/>
      <c r="U972" s="287"/>
    </row>
    <row r="973" spans="19:21">
      <c r="S973" s="252"/>
      <c r="U973" s="287"/>
    </row>
    <row r="974" spans="19:21">
      <c r="S974" s="253"/>
      <c r="U974" s="287"/>
    </row>
    <row r="975" spans="19:21">
      <c r="S975" s="252"/>
      <c r="U975" s="287"/>
    </row>
    <row r="976" spans="19:21">
      <c r="S976" s="253"/>
      <c r="U976" s="287"/>
    </row>
    <row r="977" spans="19:21">
      <c r="S977" s="252"/>
      <c r="U977" s="287"/>
    </row>
    <row r="978" spans="19:21">
      <c r="S978" s="253"/>
      <c r="U978" s="287"/>
    </row>
    <row r="979" spans="19:21">
      <c r="S979" s="252"/>
      <c r="U979" s="287"/>
    </row>
    <row r="980" spans="19:21">
      <c r="S980" s="253"/>
      <c r="U980" s="287"/>
    </row>
    <row r="981" spans="19:21">
      <c r="S981" s="252"/>
      <c r="U981" s="287"/>
    </row>
    <row r="982" spans="19:21">
      <c r="S982" s="251"/>
      <c r="U982" s="287"/>
    </row>
    <row r="983" spans="19:21">
      <c r="S983" s="250"/>
      <c r="U983" s="287"/>
    </row>
    <row r="984" spans="19:21">
      <c r="S984" s="253"/>
      <c r="U984" s="287"/>
    </row>
    <row r="985" spans="19:21">
      <c r="S985" s="252"/>
      <c r="U985" s="287"/>
    </row>
    <row r="986" spans="19:21">
      <c r="S986" s="251"/>
      <c r="U986" s="287"/>
    </row>
    <row r="987" spans="19:21">
      <c r="S987" s="252"/>
      <c r="U987" s="287"/>
    </row>
    <row r="988" spans="19:21">
      <c r="S988" s="253"/>
      <c r="U988" s="287"/>
    </row>
    <row r="989" spans="19:21">
      <c r="S989" s="252"/>
      <c r="U989" s="287"/>
    </row>
    <row r="990" spans="19:21">
      <c r="S990" s="251"/>
      <c r="U990" s="287"/>
    </row>
    <row r="991" spans="19:21">
      <c r="S991" s="250"/>
      <c r="U991" s="287"/>
    </row>
    <row r="992" spans="19:21">
      <c r="S992" s="253"/>
      <c r="U992" s="287"/>
    </row>
    <row r="993" spans="19:21">
      <c r="S993" s="250"/>
      <c r="U993" s="287"/>
    </row>
    <row r="994" spans="19:21">
      <c r="S994" s="251"/>
      <c r="U994" s="287"/>
    </row>
    <row r="995" spans="19:21">
      <c r="S995" s="250"/>
      <c r="U995" s="287"/>
    </row>
    <row r="996" spans="19:21">
      <c r="S996" s="253"/>
      <c r="U996" s="287"/>
    </row>
    <row r="997" spans="19:21">
      <c r="S997" s="252"/>
      <c r="U997" s="287"/>
    </row>
    <row r="998" spans="19:21">
      <c r="S998" s="251"/>
      <c r="U998" s="287"/>
    </row>
    <row r="999" spans="19:21">
      <c r="S999" s="250"/>
      <c r="U999" s="287"/>
    </row>
    <row r="1000" spans="19:21">
      <c r="S1000" s="251"/>
      <c r="U1000" s="287"/>
    </row>
    <row r="1001" spans="19:21">
      <c r="S1001" s="250"/>
      <c r="U1001" s="287"/>
    </row>
    <row r="1002" spans="19:21">
      <c r="S1002" s="251"/>
      <c r="U1002" s="287"/>
    </row>
    <row r="1003" spans="19:21">
      <c r="S1003" s="250"/>
      <c r="U1003" s="287"/>
    </row>
    <row r="1004" spans="19:21">
      <c r="S1004" s="253"/>
      <c r="U1004" s="287"/>
    </row>
    <row r="1005" spans="19:21">
      <c r="S1005" s="252"/>
      <c r="U1005" s="287"/>
    </row>
    <row r="1006" spans="19:21">
      <c r="S1006" s="253"/>
      <c r="U1006" s="287"/>
    </row>
    <row r="1007" spans="19:21">
      <c r="S1007" s="252"/>
      <c r="U1007" s="287"/>
    </row>
    <row r="1008" spans="19:21">
      <c r="S1008" s="253"/>
      <c r="U1008" s="287"/>
    </row>
    <row r="1009" spans="19:21">
      <c r="S1009" s="252"/>
      <c r="U1009" s="287"/>
    </row>
    <row r="1010" spans="19:21">
      <c r="S1010" s="253"/>
      <c r="U1010" s="287"/>
    </row>
    <row r="1011" spans="19:21">
      <c r="S1011" s="252"/>
      <c r="U1011" s="287"/>
    </row>
    <row r="1012" spans="19:21">
      <c r="S1012" s="253"/>
      <c r="U1012" s="287"/>
    </row>
    <row r="1013" spans="19:21">
      <c r="S1013" s="252"/>
      <c r="U1013" s="287"/>
    </row>
    <row r="1014" spans="19:21">
      <c r="S1014" s="253"/>
      <c r="U1014" s="287"/>
    </row>
    <row r="1015" spans="19:21">
      <c r="S1015" s="250"/>
      <c r="U1015" s="287"/>
    </row>
    <row r="1016" spans="19:21">
      <c r="S1016" s="253"/>
      <c r="U1016" s="287"/>
    </row>
    <row r="1017" spans="19:21">
      <c r="S1017" s="250"/>
      <c r="U1017" s="287"/>
    </row>
    <row r="1018" spans="19:21">
      <c r="S1018" s="251"/>
      <c r="U1018" s="287"/>
    </row>
    <row r="1019" spans="19:21">
      <c r="S1019" s="252"/>
      <c r="U1019" s="287"/>
    </row>
    <row r="1020" spans="19:21">
      <c r="S1020" s="251"/>
      <c r="U1020" s="287"/>
    </row>
    <row r="1021" spans="19:21">
      <c r="S1021" s="250"/>
      <c r="U1021" s="287"/>
    </row>
    <row r="1022" spans="19:21">
      <c r="S1022" s="251"/>
      <c r="U1022" s="287"/>
    </row>
    <row r="1023" spans="19:21">
      <c r="S1023" s="252"/>
      <c r="U1023" s="287"/>
    </row>
    <row r="1024" spans="19:21">
      <c r="S1024" s="253"/>
      <c r="U1024" s="287"/>
    </row>
    <row r="1025" spans="19:21">
      <c r="S1025" s="252"/>
      <c r="U1025" s="287"/>
    </row>
    <row r="1026" spans="19:21">
      <c r="S1026" s="253"/>
      <c r="U1026" s="287"/>
    </row>
    <row r="1027" spans="19:21">
      <c r="S1027" s="252"/>
      <c r="U1027" s="287"/>
    </row>
    <row r="1028" spans="19:21">
      <c r="S1028" s="253"/>
      <c r="U1028" s="287"/>
    </row>
    <row r="1029" spans="19:21">
      <c r="S1029" s="252"/>
      <c r="U1029" s="287"/>
    </row>
    <row r="1030" spans="19:21">
      <c r="S1030" s="253"/>
      <c r="U1030" s="287"/>
    </row>
    <row r="1031" spans="19:21">
      <c r="S1031" s="252"/>
      <c r="U1031" s="287"/>
    </row>
    <row r="1032" spans="19:21">
      <c r="S1032" s="253"/>
      <c r="U1032" s="287"/>
    </row>
    <row r="1033" spans="19:21">
      <c r="S1033" s="252"/>
      <c r="U1033" s="287"/>
    </row>
    <row r="1034" spans="19:21">
      <c r="S1034" s="251"/>
      <c r="U1034" s="287"/>
    </row>
    <row r="1035" spans="19:21">
      <c r="S1035" s="250"/>
      <c r="U1035" s="287"/>
    </row>
    <row r="1036" spans="19:21">
      <c r="S1036" s="253"/>
      <c r="U1036" s="287"/>
    </row>
    <row r="1037" spans="19:21">
      <c r="S1037" s="252"/>
      <c r="U1037" s="287"/>
    </row>
    <row r="1038" spans="19:21">
      <c r="S1038" s="253"/>
      <c r="U1038" s="287"/>
    </row>
    <row r="1039" spans="19:21">
      <c r="S1039" s="252"/>
      <c r="U1039" s="287"/>
    </row>
    <row r="1040" spans="19:21">
      <c r="S1040" s="253"/>
      <c r="U1040" s="287"/>
    </row>
    <row r="1041" spans="19:21">
      <c r="S1041" s="252"/>
      <c r="U1041" s="287"/>
    </row>
    <row r="1042" spans="19:21">
      <c r="S1042" s="253"/>
      <c r="U1042" s="287"/>
    </row>
    <row r="1043" spans="19:21">
      <c r="S1043" s="252"/>
      <c r="U1043" s="287"/>
    </row>
    <row r="1044" spans="19:21">
      <c r="S1044" s="253"/>
      <c r="U1044" s="287"/>
    </row>
    <row r="1045" spans="19:21">
      <c r="S1045" s="250"/>
      <c r="U1045" s="287"/>
    </row>
    <row r="1046" spans="19:21">
      <c r="S1046" s="253"/>
      <c r="U1046" s="287"/>
    </row>
    <row r="1047" spans="19:21">
      <c r="S1047" s="252"/>
      <c r="U1047" s="287"/>
    </row>
    <row r="1048" spans="19:21">
      <c r="S1048" s="251"/>
      <c r="U1048" s="287"/>
    </row>
    <row r="1049" spans="19:21">
      <c r="S1049" s="252"/>
      <c r="U1049" s="287"/>
    </row>
    <row r="1050" spans="19:21">
      <c r="S1050" s="253"/>
      <c r="U1050" s="287"/>
    </row>
    <row r="1051" spans="19:21">
      <c r="S1051" s="250"/>
      <c r="U1051" s="287"/>
    </row>
    <row r="1052" spans="19:21">
      <c r="S1052" s="253"/>
      <c r="U1052" s="287"/>
    </row>
    <row r="1053" spans="19:21">
      <c r="S1053" s="252"/>
      <c r="U1053" s="287"/>
    </row>
    <row r="1054" spans="19:21">
      <c r="S1054" s="251"/>
      <c r="U1054" s="287"/>
    </row>
    <row r="1055" spans="19:21">
      <c r="S1055" s="250"/>
      <c r="U1055" s="287"/>
    </row>
    <row r="1056" spans="19:21">
      <c r="S1056" s="251"/>
      <c r="U1056" s="287"/>
    </row>
    <row r="1057" spans="19:21">
      <c r="S1057" s="250"/>
      <c r="U1057" s="287"/>
    </row>
    <row r="1058" spans="19:21">
      <c r="S1058" s="251"/>
      <c r="U1058" s="287"/>
    </row>
    <row r="1059" spans="19:21">
      <c r="S1059" s="252"/>
      <c r="U1059" s="287"/>
    </row>
    <row r="1060" spans="19:21">
      <c r="S1060" s="253"/>
      <c r="U1060" s="287"/>
    </row>
    <row r="1061" spans="19:21">
      <c r="S1061" s="252"/>
      <c r="U1061" s="287"/>
    </row>
    <row r="1062" spans="19:21">
      <c r="S1062" s="253"/>
      <c r="U1062" s="287"/>
    </row>
    <row r="1063" spans="19:21">
      <c r="S1063" s="250"/>
      <c r="U1063" s="287"/>
    </row>
    <row r="1064" spans="19:21">
      <c r="S1064" s="253"/>
      <c r="U1064" s="287"/>
    </row>
    <row r="1065" spans="19:21">
      <c r="S1065" s="252"/>
      <c r="U1065" s="287"/>
    </row>
    <row r="1066" spans="19:21">
      <c r="S1066" s="253"/>
      <c r="U1066" s="287"/>
    </row>
    <row r="1067" spans="19:21">
      <c r="S1067" s="250"/>
      <c r="U1067" s="287"/>
    </row>
    <row r="1068" spans="19:21">
      <c r="S1068" s="253"/>
      <c r="U1068" s="287"/>
    </row>
    <row r="1069" spans="19:21">
      <c r="S1069" s="252"/>
      <c r="U1069" s="287"/>
    </row>
    <row r="1070" spans="19:21">
      <c r="S1070" s="253"/>
      <c r="U1070" s="287"/>
    </row>
    <row r="1071" spans="19:21">
      <c r="S1071" s="252"/>
      <c r="U1071" s="287"/>
    </row>
    <row r="1072" spans="19:21">
      <c r="S1072" s="253"/>
      <c r="U1072" s="287"/>
    </row>
    <row r="1073" spans="19:21">
      <c r="S1073" s="252"/>
      <c r="U1073" s="287"/>
    </row>
    <row r="1074" spans="19:21">
      <c r="S1074" s="251"/>
      <c r="U1074" s="287"/>
    </row>
    <row r="1075" spans="19:21">
      <c r="S1075" s="252"/>
      <c r="U1075" s="287"/>
    </row>
    <row r="1076" spans="19:21">
      <c r="S1076" s="253"/>
      <c r="U1076" s="287"/>
    </row>
    <row r="1077" spans="19:21">
      <c r="S1077" s="252"/>
      <c r="U1077" s="287"/>
    </row>
    <row r="1078" spans="19:21">
      <c r="S1078" s="253"/>
      <c r="U1078" s="287"/>
    </row>
    <row r="1079" spans="19:21">
      <c r="S1079" s="250"/>
      <c r="U1079" s="287"/>
    </row>
    <row r="1080" spans="19:21">
      <c r="S1080" s="251"/>
      <c r="U1080" s="287"/>
    </row>
    <row r="1081" spans="19:21">
      <c r="S1081" s="252"/>
      <c r="U1081" s="287"/>
    </row>
    <row r="1082" spans="19:21">
      <c r="S1082" s="253"/>
      <c r="U1082" s="287"/>
    </row>
    <row r="1083" spans="19:21">
      <c r="S1083" s="252"/>
      <c r="U1083" s="287"/>
    </row>
    <row r="1084" spans="19:21">
      <c r="S1084" s="253"/>
      <c r="U1084" s="287"/>
    </row>
    <row r="1085" spans="19:21">
      <c r="S1085" s="252"/>
      <c r="U1085" s="287"/>
    </row>
    <row r="1086" spans="19:21">
      <c r="S1086" s="253"/>
      <c r="U1086" s="287"/>
    </row>
    <row r="1087" spans="19:21">
      <c r="S1087" s="252"/>
      <c r="U1087" s="287"/>
    </row>
    <row r="1088" spans="19:21">
      <c r="S1088" s="251"/>
      <c r="U1088" s="287"/>
    </row>
    <row r="1089" spans="19:21">
      <c r="S1089" s="250"/>
      <c r="U1089" s="287"/>
    </row>
    <row r="1090" spans="19:21">
      <c r="S1090" s="251"/>
      <c r="U1090" s="287"/>
    </row>
    <row r="1091" spans="19:21">
      <c r="S1091" s="250"/>
      <c r="U1091" s="287"/>
    </row>
    <row r="1092" spans="19:21">
      <c r="S1092" s="251"/>
      <c r="U1092" s="287"/>
    </row>
    <row r="1093" spans="19:21">
      <c r="S1093" s="252"/>
      <c r="U1093" s="287"/>
    </row>
    <row r="1094" spans="19:21">
      <c r="S1094" s="253"/>
      <c r="U1094" s="287"/>
    </row>
    <row r="1095" spans="19:21">
      <c r="S1095" s="252"/>
      <c r="U1095" s="287"/>
    </row>
    <row r="1096" spans="19:21">
      <c r="S1096" s="253"/>
      <c r="U1096" s="287"/>
    </row>
    <row r="1097" spans="19:21">
      <c r="S1097" s="252"/>
      <c r="U1097" s="287"/>
    </row>
    <row r="1098" spans="19:21">
      <c r="S1098" s="251"/>
      <c r="U1098" s="287"/>
    </row>
    <row r="1099" spans="19:21">
      <c r="S1099" s="252"/>
      <c r="U1099" s="287"/>
    </row>
    <row r="1100" spans="19:21">
      <c r="S1100" s="251"/>
      <c r="U1100" s="287"/>
    </row>
    <row r="1101" spans="19:21">
      <c r="S1101" s="250"/>
      <c r="U1101" s="287"/>
    </row>
    <row r="1102" spans="19:21">
      <c r="S1102" s="251"/>
      <c r="U1102" s="287"/>
    </row>
    <row r="1103" spans="19:21">
      <c r="S1103" s="250"/>
      <c r="U1103" s="287"/>
    </row>
    <row r="1104" spans="19:21">
      <c r="S1104" s="251"/>
      <c r="U1104" s="287"/>
    </row>
    <row r="1105" spans="19:21">
      <c r="S1105" s="250"/>
      <c r="U1105" s="287"/>
    </row>
    <row r="1106" spans="19:21">
      <c r="S1106" s="251"/>
      <c r="U1106" s="287"/>
    </row>
    <row r="1107" spans="19:21">
      <c r="S1107" s="252"/>
      <c r="U1107" s="287"/>
    </row>
    <row r="1108" spans="19:21">
      <c r="S1108" s="251"/>
      <c r="U1108" s="287"/>
    </row>
    <row r="1109" spans="19:21">
      <c r="S1109" s="250"/>
      <c r="U1109" s="287"/>
    </row>
    <row r="1110" spans="19:21">
      <c r="S1110" s="251"/>
      <c r="U1110" s="287"/>
    </row>
    <row r="1111" spans="19:21">
      <c r="S1111" s="252"/>
      <c r="U1111" s="287"/>
    </row>
    <row r="1112" spans="19:21">
      <c r="S1112" s="253"/>
      <c r="U1112" s="287"/>
    </row>
    <row r="1113" spans="19:21">
      <c r="S1113" s="250"/>
      <c r="U1113" s="287"/>
    </row>
    <row r="1114" spans="19:21">
      <c r="S1114" s="253"/>
      <c r="U1114" s="287"/>
    </row>
    <row r="1115" spans="19:21">
      <c r="S1115" s="252"/>
      <c r="U1115" s="287"/>
    </row>
    <row r="1116" spans="19:21">
      <c r="S1116" s="253"/>
      <c r="U1116" s="287"/>
    </row>
    <row r="1117" spans="19:21">
      <c r="S1117" s="250"/>
      <c r="U1117" s="287"/>
    </row>
    <row r="1118" spans="19:21">
      <c r="S1118" s="253"/>
      <c r="U1118" s="287"/>
    </row>
    <row r="1119" spans="19:21">
      <c r="S1119" s="252"/>
      <c r="U1119" s="287"/>
    </row>
    <row r="1120" spans="19:21">
      <c r="S1120" s="253"/>
      <c r="U1120" s="287"/>
    </row>
    <row r="1121" spans="19:21">
      <c r="S1121" s="252"/>
      <c r="U1121" s="287"/>
    </row>
    <row r="1122" spans="19:21">
      <c r="S1122" s="253"/>
      <c r="U1122" s="287"/>
    </row>
    <row r="1123" spans="19:21">
      <c r="S1123" s="252"/>
      <c r="U1123" s="287"/>
    </row>
    <row r="1124" spans="19:21">
      <c r="S1124" s="251"/>
      <c r="U1124" s="287"/>
    </row>
    <row r="1125" spans="19:21">
      <c r="S1125" s="250"/>
      <c r="U1125" s="287"/>
    </row>
    <row r="1126" spans="19:21">
      <c r="S1126" s="251"/>
      <c r="U1126" s="287"/>
    </row>
    <row r="1127" spans="19:21">
      <c r="S1127" s="252"/>
      <c r="U1127" s="287"/>
    </row>
    <row r="1128" spans="19:21">
      <c r="S1128" s="251"/>
      <c r="U1128" s="287"/>
    </row>
    <row r="1129" spans="19:21">
      <c r="S1129" s="250"/>
      <c r="U1129" s="287"/>
    </row>
    <row r="1130" spans="19:21">
      <c r="S1130" s="253"/>
      <c r="U1130" s="287"/>
    </row>
    <row r="1131" spans="19:21">
      <c r="S1131" s="250"/>
      <c r="U1131" s="287"/>
    </row>
    <row r="1132" spans="19:21">
      <c r="S1132" s="251"/>
      <c r="U1132" s="287"/>
    </row>
    <row r="1133" spans="19:21">
      <c r="S1133" s="252"/>
      <c r="U1133" s="287"/>
    </row>
    <row r="1134" spans="19:21">
      <c r="S1134" s="253"/>
      <c r="U1134" s="287"/>
    </row>
    <row r="1135" spans="19:21">
      <c r="S1135" s="252"/>
      <c r="U1135" s="287"/>
    </row>
    <row r="1136" spans="19:21">
      <c r="S1136" s="253"/>
      <c r="U1136" s="287"/>
    </row>
    <row r="1137" spans="19:21">
      <c r="S1137" s="250"/>
      <c r="U1137" s="287"/>
    </row>
    <row r="1138" spans="19:21">
      <c r="S1138" s="251"/>
      <c r="U1138" s="287"/>
    </row>
    <row r="1139" spans="19:21">
      <c r="S1139" s="250"/>
      <c r="U1139" s="287"/>
    </row>
    <row r="1140" spans="19:21">
      <c r="S1140" s="253"/>
      <c r="U1140" s="287"/>
    </row>
    <row r="1141" spans="19:21">
      <c r="S1141" s="250"/>
      <c r="U1141" s="287"/>
    </row>
    <row r="1142" spans="19:21">
      <c r="S1142" s="251"/>
      <c r="U1142" s="287"/>
    </row>
    <row r="1143" spans="19:21">
      <c r="S1143" s="250"/>
      <c r="U1143" s="287"/>
    </row>
    <row r="1144" spans="19:21">
      <c r="S1144" s="253"/>
      <c r="U1144" s="287"/>
    </row>
    <row r="1145" spans="19:21">
      <c r="S1145" s="252"/>
      <c r="U1145" s="287"/>
    </row>
    <row r="1146" spans="19:21">
      <c r="S1146" s="253"/>
      <c r="U1146" s="287"/>
    </row>
    <row r="1147" spans="19:21">
      <c r="S1147" s="252"/>
      <c r="U1147" s="287"/>
    </row>
    <row r="1148" spans="19:21">
      <c r="S1148" s="253"/>
      <c r="U1148" s="287"/>
    </row>
    <row r="1149" spans="19:21">
      <c r="S1149" s="252"/>
      <c r="U1149" s="287"/>
    </row>
    <row r="1150" spans="19:21">
      <c r="S1150" s="253"/>
      <c r="U1150" s="287"/>
    </row>
    <row r="1151" spans="19:21">
      <c r="S1151" s="252"/>
      <c r="U1151" s="287"/>
    </row>
    <row r="1152" spans="19:21">
      <c r="S1152" s="253"/>
      <c r="U1152" s="287"/>
    </row>
    <row r="1153" spans="19:21">
      <c r="S1153" s="252"/>
      <c r="U1153" s="287"/>
    </row>
    <row r="1154" spans="19:21">
      <c r="S1154" s="253"/>
      <c r="U1154" s="287"/>
    </row>
    <row r="1155" spans="19:21">
      <c r="S1155" s="252"/>
      <c r="U1155" s="287"/>
    </row>
    <row r="1156" spans="19:21">
      <c r="S1156" s="254"/>
      <c r="U1156" s="287"/>
    </row>
    <row r="1157" spans="19:21">
      <c r="S1157" s="255"/>
      <c r="U1157" s="287"/>
    </row>
    <row r="1158" spans="19:21">
      <c r="S1158" s="254"/>
      <c r="U1158" s="287"/>
    </row>
    <row r="1159" spans="19:21">
      <c r="S1159" s="255"/>
      <c r="U1159" s="287"/>
    </row>
    <row r="1160" spans="19:21">
      <c r="S1160" s="253"/>
      <c r="U1160" s="287"/>
    </row>
    <row r="1161" spans="19:21">
      <c r="S1161" s="252"/>
      <c r="U1161" s="287"/>
    </row>
    <row r="1162" spans="19:21">
      <c r="S1162" s="253"/>
      <c r="U1162" s="287"/>
    </row>
    <row r="1163" spans="19:21">
      <c r="S1163" s="252"/>
      <c r="U1163" s="287"/>
    </row>
    <row r="1164" spans="19:21">
      <c r="S1164" s="253"/>
      <c r="U1164" s="287"/>
    </row>
    <row r="1165" spans="19:21">
      <c r="S1165" s="252"/>
      <c r="U1165" s="287"/>
    </row>
    <row r="1166" spans="19:21">
      <c r="S1166" s="253"/>
      <c r="U1166" s="287"/>
    </row>
    <row r="1167" spans="19:21">
      <c r="S1167" s="252"/>
      <c r="U1167" s="287"/>
    </row>
    <row r="1168" spans="19:21">
      <c r="S1168" s="253"/>
      <c r="U1168" s="287"/>
    </row>
    <row r="1169" spans="19:21">
      <c r="S1169" s="252"/>
      <c r="U1169" s="287"/>
    </row>
    <row r="1170" spans="19:21">
      <c r="S1170" s="253"/>
      <c r="U1170" s="287"/>
    </row>
    <row r="1171" spans="19:21">
      <c r="S1171" s="252"/>
      <c r="U1171" s="287"/>
    </row>
    <row r="1172" spans="19:21">
      <c r="S1172" s="253"/>
      <c r="U1172" s="287"/>
    </row>
    <row r="1173" spans="19:21">
      <c r="S1173" s="252"/>
      <c r="U1173" s="287"/>
    </row>
    <row r="1174" spans="19:21">
      <c r="S1174" s="253"/>
      <c r="U1174" s="287"/>
    </row>
    <row r="1175" spans="19:21">
      <c r="S1175" s="250"/>
      <c r="U1175" s="287"/>
    </row>
    <row r="1176" spans="19:21">
      <c r="S1176" s="253"/>
      <c r="U1176" s="287"/>
    </row>
    <row r="1177" spans="19:21">
      <c r="S1177" s="252"/>
      <c r="U1177" s="287"/>
    </row>
    <row r="1178" spans="19:21">
      <c r="S1178" s="253"/>
      <c r="U1178" s="287"/>
    </row>
    <row r="1179" spans="19:21">
      <c r="S1179" s="252"/>
      <c r="U1179" s="287"/>
    </row>
    <row r="1180" spans="19:21">
      <c r="S1180" s="253"/>
      <c r="U1180" s="287"/>
    </row>
    <row r="1181" spans="19:21">
      <c r="S1181" s="252"/>
      <c r="U1181" s="287"/>
    </row>
    <row r="1182" spans="19:21">
      <c r="S1182" s="253"/>
      <c r="U1182" s="287"/>
    </row>
    <row r="1183" spans="19:21">
      <c r="S1183" s="252"/>
      <c r="U1183" s="287"/>
    </row>
    <row r="1184" spans="19:21">
      <c r="S1184" s="253"/>
      <c r="U1184" s="287"/>
    </row>
    <row r="1185" spans="19:21">
      <c r="S1185" s="252"/>
      <c r="U1185" s="287"/>
    </row>
    <row r="1186" spans="19:21">
      <c r="S1186" s="253"/>
      <c r="U1186" s="287"/>
    </row>
    <row r="1187" spans="19:21">
      <c r="S1187" s="252"/>
      <c r="U1187" s="287"/>
    </row>
    <row r="1188" spans="19:21">
      <c r="S1188" s="253"/>
      <c r="U1188" s="287"/>
    </row>
    <row r="1189" spans="19:21">
      <c r="S1189" s="252"/>
      <c r="U1189" s="287"/>
    </row>
    <row r="1190" spans="19:21">
      <c r="S1190" s="253"/>
      <c r="U1190" s="287"/>
    </row>
    <row r="1191" spans="19:21">
      <c r="S1191" s="252"/>
      <c r="U1191" s="287"/>
    </row>
    <row r="1192" spans="19:21">
      <c r="S1192" s="253"/>
      <c r="U1192" s="287"/>
    </row>
    <row r="1193" spans="19:21">
      <c r="S1193" s="252"/>
      <c r="U1193" s="287"/>
    </row>
    <row r="1194" spans="19:21">
      <c r="S1194" s="253"/>
      <c r="U1194" s="287"/>
    </row>
    <row r="1195" spans="19:21">
      <c r="S1195" s="252"/>
      <c r="U1195" s="287"/>
    </row>
    <row r="1196" spans="19:21">
      <c r="S1196" s="253"/>
      <c r="U1196" s="287"/>
    </row>
    <row r="1197" spans="19:21">
      <c r="S1197" s="252"/>
      <c r="U1197" s="287"/>
    </row>
    <row r="1198" spans="19:21">
      <c r="S1198" s="253"/>
      <c r="U1198" s="287"/>
    </row>
    <row r="1199" spans="19:21">
      <c r="S1199" s="252"/>
      <c r="U1199" s="287"/>
    </row>
    <row r="1200" spans="19:21">
      <c r="S1200" s="253"/>
      <c r="U1200" s="287"/>
    </row>
    <row r="1201" spans="19:21">
      <c r="S1201" s="252"/>
      <c r="U1201" s="287"/>
    </row>
    <row r="1202" spans="19:21">
      <c r="S1202" s="253"/>
      <c r="U1202" s="287"/>
    </row>
    <row r="1203" spans="19:21">
      <c r="S1203" s="252"/>
      <c r="U1203" s="287"/>
    </row>
    <row r="1204" spans="19:21">
      <c r="S1204" s="253"/>
      <c r="U1204" s="287"/>
    </row>
    <row r="1205" spans="19:21">
      <c r="S1205" s="252"/>
      <c r="U1205" s="287"/>
    </row>
    <row r="1206" spans="19:21">
      <c r="S1206" s="253"/>
      <c r="U1206" s="287"/>
    </row>
    <row r="1207" spans="19:21">
      <c r="S1207" s="252"/>
      <c r="U1207" s="287"/>
    </row>
    <row r="1208" spans="19:21">
      <c r="S1208" s="253"/>
      <c r="U1208" s="287"/>
    </row>
    <row r="1209" spans="19:21">
      <c r="S1209" s="252"/>
      <c r="U1209" s="287"/>
    </row>
    <row r="1210" spans="19:21">
      <c r="S1210" s="253"/>
      <c r="U1210" s="287"/>
    </row>
    <row r="1211" spans="19:21">
      <c r="S1211" s="252"/>
      <c r="U1211" s="287"/>
    </row>
    <row r="1212" spans="19:21">
      <c r="S1212" s="253"/>
      <c r="U1212" s="287"/>
    </row>
    <row r="1213" spans="19:21">
      <c r="S1213" s="252"/>
      <c r="U1213" s="287"/>
    </row>
    <row r="1214" spans="19:21">
      <c r="S1214" s="253"/>
      <c r="U1214" s="287"/>
    </row>
    <row r="1215" spans="19:21">
      <c r="S1215" s="252"/>
      <c r="U1215" s="287"/>
    </row>
    <row r="1216" spans="19:21">
      <c r="S1216" s="253"/>
      <c r="U1216" s="287"/>
    </row>
    <row r="1217" spans="19:21">
      <c r="S1217" s="252"/>
      <c r="U1217" s="287"/>
    </row>
    <row r="1218" spans="19:21">
      <c r="S1218" s="253"/>
      <c r="U1218" s="287"/>
    </row>
    <row r="1219" spans="19:21">
      <c r="S1219" s="252"/>
      <c r="U1219" s="287"/>
    </row>
    <row r="1220" spans="19:21">
      <c r="S1220" s="251"/>
      <c r="U1220" s="287"/>
    </row>
    <row r="1221" spans="19:21">
      <c r="S1221" s="252"/>
      <c r="U1221" s="287"/>
    </row>
    <row r="1222" spans="19:21">
      <c r="S1222" s="253"/>
      <c r="U1222" s="287"/>
    </row>
    <row r="1223" spans="19:21">
      <c r="S1223" s="252"/>
      <c r="U1223" s="287"/>
    </row>
    <row r="1224" spans="19:21">
      <c r="S1224" s="253"/>
      <c r="U1224" s="287"/>
    </row>
    <row r="1225" spans="19:21">
      <c r="S1225" s="252"/>
      <c r="U1225" s="287"/>
    </row>
    <row r="1226" spans="19:21">
      <c r="S1226" s="253"/>
      <c r="U1226" s="287"/>
    </row>
    <row r="1227" spans="19:21">
      <c r="S1227" s="252"/>
      <c r="U1227" s="287"/>
    </row>
    <row r="1228" spans="19:21">
      <c r="S1228" s="253"/>
      <c r="U1228" s="287"/>
    </row>
    <row r="1229" spans="19:21">
      <c r="S1229" s="252"/>
      <c r="U1229" s="287"/>
    </row>
    <row r="1230" spans="19:21">
      <c r="S1230" s="253"/>
      <c r="U1230" s="287"/>
    </row>
    <row r="1231" spans="19:21">
      <c r="S1231" s="252"/>
      <c r="U1231" s="287"/>
    </row>
    <row r="1232" spans="19:21">
      <c r="S1232" s="253"/>
      <c r="U1232" s="287"/>
    </row>
    <row r="1233" spans="19:21">
      <c r="S1233" s="252"/>
      <c r="U1233" s="287"/>
    </row>
    <row r="1234" spans="19:21">
      <c r="S1234" s="253"/>
      <c r="U1234" s="287"/>
    </row>
    <row r="1235" spans="19:21">
      <c r="S1235" s="252"/>
      <c r="U1235" s="287"/>
    </row>
    <row r="1236" spans="19:21">
      <c r="S1236" s="253"/>
      <c r="U1236" s="287"/>
    </row>
    <row r="1237" spans="19:21">
      <c r="S1237" s="252"/>
      <c r="U1237" s="287"/>
    </row>
    <row r="1238" spans="19:21">
      <c r="S1238" s="253"/>
      <c r="U1238" s="287"/>
    </row>
    <row r="1239" spans="19:21">
      <c r="S1239" s="252"/>
      <c r="U1239" s="287"/>
    </row>
    <row r="1240" spans="19:21">
      <c r="S1240" s="253"/>
      <c r="U1240" s="287"/>
    </row>
    <row r="1241" spans="19:21">
      <c r="S1241" s="252"/>
      <c r="U1241" s="287"/>
    </row>
    <row r="1242" spans="19:21">
      <c r="S1242" s="253"/>
      <c r="U1242" s="287"/>
    </row>
    <row r="1243" spans="19:21">
      <c r="S1243" s="252"/>
      <c r="U1243" s="287"/>
    </row>
    <row r="1244" spans="19:21">
      <c r="S1244" s="253"/>
      <c r="U1244" s="287"/>
    </row>
    <row r="1245" spans="19:21">
      <c r="S1245" s="252"/>
      <c r="U1245" s="287"/>
    </row>
    <row r="1246" spans="19:21">
      <c r="S1246" s="253"/>
      <c r="U1246" s="287"/>
    </row>
    <row r="1247" spans="19:21">
      <c r="S1247" s="252"/>
      <c r="U1247" s="287"/>
    </row>
    <row r="1248" spans="19:21">
      <c r="S1248" s="253"/>
      <c r="U1248" s="287"/>
    </row>
    <row r="1249" spans="19:21">
      <c r="S1249" s="252"/>
      <c r="U1249" s="287"/>
    </row>
    <row r="1250" spans="19:21">
      <c r="S1250" s="253"/>
      <c r="U1250" s="287"/>
    </row>
    <row r="1251" spans="19:21">
      <c r="S1251" s="252"/>
      <c r="U1251" s="287"/>
    </row>
    <row r="1252" spans="19:21">
      <c r="S1252" s="253"/>
      <c r="U1252" s="287"/>
    </row>
    <row r="1253" spans="19:21">
      <c r="S1253" s="252"/>
      <c r="U1253" s="287"/>
    </row>
    <row r="1254" spans="19:21">
      <c r="S1254" s="253"/>
      <c r="U1254" s="287"/>
    </row>
    <row r="1255" spans="19:21">
      <c r="S1255" s="252"/>
      <c r="U1255" s="287"/>
    </row>
    <row r="1256" spans="19:21">
      <c r="S1256" s="253"/>
      <c r="U1256" s="287"/>
    </row>
    <row r="1257" spans="19:21">
      <c r="S1257" s="252"/>
      <c r="U1257" s="287"/>
    </row>
    <row r="1258" spans="19:21">
      <c r="S1258" s="253"/>
      <c r="U1258" s="287"/>
    </row>
    <row r="1259" spans="19:21">
      <c r="S1259" s="252"/>
      <c r="U1259" s="287"/>
    </row>
    <row r="1260" spans="19:21">
      <c r="S1260" s="253"/>
      <c r="U1260" s="287"/>
    </row>
    <row r="1261" spans="19:21">
      <c r="S1261" s="252"/>
      <c r="U1261" s="287"/>
    </row>
    <row r="1262" spans="19:21">
      <c r="S1262" s="253"/>
      <c r="U1262" s="287"/>
    </row>
    <row r="1263" spans="19:21">
      <c r="S1263" s="252"/>
      <c r="U1263" s="287"/>
    </row>
    <row r="1264" spans="19:21">
      <c r="S1264" s="253"/>
      <c r="U1264" s="287"/>
    </row>
    <row r="1265" spans="19:21">
      <c r="S1265" s="252"/>
      <c r="U1265" s="287"/>
    </row>
    <row r="1266" spans="19:21">
      <c r="S1266" s="253"/>
      <c r="U1266" s="287"/>
    </row>
    <row r="1267" spans="19:21">
      <c r="S1267" s="252"/>
      <c r="U1267" s="287"/>
    </row>
    <row r="1268" spans="19:21">
      <c r="S1268" s="253"/>
      <c r="U1268" s="287"/>
    </row>
    <row r="1269" spans="19:21">
      <c r="S1269" s="252"/>
      <c r="U1269" s="287"/>
    </row>
    <row r="1270" spans="19:21">
      <c r="S1270" s="253"/>
      <c r="U1270" s="287"/>
    </row>
    <row r="1271" spans="19:21">
      <c r="S1271" s="252"/>
      <c r="U1271" s="287"/>
    </row>
    <row r="1272" spans="19:21">
      <c r="S1272" s="253"/>
      <c r="U1272" s="287"/>
    </row>
    <row r="1273" spans="19:21">
      <c r="S1273" s="252"/>
      <c r="U1273" s="287"/>
    </row>
    <row r="1274" spans="19:21">
      <c r="S1274" s="253"/>
      <c r="U1274" s="287"/>
    </row>
    <row r="1275" spans="19:21">
      <c r="S1275" s="252"/>
      <c r="U1275" s="287"/>
    </row>
    <row r="1276" spans="19:21">
      <c r="S1276" s="253"/>
      <c r="U1276" s="287"/>
    </row>
    <row r="1277" spans="19:21">
      <c r="S1277" s="252"/>
      <c r="U1277" s="287"/>
    </row>
    <row r="1278" spans="19:21">
      <c r="S1278" s="253"/>
      <c r="U1278" s="287"/>
    </row>
    <row r="1279" spans="19:21">
      <c r="S1279" s="252"/>
      <c r="U1279" s="287"/>
    </row>
    <row r="1280" spans="19:21">
      <c r="S1280" s="253"/>
      <c r="U1280" s="287"/>
    </row>
    <row r="1281" spans="19:21">
      <c r="S1281" s="252"/>
      <c r="U1281" s="287"/>
    </row>
    <row r="1282" spans="19:21">
      <c r="S1282" s="253"/>
      <c r="U1282" s="287"/>
    </row>
    <row r="1283" spans="19:21">
      <c r="S1283" s="252"/>
      <c r="U1283" s="287"/>
    </row>
    <row r="1284" spans="19:21">
      <c r="S1284" s="253"/>
      <c r="U1284" s="287"/>
    </row>
    <row r="1285" spans="19:21">
      <c r="S1285" s="252"/>
      <c r="U1285" s="287"/>
    </row>
    <row r="1286" spans="19:21">
      <c r="S1286" s="253"/>
      <c r="U1286" s="287"/>
    </row>
    <row r="1287" spans="19:21">
      <c r="S1287" s="252"/>
      <c r="U1287" s="287"/>
    </row>
    <row r="1288" spans="19:21">
      <c r="S1288" s="253"/>
      <c r="U1288" s="287"/>
    </row>
    <row r="1289" spans="19:21">
      <c r="S1289" s="252"/>
      <c r="U1289" s="287"/>
    </row>
    <row r="1290" spans="19:21">
      <c r="S1290" s="253"/>
      <c r="U1290" s="287"/>
    </row>
    <row r="1291" spans="19:21">
      <c r="S1291" s="252"/>
      <c r="U1291" s="287"/>
    </row>
    <row r="1292" spans="19:21">
      <c r="S1292" s="253"/>
      <c r="U1292" s="287"/>
    </row>
    <row r="1293" spans="19:21">
      <c r="S1293" s="252"/>
      <c r="U1293" s="287"/>
    </row>
    <row r="1294" spans="19:21">
      <c r="S1294" s="253"/>
      <c r="U1294" s="287"/>
    </row>
    <row r="1295" spans="19:21">
      <c r="S1295" s="252"/>
      <c r="U1295" s="287"/>
    </row>
    <row r="1296" spans="19:21">
      <c r="S1296" s="253"/>
      <c r="U1296" s="287"/>
    </row>
    <row r="1297" spans="19:21">
      <c r="S1297" s="252"/>
      <c r="U1297" s="287"/>
    </row>
    <row r="1298" spans="19:21">
      <c r="S1298" s="253"/>
      <c r="U1298" s="287"/>
    </row>
    <row r="1299" spans="19:21">
      <c r="S1299" s="252"/>
      <c r="U1299" s="287"/>
    </row>
    <row r="1300" spans="19:21">
      <c r="S1300" s="253"/>
    </row>
    <row r="1301" spans="19:21">
      <c r="S1301" s="252"/>
    </row>
    <row r="1302" spans="19:21">
      <c r="S1302" s="253"/>
    </row>
    <row r="1303" spans="19:21">
      <c r="S1303" s="252"/>
    </row>
    <row r="1304" spans="19:21">
      <c r="S1304" s="253"/>
    </row>
    <row r="1305" spans="19:21">
      <c r="S1305" s="252"/>
    </row>
    <row r="1306" spans="19:21">
      <c r="S1306" s="253"/>
    </row>
    <row r="1307" spans="19:21">
      <c r="S1307" s="252"/>
    </row>
    <row r="1308" spans="19:21">
      <c r="S1308" s="253"/>
    </row>
    <row r="1309" spans="19:21">
      <c r="S1309" s="252"/>
    </row>
    <row r="1310" spans="19:21">
      <c r="S1310" s="253"/>
    </row>
    <row r="1311" spans="19:21">
      <c r="S1311" s="252"/>
    </row>
    <row r="1312" spans="19:21">
      <c r="S1312" s="253"/>
    </row>
    <row r="1313" spans="19:19">
      <c r="S1313" s="252"/>
    </row>
    <row r="1314" spans="19:19">
      <c r="S1314" s="251"/>
    </row>
    <row r="1315" spans="19:19">
      <c r="S1315" s="252"/>
    </row>
    <row r="1316" spans="19:19">
      <c r="S1316" s="253"/>
    </row>
    <row r="1317" spans="19:19">
      <c r="S1317" s="252"/>
    </row>
    <row r="1318" spans="19:19">
      <c r="S1318" s="253"/>
    </row>
    <row r="1319" spans="19:19">
      <c r="S1319" s="252"/>
    </row>
    <row r="1320" spans="19:19">
      <c r="S1320" s="253"/>
    </row>
    <row r="1321" spans="19:19">
      <c r="S1321" s="252"/>
    </row>
    <row r="1322" spans="19:19">
      <c r="S1322" s="253"/>
    </row>
    <row r="1323" spans="19:19">
      <c r="S1323" s="252"/>
    </row>
    <row r="1324" spans="19:19">
      <c r="S1324" s="253"/>
    </row>
    <row r="1325" spans="19:19">
      <c r="S1325" s="252"/>
    </row>
    <row r="1326" spans="19:19">
      <c r="S1326" s="253"/>
    </row>
    <row r="1327" spans="19:19">
      <c r="S1327" s="252"/>
    </row>
    <row r="1328" spans="19:19">
      <c r="S1328" s="253"/>
    </row>
    <row r="1329" spans="19:19">
      <c r="S1329" s="252"/>
    </row>
    <row r="1330" spans="19:19">
      <c r="S1330" s="253"/>
    </row>
    <row r="1331" spans="19:19">
      <c r="S1331" s="252"/>
    </row>
    <row r="1332" spans="19:19">
      <c r="S1332" s="253"/>
    </row>
    <row r="1333" spans="19:19">
      <c r="S1333" s="252"/>
    </row>
    <row r="1334" spans="19:19">
      <c r="S1334" s="253"/>
    </row>
    <row r="1335" spans="19:19">
      <c r="S1335" s="252"/>
    </row>
    <row r="1336" spans="19:19">
      <c r="S1336" s="253"/>
    </row>
    <row r="1337" spans="19:19">
      <c r="S1337" s="252"/>
    </row>
    <row r="1338" spans="19:19">
      <c r="S1338" s="253"/>
    </row>
    <row r="1339" spans="19:19">
      <c r="S1339" s="252"/>
    </row>
    <row r="1340" spans="19:19">
      <c r="S1340" s="253"/>
    </row>
    <row r="1341" spans="19:19">
      <c r="S1341" s="252"/>
    </row>
    <row r="1342" spans="19:19">
      <c r="S1342" s="253"/>
    </row>
    <row r="1343" spans="19:19">
      <c r="S1343" s="252"/>
    </row>
    <row r="1344" spans="19:19">
      <c r="S1344" s="253"/>
    </row>
    <row r="1345" spans="19:19">
      <c r="S1345" s="252"/>
    </row>
    <row r="1346" spans="19:19">
      <c r="S1346" s="253"/>
    </row>
    <row r="1347" spans="19:19">
      <c r="S1347" s="252"/>
    </row>
    <row r="1348" spans="19:19">
      <c r="S1348" s="253"/>
    </row>
    <row r="1349" spans="19:19">
      <c r="S1349" s="252"/>
    </row>
    <row r="1350" spans="19:19">
      <c r="S1350" s="253"/>
    </row>
    <row r="1351" spans="19:19">
      <c r="S1351" s="252"/>
    </row>
    <row r="1352" spans="19:19">
      <c r="S1352" s="253"/>
    </row>
    <row r="1353" spans="19:19">
      <c r="S1353" s="252"/>
    </row>
    <row r="1354" spans="19:19">
      <c r="S1354" s="253"/>
    </row>
    <row r="1355" spans="19:19">
      <c r="S1355" s="252"/>
    </row>
    <row r="1356" spans="19:19">
      <c r="S1356" s="253"/>
    </row>
    <row r="1357" spans="19:19">
      <c r="S1357" s="252"/>
    </row>
    <row r="1358" spans="19:19">
      <c r="S1358" s="253"/>
    </row>
    <row r="1359" spans="19:19">
      <c r="S1359" s="252"/>
    </row>
    <row r="1360" spans="19:19">
      <c r="S1360" s="253"/>
    </row>
    <row r="1361" spans="19:19">
      <c r="S1361" s="252"/>
    </row>
    <row r="1362" spans="19:19">
      <c r="S1362" s="253"/>
    </row>
    <row r="1363" spans="19:19">
      <c r="S1363" s="252"/>
    </row>
    <row r="1364" spans="19:19">
      <c r="S1364" s="253"/>
    </row>
    <row r="1365" spans="19:19">
      <c r="S1365" s="252"/>
    </row>
    <row r="1366" spans="19:19">
      <c r="S1366" s="253"/>
    </row>
    <row r="1367" spans="19:19">
      <c r="S1367" s="252"/>
    </row>
    <row r="1368" spans="19:19">
      <c r="S1368" s="253"/>
    </row>
    <row r="1369" spans="19:19">
      <c r="S1369" s="252"/>
    </row>
    <row r="1370" spans="19:19">
      <c r="S1370" s="253"/>
    </row>
    <row r="1371" spans="19:19">
      <c r="S1371" s="252"/>
    </row>
    <row r="1372" spans="19:19">
      <c r="S1372" s="253"/>
    </row>
    <row r="1373" spans="19:19">
      <c r="S1373" s="252"/>
    </row>
    <row r="1374" spans="19:19">
      <c r="S1374" s="253"/>
    </row>
    <row r="1375" spans="19:19">
      <c r="S1375" s="252"/>
    </row>
    <row r="1376" spans="19:19">
      <c r="S1376" s="253"/>
    </row>
    <row r="1377" spans="19:19">
      <c r="S1377" s="252"/>
    </row>
    <row r="1378" spans="19:19">
      <c r="S1378" s="253"/>
    </row>
    <row r="1379" spans="19:19">
      <c r="S1379" s="252"/>
    </row>
    <row r="1380" spans="19:19">
      <c r="S1380" s="253"/>
    </row>
    <row r="1381" spans="19:19">
      <c r="S1381" s="252"/>
    </row>
    <row r="1382" spans="19:19">
      <c r="S1382" s="253"/>
    </row>
    <row r="1383" spans="19:19">
      <c r="S1383" s="252"/>
    </row>
    <row r="1384" spans="19:19">
      <c r="S1384" s="253"/>
    </row>
    <row r="1385" spans="19:19">
      <c r="S1385" s="252"/>
    </row>
    <row r="1386" spans="19:19">
      <c r="S1386" s="253"/>
    </row>
    <row r="1387" spans="19:19">
      <c r="S1387" s="252"/>
    </row>
    <row r="1388" spans="19:19">
      <c r="S1388" s="253"/>
    </row>
    <row r="1389" spans="19:19">
      <c r="S1389" s="252"/>
    </row>
    <row r="1390" spans="19:19">
      <c r="S1390" s="253"/>
    </row>
    <row r="1391" spans="19:19">
      <c r="S1391" s="252"/>
    </row>
    <row r="1392" spans="19:19">
      <c r="S1392" s="253"/>
    </row>
    <row r="1393" spans="19:19">
      <c r="S1393" s="252"/>
    </row>
    <row r="1394" spans="19:19">
      <c r="S1394" s="253"/>
    </row>
    <row r="1395" spans="19:19">
      <c r="S1395" s="252"/>
    </row>
    <row r="1396" spans="19:19">
      <c r="S1396" s="253"/>
    </row>
    <row r="1397" spans="19:19">
      <c r="S1397" s="252"/>
    </row>
    <row r="1398" spans="19:19">
      <c r="S1398" s="253"/>
    </row>
    <row r="1399" spans="19:19">
      <c r="S1399" s="252"/>
    </row>
    <row r="1400" spans="19:19">
      <c r="S1400" s="253"/>
    </row>
    <row r="1401" spans="19:19">
      <c r="S1401" s="252"/>
    </row>
    <row r="1402" spans="19:19">
      <c r="S1402" s="253"/>
    </row>
    <row r="1403" spans="19:19">
      <c r="S1403" s="252"/>
    </row>
    <row r="1404" spans="19:19">
      <c r="S1404" s="253"/>
    </row>
    <row r="1405" spans="19:19">
      <c r="S1405" s="252"/>
    </row>
    <row r="1406" spans="19:19">
      <c r="S1406" s="253"/>
    </row>
    <row r="1407" spans="19:19">
      <c r="S1407" s="252"/>
    </row>
    <row r="1408" spans="19:19">
      <c r="S1408" s="253"/>
    </row>
    <row r="1409" spans="19:19">
      <c r="S1409" s="252"/>
    </row>
    <row r="1410" spans="19:19">
      <c r="S1410" s="253"/>
    </row>
    <row r="1411" spans="19:19">
      <c r="S1411" s="252"/>
    </row>
    <row r="1412" spans="19:19">
      <c r="S1412" s="253"/>
    </row>
    <row r="1413" spans="19:19">
      <c r="S1413" s="252"/>
    </row>
    <row r="1414" spans="19:19">
      <c r="S1414" s="253"/>
    </row>
    <row r="1415" spans="19:19">
      <c r="S1415" s="252"/>
    </row>
    <row r="1416" spans="19:19">
      <c r="S1416" s="253"/>
    </row>
    <row r="1417" spans="19:19">
      <c r="S1417" s="252"/>
    </row>
    <row r="1418" spans="19:19">
      <c r="S1418" s="253"/>
    </row>
    <row r="1419" spans="19:19">
      <c r="S1419" s="252"/>
    </row>
    <row r="1420" spans="19:19">
      <c r="S1420" s="253"/>
    </row>
    <row r="1421" spans="19:19">
      <c r="S1421" s="252"/>
    </row>
    <row r="1422" spans="19:19">
      <c r="S1422" s="253"/>
    </row>
    <row r="1423" spans="19:19">
      <c r="S1423" s="252"/>
    </row>
    <row r="1424" spans="19:19">
      <c r="S1424" s="253"/>
    </row>
    <row r="1425" spans="19:19">
      <c r="S1425" s="252"/>
    </row>
    <row r="1426" spans="19:19">
      <c r="S1426" s="253"/>
    </row>
    <row r="1427" spans="19:19">
      <c r="S1427" s="252"/>
    </row>
    <row r="1428" spans="19:19">
      <c r="S1428" s="253"/>
    </row>
    <row r="1429" spans="19:19">
      <c r="S1429" s="252"/>
    </row>
    <row r="1430" spans="19:19">
      <c r="S1430" s="253"/>
    </row>
    <row r="1431" spans="19:19">
      <c r="S1431" s="252"/>
    </row>
    <row r="1432" spans="19:19">
      <c r="S1432" s="253"/>
    </row>
    <row r="1433" spans="19:19">
      <c r="S1433" s="252"/>
    </row>
    <row r="1434" spans="19:19">
      <c r="S1434" s="253"/>
    </row>
    <row r="1435" spans="19:19">
      <c r="S1435" s="252"/>
    </row>
    <row r="1436" spans="19:19">
      <c r="S1436" s="253"/>
    </row>
    <row r="1437" spans="19:19">
      <c r="S1437" s="252"/>
    </row>
    <row r="1438" spans="19:19">
      <c r="S1438" s="253"/>
    </row>
    <row r="1439" spans="19:19">
      <c r="S1439" s="252"/>
    </row>
    <row r="1440" spans="19:19">
      <c r="S1440" s="253"/>
    </row>
    <row r="1441" spans="19:19">
      <c r="S1441" s="252"/>
    </row>
    <row r="1442" spans="19:19">
      <c r="S1442" s="253"/>
    </row>
    <row r="1443" spans="19:19">
      <c r="S1443" s="252"/>
    </row>
    <row r="1444" spans="19:19">
      <c r="S1444" s="253"/>
    </row>
    <row r="1445" spans="19:19">
      <c r="S1445" s="252"/>
    </row>
    <row r="1446" spans="19:19">
      <c r="S1446" s="253"/>
    </row>
    <row r="1447" spans="19:19">
      <c r="S1447" s="252"/>
    </row>
    <row r="1448" spans="19:19">
      <c r="S1448" s="253"/>
    </row>
    <row r="1449" spans="19:19">
      <c r="S1449" s="252"/>
    </row>
    <row r="1450" spans="19:19">
      <c r="S1450" s="253"/>
    </row>
    <row r="1451" spans="19:19">
      <c r="S1451" s="252"/>
    </row>
    <row r="1452" spans="19:19">
      <c r="S1452" s="253"/>
    </row>
    <row r="1453" spans="19:19">
      <c r="S1453" s="252"/>
    </row>
    <row r="1454" spans="19:19">
      <c r="S1454" s="253"/>
    </row>
    <row r="1455" spans="19:19">
      <c r="S1455" s="252"/>
    </row>
    <row r="1456" spans="19:19">
      <c r="S1456" s="253"/>
    </row>
    <row r="1457" spans="19:19">
      <c r="S1457" s="252"/>
    </row>
    <row r="1458" spans="19:19">
      <c r="S1458" s="253"/>
    </row>
  </sheetData>
  <sheetProtection selectLockedCells="1" selectUnlockedCells="1"/>
  <mergeCells count="1">
    <mergeCell ref="I1:J1"/>
  </mergeCells>
  <phoneticPr fontId="17" type="noConversion"/>
  <conditionalFormatting sqref="S8:S805">
    <cfRule type="cellIs" dxfId="38" priority="1" stopIfTrue="1" operator="greaterThanOrEqual">
      <formula>27</formula>
    </cfRule>
    <cfRule type="cellIs" dxfId="37" priority="2" stopIfTrue="1" operator="lessThanOrEqual">
      <formula>0</formula>
    </cfRule>
    <cfRule type="cellIs" dxfId="36" priority="3" stopIfTrue="1" operator="lessThanOrEqual">
      <formula>20</formula>
    </cfRule>
    <cfRule type="cellIs" dxfId="35" priority="4" stopIfTrue="1" operator="between">
      <formula>26</formula>
      <formula>21</formula>
    </cfRule>
  </conditionalFormatting>
  <conditionalFormatting sqref="W8:X805">
    <cfRule type="cellIs" dxfId="34" priority="9" operator="lessThan">
      <formula>0</formula>
    </cfRule>
  </conditionalFormatting>
  <conditionalFormatting sqref="W806:X1048576">
    <cfRule type="cellIs" dxfId="33" priority="18" operator="lessThan">
      <formula>0</formula>
    </cfRule>
  </conditionalFormatting>
  <conditionalFormatting sqref="AC8:AC1048576">
    <cfRule type="cellIs" dxfId="32" priority="5" operator="equal">
      <formula>"CADUCADO"</formula>
    </cfRule>
    <cfRule type="cellIs" dxfId="31" priority="6" operator="equal">
      <formula>"VIGENTE"</formula>
    </cfRule>
    <cfRule type="cellIs" dxfId="30" priority="7" operator="equal">
      <formula>"FECHA CORTA"</formula>
    </cfRule>
    <cfRule type="cellIs" dxfId="29" priority="8" operator="equal">
      <formula>"PROXIMOS FECHA CORTA"</formula>
    </cfRule>
  </conditionalFormatting>
  <pageMargins left="0.15748031496062992" right="0.15748031496062992" top="0.55118110236220474" bottom="0.98425196850393704" header="0" footer="0"/>
  <pageSetup paperSize="9" scale="67" fitToHeight="0" orientation="landscape" r:id="rId1"/>
  <headerFooter alignWithMargins="0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013E3-C051-4640-A21C-D19F87E641CA}">
  <sheetPr codeName="Hoja4">
    <tabColor theme="5" tint="-0.499984740745262"/>
    <pageSetUpPr fitToPage="1"/>
  </sheetPr>
  <dimension ref="A1:AD115"/>
  <sheetViews>
    <sheetView showGridLines="0" showZeros="0" tabSelected="1" topLeftCell="A2" zoomScale="80" zoomScaleNormal="80" zoomScaleSheetLayoutView="80" workbookViewId="0">
      <pane xSplit="10" ySplit="6" topLeftCell="R8" activePane="bottomRight" state="frozen"/>
      <selection pane="topRight" activeCell="K21" sqref="K21"/>
      <selection pane="bottomLeft" activeCell="K21" sqref="K21"/>
      <selection pane="bottomRight" activeCell="T5" sqref="T5"/>
    </sheetView>
  </sheetViews>
  <sheetFormatPr baseColWidth="10" defaultColWidth="11.453125" defaultRowHeight="14.5" outlineLevelCol="1"/>
  <cols>
    <col min="1" max="1" width="20.54296875" style="1" hidden="1" customWidth="1" outlineLevel="1"/>
    <col min="2" max="2" width="19.453125" style="1" hidden="1" customWidth="1" outlineLevel="1"/>
    <col min="3" max="3" width="24.54296875" style="1" hidden="1" customWidth="1" outlineLevel="1"/>
    <col min="4" max="4" width="24.453125" style="1" hidden="1" customWidth="1" outlineLevel="1"/>
    <col min="5" max="5" width="43.54296875" style="1" hidden="1" customWidth="1" outlineLevel="1"/>
    <col min="6" max="8" width="12.453125" style="1" hidden="1" customWidth="1" outlineLevel="1"/>
    <col min="9" max="9" width="13.54296875" style="59" bestFit="1" customWidth="1" collapsed="1"/>
    <col min="10" max="10" width="44" style="2" customWidth="1"/>
    <col min="11" max="11" width="13.54296875" style="4" hidden="1" customWidth="1"/>
    <col min="12" max="12" width="14.453125" style="3" hidden="1" customWidth="1"/>
    <col min="13" max="13" width="13.54296875" style="3" hidden="1" customWidth="1"/>
    <col min="14" max="14" width="13" style="4" hidden="1" customWidth="1"/>
    <col min="15" max="15" width="13.453125" style="7" hidden="1" customWidth="1"/>
    <col min="16" max="16" width="15.453125" style="7" hidden="1" customWidth="1"/>
    <col min="17" max="17" width="19.453125" style="8" hidden="1" customWidth="1"/>
    <col min="18" max="18" width="14" style="8" customWidth="1"/>
    <col min="19" max="19" width="14.54296875" style="4" customWidth="1"/>
    <col min="20" max="20" width="10" style="4" customWidth="1"/>
    <col min="21" max="21" width="11.453125" style="9" customWidth="1"/>
    <col min="22" max="22" width="13.453125" style="9" customWidth="1"/>
    <col min="23" max="23" width="11.453125" style="4" customWidth="1"/>
    <col min="24" max="24" width="13.54296875" style="4" customWidth="1"/>
    <col min="25" max="25" width="15.453125" style="227" bestFit="1" customWidth="1"/>
    <col min="26" max="26" width="15.54296875" style="227" bestFit="1" customWidth="1"/>
    <col min="27" max="27" width="14" style="227" bestFit="1" customWidth="1"/>
    <col min="28" max="28" width="19.54296875" style="3" customWidth="1"/>
    <col min="29" max="29" width="28.54296875" style="4" customWidth="1"/>
    <col min="30" max="30" width="13.453125" customWidth="1"/>
  </cols>
  <sheetData>
    <row r="1" spans="1:30" ht="24" hidden="1" customHeight="1">
      <c r="I1" s="310" t="s">
        <v>4926</v>
      </c>
      <c r="J1" s="310"/>
      <c r="O1" s="5" t="s">
        <v>4927</v>
      </c>
      <c r="P1" s="6" t="s">
        <v>4928</v>
      </c>
      <c r="T1" s="8"/>
      <c r="X1" s="3"/>
      <c r="AB1" s="4"/>
      <c r="AC1" s="47"/>
    </row>
    <row r="2" spans="1:30" ht="26.15" customHeight="1">
      <c r="A2" s="1">
        <v>1</v>
      </c>
      <c r="B2" s="1">
        <v>2</v>
      </c>
      <c r="C2" s="1">
        <v>3</v>
      </c>
      <c r="D2" s="1">
        <v>4</v>
      </c>
      <c r="E2" s="1">
        <v>5</v>
      </c>
      <c r="F2" s="1">
        <v>1</v>
      </c>
      <c r="I2" s="62">
        <v>2</v>
      </c>
      <c r="J2" s="1">
        <v>3</v>
      </c>
      <c r="K2" s="63">
        <v>4</v>
      </c>
      <c r="L2" s="63">
        <v>5</v>
      </c>
      <c r="M2" s="63">
        <v>6</v>
      </c>
      <c r="N2" s="63">
        <v>7</v>
      </c>
      <c r="O2" s="63">
        <v>8</v>
      </c>
      <c r="P2" s="63">
        <v>9</v>
      </c>
      <c r="Q2" s="63">
        <v>10</v>
      </c>
      <c r="R2" s="63">
        <v>11</v>
      </c>
      <c r="S2" s="63" t="s">
        <v>4966</v>
      </c>
      <c r="T2" s="63">
        <v>13</v>
      </c>
      <c r="U2" s="63">
        <v>14</v>
      </c>
      <c r="V2" s="63">
        <v>15</v>
      </c>
      <c r="W2" s="63">
        <v>16</v>
      </c>
      <c r="X2" s="63">
        <v>17</v>
      </c>
      <c r="Y2" s="230">
        <v>18</v>
      </c>
      <c r="Z2" s="230">
        <v>19</v>
      </c>
      <c r="AA2" s="230">
        <v>20</v>
      </c>
      <c r="AB2" s="63">
        <v>21</v>
      </c>
      <c r="AC2" s="63">
        <v>22</v>
      </c>
      <c r="AD2" s="1">
        <v>28</v>
      </c>
    </row>
    <row r="3" spans="1:30" ht="32.15" customHeight="1">
      <c r="I3" s="61" t="s">
        <v>4929</v>
      </c>
      <c r="J3" s="41">
        <f ca="1">+TODAY()</f>
        <v>45624</v>
      </c>
      <c r="N3" s="64"/>
      <c r="O3" s="69" t="s">
        <v>4930</v>
      </c>
      <c r="P3" s="154" t="s">
        <v>4931</v>
      </c>
      <c r="R3" s="8" t="s">
        <v>4967</v>
      </c>
      <c r="T3" s="12"/>
      <c r="W3" s="64"/>
      <c r="X3" s="16"/>
      <c r="AB3" s="4"/>
      <c r="AC3" s="47"/>
    </row>
    <row r="4" spans="1:30" ht="18.649999999999999" customHeight="1">
      <c r="J4" s="14"/>
      <c r="L4" s="10"/>
      <c r="M4" s="10"/>
      <c r="N4" s="64"/>
      <c r="O4" s="69" t="s">
        <v>4932</v>
      </c>
      <c r="P4" s="155" t="s">
        <v>4933</v>
      </c>
      <c r="R4" s="70"/>
      <c r="S4" s="18" t="s">
        <v>4967</v>
      </c>
      <c r="X4" s="3"/>
      <c r="AB4" s="4"/>
      <c r="AC4" s="47"/>
    </row>
    <row r="5" spans="1:30" ht="18.649999999999999" customHeight="1">
      <c r="J5" s="14"/>
      <c r="L5" s="55"/>
      <c r="M5" s="40"/>
      <c r="N5" s="64"/>
      <c r="O5" s="71"/>
      <c r="P5" s="48"/>
      <c r="Q5" s="71"/>
      <c r="R5" s="48"/>
      <c r="S5" s="64"/>
      <c r="T5" s="19"/>
    </row>
    <row r="6" spans="1:30" ht="17.899999999999999" customHeight="1">
      <c r="A6" s="20"/>
      <c r="B6" s="20"/>
      <c r="C6" s="20"/>
      <c r="D6" s="20"/>
      <c r="E6" s="20"/>
      <c r="F6" s="20"/>
      <c r="G6" s="20"/>
      <c r="H6" s="20"/>
      <c r="I6" s="60"/>
      <c r="J6" s="21"/>
      <c r="K6" s="22" t="s">
        <v>81</v>
      </c>
      <c r="L6" s="23"/>
      <c r="M6" s="23"/>
      <c r="N6" s="64"/>
      <c r="T6" s="19"/>
      <c r="Y6" s="238">
        <f>+SUBTOTAL(9,MACHACHI[COSTO UNIT base])</f>
        <v>268.7581149999998</v>
      </c>
      <c r="Z6" s="239">
        <f>+SUBTOTAL(9,MACHACHI[COSTO UNIT Conv])</f>
        <v>308.36391699999984</v>
      </c>
      <c r="AA6" s="239">
        <f>+SUBTOTAL(9,MACHACHI[COSTO TOTAL])</f>
        <v>130957.50995959999</v>
      </c>
    </row>
    <row r="7" spans="1:30" s="39" customFormat="1" ht="47.15" customHeight="1">
      <c r="A7" s="67" t="s">
        <v>4937</v>
      </c>
      <c r="B7" s="67" t="s">
        <v>4938</v>
      </c>
      <c r="C7" s="67" t="s">
        <v>4939</v>
      </c>
      <c r="D7" s="67" t="s">
        <v>4940</v>
      </c>
      <c r="E7" s="67" t="s">
        <v>4941</v>
      </c>
      <c r="F7" s="68" t="s">
        <v>4968</v>
      </c>
      <c r="G7" s="68" t="s">
        <v>4943</v>
      </c>
      <c r="H7" s="68" t="s">
        <v>4944</v>
      </c>
      <c r="I7" s="156" t="s">
        <v>4945</v>
      </c>
      <c r="J7" s="157" t="s">
        <v>4946</v>
      </c>
      <c r="K7" s="167" t="s">
        <v>4947</v>
      </c>
      <c r="L7" s="158" t="s">
        <v>4948</v>
      </c>
      <c r="M7" s="158" t="s">
        <v>26</v>
      </c>
      <c r="N7" s="157" t="s">
        <v>4949</v>
      </c>
      <c r="O7" s="156" t="s">
        <v>4950</v>
      </c>
      <c r="P7" s="157" t="s">
        <v>4951</v>
      </c>
      <c r="Q7" s="159" t="s">
        <v>4952</v>
      </c>
      <c r="R7" s="166" t="s">
        <v>4953</v>
      </c>
      <c r="S7" s="157" t="s">
        <v>4954</v>
      </c>
      <c r="T7" s="157" t="s">
        <v>4955</v>
      </c>
      <c r="U7" s="168" t="s">
        <v>4956</v>
      </c>
      <c r="V7" s="160" t="s">
        <v>4957</v>
      </c>
      <c r="W7" s="157" t="s">
        <v>4958</v>
      </c>
      <c r="X7" s="157" t="s">
        <v>4959</v>
      </c>
      <c r="Y7" s="240" t="s">
        <v>4960</v>
      </c>
      <c r="Z7" s="240" t="s">
        <v>4961</v>
      </c>
      <c r="AA7" s="240" t="s">
        <v>4962</v>
      </c>
      <c r="AB7" s="161" t="s">
        <v>4963</v>
      </c>
      <c r="AC7" s="162" t="s">
        <v>4964</v>
      </c>
      <c r="AD7" s="163" t="s">
        <v>4965</v>
      </c>
    </row>
    <row r="8" spans="1:30">
      <c r="A8" s="24" t="str">
        <f>+IFERROR(IF(MACHACHI[[#This Row],[CODIGO]]="","",VLOOKUP(MACHACHI[[#This Row],[CODIGO]],MAESTRO!$A:$J,10,FALSE)),"")</f>
        <v>MULTIEMPAQUE</v>
      </c>
      <c r="B8" s="24" t="str">
        <f>+IFERROR(IF(MACHACHI[[#This Row],[CODIGO]]="","",VLOOKUP(MACHACHI[[#This Row],[CODIGO]],MAESTRO!$A:$Q,17,FALSE)),"")</f>
        <v>POSTRES</v>
      </c>
      <c r="C8" s="24" t="str">
        <f>+IFERROR(IF(MACHACHI[[#This Row],[CODIGO]]="","",VLOOKUP(MACHACHI[[#This Row],[CODIGO]],MAESTRO!$A:$BA,53,FALSE)),"")</f>
        <v xml:space="preserve">Luis Armendariz                         </v>
      </c>
      <c r="D8" s="24" t="str">
        <f>+IFERROR(IF(MACHACHI[[#This Row],[CODIGO]]="","",VLOOKUP(MACHACHI[[#This Row],[CODIGO]],MAESTRO!$A:$D,4,FALSE)),"")</f>
        <v>ALPINETTE</v>
      </c>
      <c r="E8" s="24" t="str">
        <f>+IFERROR(IF(MACHACHI[[#This Row],[CODIGO]]="","",VLOOKUP(MACHACHI[[#This Row],[CODIGO]],MAESTRO!$A:$F,6,FALSE)),"")</f>
        <v>ALPINETTE</v>
      </c>
      <c r="F8" s="24" t="str">
        <f>IF(MACHACHI[[#This Row],[CODIGO]]="","",$K$6)</f>
        <v>MACHACHI</v>
      </c>
      <c r="G8" s="210">
        <f>IF(MACHACHI[[#This Row],[CODIGO]]="","",7701)</f>
        <v>7701</v>
      </c>
      <c r="H8" s="210">
        <f>IF(MACHACHI[[#This Row],[CODIGO]]="","",1080)</f>
        <v>1080</v>
      </c>
      <c r="I8" s="256" t="s">
        <v>4045</v>
      </c>
      <c r="J8" s="25" t="str">
        <f>IFERROR((VLOOKUP(MACHACHI[[#This Row],[CODIGO]],MAESTRO!A:B,2,FALSE)),"")</f>
        <v>MPLX4 ALPINETTE MOR 140G</v>
      </c>
      <c r="K8" s="47">
        <v>112</v>
      </c>
      <c r="L8" s="38">
        <f>+IFERROR(IF(MACHACHI[[#This Row],[CODIGO]]="","",VLOOKUP(MACHACHI[[#This Row],[CODIGO]],MAESTRO!$A:$BF,58,FALSE)),"")</f>
        <v>1</v>
      </c>
      <c r="M8" s="27">
        <f>+IFERROR(IF(MACHACHI[[#This Row],[CODIGO]]="","",VLOOKUP(MACHACHI[[#This Row],[CODIGO]],MAESTRO!A:N,14,FALSE)),"")</f>
        <v>0.56000000000000005</v>
      </c>
      <c r="N8" s="28">
        <f>+IFERROR(IF(MACHACHI[[#This Row],[CODIGO]]="","",VLOOKUP(MACHACHI[[#This Row],[CODIGO]],MAESTRO!A:P,16,FALSE)),"")</f>
        <v>60</v>
      </c>
      <c r="O8" s="29">
        <f>+IF(MACHACHI[[#This Row],[CODIGO]]="","",MACHACHI[[#This Row],[Fecha Elab.]])</f>
        <v>45601</v>
      </c>
      <c r="P8" s="72" t="str">
        <f t="shared" ref="P8:P10" si="0">+IF(R8="","",TEXT(O8,"dddd"))</f>
        <v>martes</v>
      </c>
      <c r="Q8" s="29">
        <f>IFERROR(IF(MACHACHI[[#This Row],[CODIGO]]="","",IF(MACHACHI[[#This Row],[Fecha Cad]]="","",(MACHACHI[[#This Row],[Fecha Cad]]-MACHACHI[[#This Row],[VIDA UTIL (Días)]]))+1),"")</f>
        <v>45601</v>
      </c>
      <c r="R8" s="18">
        <v>45660</v>
      </c>
      <c r="S8" s="30">
        <f t="shared" ref="S8:S12" ca="1" si="1">+IFERROR(IF(R8="","",R8-$J$3),0)</f>
        <v>36</v>
      </c>
      <c r="T8" s="31">
        <f t="shared" ref="T8" ca="1" si="2">IFERROR(IF(8="","",S8/N8),0)</f>
        <v>0.6</v>
      </c>
      <c r="U8" s="47">
        <v>112</v>
      </c>
      <c r="V8" s="169">
        <f>+IFERROR(IF(MACHACHI[[#This Row],[CODIGO]]="","",MACHACHI[[#This Row],[Stock Actual Unds]]*MACHACHI[[#This Row],[Gramaje]]*MACHACHI[[#This Row],[Conversión]]),"")</f>
        <v>62.720000000000006</v>
      </c>
      <c r="W8" s="170" t="str">
        <f>+IFERROR(IF(#REF!="","",MACHACHI[[#This Row],[Fecha Elab.]]-MACHACHI[[#This Row],[Fecha de Ingreso]]),"")</f>
        <v/>
      </c>
      <c r="X8" s="32" t="str">
        <f t="shared" ref="X8:X35" si="3">IFERROR(IF(I8="","",1-(W8/N8)),"")</f>
        <v/>
      </c>
      <c r="Y8" s="241">
        <f>+IFERROR(IF(MACHACHI[[#This Row],[CODIGO]]="","",VLOOKUP(MACHACHI[[#This Row],[CODIGO]],MAESTRO!A:BI,21,FALSE)),"")</f>
        <v>1.9986900000000001</v>
      </c>
      <c r="Z8" s="237">
        <f>+IFERROR(IF(MACHACHI[[#This Row],[CODIGO]]="","",Y8*MACHACHI[[#This Row],[Conversión]]),"")</f>
        <v>1.9986900000000001</v>
      </c>
      <c r="AA8" s="241">
        <f>+IFERROR(IF(MACHACHI[[#This Row],[CODIGO]]="","",MACHACHI[[#This Row],[COSTO UNIT Conv]]*MACHACHI[[#This Row],[Stock Actual Unds]]),"")</f>
        <v>223.85328000000001</v>
      </c>
      <c r="AB8" s="33">
        <f ca="1">+IFERROR(IF(MACHACHI[[#This Row],[CODIGO]]="","",$J$3-O8),"")</f>
        <v>23</v>
      </c>
      <c r="AC8" s="34" t="str">
        <f ca="1">IF(MACHACHI[[#This Row],[CODIGO]]="","",IF(S8&lt;=0,"CADUCADO",IF(AND(S8&gt;0,S8&lt;=21),"FECHA CORTA",IF(AND(S8&gt;=22,S8&lt;=26),"PROXIMOS FECHA CORTA", "VIGENTE"))))</f>
        <v>VIGENTE</v>
      </c>
      <c r="AD8" s="171">
        <f>+IFERROR(IF(MACHACHI[[#This Row],[CODIGO]]="","",MACHACHI[[#This Row],[Stock Actual Unds]]*MACHACHI[[#This Row],[Gramaje]]*MACHACHI[[#This Row],[Conversión]]),"")/1000</f>
        <v>6.2720000000000012E-2</v>
      </c>
    </row>
    <row r="9" spans="1:30">
      <c r="A9" s="24" t="str">
        <f>+IFERROR(IF(MACHACHI[[#This Row],[CODIGO]]="","",VLOOKUP(MACHACHI[[#This Row],[CODIGO]],MAESTRO!$A:$J,10,FALSE)),"")</f>
        <v>MULTIEMPAQUE</v>
      </c>
      <c r="B9" s="24" t="str">
        <f>+IFERROR(IF(MACHACHI[[#This Row],[CODIGO]]="","",VLOOKUP(MACHACHI[[#This Row],[CODIGO]],MAESTRO!$A:$Q,17,FALSE)),"")</f>
        <v>POSTRES</v>
      </c>
      <c r="C9" s="24" t="str">
        <f>+IFERROR(IF(MACHACHI[[#This Row],[CODIGO]]="","",VLOOKUP(MACHACHI[[#This Row],[CODIGO]],MAESTRO!$A:$BA,53,FALSE)),"")</f>
        <v xml:space="preserve">Luis Armendariz                         </v>
      </c>
      <c r="D9" s="24" t="str">
        <f>+IFERROR(IF(MACHACHI[[#This Row],[CODIGO]]="","",VLOOKUP(MACHACHI[[#This Row],[CODIGO]],MAESTRO!$A:$D,4,FALSE)),"")</f>
        <v>ALPINETTE</v>
      </c>
      <c r="E9" s="24" t="str">
        <f>+IFERROR(IF(MACHACHI[[#This Row],[CODIGO]]="","",VLOOKUP(MACHACHI[[#This Row],[CODIGO]],MAESTRO!$A:$F,6,FALSE)),"")</f>
        <v>ALPINETTE</v>
      </c>
      <c r="F9" s="24" t="str">
        <f>IF(MACHACHI[[#This Row],[CODIGO]]="","",$K$6)</f>
        <v>MACHACHI</v>
      </c>
      <c r="G9" s="210">
        <f>IF(MACHACHI[[#This Row],[CODIGO]]="","",7701)</f>
        <v>7701</v>
      </c>
      <c r="H9" s="210">
        <f>IF(MACHACHI[[#This Row],[CODIGO]]="","",1080)</f>
        <v>1080</v>
      </c>
      <c r="I9" s="256" t="s">
        <v>4048</v>
      </c>
      <c r="J9" s="25" t="str">
        <f>IFERROR((VLOOKUP(MACHACHI[[#This Row],[CODIGO]],MAESTRO!A:B,2,FALSE)),"")</f>
        <v>MPLX4 ALPINETTE CZA 140G</v>
      </c>
      <c r="K9" s="47">
        <v>43</v>
      </c>
      <c r="L9" s="38">
        <f>+IFERROR(IF(MACHACHI[[#This Row],[CODIGO]]="","",VLOOKUP(MACHACHI[[#This Row],[CODIGO]],MAESTRO!$A:$BF,58,FALSE)),"")</f>
        <v>1</v>
      </c>
      <c r="M9" s="27">
        <f>+IFERROR(IF(MACHACHI[[#This Row],[CODIGO]]="","",VLOOKUP(MACHACHI[[#This Row],[CODIGO]],MAESTRO!A:N,14,FALSE)),"")</f>
        <v>0.56000000000000005</v>
      </c>
      <c r="N9" s="28">
        <f>+IFERROR(IF(MACHACHI[[#This Row],[CODIGO]]="","",VLOOKUP(MACHACHI[[#This Row],[CODIGO]],MAESTRO!A:P,16,FALSE)),"")</f>
        <v>60</v>
      </c>
      <c r="O9" s="29">
        <f>+IF(MACHACHI[[#This Row],[CODIGO]]="","",MACHACHI[[#This Row],[Fecha Elab.]])</f>
        <v>45601</v>
      </c>
      <c r="P9" s="72" t="str">
        <f t="shared" si="0"/>
        <v>martes</v>
      </c>
      <c r="Q9" s="29">
        <f>IFERROR(IF(MACHACHI[[#This Row],[CODIGO]]="","",IF(MACHACHI[[#This Row],[Fecha Cad]]="","",(MACHACHI[[#This Row],[Fecha Cad]]-MACHACHI[[#This Row],[VIDA UTIL (Días)]]))+1),"")</f>
        <v>45601</v>
      </c>
      <c r="R9" s="18">
        <v>45660</v>
      </c>
      <c r="S9" s="30">
        <f t="shared" ca="1" si="1"/>
        <v>36</v>
      </c>
      <c r="T9" s="31">
        <f t="shared" ref="T9:T40" ca="1" si="4">IFERROR(IF(8="","",S9/N9),0)</f>
        <v>0.6</v>
      </c>
      <c r="U9" s="47">
        <v>43</v>
      </c>
      <c r="V9" s="169">
        <f>+IFERROR(IF(MACHACHI[[#This Row],[CODIGO]]="","",MACHACHI[[#This Row],[Stock Actual Unds]]*MACHACHI[[#This Row],[Gramaje]]*MACHACHI[[#This Row],[Conversión]]),"")</f>
        <v>24.080000000000002</v>
      </c>
      <c r="W9" s="170">
        <f>+IFERROR(IF(I8="","",MACHACHI[[#This Row],[Fecha Elab.]]-MACHACHI[[#This Row],[Fecha de Ingreso]]),"")</f>
        <v>0</v>
      </c>
      <c r="X9" s="32">
        <f t="shared" si="3"/>
        <v>1</v>
      </c>
      <c r="Y9" s="241">
        <f>+IFERROR(IF(MACHACHI[[#This Row],[CODIGO]]="","",VLOOKUP(MACHACHI[[#This Row],[CODIGO]],MAESTRO!A:BI,21,FALSE)),"")</f>
        <v>2.0278900000000002</v>
      </c>
      <c r="Z9" s="237">
        <f>+IFERROR(IF(MACHACHI[[#This Row],[CODIGO]]="","",Y9*MACHACHI[[#This Row],[Conversión]]),"")</f>
        <v>2.0278900000000002</v>
      </c>
      <c r="AA9" s="241">
        <f>+IFERROR(IF(MACHACHI[[#This Row],[CODIGO]]="","",MACHACHI[[#This Row],[COSTO UNIT Conv]]*MACHACHI[[#This Row],[Stock Actual Unds]]),"")</f>
        <v>87.199270000000013</v>
      </c>
      <c r="AB9" s="33">
        <f ca="1">+IFERROR(IF(MACHACHI[[#This Row],[CODIGO]]="","",$J$3-O9),"")</f>
        <v>23</v>
      </c>
      <c r="AC9" s="34" t="str">
        <f ca="1">IF(MACHACHI[[#This Row],[CODIGO]]="","",IF(S9&lt;=0,"CADUCADO",IF(AND(S9&gt;0,S9&lt;=21),"FECHA CORTA",IF(AND(S9&gt;=22,S9&lt;=26),"PROXIMOS FECHA CORTA", "VIGENTE"))))</f>
        <v>VIGENTE</v>
      </c>
      <c r="AD9" s="171">
        <f>+IFERROR(IF(MACHACHI[[#This Row],[CODIGO]]="","",MACHACHI[[#This Row],[Stock Actual Unds]]*MACHACHI[[#This Row],[Gramaje]]*MACHACHI[[#This Row],[Conversión]]),"")/1000</f>
        <v>2.4080000000000001E-2</v>
      </c>
    </row>
    <row r="10" spans="1:30">
      <c r="A10" s="24" t="str">
        <f>+IFERROR(IF(MACHACHI[[#This Row],[CODIGO]]="","",VLOOKUP(MACHACHI[[#This Row],[CODIGO]],MAESTRO!$A:$J,10,FALSE)),"")</f>
        <v>SAN GABRIEL</v>
      </c>
      <c r="B10" s="24" t="str">
        <f>+IFERROR(IF(MACHACHI[[#This Row],[CODIGO]]="","",VLOOKUP(MACHACHI[[#This Row],[CODIGO]],MAESTRO!$A:$Q,17,FALSE)),"")</f>
        <v>QUESOS Y GRASAS</v>
      </c>
      <c r="C10" s="24" t="str">
        <f>+IFERROR(IF(MACHACHI[[#This Row],[CODIGO]]="","",VLOOKUP(MACHACHI[[#This Row],[CODIGO]],MAESTRO!$A:$BA,53,FALSE)),"")</f>
        <v xml:space="preserve">Esteban Montenegro                      </v>
      </c>
      <c r="D10" s="24" t="str">
        <f>+IFERROR(IF(MACHACHI[[#This Row],[CODIGO]]="","",VLOOKUP(MACHACHI[[#This Row],[CODIGO]],MAESTRO!$A:$D,4,FALSE)),"")</f>
        <v>QUESO MOZARELLA KIOSKO</v>
      </c>
      <c r="E10" s="24" t="str">
        <f>+IFERROR(IF(MACHACHI[[#This Row],[CODIGO]]="","",VLOOKUP(MACHACHI[[#This Row],[CODIGO]],MAESTRO!$A:$F,6,FALSE)),"")</f>
        <v>QUESO MOZARELLA KIOSKO BLOQUE</v>
      </c>
      <c r="F10" s="24" t="str">
        <f>IF(MACHACHI[[#This Row],[CODIGO]]="","",$K$6)</f>
        <v>MACHACHI</v>
      </c>
      <c r="G10" s="210">
        <f>IF(MACHACHI[[#This Row],[CODIGO]]="","",7701)</f>
        <v>7701</v>
      </c>
      <c r="H10" s="210">
        <f>IF(MACHACHI[[#This Row],[CODIGO]]="","",1080)</f>
        <v>1080</v>
      </c>
      <c r="I10" s="256" t="s">
        <v>4508</v>
      </c>
      <c r="J10" s="25" t="str">
        <f>IFERROR((VLOOKUP(MACHACHI[[#This Row],[CODIGO]],MAESTRO!A:B,2,FALSE)),"")</f>
        <v>Q MOZAR KIOSKO BLOQ 900G</v>
      </c>
      <c r="K10" s="47">
        <v>457</v>
      </c>
      <c r="L10" s="38">
        <f>+IFERROR(IF(MACHACHI[[#This Row],[CODIGO]]="","",VLOOKUP(MACHACHI[[#This Row],[CODIGO]],MAESTRO!$A:$BF,58,FALSE)),"")</f>
        <v>1</v>
      </c>
      <c r="M10" s="27">
        <f>+IFERROR(IF(MACHACHI[[#This Row],[CODIGO]]="","",VLOOKUP(MACHACHI[[#This Row],[CODIGO]],MAESTRO!A:N,14,FALSE)),"")</f>
        <v>0.9</v>
      </c>
      <c r="N10" s="28">
        <f>+IFERROR(IF(MACHACHI[[#This Row],[CODIGO]]="","",VLOOKUP(MACHACHI[[#This Row],[CODIGO]],MAESTRO!A:P,16,FALSE)),"")</f>
        <v>40</v>
      </c>
      <c r="O10" s="29">
        <f>+IF(MACHACHI[[#This Row],[CODIGO]]="","",MACHACHI[[#This Row],[Fecha Elab.]])</f>
        <v>45618</v>
      </c>
      <c r="P10" s="72" t="str">
        <f t="shared" si="0"/>
        <v>viernes</v>
      </c>
      <c r="Q10" s="29">
        <f>IFERROR(IF(MACHACHI[[#This Row],[CODIGO]]="","",IF(MACHACHI[[#This Row],[Fecha Cad]]="","",(MACHACHI[[#This Row],[Fecha Cad]]-MACHACHI[[#This Row],[VIDA UTIL (Días)]]))+1),"")</f>
        <v>45618</v>
      </c>
      <c r="R10" s="18">
        <v>45657</v>
      </c>
      <c r="S10" s="30">
        <f t="shared" ca="1" si="1"/>
        <v>33</v>
      </c>
      <c r="T10" s="31">
        <f t="shared" ca="1" si="4"/>
        <v>0.82499999999999996</v>
      </c>
      <c r="U10" s="47">
        <v>457</v>
      </c>
      <c r="V10" s="169">
        <f>+IFERROR(IF(MACHACHI[[#This Row],[CODIGO]]="","",MACHACHI[[#This Row],[Stock Actual Unds]]*MACHACHI[[#This Row],[Gramaje]]*MACHACHI[[#This Row],[Conversión]]),"")</f>
        <v>411.3</v>
      </c>
      <c r="W10" s="170">
        <f>+IFERROR(IF(I9="","",MACHACHI[[#This Row],[Fecha Elab.]]-MACHACHI[[#This Row],[Fecha de Ingreso]]),"")</f>
        <v>0</v>
      </c>
      <c r="X10" s="32">
        <f t="shared" si="3"/>
        <v>1</v>
      </c>
      <c r="Y10" s="241">
        <f>+IFERROR(IF(MACHACHI[[#This Row],[CODIGO]]="","",VLOOKUP(MACHACHI[[#This Row],[CODIGO]],MAESTRO!A:BI,21,FALSE)),"")</f>
        <v>4.1744400000000006</v>
      </c>
      <c r="Z10" s="237">
        <f>+IFERROR(IF(MACHACHI[[#This Row],[CODIGO]]="","",Y10*MACHACHI[[#This Row],[Conversión]]),"")</f>
        <v>4.1744400000000006</v>
      </c>
      <c r="AA10" s="241">
        <f>+IFERROR(IF(MACHACHI[[#This Row],[CODIGO]]="","",MACHACHI[[#This Row],[COSTO UNIT Conv]]*MACHACHI[[#This Row],[Stock Actual Unds]]),"")</f>
        <v>1907.7190800000003</v>
      </c>
      <c r="AB10" s="33">
        <f ca="1">+IFERROR(IF(MACHACHI[[#This Row],[CODIGO]]="","",$J$3-O10),"")</f>
        <v>6</v>
      </c>
      <c r="AC10" s="34" t="str">
        <f ca="1">IF(MACHACHI[[#This Row],[CODIGO]]="","",IF(S10&lt;=0,"CADUCADO",IF(AND(S10&gt;0,S10&lt;=21),"FECHA CORTA",IF(AND(S10&gt;=22,S10&lt;=26),"PROXIMOS FECHA CORTA", "VIGENTE"))))</f>
        <v>VIGENTE</v>
      </c>
      <c r="AD10" s="171">
        <f>+IFERROR(IF(MACHACHI[[#This Row],[CODIGO]]="","",MACHACHI[[#This Row],[Stock Actual Unds]]*MACHACHI[[#This Row],[Gramaje]]*MACHACHI[[#This Row],[Conversión]]),"")/1000</f>
        <v>0.4113</v>
      </c>
    </row>
    <row r="11" spans="1:30">
      <c r="A11" s="24" t="str">
        <f>+IFERROR(IF(MACHACHI[[#This Row],[CODIGO]]="","",VLOOKUP(MACHACHI[[#This Row],[CODIGO]],MAESTRO!$A:$J,10,FALSE)),"")</f>
        <v>SAN GABRIEL</v>
      </c>
      <c r="B11" s="24" t="str">
        <f>+IFERROR(IF(MACHACHI[[#This Row],[CODIGO]]="","",VLOOKUP(MACHACHI[[#This Row],[CODIGO]],MAESTRO!$A:$Q,17,FALSE)),"")</f>
        <v>QUESOS Y GRASAS</v>
      </c>
      <c r="C11" s="24" t="str">
        <f>+IFERROR(IF(MACHACHI[[#This Row],[CODIGO]]="","",VLOOKUP(MACHACHI[[#This Row],[CODIGO]],MAESTRO!$A:$BA,53,FALSE)),"")</f>
        <v xml:space="preserve">Esteban Montenegro                      </v>
      </c>
      <c r="D11" s="24" t="str">
        <f>+IFERROR(IF(MACHACHI[[#This Row],[CODIGO]]="","",VLOOKUP(MACHACHI[[#This Row],[CODIGO]],MAESTRO!$A:$D,4,FALSE)),"")</f>
        <v>QUESO MOZARELLA KIOSKO</v>
      </c>
      <c r="E11" s="24" t="str">
        <f>+IFERROR(IF(MACHACHI[[#This Row],[CODIGO]]="","",VLOOKUP(MACHACHI[[#This Row],[CODIGO]],MAESTRO!$A:$F,6,FALSE)),"")</f>
        <v>QUESO MOZARELLA KIOSKO BLOQUE</v>
      </c>
      <c r="F11" s="24" t="str">
        <f>IF(MACHACHI[[#This Row],[CODIGO]]="","",$K$6)</f>
        <v>MACHACHI</v>
      </c>
      <c r="G11" s="210">
        <f>IF(MACHACHI[[#This Row],[CODIGO]]="","",7701)</f>
        <v>7701</v>
      </c>
      <c r="H11" s="210">
        <f>IF(MACHACHI[[#This Row],[CODIGO]]="","",1080)</f>
        <v>1080</v>
      </c>
      <c r="I11" s="256" t="s">
        <v>4508</v>
      </c>
      <c r="J11" s="25" t="str">
        <f>IFERROR((VLOOKUP(MACHACHI[[#This Row],[CODIGO]],MAESTRO!A:B,2,FALSE)),"")</f>
        <v>Q MOZAR KIOSKO BLOQ 900G</v>
      </c>
      <c r="K11" s="47">
        <v>378</v>
      </c>
      <c r="L11" s="38">
        <f>+IFERROR(IF(MACHACHI[[#This Row],[CODIGO]]="","",VLOOKUP(MACHACHI[[#This Row],[CODIGO]],MAESTRO!$A:$BF,58,FALSE)),"")</f>
        <v>1</v>
      </c>
      <c r="M11" s="27">
        <f>+IFERROR(IF(MACHACHI[[#This Row],[CODIGO]]="","",VLOOKUP(MACHACHI[[#This Row],[CODIGO]],MAESTRO!A:N,14,FALSE)),"")</f>
        <v>0.9</v>
      </c>
      <c r="N11" s="28">
        <f>+IFERROR(IF(MACHACHI[[#This Row],[CODIGO]]="","",VLOOKUP(MACHACHI[[#This Row],[CODIGO]],MAESTRO!A:P,16,FALSE)),"")</f>
        <v>40</v>
      </c>
      <c r="O11" s="29">
        <f>+IF(MACHACHI[[#This Row],[CODIGO]]="","",MACHACHI[[#This Row],[Fecha Elab.]])</f>
        <v>45623</v>
      </c>
      <c r="P11" s="72" t="str">
        <f t="shared" ref="P11" si="5">+IF(R11="","",TEXT(O11,"dddd"))</f>
        <v>miércoles</v>
      </c>
      <c r="Q11" s="29">
        <f>IFERROR(IF(MACHACHI[[#This Row],[CODIGO]]="","",IF(MACHACHI[[#This Row],[Fecha Cad]]="","",(MACHACHI[[#This Row],[Fecha Cad]]-MACHACHI[[#This Row],[VIDA UTIL (Días)]]))+1),"")</f>
        <v>45623</v>
      </c>
      <c r="R11" s="18">
        <v>45662</v>
      </c>
      <c r="S11" s="30">
        <f t="shared" ca="1" si="1"/>
        <v>38</v>
      </c>
      <c r="T11" s="31">
        <f t="shared" ca="1" si="4"/>
        <v>0.95</v>
      </c>
      <c r="U11" s="47">
        <v>378</v>
      </c>
      <c r="V11" s="169">
        <f>+IFERROR(IF(MACHACHI[[#This Row],[CODIGO]]="","",MACHACHI[[#This Row],[Stock Actual Unds]]*MACHACHI[[#This Row],[Gramaje]]*MACHACHI[[#This Row],[Conversión]]),"")</f>
        <v>340.2</v>
      </c>
      <c r="W11" s="170">
        <f>+IFERROR(IF(I10="","",MACHACHI[[#This Row],[Fecha Elab.]]-MACHACHI[[#This Row],[Fecha de Ingreso]]),"")</f>
        <v>0</v>
      </c>
      <c r="X11" s="32">
        <f t="shared" si="3"/>
        <v>1</v>
      </c>
      <c r="Y11" s="241">
        <f>+IFERROR(IF(MACHACHI[[#This Row],[CODIGO]]="","",VLOOKUP(MACHACHI[[#This Row],[CODIGO]],MAESTRO!A:BI,21,FALSE)),"")</f>
        <v>4.1744400000000006</v>
      </c>
      <c r="Z11" s="237">
        <f>+IFERROR(IF(MACHACHI[[#This Row],[CODIGO]]="","",Y11*MACHACHI[[#This Row],[Conversión]]),"")</f>
        <v>4.1744400000000006</v>
      </c>
      <c r="AA11" s="241">
        <f>+IFERROR(IF(MACHACHI[[#This Row],[CODIGO]]="","",MACHACHI[[#This Row],[COSTO UNIT Conv]]*MACHACHI[[#This Row],[Stock Actual Unds]]),"")</f>
        <v>1577.9383200000002</v>
      </c>
      <c r="AB11" s="33">
        <f ca="1">+IFERROR(IF(MACHACHI[[#This Row],[CODIGO]]="","",$J$3-O11),"")</f>
        <v>1</v>
      </c>
      <c r="AC11" s="34" t="str">
        <f ca="1">IF(MACHACHI[[#This Row],[CODIGO]]="","",IF(S11&lt;=0,"CADUCADO",IF(AND(S11&gt;0,S11&lt;=21),"FECHA CORTA",IF(AND(S11&gt;=22,S11&lt;=26),"PROXIMOS FECHA CORTA", "VIGENTE"))))</f>
        <v>VIGENTE</v>
      </c>
      <c r="AD11" s="171">
        <f>+IFERROR(IF(MACHACHI[[#This Row],[CODIGO]]="","",MACHACHI[[#This Row],[Stock Actual Unds]]*MACHACHI[[#This Row],[Gramaje]]*MACHACHI[[#This Row],[Conversión]]),"")/1000</f>
        <v>0.3402</v>
      </c>
    </row>
    <row r="12" spans="1:30">
      <c r="A12" s="24" t="str">
        <f>+IFERROR(IF(MACHACHI[[#This Row],[CODIGO]]="","",VLOOKUP(MACHACHI[[#This Row],[CODIGO]],MAESTRO!$A:$J,10,FALSE)),"")</f>
        <v>SAN GABRIEL</v>
      </c>
      <c r="B12" s="24" t="str">
        <f>+IFERROR(IF(MACHACHI[[#This Row],[CODIGO]]="","",VLOOKUP(MACHACHI[[#This Row],[CODIGO]],MAESTRO!$A:$Q,17,FALSE)),"")</f>
        <v>QUESOS Y GRASAS</v>
      </c>
      <c r="C12" s="24" t="str">
        <f>+IFERROR(IF(MACHACHI[[#This Row],[CODIGO]]="","",VLOOKUP(MACHACHI[[#This Row],[CODIGO]],MAESTRO!$A:$BA,53,FALSE)),"")</f>
        <v xml:space="preserve">Esteban Montenegro                      </v>
      </c>
      <c r="D12" s="24" t="str">
        <f>+IFERROR(IF(MACHACHI[[#This Row],[CODIGO]]="","",VLOOKUP(MACHACHI[[#This Row],[CODIGO]],MAESTRO!$A:$D,4,FALSE)),"")</f>
        <v>QUESO MOZARELLA KIOSKO</v>
      </c>
      <c r="E12" s="24" t="str">
        <f>+IFERROR(IF(MACHACHI[[#This Row],[CODIGO]]="","",VLOOKUP(MACHACHI[[#This Row],[CODIGO]],MAESTRO!$A:$F,6,FALSE)),"")</f>
        <v>QUESO MOZARELLA KIOSKO BLOQUE</v>
      </c>
      <c r="F12" s="24" t="str">
        <f>IF(MACHACHI[[#This Row],[CODIGO]]="","",$K$6)</f>
        <v>MACHACHI</v>
      </c>
      <c r="G12" s="210">
        <f>IF(MACHACHI[[#This Row],[CODIGO]]="","",7701)</f>
        <v>7701</v>
      </c>
      <c r="H12" s="210">
        <f>IF(MACHACHI[[#This Row],[CODIGO]]="","",1080)</f>
        <v>1080</v>
      </c>
      <c r="I12" s="256" t="s">
        <v>4508</v>
      </c>
      <c r="J12" s="25" t="str">
        <f>IFERROR((VLOOKUP(MACHACHI[[#This Row],[CODIGO]],MAESTRO!A:B,2,FALSE)),"")</f>
        <v>Q MOZAR KIOSKO BLOQ 900G</v>
      </c>
      <c r="K12" s="47">
        <v>126</v>
      </c>
      <c r="L12" s="38">
        <f>+IFERROR(IF(MACHACHI[[#This Row],[CODIGO]]="","",VLOOKUP(MACHACHI[[#This Row],[CODIGO]],MAESTRO!$A:$BF,58,FALSE)),"")</f>
        <v>1</v>
      </c>
      <c r="M12" s="27">
        <f>+IFERROR(IF(MACHACHI[[#This Row],[CODIGO]]="","",VLOOKUP(MACHACHI[[#This Row],[CODIGO]],MAESTRO!A:N,14,FALSE)),"")</f>
        <v>0.9</v>
      </c>
      <c r="N12" s="28">
        <f>+IFERROR(IF(MACHACHI[[#This Row],[CODIGO]]="","",VLOOKUP(MACHACHI[[#This Row],[CODIGO]],MAESTRO!A:P,16,FALSE)),"")</f>
        <v>40</v>
      </c>
      <c r="O12" s="29">
        <f>+IF(MACHACHI[[#This Row],[CODIGO]]="","",MACHACHI[[#This Row],[Fecha Elab.]])</f>
        <v>45622</v>
      </c>
      <c r="P12" s="72" t="str">
        <f t="shared" ref="P12:P43" si="6">+IF(R12="","",TEXT(O12,"dddd"))</f>
        <v>martes</v>
      </c>
      <c r="Q12" s="29">
        <f>IFERROR(IF(MACHACHI[[#This Row],[CODIGO]]="","",IF(MACHACHI[[#This Row],[Fecha Cad]]="","",(MACHACHI[[#This Row],[Fecha Cad]]-MACHACHI[[#This Row],[VIDA UTIL (Días)]]))+1),"")</f>
        <v>45622</v>
      </c>
      <c r="R12" s="18">
        <v>45661</v>
      </c>
      <c r="S12" s="30">
        <f t="shared" ca="1" si="1"/>
        <v>37</v>
      </c>
      <c r="T12" s="31">
        <f t="shared" ca="1" si="4"/>
        <v>0.92500000000000004</v>
      </c>
      <c r="U12" s="47">
        <v>126</v>
      </c>
      <c r="V12" s="169">
        <f>+IFERROR(IF(MACHACHI[[#This Row],[CODIGO]]="","",MACHACHI[[#This Row],[Stock Actual Unds]]*MACHACHI[[#This Row],[Gramaje]]*MACHACHI[[#This Row],[Conversión]]),"")</f>
        <v>113.4</v>
      </c>
      <c r="W12" s="170">
        <f>+IFERROR(IF(I11="","",MACHACHI[[#This Row],[Fecha Elab.]]-MACHACHI[[#This Row],[Fecha de Ingreso]]),"")</f>
        <v>0</v>
      </c>
      <c r="X12" s="32">
        <f t="shared" si="3"/>
        <v>1</v>
      </c>
      <c r="Y12" s="241">
        <f>+IFERROR(IF(MACHACHI[[#This Row],[CODIGO]]="","",VLOOKUP(MACHACHI[[#This Row],[CODIGO]],MAESTRO!A:BI,21,FALSE)),"")</f>
        <v>4.1744400000000006</v>
      </c>
      <c r="Z12" s="237">
        <f>+IFERROR(IF(MACHACHI[[#This Row],[CODIGO]]="","",Y12*MACHACHI[[#This Row],[Conversión]]),"")</f>
        <v>4.1744400000000006</v>
      </c>
      <c r="AA12" s="241">
        <f>+IFERROR(IF(MACHACHI[[#This Row],[CODIGO]]="","",MACHACHI[[#This Row],[COSTO UNIT Conv]]*MACHACHI[[#This Row],[Stock Actual Unds]]),"")</f>
        <v>525.97944000000007</v>
      </c>
      <c r="AB12" s="33">
        <f ca="1">+IFERROR(IF(MACHACHI[[#This Row],[CODIGO]]="","",$J$3-O12),"")</f>
        <v>2</v>
      </c>
      <c r="AC12" s="34" t="str">
        <f ca="1">IF(MACHACHI[[#This Row],[CODIGO]]="","",IF(S12&lt;=0,"CADUCADO",IF(AND(S12&gt;0,S12&lt;=21),"FECHA CORTA",IF(AND(S12&gt;=22,S12&lt;=26),"PROXIMOS FECHA CORTA", "VIGENTE"))))</f>
        <v>VIGENTE</v>
      </c>
      <c r="AD12" s="171">
        <f>+IFERROR(IF(MACHACHI[[#This Row],[CODIGO]]="","",MACHACHI[[#This Row],[Stock Actual Unds]]*MACHACHI[[#This Row],[Gramaje]]*MACHACHI[[#This Row],[Conversión]]),"")/1000</f>
        <v>0.1134</v>
      </c>
    </row>
    <row r="13" spans="1:30">
      <c r="A13" s="42" t="str">
        <f>+IFERROR(IF(MACHACHI[[#This Row],[CODIGO]]="","",VLOOKUP(MACHACHI[[#This Row],[CODIGO]],MAESTRO!$A:$J,10,FALSE)),"")</f>
        <v>SAN GABRIEL</v>
      </c>
      <c r="B13" s="42" t="str">
        <f>+IFERROR(IF(MACHACHI[[#This Row],[CODIGO]]="","",VLOOKUP(MACHACHI[[#This Row],[CODIGO]],MAESTRO!$A:$Q,17,FALSE)),"")</f>
        <v>QUESOS Y GRASAS</v>
      </c>
      <c r="C13" s="42" t="str">
        <f>+IFERROR(IF(MACHACHI[[#This Row],[CODIGO]]="","",VLOOKUP(MACHACHI[[#This Row],[CODIGO]],MAESTRO!$A:$BA,53,FALSE)),"")</f>
        <v xml:space="preserve">Esteban Montenegro                      </v>
      </c>
      <c r="D13" s="42" t="str">
        <f>+IFERROR(IF(MACHACHI[[#This Row],[CODIGO]]="","",VLOOKUP(MACHACHI[[#This Row],[CODIGO]],MAESTRO!$A:$D,4,FALSE)),"")</f>
        <v>QUESO MOZARELLA KIOSKO</v>
      </c>
      <c r="E13" s="42" t="str">
        <f>+IFERROR(IF(MACHACHI[[#This Row],[CODIGO]]="","",VLOOKUP(MACHACHI[[#This Row],[CODIGO]],MAESTRO!$A:$F,6,FALSE)),"")</f>
        <v>QUESO MOZARELLA KIOSKO BLOQUE</v>
      </c>
      <c r="F13" s="42" t="str">
        <f>IF(MACHACHI[[#This Row],[CODIGO]]="","",$K$6)</f>
        <v>MACHACHI</v>
      </c>
      <c r="G13" s="49">
        <f>IF(MACHACHI[[#This Row],[CODIGO]]="","",7701)</f>
        <v>7701</v>
      </c>
      <c r="H13" s="49">
        <f>IF(MACHACHI[[#This Row],[CODIGO]]="","",1080)</f>
        <v>1080</v>
      </c>
      <c r="I13" s="256" t="s">
        <v>567</v>
      </c>
      <c r="J13" s="25" t="str">
        <f>IFERROR((VLOOKUP(MACHACHI[[#This Row],[CODIGO]],MAESTRO!A:B,2,FALSE)),"")</f>
        <v>Q MOZAR KIOSKO BLOQ 700G</v>
      </c>
      <c r="K13" s="47">
        <v>594</v>
      </c>
      <c r="L13" s="38">
        <f>+IFERROR(IF(MACHACHI[[#This Row],[CODIGO]]="","",VLOOKUP(MACHACHI[[#This Row],[CODIGO]],MAESTRO!$A:$BF,58,FALSE)),"")</f>
        <v>1</v>
      </c>
      <c r="M13" s="27">
        <f>+IFERROR(IF(MACHACHI[[#This Row],[CODIGO]]="","",VLOOKUP(MACHACHI[[#This Row],[CODIGO]],MAESTRO!A:N,14,FALSE)),"")</f>
        <v>0.7</v>
      </c>
      <c r="N13" s="28">
        <f>+IFERROR(IF(MACHACHI[[#This Row],[CODIGO]]="","",VLOOKUP(MACHACHI[[#This Row],[CODIGO]],MAESTRO!A:P,16,FALSE)),"")</f>
        <v>40</v>
      </c>
      <c r="O13" s="182">
        <f>+IF(MACHACHI[[#This Row],[CODIGO]]="","",MACHACHI[[#This Row],[Fecha Elab.]])</f>
        <v>45622</v>
      </c>
      <c r="P13" s="99" t="str">
        <f t="shared" si="6"/>
        <v>martes</v>
      </c>
      <c r="Q13" s="183">
        <f>IFERROR(IF(MACHACHI[[#This Row],[CODIGO]]="","",IF(MACHACHI[[#This Row],[Fecha Cad]]="","",(MACHACHI[[#This Row],[Fecha Cad]]-MACHACHI[[#This Row],[VIDA UTIL (Días)]]))+1),"")</f>
        <v>45622</v>
      </c>
      <c r="R13" s="18">
        <v>45661</v>
      </c>
      <c r="S13" s="180">
        <f t="shared" ref="S13:S44" ca="1" si="7">+IFERROR(IF(R13="","",R13-$J$3),0)</f>
        <v>37</v>
      </c>
      <c r="T13" s="207">
        <f t="shared" ca="1" si="4"/>
        <v>0.92500000000000004</v>
      </c>
      <c r="U13" s="47">
        <v>594</v>
      </c>
      <c r="V13" s="184">
        <f>+IFERROR(IF(MACHACHI[[#This Row],[CODIGO]]="","",MACHACHI[[#This Row],[Stock Actual Unds]]*MACHACHI[[#This Row],[Gramaje]]*MACHACHI[[#This Row],[Conversión]]),"")</f>
        <v>415.79999999999995</v>
      </c>
      <c r="W13" s="45">
        <f>+IFERROR(IF(I12="","",MACHACHI[[#This Row],[Fecha Elab.]]-MACHACHI[[#This Row],[Fecha de Ingreso]]),"")</f>
        <v>0</v>
      </c>
      <c r="X13" s="44">
        <f t="shared" si="3"/>
        <v>1</v>
      </c>
      <c r="Y13" s="236">
        <f>+IFERROR(IF(MACHACHI[[#This Row],[CODIGO]]="","",VLOOKUP(MACHACHI[[#This Row],[CODIGO]],MAESTRO!A:BI,21,FALSE)),"")</f>
        <v>3.26932</v>
      </c>
      <c r="Z13" s="236">
        <f>+IFERROR(IF(MACHACHI[[#This Row],[CODIGO]]="","",Y13*MACHACHI[[#This Row],[Conversión]]),"")</f>
        <v>3.26932</v>
      </c>
      <c r="AA13" s="236">
        <f>+IFERROR(IF(MACHACHI[[#This Row],[CODIGO]]="","",MACHACHI[[#This Row],[COSTO UNIT Conv]]*MACHACHI[[#This Row],[Stock Actual Unds]]),"")</f>
        <v>1941.9760799999999</v>
      </c>
      <c r="AB13" s="180">
        <f ca="1">+IFERROR(IF(MACHACHI[[#This Row],[CODIGO]]="","",$J$3-O13),"")</f>
        <v>2</v>
      </c>
      <c r="AC13" s="35" t="str">
        <f ca="1">IF(MACHACHI[[#This Row],[CODIGO]]="","",IF(S13&lt;=0,"CADUCADO",IF(AND(S13&gt;0,S13&lt;=21),"FECHA CORTA",IF(AND(S13&gt;=22,S13&lt;=26),"PROXIMOS FECHA CORTA", "VIGENTE"))))</f>
        <v>VIGENTE</v>
      </c>
      <c r="AD13" s="181">
        <f>+IFERROR(IF(MACHACHI[[#This Row],[CODIGO]]="","",MACHACHI[[#This Row],[Stock Actual Unds]]*MACHACHI[[#This Row],[Gramaje]]*MACHACHI[[#This Row],[Conversión]]),"")/1000</f>
        <v>0.41579999999999995</v>
      </c>
    </row>
    <row r="14" spans="1:30">
      <c r="A14" s="42" t="str">
        <f>+IFERROR(IF(MACHACHI[[#This Row],[CODIGO]]="","",VLOOKUP(MACHACHI[[#This Row],[CODIGO]],MAESTRO!$A:$J,10,FALSE)),"")</f>
        <v>SAN GABRIEL</v>
      </c>
      <c r="B14" s="42" t="str">
        <f>+IFERROR(IF(MACHACHI[[#This Row],[CODIGO]]="","",VLOOKUP(MACHACHI[[#This Row],[CODIGO]],MAESTRO!$A:$Q,17,FALSE)),"")</f>
        <v>QUESOS Y GRASAS</v>
      </c>
      <c r="C14" s="42" t="str">
        <f>+IFERROR(IF(MACHACHI[[#This Row],[CODIGO]]="","",VLOOKUP(MACHACHI[[#This Row],[CODIGO]],MAESTRO!$A:$BA,53,FALSE)),"")</f>
        <v xml:space="preserve">Esteban Montenegro                      </v>
      </c>
      <c r="D14" s="42" t="str">
        <f>+IFERROR(IF(MACHACHI[[#This Row],[CODIGO]]="","",VLOOKUP(MACHACHI[[#This Row],[CODIGO]],MAESTRO!$A:$D,4,FALSE)),"")</f>
        <v>QUESO MOZARELLA KIOSKO</v>
      </c>
      <c r="E14" s="42" t="str">
        <f>+IFERROR(IF(MACHACHI[[#This Row],[CODIGO]]="","",VLOOKUP(MACHACHI[[#This Row],[CODIGO]],MAESTRO!$A:$F,6,FALSE)),"")</f>
        <v>QUESO MOZARELLA KIOSKO BLOQUE</v>
      </c>
      <c r="F14" s="42" t="str">
        <f>IF(MACHACHI[[#This Row],[CODIGO]]="","",$K$6)</f>
        <v>MACHACHI</v>
      </c>
      <c r="G14" s="49">
        <f>IF(MACHACHI[[#This Row],[CODIGO]]="","",7701)</f>
        <v>7701</v>
      </c>
      <c r="H14" s="49">
        <f>IF(MACHACHI[[#This Row],[CODIGO]]="","",1080)</f>
        <v>1080</v>
      </c>
      <c r="I14" s="256" t="s">
        <v>567</v>
      </c>
      <c r="J14" s="25" t="str">
        <f>IFERROR((VLOOKUP(MACHACHI[[#This Row],[CODIGO]],MAESTRO!A:B,2,FALSE)),"")</f>
        <v>Q MOZAR KIOSKO BLOQ 700G</v>
      </c>
      <c r="K14" s="47">
        <v>294</v>
      </c>
      <c r="L14" s="38">
        <f>+IFERROR(IF(MACHACHI[[#This Row],[CODIGO]]="","",VLOOKUP(MACHACHI[[#This Row],[CODIGO]],MAESTRO!$A:$BF,58,FALSE)),"")</f>
        <v>1</v>
      </c>
      <c r="M14" s="27">
        <f>+IFERROR(IF(MACHACHI[[#This Row],[CODIGO]]="","",VLOOKUP(MACHACHI[[#This Row],[CODIGO]],MAESTRO!A:N,14,FALSE)),"")</f>
        <v>0.7</v>
      </c>
      <c r="N14" s="28">
        <f>+IFERROR(IF(MACHACHI[[#This Row],[CODIGO]]="","",VLOOKUP(MACHACHI[[#This Row],[CODIGO]],MAESTRO!A:P,16,FALSE)),"")</f>
        <v>40</v>
      </c>
      <c r="O14" s="182">
        <f>+IF(MACHACHI[[#This Row],[CODIGO]]="","",MACHACHI[[#This Row],[Fecha Elab.]])</f>
        <v>45618</v>
      </c>
      <c r="P14" s="99" t="str">
        <f t="shared" si="6"/>
        <v>viernes</v>
      </c>
      <c r="Q14" s="183">
        <f>IFERROR(IF(MACHACHI[[#This Row],[CODIGO]]="","",IF(MACHACHI[[#This Row],[Fecha Cad]]="","",(MACHACHI[[#This Row],[Fecha Cad]]-MACHACHI[[#This Row],[VIDA UTIL (Días)]]))+1),"")</f>
        <v>45618</v>
      </c>
      <c r="R14" s="18">
        <v>45657</v>
      </c>
      <c r="S14" s="180">
        <f t="shared" ca="1" si="7"/>
        <v>33</v>
      </c>
      <c r="T14" s="207">
        <f t="shared" ca="1" si="4"/>
        <v>0.82499999999999996</v>
      </c>
      <c r="U14" s="47">
        <v>294</v>
      </c>
      <c r="V14" s="184">
        <f>+IFERROR(IF(MACHACHI[[#This Row],[CODIGO]]="","",MACHACHI[[#This Row],[Stock Actual Unds]]*MACHACHI[[#This Row],[Gramaje]]*MACHACHI[[#This Row],[Conversión]]),"")</f>
        <v>205.79999999999998</v>
      </c>
      <c r="W14" s="45">
        <f>+IFERROR(IF(I13="","",MACHACHI[[#This Row],[Fecha Elab.]]-MACHACHI[[#This Row],[Fecha de Ingreso]]),"")</f>
        <v>0</v>
      </c>
      <c r="X14" s="44">
        <f t="shared" si="3"/>
        <v>1</v>
      </c>
      <c r="Y14" s="236">
        <f>+IFERROR(IF(MACHACHI[[#This Row],[CODIGO]]="","",VLOOKUP(MACHACHI[[#This Row],[CODIGO]],MAESTRO!A:BI,21,FALSE)),"")</f>
        <v>3.26932</v>
      </c>
      <c r="Z14" s="236">
        <f>+IFERROR(IF(MACHACHI[[#This Row],[CODIGO]]="","",Y14*MACHACHI[[#This Row],[Conversión]]),"")</f>
        <v>3.26932</v>
      </c>
      <c r="AA14" s="236">
        <f>+IFERROR(IF(MACHACHI[[#This Row],[CODIGO]]="","",MACHACHI[[#This Row],[COSTO UNIT Conv]]*MACHACHI[[#This Row],[Stock Actual Unds]]),"")</f>
        <v>961.18007999999998</v>
      </c>
      <c r="AB14" s="180">
        <f ca="1">+IFERROR(IF(MACHACHI[[#This Row],[CODIGO]]="","",$J$3-O14),"")</f>
        <v>6</v>
      </c>
      <c r="AC14" s="35" t="str">
        <f ca="1">IF(MACHACHI[[#This Row],[CODIGO]]="","",IF(S14&lt;=0,"CADUCADO",IF(AND(S14&gt;0,S14&lt;=21),"FECHA CORTA",IF(AND(S14&gt;=22,S14&lt;=26),"PROXIMOS FECHA CORTA", "VIGENTE"))))</f>
        <v>VIGENTE</v>
      </c>
      <c r="AD14" s="181">
        <f>+IFERROR(IF(MACHACHI[[#This Row],[CODIGO]]="","",MACHACHI[[#This Row],[Stock Actual Unds]]*MACHACHI[[#This Row],[Gramaje]]*MACHACHI[[#This Row],[Conversión]]),"")/1000</f>
        <v>0.20579999999999998</v>
      </c>
    </row>
    <row r="15" spans="1:30">
      <c r="A15" s="42" t="str">
        <f>+IFERROR(IF(MACHACHI[[#This Row],[CODIGO]]="","",VLOOKUP(MACHACHI[[#This Row],[CODIGO]],MAESTRO!$A:$J,10,FALSE)),"")</f>
        <v>SAN GABRIEL</v>
      </c>
      <c r="B15" s="42" t="str">
        <f>+IFERROR(IF(MACHACHI[[#This Row],[CODIGO]]="","",VLOOKUP(MACHACHI[[#This Row],[CODIGO]],MAESTRO!$A:$Q,17,FALSE)),"")</f>
        <v>QUESOS Y GRASAS</v>
      </c>
      <c r="C15" s="42" t="str">
        <f>+IFERROR(IF(MACHACHI[[#This Row],[CODIGO]]="","",VLOOKUP(MACHACHI[[#This Row],[CODIGO]],MAESTRO!$A:$BA,53,FALSE)),"")</f>
        <v xml:space="preserve">Esteban Montenegro                      </v>
      </c>
      <c r="D15" s="42" t="str">
        <f>+IFERROR(IF(MACHACHI[[#This Row],[CODIGO]]="","",VLOOKUP(MACHACHI[[#This Row],[CODIGO]],MAESTRO!$A:$D,4,FALSE)),"")</f>
        <v>QUESO MOZARELLA KIOSKO</v>
      </c>
      <c r="E15" s="42" t="str">
        <f>+IFERROR(IF(MACHACHI[[#This Row],[CODIGO]]="","",VLOOKUP(MACHACHI[[#This Row],[CODIGO]],MAESTRO!$A:$F,6,FALSE)),"")</f>
        <v>QUESO MOZARELLA LIGHT KIOSKO BLOQUE</v>
      </c>
      <c r="F15" s="42" t="str">
        <f>IF(MACHACHI[[#This Row],[CODIGO]]="","",$K$6)</f>
        <v>MACHACHI</v>
      </c>
      <c r="G15" s="49">
        <f>IF(MACHACHI[[#This Row],[CODIGO]]="","",7701)</f>
        <v>7701</v>
      </c>
      <c r="H15" s="49">
        <f>IF(MACHACHI[[#This Row],[CODIGO]]="","",1080)</f>
        <v>1080</v>
      </c>
      <c r="I15" s="256" t="s">
        <v>984</v>
      </c>
      <c r="J15" s="25" t="str">
        <f>IFERROR((VLOOKUP(MACHACHI[[#This Row],[CODIGO]],MAESTRO!A:B,2,FALSE)),"")</f>
        <v>Q MOZAR LGHT KIOSKO BLOQ 200G</v>
      </c>
      <c r="K15" s="47">
        <v>897</v>
      </c>
      <c r="L15" s="38">
        <f>+IFERROR(IF(MACHACHI[[#This Row],[CODIGO]]="","",VLOOKUP(MACHACHI[[#This Row],[CODIGO]],MAESTRO!$A:$BF,58,FALSE)),"")</f>
        <v>1</v>
      </c>
      <c r="M15" s="27">
        <f>+IFERROR(IF(MACHACHI[[#This Row],[CODIGO]]="","",VLOOKUP(MACHACHI[[#This Row],[CODIGO]],MAESTRO!A:N,14,FALSE)),"")</f>
        <v>0.2</v>
      </c>
      <c r="N15" s="28">
        <f>+IFERROR(IF(MACHACHI[[#This Row],[CODIGO]]="","",VLOOKUP(MACHACHI[[#This Row],[CODIGO]],MAESTRO!A:P,16,FALSE)),"")</f>
        <v>40</v>
      </c>
      <c r="O15" s="182">
        <f>+IF(MACHACHI[[#This Row],[CODIGO]]="","",MACHACHI[[#This Row],[Fecha Elab.]])</f>
        <v>45617</v>
      </c>
      <c r="P15" s="99" t="str">
        <f t="shared" si="6"/>
        <v>jueves</v>
      </c>
      <c r="Q15" s="183">
        <f>IFERROR(IF(MACHACHI[[#This Row],[CODIGO]]="","",IF(MACHACHI[[#This Row],[Fecha Cad]]="","",(MACHACHI[[#This Row],[Fecha Cad]]-MACHACHI[[#This Row],[VIDA UTIL (Días)]]))+1),"")</f>
        <v>45617</v>
      </c>
      <c r="R15" s="18">
        <v>45656</v>
      </c>
      <c r="S15" s="180">
        <f t="shared" ca="1" si="7"/>
        <v>32</v>
      </c>
      <c r="T15" s="207">
        <f t="shared" ca="1" si="4"/>
        <v>0.8</v>
      </c>
      <c r="U15" s="47">
        <v>897</v>
      </c>
      <c r="V15" s="184">
        <f>+IFERROR(IF(MACHACHI[[#This Row],[CODIGO]]="","",MACHACHI[[#This Row],[Stock Actual Unds]]*MACHACHI[[#This Row],[Gramaje]]*MACHACHI[[#This Row],[Conversión]]),"")</f>
        <v>179.4</v>
      </c>
      <c r="W15" s="45">
        <f>+IFERROR(IF(I14="","",MACHACHI[[#This Row],[Fecha Elab.]]-MACHACHI[[#This Row],[Fecha de Ingreso]]),"")</f>
        <v>0</v>
      </c>
      <c r="X15" s="44">
        <f t="shared" si="3"/>
        <v>1</v>
      </c>
      <c r="Y15" s="236">
        <f>+IFERROR(IF(MACHACHI[[#This Row],[CODIGO]]="","",VLOOKUP(MACHACHI[[#This Row],[CODIGO]],MAESTRO!A:BI,21,FALSE)),"")</f>
        <v>1.11269</v>
      </c>
      <c r="Z15" s="236">
        <f>+IFERROR(IF(MACHACHI[[#This Row],[CODIGO]]="","",Y15*MACHACHI[[#This Row],[Conversión]]),"")</f>
        <v>1.11269</v>
      </c>
      <c r="AA15" s="236">
        <f>+IFERROR(IF(MACHACHI[[#This Row],[CODIGO]]="","",MACHACHI[[#This Row],[COSTO UNIT Conv]]*MACHACHI[[#This Row],[Stock Actual Unds]]),"")</f>
        <v>998.08292999999992</v>
      </c>
      <c r="AB15" s="180">
        <f ca="1">+IFERROR(IF(MACHACHI[[#This Row],[CODIGO]]="","",$J$3-O15),"")</f>
        <v>7</v>
      </c>
      <c r="AC15" s="35" t="str">
        <f ca="1">IF(MACHACHI[[#This Row],[CODIGO]]="","",IF(S15&lt;=0,"CADUCADO",IF(AND(S15&gt;0,S15&lt;=21),"FECHA CORTA",IF(AND(S15&gt;=22,S15&lt;=26),"PROXIMOS FECHA CORTA", "VIGENTE"))))</f>
        <v>VIGENTE</v>
      </c>
      <c r="AD15" s="181">
        <f>+IFERROR(IF(MACHACHI[[#This Row],[CODIGO]]="","",MACHACHI[[#This Row],[Stock Actual Unds]]*MACHACHI[[#This Row],[Gramaje]]*MACHACHI[[#This Row],[Conversión]]),"")/1000</f>
        <v>0.1794</v>
      </c>
    </row>
    <row r="16" spans="1:30">
      <c r="A16" s="42" t="str">
        <f>+IFERROR(IF(MACHACHI[[#This Row],[CODIGO]]="","",VLOOKUP(MACHACHI[[#This Row],[CODIGO]],MAESTRO!$A:$J,10,FALSE)),"")</f>
        <v>SAN GABRIEL</v>
      </c>
      <c r="B16" s="42" t="str">
        <f>+IFERROR(IF(MACHACHI[[#This Row],[CODIGO]]="","",VLOOKUP(MACHACHI[[#This Row],[CODIGO]],MAESTRO!$A:$Q,17,FALSE)),"")</f>
        <v>QUESOS Y GRASAS</v>
      </c>
      <c r="C16" s="42" t="str">
        <f>+IFERROR(IF(MACHACHI[[#This Row],[CODIGO]]="","",VLOOKUP(MACHACHI[[#This Row],[CODIGO]],MAESTRO!$A:$BA,53,FALSE)),"")</f>
        <v xml:space="preserve">Esteban Montenegro                      </v>
      </c>
      <c r="D16" s="42" t="str">
        <f>+IFERROR(IF(MACHACHI[[#This Row],[CODIGO]]="","",VLOOKUP(MACHACHI[[#This Row],[CODIGO]],MAESTRO!$A:$D,4,FALSE)),"")</f>
        <v>QUESO MOZARELLA KIOSKO</v>
      </c>
      <c r="E16" s="42" t="str">
        <f>+IFERROR(IF(MACHACHI[[#This Row],[CODIGO]]="","",VLOOKUP(MACHACHI[[#This Row],[CODIGO]],MAESTRO!$A:$F,6,FALSE)),"")</f>
        <v>QUESO MOZARELLA LIGHT KIOSKO BLOQUE</v>
      </c>
      <c r="F16" s="42" t="str">
        <f>IF(MACHACHI[[#This Row],[CODIGO]]="","",$K$6)</f>
        <v>MACHACHI</v>
      </c>
      <c r="G16" s="49">
        <f>IF(MACHACHI[[#This Row],[CODIGO]]="","",7701)</f>
        <v>7701</v>
      </c>
      <c r="H16" s="49">
        <f>IF(MACHACHI[[#This Row],[CODIGO]]="","",1080)</f>
        <v>1080</v>
      </c>
      <c r="I16" s="256" t="s">
        <v>984</v>
      </c>
      <c r="J16" s="25" t="str">
        <f>IFERROR((VLOOKUP(MACHACHI[[#This Row],[CODIGO]],MAESTRO!A:B,2,FALSE)),"")</f>
        <v>Q MOZAR LGHT KIOSKO BLOQ 200G</v>
      </c>
      <c r="K16" s="47">
        <v>720</v>
      </c>
      <c r="L16" s="38">
        <f>+IFERROR(IF(MACHACHI[[#This Row],[CODIGO]]="","",VLOOKUP(MACHACHI[[#This Row],[CODIGO]],MAESTRO!$A:$BF,58,FALSE)),"")</f>
        <v>1</v>
      </c>
      <c r="M16" s="27">
        <f>+IFERROR(IF(MACHACHI[[#This Row],[CODIGO]]="","",VLOOKUP(MACHACHI[[#This Row],[CODIGO]],MAESTRO!A:N,14,FALSE)),"")</f>
        <v>0.2</v>
      </c>
      <c r="N16" s="28">
        <f>+IFERROR(IF(MACHACHI[[#This Row],[CODIGO]]="","",VLOOKUP(MACHACHI[[#This Row],[CODIGO]],MAESTRO!A:P,16,FALSE)),"")</f>
        <v>40</v>
      </c>
      <c r="O16" s="182">
        <f>+IF(MACHACHI[[#This Row],[CODIGO]]="","",MACHACHI[[#This Row],[Fecha Elab.]])</f>
        <v>45619</v>
      </c>
      <c r="P16" s="99" t="str">
        <f t="shared" si="6"/>
        <v>sábado</v>
      </c>
      <c r="Q16" s="183">
        <f>IFERROR(IF(MACHACHI[[#This Row],[CODIGO]]="","",IF(MACHACHI[[#This Row],[Fecha Cad]]="","",(MACHACHI[[#This Row],[Fecha Cad]]-MACHACHI[[#This Row],[VIDA UTIL (Días)]]))+1),"")</f>
        <v>45619</v>
      </c>
      <c r="R16" s="18">
        <v>45658</v>
      </c>
      <c r="S16" s="180">
        <f t="shared" ca="1" si="7"/>
        <v>34</v>
      </c>
      <c r="T16" s="207">
        <f t="shared" ca="1" si="4"/>
        <v>0.85</v>
      </c>
      <c r="U16" s="47">
        <v>720</v>
      </c>
      <c r="V16" s="184">
        <f>+IFERROR(IF(MACHACHI[[#This Row],[CODIGO]]="","",MACHACHI[[#This Row],[Stock Actual Unds]]*MACHACHI[[#This Row],[Gramaje]]*MACHACHI[[#This Row],[Conversión]]),"")</f>
        <v>144</v>
      </c>
      <c r="W16" s="45">
        <f>+IFERROR(IF(I15="","",MACHACHI[[#This Row],[Fecha Elab.]]-MACHACHI[[#This Row],[Fecha de Ingreso]]),"")</f>
        <v>0</v>
      </c>
      <c r="X16" s="44">
        <f t="shared" si="3"/>
        <v>1</v>
      </c>
      <c r="Y16" s="236">
        <f>+IFERROR(IF(MACHACHI[[#This Row],[CODIGO]]="","",VLOOKUP(MACHACHI[[#This Row],[CODIGO]],MAESTRO!A:BI,21,FALSE)),"")</f>
        <v>1.11269</v>
      </c>
      <c r="Z16" s="236">
        <f>+IFERROR(IF(MACHACHI[[#This Row],[CODIGO]]="","",Y16*MACHACHI[[#This Row],[Conversión]]),"")</f>
        <v>1.11269</v>
      </c>
      <c r="AA16" s="236">
        <f>+IFERROR(IF(MACHACHI[[#This Row],[CODIGO]]="","",MACHACHI[[#This Row],[COSTO UNIT Conv]]*MACHACHI[[#This Row],[Stock Actual Unds]]),"")</f>
        <v>801.13679999999999</v>
      </c>
      <c r="AB16" s="180">
        <f ca="1">+IFERROR(IF(MACHACHI[[#This Row],[CODIGO]]="","",$J$3-O16),"")</f>
        <v>5</v>
      </c>
      <c r="AC16" s="35" t="str">
        <f ca="1">IF(MACHACHI[[#This Row],[CODIGO]]="","",IF(S16&lt;=0,"CADUCADO",IF(AND(S16&gt;0,S16&lt;=21),"FECHA CORTA",IF(AND(S16&gt;=22,S16&lt;=26),"PROXIMOS FECHA CORTA", "VIGENTE"))))</f>
        <v>VIGENTE</v>
      </c>
      <c r="AD16" s="181">
        <f>+IFERROR(IF(MACHACHI[[#This Row],[CODIGO]]="","",MACHACHI[[#This Row],[Stock Actual Unds]]*MACHACHI[[#This Row],[Gramaje]]*MACHACHI[[#This Row],[Conversión]]),"")/1000</f>
        <v>0.14399999999999999</v>
      </c>
    </row>
    <row r="17" spans="1:30">
      <c r="A17" s="42" t="str">
        <f>+IFERROR(IF(MACHACHI[[#This Row],[CODIGO]]="","",VLOOKUP(MACHACHI[[#This Row],[CODIGO]],MAESTRO!$A:$J,10,FALSE)),"")</f>
        <v>SAN GABRIEL</v>
      </c>
      <c r="B17" s="42" t="str">
        <f>+IFERROR(IF(MACHACHI[[#This Row],[CODIGO]]="","",VLOOKUP(MACHACHI[[#This Row],[CODIGO]],MAESTRO!$A:$Q,17,FALSE)),"")</f>
        <v>QUESOS Y GRASAS</v>
      </c>
      <c r="C17" s="42" t="str">
        <f>+IFERROR(IF(MACHACHI[[#This Row],[CODIGO]]="","",VLOOKUP(MACHACHI[[#This Row],[CODIGO]],MAESTRO!$A:$BA,53,FALSE)),"")</f>
        <v xml:space="preserve">Esteban Montenegro                      </v>
      </c>
      <c r="D17" s="42" t="str">
        <f>+IFERROR(IF(MACHACHI[[#This Row],[CODIGO]]="","",VLOOKUP(MACHACHI[[#This Row],[CODIGO]],MAESTRO!$A:$D,4,FALSE)),"")</f>
        <v>QUESO MOZARELLA KIOSKO</v>
      </c>
      <c r="E17" s="42" t="str">
        <f>+IFERROR(IF(MACHACHI[[#This Row],[CODIGO]]="","",VLOOKUP(MACHACHI[[#This Row],[CODIGO]],MAESTRO!$A:$F,6,FALSE)),"")</f>
        <v>QUESO MOZARELLA LIGHT KIOSKO BLOQUE</v>
      </c>
      <c r="F17" s="42" t="str">
        <f>IF(MACHACHI[[#This Row],[CODIGO]]="","",$K$6)</f>
        <v>MACHACHI</v>
      </c>
      <c r="G17" s="49">
        <f>IF(MACHACHI[[#This Row],[CODIGO]]="","",7701)</f>
        <v>7701</v>
      </c>
      <c r="H17" s="49">
        <f>IF(MACHACHI[[#This Row],[CODIGO]]="","",1080)</f>
        <v>1080</v>
      </c>
      <c r="I17" s="256" t="s">
        <v>4143</v>
      </c>
      <c r="J17" s="25" t="str">
        <f>IFERROR((VLOOKUP(MACHACHI[[#This Row],[CODIGO]],MAESTRO!A:B,2,FALSE)),"")</f>
        <v>Q MOZAR LGHT KIOSKO BLOQ 700G</v>
      </c>
      <c r="K17" s="47">
        <v>2</v>
      </c>
      <c r="L17" s="38">
        <f>+IFERROR(IF(MACHACHI[[#This Row],[CODIGO]]="","",VLOOKUP(MACHACHI[[#This Row],[CODIGO]],MAESTRO!$A:$BF,58,FALSE)),"")</f>
        <v>1</v>
      </c>
      <c r="M17" s="27">
        <f>+IFERROR(IF(MACHACHI[[#This Row],[CODIGO]]="","",VLOOKUP(MACHACHI[[#This Row],[CODIGO]],MAESTRO!A:N,14,FALSE)),"")</f>
        <v>0.7</v>
      </c>
      <c r="N17" s="28">
        <f>+IFERROR(IF(MACHACHI[[#This Row],[CODIGO]]="","",VLOOKUP(MACHACHI[[#This Row],[CODIGO]],MAESTRO!A:P,16,FALSE)),"")</f>
        <v>40</v>
      </c>
      <c r="O17" s="182">
        <f>+IF(MACHACHI[[#This Row],[CODIGO]]="","",MACHACHI[[#This Row],[Fecha Elab.]])</f>
        <v>45616</v>
      </c>
      <c r="P17" s="99" t="str">
        <f t="shared" si="6"/>
        <v>miércoles</v>
      </c>
      <c r="Q17" s="183">
        <f>IFERROR(IF(MACHACHI[[#This Row],[CODIGO]]="","",IF(MACHACHI[[#This Row],[Fecha Cad]]="","",(MACHACHI[[#This Row],[Fecha Cad]]-MACHACHI[[#This Row],[VIDA UTIL (Días)]]))+1),"")</f>
        <v>45616</v>
      </c>
      <c r="R17" s="18">
        <v>45655</v>
      </c>
      <c r="S17" s="180">
        <f t="shared" ca="1" si="7"/>
        <v>31</v>
      </c>
      <c r="T17" s="207">
        <f t="shared" ca="1" si="4"/>
        <v>0.77500000000000002</v>
      </c>
      <c r="U17" s="47">
        <v>2</v>
      </c>
      <c r="V17" s="184">
        <f>+IFERROR(IF(MACHACHI[[#This Row],[CODIGO]]="","",MACHACHI[[#This Row],[Stock Actual Unds]]*MACHACHI[[#This Row],[Gramaje]]*MACHACHI[[#This Row],[Conversión]]),"")</f>
        <v>1.4</v>
      </c>
      <c r="W17" s="45">
        <f>+IFERROR(IF(I16="","",MACHACHI[[#This Row],[Fecha Elab.]]-MACHACHI[[#This Row],[Fecha de Ingreso]]),"")</f>
        <v>0</v>
      </c>
      <c r="X17" s="44">
        <f t="shared" si="3"/>
        <v>1</v>
      </c>
      <c r="Y17" s="236">
        <f>+IFERROR(IF(MACHACHI[[#This Row],[CODIGO]]="","",VLOOKUP(MACHACHI[[#This Row],[CODIGO]],MAESTRO!A:BI,21,FALSE)),"")</f>
        <v>3.8565149999999999</v>
      </c>
      <c r="Z17" s="236">
        <f>+IFERROR(IF(MACHACHI[[#This Row],[CODIGO]]="","",Y17*MACHACHI[[#This Row],[Conversión]]),"")</f>
        <v>3.8565149999999999</v>
      </c>
      <c r="AA17" s="236">
        <f>+IFERROR(IF(MACHACHI[[#This Row],[CODIGO]]="","",MACHACHI[[#This Row],[COSTO UNIT Conv]]*MACHACHI[[#This Row],[Stock Actual Unds]]),"")</f>
        <v>7.7130299999999998</v>
      </c>
      <c r="AB17" s="180">
        <f ca="1">+IFERROR(IF(MACHACHI[[#This Row],[CODIGO]]="","",$J$3-O17),"")</f>
        <v>8</v>
      </c>
      <c r="AC17" s="35" t="str">
        <f ca="1">IF(MACHACHI[[#This Row],[CODIGO]]="","",IF(S17&lt;=0,"CADUCADO",IF(AND(S17&gt;0,S17&lt;=21),"FECHA CORTA",IF(AND(S17&gt;=22,S17&lt;=26),"PROXIMOS FECHA CORTA", "VIGENTE"))))</f>
        <v>VIGENTE</v>
      </c>
      <c r="AD17" s="181">
        <f>+IFERROR(IF(MACHACHI[[#This Row],[CODIGO]]="","",MACHACHI[[#This Row],[Stock Actual Unds]]*MACHACHI[[#This Row],[Gramaje]]*MACHACHI[[#This Row],[Conversión]]),"")/1000</f>
        <v>1.4E-3</v>
      </c>
    </row>
    <row r="18" spans="1:30">
      <c r="A18" s="42" t="str">
        <f>+IFERROR(IF(MACHACHI[[#This Row],[CODIGO]]="","",VLOOKUP(MACHACHI[[#This Row],[CODIGO]],MAESTRO!$A:$J,10,FALSE)),"")</f>
        <v>SAN GABRIEL</v>
      </c>
      <c r="B18" s="42" t="str">
        <f>+IFERROR(IF(MACHACHI[[#This Row],[CODIGO]]="","",VLOOKUP(MACHACHI[[#This Row],[CODIGO]],MAESTRO!$A:$Q,17,FALSE)),"")</f>
        <v>QUESOS Y GRASAS</v>
      </c>
      <c r="C18" s="42" t="str">
        <f>+IFERROR(IF(MACHACHI[[#This Row],[CODIGO]]="","",VLOOKUP(MACHACHI[[#This Row],[CODIGO]],MAESTRO!$A:$BA,53,FALSE)),"")</f>
        <v xml:space="preserve">Esteban Montenegro                      </v>
      </c>
      <c r="D18" s="42" t="str">
        <f>+IFERROR(IF(MACHACHI[[#This Row],[CODIGO]]="","",VLOOKUP(MACHACHI[[#This Row],[CODIGO]],MAESTRO!$A:$D,4,FALSE)),"")</f>
        <v>QUESO MOZARELLA KIOSKO</v>
      </c>
      <c r="E18" s="42" t="str">
        <f>+IFERROR(IF(MACHACHI[[#This Row],[CODIGO]]="","",VLOOKUP(MACHACHI[[#This Row],[CODIGO]],MAESTRO!$A:$F,6,FALSE)),"")</f>
        <v>QUESO MOZARELLA LIGHT KIOSKO BLOQUE</v>
      </c>
      <c r="F18" s="42" t="str">
        <f>IF(MACHACHI[[#This Row],[CODIGO]]="","",$K$6)</f>
        <v>MACHACHI</v>
      </c>
      <c r="G18" s="49">
        <f>IF(MACHACHI[[#This Row],[CODIGO]]="","",7701)</f>
        <v>7701</v>
      </c>
      <c r="H18" s="49">
        <f>IF(MACHACHI[[#This Row],[CODIGO]]="","",1080)</f>
        <v>1080</v>
      </c>
      <c r="I18" s="256" t="s">
        <v>4143</v>
      </c>
      <c r="J18" s="25" t="str">
        <f>IFERROR((VLOOKUP(MACHACHI[[#This Row],[CODIGO]],MAESTRO!A:B,2,FALSE)),"")</f>
        <v>Q MOZAR LGHT KIOSKO BLOQ 700G</v>
      </c>
      <c r="K18" s="47">
        <v>35</v>
      </c>
      <c r="L18" s="38">
        <f>+IFERROR(IF(MACHACHI[[#This Row],[CODIGO]]="","",VLOOKUP(MACHACHI[[#This Row],[CODIGO]],MAESTRO!$A:$BF,58,FALSE)),"")</f>
        <v>1</v>
      </c>
      <c r="M18" s="27">
        <f>+IFERROR(IF(MACHACHI[[#This Row],[CODIGO]]="","",VLOOKUP(MACHACHI[[#This Row],[CODIGO]],MAESTRO!A:N,14,FALSE)),"")</f>
        <v>0.7</v>
      </c>
      <c r="N18" s="28">
        <f>+IFERROR(IF(MACHACHI[[#This Row],[CODIGO]]="","",VLOOKUP(MACHACHI[[#This Row],[CODIGO]],MAESTRO!A:P,16,FALSE)),"")</f>
        <v>40</v>
      </c>
      <c r="O18" s="182">
        <f>+IF(MACHACHI[[#This Row],[CODIGO]]="","",MACHACHI[[#This Row],[Fecha Elab.]])</f>
        <v>45618</v>
      </c>
      <c r="P18" s="99" t="str">
        <f t="shared" si="6"/>
        <v>viernes</v>
      </c>
      <c r="Q18" s="183">
        <f>IFERROR(IF(MACHACHI[[#This Row],[CODIGO]]="","",IF(MACHACHI[[#This Row],[Fecha Cad]]="","",(MACHACHI[[#This Row],[Fecha Cad]]-MACHACHI[[#This Row],[VIDA UTIL (Días)]]))+1),"")</f>
        <v>45618</v>
      </c>
      <c r="R18" s="18">
        <v>45657</v>
      </c>
      <c r="S18" s="180">
        <f t="shared" ca="1" si="7"/>
        <v>33</v>
      </c>
      <c r="T18" s="207">
        <f t="shared" ca="1" si="4"/>
        <v>0.82499999999999996</v>
      </c>
      <c r="U18" s="47">
        <v>35</v>
      </c>
      <c r="V18" s="184">
        <f>+IFERROR(IF(MACHACHI[[#This Row],[CODIGO]]="","",MACHACHI[[#This Row],[Stock Actual Unds]]*MACHACHI[[#This Row],[Gramaje]]*MACHACHI[[#This Row],[Conversión]]),"")</f>
        <v>24.5</v>
      </c>
      <c r="W18" s="45">
        <f>+IFERROR(IF(I17="","",MACHACHI[[#This Row],[Fecha Elab.]]-MACHACHI[[#This Row],[Fecha de Ingreso]]),"")</f>
        <v>0</v>
      </c>
      <c r="X18" s="44">
        <f t="shared" si="3"/>
        <v>1</v>
      </c>
      <c r="Y18" s="236">
        <f>+IFERROR(IF(MACHACHI[[#This Row],[CODIGO]]="","",VLOOKUP(MACHACHI[[#This Row],[CODIGO]],MAESTRO!A:BI,21,FALSE)),"")</f>
        <v>3.8565149999999999</v>
      </c>
      <c r="Z18" s="236">
        <f>+IFERROR(IF(MACHACHI[[#This Row],[CODIGO]]="","",Y18*MACHACHI[[#This Row],[Conversión]]),"")</f>
        <v>3.8565149999999999</v>
      </c>
      <c r="AA18" s="236">
        <f>+IFERROR(IF(MACHACHI[[#This Row],[CODIGO]]="","",MACHACHI[[#This Row],[COSTO UNIT Conv]]*MACHACHI[[#This Row],[Stock Actual Unds]]),"")</f>
        <v>134.978025</v>
      </c>
      <c r="AB18" s="180">
        <f ca="1">+IFERROR(IF(MACHACHI[[#This Row],[CODIGO]]="","",$J$3-O18),"")</f>
        <v>6</v>
      </c>
      <c r="AC18" s="35" t="str">
        <f ca="1">IF(MACHACHI[[#This Row],[CODIGO]]="","",IF(S18&lt;=0,"CADUCADO",IF(AND(S18&gt;0,S18&lt;=21),"FECHA CORTA",IF(AND(S18&gt;=22,S18&lt;=26),"PROXIMOS FECHA CORTA", "VIGENTE"))))</f>
        <v>VIGENTE</v>
      </c>
      <c r="AD18" s="181">
        <f>+IFERROR(IF(MACHACHI[[#This Row],[CODIGO]]="","",MACHACHI[[#This Row],[Stock Actual Unds]]*MACHACHI[[#This Row],[Gramaje]]*MACHACHI[[#This Row],[Conversión]]),"")/1000</f>
        <v>2.4500000000000001E-2</v>
      </c>
    </row>
    <row r="19" spans="1:30">
      <c r="A19" s="42" t="str">
        <f>+IFERROR(IF(MACHACHI[[#This Row],[CODIGO]]="","",VLOOKUP(MACHACHI[[#This Row],[CODIGO]],MAESTRO!$A:$J,10,FALSE)),"")</f>
        <v>SAN GABRIEL</v>
      </c>
      <c r="B19" s="42" t="str">
        <f>+IFERROR(IF(MACHACHI[[#This Row],[CODIGO]]="","",VLOOKUP(MACHACHI[[#This Row],[CODIGO]],MAESTRO!$A:$Q,17,FALSE)),"")</f>
        <v>QUESOS Y GRASAS</v>
      </c>
      <c r="C19" s="42" t="str">
        <f>+IFERROR(IF(MACHACHI[[#This Row],[CODIGO]]="","",VLOOKUP(MACHACHI[[#This Row],[CODIGO]],MAESTRO!$A:$BA,53,FALSE)),"")</f>
        <v xml:space="preserve">Esteban Montenegro                      </v>
      </c>
      <c r="D19" s="42" t="str">
        <f>+IFERROR(IF(MACHACHI[[#This Row],[CODIGO]]="","",VLOOKUP(MACHACHI[[#This Row],[CODIGO]],MAESTRO!$A:$D,4,FALSE)),"")</f>
        <v>QUESO MOZARELLA KIOSKO</v>
      </c>
      <c r="E19" s="42" t="str">
        <f>+IFERROR(IF(MACHACHI[[#This Row],[CODIGO]]="","",VLOOKUP(MACHACHI[[#This Row],[CODIGO]],MAESTRO!$A:$F,6,FALSE)),"")</f>
        <v>QUESO MOZARELLA LIGHT KIOSKO BLOQUE</v>
      </c>
      <c r="F19" s="42" t="str">
        <f>IF(MACHACHI[[#This Row],[CODIGO]]="","",$K$6)</f>
        <v>MACHACHI</v>
      </c>
      <c r="G19" s="49">
        <f>IF(MACHACHI[[#This Row],[CODIGO]]="","",7701)</f>
        <v>7701</v>
      </c>
      <c r="H19" s="49">
        <f>IF(MACHACHI[[#This Row],[CODIGO]]="","",1080)</f>
        <v>1080</v>
      </c>
      <c r="I19" s="256" t="s">
        <v>4143</v>
      </c>
      <c r="J19" s="25" t="str">
        <f>IFERROR((VLOOKUP(MACHACHI[[#This Row],[CODIGO]],MAESTRO!A:B,2,FALSE)),"")</f>
        <v>Q MOZAR LGHT KIOSKO BLOQ 700G</v>
      </c>
      <c r="K19" s="47">
        <v>108</v>
      </c>
      <c r="L19" s="38">
        <f>+IFERROR(IF(MACHACHI[[#This Row],[CODIGO]]="","",VLOOKUP(MACHACHI[[#This Row],[CODIGO]],MAESTRO!$A:$BF,58,FALSE)),"")</f>
        <v>1</v>
      </c>
      <c r="M19" s="27">
        <f>+IFERROR(IF(MACHACHI[[#This Row],[CODIGO]]="","",VLOOKUP(MACHACHI[[#This Row],[CODIGO]],MAESTRO!A:N,14,FALSE)),"")</f>
        <v>0.7</v>
      </c>
      <c r="N19" s="28">
        <f>+IFERROR(IF(MACHACHI[[#This Row],[CODIGO]]="","",VLOOKUP(MACHACHI[[#This Row],[CODIGO]],MAESTRO!A:P,16,FALSE)),"")</f>
        <v>40</v>
      </c>
      <c r="O19" s="182">
        <f>+IF(MACHACHI[[#This Row],[CODIGO]]="","",MACHACHI[[#This Row],[Fecha Elab.]])</f>
        <v>45623</v>
      </c>
      <c r="P19" s="99" t="str">
        <f t="shared" si="6"/>
        <v>miércoles</v>
      </c>
      <c r="Q19" s="183">
        <f>IFERROR(IF(MACHACHI[[#This Row],[CODIGO]]="","",IF(MACHACHI[[#This Row],[Fecha Cad]]="","",(MACHACHI[[#This Row],[Fecha Cad]]-MACHACHI[[#This Row],[VIDA UTIL (Días)]]))+1),"")</f>
        <v>45623</v>
      </c>
      <c r="R19" s="18">
        <v>45662</v>
      </c>
      <c r="S19" s="180">
        <f t="shared" ca="1" si="7"/>
        <v>38</v>
      </c>
      <c r="T19" s="207">
        <f t="shared" ca="1" si="4"/>
        <v>0.95</v>
      </c>
      <c r="U19" s="47">
        <v>108</v>
      </c>
      <c r="V19" s="184">
        <f>+IFERROR(IF(MACHACHI[[#This Row],[CODIGO]]="","",MACHACHI[[#This Row],[Stock Actual Unds]]*MACHACHI[[#This Row],[Gramaje]]*MACHACHI[[#This Row],[Conversión]]),"")</f>
        <v>75.599999999999994</v>
      </c>
      <c r="W19" s="45">
        <f>+IFERROR(IF(I18="","",MACHACHI[[#This Row],[Fecha Elab.]]-MACHACHI[[#This Row],[Fecha de Ingreso]]),"")</f>
        <v>0</v>
      </c>
      <c r="X19" s="44">
        <f t="shared" si="3"/>
        <v>1</v>
      </c>
      <c r="Y19" s="236">
        <f>+IFERROR(IF(MACHACHI[[#This Row],[CODIGO]]="","",VLOOKUP(MACHACHI[[#This Row],[CODIGO]],MAESTRO!A:BI,21,FALSE)),"")</f>
        <v>3.8565149999999999</v>
      </c>
      <c r="Z19" s="236">
        <f>+IFERROR(IF(MACHACHI[[#This Row],[CODIGO]]="","",Y19*MACHACHI[[#This Row],[Conversión]]),"")</f>
        <v>3.8565149999999999</v>
      </c>
      <c r="AA19" s="236">
        <f>+IFERROR(IF(MACHACHI[[#This Row],[CODIGO]]="","",MACHACHI[[#This Row],[COSTO UNIT Conv]]*MACHACHI[[#This Row],[Stock Actual Unds]]),"")</f>
        <v>416.50362000000001</v>
      </c>
      <c r="AB19" s="180">
        <f ca="1">+IFERROR(IF(MACHACHI[[#This Row],[CODIGO]]="","",$J$3-O19),"")</f>
        <v>1</v>
      </c>
      <c r="AC19" s="35" t="str">
        <f ca="1">IF(MACHACHI[[#This Row],[CODIGO]]="","",IF(S19&lt;=0,"CADUCADO",IF(AND(S19&gt;0,S19&lt;=21),"FECHA CORTA",IF(AND(S19&gt;=22,S19&lt;=26),"PROXIMOS FECHA CORTA", "VIGENTE"))))</f>
        <v>VIGENTE</v>
      </c>
      <c r="AD19" s="181">
        <f>+IFERROR(IF(MACHACHI[[#This Row],[CODIGO]]="","",MACHACHI[[#This Row],[Stock Actual Unds]]*MACHACHI[[#This Row],[Gramaje]]*MACHACHI[[#This Row],[Conversión]]),"")/1000</f>
        <v>7.5600000000000001E-2</v>
      </c>
    </row>
    <row r="20" spans="1:30">
      <c r="A20" s="42" t="str">
        <f>+IFERROR(IF(MACHACHI[[#This Row],[CODIGO]]="","",VLOOKUP(MACHACHI[[#This Row],[CODIGO]],MAESTRO!$A:$J,10,FALSE)),"")</f>
        <v>SAN GABRIEL</v>
      </c>
      <c r="B20" s="42" t="str">
        <f>+IFERROR(IF(MACHACHI[[#This Row],[CODIGO]]="","",VLOOKUP(MACHACHI[[#This Row],[CODIGO]],MAESTRO!$A:$Q,17,FALSE)),"")</f>
        <v>QUESOS Y GRASAS</v>
      </c>
      <c r="C20" s="42" t="str">
        <f>+IFERROR(IF(MACHACHI[[#This Row],[CODIGO]]="","",VLOOKUP(MACHACHI[[#This Row],[CODIGO]],MAESTRO!$A:$BA,53,FALSE)),"")</f>
        <v xml:space="preserve">Esteban Montenegro                      </v>
      </c>
      <c r="D20" s="42" t="str">
        <f>+IFERROR(IF(MACHACHI[[#This Row],[CODIGO]]="","",VLOOKUP(MACHACHI[[#This Row],[CODIGO]],MAESTRO!$A:$D,4,FALSE)),"")</f>
        <v>QUESO MOZARELLA KIOSKO</v>
      </c>
      <c r="E20" s="42" t="str">
        <f>+IFERROR(IF(MACHACHI[[#This Row],[CODIGO]]="","",VLOOKUP(MACHACHI[[#This Row],[CODIGO]],MAESTRO!$A:$F,6,FALSE)),"")</f>
        <v>QUESO MOZARELLA SNACK</v>
      </c>
      <c r="F20" s="42" t="str">
        <f>IF(MACHACHI[[#This Row],[CODIGO]]="","",$K$6)</f>
        <v>MACHACHI</v>
      </c>
      <c r="G20" s="49">
        <f>IF(MACHACHI[[#This Row],[CODIGO]]="","",7701)</f>
        <v>7701</v>
      </c>
      <c r="H20" s="49">
        <f>IF(MACHACHI[[#This Row],[CODIGO]]="","",1080)</f>
        <v>1080</v>
      </c>
      <c r="I20" s="256" t="s">
        <v>4752</v>
      </c>
      <c r="J20" s="25" t="str">
        <f>IFERROR((VLOOKUP(MACHACHI[[#This Row],[CODIGO]],MAESTRO!A:B,2,FALSE)),"")</f>
        <v>Q MOZAR KIOSKO SNACK 50G</v>
      </c>
      <c r="K20" s="47">
        <v>2755</v>
      </c>
      <c r="L20" s="38">
        <f>+IFERROR(IF(MACHACHI[[#This Row],[CODIGO]]="","",VLOOKUP(MACHACHI[[#This Row],[CODIGO]],MAESTRO!$A:$BF,58,FALSE)),"")</f>
        <v>1</v>
      </c>
      <c r="M20" s="27">
        <f>+IFERROR(IF(MACHACHI[[#This Row],[CODIGO]]="","",VLOOKUP(MACHACHI[[#This Row],[CODIGO]],MAESTRO!A:N,14,FALSE)),"")</f>
        <v>0.05</v>
      </c>
      <c r="N20" s="28">
        <f>+IFERROR(IF(MACHACHI[[#This Row],[CODIGO]]="","",VLOOKUP(MACHACHI[[#This Row],[CODIGO]],MAESTRO!A:P,16,FALSE)),"")</f>
        <v>40</v>
      </c>
      <c r="O20" s="182">
        <f>+IF(MACHACHI[[#This Row],[CODIGO]]="","",MACHACHI[[#This Row],[Fecha Elab.]])</f>
        <v>45623</v>
      </c>
      <c r="P20" s="99" t="str">
        <f t="shared" si="6"/>
        <v>miércoles</v>
      </c>
      <c r="Q20" s="183">
        <f>IFERROR(IF(MACHACHI[[#This Row],[CODIGO]]="","",IF(MACHACHI[[#This Row],[Fecha Cad]]="","",(MACHACHI[[#This Row],[Fecha Cad]]-MACHACHI[[#This Row],[VIDA UTIL (Días)]]))+1),"")</f>
        <v>45623</v>
      </c>
      <c r="R20" s="18">
        <v>45662</v>
      </c>
      <c r="S20" s="180">
        <f t="shared" ca="1" si="7"/>
        <v>38</v>
      </c>
      <c r="T20" s="207">
        <f t="shared" ca="1" si="4"/>
        <v>0.95</v>
      </c>
      <c r="U20" s="47">
        <v>2755</v>
      </c>
      <c r="V20" s="184">
        <f>+IFERROR(IF(MACHACHI[[#This Row],[CODIGO]]="","",MACHACHI[[#This Row],[Stock Actual Unds]]*MACHACHI[[#This Row],[Gramaje]]*MACHACHI[[#This Row],[Conversión]]),"")</f>
        <v>137.75</v>
      </c>
      <c r="W20" s="45">
        <f>+IFERROR(IF(I19="","",MACHACHI[[#This Row],[Fecha Elab.]]-MACHACHI[[#This Row],[Fecha de Ingreso]]),"")</f>
        <v>0</v>
      </c>
      <c r="X20" s="44">
        <f t="shared" si="3"/>
        <v>1</v>
      </c>
      <c r="Y20" s="236">
        <f>+IFERROR(IF(MACHACHI[[#This Row],[CODIGO]]="","",VLOOKUP(MACHACHI[[#This Row],[CODIGO]],MAESTRO!A:BI,21,FALSE)),"")</f>
        <v>0.30701500000000004</v>
      </c>
      <c r="Z20" s="236">
        <f>+IFERROR(IF(MACHACHI[[#This Row],[CODIGO]]="","",Y20*MACHACHI[[#This Row],[Conversión]]),"")</f>
        <v>0.30701500000000004</v>
      </c>
      <c r="AA20" s="236">
        <f>+IFERROR(IF(MACHACHI[[#This Row],[CODIGO]]="","",MACHACHI[[#This Row],[COSTO UNIT Conv]]*MACHACHI[[#This Row],[Stock Actual Unds]]),"")</f>
        <v>845.82632500000011</v>
      </c>
      <c r="AB20" s="180">
        <f ca="1">+IFERROR(IF(MACHACHI[[#This Row],[CODIGO]]="","",$J$3-O20),"")</f>
        <v>1</v>
      </c>
      <c r="AC20" s="35" t="str">
        <f ca="1">IF(MACHACHI[[#This Row],[CODIGO]]="","",IF(S20&lt;=0,"CADUCADO",IF(AND(S20&gt;0,S20&lt;=21),"FECHA CORTA",IF(AND(S20&gt;=22,S20&lt;=26),"PROXIMOS FECHA CORTA", "VIGENTE"))))</f>
        <v>VIGENTE</v>
      </c>
      <c r="AD20" s="181">
        <f>+IFERROR(IF(MACHACHI[[#This Row],[CODIGO]]="","",MACHACHI[[#This Row],[Stock Actual Unds]]*MACHACHI[[#This Row],[Gramaje]]*MACHACHI[[#This Row],[Conversión]]),"")/1000</f>
        <v>0.13775000000000001</v>
      </c>
    </row>
    <row r="21" spans="1:30">
      <c r="A21" s="42" t="str">
        <f>+IFERROR(IF(MACHACHI[[#This Row],[CODIGO]]="","",VLOOKUP(MACHACHI[[#This Row],[CODIGO]],MAESTRO!$A:$J,10,FALSE)),"")</f>
        <v>SAN GABRIEL</v>
      </c>
      <c r="B21" s="42" t="str">
        <f>+IFERROR(IF(MACHACHI[[#This Row],[CODIGO]]="","",VLOOKUP(MACHACHI[[#This Row],[CODIGO]],MAESTRO!$A:$Q,17,FALSE)),"")</f>
        <v>POSTRES</v>
      </c>
      <c r="C21" s="42" t="str">
        <f>+IFERROR(IF(MACHACHI[[#This Row],[CODIGO]]="","",VLOOKUP(MACHACHI[[#This Row],[CODIGO]],MAESTRO!$A:$BA,53,FALSE)),"")</f>
        <v xml:space="preserve">Luis Armendariz                         </v>
      </c>
      <c r="D21" s="42" t="str">
        <f>+IFERROR(IF(MACHACHI[[#This Row],[CODIGO]]="","",VLOOKUP(MACHACHI[[#This Row],[CODIGO]],MAESTRO!$A:$D,4,FALSE)),"")</f>
        <v>AREQUIPE ALPINA</v>
      </c>
      <c r="E21" s="42" t="str">
        <f>+IFERROR(IF(MACHACHI[[#This Row],[CODIGO]]="","",VLOOKUP(MACHACHI[[#This Row],[CODIGO]],MAESTRO!$A:$F,6,FALSE)),"")</f>
        <v>AREQUIPE ALPINA</v>
      </c>
      <c r="F21" s="42" t="str">
        <f>IF(MACHACHI[[#This Row],[CODIGO]]="","",$K$6)</f>
        <v>MACHACHI</v>
      </c>
      <c r="G21" s="49">
        <f>IF(MACHACHI[[#This Row],[CODIGO]]="","",7701)</f>
        <v>7701</v>
      </c>
      <c r="H21" s="49">
        <f>IF(MACHACHI[[#This Row],[CODIGO]]="","",1080)</f>
        <v>1080</v>
      </c>
      <c r="I21" s="256" t="s">
        <v>675</v>
      </c>
      <c r="J21" s="25" t="str">
        <f>IFERROR((VLOOKUP(MACHACHI[[#This Row],[CODIGO]],MAESTRO!A:B,2,FALSE)),"")</f>
        <v>AREQUIPE VASO 250G ECU</v>
      </c>
      <c r="K21" s="47">
        <v>2640</v>
      </c>
      <c r="L21" s="38">
        <f>+IFERROR(IF(MACHACHI[[#This Row],[CODIGO]]="","",VLOOKUP(MACHACHI[[#This Row],[CODIGO]],MAESTRO!$A:$BF,58,FALSE)),"")</f>
        <v>1</v>
      </c>
      <c r="M21" s="27">
        <f>+IFERROR(IF(MACHACHI[[#This Row],[CODIGO]]="","",VLOOKUP(MACHACHI[[#This Row],[CODIGO]],MAESTRO!A:N,14,FALSE)),"")</f>
        <v>0.25</v>
      </c>
      <c r="N21" s="28">
        <f>+IFERROR(IF(MACHACHI[[#This Row],[CODIGO]]="","",VLOOKUP(MACHACHI[[#This Row],[CODIGO]],MAESTRO!A:P,16,FALSE)),"")</f>
        <v>180</v>
      </c>
      <c r="O21" s="182">
        <f>+IF(MACHACHI[[#This Row],[CODIGO]]="","",MACHACHI[[#This Row],[Fecha Elab.]])</f>
        <v>45588</v>
      </c>
      <c r="P21" s="99" t="str">
        <f t="shared" si="6"/>
        <v>miércoles</v>
      </c>
      <c r="Q21" s="183">
        <f>IFERROR(IF(MACHACHI[[#This Row],[CODIGO]]="","",IF(MACHACHI[[#This Row],[Fecha Cad]]="","",(MACHACHI[[#This Row],[Fecha Cad]]-MACHACHI[[#This Row],[VIDA UTIL (Días)]]))+1),"")</f>
        <v>45588</v>
      </c>
      <c r="R21" s="18">
        <v>45767</v>
      </c>
      <c r="S21" s="180">
        <f t="shared" ca="1" si="7"/>
        <v>143</v>
      </c>
      <c r="T21" s="207">
        <f t="shared" ca="1" si="4"/>
        <v>0.7944444444444444</v>
      </c>
      <c r="U21" s="47">
        <v>2640</v>
      </c>
      <c r="V21" s="184">
        <f>+IFERROR(IF(MACHACHI[[#This Row],[CODIGO]]="","",MACHACHI[[#This Row],[Stock Actual Unds]]*MACHACHI[[#This Row],[Gramaje]]*MACHACHI[[#This Row],[Conversión]]),"")</f>
        <v>660</v>
      </c>
      <c r="W21" s="45">
        <f>+IFERROR(IF(I20="","",MACHACHI[[#This Row],[Fecha Elab.]]-MACHACHI[[#This Row],[Fecha de Ingreso]]),"")</f>
        <v>0</v>
      </c>
      <c r="X21" s="44">
        <f t="shared" si="3"/>
        <v>1</v>
      </c>
      <c r="Y21" s="236">
        <f>+IFERROR(IF(MACHACHI[[#This Row],[CODIGO]]="","",VLOOKUP(MACHACHI[[#This Row],[CODIGO]],MAESTRO!A:BI,21,FALSE)),"")</f>
        <v>0.78529499999999997</v>
      </c>
      <c r="Z21" s="236">
        <f>+IFERROR(IF(MACHACHI[[#This Row],[CODIGO]]="","",Y21*MACHACHI[[#This Row],[Conversión]]),"")</f>
        <v>0.78529499999999997</v>
      </c>
      <c r="AA21" s="236">
        <f>+IFERROR(IF(MACHACHI[[#This Row],[CODIGO]]="","",MACHACHI[[#This Row],[COSTO UNIT Conv]]*MACHACHI[[#This Row],[Stock Actual Unds]]),"")</f>
        <v>2073.1787999999997</v>
      </c>
      <c r="AB21" s="180">
        <f ca="1">+IFERROR(IF(MACHACHI[[#This Row],[CODIGO]]="","",$J$3-O21),"")</f>
        <v>36</v>
      </c>
      <c r="AC21" s="35" t="str">
        <f ca="1">IF(MACHACHI[[#This Row],[CODIGO]]="","",IF(S21&lt;=0,"CADUCADO",IF(AND(S21&gt;0,S21&lt;=21),"FECHA CORTA",IF(AND(S21&gt;=22,S21&lt;=26),"PROXIMOS FECHA CORTA", "VIGENTE"))))</f>
        <v>VIGENTE</v>
      </c>
      <c r="AD21" s="181">
        <f>+IFERROR(IF(MACHACHI[[#This Row],[CODIGO]]="","",MACHACHI[[#This Row],[Stock Actual Unds]]*MACHACHI[[#This Row],[Gramaje]]*MACHACHI[[#This Row],[Conversión]]),"")/1000</f>
        <v>0.66</v>
      </c>
    </row>
    <row r="22" spans="1:30">
      <c r="A22" s="42" t="str">
        <f>+IFERROR(IF(MACHACHI[[#This Row],[CODIGO]]="","",VLOOKUP(MACHACHI[[#This Row],[CODIGO]],MAESTRO!$A:$J,10,FALSE)),"")</f>
        <v>SAN GABRIEL</v>
      </c>
      <c r="B22" s="42" t="str">
        <f>+IFERROR(IF(MACHACHI[[#This Row],[CODIGO]]="","",VLOOKUP(MACHACHI[[#This Row],[CODIGO]],MAESTRO!$A:$Q,17,FALSE)),"")</f>
        <v>POSTRES</v>
      </c>
      <c r="C22" s="42" t="str">
        <f>+IFERROR(IF(MACHACHI[[#This Row],[CODIGO]]="","",VLOOKUP(MACHACHI[[#This Row],[CODIGO]],MAESTRO!$A:$BA,53,FALSE)),"")</f>
        <v xml:space="preserve">Luis Armendariz                         </v>
      </c>
      <c r="D22" s="42" t="str">
        <f>+IFERROR(IF(MACHACHI[[#This Row],[CODIGO]]="","",VLOOKUP(MACHACHI[[#This Row],[CODIGO]],MAESTRO!$A:$D,4,FALSE)),"")</f>
        <v>AREQUIPE ALPINA</v>
      </c>
      <c r="E22" s="42" t="str">
        <f>+IFERROR(IF(MACHACHI[[#This Row],[CODIGO]]="","",VLOOKUP(MACHACHI[[#This Row],[CODIGO]],MAESTRO!$A:$F,6,FALSE)),"")</f>
        <v>AREQUIPE ALPINA</v>
      </c>
      <c r="F22" s="42" t="str">
        <f>IF(MACHACHI[[#This Row],[CODIGO]]="","",$K$6)</f>
        <v>MACHACHI</v>
      </c>
      <c r="G22" s="49">
        <f>IF(MACHACHI[[#This Row],[CODIGO]]="","",7701)</f>
        <v>7701</v>
      </c>
      <c r="H22" s="49">
        <f>IF(MACHACHI[[#This Row],[CODIGO]]="","",1080)</f>
        <v>1080</v>
      </c>
      <c r="I22" s="256" t="s">
        <v>675</v>
      </c>
      <c r="J22" s="25" t="str">
        <f>IFERROR((VLOOKUP(MACHACHI[[#This Row],[CODIGO]],MAESTRO!A:B,2,FALSE)),"")</f>
        <v>AREQUIPE VASO 250G ECU</v>
      </c>
      <c r="K22" s="47">
        <v>4752</v>
      </c>
      <c r="L22" s="38">
        <f>+IFERROR(IF(MACHACHI[[#This Row],[CODIGO]]="","",VLOOKUP(MACHACHI[[#This Row],[CODIGO]],MAESTRO!$A:$BF,58,FALSE)),"")</f>
        <v>1</v>
      </c>
      <c r="M22" s="27">
        <f>+IFERROR(IF(MACHACHI[[#This Row],[CODIGO]]="","",VLOOKUP(MACHACHI[[#This Row],[CODIGO]],MAESTRO!A:N,14,FALSE)),"")</f>
        <v>0.25</v>
      </c>
      <c r="N22" s="28">
        <f>+IFERROR(IF(MACHACHI[[#This Row],[CODIGO]]="","",VLOOKUP(MACHACHI[[#This Row],[CODIGO]],MAESTRO!A:P,16,FALSE)),"")</f>
        <v>180</v>
      </c>
      <c r="O22" s="182">
        <f>+IF(MACHACHI[[#This Row],[CODIGO]]="","",MACHACHI[[#This Row],[Fecha Elab.]])</f>
        <v>45623</v>
      </c>
      <c r="P22" s="99" t="str">
        <f t="shared" si="6"/>
        <v>miércoles</v>
      </c>
      <c r="Q22" s="183">
        <f>IFERROR(IF(MACHACHI[[#This Row],[CODIGO]]="","",IF(MACHACHI[[#This Row],[Fecha Cad]]="","",(MACHACHI[[#This Row],[Fecha Cad]]-MACHACHI[[#This Row],[VIDA UTIL (Días)]]))+1),"")</f>
        <v>45623</v>
      </c>
      <c r="R22" s="18">
        <v>45802</v>
      </c>
      <c r="S22" s="180">
        <f t="shared" ca="1" si="7"/>
        <v>178</v>
      </c>
      <c r="T22" s="207">
        <f t="shared" ca="1" si="4"/>
        <v>0.98888888888888893</v>
      </c>
      <c r="U22" s="47">
        <v>4752</v>
      </c>
      <c r="V22" s="184">
        <f>+IFERROR(IF(MACHACHI[[#This Row],[CODIGO]]="","",MACHACHI[[#This Row],[Stock Actual Unds]]*MACHACHI[[#This Row],[Gramaje]]*MACHACHI[[#This Row],[Conversión]]),"")</f>
        <v>1188</v>
      </c>
      <c r="W22" s="45">
        <f>+IFERROR(IF(I21="","",MACHACHI[[#This Row],[Fecha Elab.]]-MACHACHI[[#This Row],[Fecha de Ingreso]]),"")</f>
        <v>0</v>
      </c>
      <c r="X22" s="44">
        <f t="shared" si="3"/>
        <v>1</v>
      </c>
      <c r="Y22" s="236">
        <f>+IFERROR(IF(MACHACHI[[#This Row],[CODIGO]]="","",VLOOKUP(MACHACHI[[#This Row],[CODIGO]],MAESTRO!A:BI,21,FALSE)),"")</f>
        <v>0.78529499999999997</v>
      </c>
      <c r="Z22" s="236">
        <f>+IFERROR(IF(MACHACHI[[#This Row],[CODIGO]]="","",Y22*MACHACHI[[#This Row],[Conversión]]),"")</f>
        <v>0.78529499999999997</v>
      </c>
      <c r="AA22" s="236">
        <f>+IFERROR(IF(MACHACHI[[#This Row],[CODIGO]]="","",MACHACHI[[#This Row],[COSTO UNIT Conv]]*MACHACHI[[#This Row],[Stock Actual Unds]]),"")</f>
        <v>3731.7218399999997</v>
      </c>
      <c r="AB22" s="180">
        <f ca="1">+IFERROR(IF(MACHACHI[[#This Row],[CODIGO]]="","",$J$3-O22),"")</f>
        <v>1</v>
      </c>
      <c r="AC22" s="35" t="str">
        <f ca="1">IF(MACHACHI[[#This Row],[CODIGO]]="","",IF(S22&lt;=0,"CADUCADO",IF(AND(S22&gt;0,S22&lt;=21),"FECHA CORTA",IF(AND(S22&gt;=22,S22&lt;=26),"PROXIMOS FECHA CORTA", "VIGENTE"))))</f>
        <v>VIGENTE</v>
      </c>
      <c r="AD22" s="181">
        <f>+IFERROR(IF(MACHACHI[[#This Row],[CODIGO]]="","",MACHACHI[[#This Row],[Stock Actual Unds]]*MACHACHI[[#This Row],[Gramaje]]*MACHACHI[[#This Row],[Conversión]]),"")/1000</f>
        <v>1.1879999999999999</v>
      </c>
    </row>
    <row r="23" spans="1:30">
      <c r="A23" s="42" t="str">
        <f>+IFERROR(IF(MACHACHI[[#This Row],[CODIGO]]="","",VLOOKUP(MACHACHI[[#This Row],[CODIGO]],MAESTRO!$A:$J,10,FALSE)),"")</f>
        <v>SAN GABRIEL</v>
      </c>
      <c r="B23" s="42" t="str">
        <f>+IFERROR(IF(MACHACHI[[#This Row],[CODIGO]]="","",VLOOKUP(MACHACHI[[#This Row],[CODIGO]],MAESTRO!$A:$Q,17,FALSE)),"")</f>
        <v>POSTRES</v>
      </c>
      <c r="C23" s="42" t="str">
        <f>+IFERROR(IF(MACHACHI[[#This Row],[CODIGO]]="","",VLOOKUP(MACHACHI[[#This Row],[CODIGO]],MAESTRO!$A:$BA,53,FALSE)),"")</f>
        <v xml:space="preserve">Luis Armendariz                         </v>
      </c>
      <c r="D23" s="42" t="str">
        <f>+IFERROR(IF(MACHACHI[[#This Row],[CODIGO]]="","",VLOOKUP(MACHACHI[[#This Row],[CODIGO]],MAESTRO!$A:$D,4,FALSE)),"")</f>
        <v>AREQUIPE ALPINA</v>
      </c>
      <c r="E23" s="42" t="str">
        <f>+IFERROR(IF(MACHACHI[[#This Row],[CODIGO]]="","",VLOOKUP(MACHACHI[[#This Row],[CODIGO]],MAESTRO!$A:$F,6,FALSE)),"")</f>
        <v>AREQUIPE ALPINA</v>
      </c>
      <c r="F23" s="42" t="str">
        <f>IF(MACHACHI[[#This Row],[CODIGO]]="","",$K$6)</f>
        <v>MACHACHI</v>
      </c>
      <c r="G23" s="49">
        <f>IF(MACHACHI[[#This Row],[CODIGO]]="","",7701)</f>
        <v>7701</v>
      </c>
      <c r="H23" s="49">
        <f>IF(MACHACHI[[#This Row],[CODIGO]]="","",1080)</f>
        <v>1080</v>
      </c>
      <c r="I23" s="256" t="s">
        <v>675</v>
      </c>
      <c r="J23" s="25" t="str">
        <f>IFERROR((VLOOKUP(MACHACHI[[#This Row],[CODIGO]],MAESTRO!A:B,2,FALSE)),"")</f>
        <v>AREQUIPE VASO 250G ECU</v>
      </c>
      <c r="K23" s="47">
        <v>1134</v>
      </c>
      <c r="L23" s="38">
        <f>+IFERROR(IF(MACHACHI[[#This Row],[CODIGO]]="","",VLOOKUP(MACHACHI[[#This Row],[CODIGO]],MAESTRO!$A:$BF,58,FALSE)),"")</f>
        <v>1</v>
      </c>
      <c r="M23" s="27">
        <f>+IFERROR(IF(MACHACHI[[#This Row],[CODIGO]]="","",VLOOKUP(MACHACHI[[#This Row],[CODIGO]],MAESTRO!A:N,14,FALSE)),"")</f>
        <v>0.25</v>
      </c>
      <c r="N23" s="28">
        <f>+IFERROR(IF(MACHACHI[[#This Row],[CODIGO]]="","",VLOOKUP(MACHACHI[[#This Row],[CODIGO]],MAESTRO!A:P,16,FALSE)),"")</f>
        <v>180</v>
      </c>
      <c r="O23" s="182">
        <f>+IF(MACHACHI[[#This Row],[CODIGO]]="","",MACHACHI[[#This Row],[Fecha Elab.]])</f>
        <v>45615</v>
      </c>
      <c r="P23" s="99" t="str">
        <f t="shared" si="6"/>
        <v>martes</v>
      </c>
      <c r="Q23" s="183">
        <f>IFERROR(IF(MACHACHI[[#This Row],[CODIGO]]="","",IF(MACHACHI[[#This Row],[Fecha Cad]]="","",(MACHACHI[[#This Row],[Fecha Cad]]-MACHACHI[[#This Row],[VIDA UTIL (Días)]]))+1),"")</f>
        <v>45615</v>
      </c>
      <c r="R23" s="18">
        <v>45794</v>
      </c>
      <c r="S23" s="180">
        <f t="shared" ca="1" si="7"/>
        <v>170</v>
      </c>
      <c r="T23" s="207">
        <f t="shared" ca="1" si="4"/>
        <v>0.94444444444444442</v>
      </c>
      <c r="U23" s="47">
        <v>1134</v>
      </c>
      <c r="V23" s="184">
        <f>+IFERROR(IF(MACHACHI[[#This Row],[CODIGO]]="","",MACHACHI[[#This Row],[Stock Actual Unds]]*MACHACHI[[#This Row],[Gramaje]]*MACHACHI[[#This Row],[Conversión]]),"")</f>
        <v>283.5</v>
      </c>
      <c r="W23" s="45">
        <f>+IFERROR(IF(I22="","",MACHACHI[[#This Row],[Fecha Elab.]]-MACHACHI[[#This Row],[Fecha de Ingreso]]),"")</f>
        <v>0</v>
      </c>
      <c r="X23" s="44">
        <f t="shared" si="3"/>
        <v>1</v>
      </c>
      <c r="Y23" s="236">
        <f>+IFERROR(IF(MACHACHI[[#This Row],[CODIGO]]="","",VLOOKUP(MACHACHI[[#This Row],[CODIGO]],MAESTRO!A:BI,21,FALSE)),"")</f>
        <v>0.78529499999999997</v>
      </c>
      <c r="Z23" s="236">
        <f>+IFERROR(IF(MACHACHI[[#This Row],[CODIGO]]="","",Y23*MACHACHI[[#This Row],[Conversión]]),"")</f>
        <v>0.78529499999999997</v>
      </c>
      <c r="AA23" s="236">
        <f>+IFERROR(IF(MACHACHI[[#This Row],[CODIGO]]="","",MACHACHI[[#This Row],[COSTO UNIT Conv]]*MACHACHI[[#This Row],[Stock Actual Unds]]),"")</f>
        <v>890.52452999999991</v>
      </c>
      <c r="AB23" s="180">
        <f ca="1">+IFERROR(IF(MACHACHI[[#This Row],[CODIGO]]="","",$J$3-O23),"")</f>
        <v>9</v>
      </c>
      <c r="AC23" s="35" t="str">
        <f ca="1">IF(MACHACHI[[#This Row],[CODIGO]]="","",IF(S23&lt;=0,"CADUCADO",IF(AND(S23&gt;0,S23&lt;=21),"FECHA CORTA",IF(AND(S23&gt;=22,S23&lt;=26),"PROXIMOS FECHA CORTA", "VIGENTE"))))</f>
        <v>VIGENTE</v>
      </c>
      <c r="AD23" s="181">
        <f>+IFERROR(IF(MACHACHI[[#This Row],[CODIGO]]="","",MACHACHI[[#This Row],[Stock Actual Unds]]*MACHACHI[[#This Row],[Gramaje]]*MACHACHI[[#This Row],[Conversión]]),"")/1000</f>
        <v>0.28349999999999997</v>
      </c>
    </row>
    <row r="24" spans="1:30">
      <c r="A24" s="42" t="str">
        <f>+IFERROR(IF(MACHACHI[[#This Row],[CODIGO]]="","",VLOOKUP(MACHACHI[[#This Row],[CODIGO]],MAESTRO!$A:$J,10,FALSE)),"")</f>
        <v>SAN GABRIEL</v>
      </c>
      <c r="B24" s="42" t="str">
        <f>+IFERROR(IF(MACHACHI[[#This Row],[CODIGO]]="","",VLOOKUP(MACHACHI[[#This Row],[CODIGO]],MAESTRO!$A:$Q,17,FALSE)),"")</f>
        <v>POSTRES</v>
      </c>
      <c r="C24" s="42" t="str">
        <f>+IFERROR(IF(MACHACHI[[#This Row],[CODIGO]]="","",VLOOKUP(MACHACHI[[#This Row],[CODIGO]],MAESTRO!$A:$BA,53,FALSE)),"")</f>
        <v xml:space="preserve">Luis Armendariz                         </v>
      </c>
      <c r="D24" s="42" t="str">
        <f>+IFERROR(IF(MACHACHI[[#This Row],[CODIGO]]="","",VLOOKUP(MACHACHI[[#This Row],[CODIGO]],MAESTRO!$A:$D,4,FALSE)),"")</f>
        <v>AREQUIPE ALPINA</v>
      </c>
      <c r="E24" s="42" t="str">
        <f>+IFERROR(IF(MACHACHI[[#This Row],[CODIGO]]="","",VLOOKUP(MACHACHI[[#This Row],[CODIGO]],MAESTRO!$A:$F,6,FALSE)),"")</f>
        <v>AREQUIPE ALPINA</v>
      </c>
      <c r="F24" s="42" t="str">
        <f>IF(MACHACHI[[#This Row],[CODIGO]]="","",$K$6)</f>
        <v>MACHACHI</v>
      </c>
      <c r="G24" s="49">
        <f>IF(MACHACHI[[#This Row],[CODIGO]]="","",7701)</f>
        <v>7701</v>
      </c>
      <c r="H24" s="49">
        <f>IF(MACHACHI[[#This Row],[CODIGO]]="","",1080)</f>
        <v>1080</v>
      </c>
      <c r="I24" s="256" t="s">
        <v>675</v>
      </c>
      <c r="J24" s="25" t="str">
        <f>IFERROR((VLOOKUP(MACHACHI[[#This Row],[CODIGO]],MAESTRO!A:B,2,FALSE)),"")</f>
        <v>AREQUIPE VASO 250G ECU</v>
      </c>
      <c r="K24" s="47">
        <v>3780</v>
      </c>
      <c r="L24" s="38">
        <f>+IFERROR(IF(MACHACHI[[#This Row],[CODIGO]]="","",VLOOKUP(MACHACHI[[#This Row],[CODIGO]],MAESTRO!$A:$BF,58,FALSE)),"")</f>
        <v>1</v>
      </c>
      <c r="M24" s="27">
        <f>+IFERROR(IF(MACHACHI[[#This Row],[CODIGO]]="","",VLOOKUP(MACHACHI[[#This Row],[CODIGO]],MAESTRO!A:N,14,FALSE)),"")</f>
        <v>0.25</v>
      </c>
      <c r="N24" s="28">
        <f>+IFERROR(IF(MACHACHI[[#This Row],[CODIGO]]="","",VLOOKUP(MACHACHI[[#This Row],[CODIGO]],MAESTRO!A:P,16,FALSE)),"")</f>
        <v>180</v>
      </c>
      <c r="O24" s="182">
        <f>+IF(MACHACHI[[#This Row],[CODIGO]]="","",MACHACHI[[#This Row],[Fecha Elab.]])</f>
        <v>45617</v>
      </c>
      <c r="P24" s="99" t="str">
        <f t="shared" si="6"/>
        <v>jueves</v>
      </c>
      <c r="Q24" s="183">
        <f>IFERROR(IF(MACHACHI[[#This Row],[CODIGO]]="","",IF(MACHACHI[[#This Row],[Fecha Cad]]="","",(MACHACHI[[#This Row],[Fecha Cad]]-MACHACHI[[#This Row],[VIDA UTIL (Días)]]))+1),"")</f>
        <v>45617</v>
      </c>
      <c r="R24" s="18">
        <v>45796</v>
      </c>
      <c r="S24" s="180">
        <f t="shared" ca="1" si="7"/>
        <v>172</v>
      </c>
      <c r="T24" s="207">
        <f t="shared" ca="1" si="4"/>
        <v>0.9555555555555556</v>
      </c>
      <c r="U24" s="47">
        <v>3780</v>
      </c>
      <c r="V24" s="184">
        <f>+IFERROR(IF(MACHACHI[[#This Row],[CODIGO]]="","",MACHACHI[[#This Row],[Stock Actual Unds]]*MACHACHI[[#This Row],[Gramaje]]*MACHACHI[[#This Row],[Conversión]]),"")</f>
        <v>945</v>
      </c>
      <c r="W24" s="45">
        <f>+IFERROR(IF(I23="","",MACHACHI[[#This Row],[Fecha Elab.]]-MACHACHI[[#This Row],[Fecha de Ingreso]]),"")</f>
        <v>0</v>
      </c>
      <c r="X24" s="44">
        <f t="shared" si="3"/>
        <v>1</v>
      </c>
      <c r="Y24" s="236">
        <f>+IFERROR(IF(MACHACHI[[#This Row],[CODIGO]]="","",VLOOKUP(MACHACHI[[#This Row],[CODIGO]],MAESTRO!A:BI,21,FALSE)),"")</f>
        <v>0.78529499999999997</v>
      </c>
      <c r="Z24" s="236">
        <f>+IFERROR(IF(MACHACHI[[#This Row],[CODIGO]]="","",Y24*MACHACHI[[#This Row],[Conversión]]),"")</f>
        <v>0.78529499999999997</v>
      </c>
      <c r="AA24" s="236">
        <f>+IFERROR(IF(MACHACHI[[#This Row],[CODIGO]]="","",MACHACHI[[#This Row],[COSTO UNIT Conv]]*MACHACHI[[#This Row],[Stock Actual Unds]]),"")</f>
        <v>2968.4150999999997</v>
      </c>
      <c r="AB24" s="180">
        <f ca="1">+IFERROR(IF(MACHACHI[[#This Row],[CODIGO]]="","",$J$3-O24),"")</f>
        <v>7</v>
      </c>
      <c r="AC24" s="35" t="str">
        <f ca="1">IF(MACHACHI[[#This Row],[CODIGO]]="","",IF(S24&lt;=0,"CADUCADO",IF(AND(S24&gt;0,S24&lt;=21),"FECHA CORTA",IF(AND(S24&gt;=22,S24&lt;=26),"PROXIMOS FECHA CORTA", "VIGENTE"))))</f>
        <v>VIGENTE</v>
      </c>
      <c r="AD24" s="181">
        <f>+IFERROR(IF(MACHACHI[[#This Row],[CODIGO]]="","",MACHACHI[[#This Row],[Stock Actual Unds]]*MACHACHI[[#This Row],[Gramaje]]*MACHACHI[[#This Row],[Conversión]]),"")/1000</f>
        <v>0.94499999999999995</v>
      </c>
    </row>
    <row r="25" spans="1:30">
      <c r="A25" s="42" t="str">
        <f>+IFERROR(IF(MACHACHI[[#This Row],[CODIGO]]="","",VLOOKUP(MACHACHI[[#This Row],[CODIGO]],MAESTRO!$A:$J,10,FALSE)),"")</f>
        <v>SAN GABRIEL</v>
      </c>
      <c r="B25" s="42" t="str">
        <f>+IFERROR(IF(MACHACHI[[#This Row],[CODIGO]]="","",VLOOKUP(MACHACHI[[#This Row],[CODIGO]],MAESTRO!$A:$Q,17,FALSE)),"")</f>
        <v>POSTRES</v>
      </c>
      <c r="C25" s="42" t="str">
        <f>+IFERROR(IF(MACHACHI[[#This Row],[CODIGO]]="","",VLOOKUP(MACHACHI[[#This Row],[CODIGO]],MAESTRO!$A:$BA,53,FALSE)),"")</f>
        <v xml:space="preserve">Luis Armendariz                         </v>
      </c>
      <c r="D25" s="42" t="str">
        <f>+IFERROR(IF(MACHACHI[[#This Row],[CODIGO]]="","",VLOOKUP(MACHACHI[[#This Row],[CODIGO]],MAESTRO!$A:$D,4,FALSE)),"")</f>
        <v>AREQUIPE ALPINA</v>
      </c>
      <c r="E25" s="42" t="str">
        <f>+IFERROR(IF(MACHACHI[[#This Row],[CODIGO]]="","",VLOOKUP(MACHACHI[[#This Row],[CODIGO]],MAESTRO!$A:$F,6,FALSE)),"")</f>
        <v>AREQUIPE ALPINA</v>
      </c>
      <c r="F25" s="42" t="str">
        <f>IF(MACHACHI[[#This Row],[CODIGO]]="","",$K$6)</f>
        <v>MACHACHI</v>
      </c>
      <c r="G25" s="49">
        <f>IF(MACHACHI[[#This Row],[CODIGO]]="","",7701)</f>
        <v>7701</v>
      </c>
      <c r="H25" s="49">
        <f>IF(MACHACHI[[#This Row],[CODIGO]]="","",1080)</f>
        <v>1080</v>
      </c>
      <c r="I25" s="256" t="s">
        <v>679</v>
      </c>
      <c r="J25" s="25" t="str">
        <f>IFERROR((VLOOKUP(MACHACHI[[#This Row],[CODIGO]],MAESTRO!A:B,2,FALSE)),"")</f>
        <v>AREQUIPE VASO 500G ECU</v>
      </c>
      <c r="K25" s="47">
        <v>1254</v>
      </c>
      <c r="L25" s="38">
        <f>+IFERROR(IF(MACHACHI[[#This Row],[CODIGO]]="","",VLOOKUP(MACHACHI[[#This Row],[CODIGO]],MAESTRO!$A:$BF,58,FALSE)),"")</f>
        <v>1</v>
      </c>
      <c r="M25" s="27">
        <f>+IFERROR(IF(MACHACHI[[#This Row],[CODIGO]]="","",VLOOKUP(MACHACHI[[#This Row],[CODIGO]],MAESTRO!A:N,14,FALSE)),"")</f>
        <v>0.5</v>
      </c>
      <c r="N25" s="28">
        <f>+IFERROR(IF(MACHACHI[[#This Row],[CODIGO]]="","",VLOOKUP(MACHACHI[[#This Row],[CODIGO]],MAESTRO!A:P,16,FALSE)),"")</f>
        <v>180</v>
      </c>
      <c r="O25" s="182">
        <f>+IF(MACHACHI[[#This Row],[CODIGO]]="","",MACHACHI[[#This Row],[Fecha Elab.]])</f>
        <v>45622</v>
      </c>
      <c r="P25" s="99" t="str">
        <f t="shared" si="6"/>
        <v>martes</v>
      </c>
      <c r="Q25" s="183">
        <f>IFERROR(IF(MACHACHI[[#This Row],[CODIGO]]="","",IF(MACHACHI[[#This Row],[Fecha Cad]]="","",(MACHACHI[[#This Row],[Fecha Cad]]-MACHACHI[[#This Row],[VIDA UTIL (Días)]]))+1),"")</f>
        <v>45622</v>
      </c>
      <c r="R25" s="18">
        <v>45801</v>
      </c>
      <c r="S25" s="180">
        <f t="shared" ca="1" si="7"/>
        <v>177</v>
      </c>
      <c r="T25" s="207">
        <f t="shared" ca="1" si="4"/>
        <v>0.98333333333333328</v>
      </c>
      <c r="U25" s="47">
        <v>1254</v>
      </c>
      <c r="V25" s="184">
        <f>+IFERROR(IF(MACHACHI[[#This Row],[CODIGO]]="","",MACHACHI[[#This Row],[Stock Actual Unds]]*MACHACHI[[#This Row],[Gramaje]]*MACHACHI[[#This Row],[Conversión]]),"")</f>
        <v>627</v>
      </c>
      <c r="W25" s="45">
        <f>+IFERROR(IF(I24="","",MACHACHI[[#This Row],[Fecha Elab.]]-MACHACHI[[#This Row],[Fecha de Ingreso]]),"")</f>
        <v>0</v>
      </c>
      <c r="X25" s="44">
        <f t="shared" si="3"/>
        <v>1</v>
      </c>
      <c r="Y25" s="236">
        <f>+IFERROR(IF(MACHACHI[[#This Row],[CODIGO]]="","",VLOOKUP(MACHACHI[[#This Row],[CODIGO]],MAESTRO!A:BI,21,FALSE)),"")</f>
        <v>1.477565</v>
      </c>
      <c r="Z25" s="236">
        <f>+IFERROR(IF(MACHACHI[[#This Row],[CODIGO]]="","",Y25*MACHACHI[[#This Row],[Conversión]]),"")</f>
        <v>1.477565</v>
      </c>
      <c r="AA25" s="236">
        <f>+IFERROR(IF(MACHACHI[[#This Row],[CODIGO]]="","",MACHACHI[[#This Row],[COSTO UNIT Conv]]*MACHACHI[[#This Row],[Stock Actual Unds]]),"")</f>
        <v>1852.8665100000001</v>
      </c>
      <c r="AB25" s="180">
        <f ca="1">+IFERROR(IF(MACHACHI[[#This Row],[CODIGO]]="","",$J$3-O25),"")</f>
        <v>2</v>
      </c>
      <c r="AC25" s="35" t="str">
        <f ca="1">IF(MACHACHI[[#This Row],[CODIGO]]="","",IF(S25&lt;=0,"CADUCADO",IF(AND(S25&gt;0,S25&lt;=21),"FECHA CORTA",IF(AND(S25&gt;=22,S25&lt;=26),"PROXIMOS FECHA CORTA", "VIGENTE"))))</f>
        <v>VIGENTE</v>
      </c>
      <c r="AD25" s="181">
        <f>+IFERROR(IF(MACHACHI[[#This Row],[CODIGO]]="","",MACHACHI[[#This Row],[Stock Actual Unds]]*MACHACHI[[#This Row],[Gramaje]]*MACHACHI[[#This Row],[Conversión]]),"")/1000</f>
        <v>0.627</v>
      </c>
    </row>
    <row r="26" spans="1:30">
      <c r="A26" s="42" t="str">
        <f>+IFERROR(IF(MACHACHI[[#This Row],[CODIGO]]="","",VLOOKUP(MACHACHI[[#This Row],[CODIGO]],MAESTRO!$A:$J,10,FALSE)),"")</f>
        <v>SAN GABRIEL</v>
      </c>
      <c r="B26" s="42" t="str">
        <f>+IFERROR(IF(MACHACHI[[#This Row],[CODIGO]]="","",VLOOKUP(MACHACHI[[#This Row],[CODIGO]],MAESTRO!$A:$Q,17,FALSE)),"")</f>
        <v>POSTRES</v>
      </c>
      <c r="C26" s="42" t="str">
        <f>+IFERROR(IF(MACHACHI[[#This Row],[CODIGO]]="","",VLOOKUP(MACHACHI[[#This Row],[CODIGO]],MAESTRO!$A:$BA,53,FALSE)),"")</f>
        <v xml:space="preserve">Luis Armendariz                         </v>
      </c>
      <c r="D26" s="42" t="str">
        <f>+IFERROR(IF(MACHACHI[[#This Row],[CODIGO]]="","",VLOOKUP(MACHACHI[[#This Row],[CODIGO]],MAESTRO!$A:$D,4,FALSE)),"")</f>
        <v>AREQUIPE ALPINA</v>
      </c>
      <c r="E26" s="42" t="str">
        <f>+IFERROR(IF(MACHACHI[[#This Row],[CODIGO]]="","",VLOOKUP(MACHACHI[[#This Row],[CODIGO]],MAESTRO!$A:$F,6,FALSE)),"")</f>
        <v>AREQUIPE ALPINA</v>
      </c>
      <c r="F26" s="42" t="str">
        <f>IF(MACHACHI[[#This Row],[CODIGO]]="","",$K$6)</f>
        <v>MACHACHI</v>
      </c>
      <c r="G26" s="49">
        <f>IF(MACHACHI[[#This Row],[CODIGO]]="","",7701)</f>
        <v>7701</v>
      </c>
      <c r="H26" s="49">
        <f>IF(MACHACHI[[#This Row],[CODIGO]]="","",1080)</f>
        <v>1080</v>
      </c>
      <c r="I26" s="256" t="s">
        <v>679</v>
      </c>
      <c r="J26" s="25" t="str">
        <f>IFERROR((VLOOKUP(MACHACHI[[#This Row],[CODIGO]],MAESTRO!A:B,2,FALSE)),"")</f>
        <v>AREQUIPE VASO 500G ECU</v>
      </c>
      <c r="K26" s="47">
        <v>504</v>
      </c>
      <c r="L26" s="38">
        <f>+IFERROR(IF(MACHACHI[[#This Row],[CODIGO]]="","",VLOOKUP(MACHACHI[[#This Row],[CODIGO]],MAESTRO!$A:$BF,58,FALSE)),"")</f>
        <v>1</v>
      </c>
      <c r="M26" s="27">
        <f>+IFERROR(IF(MACHACHI[[#This Row],[CODIGO]]="","",VLOOKUP(MACHACHI[[#This Row],[CODIGO]],MAESTRO!A:N,14,FALSE)),"")</f>
        <v>0.5</v>
      </c>
      <c r="N26" s="28">
        <f>+IFERROR(IF(MACHACHI[[#This Row],[CODIGO]]="","",VLOOKUP(MACHACHI[[#This Row],[CODIGO]],MAESTRO!A:P,16,FALSE)),"")</f>
        <v>180</v>
      </c>
      <c r="O26" s="182">
        <f>+IF(MACHACHI[[#This Row],[CODIGO]]="","",MACHACHI[[#This Row],[Fecha Elab.]])</f>
        <v>45621</v>
      </c>
      <c r="P26" s="99" t="str">
        <f t="shared" si="6"/>
        <v>lunes</v>
      </c>
      <c r="Q26" s="183">
        <f>IFERROR(IF(MACHACHI[[#This Row],[CODIGO]]="","",IF(MACHACHI[[#This Row],[Fecha Cad]]="","",(MACHACHI[[#This Row],[Fecha Cad]]-MACHACHI[[#This Row],[VIDA UTIL (Días)]]))+1),"")</f>
        <v>45621</v>
      </c>
      <c r="R26" s="18">
        <v>45800</v>
      </c>
      <c r="S26" s="180">
        <f t="shared" ca="1" si="7"/>
        <v>176</v>
      </c>
      <c r="T26" s="207">
        <f t="shared" ca="1" si="4"/>
        <v>0.97777777777777775</v>
      </c>
      <c r="U26" s="47">
        <v>504</v>
      </c>
      <c r="V26" s="184">
        <f>+IFERROR(IF(MACHACHI[[#This Row],[CODIGO]]="","",MACHACHI[[#This Row],[Stock Actual Unds]]*MACHACHI[[#This Row],[Gramaje]]*MACHACHI[[#This Row],[Conversión]]),"")</f>
        <v>252</v>
      </c>
      <c r="W26" s="45">
        <f>+IFERROR(IF(I25="","",MACHACHI[[#This Row],[Fecha Elab.]]-MACHACHI[[#This Row],[Fecha de Ingreso]]),"")</f>
        <v>0</v>
      </c>
      <c r="X26" s="44">
        <f t="shared" si="3"/>
        <v>1</v>
      </c>
      <c r="Y26" s="236">
        <f>+IFERROR(IF(MACHACHI[[#This Row],[CODIGO]]="","",VLOOKUP(MACHACHI[[#This Row],[CODIGO]],MAESTRO!A:BI,21,FALSE)),"")</f>
        <v>1.477565</v>
      </c>
      <c r="Z26" s="236">
        <f>+IFERROR(IF(MACHACHI[[#This Row],[CODIGO]]="","",Y26*MACHACHI[[#This Row],[Conversión]]),"")</f>
        <v>1.477565</v>
      </c>
      <c r="AA26" s="236">
        <f>+IFERROR(IF(MACHACHI[[#This Row],[CODIGO]]="","",MACHACHI[[#This Row],[COSTO UNIT Conv]]*MACHACHI[[#This Row],[Stock Actual Unds]]),"")</f>
        <v>744.69276000000002</v>
      </c>
      <c r="AB26" s="180">
        <f ca="1">+IFERROR(IF(MACHACHI[[#This Row],[CODIGO]]="","",$J$3-O26),"")</f>
        <v>3</v>
      </c>
      <c r="AC26" s="35" t="str">
        <f ca="1">IF(MACHACHI[[#This Row],[CODIGO]]="","",IF(S26&lt;=0,"CADUCADO",IF(AND(S26&gt;0,S26&lt;=21),"FECHA CORTA",IF(AND(S26&gt;=22,S26&lt;=26),"PROXIMOS FECHA CORTA", "VIGENTE"))))</f>
        <v>VIGENTE</v>
      </c>
      <c r="AD26" s="181">
        <f>+IFERROR(IF(MACHACHI[[#This Row],[CODIGO]]="","",MACHACHI[[#This Row],[Stock Actual Unds]]*MACHACHI[[#This Row],[Gramaje]]*MACHACHI[[#This Row],[Conversión]]),"")/1000</f>
        <v>0.252</v>
      </c>
    </row>
    <row r="27" spans="1:30">
      <c r="A27" s="42" t="str">
        <f>+IFERROR(IF(MACHACHI[[#This Row],[CODIGO]]="","",VLOOKUP(MACHACHI[[#This Row],[CODIGO]],MAESTRO!$A:$J,10,FALSE)),"")</f>
        <v>SAN GABRIEL</v>
      </c>
      <c r="B27" s="42" t="str">
        <f>+IFERROR(IF(MACHACHI[[#This Row],[CODIGO]]="","",VLOOKUP(MACHACHI[[#This Row],[CODIGO]],MAESTRO!$A:$Q,17,FALSE)),"")</f>
        <v>POSTRES</v>
      </c>
      <c r="C27" s="42" t="str">
        <f>+IFERROR(IF(MACHACHI[[#This Row],[CODIGO]]="","",VLOOKUP(MACHACHI[[#This Row],[CODIGO]],MAESTRO!$A:$BA,53,FALSE)),"")</f>
        <v xml:space="preserve">Luis Armendariz                         </v>
      </c>
      <c r="D27" s="42" t="str">
        <f>+IFERROR(IF(MACHACHI[[#This Row],[CODIGO]]="","",VLOOKUP(MACHACHI[[#This Row],[CODIGO]],MAESTRO!$A:$D,4,FALSE)),"")</f>
        <v>AREQUIPE ALPINA</v>
      </c>
      <c r="E27" s="42" t="str">
        <f>+IFERROR(IF(MACHACHI[[#This Row],[CODIGO]]="","",VLOOKUP(MACHACHI[[#This Row],[CODIGO]],MAESTRO!$A:$F,6,FALSE)),"")</f>
        <v>AREQUIPE ALPINA</v>
      </c>
      <c r="F27" s="42" t="str">
        <f>IF(MACHACHI[[#This Row],[CODIGO]]="","",$K$6)</f>
        <v>MACHACHI</v>
      </c>
      <c r="G27" s="49">
        <f>IF(MACHACHI[[#This Row],[CODIGO]]="","",7701)</f>
        <v>7701</v>
      </c>
      <c r="H27" s="49">
        <f>IF(MACHACHI[[#This Row],[CODIGO]]="","",1080)</f>
        <v>1080</v>
      </c>
      <c r="I27" s="256" t="s">
        <v>679</v>
      </c>
      <c r="J27" s="25" t="str">
        <f>IFERROR((VLOOKUP(MACHACHI[[#This Row],[CODIGO]],MAESTRO!A:B,2,FALSE)),"")</f>
        <v>AREQUIPE VASO 500G ECU</v>
      </c>
      <c r="K27" s="47">
        <v>4284</v>
      </c>
      <c r="L27" s="38">
        <f>+IFERROR(IF(MACHACHI[[#This Row],[CODIGO]]="","",VLOOKUP(MACHACHI[[#This Row],[CODIGO]],MAESTRO!$A:$BF,58,FALSE)),"")</f>
        <v>1</v>
      </c>
      <c r="M27" s="27">
        <f>+IFERROR(IF(MACHACHI[[#This Row],[CODIGO]]="","",VLOOKUP(MACHACHI[[#This Row],[CODIGO]],MAESTRO!A:N,14,FALSE)),"")</f>
        <v>0.5</v>
      </c>
      <c r="N27" s="28">
        <f>+IFERROR(IF(MACHACHI[[#This Row],[CODIGO]]="","",VLOOKUP(MACHACHI[[#This Row],[CODIGO]],MAESTRO!A:P,16,FALSE)),"")</f>
        <v>180</v>
      </c>
      <c r="O27" s="182">
        <f>+IF(MACHACHI[[#This Row],[CODIGO]]="","",MACHACHI[[#This Row],[Fecha Elab.]])</f>
        <v>45619</v>
      </c>
      <c r="P27" s="99" t="str">
        <f t="shared" si="6"/>
        <v>sábado</v>
      </c>
      <c r="Q27" s="183">
        <f>IFERROR(IF(MACHACHI[[#This Row],[CODIGO]]="","",IF(MACHACHI[[#This Row],[Fecha Cad]]="","",(MACHACHI[[#This Row],[Fecha Cad]]-MACHACHI[[#This Row],[VIDA UTIL (Días)]]))+1),"")</f>
        <v>45619</v>
      </c>
      <c r="R27" s="18">
        <v>45798</v>
      </c>
      <c r="S27" s="180">
        <f t="shared" ca="1" si="7"/>
        <v>174</v>
      </c>
      <c r="T27" s="207">
        <f t="shared" ca="1" si="4"/>
        <v>0.96666666666666667</v>
      </c>
      <c r="U27" s="47">
        <v>4284</v>
      </c>
      <c r="V27" s="184">
        <f>+IFERROR(IF(MACHACHI[[#This Row],[CODIGO]]="","",MACHACHI[[#This Row],[Stock Actual Unds]]*MACHACHI[[#This Row],[Gramaje]]*MACHACHI[[#This Row],[Conversión]]),"")</f>
        <v>2142</v>
      </c>
      <c r="W27" s="45">
        <f>+IFERROR(IF(I26="","",MACHACHI[[#This Row],[Fecha Elab.]]-MACHACHI[[#This Row],[Fecha de Ingreso]]),"")</f>
        <v>0</v>
      </c>
      <c r="X27" s="44">
        <f t="shared" si="3"/>
        <v>1</v>
      </c>
      <c r="Y27" s="236">
        <f>+IFERROR(IF(MACHACHI[[#This Row],[CODIGO]]="","",VLOOKUP(MACHACHI[[#This Row],[CODIGO]],MAESTRO!A:BI,21,FALSE)),"")</f>
        <v>1.477565</v>
      </c>
      <c r="Z27" s="236">
        <f>+IFERROR(IF(MACHACHI[[#This Row],[CODIGO]]="","",Y27*MACHACHI[[#This Row],[Conversión]]),"")</f>
        <v>1.477565</v>
      </c>
      <c r="AA27" s="236">
        <f>+IFERROR(IF(MACHACHI[[#This Row],[CODIGO]]="","",MACHACHI[[#This Row],[COSTO UNIT Conv]]*MACHACHI[[#This Row],[Stock Actual Unds]]),"")</f>
        <v>6329.8884600000001</v>
      </c>
      <c r="AB27" s="180">
        <f ca="1">+IFERROR(IF(MACHACHI[[#This Row],[CODIGO]]="","",$J$3-O27),"")</f>
        <v>5</v>
      </c>
      <c r="AC27" s="35" t="str">
        <f ca="1">IF(MACHACHI[[#This Row],[CODIGO]]="","",IF(S27&lt;=0,"CADUCADO",IF(AND(S27&gt;0,S27&lt;=21),"FECHA CORTA",IF(AND(S27&gt;=22,S27&lt;=26),"PROXIMOS FECHA CORTA", "VIGENTE"))))</f>
        <v>VIGENTE</v>
      </c>
      <c r="AD27" s="181">
        <f>+IFERROR(IF(MACHACHI[[#This Row],[CODIGO]]="","",MACHACHI[[#This Row],[Stock Actual Unds]]*MACHACHI[[#This Row],[Gramaje]]*MACHACHI[[#This Row],[Conversión]]),"")/1000</f>
        <v>2.1419999999999999</v>
      </c>
    </row>
    <row r="28" spans="1:30">
      <c r="A28" s="42" t="str">
        <f>+IFERROR(IF(MACHACHI[[#This Row],[CODIGO]]="","",VLOOKUP(MACHACHI[[#This Row],[CODIGO]],MAESTRO!$A:$J,10,FALSE)),"")</f>
        <v>SAN GABRIEL</v>
      </c>
      <c r="B28" s="42" t="str">
        <f>+IFERROR(IF(MACHACHI[[#This Row],[CODIGO]]="","",VLOOKUP(MACHACHI[[#This Row],[CODIGO]],MAESTRO!$A:$Q,17,FALSE)),"")</f>
        <v>POSTRES</v>
      </c>
      <c r="C28" s="42" t="str">
        <f>+IFERROR(IF(MACHACHI[[#This Row],[CODIGO]]="","",VLOOKUP(MACHACHI[[#This Row],[CODIGO]],MAESTRO!$A:$BA,53,FALSE)),"")</f>
        <v xml:space="preserve">Luis Armendariz                         </v>
      </c>
      <c r="D28" s="42" t="str">
        <f>+IFERROR(IF(MACHACHI[[#This Row],[CODIGO]]="","",VLOOKUP(MACHACHI[[#This Row],[CODIGO]],MAESTRO!$A:$D,4,FALSE)),"")</f>
        <v>DULCE LECHE KIOSCO</v>
      </c>
      <c r="E28" s="42" t="str">
        <f>+IFERROR(IF(MACHACHI[[#This Row],[CODIGO]]="","",VLOOKUP(MACHACHI[[#This Row],[CODIGO]],MAESTRO!$A:$F,6,FALSE)),"")</f>
        <v>DULCE DE LECHE KIOSCO FAMILIAR</v>
      </c>
      <c r="F28" s="42" t="str">
        <f>IF(MACHACHI[[#This Row],[CODIGO]]="","",$K$6)</f>
        <v>MACHACHI</v>
      </c>
      <c r="G28" s="49">
        <f>IF(MACHACHI[[#This Row],[CODIGO]]="","",7701)</f>
        <v>7701</v>
      </c>
      <c r="H28" s="49">
        <f>IF(MACHACHI[[#This Row],[CODIGO]]="","",1080)</f>
        <v>1080</v>
      </c>
      <c r="I28" s="256" t="s">
        <v>4516</v>
      </c>
      <c r="J28" s="25" t="str">
        <f>IFERROR((VLOOKUP(MACHACHI[[#This Row],[CODIGO]],MAESTRO!A:B,2,FALSE)),"")</f>
        <v>DULCE LCH KIOSKO VASO 250G</v>
      </c>
      <c r="K28" s="47">
        <v>3929</v>
      </c>
      <c r="L28" s="38">
        <f>+IFERROR(IF(MACHACHI[[#This Row],[CODIGO]]="","",VLOOKUP(MACHACHI[[#This Row],[CODIGO]],MAESTRO!$A:$BF,58,FALSE)),"")</f>
        <v>1</v>
      </c>
      <c r="M28" s="27">
        <f>+IFERROR(IF(MACHACHI[[#This Row],[CODIGO]]="","",VLOOKUP(MACHACHI[[#This Row],[CODIGO]],MAESTRO!A:N,14,FALSE)),"")</f>
        <v>0.25</v>
      </c>
      <c r="N28" s="28">
        <f>+IFERROR(IF(MACHACHI[[#This Row],[CODIGO]]="","",VLOOKUP(MACHACHI[[#This Row],[CODIGO]],MAESTRO!A:P,16,FALSE)),"")</f>
        <v>180</v>
      </c>
      <c r="O28" s="182">
        <f>+IF(MACHACHI[[#This Row],[CODIGO]]="","",MACHACHI[[#This Row],[Fecha Elab.]])</f>
        <v>45618</v>
      </c>
      <c r="P28" s="99" t="str">
        <f t="shared" si="6"/>
        <v>viernes</v>
      </c>
      <c r="Q28" s="183">
        <f>IFERROR(IF(MACHACHI[[#This Row],[CODIGO]]="","",IF(MACHACHI[[#This Row],[Fecha Cad]]="","",(MACHACHI[[#This Row],[Fecha Cad]]-MACHACHI[[#This Row],[VIDA UTIL (Días)]]))+1),"")</f>
        <v>45618</v>
      </c>
      <c r="R28" s="18">
        <v>45797</v>
      </c>
      <c r="S28" s="180">
        <f t="shared" ca="1" si="7"/>
        <v>173</v>
      </c>
      <c r="T28" s="207">
        <f t="shared" ca="1" si="4"/>
        <v>0.96111111111111114</v>
      </c>
      <c r="U28" s="47">
        <v>3929</v>
      </c>
      <c r="V28" s="184">
        <f>+IFERROR(IF(MACHACHI[[#This Row],[CODIGO]]="","",MACHACHI[[#This Row],[Stock Actual Unds]]*MACHACHI[[#This Row],[Gramaje]]*MACHACHI[[#This Row],[Conversión]]),"")</f>
        <v>982.25</v>
      </c>
      <c r="W28" s="45">
        <f>+IFERROR(IF(I27="","",MACHACHI[[#This Row],[Fecha Elab.]]-MACHACHI[[#This Row],[Fecha de Ingreso]]),"")</f>
        <v>0</v>
      </c>
      <c r="X28" s="44">
        <f t="shared" si="3"/>
        <v>1</v>
      </c>
      <c r="Y28" s="236">
        <f>+IFERROR(IF(MACHACHI[[#This Row],[CODIGO]]="","",VLOOKUP(MACHACHI[[#This Row],[CODIGO]],MAESTRO!A:BI,21,FALSE)),"")</f>
        <v>0.69541500000000001</v>
      </c>
      <c r="Z28" s="236">
        <f>+IFERROR(IF(MACHACHI[[#This Row],[CODIGO]]="","",Y28*MACHACHI[[#This Row],[Conversión]]),"")</f>
        <v>0.69541500000000001</v>
      </c>
      <c r="AA28" s="236">
        <f>+IFERROR(IF(MACHACHI[[#This Row],[CODIGO]]="","",MACHACHI[[#This Row],[COSTO UNIT Conv]]*MACHACHI[[#This Row],[Stock Actual Unds]]),"")</f>
        <v>2732.285535</v>
      </c>
      <c r="AB28" s="180">
        <f ca="1">+IFERROR(IF(MACHACHI[[#This Row],[CODIGO]]="","",$J$3-O28),"")</f>
        <v>6</v>
      </c>
      <c r="AC28" s="35" t="str">
        <f ca="1">IF(MACHACHI[[#This Row],[CODIGO]]="","",IF(S28&lt;=0,"CADUCADO",IF(AND(S28&gt;0,S28&lt;=21),"FECHA CORTA",IF(AND(S28&gt;=22,S28&lt;=26),"PROXIMOS FECHA CORTA", "VIGENTE"))))</f>
        <v>VIGENTE</v>
      </c>
      <c r="AD28" s="181">
        <f>+IFERROR(IF(MACHACHI[[#This Row],[CODIGO]]="","",MACHACHI[[#This Row],[Stock Actual Unds]]*MACHACHI[[#This Row],[Gramaje]]*MACHACHI[[#This Row],[Conversión]]),"")/1000</f>
        <v>0.98224999999999996</v>
      </c>
    </row>
    <row r="29" spans="1:30">
      <c r="A29" s="42" t="str">
        <f>+IFERROR(IF(MACHACHI[[#This Row],[CODIGO]]="","",VLOOKUP(MACHACHI[[#This Row],[CODIGO]],MAESTRO!$A:$J,10,FALSE)),"")</f>
        <v>SAN GABRIEL</v>
      </c>
      <c r="B29" s="42" t="str">
        <f>+IFERROR(IF(MACHACHI[[#This Row],[CODIGO]]="","",VLOOKUP(MACHACHI[[#This Row],[CODIGO]],MAESTRO!$A:$Q,17,FALSE)),"")</f>
        <v>POSTRES</v>
      </c>
      <c r="C29" s="42" t="str">
        <f>+IFERROR(IF(MACHACHI[[#This Row],[CODIGO]]="","",VLOOKUP(MACHACHI[[#This Row],[CODIGO]],MAESTRO!$A:$BA,53,FALSE)),"")</f>
        <v xml:space="preserve">Luis Armendariz                         </v>
      </c>
      <c r="D29" s="42" t="str">
        <f>+IFERROR(IF(MACHACHI[[#This Row],[CODIGO]]="","",VLOOKUP(MACHACHI[[#This Row],[CODIGO]],MAESTRO!$A:$D,4,FALSE)),"")</f>
        <v>DULCE LECHE KIOSCO</v>
      </c>
      <c r="E29" s="42" t="str">
        <f>+IFERROR(IF(MACHACHI[[#This Row],[CODIGO]]="","",VLOOKUP(MACHACHI[[#This Row],[CODIGO]],MAESTRO!$A:$F,6,FALSE)),"")</f>
        <v>DULCE DE LECHE KIOSCO FAMILIAR</v>
      </c>
      <c r="F29" s="42" t="str">
        <f>IF(MACHACHI[[#This Row],[CODIGO]]="","",$K$6)</f>
        <v>MACHACHI</v>
      </c>
      <c r="G29" s="49">
        <f>IF(MACHACHI[[#This Row],[CODIGO]]="","",7701)</f>
        <v>7701</v>
      </c>
      <c r="H29" s="49">
        <f>IF(MACHACHI[[#This Row],[CODIGO]]="","",1080)</f>
        <v>1080</v>
      </c>
      <c r="I29" s="256" t="s">
        <v>4089</v>
      </c>
      <c r="J29" s="25" t="str">
        <f>IFERROR((VLOOKUP(MACHACHI[[#This Row],[CODIGO]],MAESTRO!A:B,2,FALSE)),"")</f>
        <v>DULCE LCH KIOSKO VASO 500G</v>
      </c>
      <c r="K29" s="47">
        <v>1088</v>
      </c>
      <c r="L29" s="38">
        <f>+IFERROR(IF(MACHACHI[[#This Row],[CODIGO]]="","",VLOOKUP(MACHACHI[[#This Row],[CODIGO]],MAESTRO!$A:$BF,58,FALSE)),"")</f>
        <v>1</v>
      </c>
      <c r="M29" s="27">
        <f>+IFERROR(IF(MACHACHI[[#This Row],[CODIGO]]="","",VLOOKUP(MACHACHI[[#This Row],[CODIGO]],MAESTRO!A:N,14,FALSE)),"")</f>
        <v>0.5</v>
      </c>
      <c r="N29" s="28">
        <f>+IFERROR(IF(MACHACHI[[#This Row],[CODIGO]]="","",VLOOKUP(MACHACHI[[#This Row],[CODIGO]],MAESTRO!A:P,16,FALSE)),"")</f>
        <v>180</v>
      </c>
      <c r="O29" s="182">
        <f>+IF(MACHACHI[[#This Row],[CODIGO]]="","",MACHACHI[[#This Row],[Fecha Elab.]])</f>
        <v>45596</v>
      </c>
      <c r="P29" s="99" t="str">
        <f t="shared" si="6"/>
        <v>jueves</v>
      </c>
      <c r="Q29" s="183">
        <f>IFERROR(IF(MACHACHI[[#This Row],[CODIGO]]="","",IF(MACHACHI[[#This Row],[Fecha Cad]]="","",(MACHACHI[[#This Row],[Fecha Cad]]-MACHACHI[[#This Row],[VIDA UTIL (Días)]]))+1),"")</f>
        <v>45596</v>
      </c>
      <c r="R29" s="18">
        <v>45775</v>
      </c>
      <c r="S29" s="180">
        <f t="shared" ca="1" si="7"/>
        <v>151</v>
      </c>
      <c r="T29" s="207">
        <f t="shared" ca="1" si="4"/>
        <v>0.83888888888888891</v>
      </c>
      <c r="U29" s="47">
        <v>1088</v>
      </c>
      <c r="V29" s="184">
        <f>+IFERROR(IF(MACHACHI[[#This Row],[CODIGO]]="","",MACHACHI[[#This Row],[Stock Actual Unds]]*MACHACHI[[#This Row],[Gramaje]]*MACHACHI[[#This Row],[Conversión]]),"")</f>
        <v>544</v>
      </c>
      <c r="W29" s="45">
        <f>+IFERROR(IF(I28="","",MACHACHI[[#This Row],[Fecha Elab.]]-MACHACHI[[#This Row],[Fecha de Ingreso]]),"")</f>
        <v>0</v>
      </c>
      <c r="X29" s="44">
        <f t="shared" si="3"/>
        <v>1</v>
      </c>
      <c r="Y29" s="236">
        <f>+IFERROR(IF(MACHACHI[[#This Row],[CODIGO]]="","",VLOOKUP(MACHACHI[[#This Row],[CODIGO]],MAESTRO!A:BI,21,FALSE)),"")</f>
        <v>1.3121100000000001</v>
      </c>
      <c r="Z29" s="236">
        <f>+IFERROR(IF(MACHACHI[[#This Row],[CODIGO]]="","",Y29*MACHACHI[[#This Row],[Conversión]]),"")</f>
        <v>1.3121100000000001</v>
      </c>
      <c r="AA29" s="236">
        <f>+IFERROR(IF(MACHACHI[[#This Row],[CODIGO]]="","",MACHACHI[[#This Row],[COSTO UNIT Conv]]*MACHACHI[[#This Row],[Stock Actual Unds]]),"")</f>
        <v>1427.5756800000001</v>
      </c>
      <c r="AB29" s="180">
        <f ca="1">+IFERROR(IF(MACHACHI[[#This Row],[CODIGO]]="","",$J$3-O29),"")</f>
        <v>28</v>
      </c>
      <c r="AC29" s="35" t="str">
        <f ca="1">IF(MACHACHI[[#This Row],[CODIGO]]="","",IF(S29&lt;=0,"CADUCADO",IF(AND(S29&gt;0,S29&lt;=21),"FECHA CORTA",IF(AND(S29&gt;=22,S29&lt;=26),"PROXIMOS FECHA CORTA", "VIGENTE"))))</f>
        <v>VIGENTE</v>
      </c>
      <c r="AD29" s="181">
        <f>+IFERROR(IF(MACHACHI[[#This Row],[CODIGO]]="","",MACHACHI[[#This Row],[Stock Actual Unds]]*MACHACHI[[#This Row],[Gramaje]]*MACHACHI[[#This Row],[Conversión]]),"")/1000</f>
        <v>0.54400000000000004</v>
      </c>
    </row>
    <row r="30" spans="1:30">
      <c r="A30" s="42" t="str">
        <f>+IFERROR(IF(MACHACHI[[#This Row],[CODIGO]]="","",VLOOKUP(MACHACHI[[#This Row],[CODIGO]],MAESTRO!$A:$J,10,FALSE)),"")</f>
        <v>SAN GABRIEL</v>
      </c>
      <c r="B30" s="42" t="str">
        <f>+IFERROR(IF(MACHACHI[[#This Row],[CODIGO]]="","",VLOOKUP(MACHACHI[[#This Row],[CODIGO]],MAESTRO!$A:$Q,17,FALSE)),"")</f>
        <v>POSTRES</v>
      </c>
      <c r="C30" s="42" t="str">
        <f>+IFERROR(IF(MACHACHI[[#This Row],[CODIGO]]="","",VLOOKUP(MACHACHI[[#This Row],[CODIGO]],MAESTRO!$A:$BA,53,FALSE)),"")</f>
        <v xml:space="preserve">Luis Armendariz                         </v>
      </c>
      <c r="D30" s="42" t="str">
        <f>+IFERROR(IF(MACHACHI[[#This Row],[CODIGO]]="","",VLOOKUP(MACHACHI[[#This Row],[CODIGO]],MAESTRO!$A:$D,4,FALSE)),"")</f>
        <v>DULCE LECHE KIOSCO</v>
      </c>
      <c r="E30" s="42" t="str">
        <f>+IFERROR(IF(MACHACHI[[#This Row],[CODIGO]]="","",VLOOKUP(MACHACHI[[#This Row],[CODIGO]],MAESTRO!$A:$F,6,FALSE)),"")</f>
        <v>DULCE DE LECHE KIOSCO FAMILIAR</v>
      </c>
      <c r="F30" s="42" t="str">
        <f>IF(MACHACHI[[#This Row],[CODIGO]]="","",$K$6)</f>
        <v>MACHACHI</v>
      </c>
      <c r="G30" s="49">
        <f>IF(MACHACHI[[#This Row],[CODIGO]]="","",7701)</f>
        <v>7701</v>
      </c>
      <c r="H30" s="49">
        <f>IF(MACHACHI[[#This Row],[CODIGO]]="","",1080)</f>
        <v>1080</v>
      </c>
      <c r="I30" s="256" t="s">
        <v>4089</v>
      </c>
      <c r="J30" s="25" t="str">
        <f>IFERROR((VLOOKUP(MACHACHI[[#This Row],[CODIGO]],MAESTRO!A:B,2,FALSE)),"")</f>
        <v>DULCE LCH KIOSKO VASO 500G</v>
      </c>
      <c r="K30" s="47">
        <v>2520</v>
      </c>
      <c r="L30" s="38">
        <f>+IFERROR(IF(MACHACHI[[#This Row],[CODIGO]]="","",VLOOKUP(MACHACHI[[#This Row],[CODIGO]],MAESTRO!$A:$BF,58,FALSE)),"")</f>
        <v>1</v>
      </c>
      <c r="M30" s="27">
        <f>+IFERROR(IF(MACHACHI[[#This Row],[CODIGO]]="","",VLOOKUP(MACHACHI[[#This Row],[CODIGO]],MAESTRO!A:N,14,FALSE)),"")</f>
        <v>0.5</v>
      </c>
      <c r="N30" s="28">
        <f>+IFERROR(IF(MACHACHI[[#This Row],[CODIGO]]="","",VLOOKUP(MACHACHI[[#This Row],[CODIGO]],MAESTRO!A:P,16,FALSE)),"")</f>
        <v>180</v>
      </c>
      <c r="O30" s="182">
        <f>+IF(MACHACHI[[#This Row],[CODIGO]]="","",MACHACHI[[#This Row],[Fecha Elab.]])</f>
        <v>45618</v>
      </c>
      <c r="P30" s="99" t="str">
        <f t="shared" si="6"/>
        <v>viernes</v>
      </c>
      <c r="Q30" s="183">
        <f>IFERROR(IF(MACHACHI[[#This Row],[CODIGO]]="","",IF(MACHACHI[[#This Row],[Fecha Cad]]="","",(MACHACHI[[#This Row],[Fecha Cad]]-MACHACHI[[#This Row],[VIDA UTIL (Días)]]))+1),"")</f>
        <v>45618</v>
      </c>
      <c r="R30" s="18">
        <v>45797</v>
      </c>
      <c r="S30" s="180">
        <f t="shared" ca="1" si="7"/>
        <v>173</v>
      </c>
      <c r="T30" s="207">
        <f t="shared" ca="1" si="4"/>
        <v>0.96111111111111114</v>
      </c>
      <c r="U30" s="47">
        <v>2520</v>
      </c>
      <c r="V30" s="184">
        <f>+IFERROR(IF(MACHACHI[[#This Row],[CODIGO]]="","",MACHACHI[[#This Row],[Stock Actual Unds]]*MACHACHI[[#This Row],[Gramaje]]*MACHACHI[[#This Row],[Conversión]]),"")</f>
        <v>1260</v>
      </c>
      <c r="W30" s="45">
        <f>+IFERROR(IF(I29="","",MACHACHI[[#This Row],[Fecha Elab.]]-MACHACHI[[#This Row],[Fecha de Ingreso]]),"")</f>
        <v>0</v>
      </c>
      <c r="X30" s="44">
        <f t="shared" si="3"/>
        <v>1</v>
      </c>
      <c r="Y30" s="236">
        <f>+IFERROR(IF(MACHACHI[[#This Row],[CODIGO]]="","",VLOOKUP(MACHACHI[[#This Row],[CODIGO]],MAESTRO!A:BI,21,FALSE)),"")</f>
        <v>1.3121100000000001</v>
      </c>
      <c r="Z30" s="236">
        <f>+IFERROR(IF(MACHACHI[[#This Row],[CODIGO]]="","",Y30*MACHACHI[[#This Row],[Conversión]]),"")</f>
        <v>1.3121100000000001</v>
      </c>
      <c r="AA30" s="236">
        <f>+IFERROR(IF(MACHACHI[[#This Row],[CODIGO]]="","",MACHACHI[[#This Row],[COSTO UNIT Conv]]*MACHACHI[[#This Row],[Stock Actual Unds]]),"")</f>
        <v>3306.5172000000002</v>
      </c>
      <c r="AB30" s="180">
        <f ca="1">+IFERROR(IF(MACHACHI[[#This Row],[CODIGO]]="","",$J$3-O30),"")</f>
        <v>6</v>
      </c>
      <c r="AC30" s="35" t="str">
        <f ca="1">IF(MACHACHI[[#This Row],[CODIGO]]="","",IF(S30&lt;=0,"CADUCADO",IF(AND(S30&gt;0,S30&lt;=21),"FECHA CORTA",IF(AND(S30&gt;=22,S30&lt;=26),"PROXIMOS FECHA CORTA", "VIGENTE"))))</f>
        <v>VIGENTE</v>
      </c>
      <c r="AD30" s="181">
        <f>+IFERROR(IF(MACHACHI[[#This Row],[CODIGO]]="","",MACHACHI[[#This Row],[Stock Actual Unds]]*MACHACHI[[#This Row],[Gramaje]]*MACHACHI[[#This Row],[Conversión]]),"")/1000</f>
        <v>1.26</v>
      </c>
    </row>
    <row r="31" spans="1:30" ht="13.4" customHeight="1">
      <c r="A31" s="42" t="str">
        <f>+IFERROR(IF(MACHACHI[[#This Row],[CODIGO]]="","",VLOOKUP(MACHACHI[[#This Row],[CODIGO]],MAESTRO!$A:$J,10,FALSE)),"")</f>
        <v>SAN GABRIEL</v>
      </c>
      <c r="B31" s="42" t="str">
        <f>+IFERROR(IF(MACHACHI[[#This Row],[CODIGO]]="","",VLOOKUP(MACHACHI[[#This Row],[CODIGO]],MAESTRO!$A:$Q,17,FALSE)),"")</f>
        <v>QUESOS Y GRASAS</v>
      </c>
      <c r="C31" s="42" t="str">
        <f>+IFERROR(IF(MACHACHI[[#This Row],[CODIGO]]="","",VLOOKUP(MACHACHI[[#This Row],[CODIGO]],MAESTRO!$A:$BA,53,FALSE)),"")</f>
        <v xml:space="preserve">Esteban Montenegro                      </v>
      </c>
      <c r="D31" s="42" t="str">
        <f>+IFERROR(IF(MACHACHI[[#This Row],[CODIGO]]="","",VLOOKUP(MACHACHI[[#This Row],[CODIGO]],MAESTRO!$A:$D,4,FALSE)),"")</f>
        <v>QUESO SEMIMADURO KIOSKO</v>
      </c>
      <c r="E31" s="42" t="str">
        <f>+IFERROR(IF(MACHACHI[[#This Row],[CODIGO]]="","",VLOOKUP(MACHACHI[[#This Row],[CODIGO]],MAESTRO!$A:$F,6,FALSE)),"")</f>
        <v>QUESO JAVIERINO KIOSKO TAJADO</v>
      </c>
      <c r="F31" s="42" t="str">
        <f>IF(MACHACHI[[#This Row],[CODIGO]]="","",$K$6)</f>
        <v>MACHACHI</v>
      </c>
      <c r="G31" s="49">
        <f>IF(MACHACHI[[#This Row],[CODIGO]]="","",7701)</f>
        <v>7701</v>
      </c>
      <c r="H31" s="49">
        <f>IF(MACHACHI[[#This Row],[CODIGO]]="","",1080)</f>
        <v>1080</v>
      </c>
      <c r="I31" s="256" t="s">
        <v>3130</v>
      </c>
      <c r="J31" s="25" t="str">
        <f>IFERROR((VLOOKUP(MACHACHI[[#This Row],[CODIGO]],MAESTRO!A:B,2,FALSE)),"")</f>
        <v>Q JAVIERINO KIOSKO RALLADO 1.5K</v>
      </c>
      <c r="K31" s="47">
        <v>30</v>
      </c>
      <c r="L31" s="38">
        <f>+IFERROR(IF(MACHACHI[[#This Row],[CODIGO]]="","",VLOOKUP(MACHACHI[[#This Row],[CODIGO]],MAESTRO!$A:$BF,58,FALSE)),"")</f>
        <v>1</v>
      </c>
      <c r="M31" s="27">
        <f>+IFERROR(IF(MACHACHI[[#This Row],[CODIGO]]="","",VLOOKUP(MACHACHI[[#This Row],[CODIGO]],MAESTRO!A:N,14,FALSE)),"")</f>
        <v>1.5</v>
      </c>
      <c r="N31" s="28">
        <f>+IFERROR(IF(MACHACHI[[#This Row],[CODIGO]]="","",VLOOKUP(MACHACHI[[#This Row],[CODIGO]],MAESTRO!A:P,16,FALSE)),"")</f>
        <v>60</v>
      </c>
      <c r="O31" s="182">
        <f>+IF(MACHACHI[[#This Row],[CODIGO]]="","",MACHACHI[[#This Row],[Fecha Elab.]])</f>
        <v>45609</v>
      </c>
      <c r="P31" s="99" t="str">
        <f t="shared" si="6"/>
        <v>miércoles</v>
      </c>
      <c r="Q31" s="183">
        <f>IFERROR(IF(MACHACHI[[#This Row],[CODIGO]]="","",IF(MACHACHI[[#This Row],[Fecha Cad]]="","",(MACHACHI[[#This Row],[Fecha Cad]]-MACHACHI[[#This Row],[VIDA UTIL (Días)]]))+1),"")</f>
        <v>45609</v>
      </c>
      <c r="R31" s="18">
        <v>45668</v>
      </c>
      <c r="S31" s="180">
        <f t="shared" ca="1" si="7"/>
        <v>44</v>
      </c>
      <c r="T31" s="207">
        <f t="shared" ca="1" si="4"/>
        <v>0.73333333333333328</v>
      </c>
      <c r="U31" s="47">
        <v>30</v>
      </c>
      <c r="V31" s="184">
        <f>+IFERROR(IF(MACHACHI[[#This Row],[CODIGO]]="","",MACHACHI[[#This Row],[Stock Actual Unds]]*MACHACHI[[#This Row],[Gramaje]]*MACHACHI[[#This Row],[Conversión]]),"")</f>
        <v>45</v>
      </c>
      <c r="W31" s="45">
        <f>+IFERROR(IF(I30="","",MACHACHI[[#This Row],[Fecha Elab.]]-MACHACHI[[#This Row],[Fecha de Ingreso]]),"")</f>
        <v>0</v>
      </c>
      <c r="X31" s="44">
        <f t="shared" si="3"/>
        <v>1</v>
      </c>
      <c r="Y31" s="236">
        <f>+IFERROR(IF(MACHACHI[[#This Row],[CODIGO]]="","",VLOOKUP(MACHACHI[[#This Row],[CODIGO]],MAESTRO!A:BI,21,FALSE)),"")</f>
        <v>10.255265</v>
      </c>
      <c r="Z31" s="236">
        <f>+IFERROR(IF(MACHACHI[[#This Row],[CODIGO]]="","",Y31*MACHACHI[[#This Row],[Conversión]]),"")</f>
        <v>10.255265</v>
      </c>
      <c r="AA31" s="236">
        <f>+IFERROR(IF(MACHACHI[[#This Row],[CODIGO]]="","",MACHACHI[[#This Row],[COSTO UNIT Conv]]*MACHACHI[[#This Row],[Stock Actual Unds]]),"")</f>
        <v>307.65794999999997</v>
      </c>
      <c r="AB31" s="180">
        <f ca="1">+IFERROR(IF(MACHACHI[[#This Row],[CODIGO]]="","",$J$3-O31),"")</f>
        <v>15</v>
      </c>
      <c r="AC31" s="35" t="str">
        <f ca="1">IF(MACHACHI[[#This Row],[CODIGO]]="","",IF(S31&lt;=0,"CADUCADO",IF(AND(S31&gt;0,S31&lt;=21),"FECHA CORTA",IF(AND(S31&gt;=22,S31&lt;=26),"PROXIMOS FECHA CORTA", "VIGENTE"))))</f>
        <v>VIGENTE</v>
      </c>
      <c r="AD31" s="181">
        <f>+IFERROR(IF(MACHACHI[[#This Row],[CODIGO]]="","",MACHACHI[[#This Row],[Stock Actual Unds]]*MACHACHI[[#This Row],[Gramaje]]*MACHACHI[[#This Row],[Conversión]]),"")/1000</f>
        <v>4.4999999999999998E-2</v>
      </c>
    </row>
    <row r="32" spans="1:30">
      <c r="A32" s="42" t="str">
        <f>+IFERROR(IF(MACHACHI[[#This Row],[CODIGO]]="","",VLOOKUP(MACHACHI[[#This Row],[CODIGO]],MAESTRO!$A:$J,10,FALSE)),"")</f>
        <v>SAN GABRIEL</v>
      </c>
      <c r="B32" s="42" t="str">
        <f>+IFERROR(IF(MACHACHI[[#This Row],[CODIGO]]="","",VLOOKUP(MACHACHI[[#This Row],[CODIGO]],MAESTRO!$A:$Q,17,FALSE)),"")</f>
        <v>QUESOS Y GRASAS</v>
      </c>
      <c r="C32" s="42" t="str">
        <f>+IFERROR(IF(MACHACHI[[#This Row],[CODIGO]]="","",VLOOKUP(MACHACHI[[#This Row],[CODIGO]],MAESTRO!$A:$BA,53,FALSE)),"")</f>
        <v xml:space="preserve">Esteban Montenegro                      </v>
      </c>
      <c r="D32" s="42" t="str">
        <f>+IFERROR(IF(MACHACHI[[#This Row],[CODIGO]]="","",VLOOKUP(MACHACHI[[#This Row],[CODIGO]],MAESTRO!$A:$D,4,FALSE)),"")</f>
        <v>QUESO SEMIMADURO KIOSKO</v>
      </c>
      <c r="E32" s="42" t="str">
        <f>+IFERROR(IF(MACHACHI[[#This Row],[CODIGO]]="","",VLOOKUP(MACHACHI[[#This Row],[CODIGO]],MAESTRO!$A:$F,6,FALSE)),"")</f>
        <v>QUESO JAVIERINO KIOSKO TAJADO</v>
      </c>
      <c r="F32" s="42" t="str">
        <f>IF(MACHACHI[[#This Row],[CODIGO]]="","",$K$6)</f>
        <v>MACHACHI</v>
      </c>
      <c r="G32" s="49">
        <f>IF(MACHACHI[[#This Row],[CODIGO]]="","",7701)</f>
        <v>7701</v>
      </c>
      <c r="H32" s="49">
        <f>IF(MACHACHI[[#This Row],[CODIGO]]="","",1080)</f>
        <v>1080</v>
      </c>
      <c r="I32" s="256" t="s">
        <v>3130</v>
      </c>
      <c r="J32" s="25" t="str">
        <f>IFERROR((VLOOKUP(MACHACHI[[#This Row],[CODIGO]],MAESTRO!A:B,2,FALSE)),"")</f>
        <v>Q JAVIERINO KIOSKO RALLADO 1.5K</v>
      </c>
      <c r="K32" s="47">
        <v>24</v>
      </c>
      <c r="L32" s="38">
        <f>+IFERROR(IF(MACHACHI[[#This Row],[CODIGO]]="","",VLOOKUP(MACHACHI[[#This Row],[CODIGO]],MAESTRO!$A:$BF,58,FALSE)),"")</f>
        <v>1</v>
      </c>
      <c r="M32" s="27">
        <f>+IFERROR(IF(MACHACHI[[#This Row],[CODIGO]]="","",VLOOKUP(MACHACHI[[#This Row],[CODIGO]],MAESTRO!A:N,14,FALSE)),"")</f>
        <v>1.5</v>
      </c>
      <c r="N32" s="28">
        <f>+IFERROR(IF(MACHACHI[[#This Row],[CODIGO]]="","",VLOOKUP(MACHACHI[[#This Row],[CODIGO]],MAESTRO!A:P,16,FALSE)),"")</f>
        <v>60</v>
      </c>
      <c r="O32" s="182">
        <f>+IF(MACHACHI[[#This Row],[CODIGO]]="","",MACHACHI[[#This Row],[Fecha Elab.]])</f>
        <v>45602</v>
      </c>
      <c r="P32" s="99" t="str">
        <f t="shared" si="6"/>
        <v>miércoles</v>
      </c>
      <c r="Q32" s="183">
        <f>IFERROR(IF(MACHACHI[[#This Row],[CODIGO]]="","",IF(MACHACHI[[#This Row],[Fecha Cad]]="","",(MACHACHI[[#This Row],[Fecha Cad]]-MACHACHI[[#This Row],[VIDA UTIL (Días)]]))+1),"")</f>
        <v>45602</v>
      </c>
      <c r="R32" s="18">
        <v>45661</v>
      </c>
      <c r="S32" s="180">
        <f t="shared" ca="1" si="7"/>
        <v>37</v>
      </c>
      <c r="T32" s="207">
        <f t="shared" ca="1" si="4"/>
        <v>0.6166666666666667</v>
      </c>
      <c r="U32" s="47">
        <v>24</v>
      </c>
      <c r="V32" s="184">
        <f>+IFERROR(IF(MACHACHI[[#This Row],[CODIGO]]="","",MACHACHI[[#This Row],[Stock Actual Unds]]*MACHACHI[[#This Row],[Gramaje]]*MACHACHI[[#This Row],[Conversión]]),"")</f>
        <v>36</v>
      </c>
      <c r="W32" s="45">
        <f>+IFERROR(IF(I31="","",MACHACHI[[#This Row],[Fecha Elab.]]-MACHACHI[[#This Row],[Fecha de Ingreso]]),"")</f>
        <v>0</v>
      </c>
      <c r="X32" s="44">
        <f t="shared" si="3"/>
        <v>1</v>
      </c>
      <c r="Y32" s="236">
        <f>+IFERROR(IF(MACHACHI[[#This Row],[CODIGO]]="","",VLOOKUP(MACHACHI[[#This Row],[CODIGO]],MAESTRO!A:BI,21,FALSE)),"")</f>
        <v>10.255265</v>
      </c>
      <c r="Z32" s="236">
        <f>+IFERROR(IF(MACHACHI[[#This Row],[CODIGO]]="","",Y32*MACHACHI[[#This Row],[Conversión]]),"")</f>
        <v>10.255265</v>
      </c>
      <c r="AA32" s="236">
        <f>+IFERROR(IF(MACHACHI[[#This Row],[CODIGO]]="","",MACHACHI[[#This Row],[COSTO UNIT Conv]]*MACHACHI[[#This Row],[Stock Actual Unds]]),"")</f>
        <v>246.12635999999998</v>
      </c>
      <c r="AB32" s="180">
        <f ca="1">+IFERROR(IF(MACHACHI[[#This Row],[CODIGO]]="","",$J$3-O32),"")</f>
        <v>22</v>
      </c>
      <c r="AC32" s="35" t="str">
        <f ca="1">IF(MACHACHI[[#This Row],[CODIGO]]="","",IF(S32&lt;=0,"CADUCADO",IF(AND(S32&gt;0,S32&lt;=21),"FECHA CORTA",IF(AND(S32&gt;=22,S32&lt;=26),"PROXIMOS FECHA CORTA", "VIGENTE"))))</f>
        <v>VIGENTE</v>
      </c>
      <c r="AD32" s="181">
        <f>+IFERROR(IF(MACHACHI[[#This Row],[CODIGO]]="","",MACHACHI[[#This Row],[Stock Actual Unds]]*MACHACHI[[#This Row],[Gramaje]]*MACHACHI[[#This Row],[Conversión]]),"")/1000</f>
        <v>3.5999999999999997E-2</v>
      </c>
    </row>
    <row r="33" spans="1:30">
      <c r="A33" s="42" t="str">
        <f>+IFERROR(IF(MACHACHI[[#This Row],[CODIGO]]="","",VLOOKUP(MACHACHI[[#This Row],[CODIGO]],MAESTRO!$A:$J,10,FALSE)),"")</f>
        <v>SAN GABRIEL</v>
      </c>
      <c r="B33" s="42" t="str">
        <f>+IFERROR(IF(MACHACHI[[#This Row],[CODIGO]]="","",VLOOKUP(MACHACHI[[#This Row],[CODIGO]],MAESTRO!$A:$Q,17,FALSE)),"")</f>
        <v>QUESOS Y GRASAS</v>
      </c>
      <c r="C33" s="42" t="str">
        <f>+IFERROR(IF(MACHACHI[[#This Row],[CODIGO]]="","",VLOOKUP(MACHACHI[[#This Row],[CODIGO]],MAESTRO!$A:$BA,53,FALSE)),"")</f>
        <v xml:space="preserve">Esteban Montenegro                      </v>
      </c>
      <c r="D33" s="42" t="str">
        <f>+IFERROR(IF(MACHACHI[[#This Row],[CODIGO]]="","",VLOOKUP(MACHACHI[[#This Row],[CODIGO]],MAESTRO!$A:$D,4,FALSE)),"")</f>
        <v>QUESO SEMIMADURO KIOSKO</v>
      </c>
      <c r="E33" s="42" t="str">
        <f>+IFERROR(IF(MACHACHI[[#This Row],[CODIGO]]="","",VLOOKUP(MACHACHI[[#This Row],[CODIGO]],MAESTRO!$A:$F,6,FALSE)),"")</f>
        <v>QUESO JAVIERINO KIOSKO TAJADO</v>
      </c>
      <c r="F33" s="42" t="str">
        <f>IF(MACHACHI[[#This Row],[CODIGO]]="","",$K$6)</f>
        <v>MACHACHI</v>
      </c>
      <c r="G33" s="49">
        <f>IF(MACHACHI[[#This Row],[CODIGO]]="","",7701)</f>
        <v>7701</v>
      </c>
      <c r="H33" s="49">
        <f>IF(MACHACHI[[#This Row],[CODIGO]]="","",1080)</f>
        <v>1080</v>
      </c>
      <c r="I33" s="256" t="s">
        <v>3130</v>
      </c>
      <c r="J33" s="25" t="str">
        <f>IFERROR((VLOOKUP(MACHACHI[[#This Row],[CODIGO]],MAESTRO!A:B,2,FALSE)),"")</f>
        <v>Q JAVIERINO KIOSKO RALLADO 1.5K</v>
      </c>
      <c r="K33" s="47">
        <v>100</v>
      </c>
      <c r="L33" s="38">
        <f>+IFERROR(IF(MACHACHI[[#This Row],[CODIGO]]="","",VLOOKUP(MACHACHI[[#This Row],[CODIGO]],MAESTRO!$A:$BF,58,FALSE)),"")</f>
        <v>1</v>
      </c>
      <c r="M33" s="27">
        <f>+IFERROR(IF(MACHACHI[[#This Row],[CODIGO]]="","",VLOOKUP(MACHACHI[[#This Row],[CODIGO]],MAESTRO!A:N,14,FALSE)),"")</f>
        <v>1.5</v>
      </c>
      <c r="N33" s="28">
        <f>+IFERROR(IF(MACHACHI[[#This Row],[CODIGO]]="","",VLOOKUP(MACHACHI[[#This Row],[CODIGO]],MAESTRO!A:P,16,FALSE)),"")</f>
        <v>60</v>
      </c>
      <c r="O33" s="182">
        <f>+IF(MACHACHI[[#This Row],[CODIGO]]="","",MACHACHI[[#This Row],[Fecha Elab.]])</f>
        <v>45613</v>
      </c>
      <c r="P33" s="99" t="str">
        <f t="shared" si="6"/>
        <v>domingo</v>
      </c>
      <c r="Q33" s="183">
        <f>IFERROR(IF(MACHACHI[[#This Row],[CODIGO]]="","",IF(MACHACHI[[#This Row],[Fecha Cad]]="","",(MACHACHI[[#This Row],[Fecha Cad]]-MACHACHI[[#This Row],[VIDA UTIL (Días)]]))+1),"")</f>
        <v>45613</v>
      </c>
      <c r="R33" s="18">
        <v>45672</v>
      </c>
      <c r="S33" s="180">
        <f t="shared" ca="1" si="7"/>
        <v>48</v>
      </c>
      <c r="T33" s="207">
        <f t="shared" ca="1" si="4"/>
        <v>0.8</v>
      </c>
      <c r="U33" s="47">
        <v>100</v>
      </c>
      <c r="V33" s="184">
        <f>+IFERROR(IF(MACHACHI[[#This Row],[CODIGO]]="","",MACHACHI[[#This Row],[Stock Actual Unds]]*MACHACHI[[#This Row],[Gramaje]]*MACHACHI[[#This Row],[Conversión]]),"")</f>
        <v>150</v>
      </c>
      <c r="W33" s="45">
        <f>+IFERROR(IF(I32="","",MACHACHI[[#This Row],[Fecha Elab.]]-MACHACHI[[#This Row],[Fecha de Ingreso]]),"")</f>
        <v>0</v>
      </c>
      <c r="X33" s="44">
        <f t="shared" si="3"/>
        <v>1</v>
      </c>
      <c r="Y33" s="236">
        <f>+IFERROR(IF(MACHACHI[[#This Row],[CODIGO]]="","",VLOOKUP(MACHACHI[[#This Row],[CODIGO]],MAESTRO!A:BI,21,FALSE)),"")</f>
        <v>10.255265</v>
      </c>
      <c r="Z33" s="236">
        <f>+IFERROR(IF(MACHACHI[[#This Row],[CODIGO]]="","",Y33*MACHACHI[[#This Row],[Conversión]]),"")</f>
        <v>10.255265</v>
      </c>
      <c r="AA33" s="236">
        <f>+IFERROR(IF(MACHACHI[[#This Row],[CODIGO]]="","",MACHACHI[[#This Row],[COSTO UNIT Conv]]*MACHACHI[[#This Row],[Stock Actual Unds]]),"")</f>
        <v>1025.5264999999999</v>
      </c>
      <c r="AB33" s="180">
        <f ca="1">+IFERROR(IF(MACHACHI[[#This Row],[CODIGO]]="","",$J$3-O33),"")</f>
        <v>11</v>
      </c>
      <c r="AC33" s="35" t="str">
        <f ca="1">IF(MACHACHI[[#This Row],[CODIGO]]="","",IF(S33&lt;=0,"CADUCADO",IF(AND(S33&gt;0,S33&lt;=21),"FECHA CORTA",IF(AND(S33&gt;=22,S33&lt;=26),"PROXIMOS FECHA CORTA", "VIGENTE"))))</f>
        <v>VIGENTE</v>
      </c>
      <c r="AD33" s="181">
        <f>+IFERROR(IF(MACHACHI[[#This Row],[CODIGO]]="","",MACHACHI[[#This Row],[Stock Actual Unds]]*MACHACHI[[#This Row],[Gramaje]]*MACHACHI[[#This Row],[Conversión]]),"")/1000</f>
        <v>0.15</v>
      </c>
    </row>
    <row r="34" spans="1:30">
      <c r="A34" s="42" t="str">
        <f>+IFERROR(IF(MACHACHI[[#This Row],[CODIGO]]="","",VLOOKUP(MACHACHI[[#This Row],[CODIGO]],MAESTRO!$A:$J,10,FALSE)),"")</f>
        <v>SAN GABRIEL</v>
      </c>
      <c r="B34" s="42" t="str">
        <f>+IFERROR(IF(MACHACHI[[#This Row],[CODIGO]]="","",VLOOKUP(MACHACHI[[#This Row],[CODIGO]],MAESTRO!$A:$Q,17,FALSE)),"")</f>
        <v>QUESOS Y GRASAS</v>
      </c>
      <c r="C34" s="42" t="str">
        <f>+IFERROR(IF(MACHACHI[[#This Row],[CODIGO]]="","",VLOOKUP(MACHACHI[[#This Row],[CODIGO]],MAESTRO!$A:$BA,53,FALSE)),"")</f>
        <v xml:space="preserve">Esteban Montenegro                      </v>
      </c>
      <c r="D34" s="42" t="str">
        <f>+IFERROR(IF(MACHACHI[[#This Row],[CODIGO]]="","",VLOOKUP(MACHACHI[[#This Row],[CODIGO]],MAESTRO!$A:$D,4,FALSE)),"")</f>
        <v>QUESO MOZARELLA KIOSKO</v>
      </c>
      <c r="E34" s="42" t="str">
        <f>+IFERROR(IF(MACHACHI[[#This Row],[CODIGO]]="","",VLOOKUP(MACHACHI[[#This Row],[CODIGO]],MAESTRO!$A:$F,6,FALSE)),"")</f>
        <v>QUESO MOZARELLA PIZZA KIOSKO RALLADO</v>
      </c>
      <c r="F34" s="42" t="str">
        <f>IF(MACHACHI[[#This Row],[CODIGO]]="","",$K$6)</f>
        <v>MACHACHI</v>
      </c>
      <c r="G34" s="49">
        <f>IF(MACHACHI[[#This Row],[CODIGO]]="","",7701)</f>
        <v>7701</v>
      </c>
      <c r="H34" s="49">
        <f>IF(MACHACHI[[#This Row],[CODIGO]]="","",1080)</f>
        <v>1080</v>
      </c>
      <c r="I34" s="256" t="s">
        <v>173</v>
      </c>
      <c r="J34" s="25" t="str">
        <f>IFERROR((VLOOKUP(MACHACHI[[#This Row],[CODIGO]],MAESTRO!A:B,2,FALSE)),"")</f>
        <v>Q MOZZARELLA PIZZ KIOSKO RALLADO 1.5K</v>
      </c>
      <c r="K34" s="47">
        <v>13</v>
      </c>
      <c r="L34" s="38">
        <f>+IFERROR(IF(MACHACHI[[#This Row],[CODIGO]]="","",VLOOKUP(MACHACHI[[#This Row],[CODIGO]],MAESTRO!$A:$BF,58,FALSE)),"")</f>
        <v>1</v>
      </c>
      <c r="M34" s="27">
        <f>+IFERROR(IF(MACHACHI[[#This Row],[CODIGO]]="","",VLOOKUP(MACHACHI[[#This Row],[CODIGO]],MAESTRO!A:N,14,FALSE)),"")</f>
        <v>1.5</v>
      </c>
      <c r="N34" s="28">
        <f>+IFERROR(IF(MACHACHI[[#This Row],[CODIGO]]="","",VLOOKUP(MACHACHI[[#This Row],[CODIGO]],MAESTRO!A:P,16,FALSE)),"")</f>
        <v>30</v>
      </c>
      <c r="O34" s="182">
        <f>+IF(MACHACHI[[#This Row],[CODIGO]]="","",MACHACHI[[#This Row],[Fecha Elab.]])</f>
        <v>45619</v>
      </c>
      <c r="P34" s="99" t="str">
        <f t="shared" si="6"/>
        <v>sábado</v>
      </c>
      <c r="Q34" s="183">
        <f>IFERROR(IF(MACHACHI[[#This Row],[CODIGO]]="","",IF(MACHACHI[[#This Row],[Fecha Cad]]="","",(MACHACHI[[#This Row],[Fecha Cad]]-MACHACHI[[#This Row],[VIDA UTIL (Días)]]))+1),"")</f>
        <v>45619</v>
      </c>
      <c r="R34" s="18">
        <v>45648</v>
      </c>
      <c r="S34" s="180">
        <f t="shared" ca="1" si="7"/>
        <v>24</v>
      </c>
      <c r="T34" s="207">
        <f t="shared" ca="1" si="4"/>
        <v>0.8</v>
      </c>
      <c r="U34" s="47">
        <v>13</v>
      </c>
      <c r="V34" s="184">
        <f>+IFERROR(IF(MACHACHI[[#This Row],[CODIGO]]="","",MACHACHI[[#This Row],[Stock Actual Unds]]*MACHACHI[[#This Row],[Gramaje]]*MACHACHI[[#This Row],[Conversión]]),"")</f>
        <v>19.5</v>
      </c>
      <c r="W34" s="45">
        <f>+IFERROR(IF(I33="","",MACHACHI[[#This Row],[Fecha Elab.]]-MACHACHI[[#This Row],[Fecha de Ingreso]]),"")</f>
        <v>0</v>
      </c>
      <c r="X34" s="44">
        <f t="shared" si="3"/>
        <v>1</v>
      </c>
      <c r="Y34" s="236">
        <f>+IFERROR(IF(MACHACHI[[#This Row],[CODIGO]]="","",VLOOKUP(MACHACHI[[#This Row],[CODIGO]],MAESTRO!A:BI,21,FALSE)),"")</f>
        <v>9.0726650000000006</v>
      </c>
      <c r="Z34" s="236">
        <f>+IFERROR(IF(MACHACHI[[#This Row],[CODIGO]]="","",Y34*MACHACHI[[#This Row],[Conversión]]),"")</f>
        <v>9.0726650000000006</v>
      </c>
      <c r="AA34" s="236">
        <f>+IFERROR(IF(MACHACHI[[#This Row],[CODIGO]]="","",MACHACHI[[#This Row],[COSTO UNIT Conv]]*MACHACHI[[#This Row],[Stock Actual Unds]]),"")</f>
        <v>117.94464500000001</v>
      </c>
      <c r="AB34" s="180">
        <f ca="1">+IFERROR(IF(MACHACHI[[#This Row],[CODIGO]]="","",$J$3-O34),"")</f>
        <v>5</v>
      </c>
      <c r="AC34" s="35" t="str">
        <f ca="1">IF(MACHACHI[[#This Row],[CODIGO]]="","",IF(S34&lt;=0,"CADUCADO",IF(AND(S34&gt;0,S34&lt;=21),"FECHA CORTA",IF(AND(S34&gt;=22,S34&lt;=26),"PROXIMOS FECHA CORTA", "VIGENTE"))))</f>
        <v>PROXIMOS FECHA CORTA</v>
      </c>
      <c r="AD34" s="181">
        <f>+IFERROR(IF(MACHACHI[[#This Row],[CODIGO]]="","",MACHACHI[[#This Row],[Stock Actual Unds]]*MACHACHI[[#This Row],[Gramaje]]*MACHACHI[[#This Row],[Conversión]]),"")/1000</f>
        <v>1.95E-2</v>
      </c>
    </row>
    <row r="35" spans="1:30">
      <c r="A35" s="42" t="str">
        <f>+IFERROR(IF(MACHACHI[[#This Row],[CODIGO]]="","",VLOOKUP(MACHACHI[[#This Row],[CODIGO]],MAESTRO!$A:$J,10,FALSE)),"")</f>
        <v>SAN GABRIEL</v>
      </c>
      <c r="B35" s="42" t="str">
        <f>+IFERROR(IF(MACHACHI[[#This Row],[CODIGO]]="","",VLOOKUP(MACHACHI[[#This Row],[CODIGO]],MAESTRO!$A:$Q,17,FALSE)),"")</f>
        <v>QUESOS Y GRASAS</v>
      </c>
      <c r="C35" s="42" t="str">
        <f>+IFERROR(IF(MACHACHI[[#This Row],[CODIGO]]="","",VLOOKUP(MACHACHI[[#This Row],[CODIGO]],MAESTRO!$A:$BA,53,FALSE)),"")</f>
        <v xml:space="preserve">Esteban Montenegro                      </v>
      </c>
      <c r="D35" s="42" t="str">
        <f>+IFERROR(IF(MACHACHI[[#This Row],[CODIGO]]="","",VLOOKUP(MACHACHI[[#This Row],[CODIGO]],MAESTRO!$A:$D,4,FALSE)),"")</f>
        <v>QUESO SEMIMADURO KIOSKO</v>
      </c>
      <c r="E35" s="42" t="str">
        <f>+IFERROR(IF(MACHACHI[[#This Row],[CODIGO]]="","",VLOOKUP(MACHACHI[[#This Row],[CODIGO]],MAESTRO!$A:$F,6,FALSE)),"")</f>
        <v>QUESO HOLANDES BLOQUE</v>
      </c>
      <c r="F35" s="42" t="str">
        <f>IF(MACHACHI[[#This Row],[CODIGO]]="","",$K$6)</f>
        <v>MACHACHI</v>
      </c>
      <c r="G35" s="49">
        <f>IF(MACHACHI[[#This Row],[CODIGO]]="","",7701)</f>
        <v>7701</v>
      </c>
      <c r="H35" s="49">
        <f>IF(MACHACHI[[#This Row],[CODIGO]]="","",1080)</f>
        <v>1080</v>
      </c>
      <c r="I35" s="256" t="s">
        <v>3974</v>
      </c>
      <c r="J35" s="25" t="str">
        <f>IFERROR((VLOOKUP(MACHACHI[[#This Row],[CODIGO]],MAESTRO!A:B,2,FALSE)),"")</f>
        <v>Q HOLANDES KIOSKO RALLADO 1500G</v>
      </c>
      <c r="K35" s="47">
        <v>10</v>
      </c>
      <c r="L35" s="38">
        <f>+IFERROR(IF(MACHACHI[[#This Row],[CODIGO]]="","",VLOOKUP(MACHACHI[[#This Row],[CODIGO]],MAESTRO!$A:$BF,58,FALSE)),"")</f>
        <v>1</v>
      </c>
      <c r="M35" s="27">
        <f>+IFERROR(IF(MACHACHI[[#This Row],[CODIGO]]="","",VLOOKUP(MACHACHI[[#This Row],[CODIGO]],MAESTRO!A:N,14,FALSE)),"")</f>
        <v>1.5</v>
      </c>
      <c r="N35" s="28">
        <f>+IFERROR(IF(MACHACHI[[#This Row],[CODIGO]]="","",VLOOKUP(MACHACHI[[#This Row],[CODIGO]],MAESTRO!A:P,16,FALSE)),"")</f>
        <v>60</v>
      </c>
      <c r="O35" s="182">
        <f>+IF(MACHACHI[[#This Row],[CODIGO]]="","",MACHACHI[[#This Row],[Fecha Elab.]])</f>
        <v>45609</v>
      </c>
      <c r="P35" s="99" t="str">
        <f t="shared" si="6"/>
        <v>miércoles</v>
      </c>
      <c r="Q35" s="183">
        <f>IFERROR(IF(MACHACHI[[#This Row],[CODIGO]]="","",IF(MACHACHI[[#This Row],[Fecha Cad]]="","",(MACHACHI[[#This Row],[Fecha Cad]]-MACHACHI[[#This Row],[VIDA UTIL (Días)]]))+1),"")</f>
        <v>45609</v>
      </c>
      <c r="R35" s="18">
        <v>45668</v>
      </c>
      <c r="S35" s="180">
        <f t="shared" ca="1" si="7"/>
        <v>44</v>
      </c>
      <c r="T35" s="207">
        <f t="shared" ca="1" si="4"/>
        <v>0.73333333333333328</v>
      </c>
      <c r="U35" s="47">
        <v>10</v>
      </c>
      <c r="V35" s="184">
        <f>+IFERROR(IF(MACHACHI[[#This Row],[CODIGO]]="","",MACHACHI[[#This Row],[Stock Actual Unds]]*MACHACHI[[#This Row],[Gramaje]]*MACHACHI[[#This Row],[Conversión]]),"")</f>
        <v>15</v>
      </c>
      <c r="W35" s="45">
        <f>+IFERROR(IF(I34="","",MACHACHI[[#This Row],[Fecha Elab.]]-MACHACHI[[#This Row],[Fecha de Ingreso]]),"")</f>
        <v>0</v>
      </c>
      <c r="X35" s="44">
        <f t="shared" si="3"/>
        <v>1</v>
      </c>
      <c r="Y35" s="236">
        <f>+IFERROR(IF(MACHACHI[[#This Row],[CODIGO]]="","",VLOOKUP(MACHACHI[[#This Row],[CODIGO]],MAESTRO!A:BI,21,FALSE)),"")</f>
        <v>10.058565</v>
      </c>
      <c r="Z35" s="236">
        <f>+IFERROR(IF(MACHACHI[[#This Row],[CODIGO]]="","",Y35*MACHACHI[[#This Row],[Conversión]]),"")</f>
        <v>10.058565</v>
      </c>
      <c r="AA35" s="236">
        <f>+IFERROR(IF(MACHACHI[[#This Row],[CODIGO]]="","",MACHACHI[[#This Row],[COSTO UNIT Conv]]*MACHACHI[[#This Row],[Stock Actual Unds]]),"")</f>
        <v>100.58565</v>
      </c>
      <c r="AB35" s="180">
        <f ca="1">+IFERROR(IF(MACHACHI[[#This Row],[CODIGO]]="","",$J$3-O35),"")</f>
        <v>15</v>
      </c>
      <c r="AC35" s="35" t="str">
        <f ca="1">IF(MACHACHI[[#This Row],[CODIGO]]="","",IF(S35&lt;=0,"CADUCADO",IF(AND(S35&gt;0,S35&lt;=21),"FECHA CORTA",IF(AND(S35&gt;=22,S35&lt;=26),"PROXIMOS FECHA CORTA", "VIGENTE"))))</f>
        <v>VIGENTE</v>
      </c>
      <c r="AD35" s="181">
        <f>+IFERROR(IF(MACHACHI[[#This Row],[CODIGO]]="","",MACHACHI[[#This Row],[Stock Actual Unds]]*MACHACHI[[#This Row],[Gramaje]]*MACHACHI[[#This Row],[Conversión]]),"")/1000</f>
        <v>1.4999999999999999E-2</v>
      </c>
    </row>
    <row r="36" spans="1:30">
      <c r="A36" s="42" t="str">
        <f>+IFERROR(IF(MACHACHI[[#This Row],[CODIGO]]="","",VLOOKUP(MACHACHI[[#This Row],[CODIGO]],MAESTRO!$A:$J,10,FALSE)),"")</f>
        <v>SAN GABRIEL</v>
      </c>
      <c r="B36" s="42" t="str">
        <f>+IFERROR(IF(MACHACHI[[#This Row],[CODIGO]]="","",VLOOKUP(MACHACHI[[#This Row],[CODIGO]],MAESTRO!$A:$Q,17,FALSE)),"")</f>
        <v>QUESOS Y GRASAS</v>
      </c>
      <c r="C36" s="42" t="str">
        <f>+IFERROR(IF(MACHACHI[[#This Row],[CODIGO]]="","",VLOOKUP(MACHACHI[[#This Row],[CODIGO]],MAESTRO!$A:$BA,53,FALSE)),"")</f>
        <v xml:space="preserve">Esteban Montenegro                      </v>
      </c>
      <c r="D36" s="42" t="str">
        <f>+IFERROR(IF(MACHACHI[[#This Row],[CODIGO]]="","",VLOOKUP(MACHACHI[[#This Row],[CODIGO]],MAESTRO!$A:$D,4,FALSE)),"")</f>
        <v>QUESO SEMIMADURO KIOSKO</v>
      </c>
      <c r="E36" s="42" t="str">
        <f>+IFERROR(IF(MACHACHI[[#This Row],[CODIGO]]="","",VLOOKUP(MACHACHI[[#This Row],[CODIGO]],MAESTRO!$A:$F,6,FALSE)),"")</f>
        <v>QUESO HOLANDES BLOQUE</v>
      </c>
      <c r="F36" s="42" t="str">
        <f>IF(MACHACHI[[#This Row],[CODIGO]]="","",$K$6)</f>
        <v>MACHACHI</v>
      </c>
      <c r="G36" s="49">
        <f>IF(MACHACHI[[#This Row],[CODIGO]]="","",7701)</f>
        <v>7701</v>
      </c>
      <c r="H36" s="49">
        <f>IF(MACHACHI[[#This Row],[CODIGO]]="","",1080)</f>
        <v>1080</v>
      </c>
      <c r="I36" s="256" t="s">
        <v>3974</v>
      </c>
      <c r="J36" s="25" t="str">
        <f>IFERROR((VLOOKUP(MACHACHI[[#This Row],[CODIGO]],MAESTRO!A:B,2,FALSE)),"")</f>
        <v>Q HOLANDES KIOSKO RALLADO 1500G</v>
      </c>
      <c r="K36" s="47">
        <v>3</v>
      </c>
      <c r="L36" s="38">
        <f>+IFERROR(IF(MACHACHI[[#This Row],[CODIGO]]="","",VLOOKUP(MACHACHI[[#This Row],[CODIGO]],MAESTRO!$A:$BF,58,FALSE)),"")</f>
        <v>1</v>
      </c>
      <c r="M36" s="27">
        <f>+IFERROR(IF(MACHACHI[[#This Row],[CODIGO]]="","",VLOOKUP(MACHACHI[[#This Row],[CODIGO]],MAESTRO!A:N,14,FALSE)),"")</f>
        <v>1.5</v>
      </c>
      <c r="N36" s="28">
        <f>+IFERROR(IF(MACHACHI[[#This Row],[CODIGO]]="","",VLOOKUP(MACHACHI[[#This Row],[CODIGO]],MAESTRO!A:P,16,FALSE)),"")</f>
        <v>60</v>
      </c>
      <c r="O36" s="182">
        <f>+IF(MACHACHI[[#This Row],[CODIGO]]="","",MACHACHI[[#This Row],[Fecha Elab.]])</f>
        <v>45595</v>
      </c>
      <c r="P36" s="99" t="str">
        <f t="shared" si="6"/>
        <v>miércoles</v>
      </c>
      <c r="Q36" s="183">
        <f>IFERROR(IF(MACHACHI[[#This Row],[CODIGO]]="","",IF(MACHACHI[[#This Row],[Fecha Cad]]="","",(MACHACHI[[#This Row],[Fecha Cad]]-MACHACHI[[#This Row],[VIDA UTIL (Días)]]))+1),"")</f>
        <v>45595</v>
      </c>
      <c r="R36" s="18">
        <v>45654</v>
      </c>
      <c r="S36" s="180">
        <f t="shared" ca="1" si="7"/>
        <v>30</v>
      </c>
      <c r="T36" s="207">
        <f t="shared" ca="1" si="4"/>
        <v>0.5</v>
      </c>
      <c r="U36" s="47">
        <v>3</v>
      </c>
      <c r="V36" s="184">
        <f>+IFERROR(IF(MACHACHI[[#This Row],[CODIGO]]="","",MACHACHI[[#This Row],[Stock Actual Unds]]*MACHACHI[[#This Row],[Gramaje]]*MACHACHI[[#This Row],[Conversión]]),"")</f>
        <v>4.5</v>
      </c>
      <c r="W36" s="45">
        <f>+IFERROR(IF(I35="","",MACHACHI[[#This Row],[Fecha Elab.]]-MACHACHI[[#This Row],[Fecha de Ingreso]]),"")</f>
        <v>0</v>
      </c>
      <c r="X36" s="44">
        <f t="shared" ref="X36:X67" si="8">IFERROR(IF(I36="","",1-(W36/N36)),"")</f>
        <v>1</v>
      </c>
      <c r="Y36" s="236">
        <f>+IFERROR(IF(MACHACHI[[#This Row],[CODIGO]]="","",VLOOKUP(MACHACHI[[#This Row],[CODIGO]],MAESTRO!A:BI,21,FALSE)),"")</f>
        <v>10.058565</v>
      </c>
      <c r="Z36" s="236">
        <f>+IFERROR(IF(MACHACHI[[#This Row],[CODIGO]]="","",Y36*MACHACHI[[#This Row],[Conversión]]),"")</f>
        <v>10.058565</v>
      </c>
      <c r="AA36" s="236">
        <f>+IFERROR(IF(MACHACHI[[#This Row],[CODIGO]]="","",MACHACHI[[#This Row],[COSTO UNIT Conv]]*MACHACHI[[#This Row],[Stock Actual Unds]]),"")</f>
        <v>30.175694999999997</v>
      </c>
      <c r="AB36" s="180">
        <f ca="1">+IFERROR(IF(MACHACHI[[#This Row],[CODIGO]]="","",$J$3-O36),"")</f>
        <v>29</v>
      </c>
      <c r="AC36" s="35" t="str">
        <f ca="1">IF(MACHACHI[[#This Row],[CODIGO]]="","",IF(S36&lt;=0,"CADUCADO",IF(AND(S36&gt;0,S36&lt;=21),"FECHA CORTA",IF(AND(S36&gt;=22,S36&lt;=26),"PROXIMOS FECHA CORTA", "VIGENTE"))))</f>
        <v>VIGENTE</v>
      </c>
      <c r="AD36" s="181">
        <f>+IFERROR(IF(MACHACHI[[#This Row],[CODIGO]]="","",MACHACHI[[#This Row],[Stock Actual Unds]]*MACHACHI[[#This Row],[Gramaje]]*MACHACHI[[#This Row],[Conversión]]),"")/1000</f>
        <v>4.4999999999999997E-3</v>
      </c>
    </row>
    <row r="37" spans="1:30">
      <c r="A37" s="42" t="str">
        <f>+IFERROR(IF(MACHACHI[[#This Row],[CODIGO]]="","",VLOOKUP(MACHACHI[[#This Row],[CODIGO]],MAESTRO!$A:$J,10,FALSE)),"")</f>
        <v>SAN GABRIEL</v>
      </c>
      <c r="B37" s="42" t="str">
        <f>+IFERROR(IF(MACHACHI[[#This Row],[CODIGO]]="","",VLOOKUP(MACHACHI[[#This Row],[CODIGO]],MAESTRO!$A:$Q,17,FALSE)),"")</f>
        <v>QUESOS Y GRASAS</v>
      </c>
      <c r="C37" s="42" t="str">
        <f>+IFERROR(IF(MACHACHI[[#This Row],[CODIGO]]="","",VLOOKUP(MACHACHI[[#This Row],[CODIGO]],MAESTRO!$A:$BA,53,FALSE)),"")</f>
        <v xml:space="preserve">Esteban Montenegro                      </v>
      </c>
      <c r="D37" s="42" t="str">
        <f>+IFERROR(IF(MACHACHI[[#This Row],[CODIGO]]="","",VLOOKUP(MACHACHI[[#This Row],[CODIGO]],MAESTRO!$A:$D,4,FALSE)),"")</f>
        <v>QUESO SEMIMADURO KIOSKO</v>
      </c>
      <c r="E37" s="42" t="str">
        <f>+IFERROR(IF(MACHACHI[[#This Row],[CODIGO]]="","",VLOOKUP(MACHACHI[[#This Row],[CODIGO]],MAESTRO!$A:$F,6,FALSE)),"")</f>
        <v>QUESO HOLANDES BLOQUE</v>
      </c>
      <c r="F37" s="42" t="str">
        <f>IF(MACHACHI[[#This Row],[CODIGO]]="","",$K$6)</f>
        <v>MACHACHI</v>
      </c>
      <c r="G37" s="49">
        <f>IF(MACHACHI[[#This Row],[CODIGO]]="","",7701)</f>
        <v>7701</v>
      </c>
      <c r="H37" s="49">
        <f>IF(MACHACHI[[#This Row],[CODIGO]]="","",1080)</f>
        <v>1080</v>
      </c>
      <c r="I37" s="256" t="s">
        <v>3974</v>
      </c>
      <c r="J37" s="25" t="str">
        <f>IFERROR((VLOOKUP(MACHACHI[[#This Row],[CODIGO]],MAESTRO!A:B,2,FALSE)),"")</f>
        <v>Q HOLANDES KIOSKO RALLADO 1500G</v>
      </c>
      <c r="K37" s="47">
        <v>40</v>
      </c>
      <c r="L37" s="38">
        <f>+IFERROR(IF(MACHACHI[[#This Row],[CODIGO]]="","",VLOOKUP(MACHACHI[[#This Row],[CODIGO]],MAESTRO!$A:$BF,58,FALSE)),"")</f>
        <v>1</v>
      </c>
      <c r="M37" s="27">
        <f>+IFERROR(IF(MACHACHI[[#This Row],[CODIGO]]="","",VLOOKUP(MACHACHI[[#This Row],[CODIGO]],MAESTRO!A:N,14,FALSE)),"")</f>
        <v>1.5</v>
      </c>
      <c r="N37" s="28">
        <f>+IFERROR(IF(MACHACHI[[#This Row],[CODIGO]]="","",VLOOKUP(MACHACHI[[#This Row],[CODIGO]],MAESTRO!A:P,16,FALSE)),"")</f>
        <v>60</v>
      </c>
      <c r="O37" s="182">
        <f>+IF(MACHACHI[[#This Row],[CODIGO]]="","",MACHACHI[[#This Row],[Fecha Elab.]])</f>
        <v>45613</v>
      </c>
      <c r="P37" s="99" t="str">
        <f t="shared" si="6"/>
        <v>domingo</v>
      </c>
      <c r="Q37" s="183">
        <f>IFERROR(IF(MACHACHI[[#This Row],[CODIGO]]="","",IF(MACHACHI[[#This Row],[Fecha Cad]]="","",(MACHACHI[[#This Row],[Fecha Cad]]-MACHACHI[[#This Row],[VIDA UTIL (Días)]]))+1),"")</f>
        <v>45613</v>
      </c>
      <c r="R37" s="18">
        <v>45672</v>
      </c>
      <c r="S37" s="180">
        <f t="shared" ca="1" si="7"/>
        <v>48</v>
      </c>
      <c r="T37" s="207">
        <f t="shared" ca="1" si="4"/>
        <v>0.8</v>
      </c>
      <c r="U37" s="47">
        <v>40</v>
      </c>
      <c r="V37" s="184">
        <f>+IFERROR(IF(MACHACHI[[#This Row],[CODIGO]]="","",MACHACHI[[#This Row],[Stock Actual Unds]]*MACHACHI[[#This Row],[Gramaje]]*MACHACHI[[#This Row],[Conversión]]),"")</f>
        <v>60</v>
      </c>
      <c r="W37" s="45">
        <f>+IFERROR(IF(I36="","",MACHACHI[[#This Row],[Fecha Elab.]]-MACHACHI[[#This Row],[Fecha de Ingreso]]),"")</f>
        <v>0</v>
      </c>
      <c r="X37" s="44">
        <f t="shared" si="8"/>
        <v>1</v>
      </c>
      <c r="Y37" s="236">
        <f>+IFERROR(IF(MACHACHI[[#This Row],[CODIGO]]="","",VLOOKUP(MACHACHI[[#This Row],[CODIGO]],MAESTRO!A:BI,21,FALSE)),"")</f>
        <v>10.058565</v>
      </c>
      <c r="Z37" s="236">
        <f>+IFERROR(IF(MACHACHI[[#This Row],[CODIGO]]="","",Y37*MACHACHI[[#This Row],[Conversión]]),"")</f>
        <v>10.058565</v>
      </c>
      <c r="AA37" s="236">
        <f>+IFERROR(IF(MACHACHI[[#This Row],[CODIGO]]="","",MACHACHI[[#This Row],[COSTO UNIT Conv]]*MACHACHI[[#This Row],[Stock Actual Unds]]),"")</f>
        <v>402.3426</v>
      </c>
      <c r="AB37" s="180">
        <f ca="1">+IFERROR(IF(MACHACHI[[#This Row],[CODIGO]]="","",$J$3-O37),"")</f>
        <v>11</v>
      </c>
      <c r="AC37" s="35" t="str">
        <f ca="1">IF(MACHACHI[[#This Row],[CODIGO]]="","",IF(S37&lt;=0,"CADUCADO",IF(AND(S37&gt;0,S37&lt;=21),"FECHA CORTA",IF(AND(S37&gt;=22,S37&lt;=26),"PROXIMOS FECHA CORTA", "VIGENTE"))))</f>
        <v>VIGENTE</v>
      </c>
      <c r="AD37" s="181">
        <f>+IFERROR(IF(MACHACHI[[#This Row],[CODIGO]]="","",MACHACHI[[#This Row],[Stock Actual Unds]]*MACHACHI[[#This Row],[Gramaje]]*MACHACHI[[#This Row],[Conversión]]),"")/1000</f>
        <v>0.06</v>
      </c>
    </row>
    <row r="38" spans="1:30">
      <c r="A38" s="42" t="str">
        <f>+IFERROR(IF(MACHACHI[[#This Row],[CODIGO]]="","",VLOOKUP(MACHACHI[[#This Row],[CODIGO]],MAESTRO!$A:$J,10,FALSE)),"")</f>
        <v>SAN GABRIEL</v>
      </c>
      <c r="B38" s="42" t="str">
        <f>+IFERROR(IF(MACHACHI[[#This Row],[CODIGO]]="","",VLOOKUP(MACHACHI[[#This Row],[CODIGO]],MAESTRO!$A:$Q,17,FALSE)),"")</f>
        <v>QUESOS Y GRASAS</v>
      </c>
      <c r="C38" s="42" t="str">
        <f>+IFERROR(IF(MACHACHI[[#This Row],[CODIGO]]="","",VLOOKUP(MACHACHI[[#This Row],[CODIGO]],MAESTRO!$A:$BA,53,FALSE)),"")</f>
        <v xml:space="preserve">Esteban Montenegro                      </v>
      </c>
      <c r="D38" s="42" t="str">
        <f>+IFERROR(IF(MACHACHI[[#This Row],[CODIGO]]="","",VLOOKUP(MACHACHI[[#This Row],[CODIGO]],MAESTRO!$A:$D,4,FALSE)),"")</f>
        <v>QUESO SEMIMADURO KIOSKO</v>
      </c>
      <c r="E38" s="42" t="str">
        <f>+IFERROR(IF(MACHACHI[[#This Row],[CODIGO]]="","",VLOOKUP(MACHACHI[[#This Row],[CODIGO]],MAESTRO!$A:$F,6,FALSE)),"")</f>
        <v>QUESO HOLANDES BLOQUE</v>
      </c>
      <c r="F38" s="42" t="str">
        <f>IF(MACHACHI[[#This Row],[CODIGO]]="","",$K$6)</f>
        <v>MACHACHI</v>
      </c>
      <c r="G38" s="49">
        <f>IF(MACHACHI[[#This Row],[CODIGO]]="","",7701)</f>
        <v>7701</v>
      </c>
      <c r="H38" s="49">
        <f>IF(MACHACHI[[#This Row],[CODIGO]]="","",1080)</f>
        <v>1080</v>
      </c>
      <c r="I38" s="256" t="s">
        <v>3974</v>
      </c>
      <c r="J38" s="25" t="str">
        <f>IFERROR((VLOOKUP(MACHACHI[[#This Row],[CODIGO]],MAESTRO!A:B,2,FALSE)),"")</f>
        <v>Q HOLANDES KIOSKO RALLADO 1500G</v>
      </c>
      <c r="K38" s="47">
        <v>5</v>
      </c>
      <c r="L38" s="38">
        <f>+IFERROR(IF(MACHACHI[[#This Row],[CODIGO]]="","",VLOOKUP(MACHACHI[[#This Row],[CODIGO]],MAESTRO!$A:$BF,58,FALSE)),"")</f>
        <v>1</v>
      </c>
      <c r="M38" s="27">
        <f>+IFERROR(IF(MACHACHI[[#This Row],[CODIGO]]="","",VLOOKUP(MACHACHI[[#This Row],[CODIGO]],MAESTRO!A:N,14,FALSE)),"")</f>
        <v>1.5</v>
      </c>
      <c r="N38" s="28">
        <f>+IFERROR(IF(MACHACHI[[#This Row],[CODIGO]]="","",VLOOKUP(MACHACHI[[#This Row],[CODIGO]],MAESTRO!A:P,16,FALSE)),"")</f>
        <v>60</v>
      </c>
      <c r="O38" s="182">
        <f>+IF(MACHACHI[[#This Row],[CODIGO]]="","",MACHACHI[[#This Row],[Fecha Elab.]])</f>
        <v>45589</v>
      </c>
      <c r="P38" s="99" t="str">
        <f t="shared" si="6"/>
        <v>jueves</v>
      </c>
      <c r="Q38" s="183">
        <f>IFERROR(IF(MACHACHI[[#This Row],[CODIGO]]="","",IF(MACHACHI[[#This Row],[Fecha Cad]]="","",(MACHACHI[[#This Row],[Fecha Cad]]-MACHACHI[[#This Row],[VIDA UTIL (Días)]]))+1),"")</f>
        <v>45589</v>
      </c>
      <c r="R38" s="18">
        <v>45648</v>
      </c>
      <c r="S38" s="180">
        <f t="shared" ca="1" si="7"/>
        <v>24</v>
      </c>
      <c r="T38" s="207">
        <f t="shared" ca="1" si="4"/>
        <v>0.4</v>
      </c>
      <c r="U38" s="47">
        <v>5</v>
      </c>
      <c r="V38" s="184">
        <f>+IFERROR(IF(MACHACHI[[#This Row],[CODIGO]]="","",MACHACHI[[#This Row],[Stock Actual Unds]]*MACHACHI[[#This Row],[Gramaje]]*MACHACHI[[#This Row],[Conversión]]),"")</f>
        <v>7.5</v>
      </c>
      <c r="W38" s="45">
        <f>+IFERROR(IF(I37="","",MACHACHI[[#This Row],[Fecha Elab.]]-MACHACHI[[#This Row],[Fecha de Ingreso]]),"")</f>
        <v>0</v>
      </c>
      <c r="X38" s="44">
        <f t="shared" si="8"/>
        <v>1</v>
      </c>
      <c r="Y38" s="236">
        <f>+IFERROR(IF(MACHACHI[[#This Row],[CODIGO]]="","",VLOOKUP(MACHACHI[[#This Row],[CODIGO]],MAESTRO!A:BI,21,FALSE)),"")</f>
        <v>10.058565</v>
      </c>
      <c r="Z38" s="236">
        <f>+IFERROR(IF(MACHACHI[[#This Row],[CODIGO]]="","",Y38*MACHACHI[[#This Row],[Conversión]]),"")</f>
        <v>10.058565</v>
      </c>
      <c r="AA38" s="236">
        <f>+IFERROR(IF(MACHACHI[[#This Row],[CODIGO]]="","",MACHACHI[[#This Row],[COSTO UNIT Conv]]*MACHACHI[[#This Row],[Stock Actual Unds]]),"")</f>
        <v>50.292825000000001</v>
      </c>
      <c r="AB38" s="180">
        <f ca="1">+IFERROR(IF(MACHACHI[[#This Row],[CODIGO]]="","",$J$3-O38),"")</f>
        <v>35</v>
      </c>
      <c r="AC38" s="35" t="str">
        <f ca="1">IF(MACHACHI[[#This Row],[CODIGO]]="","",IF(S38&lt;=0,"CADUCADO",IF(AND(S38&gt;0,S38&lt;=21),"FECHA CORTA",IF(AND(S38&gt;=22,S38&lt;=26),"PROXIMOS FECHA CORTA", "VIGENTE"))))</f>
        <v>PROXIMOS FECHA CORTA</v>
      </c>
      <c r="AD38" s="181">
        <f>+IFERROR(IF(MACHACHI[[#This Row],[CODIGO]]="","",MACHACHI[[#This Row],[Stock Actual Unds]]*MACHACHI[[#This Row],[Gramaje]]*MACHACHI[[#This Row],[Conversión]]),"")/1000</f>
        <v>7.4999999999999997E-3</v>
      </c>
    </row>
    <row r="39" spans="1:30">
      <c r="A39" s="42" t="str">
        <f>+IFERROR(IF(MACHACHI[[#This Row],[CODIGO]]="","",VLOOKUP(MACHACHI[[#This Row],[CODIGO]],MAESTRO!$A:$J,10,FALSE)),"")</f>
        <v>SAN GABRIEL</v>
      </c>
      <c r="B39" s="42" t="str">
        <f>+IFERROR(IF(MACHACHI[[#This Row],[CODIGO]]="","",VLOOKUP(MACHACHI[[#This Row],[CODIGO]],MAESTRO!$A:$Q,17,FALSE)),"")</f>
        <v>QUESOS Y GRASAS</v>
      </c>
      <c r="C39" s="42" t="str">
        <f>+IFERROR(IF(MACHACHI[[#This Row],[CODIGO]]="","",VLOOKUP(MACHACHI[[#This Row],[CODIGO]],MAESTRO!$A:$BA,53,FALSE)),"")</f>
        <v xml:space="preserve">Esteban Montenegro                      </v>
      </c>
      <c r="D39" s="42" t="str">
        <f>+IFERROR(IF(MACHACHI[[#This Row],[CODIGO]]="","",VLOOKUP(MACHACHI[[#This Row],[CODIGO]],MAESTRO!$A:$D,4,FALSE)),"")</f>
        <v>QUESO SEMIMADURO KIOSKO</v>
      </c>
      <c r="E39" s="42" t="str">
        <f>+IFERROR(IF(MACHACHI[[#This Row],[CODIGO]]="","",VLOOKUP(MACHACHI[[#This Row],[CODIGO]],MAESTRO!$A:$F,6,FALSE)),"")</f>
        <v>QUESO HOLANDES KIOSKO TAJADO</v>
      </c>
      <c r="F39" s="42" t="str">
        <f>IF(MACHACHI[[#This Row],[CODIGO]]="","",$K$6)</f>
        <v>MACHACHI</v>
      </c>
      <c r="G39" s="49">
        <f>IF(MACHACHI[[#This Row],[CODIGO]]="","",7701)</f>
        <v>7701</v>
      </c>
      <c r="H39" s="49">
        <f>IF(MACHACHI[[#This Row],[CODIGO]]="","",1080)</f>
        <v>1080</v>
      </c>
      <c r="I39" s="256" t="s">
        <v>3574</v>
      </c>
      <c r="J39" s="25" t="str">
        <f>IFERROR((VLOOKUP(MACHACHI[[#This Row],[CODIGO]],MAESTRO!A:B,2,FALSE)),"")</f>
        <v>QUESO KIOSKO HOLANDES LONJ 1KG AL PESO</v>
      </c>
      <c r="K39" s="47">
        <v>5</v>
      </c>
      <c r="L39" s="38">
        <f>+IFERROR(IF(MACHACHI[[#This Row],[CODIGO]]="","",VLOOKUP(MACHACHI[[#This Row],[CODIGO]],MAESTRO!$A:$BF,58,FALSE)),"")</f>
        <v>1</v>
      </c>
      <c r="M39" s="27">
        <f>+IFERROR(IF(MACHACHI[[#This Row],[CODIGO]]="","",VLOOKUP(MACHACHI[[#This Row],[CODIGO]],MAESTRO!A:N,14,FALSE)),"")</f>
        <v>1</v>
      </c>
      <c r="N39" s="28">
        <f>+IFERROR(IF(MACHACHI[[#This Row],[CODIGO]]="","",VLOOKUP(MACHACHI[[#This Row],[CODIGO]],MAESTRO!A:P,16,FALSE)),"")</f>
        <v>90</v>
      </c>
      <c r="O39" s="182">
        <f>+IF(MACHACHI[[#This Row],[CODIGO]]="","",MACHACHI[[#This Row],[Fecha Elab.]])</f>
        <v>45613</v>
      </c>
      <c r="P39" s="99" t="str">
        <f t="shared" si="6"/>
        <v>domingo</v>
      </c>
      <c r="Q39" s="183">
        <f>IFERROR(IF(MACHACHI[[#This Row],[CODIGO]]="","",IF(MACHACHI[[#This Row],[Fecha Cad]]="","",(MACHACHI[[#This Row],[Fecha Cad]]-MACHACHI[[#This Row],[VIDA UTIL (Días)]]))+1),"")</f>
        <v>45613</v>
      </c>
      <c r="R39" s="18">
        <v>45702</v>
      </c>
      <c r="S39" s="180">
        <f t="shared" ca="1" si="7"/>
        <v>78</v>
      </c>
      <c r="T39" s="207">
        <f t="shared" ca="1" si="4"/>
        <v>0.8666666666666667</v>
      </c>
      <c r="U39" s="47">
        <v>5</v>
      </c>
      <c r="V39" s="184">
        <f>+IFERROR(IF(MACHACHI[[#This Row],[CODIGO]]="","",MACHACHI[[#This Row],[Stock Actual Unds]]*MACHACHI[[#This Row],[Gramaje]]*MACHACHI[[#This Row],[Conversión]]),"")</f>
        <v>5</v>
      </c>
      <c r="W39" s="45">
        <f>+IFERROR(IF(I38="","",MACHACHI[[#This Row],[Fecha Elab.]]-MACHACHI[[#This Row],[Fecha de Ingreso]]),"")</f>
        <v>0</v>
      </c>
      <c r="X39" s="44">
        <f t="shared" si="8"/>
        <v>1</v>
      </c>
      <c r="Y39" s="236">
        <f>+IFERROR(IF(MACHACHI[[#This Row],[CODIGO]]="","",VLOOKUP(MACHACHI[[#This Row],[CODIGO]],MAESTRO!A:BI,21,FALSE)),"")</f>
        <v>7.1624999999999996</v>
      </c>
      <c r="Z39" s="236">
        <f>+IFERROR(IF(MACHACHI[[#This Row],[CODIGO]]="","",Y39*MACHACHI[[#This Row],[Conversión]]),"")</f>
        <v>7.1624999999999996</v>
      </c>
      <c r="AA39" s="236">
        <f>+IFERROR(IF(MACHACHI[[#This Row],[CODIGO]]="","",MACHACHI[[#This Row],[COSTO UNIT Conv]]*MACHACHI[[#This Row],[Stock Actual Unds]]),"")</f>
        <v>35.8125</v>
      </c>
      <c r="AB39" s="180">
        <f ca="1">+IFERROR(IF(MACHACHI[[#This Row],[CODIGO]]="","",$J$3-O39),"")</f>
        <v>11</v>
      </c>
      <c r="AC39" s="35" t="str">
        <f ca="1">IF(MACHACHI[[#This Row],[CODIGO]]="","",IF(S39&lt;=0,"CADUCADO",IF(AND(S39&gt;0,S39&lt;=21),"FECHA CORTA",IF(AND(S39&gt;=22,S39&lt;=26),"PROXIMOS FECHA CORTA", "VIGENTE"))))</f>
        <v>VIGENTE</v>
      </c>
      <c r="AD39" s="181">
        <f>+IFERROR(IF(MACHACHI[[#This Row],[CODIGO]]="","",MACHACHI[[#This Row],[Stock Actual Unds]]*MACHACHI[[#This Row],[Gramaje]]*MACHACHI[[#This Row],[Conversión]]),"")/1000</f>
        <v>5.0000000000000001E-3</v>
      </c>
    </row>
    <row r="40" spans="1:30">
      <c r="A40" s="42" t="str">
        <f>+IFERROR(IF(MACHACHI[[#This Row],[CODIGO]]="","",VLOOKUP(MACHACHI[[#This Row],[CODIGO]],MAESTRO!$A:$J,10,FALSE)),"")</f>
        <v>SAN GABRIEL</v>
      </c>
      <c r="B40" s="42" t="str">
        <f>+IFERROR(IF(MACHACHI[[#This Row],[CODIGO]]="","",VLOOKUP(MACHACHI[[#This Row],[CODIGO]],MAESTRO!$A:$Q,17,FALSE)),"")</f>
        <v>QUESOS Y GRASAS</v>
      </c>
      <c r="C40" s="42" t="str">
        <f>+IFERROR(IF(MACHACHI[[#This Row],[CODIGO]]="","",VLOOKUP(MACHACHI[[#This Row],[CODIGO]],MAESTRO!$A:$BA,53,FALSE)),"")</f>
        <v xml:space="preserve">Esteban Montenegro                      </v>
      </c>
      <c r="D40" s="42" t="str">
        <f>+IFERROR(IF(MACHACHI[[#This Row],[CODIGO]]="","",VLOOKUP(MACHACHI[[#This Row],[CODIGO]],MAESTRO!$A:$D,4,FALSE)),"")</f>
        <v>QUESO SEMIMADURO KIOSKO</v>
      </c>
      <c r="E40" s="42" t="str">
        <f>+IFERROR(IF(MACHACHI[[#This Row],[CODIGO]]="","",VLOOKUP(MACHACHI[[#This Row],[CODIGO]],MAESTRO!$A:$F,6,FALSE)),"")</f>
        <v>QUESO HOLANDES KIOSKO TAJADO</v>
      </c>
      <c r="F40" s="42" t="str">
        <f>IF(MACHACHI[[#This Row],[CODIGO]]="","",$K$6)</f>
        <v>MACHACHI</v>
      </c>
      <c r="G40" s="49">
        <f>IF(MACHACHI[[#This Row],[CODIGO]]="","",7701)</f>
        <v>7701</v>
      </c>
      <c r="H40" s="49">
        <f>IF(MACHACHI[[#This Row],[CODIGO]]="","",1080)</f>
        <v>1080</v>
      </c>
      <c r="I40" s="256" t="s">
        <v>3574</v>
      </c>
      <c r="J40" s="25" t="str">
        <f>IFERROR((VLOOKUP(MACHACHI[[#This Row],[CODIGO]],MAESTRO!A:B,2,FALSE)),"")</f>
        <v>QUESO KIOSKO HOLANDES LONJ 1KG AL PESO</v>
      </c>
      <c r="K40" s="47">
        <v>60</v>
      </c>
      <c r="L40" s="38">
        <f>+IFERROR(IF(MACHACHI[[#This Row],[CODIGO]]="","",VLOOKUP(MACHACHI[[#This Row],[CODIGO]],MAESTRO!$A:$BF,58,FALSE)),"")</f>
        <v>1</v>
      </c>
      <c r="M40" s="27">
        <f>+IFERROR(IF(MACHACHI[[#This Row],[CODIGO]]="","",VLOOKUP(MACHACHI[[#This Row],[CODIGO]],MAESTRO!A:N,14,FALSE)),"")</f>
        <v>1</v>
      </c>
      <c r="N40" s="28">
        <f>+IFERROR(IF(MACHACHI[[#This Row],[CODIGO]]="","",VLOOKUP(MACHACHI[[#This Row],[CODIGO]],MAESTRO!A:P,16,FALSE)),"")</f>
        <v>90</v>
      </c>
      <c r="O40" s="182">
        <f>+IF(MACHACHI[[#This Row],[CODIGO]]="","",MACHACHI[[#This Row],[Fecha Elab.]])</f>
        <v>45619</v>
      </c>
      <c r="P40" s="99" t="str">
        <f t="shared" si="6"/>
        <v>sábado</v>
      </c>
      <c r="Q40" s="183">
        <f>IFERROR(IF(MACHACHI[[#This Row],[CODIGO]]="","",IF(MACHACHI[[#This Row],[Fecha Cad]]="","",(MACHACHI[[#This Row],[Fecha Cad]]-MACHACHI[[#This Row],[VIDA UTIL (Días)]]))+1),"")</f>
        <v>45619</v>
      </c>
      <c r="R40" s="18">
        <v>45708</v>
      </c>
      <c r="S40" s="180">
        <f t="shared" ca="1" si="7"/>
        <v>84</v>
      </c>
      <c r="T40" s="207">
        <f t="shared" ca="1" si="4"/>
        <v>0.93333333333333335</v>
      </c>
      <c r="U40" s="47">
        <v>60</v>
      </c>
      <c r="V40" s="184">
        <f>+IFERROR(IF(MACHACHI[[#This Row],[CODIGO]]="","",MACHACHI[[#This Row],[Stock Actual Unds]]*MACHACHI[[#This Row],[Gramaje]]*MACHACHI[[#This Row],[Conversión]]),"")</f>
        <v>60</v>
      </c>
      <c r="W40" s="45">
        <f>+IFERROR(IF(I39="","",MACHACHI[[#This Row],[Fecha Elab.]]-MACHACHI[[#This Row],[Fecha de Ingreso]]),"")</f>
        <v>0</v>
      </c>
      <c r="X40" s="44">
        <f t="shared" si="8"/>
        <v>1</v>
      </c>
      <c r="Y40" s="236">
        <f>+IFERROR(IF(MACHACHI[[#This Row],[CODIGO]]="","",VLOOKUP(MACHACHI[[#This Row],[CODIGO]],MAESTRO!A:BI,21,FALSE)),"")</f>
        <v>7.1624999999999996</v>
      </c>
      <c r="Z40" s="236">
        <f>+IFERROR(IF(MACHACHI[[#This Row],[CODIGO]]="","",Y40*MACHACHI[[#This Row],[Conversión]]),"")</f>
        <v>7.1624999999999996</v>
      </c>
      <c r="AA40" s="236">
        <f>+IFERROR(IF(MACHACHI[[#This Row],[CODIGO]]="","",MACHACHI[[#This Row],[COSTO UNIT Conv]]*MACHACHI[[#This Row],[Stock Actual Unds]]),"")</f>
        <v>429.75</v>
      </c>
      <c r="AB40" s="180">
        <f ca="1">+IFERROR(IF(MACHACHI[[#This Row],[CODIGO]]="","",$J$3-O40),"")</f>
        <v>5</v>
      </c>
      <c r="AC40" s="35" t="str">
        <f ca="1">IF(MACHACHI[[#This Row],[CODIGO]]="","",IF(S40&lt;=0,"CADUCADO",IF(AND(S40&gt;0,S40&lt;=21),"FECHA CORTA",IF(AND(S40&gt;=22,S40&lt;=26),"PROXIMOS FECHA CORTA", "VIGENTE"))))</f>
        <v>VIGENTE</v>
      </c>
      <c r="AD40" s="181">
        <f>+IFERROR(IF(MACHACHI[[#This Row],[CODIGO]]="","",MACHACHI[[#This Row],[Stock Actual Unds]]*MACHACHI[[#This Row],[Gramaje]]*MACHACHI[[#This Row],[Conversión]]),"")/1000</f>
        <v>0.06</v>
      </c>
    </row>
    <row r="41" spans="1:30">
      <c r="A41" s="42" t="str">
        <f>+IFERROR(IF(MACHACHI[[#This Row],[CODIGO]]="","",VLOOKUP(MACHACHI[[#This Row],[CODIGO]],MAESTRO!$A:$J,10,FALSE)),"")</f>
        <v>COLOMBIA</v>
      </c>
      <c r="B41" s="42" t="str">
        <f>+IFERROR(IF(MACHACHI[[#This Row],[CODIGO]]="","",VLOOKUP(MACHACHI[[#This Row],[CODIGO]],MAESTRO!$A:$Q,17,FALSE)),"")</f>
        <v>BEBIDAS LACTEAS</v>
      </c>
      <c r="C41" s="42" t="str">
        <f>+IFERROR(IF(MACHACHI[[#This Row],[CODIGO]]="","",VLOOKUP(MACHACHI[[#This Row],[CODIGO]],MAESTRO!$A:$BA,53,FALSE)),"")</f>
        <v xml:space="preserve">Luis Armendariz                         </v>
      </c>
      <c r="D41" s="42" t="str">
        <f>+IFERROR(IF(MACHACHI[[#This Row],[CODIGO]]="","",VLOOKUP(MACHACHI[[#This Row],[CODIGO]],MAESTRO!$A:$D,4,FALSE)),"")</f>
        <v>AVENA ALPINA</v>
      </c>
      <c r="E41" s="42" t="str">
        <f>+IFERROR(IF(MACHACHI[[#This Row],[CODIGO]]="","",VLOOKUP(MACHACHI[[#This Row],[CODIGO]],MAESTRO!$A:$F,6,FALSE)),"")</f>
        <v>AVENA VASO</v>
      </c>
      <c r="F41" s="42" t="str">
        <f>IF(MACHACHI[[#This Row],[CODIGO]]="","",$K$6)</f>
        <v>MACHACHI</v>
      </c>
      <c r="G41" s="49">
        <f>IF(MACHACHI[[#This Row],[CODIGO]]="","",7701)</f>
        <v>7701</v>
      </c>
      <c r="H41" s="49">
        <f>IF(MACHACHI[[#This Row],[CODIGO]]="","",1080)</f>
        <v>1080</v>
      </c>
      <c r="I41" s="256" t="s">
        <v>4690</v>
      </c>
      <c r="J41" s="25" t="str">
        <f>IFERROR((VLOOKUP(MACHACHI[[#This Row],[CODIGO]],MAESTRO!A:B,2,FALSE)),"")</f>
        <v>AVENA ORIGINAL VASO 250G ECU</v>
      </c>
      <c r="K41" s="47">
        <v>9600</v>
      </c>
      <c r="L41" s="38">
        <f>+IFERROR(IF(MACHACHI[[#This Row],[CODIGO]]="","",VLOOKUP(MACHACHI[[#This Row],[CODIGO]],MAESTRO!$A:$BF,58,FALSE)),"")</f>
        <v>1</v>
      </c>
      <c r="M41" s="27">
        <f>+IFERROR(IF(MACHACHI[[#This Row],[CODIGO]]="","",VLOOKUP(MACHACHI[[#This Row],[CODIGO]],MAESTRO!A:N,14,FALSE)),"")</f>
        <v>0.25</v>
      </c>
      <c r="N41" s="28">
        <f>+IFERROR(IF(MACHACHI[[#This Row],[CODIGO]]="","",VLOOKUP(MACHACHI[[#This Row],[CODIGO]],MAESTRO!A:P,16,FALSE)),"")</f>
        <v>180</v>
      </c>
      <c r="O41" s="182">
        <f>+IF(MACHACHI[[#This Row],[CODIGO]]="","",MACHACHI[[#This Row],[Fecha Elab.]])</f>
        <v>45588</v>
      </c>
      <c r="P41" s="99" t="str">
        <f t="shared" si="6"/>
        <v>miércoles</v>
      </c>
      <c r="Q41" s="183">
        <f>IFERROR(IF(MACHACHI[[#This Row],[CODIGO]]="","",IF(MACHACHI[[#This Row],[Fecha Cad]]="","",(MACHACHI[[#This Row],[Fecha Cad]]-MACHACHI[[#This Row],[VIDA UTIL (Días)]]))+1),"")</f>
        <v>45588</v>
      </c>
      <c r="R41" s="18">
        <v>45767</v>
      </c>
      <c r="S41" s="180">
        <f t="shared" ca="1" si="7"/>
        <v>143</v>
      </c>
      <c r="T41" s="207">
        <f t="shared" ref="T41:T66" ca="1" si="9">IFERROR(IF(8="","",S41/N41),0)</f>
        <v>0.7944444444444444</v>
      </c>
      <c r="U41" s="47">
        <v>9600</v>
      </c>
      <c r="V41" s="184">
        <f>+IFERROR(IF(MACHACHI[[#This Row],[CODIGO]]="","",MACHACHI[[#This Row],[Stock Actual Unds]]*MACHACHI[[#This Row],[Gramaje]]*MACHACHI[[#This Row],[Conversión]]),"")</f>
        <v>2400</v>
      </c>
      <c r="W41" s="45">
        <f>+IFERROR(IF(I40="","",MACHACHI[[#This Row],[Fecha Elab.]]-MACHACHI[[#This Row],[Fecha de Ingreso]]),"")</f>
        <v>0</v>
      </c>
      <c r="X41" s="44">
        <f t="shared" si="8"/>
        <v>1</v>
      </c>
      <c r="Y41" s="236">
        <f>+IFERROR(IF(MACHACHI[[#This Row],[CODIGO]]="","",VLOOKUP(MACHACHI[[#This Row],[CODIGO]],MAESTRO!A:BI,21,FALSE)),"")</f>
        <v>0.391795</v>
      </c>
      <c r="Z41" s="236">
        <f>+IFERROR(IF(MACHACHI[[#This Row],[CODIGO]]="","",Y41*MACHACHI[[#This Row],[Conversión]]),"")</f>
        <v>0.391795</v>
      </c>
      <c r="AA41" s="236">
        <f>+IFERROR(IF(MACHACHI[[#This Row],[CODIGO]]="","",MACHACHI[[#This Row],[COSTO UNIT Conv]]*MACHACHI[[#This Row],[Stock Actual Unds]]),"")</f>
        <v>3761.232</v>
      </c>
      <c r="AB41" s="180">
        <f ca="1">+IFERROR(IF(MACHACHI[[#This Row],[CODIGO]]="","",$J$3-O41),"")</f>
        <v>36</v>
      </c>
      <c r="AC41" s="35" t="str">
        <f ca="1">IF(MACHACHI[[#This Row],[CODIGO]]="","",IF(S41&lt;=0,"CADUCADO",IF(AND(S41&gt;0,S41&lt;=21),"FECHA CORTA",IF(AND(S41&gt;=22,S41&lt;=26),"PROXIMOS FECHA CORTA", "VIGENTE"))))</f>
        <v>VIGENTE</v>
      </c>
      <c r="AD41" s="181">
        <f>+IFERROR(IF(MACHACHI[[#This Row],[CODIGO]]="","",MACHACHI[[#This Row],[Stock Actual Unds]]*MACHACHI[[#This Row],[Gramaje]]*MACHACHI[[#This Row],[Conversión]]),"")/1000</f>
        <v>2.4</v>
      </c>
    </row>
    <row r="42" spans="1:30">
      <c r="A42" s="42" t="str">
        <f>+IFERROR(IF(MACHACHI[[#This Row],[CODIGO]]="","",VLOOKUP(MACHACHI[[#This Row],[CODIGO]],MAESTRO!$A:$J,10,FALSE)),"")</f>
        <v>COLOMBIA</v>
      </c>
      <c r="B42" s="42" t="str">
        <f>+IFERROR(IF(MACHACHI[[#This Row],[CODIGO]]="","",VLOOKUP(MACHACHI[[#This Row],[CODIGO]],MAESTRO!$A:$Q,17,FALSE)),"")</f>
        <v>BEBIDAS LACTEAS</v>
      </c>
      <c r="C42" s="42" t="str">
        <f>+IFERROR(IF(MACHACHI[[#This Row],[CODIGO]]="","",VLOOKUP(MACHACHI[[#This Row],[CODIGO]],MAESTRO!$A:$BA,53,FALSE)),"")</f>
        <v xml:space="preserve">Luis Armendariz                         </v>
      </c>
      <c r="D42" s="42" t="str">
        <f>+IFERROR(IF(MACHACHI[[#This Row],[CODIGO]]="","",VLOOKUP(MACHACHI[[#This Row],[CODIGO]],MAESTRO!$A:$D,4,FALSE)),"")</f>
        <v>AVENA ALPINA</v>
      </c>
      <c r="E42" s="42" t="str">
        <f>+IFERROR(IF(MACHACHI[[#This Row],[CODIGO]]="","",VLOOKUP(MACHACHI[[#This Row],[CODIGO]],MAESTRO!$A:$F,6,FALSE)),"")</f>
        <v>AVENA VASO</v>
      </c>
      <c r="F42" s="42" t="str">
        <f>IF(MACHACHI[[#This Row],[CODIGO]]="","",$K$6)</f>
        <v>MACHACHI</v>
      </c>
      <c r="G42" s="49">
        <f>IF(MACHACHI[[#This Row],[CODIGO]]="","",7701)</f>
        <v>7701</v>
      </c>
      <c r="H42" s="49">
        <f>IF(MACHACHI[[#This Row],[CODIGO]]="","",1080)</f>
        <v>1080</v>
      </c>
      <c r="I42" s="256" t="s">
        <v>4690</v>
      </c>
      <c r="J42" s="25" t="str">
        <f>IFERROR((VLOOKUP(MACHACHI[[#This Row],[CODIGO]],MAESTRO!A:B,2,FALSE)),"")</f>
        <v>AVENA ORIGINAL VASO 250G ECU</v>
      </c>
      <c r="K42" s="47">
        <v>27204</v>
      </c>
      <c r="L42" s="38">
        <f>+IFERROR(IF(MACHACHI[[#This Row],[CODIGO]]="","",VLOOKUP(MACHACHI[[#This Row],[CODIGO]],MAESTRO!$A:$BF,58,FALSE)),"")</f>
        <v>1</v>
      </c>
      <c r="M42" s="27">
        <f>+IFERROR(IF(MACHACHI[[#This Row],[CODIGO]]="","",VLOOKUP(MACHACHI[[#This Row],[CODIGO]],MAESTRO!A:N,14,FALSE)),"")</f>
        <v>0.25</v>
      </c>
      <c r="N42" s="28">
        <f>+IFERROR(IF(MACHACHI[[#This Row],[CODIGO]]="","",VLOOKUP(MACHACHI[[#This Row],[CODIGO]],MAESTRO!A:P,16,FALSE)),"")</f>
        <v>180</v>
      </c>
      <c r="O42" s="182">
        <f>+IF(MACHACHI[[#This Row],[CODIGO]]="","",MACHACHI[[#This Row],[Fecha Elab.]])</f>
        <v>45596</v>
      </c>
      <c r="P42" s="99" t="str">
        <f t="shared" si="6"/>
        <v>jueves</v>
      </c>
      <c r="Q42" s="183">
        <f>IFERROR(IF(MACHACHI[[#This Row],[CODIGO]]="","",IF(MACHACHI[[#This Row],[Fecha Cad]]="","",(MACHACHI[[#This Row],[Fecha Cad]]-MACHACHI[[#This Row],[VIDA UTIL (Días)]]))+1),"")</f>
        <v>45596</v>
      </c>
      <c r="R42" s="18">
        <v>45775</v>
      </c>
      <c r="S42" s="180">
        <f t="shared" ca="1" si="7"/>
        <v>151</v>
      </c>
      <c r="T42" s="207">
        <f t="shared" ca="1" si="9"/>
        <v>0.83888888888888891</v>
      </c>
      <c r="U42" s="47">
        <v>27204</v>
      </c>
      <c r="V42" s="184">
        <f>+IFERROR(IF(MACHACHI[[#This Row],[CODIGO]]="","",MACHACHI[[#This Row],[Stock Actual Unds]]*MACHACHI[[#This Row],[Gramaje]]*MACHACHI[[#This Row],[Conversión]]),"")</f>
        <v>6801</v>
      </c>
      <c r="W42" s="45">
        <f>+IFERROR(IF(I41="","",MACHACHI[[#This Row],[Fecha Elab.]]-MACHACHI[[#This Row],[Fecha de Ingreso]]),"")</f>
        <v>0</v>
      </c>
      <c r="X42" s="44">
        <f t="shared" si="8"/>
        <v>1</v>
      </c>
      <c r="Y42" s="236">
        <f>+IFERROR(IF(MACHACHI[[#This Row],[CODIGO]]="","",VLOOKUP(MACHACHI[[#This Row],[CODIGO]],MAESTRO!A:BI,21,FALSE)),"")</f>
        <v>0.391795</v>
      </c>
      <c r="Z42" s="236">
        <f>+IFERROR(IF(MACHACHI[[#This Row],[CODIGO]]="","",Y42*MACHACHI[[#This Row],[Conversión]]),"")</f>
        <v>0.391795</v>
      </c>
      <c r="AA42" s="236">
        <f>+IFERROR(IF(MACHACHI[[#This Row],[CODIGO]]="","",MACHACHI[[#This Row],[COSTO UNIT Conv]]*MACHACHI[[#This Row],[Stock Actual Unds]]),"")</f>
        <v>10658.391180000001</v>
      </c>
      <c r="AB42" s="180">
        <f ca="1">+IFERROR(IF(MACHACHI[[#This Row],[CODIGO]]="","",$J$3-O42),"")</f>
        <v>28</v>
      </c>
      <c r="AC42" s="35" t="str">
        <f ca="1">IF(MACHACHI[[#This Row],[CODIGO]]="","",IF(S42&lt;=0,"CADUCADO",IF(AND(S42&gt;0,S42&lt;=21),"FECHA CORTA",IF(AND(S42&gt;=22,S42&lt;=26),"PROXIMOS FECHA CORTA", "VIGENTE"))))</f>
        <v>VIGENTE</v>
      </c>
      <c r="AD42" s="181">
        <f>+IFERROR(IF(MACHACHI[[#This Row],[CODIGO]]="","",MACHACHI[[#This Row],[Stock Actual Unds]]*MACHACHI[[#This Row],[Gramaje]]*MACHACHI[[#This Row],[Conversión]]),"")/1000</f>
        <v>6.8010000000000002</v>
      </c>
    </row>
    <row r="43" spans="1:30">
      <c r="A43" s="42" t="str">
        <f>+IFERROR(IF(MACHACHI[[#This Row],[CODIGO]]="","",VLOOKUP(MACHACHI[[#This Row],[CODIGO]],MAESTRO!$A:$J,10,FALSE)),"")</f>
        <v>COLOMBIA</v>
      </c>
      <c r="B43" s="42" t="str">
        <f>+IFERROR(IF(MACHACHI[[#This Row],[CODIGO]]="","",VLOOKUP(MACHACHI[[#This Row],[CODIGO]],MAESTRO!$A:$Q,17,FALSE)),"")</f>
        <v>BEBIDAS LACTEAS</v>
      </c>
      <c r="C43" s="42" t="str">
        <f>+IFERROR(IF(MACHACHI[[#This Row],[CODIGO]]="","",VLOOKUP(MACHACHI[[#This Row],[CODIGO]],MAESTRO!$A:$BA,53,FALSE)),"")</f>
        <v xml:space="preserve">Luis Armendariz                         </v>
      </c>
      <c r="D43" s="42" t="str">
        <f>+IFERROR(IF(MACHACHI[[#This Row],[CODIGO]]="","",VLOOKUP(MACHACHI[[#This Row],[CODIGO]],MAESTRO!$A:$D,4,FALSE)),"")</f>
        <v>AVENA ALPINA</v>
      </c>
      <c r="E43" s="42" t="str">
        <f>+IFERROR(IF(MACHACHI[[#This Row],[CODIGO]]="","",VLOOKUP(MACHACHI[[#This Row],[CODIGO]],MAESTRO!$A:$F,6,FALSE)),"")</f>
        <v>AVENA VASO</v>
      </c>
      <c r="F43" s="42" t="str">
        <f>IF(MACHACHI[[#This Row],[CODIGO]]="","",$K$6)</f>
        <v>MACHACHI</v>
      </c>
      <c r="G43" s="49">
        <f>IF(MACHACHI[[#This Row],[CODIGO]]="","",7701)</f>
        <v>7701</v>
      </c>
      <c r="H43" s="49">
        <f>IF(MACHACHI[[#This Row],[CODIGO]]="","",1080)</f>
        <v>1080</v>
      </c>
      <c r="I43" s="256" t="s">
        <v>2960</v>
      </c>
      <c r="J43" s="25" t="str">
        <f>IFERROR((VLOOKUP(MACHACHI[[#This Row],[CODIGO]],MAESTRO!A:B,2,FALSE)),"")</f>
        <v>AVENA CANELA VASO 250G ECU</v>
      </c>
      <c r="K43" s="47">
        <v>36384</v>
      </c>
      <c r="L43" s="38">
        <f>+IFERROR(IF(MACHACHI[[#This Row],[CODIGO]]="","",VLOOKUP(MACHACHI[[#This Row],[CODIGO]],MAESTRO!$A:$BF,58,FALSE)),"")</f>
        <v>1</v>
      </c>
      <c r="M43" s="27">
        <f>+IFERROR(IF(MACHACHI[[#This Row],[CODIGO]]="","",VLOOKUP(MACHACHI[[#This Row],[CODIGO]],MAESTRO!A:N,14,FALSE)),"")</f>
        <v>0.25</v>
      </c>
      <c r="N43" s="28">
        <f>+IFERROR(IF(MACHACHI[[#This Row],[CODIGO]]="","",VLOOKUP(MACHACHI[[#This Row],[CODIGO]],MAESTRO!A:P,16,FALSE)),"")</f>
        <v>180</v>
      </c>
      <c r="O43" s="182">
        <f>+IF(MACHACHI[[#This Row],[CODIGO]]="","",MACHACHI[[#This Row],[Fecha Elab.]])</f>
        <v>45599</v>
      </c>
      <c r="P43" s="99" t="str">
        <f t="shared" si="6"/>
        <v>domingo</v>
      </c>
      <c r="Q43" s="183">
        <f>IFERROR(IF(MACHACHI[[#This Row],[CODIGO]]="","",IF(MACHACHI[[#This Row],[Fecha Cad]]="","",(MACHACHI[[#This Row],[Fecha Cad]]-MACHACHI[[#This Row],[VIDA UTIL (Días)]]))+1),"")</f>
        <v>45599</v>
      </c>
      <c r="R43" s="18">
        <v>45778</v>
      </c>
      <c r="S43" s="180">
        <f t="shared" ca="1" si="7"/>
        <v>154</v>
      </c>
      <c r="T43" s="207">
        <f t="shared" ca="1" si="9"/>
        <v>0.85555555555555551</v>
      </c>
      <c r="U43" s="47">
        <v>36384</v>
      </c>
      <c r="V43" s="184">
        <f>+IFERROR(IF(MACHACHI[[#This Row],[CODIGO]]="","",MACHACHI[[#This Row],[Stock Actual Unds]]*MACHACHI[[#This Row],[Gramaje]]*MACHACHI[[#This Row],[Conversión]]),"")</f>
        <v>9096</v>
      </c>
      <c r="W43" s="45">
        <f>+IFERROR(IF(I42="","",MACHACHI[[#This Row],[Fecha Elab.]]-MACHACHI[[#This Row],[Fecha de Ingreso]]),"")</f>
        <v>0</v>
      </c>
      <c r="X43" s="44">
        <f t="shared" si="8"/>
        <v>1</v>
      </c>
      <c r="Y43" s="236">
        <f>+IFERROR(IF(MACHACHI[[#This Row],[CODIGO]]="","",VLOOKUP(MACHACHI[[#This Row],[CODIGO]],MAESTRO!A:BI,21,FALSE)),"")</f>
        <v>0.40961000000000003</v>
      </c>
      <c r="Z43" s="236">
        <f>+IFERROR(IF(MACHACHI[[#This Row],[CODIGO]]="","",Y43*MACHACHI[[#This Row],[Conversión]]),"")</f>
        <v>0.40961000000000003</v>
      </c>
      <c r="AA43" s="236">
        <f>+IFERROR(IF(MACHACHI[[#This Row],[CODIGO]]="","",MACHACHI[[#This Row],[COSTO UNIT Conv]]*MACHACHI[[#This Row],[Stock Actual Unds]]),"")</f>
        <v>14903.250240000001</v>
      </c>
      <c r="AB43" s="180">
        <f ca="1">+IFERROR(IF(MACHACHI[[#This Row],[CODIGO]]="","",$J$3-O43),"")</f>
        <v>25</v>
      </c>
      <c r="AC43" s="35" t="str">
        <f ca="1">IF(MACHACHI[[#This Row],[CODIGO]]="","",IF(S43&lt;=0,"CADUCADO",IF(AND(S43&gt;0,S43&lt;=21),"FECHA CORTA",IF(AND(S43&gt;=22,S43&lt;=26),"PROXIMOS FECHA CORTA", "VIGENTE"))))</f>
        <v>VIGENTE</v>
      </c>
      <c r="AD43" s="181">
        <f>+IFERROR(IF(MACHACHI[[#This Row],[CODIGO]]="","",MACHACHI[[#This Row],[Stock Actual Unds]]*MACHACHI[[#This Row],[Gramaje]]*MACHACHI[[#This Row],[Conversión]]),"")/1000</f>
        <v>9.0960000000000001</v>
      </c>
    </row>
    <row r="44" spans="1:30">
      <c r="A44" s="42" t="str">
        <f>+IFERROR(IF(MACHACHI[[#This Row],[CODIGO]]="","",VLOOKUP(MACHACHI[[#This Row],[CODIGO]],MAESTRO!$A:$J,10,FALSE)),"")</f>
        <v>COLOMBIA</v>
      </c>
      <c r="B44" s="42" t="str">
        <f>+IFERROR(IF(MACHACHI[[#This Row],[CODIGO]]="","",VLOOKUP(MACHACHI[[#This Row],[CODIGO]],MAESTRO!$A:$Q,17,FALSE)),"")</f>
        <v>BEBIDAS LACTEAS</v>
      </c>
      <c r="C44" s="42" t="str">
        <f>+IFERROR(IF(MACHACHI[[#This Row],[CODIGO]]="","",VLOOKUP(MACHACHI[[#This Row],[CODIGO]],MAESTRO!$A:$BA,53,FALSE)),"")</f>
        <v xml:space="preserve">Luis Armendariz                         </v>
      </c>
      <c r="D44" s="42" t="str">
        <f>+IFERROR(IF(MACHACHI[[#This Row],[CODIGO]]="","",VLOOKUP(MACHACHI[[#This Row],[CODIGO]],MAESTRO!$A:$D,4,FALSE)),"")</f>
        <v>AVENA FINESSE</v>
      </c>
      <c r="E44" s="42" t="str">
        <f>+IFERROR(IF(MACHACHI[[#This Row],[CODIGO]]="","",VLOOKUP(MACHACHI[[#This Row],[CODIGO]],MAESTRO!$A:$F,6,FALSE)),"")</f>
        <v>AVENA FINESSE VASO</v>
      </c>
      <c r="F44" s="42" t="str">
        <f>IF(MACHACHI[[#This Row],[CODIGO]]="","",$K$6)</f>
        <v>MACHACHI</v>
      </c>
      <c r="G44" s="49">
        <f>IF(MACHACHI[[#This Row],[CODIGO]]="","",7701)</f>
        <v>7701</v>
      </c>
      <c r="H44" s="49">
        <f>IF(MACHACHI[[#This Row],[CODIGO]]="","",1080)</f>
        <v>1080</v>
      </c>
      <c r="I44" s="256" t="s">
        <v>4081</v>
      </c>
      <c r="J44" s="25" t="str">
        <f>IFERROR((VLOOKUP(MACHACHI[[#This Row],[CODIGO]],MAESTRO!A:B,2,FALSE)),"")</f>
        <v>AVENA FINESSE VASO 250G ECU</v>
      </c>
      <c r="K44" s="47">
        <v>16530</v>
      </c>
      <c r="L44" s="38">
        <f>+IFERROR(IF(MACHACHI[[#This Row],[CODIGO]]="","",VLOOKUP(MACHACHI[[#This Row],[CODIGO]],MAESTRO!$A:$BF,58,FALSE)),"")</f>
        <v>1</v>
      </c>
      <c r="M44" s="27">
        <f>+IFERROR(IF(MACHACHI[[#This Row],[CODIGO]]="","",VLOOKUP(MACHACHI[[#This Row],[CODIGO]],MAESTRO!A:N,14,FALSE)),"")</f>
        <v>0.25</v>
      </c>
      <c r="N44" s="28">
        <f>+IFERROR(IF(MACHACHI[[#This Row],[CODIGO]]="","",VLOOKUP(MACHACHI[[#This Row],[CODIGO]],MAESTRO!A:P,16,FALSE)),"")</f>
        <v>180</v>
      </c>
      <c r="O44" s="182">
        <f>+IF(MACHACHI[[#This Row],[CODIGO]]="","",MACHACHI[[#This Row],[Fecha Elab.]])</f>
        <v>45588</v>
      </c>
      <c r="P44" s="99" t="str">
        <f t="shared" ref="P44:P66" si="10">+IF(R44="","",TEXT(O44,"dddd"))</f>
        <v>miércoles</v>
      </c>
      <c r="Q44" s="183">
        <f>IFERROR(IF(MACHACHI[[#This Row],[CODIGO]]="","",IF(MACHACHI[[#This Row],[Fecha Cad]]="","",(MACHACHI[[#This Row],[Fecha Cad]]-MACHACHI[[#This Row],[VIDA UTIL (Días)]]))+1),"")</f>
        <v>45588</v>
      </c>
      <c r="R44" s="18">
        <v>45767</v>
      </c>
      <c r="S44" s="180">
        <f t="shared" ca="1" si="7"/>
        <v>143</v>
      </c>
      <c r="T44" s="207">
        <f t="shared" ca="1" si="9"/>
        <v>0.7944444444444444</v>
      </c>
      <c r="U44" s="47">
        <v>16530</v>
      </c>
      <c r="V44" s="184">
        <f>+IFERROR(IF(MACHACHI[[#This Row],[CODIGO]]="","",MACHACHI[[#This Row],[Stock Actual Unds]]*MACHACHI[[#This Row],[Gramaje]]*MACHACHI[[#This Row],[Conversión]]),"")</f>
        <v>4132.5</v>
      </c>
      <c r="W44" s="45">
        <f>+IFERROR(IF(I43="","",MACHACHI[[#This Row],[Fecha Elab.]]-MACHACHI[[#This Row],[Fecha de Ingreso]]),"")</f>
        <v>0</v>
      </c>
      <c r="X44" s="44">
        <f t="shared" si="8"/>
        <v>1</v>
      </c>
      <c r="Y44" s="236">
        <f>+IFERROR(IF(MACHACHI[[#This Row],[CODIGO]]="","",VLOOKUP(MACHACHI[[#This Row],[CODIGO]],MAESTRO!A:BI,21,FALSE)),"")</f>
        <v>0.35793999999999998</v>
      </c>
      <c r="Z44" s="236">
        <f>+IFERROR(IF(MACHACHI[[#This Row],[CODIGO]]="","",Y44*MACHACHI[[#This Row],[Conversión]]),"")</f>
        <v>0.35793999999999998</v>
      </c>
      <c r="AA44" s="236">
        <f>+IFERROR(IF(MACHACHI[[#This Row],[CODIGO]]="","",MACHACHI[[#This Row],[COSTO UNIT Conv]]*MACHACHI[[#This Row],[Stock Actual Unds]]),"")</f>
        <v>5916.7482</v>
      </c>
      <c r="AB44" s="180">
        <f ca="1">+IFERROR(IF(MACHACHI[[#This Row],[CODIGO]]="","",$J$3-O44),"")</f>
        <v>36</v>
      </c>
      <c r="AC44" s="35" t="str">
        <f ca="1">IF(MACHACHI[[#This Row],[CODIGO]]="","",IF(S44&lt;=0,"CADUCADO",IF(AND(S44&gt;0,S44&lt;=21),"FECHA CORTA",IF(AND(S44&gt;=22,S44&lt;=26),"PROXIMOS FECHA CORTA", "VIGENTE"))))</f>
        <v>VIGENTE</v>
      </c>
      <c r="AD44" s="181">
        <f>+IFERROR(IF(MACHACHI[[#This Row],[CODIGO]]="","",MACHACHI[[#This Row],[Stock Actual Unds]]*MACHACHI[[#This Row],[Gramaje]]*MACHACHI[[#This Row],[Conversión]]),"")/1000</f>
        <v>4.1325000000000003</v>
      </c>
    </row>
    <row r="45" spans="1:30">
      <c r="A45" s="42" t="str">
        <f>+IFERROR(IF(MACHACHI[[#This Row],[CODIGO]]="","",VLOOKUP(MACHACHI[[#This Row],[CODIGO]],MAESTRO!$A:$J,10,FALSE)),"")</f>
        <v>MULTIEMPAQUE</v>
      </c>
      <c r="B45" s="42" t="str">
        <f>+IFERROR(IF(MACHACHI[[#This Row],[CODIGO]]="","",VLOOKUP(MACHACHI[[#This Row],[CODIGO]],MAESTRO!$A:$Q,17,FALSE)),"")</f>
        <v>BEBIDAS LACTEAS</v>
      </c>
      <c r="C45" s="42" t="str">
        <f>+IFERROR(IF(MACHACHI[[#This Row],[CODIGO]]="","",VLOOKUP(MACHACHI[[#This Row],[CODIGO]],MAESTRO!$A:$BA,53,FALSE)),"")</f>
        <v xml:space="preserve">Luis Armendariz                         </v>
      </c>
      <c r="D45" s="42" t="str">
        <f>+IFERROR(IF(MACHACHI[[#This Row],[CODIGO]]="","",VLOOKUP(MACHACHI[[#This Row],[CODIGO]],MAESTRO!$A:$D,4,FALSE)),"")</f>
        <v>AVENA ALPINA</v>
      </c>
      <c r="E45" s="42" t="str">
        <f>+IFERROR(IF(MACHACHI[[#This Row],[CODIGO]]="","",VLOOKUP(MACHACHI[[#This Row],[CODIGO]],MAESTRO!$A:$F,6,FALSE)),"")</f>
        <v>AVENA VASO</v>
      </c>
      <c r="F45" s="42" t="str">
        <f>IF(MACHACHI[[#This Row],[CODIGO]]="","",$K$6)</f>
        <v>MACHACHI</v>
      </c>
      <c r="G45" s="49">
        <f>IF(MACHACHI[[#This Row],[CODIGO]]="","",7701)</f>
        <v>7701</v>
      </c>
      <c r="H45" s="49">
        <f>IF(MACHACHI[[#This Row],[CODIGO]]="","",1080)</f>
        <v>1080</v>
      </c>
      <c r="I45" s="256" t="s">
        <v>2868</v>
      </c>
      <c r="J45" s="25" t="str">
        <f>IFERROR((VLOOKUP(MACHACHI[[#This Row],[CODIGO]],MAESTRO!A:B,2,FALSE)),"")</f>
        <v>MPLX6 AVENA ORIG VASO 250G</v>
      </c>
      <c r="K45" s="47">
        <v>60</v>
      </c>
      <c r="L45" s="38">
        <f>+IFERROR(IF(MACHACHI[[#This Row],[CODIGO]]="","",VLOOKUP(MACHACHI[[#This Row],[CODIGO]],MAESTRO!$A:$BF,58,FALSE)),"")</f>
        <v>1</v>
      </c>
      <c r="M45" s="27">
        <f>+IFERROR(IF(MACHACHI[[#This Row],[CODIGO]]="","",VLOOKUP(MACHACHI[[#This Row],[CODIGO]],MAESTRO!A:N,14,FALSE)),"")</f>
        <v>1.5</v>
      </c>
      <c r="N45" s="28">
        <f>+IFERROR(IF(MACHACHI[[#This Row],[CODIGO]]="","",VLOOKUP(MACHACHI[[#This Row],[CODIGO]],MAESTRO!A:P,16,FALSE)),"")</f>
        <v>180</v>
      </c>
      <c r="O45" s="182">
        <f>+IF(MACHACHI[[#This Row],[CODIGO]]="","",MACHACHI[[#This Row],[Fecha Elab.]])</f>
        <v>45583</v>
      </c>
      <c r="P45" s="99" t="str">
        <f t="shared" si="10"/>
        <v>viernes</v>
      </c>
      <c r="Q45" s="183">
        <f>IFERROR(IF(MACHACHI[[#This Row],[CODIGO]]="","",IF(MACHACHI[[#This Row],[Fecha Cad]]="","",(MACHACHI[[#This Row],[Fecha Cad]]-MACHACHI[[#This Row],[VIDA UTIL (Días)]]))+1),"")</f>
        <v>45583</v>
      </c>
      <c r="R45" s="18">
        <v>45762</v>
      </c>
      <c r="S45" s="180">
        <f t="shared" ref="S45:S66" ca="1" si="11">+IFERROR(IF(R45="","",R45-$J$3),0)</f>
        <v>138</v>
      </c>
      <c r="T45" s="207">
        <f t="shared" ca="1" si="9"/>
        <v>0.76666666666666672</v>
      </c>
      <c r="U45" s="47">
        <v>60</v>
      </c>
      <c r="V45" s="184">
        <f>+IFERROR(IF(MACHACHI[[#This Row],[CODIGO]]="","",MACHACHI[[#This Row],[Stock Actual Unds]]*MACHACHI[[#This Row],[Gramaje]]*MACHACHI[[#This Row],[Conversión]]),"")</f>
        <v>90</v>
      </c>
      <c r="W45" s="45">
        <f>+IFERROR(IF(I44="","",MACHACHI[[#This Row],[Fecha Elab.]]-MACHACHI[[#This Row],[Fecha de Ingreso]]),"")</f>
        <v>0</v>
      </c>
      <c r="X45" s="44">
        <f t="shared" si="8"/>
        <v>1</v>
      </c>
      <c r="Y45" s="236">
        <f>+IFERROR(IF(MACHACHI[[#This Row],[CODIGO]]="","",VLOOKUP(MACHACHI[[#This Row],[CODIGO]],MAESTRO!A:BI,21,FALSE)),"")</f>
        <v>2.4714</v>
      </c>
      <c r="Z45" s="236">
        <f>+IFERROR(IF(MACHACHI[[#This Row],[CODIGO]]="","",Y45*MACHACHI[[#This Row],[Conversión]]),"")</f>
        <v>2.4714</v>
      </c>
      <c r="AA45" s="236">
        <f>+IFERROR(IF(MACHACHI[[#This Row],[CODIGO]]="","",MACHACHI[[#This Row],[COSTO UNIT Conv]]*MACHACHI[[#This Row],[Stock Actual Unds]]),"")</f>
        <v>148.28399999999999</v>
      </c>
      <c r="AB45" s="180">
        <f ca="1">+IFERROR(IF(MACHACHI[[#This Row],[CODIGO]]="","",$J$3-O45),"")</f>
        <v>41</v>
      </c>
      <c r="AC45" s="35" t="str">
        <f ca="1">IF(MACHACHI[[#This Row],[CODIGO]]="","",IF(S45&lt;=0,"CADUCADO",IF(AND(S45&gt;0,S45&lt;=21),"FECHA CORTA",IF(AND(S45&gt;=22,S45&lt;=26),"PROXIMOS FECHA CORTA", "VIGENTE"))))</f>
        <v>VIGENTE</v>
      </c>
      <c r="AD45" s="181">
        <f>+IFERROR(IF(MACHACHI[[#This Row],[CODIGO]]="","",MACHACHI[[#This Row],[Stock Actual Unds]]*MACHACHI[[#This Row],[Gramaje]]*MACHACHI[[#This Row],[Conversión]]),"")/1000</f>
        <v>0.09</v>
      </c>
    </row>
    <row r="46" spans="1:30">
      <c r="A46" s="42" t="str">
        <f>+IFERROR(IF(MACHACHI[[#This Row],[CODIGO]]="","",VLOOKUP(MACHACHI[[#This Row],[CODIGO]],MAESTRO!$A:$J,10,FALSE)),"")</f>
        <v>MULTIEMPAQUE</v>
      </c>
      <c r="B46" s="42" t="str">
        <f>+IFERROR(IF(MACHACHI[[#This Row],[CODIGO]]="","",VLOOKUP(MACHACHI[[#This Row],[CODIGO]],MAESTRO!$A:$Q,17,FALSE)),"")</f>
        <v>BEBIDAS LACTEAS</v>
      </c>
      <c r="C46" s="42" t="str">
        <f>+IFERROR(IF(MACHACHI[[#This Row],[CODIGO]]="","",VLOOKUP(MACHACHI[[#This Row],[CODIGO]],MAESTRO!$A:$BA,53,FALSE)),"")</f>
        <v xml:space="preserve">Luis Armendariz                         </v>
      </c>
      <c r="D46" s="42" t="str">
        <f>+IFERROR(IF(MACHACHI[[#This Row],[CODIGO]]="","",VLOOKUP(MACHACHI[[#This Row],[CODIGO]],MAESTRO!$A:$D,4,FALSE)),"")</f>
        <v>AVENA ALPINA</v>
      </c>
      <c r="E46" s="42" t="str">
        <f>+IFERROR(IF(MACHACHI[[#This Row],[CODIGO]]="","",VLOOKUP(MACHACHI[[#This Row],[CODIGO]],MAESTRO!$A:$F,6,FALSE)),"")</f>
        <v>AVENA VASO</v>
      </c>
      <c r="F46" s="42" t="str">
        <f>IF(MACHACHI[[#This Row],[CODIGO]]="","",$K$6)</f>
        <v>MACHACHI</v>
      </c>
      <c r="G46" s="49">
        <f>IF(MACHACHI[[#This Row],[CODIGO]]="","",7701)</f>
        <v>7701</v>
      </c>
      <c r="H46" s="49">
        <f>IF(MACHACHI[[#This Row],[CODIGO]]="","",1080)</f>
        <v>1080</v>
      </c>
      <c r="I46" s="256" t="s">
        <v>2868</v>
      </c>
      <c r="J46" s="25" t="str">
        <f>IFERROR((VLOOKUP(MACHACHI[[#This Row],[CODIGO]],MAESTRO!A:B,2,FALSE)),"")</f>
        <v>MPLX6 AVENA ORIG VASO 250G</v>
      </c>
      <c r="K46" s="47">
        <v>1184</v>
      </c>
      <c r="L46" s="38">
        <f>+IFERROR(IF(MACHACHI[[#This Row],[CODIGO]]="","",VLOOKUP(MACHACHI[[#This Row],[CODIGO]],MAESTRO!$A:$BF,58,FALSE)),"")</f>
        <v>1</v>
      </c>
      <c r="M46" s="27">
        <f>+IFERROR(IF(MACHACHI[[#This Row],[CODIGO]]="","",VLOOKUP(MACHACHI[[#This Row],[CODIGO]],MAESTRO!A:N,14,FALSE)),"")</f>
        <v>1.5</v>
      </c>
      <c r="N46" s="28">
        <f>+IFERROR(IF(MACHACHI[[#This Row],[CODIGO]]="","",VLOOKUP(MACHACHI[[#This Row],[CODIGO]],MAESTRO!A:P,16,FALSE)),"")</f>
        <v>180</v>
      </c>
      <c r="O46" s="182">
        <f>+IF(MACHACHI[[#This Row],[CODIGO]]="","",MACHACHI[[#This Row],[Fecha Elab.]])</f>
        <v>45596</v>
      </c>
      <c r="P46" s="99" t="str">
        <f t="shared" si="10"/>
        <v>jueves</v>
      </c>
      <c r="Q46" s="183">
        <f>IFERROR(IF(MACHACHI[[#This Row],[CODIGO]]="","",IF(MACHACHI[[#This Row],[Fecha Cad]]="","",(MACHACHI[[#This Row],[Fecha Cad]]-MACHACHI[[#This Row],[VIDA UTIL (Días)]]))+1),"")</f>
        <v>45596</v>
      </c>
      <c r="R46" s="18">
        <v>45775</v>
      </c>
      <c r="S46" s="180">
        <f t="shared" ca="1" si="11"/>
        <v>151</v>
      </c>
      <c r="T46" s="207">
        <f t="shared" ca="1" si="9"/>
        <v>0.83888888888888891</v>
      </c>
      <c r="U46" s="47">
        <v>1184</v>
      </c>
      <c r="V46" s="184">
        <f>+IFERROR(IF(MACHACHI[[#This Row],[CODIGO]]="","",MACHACHI[[#This Row],[Stock Actual Unds]]*MACHACHI[[#This Row],[Gramaje]]*MACHACHI[[#This Row],[Conversión]]),"")</f>
        <v>1776</v>
      </c>
      <c r="W46" s="45">
        <f>+IFERROR(IF(I45="","",MACHACHI[[#This Row],[Fecha Elab.]]-MACHACHI[[#This Row],[Fecha de Ingreso]]),"")</f>
        <v>0</v>
      </c>
      <c r="X46" s="44">
        <f t="shared" si="8"/>
        <v>1</v>
      </c>
      <c r="Y46" s="236">
        <f>+IFERROR(IF(MACHACHI[[#This Row],[CODIGO]]="","",VLOOKUP(MACHACHI[[#This Row],[CODIGO]],MAESTRO!A:BI,21,FALSE)),"")</f>
        <v>2.4714</v>
      </c>
      <c r="Z46" s="236">
        <f>+IFERROR(IF(MACHACHI[[#This Row],[CODIGO]]="","",Y46*MACHACHI[[#This Row],[Conversión]]),"")</f>
        <v>2.4714</v>
      </c>
      <c r="AA46" s="236">
        <f>+IFERROR(IF(MACHACHI[[#This Row],[CODIGO]]="","",MACHACHI[[#This Row],[COSTO UNIT Conv]]*MACHACHI[[#This Row],[Stock Actual Unds]]),"")</f>
        <v>2926.1376</v>
      </c>
      <c r="AB46" s="180">
        <f ca="1">+IFERROR(IF(MACHACHI[[#This Row],[CODIGO]]="","",$J$3-O46),"")</f>
        <v>28</v>
      </c>
      <c r="AC46" s="35" t="str">
        <f ca="1">IF(MACHACHI[[#This Row],[CODIGO]]="","",IF(S46&lt;=0,"CADUCADO",IF(AND(S46&gt;0,S46&lt;=21),"FECHA CORTA",IF(AND(S46&gt;=22,S46&lt;=26),"PROXIMOS FECHA CORTA", "VIGENTE"))))</f>
        <v>VIGENTE</v>
      </c>
      <c r="AD46" s="181">
        <f>+IFERROR(IF(MACHACHI[[#This Row],[CODIGO]]="","",MACHACHI[[#This Row],[Stock Actual Unds]]*MACHACHI[[#This Row],[Gramaje]]*MACHACHI[[#This Row],[Conversión]]),"")/1000</f>
        <v>1.776</v>
      </c>
    </row>
    <row r="47" spans="1:30">
      <c r="A47" s="42" t="str">
        <f>+IFERROR(IF(MACHACHI[[#This Row],[CODIGO]]="","",VLOOKUP(MACHACHI[[#This Row],[CODIGO]],MAESTRO!$A:$J,10,FALSE)),"")</f>
        <v>MULTIEMPAQUE</v>
      </c>
      <c r="B47" s="42" t="str">
        <f>+IFERROR(IF(MACHACHI[[#This Row],[CODIGO]]="","",VLOOKUP(MACHACHI[[#This Row],[CODIGO]],MAESTRO!$A:$Q,17,FALSE)),"")</f>
        <v>BEBIDAS LACTEAS</v>
      </c>
      <c r="C47" s="42" t="str">
        <f>+IFERROR(IF(MACHACHI[[#This Row],[CODIGO]]="","",VLOOKUP(MACHACHI[[#This Row],[CODIGO]],MAESTRO!$A:$BA,53,FALSE)),"")</f>
        <v xml:space="preserve">Luis Armendariz                         </v>
      </c>
      <c r="D47" s="42" t="str">
        <f>+IFERROR(IF(MACHACHI[[#This Row],[CODIGO]]="","",VLOOKUP(MACHACHI[[#This Row],[CODIGO]],MAESTRO!$A:$D,4,FALSE)),"")</f>
        <v>AVENA ALPINA</v>
      </c>
      <c r="E47" s="42" t="str">
        <f>+IFERROR(IF(MACHACHI[[#This Row],[CODIGO]]="","",VLOOKUP(MACHACHI[[#This Row],[CODIGO]],MAESTRO!$A:$F,6,FALSE)),"")</f>
        <v>AVENA VASO</v>
      </c>
      <c r="F47" s="42" t="str">
        <f>IF(MACHACHI[[#This Row],[CODIGO]]="","",$K$6)</f>
        <v>MACHACHI</v>
      </c>
      <c r="G47" s="49">
        <f>IF(MACHACHI[[#This Row],[CODIGO]]="","",7701)</f>
        <v>7701</v>
      </c>
      <c r="H47" s="49">
        <f>IF(MACHACHI[[#This Row],[CODIGO]]="","",1080)</f>
        <v>1080</v>
      </c>
      <c r="I47" s="256" t="s">
        <v>4880</v>
      </c>
      <c r="J47" s="25" t="str">
        <f>IFERROR((VLOOKUP(MACHACHI[[#This Row],[CODIGO]],MAESTRO!A:B,2,FALSE)),"")</f>
        <v>MPLX4 AVENA CAN VASO 250G</v>
      </c>
      <c r="K47" s="47">
        <v>442</v>
      </c>
      <c r="L47" s="38">
        <f>+IFERROR(IF(MACHACHI[[#This Row],[CODIGO]]="","",VLOOKUP(MACHACHI[[#This Row],[CODIGO]],MAESTRO!$A:$BF,58,FALSE)),"")</f>
        <v>1</v>
      </c>
      <c r="M47" s="27">
        <f>+IFERROR(IF(MACHACHI[[#This Row],[CODIGO]]="","",VLOOKUP(MACHACHI[[#This Row],[CODIGO]],MAESTRO!A:N,14,FALSE)),"")</f>
        <v>1</v>
      </c>
      <c r="N47" s="28">
        <f>+IFERROR(IF(MACHACHI[[#This Row],[CODIGO]]="","",VLOOKUP(MACHACHI[[#This Row],[CODIGO]],MAESTRO!A:P,16,FALSE)),"")</f>
        <v>180</v>
      </c>
      <c r="O47" s="182">
        <f>+IF(MACHACHI[[#This Row],[CODIGO]]="","",MACHACHI[[#This Row],[Fecha Elab.]])</f>
        <v>45584</v>
      </c>
      <c r="P47" s="99" t="str">
        <f t="shared" si="10"/>
        <v>sábado</v>
      </c>
      <c r="Q47" s="183">
        <f>IFERROR(IF(MACHACHI[[#This Row],[CODIGO]]="","",IF(MACHACHI[[#This Row],[Fecha Cad]]="","",(MACHACHI[[#This Row],[Fecha Cad]]-MACHACHI[[#This Row],[VIDA UTIL (Días)]]))+1),"")</f>
        <v>45584</v>
      </c>
      <c r="R47" s="18">
        <v>45763</v>
      </c>
      <c r="S47" s="180">
        <f t="shared" ca="1" si="11"/>
        <v>139</v>
      </c>
      <c r="T47" s="207">
        <f t="shared" ca="1" si="9"/>
        <v>0.77222222222222225</v>
      </c>
      <c r="U47" s="47">
        <v>442</v>
      </c>
      <c r="V47" s="184">
        <f>+IFERROR(IF(MACHACHI[[#This Row],[CODIGO]]="","",MACHACHI[[#This Row],[Stock Actual Unds]]*MACHACHI[[#This Row],[Gramaje]]*MACHACHI[[#This Row],[Conversión]]),"")</f>
        <v>442</v>
      </c>
      <c r="W47" s="45">
        <f>+IFERROR(IF(I46="","",MACHACHI[[#This Row],[Fecha Elab.]]-MACHACHI[[#This Row],[Fecha de Ingreso]]),"")</f>
        <v>0</v>
      </c>
      <c r="X47" s="44">
        <f t="shared" si="8"/>
        <v>1</v>
      </c>
      <c r="Y47" s="236">
        <f>+IFERROR(IF(MACHACHI[[#This Row],[CODIGO]]="","",VLOOKUP(MACHACHI[[#This Row],[CODIGO]],MAESTRO!A:BI,21,FALSE)),"")</f>
        <v>1.795145</v>
      </c>
      <c r="Z47" s="236">
        <f>+IFERROR(IF(MACHACHI[[#This Row],[CODIGO]]="","",Y47*MACHACHI[[#This Row],[Conversión]]),"")</f>
        <v>1.795145</v>
      </c>
      <c r="AA47" s="236">
        <f>+IFERROR(IF(MACHACHI[[#This Row],[CODIGO]]="","",MACHACHI[[#This Row],[COSTO UNIT Conv]]*MACHACHI[[#This Row],[Stock Actual Unds]]),"")</f>
        <v>793.45408999999995</v>
      </c>
      <c r="AB47" s="180">
        <f ca="1">+IFERROR(IF(MACHACHI[[#This Row],[CODIGO]]="","",$J$3-O47),"")</f>
        <v>40</v>
      </c>
      <c r="AC47" s="35" t="str">
        <f ca="1">IF(MACHACHI[[#This Row],[CODIGO]]="","",IF(S47&lt;=0,"CADUCADO",IF(AND(S47&gt;0,S47&lt;=21),"FECHA CORTA",IF(AND(S47&gt;=22,S47&lt;=26),"PROXIMOS FECHA CORTA", "VIGENTE"))))</f>
        <v>VIGENTE</v>
      </c>
      <c r="AD47" s="181">
        <f>+IFERROR(IF(MACHACHI[[#This Row],[CODIGO]]="","",MACHACHI[[#This Row],[Stock Actual Unds]]*MACHACHI[[#This Row],[Gramaje]]*MACHACHI[[#This Row],[Conversión]]),"")/1000</f>
        <v>0.442</v>
      </c>
    </row>
    <row r="48" spans="1:30">
      <c r="A48" s="42" t="str">
        <f>+IFERROR(IF(MACHACHI[[#This Row],[CODIGO]]="","",VLOOKUP(MACHACHI[[#This Row],[CODIGO]],MAESTRO!$A:$J,10,FALSE)),"")</f>
        <v>MULTIEMPAQUE</v>
      </c>
      <c r="B48" s="42" t="str">
        <f>+IFERROR(IF(MACHACHI[[#This Row],[CODIGO]]="","",VLOOKUP(MACHACHI[[#This Row],[CODIGO]],MAESTRO!$A:$Q,17,FALSE)),"")</f>
        <v>BEBIDAS LACTEAS</v>
      </c>
      <c r="C48" s="42" t="str">
        <f>+IFERROR(IF(MACHACHI[[#This Row],[CODIGO]]="","",VLOOKUP(MACHACHI[[#This Row],[CODIGO]],MAESTRO!$A:$BA,53,FALSE)),"")</f>
        <v xml:space="preserve">Luis Armendariz                         </v>
      </c>
      <c r="D48" s="42" t="str">
        <f>+IFERROR(IF(MACHACHI[[#This Row],[CODIGO]]="","",VLOOKUP(MACHACHI[[#This Row],[CODIGO]],MAESTRO!$A:$D,4,FALSE)),"")</f>
        <v>AVENA ALPINA</v>
      </c>
      <c r="E48" s="42" t="str">
        <f>+IFERROR(IF(MACHACHI[[#This Row],[CODIGO]]="","",VLOOKUP(MACHACHI[[#This Row],[CODIGO]],MAESTRO!$A:$F,6,FALSE)),"")</f>
        <v>AVENA VASO</v>
      </c>
      <c r="F48" s="42" t="str">
        <f>IF(MACHACHI[[#This Row],[CODIGO]]="","",$K$6)</f>
        <v>MACHACHI</v>
      </c>
      <c r="G48" s="49">
        <f>IF(MACHACHI[[#This Row],[CODIGO]]="","",7701)</f>
        <v>7701</v>
      </c>
      <c r="H48" s="49">
        <f>IF(MACHACHI[[#This Row],[CODIGO]]="","",1080)</f>
        <v>1080</v>
      </c>
      <c r="I48" s="256" t="s">
        <v>4880</v>
      </c>
      <c r="J48" s="25" t="str">
        <f>IFERROR((VLOOKUP(MACHACHI[[#This Row],[CODIGO]],MAESTRO!A:B,2,FALSE)),"")</f>
        <v>MPLX4 AVENA CAN VASO 250G</v>
      </c>
      <c r="K48" s="47">
        <v>194</v>
      </c>
      <c r="L48" s="38">
        <f>+IFERROR(IF(MACHACHI[[#This Row],[CODIGO]]="","",VLOOKUP(MACHACHI[[#This Row],[CODIGO]],MAESTRO!$A:$BF,58,FALSE)),"")</f>
        <v>1</v>
      </c>
      <c r="M48" s="27">
        <f>+IFERROR(IF(MACHACHI[[#This Row],[CODIGO]]="","",VLOOKUP(MACHACHI[[#This Row],[CODIGO]],MAESTRO!A:N,14,FALSE)),"")</f>
        <v>1</v>
      </c>
      <c r="N48" s="28">
        <f>+IFERROR(IF(MACHACHI[[#This Row],[CODIGO]]="","",VLOOKUP(MACHACHI[[#This Row],[CODIGO]],MAESTRO!A:P,16,FALSE)),"")</f>
        <v>180</v>
      </c>
      <c r="O48" s="182">
        <f>+IF(MACHACHI[[#This Row],[CODIGO]]="","",MACHACHI[[#This Row],[Fecha Elab.]])</f>
        <v>45599</v>
      </c>
      <c r="P48" s="99" t="str">
        <f t="shared" si="10"/>
        <v>domingo</v>
      </c>
      <c r="Q48" s="183">
        <f>IFERROR(IF(MACHACHI[[#This Row],[CODIGO]]="","",IF(MACHACHI[[#This Row],[Fecha Cad]]="","",(MACHACHI[[#This Row],[Fecha Cad]]-MACHACHI[[#This Row],[VIDA UTIL (Días)]]))+1),"")</f>
        <v>45599</v>
      </c>
      <c r="R48" s="18">
        <v>45778</v>
      </c>
      <c r="S48" s="180">
        <f t="shared" ca="1" si="11"/>
        <v>154</v>
      </c>
      <c r="T48" s="207">
        <f t="shared" ca="1" si="9"/>
        <v>0.85555555555555551</v>
      </c>
      <c r="U48" s="47">
        <v>194</v>
      </c>
      <c r="V48" s="184">
        <f>+IFERROR(IF(MACHACHI[[#This Row],[CODIGO]]="","",MACHACHI[[#This Row],[Stock Actual Unds]]*MACHACHI[[#This Row],[Gramaje]]*MACHACHI[[#This Row],[Conversión]]),"")</f>
        <v>194</v>
      </c>
      <c r="W48" s="45">
        <f>+IFERROR(IF(I47="","",MACHACHI[[#This Row],[Fecha Elab.]]-MACHACHI[[#This Row],[Fecha de Ingreso]]),"")</f>
        <v>0</v>
      </c>
      <c r="X48" s="44">
        <f t="shared" si="8"/>
        <v>1</v>
      </c>
      <c r="Y48" s="236">
        <f>+IFERROR(IF(MACHACHI[[#This Row],[CODIGO]]="","",VLOOKUP(MACHACHI[[#This Row],[CODIGO]],MAESTRO!A:BI,21,FALSE)),"")</f>
        <v>1.795145</v>
      </c>
      <c r="Z48" s="236">
        <f>+IFERROR(IF(MACHACHI[[#This Row],[CODIGO]]="","",Y48*MACHACHI[[#This Row],[Conversión]]),"")</f>
        <v>1.795145</v>
      </c>
      <c r="AA48" s="236">
        <f>+IFERROR(IF(MACHACHI[[#This Row],[CODIGO]]="","",MACHACHI[[#This Row],[COSTO UNIT Conv]]*MACHACHI[[#This Row],[Stock Actual Unds]]),"")</f>
        <v>348.25812999999999</v>
      </c>
      <c r="AB48" s="180">
        <f ca="1">+IFERROR(IF(MACHACHI[[#This Row],[CODIGO]]="","",$J$3-O48),"")</f>
        <v>25</v>
      </c>
      <c r="AC48" s="35" t="str">
        <f ca="1">IF(MACHACHI[[#This Row],[CODIGO]]="","",IF(S48&lt;=0,"CADUCADO",IF(AND(S48&gt;0,S48&lt;=21),"FECHA CORTA",IF(AND(S48&gt;=22,S48&lt;=26),"PROXIMOS FECHA CORTA", "VIGENTE"))))</f>
        <v>VIGENTE</v>
      </c>
      <c r="AD48" s="181">
        <f>+IFERROR(IF(MACHACHI[[#This Row],[CODIGO]]="","",MACHACHI[[#This Row],[Stock Actual Unds]]*MACHACHI[[#This Row],[Gramaje]]*MACHACHI[[#This Row],[Conversión]]),"")/1000</f>
        <v>0.19400000000000001</v>
      </c>
    </row>
    <row r="49" spans="1:30">
      <c r="A49" s="42" t="str">
        <f>+IFERROR(IF(MACHACHI[[#This Row],[CODIGO]]="","",VLOOKUP(MACHACHI[[#This Row],[CODIGO]],MAESTRO!$A:$J,10,FALSE)),"")</f>
        <v>MULTIEMPAQUE</v>
      </c>
      <c r="B49" s="42" t="str">
        <f>+IFERROR(IF(MACHACHI[[#This Row],[CODIGO]]="","",VLOOKUP(MACHACHI[[#This Row],[CODIGO]],MAESTRO!$A:$Q,17,FALSE)),"")</f>
        <v>BEBIDAS LACTEAS</v>
      </c>
      <c r="C49" s="42" t="str">
        <f>+IFERROR(IF(MACHACHI[[#This Row],[CODIGO]]="","",VLOOKUP(MACHACHI[[#This Row],[CODIGO]],MAESTRO!$A:$BA,53,FALSE)),"")</f>
        <v xml:space="preserve">Luis Armendariz                         </v>
      </c>
      <c r="D49" s="42" t="str">
        <f>+IFERROR(IF(MACHACHI[[#This Row],[CODIGO]]="","",VLOOKUP(MACHACHI[[#This Row],[CODIGO]],MAESTRO!$A:$D,4,FALSE)),"")</f>
        <v>AVENA FINESSE</v>
      </c>
      <c r="E49" s="42" t="str">
        <f>+IFERROR(IF(MACHACHI[[#This Row],[CODIGO]]="","",VLOOKUP(MACHACHI[[#This Row],[CODIGO]],MAESTRO!$A:$F,6,FALSE)),"")</f>
        <v>AVENA FINESSE VASO</v>
      </c>
      <c r="F49" s="42" t="str">
        <f>IF(MACHACHI[[#This Row],[CODIGO]]="","",$K$6)</f>
        <v>MACHACHI</v>
      </c>
      <c r="G49" s="49">
        <f>IF(MACHACHI[[#This Row],[CODIGO]]="","",7701)</f>
        <v>7701</v>
      </c>
      <c r="H49" s="49">
        <f>IF(MACHACHI[[#This Row],[CODIGO]]="","",1080)</f>
        <v>1080</v>
      </c>
      <c r="I49" s="256" t="s">
        <v>1607</v>
      </c>
      <c r="J49" s="25" t="str">
        <f>IFERROR((VLOOKUP(MACHACHI[[#This Row],[CODIGO]],MAESTRO!A:B,2,FALSE)),"")</f>
        <v>MPLX6 AVENA FINESSE VASO 250G</v>
      </c>
      <c r="K49" s="47">
        <v>180</v>
      </c>
      <c r="L49" s="38">
        <f>+IFERROR(IF(MACHACHI[[#This Row],[CODIGO]]="","",VLOOKUP(MACHACHI[[#This Row],[CODIGO]],MAESTRO!$A:$BF,58,FALSE)),"")</f>
        <v>1</v>
      </c>
      <c r="M49" s="27">
        <f>+IFERROR(IF(MACHACHI[[#This Row],[CODIGO]]="","",VLOOKUP(MACHACHI[[#This Row],[CODIGO]],MAESTRO!A:N,14,FALSE)),"")</f>
        <v>1.5</v>
      </c>
      <c r="N49" s="28">
        <f>+IFERROR(IF(MACHACHI[[#This Row],[CODIGO]]="","",VLOOKUP(MACHACHI[[#This Row],[CODIGO]],MAESTRO!A:P,16,FALSE)),"")</f>
        <v>180</v>
      </c>
      <c r="O49" s="182">
        <f>+IF(MACHACHI[[#This Row],[CODIGO]]="","",MACHACHI[[#This Row],[Fecha Elab.]])</f>
        <v>45588</v>
      </c>
      <c r="P49" s="99" t="str">
        <f t="shared" si="10"/>
        <v>miércoles</v>
      </c>
      <c r="Q49" s="183">
        <f>IFERROR(IF(MACHACHI[[#This Row],[CODIGO]]="","",IF(MACHACHI[[#This Row],[Fecha Cad]]="","",(MACHACHI[[#This Row],[Fecha Cad]]-MACHACHI[[#This Row],[VIDA UTIL (Días)]]))+1),"")</f>
        <v>45588</v>
      </c>
      <c r="R49" s="18">
        <v>45767</v>
      </c>
      <c r="S49" s="180">
        <f t="shared" ca="1" si="11"/>
        <v>143</v>
      </c>
      <c r="T49" s="207">
        <f t="shared" ca="1" si="9"/>
        <v>0.7944444444444444</v>
      </c>
      <c r="U49" s="47">
        <v>180</v>
      </c>
      <c r="V49" s="184">
        <f>+IFERROR(IF(MACHACHI[[#This Row],[CODIGO]]="","",MACHACHI[[#This Row],[Stock Actual Unds]]*MACHACHI[[#This Row],[Gramaje]]*MACHACHI[[#This Row],[Conversión]]),"")</f>
        <v>270</v>
      </c>
      <c r="W49" s="45">
        <f>+IFERROR(IF(I48="","",MACHACHI[[#This Row],[Fecha Elab.]]-MACHACHI[[#This Row],[Fecha de Ingreso]]),"")</f>
        <v>0</v>
      </c>
      <c r="X49" s="44">
        <f t="shared" si="8"/>
        <v>1</v>
      </c>
      <c r="Y49" s="236">
        <f>+IFERROR(IF(MACHACHI[[#This Row],[CODIGO]]="","",VLOOKUP(MACHACHI[[#This Row],[CODIGO]],MAESTRO!A:BI,21,FALSE)),"")</f>
        <v>2.2748600000000003</v>
      </c>
      <c r="Z49" s="236">
        <f>+IFERROR(IF(MACHACHI[[#This Row],[CODIGO]]="","",Y49*MACHACHI[[#This Row],[Conversión]]),"")</f>
        <v>2.2748600000000003</v>
      </c>
      <c r="AA49" s="236">
        <f>+IFERROR(IF(MACHACHI[[#This Row],[CODIGO]]="","",MACHACHI[[#This Row],[COSTO UNIT Conv]]*MACHACHI[[#This Row],[Stock Actual Unds]]),"")</f>
        <v>409.47480000000007</v>
      </c>
      <c r="AB49" s="180">
        <f ca="1">+IFERROR(IF(MACHACHI[[#This Row],[CODIGO]]="","",$J$3-O49),"")</f>
        <v>36</v>
      </c>
      <c r="AC49" s="35" t="str">
        <f ca="1">IF(MACHACHI[[#This Row],[CODIGO]]="","",IF(S49&lt;=0,"CADUCADO",IF(AND(S49&gt;0,S49&lt;=21),"FECHA CORTA",IF(AND(S49&gt;=22,S49&lt;=26),"PROXIMOS FECHA CORTA", "VIGENTE"))))</f>
        <v>VIGENTE</v>
      </c>
      <c r="AD49" s="181">
        <f>+IFERROR(IF(MACHACHI[[#This Row],[CODIGO]]="","",MACHACHI[[#This Row],[Stock Actual Unds]]*MACHACHI[[#This Row],[Gramaje]]*MACHACHI[[#This Row],[Conversión]]),"")/1000</f>
        <v>0.27</v>
      </c>
    </row>
    <row r="50" spans="1:30">
      <c r="A50" s="42" t="str">
        <f>+IFERROR(IF(MACHACHI[[#This Row],[CODIGO]]="","",VLOOKUP(MACHACHI[[#This Row],[CODIGO]],MAESTRO!$A:$J,10,FALSE)),"")</f>
        <v>MULTIEMPAQUE</v>
      </c>
      <c r="B50" s="42" t="str">
        <f>+IFERROR(IF(MACHACHI[[#This Row],[CODIGO]]="","",VLOOKUP(MACHACHI[[#This Row],[CODIGO]],MAESTRO!$A:$Q,17,FALSE)),"")</f>
        <v>BEBIDAS LACTEAS</v>
      </c>
      <c r="C50" s="42" t="str">
        <f>+IFERROR(IF(MACHACHI[[#This Row],[CODIGO]]="","",VLOOKUP(MACHACHI[[#This Row],[CODIGO]],MAESTRO!$A:$BA,53,FALSE)),"")</f>
        <v xml:space="preserve">Luis Armendariz                         </v>
      </c>
      <c r="D50" s="42" t="str">
        <f>+IFERROR(IF(MACHACHI[[#This Row],[CODIGO]]="","",VLOOKUP(MACHACHI[[#This Row],[CODIGO]],MAESTRO!$A:$D,4,FALSE)),"")</f>
        <v>AVENA FINESSE</v>
      </c>
      <c r="E50" s="42" t="str">
        <f>+IFERROR(IF(MACHACHI[[#This Row],[CODIGO]]="","",VLOOKUP(MACHACHI[[#This Row],[CODIGO]],MAESTRO!$A:$F,6,FALSE)),"")</f>
        <v>AVENA FINESSE VASO</v>
      </c>
      <c r="F50" s="42" t="str">
        <f>IF(MACHACHI[[#This Row],[CODIGO]]="","",$K$6)</f>
        <v>MACHACHI</v>
      </c>
      <c r="G50" s="49">
        <f>IF(MACHACHI[[#This Row],[CODIGO]]="","",7701)</f>
        <v>7701</v>
      </c>
      <c r="H50" s="49">
        <f>IF(MACHACHI[[#This Row],[CODIGO]]="","",1080)</f>
        <v>1080</v>
      </c>
      <c r="I50" s="256" t="s">
        <v>1607</v>
      </c>
      <c r="J50" s="25" t="str">
        <f>IFERROR((VLOOKUP(MACHACHI[[#This Row],[CODIGO]],MAESTRO!A:B,2,FALSE)),"")</f>
        <v>MPLX6 AVENA FINESSE VASO 250G</v>
      </c>
      <c r="K50" s="47">
        <v>8</v>
      </c>
      <c r="L50" s="38">
        <f>+IFERROR(IF(MACHACHI[[#This Row],[CODIGO]]="","",VLOOKUP(MACHACHI[[#This Row],[CODIGO]],MAESTRO!$A:$BF,58,FALSE)),"")</f>
        <v>1</v>
      </c>
      <c r="M50" s="27">
        <f>+IFERROR(IF(MACHACHI[[#This Row],[CODIGO]]="","",VLOOKUP(MACHACHI[[#This Row],[CODIGO]],MAESTRO!A:N,14,FALSE)),"")</f>
        <v>1.5</v>
      </c>
      <c r="N50" s="28">
        <f>+IFERROR(IF(MACHACHI[[#This Row],[CODIGO]]="","",VLOOKUP(MACHACHI[[#This Row],[CODIGO]],MAESTRO!A:P,16,FALSE)),"")</f>
        <v>180</v>
      </c>
      <c r="O50" s="182">
        <f>+IF(MACHACHI[[#This Row],[CODIGO]]="","",MACHACHI[[#This Row],[Fecha Elab.]])</f>
        <v>45561</v>
      </c>
      <c r="P50" s="99" t="str">
        <f t="shared" si="10"/>
        <v>jueves</v>
      </c>
      <c r="Q50" s="183">
        <f>IFERROR(IF(MACHACHI[[#This Row],[CODIGO]]="","",IF(MACHACHI[[#This Row],[Fecha Cad]]="","",(MACHACHI[[#This Row],[Fecha Cad]]-MACHACHI[[#This Row],[VIDA UTIL (Días)]]))+1),"")</f>
        <v>45561</v>
      </c>
      <c r="R50" s="18">
        <v>45740</v>
      </c>
      <c r="S50" s="180">
        <f t="shared" ca="1" si="11"/>
        <v>116</v>
      </c>
      <c r="T50" s="207">
        <f t="shared" ca="1" si="9"/>
        <v>0.64444444444444449</v>
      </c>
      <c r="U50" s="47">
        <v>8</v>
      </c>
      <c r="V50" s="184">
        <f>+IFERROR(IF(MACHACHI[[#This Row],[CODIGO]]="","",MACHACHI[[#This Row],[Stock Actual Unds]]*MACHACHI[[#This Row],[Gramaje]]*MACHACHI[[#This Row],[Conversión]]),"")</f>
        <v>12</v>
      </c>
      <c r="W50" s="45">
        <f>+IFERROR(IF(I49="","",MACHACHI[[#This Row],[Fecha Elab.]]-MACHACHI[[#This Row],[Fecha de Ingreso]]),"")</f>
        <v>0</v>
      </c>
      <c r="X50" s="44">
        <f t="shared" si="8"/>
        <v>1</v>
      </c>
      <c r="Y50" s="236">
        <f>+IFERROR(IF(MACHACHI[[#This Row],[CODIGO]]="","",VLOOKUP(MACHACHI[[#This Row],[CODIGO]],MAESTRO!A:BI,21,FALSE)),"")</f>
        <v>2.2748600000000003</v>
      </c>
      <c r="Z50" s="236">
        <f>+IFERROR(IF(MACHACHI[[#This Row],[CODIGO]]="","",Y50*MACHACHI[[#This Row],[Conversión]]),"")</f>
        <v>2.2748600000000003</v>
      </c>
      <c r="AA50" s="236">
        <f>+IFERROR(IF(MACHACHI[[#This Row],[CODIGO]]="","",MACHACHI[[#This Row],[COSTO UNIT Conv]]*MACHACHI[[#This Row],[Stock Actual Unds]]),"")</f>
        <v>18.198880000000003</v>
      </c>
      <c r="AB50" s="180">
        <f ca="1">+IFERROR(IF(MACHACHI[[#This Row],[CODIGO]]="","",$J$3-O50),"")</f>
        <v>63</v>
      </c>
      <c r="AC50" s="35" t="str">
        <f ca="1">IF(MACHACHI[[#This Row],[CODIGO]]="","",IF(S50&lt;=0,"CADUCADO",IF(AND(S50&gt;0,S50&lt;=21),"FECHA CORTA",IF(AND(S50&gt;=22,S50&lt;=26),"PROXIMOS FECHA CORTA", "VIGENTE"))))</f>
        <v>VIGENTE</v>
      </c>
      <c r="AD50" s="181">
        <f>+IFERROR(IF(MACHACHI[[#This Row],[CODIGO]]="","",MACHACHI[[#This Row],[Stock Actual Unds]]*MACHACHI[[#This Row],[Gramaje]]*MACHACHI[[#This Row],[Conversión]]),"")/1000</f>
        <v>1.2E-2</v>
      </c>
    </row>
    <row r="51" spans="1:30">
      <c r="A51" s="42" t="str">
        <f>+IFERROR(IF(MACHACHI[[#This Row],[CODIGO]]="","",VLOOKUP(MACHACHI[[#This Row],[CODIGO]],MAESTRO!$A:$J,10,FALSE)),"")</f>
        <v>MULTIEMPAQUE_SG</v>
      </c>
      <c r="B51" s="42" t="str">
        <f>+IFERROR(IF(MACHACHI[[#This Row],[CODIGO]]="","",VLOOKUP(MACHACHI[[#This Row],[CODIGO]],MAESTRO!$A:$Q,17,FALSE)),"")</f>
        <v>POSTRES</v>
      </c>
      <c r="C51" s="42" t="str">
        <f>+IFERROR(IF(MACHACHI[[#This Row],[CODIGO]]="","",VLOOKUP(MACHACHI[[#This Row],[CODIGO]],MAESTRO!$A:$BA,53,FALSE)),"")</f>
        <v xml:space="preserve">Luis Armendariz                         </v>
      </c>
      <c r="D51" s="42" t="str">
        <f>+IFERROR(IF(MACHACHI[[#This Row],[CODIGO]]="","",VLOOKUP(MACHACHI[[#This Row],[CODIGO]],MAESTRO!$A:$D,4,FALSE)),"")</f>
        <v>AREQUIPE ALPINA</v>
      </c>
      <c r="E51" s="42" t="str">
        <f>+IFERROR(IF(MACHACHI[[#This Row],[CODIGO]]="","",VLOOKUP(MACHACHI[[#This Row],[CODIGO]],MAESTRO!$A:$F,6,FALSE)),"")</f>
        <v>AREQUIPE ALPINA</v>
      </c>
      <c r="F51" s="42" t="str">
        <f>IF(MACHACHI[[#This Row],[CODIGO]]="","",$K$6)</f>
        <v>MACHACHI</v>
      </c>
      <c r="G51" s="49">
        <f>IF(MACHACHI[[#This Row],[CODIGO]]="","",7701)</f>
        <v>7701</v>
      </c>
      <c r="H51" s="49">
        <f>IF(MACHACHI[[#This Row],[CODIGO]]="","",1080)</f>
        <v>1080</v>
      </c>
      <c r="I51" s="256" t="s">
        <v>850</v>
      </c>
      <c r="J51" s="25" t="str">
        <f>IFERROR((VLOOKUP(MACHACHI[[#This Row],[CODIGO]],MAESTRO!A:B,2,FALSE)),"")</f>
        <v>FOURPACK AREQUIPE Y PRETZELS 75 GR</v>
      </c>
      <c r="K51" s="47">
        <v>150</v>
      </c>
      <c r="L51" s="38">
        <f>+IFERROR(IF(MACHACHI[[#This Row],[CODIGO]]="","",VLOOKUP(MACHACHI[[#This Row],[CODIGO]],MAESTRO!$A:$BF,58,FALSE)),"")</f>
        <v>1</v>
      </c>
      <c r="M51" s="27">
        <f>+IFERROR(IF(MACHACHI[[#This Row],[CODIGO]]="","",VLOOKUP(MACHACHI[[#This Row],[CODIGO]],MAESTRO!A:N,14,FALSE)),"")</f>
        <v>0.3</v>
      </c>
      <c r="N51" s="28">
        <f>+IFERROR(IF(MACHACHI[[#This Row],[CODIGO]]="","",VLOOKUP(MACHACHI[[#This Row],[CODIGO]],MAESTRO!A:P,16,FALSE)),"")</f>
        <v>180</v>
      </c>
      <c r="O51" s="182">
        <f>+IF(MACHACHI[[#This Row],[CODIGO]]="","",MACHACHI[[#This Row],[Fecha Elab.]])</f>
        <v>45588</v>
      </c>
      <c r="P51" s="99" t="str">
        <f t="shared" si="10"/>
        <v>miércoles</v>
      </c>
      <c r="Q51" s="183">
        <f>IFERROR(IF(MACHACHI[[#This Row],[CODIGO]]="","",IF(MACHACHI[[#This Row],[Fecha Cad]]="","",(MACHACHI[[#This Row],[Fecha Cad]]-MACHACHI[[#This Row],[VIDA UTIL (Días)]]))+1),"")</f>
        <v>45588</v>
      </c>
      <c r="R51" s="18">
        <v>45767</v>
      </c>
      <c r="S51" s="180">
        <f t="shared" ca="1" si="11"/>
        <v>143</v>
      </c>
      <c r="T51" s="207">
        <f t="shared" ca="1" si="9"/>
        <v>0.7944444444444444</v>
      </c>
      <c r="U51" s="47">
        <v>150</v>
      </c>
      <c r="V51" s="184">
        <f>+IFERROR(IF(MACHACHI[[#This Row],[CODIGO]]="","",MACHACHI[[#This Row],[Stock Actual Unds]]*MACHACHI[[#This Row],[Gramaje]]*MACHACHI[[#This Row],[Conversión]]),"")</f>
        <v>45</v>
      </c>
      <c r="W51" s="45">
        <f>+IFERROR(IF(I50="","",MACHACHI[[#This Row],[Fecha Elab.]]-MACHACHI[[#This Row],[Fecha de Ingreso]]),"")</f>
        <v>0</v>
      </c>
      <c r="X51" s="44">
        <f t="shared" si="8"/>
        <v>1</v>
      </c>
      <c r="Y51" s="236">
        <f>+IFERROR(IF(MACHACHI[[#This Row],[CODIGO]]="","",VLOOKUP(MACHACHI[[#This Row],[CODIGO]],MAESTRO!A:BI,21,FALSE)),"")</f>
        <v>2.5274799999999997</v>
      </c>
      <c r="Z51" s="236">
        <f>+IFERROR(IF(MACHACHI[[#This Row],[CODIGO]]="","",Y51*MACHACHI[[#This Row],[Conversión]]),"")</f>
        <v>2.5274799999999997</v>
      </c>
      <c r="AA51" s="236">
        <f>+IFERROR(IF(MACHACHI[[#This Row],[CODIGO]]="","",MACHACHI[[#This Row],[COSTO UNIT Conv]]*MACHACHI[[#This Row],[Stock Actual Unds]]),"")</f>
        <v>379.12199999999996</v>
      </c>
      <c r="AB51" s="180">
        <f ca="1">+IFERROR(IF(MACHACHI[[#This Row],[CODIGO]]="","",$J$3-O51),"")</f>
        <v>36</v>
      </c>
      <c r="AC51" s="35" t="str">
        <f ca="1">IF(MACHACHI[[#This Row],[CODIGO]]="","",IF(S51&lt;=0,"CADUCADO",IF(AND(S51&gt;0,S51&lt;=21),"FECHA CORTA",IF(AND(S51&gt;=22,S51&lt;=26),"PROXIMOS FECHA CORTA", "VIGENTE"))))</f>
        <v>VIGENTE</v>
      </c>
      <c r="AD51" s="181">
        <f>+IFERROR(IF(MACHACHI[[#This Row],[CODIGO]]="","",MACHACHI[[#This Row],[Stock Actual Unds]]*MACHACHI[[#This Row],[Gramaje]]*MACHACHI[[#This Row],[Conversión]]),"")/1000</f>
        <v>4.4999999999999998E-2</v>
      </c>
    </row>
    <row r="52" spans="1:30">
      <c r="A52" s="42" t="str">
        <f>+IFERROR(IF(MACHACHI[[#This Row],[CODIGO]]="","",VLOOKUP(MACHACHI[[#This Row],[CODIGO]],MAESTRO!$A:$J,10,FALSE)),"")</f>
        <v>MULTIEMPAQUE_SG</v>
      </c>
      <c r="B52" s="42" t="str">
        <f>+IFERROR(IF(MACHACHI[[#This Row],[CODIGO]]="","",VLOOKUP(MACHACHI[[#This Row],[CODIGO]],MAESTRO!$A:$Q,17,FALSE)),"")</f>
        <v>POSTRES</v>
      </c>
      <c r="C52" s="42" t="str">
        <f>+IFERROR(IF(MACHACHI[[#This Row],[CODIGO]]="","",VLOOKUP(MACHACHI[[#This Row],[CODIGO]],MAESTRO!$A:$BA,53,FALSE)),"")</f>
        <v xml:space="preserve">Luis Armendariz                         </v>
      </c>
      <c r="D52" s="42" t="str">
        <f>+IFERROR(IF(MACHACHI[[#This Row],[CODIGO]]="","",VLOOKUP(MACHACHI[[#This Row],[CODIGO]],MAESTRO!$A:$D,4,FALSE)),"")</f>
        <v>AREQUIPE ALPINA</v>
      </c>
      <c r="E52" s="42" t="str">
        <f>+IFERROR(IF(MACHACHI[[#This Row],[CODIGO]]="","",VLOOKUP(MACHACHI[[#This Row],[CODIGO]],MAESTRO!$A:$F,6,FALSE)),"")</f>
        <v>AREQUIPE ALPINA</v>
      </c>
      <c r="F52" s="42" t="str">
        <f>IF(MACHACHI[[#This Row],[CODIGO]]="","",$K$6)</f>
        <v>MACHACHI</v>
      </c>
      <c r="G52" s="49">
        <f>IF(MACHACHI[[#This Row],[CODIGO]]="","",7701)</f>
        <v>7701</v>
      </c>
      <c r="H52" s="49">
        <f>IF(MACHACHI[[#This Row],[CODIGO]]="","",1080)</f>
        <v>1080</v>
      </c>
      <c r="I52" s="256" t="s">
        <v>850</v>
      </c>
      <c r="J52" s="25" t="str">
        <f>IFERROR((VLOOKUP(MACHACHI[[#This Row],[CODIGO]],MAESTRO!A:B,2,FALSE)),"")</f>
        <v>FOURPACK AREQUIPE Y PRETZELS 75 GR</v>
      </c>
      <c r="K52" s="47">
        <v>135</v>
      </c>
      <c r="L52" s="38">
        <f>+IFERROR(IF(MACHACHI[[#This Row],[CODIGO]]="","",VLOOKUP(MACHACHI[[#This Row],[CODIGO]],MAESTRO!$A:$BF,58,FALSE)),"")</f>
        <v>1</v>
      </c>
      <c r="M52" s="27">
        <f>+IFERROR(IF(MACHACHI[[#This Row],[CODIGO]]="","",VLOOKUP(MACHACHI[[#This Row],[CODIGO]],MAESTRO!A:N,14,FALSE)),"")</f>
        <v>0.3</v>
      </c>
      <c r="N52" s="28">
        <f>+IFERROR(IF(MACHACHI[[#This Row],[CODIGO]]="","",VLOOKUP(MACHACHI[[#This Row],[CODIGO]],MAESTRO!A:P,16,FALSE)),"")</f>
        <v>180</v>
      </c>
      <c r="O52" s="182">
        <f>+IF(MACHACHI[[#This Row],[CODIGO]]="","",MACHACHI[[#This Row],[Fecha Elab.]])</f>
        <v>45597</v>
      </c>
      <c r="P52" s="99" t="str">
        <f t="shared" si="10"/>
        <v>viernes</v>
      </c>
      <c r="Q52" s="183">
        <f>IFERROR(IF(MACHACHI[[#This Row],[CODIGO]]="","",IF(MACHACHI[[#This Row],[Fecha Cad]]="","",(MACHACHI[[#This Row],[Fecha Cad]]-MACHACHI[[#This Row],[VIDA UTIL (Días)]]))+1),"")</f>
        <v>45597</v>
      </c>
      <c r="R52" s="18">
        <v>45776</v>
      </c>
      <c r="S52" s="180">
        <f t="shared" ca="1" si="11"/>
        <v>152</v>
      </c>
      <c r="T52" s="207">
        <f t="shared" ca="1" si="9"/>
        <v>0.84444444444444444</v>
      </c>
      <c r="U52" s="47">
        <v>135</v>
      </c>
      <c r="V52" s="184">
        <f>+IFERROR(IF(MACHACHI[[#This Row],[CODIGO]]="","",MACHACHI[[#This Row],[Stock Actual Unds]]*MACHACHI[[#This Row],[Gramaje]]*MACHACHI[[#This Row],[Conversión]]),"")</f>
        <v>40.5</v>
      </c>
      <c r="W52" s="45">
        <f>+IFERROR(IF(I51="","",MACHACHI[[#This Row],[Fecha Elab.]]-MACHACHI[[#This Row],[Fecha de Ingreso]]),"")</f>
        <v>0</v>
      </c>
      <c r="X52" s="44">
        <f t="shared" si="8"/>
        <v>1</v>
      </c>
      <c r="Y52" s="236">
        <f>+IFERROR(IF(MACHACHI[[#This Row],[CODIGO]]="","",VLOOKUP(MACHACHI[[#This Row],[CODIGO]],MAESTRO!A:BI,21,FALSE)),"")</f>
        <v>2.5274799999999997</v>
      </c>
      <c r="Z52" s="236">
        <f>+IFERROR(IF(MACHACHI[[#This Row],[CODIGO]]="","",Y52*MACHACHI[[#This Row],[Conversión]]),"")</f>
        <v>2.5274799999999997</v>
      </c>
      <c r="AA52" s="236">
        <f>+IFERROR(IF(MACHACHI[[#This Row],[CODIGO]]="","",MACHACHI[[#This Row],[COSTO UNIT Conv]]*MACHACHI[[#This Row],[Stock Actual Unds]]),"")</f>
        <v>341.20979999999997</v>
      </c>
      <c r="AB52" s="180">
        <f ca="1">+IFERROR(IF(MACHACHI[[#This Row],[CODIGO]]="","",$J$3-O52),"")</f>
        <v>27</v>
      </c>
      <c r="AC52" s="35" t="str">
        <f ca="1">IF(MACHACHI[[#This Row],[CODIGO]]="","",IF(S52&lt;=0,"CADUCADO",IF(AND(S52&gt;0,S52&lt;=21),"FECHA CORTA",IF(AND(S52&gt;=22,S52&lt;=26),"PROXIMOS FECHA CORTA", "VIGENTE"))))</f>
        <v>VIGENTE</v>
      </c>
      <c r="AD52" s="181">
        <f>+IFERROR(IF(MACHACHI[[#This Row],[CODIGO]]="","",MACHACHI[[#This Row],[Stock Actual Unds]]*MACHACHI[[#This Row],[Gramaje]]*MACHACHI[[#This Row],[Conversión]]),"")/1000</f>
        <v>4.0500000000000001E-2</v>
      </c>
    </row>
    <row r="53" spans="1:30">
      <c r="A53" s="42" t="str">
        <f>+IFERROR(IF(MACHACHI[[#This Row],[CODIGO]]="","",VLOOKUP(MACHACHI[[#This Row],[CODIGO]],MAESTRO!$A:$J,10,FALSE)),"")</f>
        <v>MULTIEMPAQUE_SG</v>
      </c>
      <c r="B53" s="42" t="str">
        <f>+IFERROR(IF(MACHACHI[[#This Row],[CODIGO]]="","",VLOOKUP(MACHACHI[[#This Row],[CODIGO]],MAESTRO!$A:$Q,17,FALSE)),"")</f>
        <v>POSTRES</v>
      </c>
      <c r="C53" s="42" t="str">
        <f>+IFERROR(IF(MACHACHI[[#This Row],[CODIGO]]="","",VLOOKUP(MACHACHI[[#This Row],[CODIGO]],MAESTRO!$A:$BA,53,FALSE)),"")</f>
        <v xml:space="preserve">Luis Armendariz                         </v>
      </c>
      <c r="D53" s="42" t="str">
        <f>+IFERROR(IF(MACHACHI[[#This Row],[CODIGO]]="","",VLOOKUP(MACHACHI[[#This Row],[CODIGO]],MAESTRO!$A:$D,4,FALSE)),"")</f>
        <v>AREQUIPE ALPINA</v>
      </c>
      <c r="E53" s="42" t="str">
        <f>+IFERROR(IF(MACHACHI[[#This Row],[CODIGO]]="","",VLOOKUP(MACHACHI[[#This Row],[CODIGO]],MAESTRO!$A:$F,6,FALSE)),"")</f>
        <v>AREQUIPE ALPINA</v>
      </c>
      <c r="F53" s="42" t="str">
        <f>IF(MACHACHI[[#This Row],[CODIGO]]="","",$K$6)</f>
        <v>MACHACHI</v>
      </c>
      <c r="G53" s="49">
        <f>IF(MACHACHI[[#This Row],[CODIGO]]="","",7701)</f>
        <v>7701</v>
      </c>
      <c r="H53" s="49">
        <f>IF(MACHACHI[[#This Row],[CODIGO]]="","",1080)</f>
        <v>1080</v>
      </c>
      <c r="I53" s="256" t="s">
        <v>850</v>
      </c>
      <c r="J53" s="25" t="str">
        <f>IFERROR((VLOOKUP(MACHACHI[[#This Row],[CODIGO]],MAESTRO!A:B,2,FALSE)),"")</f>
        <v>FOURPACK AREQUIPE Y PRETZELS 75 GR</v>
      </c>
      <c r="K53" s="47">
        <v>161</v>
      </c>
      <c r="L53" s="38">
        <f>+IFERROR(IF(MACHACHI[[#This Row],[CODIGO]]="","",VLOOKUP(MACHACHI[[#This Row],[CODIGO]],MAESTRO!$A:$BF,58,FALSE)),"")</f>
        <v>1</v>
      </c>
      <c r="M53" s="27">
        <f>+IFERROR(IF(MACHACHI[[#This Row],[CODIGO]]="","",VLOOKUP(MACHACHI[[#This Row],[CODIGO]],MAESTRO!A:N,14,FALSE)),"")</f>
        <v>0.3</v>
      </c>
      <c r="N53" s="28">
        <f>+IFERROR(IF(MACHACHI[[#This Row],[CODIGO]]="","",VLOOKUP(MACHACHI[[#This Row],[CODIGO]],MAESTRO!A:P,16,FALSE)),"")</f>
        <v>180</v>
      </c>
      <c r="O53" s="182">
        <f>+IF(MACHACHI[[#This Row],[CODIGO]]="","",MACHACHI[[#This Row],[Fecha Elab.]])</f>
        <v>45605</v>
      </c>
      <c r="P53" s="99" t="str">
        <f t="shared" si="10"/>
        <v>sábado</v>
      </c>
      <c r="Q53" s="183">
        <f>IFERROR(IF(MACHACHI[[#This Row],[CODIGO]]="","",IF(MACHACHI[[#This Row],[Fecha Cad]]="","",(MACHACHI[[#This Row],[Fecha Cad]]-MACHACHI[[#This Row],[VIDA UTIL (Días)]]))+1),"")</f>
        <v>45605</v>
      </c>
      <c r="R53" s="18">
        <v>45784</v>
      </c>
      <c r="S53" s="180">
        <f t="shared" ca="1" si="11"/>
        <v>160</v>
      </c>
      <c r="T53" s="207">
        <f t="shared" ca="1" si="9"/>
        <v>0.88888888888888884</v>
      </c>
      <c r="U53" s="47">
        <v>161</v>
      </c>
      <c r="V53" s="184">
        <f>+IFERROR(IF(MACHACHI[[#This Row],[CODIGO]]="","",MACHACHI[[#This Row],[Stock Actual Unds]]*MACHACHI[[#This Row],[Gramaje]]*MACHACHI[[#This Row],[Conversión]]),"")</f>
        <v>48.3</v>
      </c>
      <c r="W53" s="45">
        <f>+IFERROR(IF(I52="","",MACHACHI[[#This Row],[Fecha Elab.]]-MACHACHI[[#This Row],[Fecha de Ingreso]]),"")</f>
        <v>0</v>
      </c>
      <c r="X53" s="44">
        <f t="shared" si="8"/>
        <v>1</v>
      </c>
      <c r="Y53" s="236">
        <f>+IFERROR(IF(MACHACHI[[#This Row],[CODIGO]]="","",VLOOKUP(MACHACHI[[#This Row],[CODIGO]],MAESTRO!A:BI,21,FALSE)),"")</f>
        <v>2.5274799999999997</v>
      </c>
      <c r="Z53" s="236">
        <f>+IFERROR(IF(MACHACHI[[#This Row],[CODIGO]]="","",Y53*MACHACHI[[#This Row],[Conversión]]),"")</f>
        <v>2.5274799999999997</v>
      </c>
      <c r="AA53" s="236">
        <f>+IFERROR(IF(MACHACHI[[#This Row],[CODIGO]]="","",MACHACHI[[#This Row],[COSTO UNIT Conv]]*MACHACHI[[#This Row],[Stock Actual Unds]]),"")</f>
        <v>406.92427999999995</v>
      </c>
      <c r="AB53" s="180">
        <f ca="1">+IFERROR(IF(MACHACHI[[#This Row],[CODIGO]]="","",$J$3-O53),"")</f>
        <v>19</v>
      </c>
      <c r="AC53" s="35" t="str">
        <f ca="1">IF(MACHACHI[[#This Row],[CODIGO]]="","",IF(S53&lt;=0,"CADUCADO",IF(AND(S53&gt;0,S53&lt;=21),"FECHA CORTA",IF(AND(S53&gt;=22,S53&lt;=26),"PROXIMOS FECHA CORTA", "VIGENTE"))))</f>
        <v>VIGENTE</v>
      </c>
      <c r="AD53" s="181">
        <f>+IFERROR(IF(MACHACHI[[#This Row],[CODIGO]]="","",MACHACHI[[#This Row],[Stock Actual Unds]]*MACHACHI[[#This Row],[Gramaje]]*MACHACHI[[#This Row],[Conversión]]),"")/1000</f>
        <v>4.8299999999999996E-2</v>
      </c>
    </row>
    <row r="54" spans="1:30">
      <c r="A54" s="42" t="str">
        <f>+IFERROR(IF(MACHACHI[[#This Row],[CODIGO]]="","",VLOOKUP(MACHACHI[[#This Row],[CODIGO]],MAESTRO!$A:$J,10,FALSE)),"")</f>
        <v>MAQUILA_SG</v>
      </c>
      <c r="B54" s="42" t="str">
        <f>+IFERROR(IF(MACHACHI[[#This Row],[CODIGO]]="","",VLOOKUP(MACHACHI[[#This Row],[CODIGO]],MAESTRO!$A:$Q,17,FALSE)),"")</f>
        <v>POSTRES</v>
      </c>
      <c r="C54" s="42" t="str">
        <f>+IFERROR(IF(MACHACHI[[#This Row],[CODIGO]]="","",VLOOKUP(MACHACHI[[#This Row],[CODIGO]],MAESTRO!$A:$BA,53,FALSE)),"")</f>
        <v xml:space="preserve">Luis Armendariz                         </v>
      </c>
      <c r="D54" s="42" t="str">
        <f>+IFERROR(IF(MACHACHI[[#This Row],[CODIGO]]="","",VLOOKUP(MACHACHI[[#This Row],[CODIGO]],MAESTRO!$A:$D,4,FALSE)),"")</f>
        <v>AREQUIPE ALPINA</v>
      </c>
      <c r="E54" s="42" t="str">
        <f>+IFERROR(IF(MACHACHI[[#This Row],[CODIGO]]="","",VLOOKUP(MACHACHI[[#This Row],[CODIGO]],MAESTRO!$A:$F,6,FALSE)),"")</f>
        <v>AREQUIPE ALPINA</v>
      </c>
      <c r="F54" s="42" t="str">
        <f>IF(MACHACHI[[#This Row],[CODIGO]]="","",$K$6)</f>
        <v>MACHACHI</v>
      </c>
      <c r="G54" s="49">
        <f>IF(MACHACHI[[#This Row],[CODIGO]]="","",7701)</f>
        <v>7701</v>
      </c>
      <c r="H54" s="49">
        <f>IF(MACHACHI[[#This Row],[CODIGO]]="","",1080)</f>
        <v>1080</v>
      </c>
      <c r="I54" s="256" t="s">
        <v>846</v>
      </c>
      <c r="J54" s="25" t="str">
        <f>IFERROR((VLOOKUP(MACHACHI[[#This Row],[CODIGO]],MAESTRO!A:B,2,FALSE)),"")</f>
        <v>AREQUIPE Y PRETZEL STICKS 75 GRAMOS</v>
      </c>
      <c r="K54" s="47">
        <v>2126</v>
      </c>
      <c r="L54" s="38">
        <f>+IFERROR(IF(MACHACHI[[#This Row],[CODIGO]]="","",VLOOKUP(MACHACHI[[#This Row],[CODIGO]],MAESTRO!$A:$BF,58,FALSE)),"")</f>
        <v>1</v>
      </c>
      <c r="M54" s="27">
        <f>+IFERROR(IF(MACHACHI[[#This Row],[CODIGO]]="","",VLOOKUP(MACHACHI[[#This Row],[CODIGO]],MAESTRO!A:N,14,FALSE)),"")</f>
        <v>7.4999999999999997E-2</v>
      </c>
      <c r="N54" s="28">
        <f>+IFERROR(IF(MACHACHI[[#This Row],[CODIGO]]="","",VLOOKUP(MACHACHI[[#This Row],[CODIGO]],MAESTRO!A:P,16,FALSE)),"")</f>
        <v>180</v>
      </c>
      <c r="O54" s="182">
        <f>+IF(MACHACHI[[#This Row],[CODIGO]]="","",MACHACHI[[#This Row],[Fecha Elab.]])</f>
        <v>45597</v>
      </c>
      <c r="P54" s="99" t="str">
        <f t="shared" si="10"/>
        <v>viernes</v>
      </c>
      <c r="Q54" s="183">
        <f>IFERROR(IF(MACHACHI[[#This Row],[CODIGO]]="","",IF(MACHACHI[[#This Row],[Fecha Cad]]="","",(MACHACHI[[#This Row],[Fecha Cad]]-MACHACHI[[#This Row],[VIDA UTIL (Días)]]))+1),"")</f>
        <v>45597</v>
      </c>
      <c r="R54" s="18">
        <v>45776</v>
      </c>
      <c r="S54" s="180">
        <f t="shared" ca="1" si="11"/>
        <v>152</v>
      </c>
      <c r="T54" s="207">
        <f t="shared" ca="1" si="9"/>
        <v>0.84444444444444444</v>
      </c>
      <c r="U54" s="47">
        <v>2126</v>
      </c>
      <c r="V54" s="184">
        <f>+IFERROR(IF(MACHACHI[[#This Row],[CODIGO]]="","",MACHACHI[[#This Row],[Stock Actual Unds]]*MACHACHI[[#This Row],[Gramaje]]*MACHACHI[[#This Row],[Conversión]]),"")</f>
        <v>159.44999999999999</v>
      </c>
      <c r="W54" s="45">
        <f>+IFERROR(IF(I53="","",MACHACHI[[#This Row],[Fecha Elab.]]-MACHACHI[[#This Row],[Fecha de Ingreso]]),"")</f>
        <v>0</v>
      </c>
      <c r="X54" s="44">
        <f t="shared" si="8"/>
        <v>1</v>
      </c>
      <c r="Y54" s="236">
        <f>+IFERROR(IF(MACHACHI[[#This Row],[CODIGO]]="","",VLOOKUP(MACHACHI[[#This Row],[CODIGO]],MAESTRO!A:BI,21,FALSE)),"")</f>
        <v>0.61960000000000004</v>
      </c>
      <c r="Z54" s="236">
        <f>+IFERROR(IF(MACHACHI[[#This Row],[CODIGO]]="","",Y54*MACHACHI[[#This Row],[Conversión]]),"")</f>
        <v>0.61960000000000004</v>
      </c>
      <c r="AA54" s="236">
        <f>+IFERROR(IF(MACHACHI[[#This Row],[CODIGO]]="","",MACHACHI[[#This Row],[COSTO UNIT Conv]]*MACHACHI[[#This Row],[Stock Actual Unds]]),"")</f>
        <v>1317.2696000000001</v>
      </c>
      <c r="AB54" s="180">
        <f ca="1">+IFERROR(IF(MACHACHI[[#This Row],[CODIGO]]="","",$J$3-O54),"")</f>
        <v>27</v>
      </c>
      <c r="AC54" s="35" t="str">
        <f ca="1">IF(MACHACHI[[#This Row],[CODIGO]]="","",IF(S54&lt;=0,"CADUCADO",IF(AND(S54&gt;0,S54&lt;=21),"FECHA CORTA",IF(AND(S54&gt;=22,S54&lt;=26),"PROXIMOS FECHA CORTA", "VIGENTE"))))</f>
        <v>VIGENTE</v>
      </c>
      <c r="AD54" s="181">
        <f>+IFERROR(IF(MACHACHI[[#This Row],[CODIGO]]="","",MACHACHI[[#This Row],[Stock Actual Unds]]*MACHACHI[[#This Row],[Gramaje]]*MACHACHI[[#This Row],[Conversión]]),"")/1000</f>
        <v>0.15944999999999998</v>
      </c>
    </row>
    <row r="55" spans="1:30">
      <c r="A55" s="42" t="str">
        <f>+IFERROR(IF(MACHACHI[[#This Row],[CODIGO]]="","",VLOOKUP(MACHACHI[[#This Row],[CODIGO]],MAESTRO!$A:$J,10,FALSE)),"")</f>
        <v>MAQUILA</v>
      </c>
      <c r="B55" s="42" t="str">
        <f>+IFERROR(IF(MACHACHI[[#This Row],[CODIGO]]="","",VLOOKUP(MACHACHI[[#This Row],[CODIGO]],MAESTRO!$A:$Q,17,FALSE)),"")</f>
        <v>QUESOS Y GRASAS</v>
      </c>
      <c r="C55" s="42" t="str">
        <f>+IFERROR(IF(MACHACHI[[#This Row],[CODIGO]]="","",VLOOKUP(MACHACHI[[#This Row],[CODIGO]],MAESTRO!$A:$BA,53,FALSE)),"")</f>
        <v xml:space="preserve">Esteban Montenegro                      </v>
      </c>
      <c r="D55" s="42" t="str">
        <f>+IFERROR(IF(MACHACHI[[#This Row],[CODIGO]]="","",VLOOKUP(MACHACHI[[#This Row],[CODIGO]],MAESTRO!$A:$D,4,FALSE)),"")</f>
        <v>CREMA DE LECHE</v>
      </c>
      <c r="E55" s="42" t="str">
        <f>+IFERROR(IF(MACHACHI[[#This Row],[CODIGO]]="","",VLOOKUP(MACHACHI[[#This Row],[CODIGO]],MAESTRO!$A:$F,6,FALSE)),"")</f>
        <v>CREMA DE LECHE BOLSA</v>
      </c>
      <c r="F55" s="42" t="str">
        <f>IF(MACHACHI[[#This Row],[CODIGO]]="","",$K$6)</f>
        <v>MACHACHI</v>
      </c>
      <c r="G55" s="49">
        <f>IF(MACHACHI[[#This Row],[CODIGO]]="","",7701)</f>
        <v>7701</v>
      </c>
      <c r="H55" s="49">
        <f>IF(MACHACHI[[#This Row],[CODIGO]]="","",1080)</f>
        <v>1080</v>
      </c>
      <c r="I55" s="256" t="s">
        <v>3511</v>
      </c>
      <c r="J55" s="25" t="str">
        <f>IFERROR((VLOOKUP(MACHACHI[[#This Row],[CODIGO]],MAESTRO!A:B,2,FALSE)),"")</f>
        <v>CREMA DE LECHE ALPINA 200G</v>
      </c>
      <c r="K55" s="47">
        <v>15960</v>
      </c>
      <c r="L55" s="38">
        <f>+IFERROR(IF(MACHACHI[[#This Row],[CODIGO]]="","",VLOOKUP(MACHACHI[[#This Row],[CODIGO]],MAESTRO!$A:$BF,58,FALSE)),"")</f>
        <v>1</v>
      </c>
      <c r="M55" s="27">
        <f>+IFERROR(IF(MACHACHI[[#This Row],[CODIGO]]="","",VLOOKUP(MACHACHI[[#This Row],[CODIGO]],MAESTRO!A:N,14,FALSE)),"")</f>
        <v>0.2</v>
      </c>
      <c r="N55" s="28">
        <f>+IFERROR(IF(MACHACHI[[#This Row],[CODIGO]]="","",VLOOKUP(MACHACHI[[#This Row],[CODIGO]],MAESTRO!A:P,16,FALSE)),"")</f>
        <v>70</v>
      </c>
      <c r="O55" s="182">
        <f>+IF(MACHACHI[[#This Row],[CODIGO]]="","",MACHACHI[[#This Row],[Fecha Elab.]])</f>
        <v>45609</v>
      </c>
      <c r="P55" s="99" t="str">
        <f t="shared" si="10"/>
        <v>miércoles</v>
      </c>
      <c r="Q55" s="183">
        <f>IFERROR(IF(MACHACHI[[#This Row],[CODIGO]]="","",IF(MACHACHI[[#This Row],[Fecha Cad]]="","",(MACHACHI[[#This Row],[Fecha Cad]]-MACHACHI[[#This Row],[VIDA UTIL (Días)]]))+1),"")</f>
        <v>45609</v>
      </c>
      <c r="R55" s="18">
        <v>45678</v>
      </c>
      <c r="S55" s="180">
        <f t="shared" ca="1" si="11"/>
        <v>54</v>
      </c>
      <c r="T55" s="207">
        <f t="shared" ca="1" si="9"/>
        <v>0.77142857142857146</v>
      </c>
      <c r="U55" s="47">
        <v>15960</v>
      </c>
      <c r="V55" s="184">
        <f>+IFERROR(IF(MACHACHI[[#This Row],[CODIGO]]="","",MACHACHI[[#This Row],[Stock Actual Unds]]*MACHACHI[[#This Row],[Gramaje]]*MACHACHI[[#This Row],[Conversión]]),"")</f>
        <v>3192</v>
      </c>
      <c r="W55" s="45">
        <f>+IFERROR(IF(I54="","",MACHACHI[[#This Row],[Fecha Elab.]]-MACHACHI[[#This Row],[Fecha de Ingreso]]),"")</f>
        <v>0</v>
      </c>
      <c r="X55" s="44">
        <f t="shared" si="8"/>
        <v>1</v>
      </c>
      <c r="Y55" s="236">
        <f>+IFERROR(IF(MACHACHI[[#This Row],[CODIGO]]="","",VLOOKUP(MACHACHI[[#This Row],[CODIGO]],MAESTRO!A:BI,21,FALSE)),"")</f>
        <v>0.59135000000000004</v>
      </c>
      <c r="Z55" s="236">
        <f>+IFERROR(IF(MACHACHI[[#This Row],[CODIGO]]="","",Y55*MACHACHI[[#This Row],[Conversión]]),"")</f>
        <v>0.59135000000000004</v>
      </c>
      <c r="AA55" s="236">
        <f>+IFERROR(IF(MACHACHI[[#This Row],[CODIGO]]="","",MACHACHI[[#This Row],[COSTO UNIT Conv]]*MACHACHI[[#This Row],[Stock Actual Unds]]),"")</f>
        <v>9437.9459999999999</v>
      </c>
      <c r="AB55" s="180">
        <f ca="1">+IFERROR(IF(MACHACHI[[#This Row],[CODIGO]]="","",$J$3-O55),"")</f>
        <v>15</v>
      </c>
      <c r="AC55" s="35" t="str">
        <f ca="1">IF(MACHACHI[[#This Row],[CODIGO]]="","",IF(S55&lt;=0,"CADUCADO",IF(AND(S55&gt;0,S55&lt;=21),"FECHA CORTA",IF(AND(S55&gt;=22,S55&lt;=26),"PROXIMOS FECHA CORTA", "VIGENTE"))))</f>
        <v>VIGENTE</v>
      </c>
      <c r="AD55" s="181">
        <f>+IFERROR(IF(MACHACHI[[#This Row],[CODIGO]]="","",MACHACHI[[#This Row],[Stock Actual Unds]]*MACHACHI[[#This Row],[Gramaje]]*MACHACHI[[#This Row],[Conversión]]),"")/1000</f>
        <v>3.1920000000000002</v>
      </c>
    </row>
    <row r="56" spans="1:30">
      <c r="A56" s="42" t="str">
        <f>+IFERROR(IF(MACHACHI[[#This Row],[CODIGO]]="","",VLOOKUP(MACHACHI[[#This Row],[CODIGO]],MAESTRO!$A:$J,10,FALSE)),"")</f>
        <v>MAQUILA</v>
      </c>
      <c r="B56" s="42" t="str">
        <f>+IFERROR(IF(MACHACHI[[#This Row],[CODIGO]]="","",VLOOKUP(MACHACHI[[#This Row],[CODIGO]],MAESTRO!$A:$Q,17,FALSE)),"")</f>
        <v>QUESOS Y GRASAS</v>
      </c>
      <c r="C56" s="42" t="str">
        <f>+IFERROR(IF(MACHACHI[[#This Row],[CODIGO]]="","",VLOOKUP(MACHACHI[[#This Row],[CODIGO]],MAESTRO!$A:$BA,53,FALSE)),"")</f>
        <v xml:space="preserve">Esteban Montenegro                      </v>
      </c>
      <c r="D56" s="42" t="str">
        <f>+IFERROR(IF(MACHACHI[[#This Row],[CODIGO]]="","",VLOOKUP(MACHACHI[[#This Row],[CODIGO]],MAESTRO!$A:$D,4,FALSE)),"")</f>
        <v>CREMA DE LECHE</v>
      </c>
      <c r="E56" s="42" t="str">
        <f>+IFERROR(IF(MACHACHI[[#This Row],[CODIGO]]="","",VLOOKUP(MACHACHI[[#This Row],[CODIGO]],MAESTRO!$A:$F,6,FALSE)),"")</f>
        <v>CREMA DE LECHE BOLSA</v>
      </c>
      <c r="F56" s="42" t="str">
        <f>IF(MACHACHI[[#This Row],[CODIGO]]="","",$K$6)</f>
        <v>MACHACHI</v>
      </c>
      <c r="G56" s="49">
        <f>IF(MACHACHI[[#This Row],[CODIGO]]="","",7701)</f>
        <v>7701</v>
      </c>
      <c r="H56" s="49">
        <f>IF(MACHACHI[[#This Row],[CODIGO]]="","",1080)</f>
        <v>1080</v>
      </c>
      <c r="I56" s="256" t="s">
        <v>3511</v>
      </c>
      <c r="J56" s="25" t="str">
        <f>IFERROR((VLOOKUP(MACHACHI[[#This Row],[CODIGO]],MAESTRO!A:B,2,FALSE)),"")</f>
        <v>CREMA DE LECHE ALPINA 200G</v>
      </c>
      <c r="K56" s="47">
        <v>22400</v>
      </c>
      <c r="L56" s="38">
        <f>+IFERROR(IF(MACHACHI[[#This Row],[CODIGO]]="","",VLOOKUP(MACHACHI[[#This Row],[CODIGO]],MAESTRO!$A:$BF,58,FALSE)),"")</f>
        <v>1</v>
      </c>
      <c r="M56" s="27">
        <f>+IFERROR(IF(MACHACHI[[#This Row],[CODIGO]]="","",VLOOKUP(MACHACHI[[#This Row],[CODIGO]],MAESTRO!A:N,14,FALSE)),"")</f>
        <v>0.2</v>
      </c>
      <c r="N56" s="28">
        <f>+IFERROR(IF(MACHACHI[[#This Row],[CODIGO]]="","",VLOOKUP(MACHACHI[[#This Row],[CODIGO]],MAESTRO!A:P,16,FALSE)),"")</f>
        <v>70</v>
      </c>
      <c r="O56" s="182">
        <f>+IF(MACHACHI[[#This Row],[CODIGO]]="","",MACHACHI[[#This Row],[Fecha Elab.]])</f>
        <v>45611</v>
      </c>
      <c r="P56" s="99" t="str">
        <f t="shared" si="10"/>
        <v>viernes</v>
      </c>
      <c r="Q56" s="183">
        <f>IFERROR(IF(MACHACHI[[#This Row],[CODIGO]]="","",IF(MACHACHI[[#This Row],[Fecha Cad]]="","",(MACHACHI[[#This Row],[Fecha Cad]]-MACHACHI[[#This Row],[VIDA UTIL (Días)]]))+1),"")</f>
        <v>45611</v>
      </c>
      <c r="R56" s="18">
        <v>45680</v>
      </c>
      <c r="S56" s="180">
        <f t="shared" ca="1" si="11"/>
        <v>56</v>
      </c>
      <c r="T56" s="207">
        <f t="shared" ca="1" si="9"/>
        <v>0.8</v>
      </c>
      <c r="U56" s="47">
        <v>22400</v>
      </c>
      <c r="V56" s="184">
        <f>+IFERROR(IF(MACHACHI[[#This Row],[CODIGO]]="","",MACHACHI[[#This Row],[Stock Actual Unds]]*MACHACHI[[#This Row],[Gramaje]]*MACHACHI[[#This Row],[Conversión]]),"")</f>
        <v>4480</v>
      </c>
      <c r="W56" s="45">
        <f>+IFERROR(IF(I55="","",MACHACHI[[#This Row],[Fecha Elab.]]-MACHACHI[[#This Row],[Fecha de Ingreso]]),"")</f>
        <v>0</v>
      </c>
      <c r="X56" s="44">
        <f t="shared" si="8"/>
        <v>1</v>
      </c>
      <c r="Y56" s="236">
        <f>+IFERROR(IF(MACHACHI[[#This Row],[CODIGO]]="","",VLOOKUP(MACHACHI[[#This Row],[CODIGO]],MAESTRO!A:BI,21,FALSE)),"")</f>
        <v>0.59135000000000004</v>
      </c>
      <c r="Z56" s="236">
        <f>+IFERROR(IF(MACHACHI[[#This Row],[CODIGO]]="","",Y56*MACHACHI[[#This Row],[Conversión]]),"")</f>
        <v>0.59135000000000004</v>
      </c>
      <c r="AA56" s="236">
        <f>+IFERROR(IF(MACHACHI[[#This Row],[CODIGO]]="","",MACHACHI[[#This Row],[COSTO UNIT Conv]]*MACHACHI[[#This Row],[Stock Actual Unds]]),"")</f>
        <v>13246.240000000002</v>
      </c>
      <c r="AB56" s="180">
        <f ca="1">+IFERROR(IF(MACHACHI[[#This Row],[CODIGO]]="","",$J$3-O56),"")</f>
        <v>13</v>
      </c>
      <c r="AC56" s="35" t="str">
        <f ca="1">IF(MACHACHI[[#This Row],[CODIGO]]="","",IF(S56&lt;=0,"CADUCADO",IF(AND(S56&gt;0,S56&lt;=21),"FECHA CORTA",IF(AND(S56&gt;=22,S56&lt;=26),"PROXIMOS FECHA CORTA", "VIGENTE"))))</f>
        <v>VIGENTE</v>
      </c>
      <c r="AD56" s="181">
        <f>+IFERROR(IF(MACHACHI[[#This Row],[CODIGO]]="","",MACHACHI[[#This Row],[Stock Actual Unds]]*MACHACHI[[#This Row],[Gramaje]]*MACHACHI[[#This Row],[Conversión]]),"")/1000</f>
        <v>4.4800000000000004</v>
      </c>
    </row>
    <row r="57" spans="1:30">
      <c r="A57" s="42" t="str">
        <f>+IFERROR(IF(MACHACHI[[#This Row],[CODIGO]]="","",VLOOKUP(MACHACHI[[#This Row],[CODIGO]],MAESTRO!$A:$J,10,FALSE)),"")</f>
        <v>MAQUILA</v>
      </c>
      <c r="B57" s="42" t="str">
        <f>+IFERROR(IF(MACHACHI[[#This Row],[CODIGO]]="","",VLOOKUP(MACHACHI[[#This Row],[CODIGO]],MAESTRO!$A:$Q,17,FALSE)),"")</f>
        <v>QUESOS Y GRASAS</v>
      </c>
      <c r="C57" s="42" t="str">
        <f>+IFERROR(IF(MACHACHI[[#This Row],[CODIGO]]="","",VLOOKUP(MACHACHI[[#This Row],[CODIGO]],MAESTRO!$A:$BA,53,FALSE)),"")</f>
        <v xml:space="preserve">Esteban Montenegro                      </v>
      </c>
      <c r="D57" s="42" t="str">
        <f>+IFERROR(IF(MACHACHI[[#This Row],[CODIGO]]="","",VLOOKUP(MACHACHI[[#This Row],[CODIGO]],MAESTRO!$A:$D,4,FALSE)),"")</f>
        <v>CREMA DE LECHE</v>
      </c>
      <c r="E57" s="42" t="str">
        <f>+IFERROR(IF(MACHACHI[[#This Row],[CODIGO]]="","",VLOOKUP(MACHACHI[[#This Row],[CODIGO]],MAESTRO!$A:$F,6,FALSE)),"")</f>
        <v>CREMA DE LECHE BOLSA</v>
      </c>
      <c r="F57" s="42" t="str">
        <f>IF(MACHACHI[[#This Row],[CODIGO]]="","",$K$6)</f>
        <v>MACHACHI</v>
      </c>
      <c r="G57" s="49">
        <f>IF(MACHACHI[[#This Row],[CODIGO]]="","",7701)</f>
        <v>7701</v>
      </c>
      <c r="H57" s="49">
        <f>IF(MACHACHI[[#This Row],[CODIGO]]="","",1080)</f>
        <v>1080</v>
      </c>
      <c r="I57" s="256" t="s">
        <v>3511</v>
      </c>
      <c r="J57" s="25" t="str">
        <f>IFERROR((VLOOKUP(MACHACHI[[#This Row],[CODIGO]],MAESTRO!A:B,2,FALSE)),"")</f>
        <v>CREMA DE LECHE ALPINA 200G</v>
      </c>
      <c r="K57" s="47">
        <v>26178</v>
      </c>
      <c r="L57" s="38">
        <f>+IFERROR(IF(MACHACHI[[#This Row],[CODIGO]]="","",VLOOKUP(MACHACHI[[#This Row],[CODIGO]],MAESTRO!$A:$BF,58,FALSE)),"")</f>
        <v>1</v>
      </c>
      <c r="M57" s="27">
        <f>+IFERROR(IF(MACHACHI[[#This Row],[CODIGO]]="","",VLOOKUP(MACHACHI[[#This Row],[CODIGO]],MAESTRO!A:N,14,FALSE)),"")</f>
        <v>0.2</v>
      </c>
      <c r="N57" s="28">
        <f>+IFERROR(IF(MACHACHI[[#This Row],[CODIGO]]="","",VLOOKUP(MACHACHI[[#This Row],[CODIGO]],MAESTRO!A:P,16,FALSE)),"")</f>
        <v>70</v>
      </c>
      <c r="O57" s="182">
        <f>+IF(MACHACHI[[#This Row],[CODIGO]]="","",MACHACHI[[#This Row],[Fecha Elab.]])</f>
        <v>45614</v>
      </c>
      <c r="P57" s="99" t="str">
        <f t="shared" si="10"/>
        <v>lunes</v>
      </c>
      <c r="Q57" s="183">
        <f>IFERROR(IF(MACHACHI[[#This Row],[CODIGO]]="","",IF(MACHACHI[[#This Row],[Fecha Cad]]="","",(MACHACHI[[#This Row],[Fecha Cad]]-MACHACHI[[#This Row],[VIDA UTIL (Días)]]))+1),"")</f>
        <v>45614</v>
      </c>
      <c r="R57" s="18">
        <v>45683</v>
      </c>
      <c r="S57" s="180">
        <f t="shared" ca="1" si="11"/>
        <v>59</v>
      </c>
      <c r="T57" s="207">
        <f t="shared" ca="1" si="9"/>
        <v>0.84285714285714286</v>
      </c>
      <c r="U57" s="47">
        <v>26178</v>
      </c>
      <c r="V57" s="184">
        <f>+IFERROR(IF(MACHACHI[[#This Row],[CODIGO]]="","",MACHACHI[[#This Row],[Stock Actual Unds]]*MACHACHI[[#This Row],[Gramaje]]*MACHACHI[[#This Row],[Conversión]]),"")</f>
        <v>5235.6000000000004</v>
      </c>
      <c r="W57" s="45">
        <f>+IFERROR(IF(I56="","",MACHACHI[[#This Row],[Fecha Elab.]]-MACHACHI[[#This Row],[Fecha de Ingreso]]),"")</f>
        <v>0</v>
      </c>
      <c r="X57" s="44">
        <f t="shared" si="8"/>
        <v>1</v>
      </c>
      <c r="Y57" s="236">
        <f>+IFERROR(IF(MACHACHI[[#This Row],[CODIGO]]="","",VLOOKUP(MACHACHI[[#This Row],[CODIGO]],MAESTRO!A:BI,21,FALSE)),"")</f>
        <v>0.59135000000000004</v>
      </c>
      <c r="Z57" s="236">
        <f>+IFERROR(IF(MACHACHI[[#This Row],[CODIGO]]="","",Y57*MACHACHI[[#This Row],[Conversión]]),"")</f>
        <v>0.59135000000000004</v>
      </c>
      <c r="AA57" s="236">
        <f>+IFERROR(IF(MACHACHI[[#This Row],[CODIGO]]="","",MACHACHI[[#This Row],[COSTO UNIT Conv]]*MACHACHI[[#This Row],[Stock Actual Unds]]),"")</f>
        <v>15480.3603</v>
      </c>
      <c r="AB57" s="180">
        <f ca="1">+IFERROR(IF(MACHACHI[[#This Row],[CODIGO]]="","",$J$3-O57),"")</f>
        <v>10</v>
      </c>
      <c r="AC57" s="35" t="str">
        <f ca="1">IF(MACHACHI[[#This Row],[CODIGO]]="","",IF(S57&lt;=0,"CADUCADO",IF(AND(S57&gt;0,S57&lt;=21),"FECHA CORTA",IF(AND(S57&gt;=22,S57&lt;=26),"PROXIMOS FECHA CORTA", "VIGENTE"))))</f>
        <v>VIGENTE</v>
      </c>
      <c r="AD57" s="181">
        <f>+IFERROR(IF(MACHACHI[[#This Row],[CODIGO]]="","",MACHACHI[[#This Row],[Stock Actual Unds]]*MACHACHI[[#This Row],[Gramaje]]*MACHACHI[[#This Row],[Conversión]]),"")/1000</f>
        <v>5.2356000000000007</v>
      </c>
    </row>
    <row r="58" spans="1:30">
      <c r="A58" s="42" t="str">
        <f>+IFERROR(IF(MACHACHI[[#This Row],[CODIGO]]="","",VLOOKUP(MACHACHI[[#This Row],[CODIGO]],MAESTRO!$A:$J,10,FALSE)),"")</f>
        <v>SAN GABRIEL</v>
      </c>
      <c r="B58" s="42" t="str">
        <f>+IFERROR(IF(MACHACHI[[#This Row],[CODIGO]]="","",VLOOKUP(MACHACHI[[#This Row],[CODIGO]],MAESTRO!$A:$Q,17,FALSE)),"")</f>
        <v>QUESOS Y GRASAS</v>
      </c>
      <c r="C58" s="42" t="str">
        <f>+IFERROR(IF(MACHACHI[[#This Row],[CODIGO]]="","",VLOOKUP(MACHACHI[[#This Row],[CODIGO]],MAESTRO!$A:$BA,53,FALSE)),"")</f>
        <v xml:space="preserve">Esteban Montenegro                      </v>
      </c>
      <c r="D58" s="42" t="str">
        <f>+IFERROR(IF(MACHACHI[[#This Row],[CODIGO]]="","",VLOOKUP(MACHACHI[[#This Row],[CODIGO]],MAESTRO!$A:$D,4,FALSE)),"")</f>
        <v>QUESO MOZARELLA KIOSKO</v>
      </c>
      <c r="E58" s="42" t="str">
        <f>+IFERROR(IF(MACHACHI[[#This Row],[CODIGO]]="","",VLOOKUP(MACHACHI[[#This Row],[CODIGO]],MAESTRO!$A:$F,6,FALSE)),"")</f>
        <v>QUESO MOZARELLA SNACK</v>
      </c>
      <c r="F58" s="42" t="str">
        <f>IF(MACHACHI[[#This Row],[CODIGO]]="","",$K$6)</f>
        <v>MACHACHI</v>
      </c>
      <c r="G58" s="49">
        <f>IF(MACHACHI[[#This Row],[CODIGO]]="","",7701)</f>
        <v>7701</v>
      </c>
      <c r="H58" s="49">
        <f>IF(MACHACHI[[#This Row],[CODIGO]]="","",1080)</f>
        <v>1080</v>
      </c>
      <c r="I58" s="256" t="s">
        <v>4306</v>
      </c>
      <c r="J58" s="25" t="str">
        <f>IFERROR((VLOOKUP(MACHACHI[[#This Row],[CODIGO]],MAESTRO!A:B,2,FALSE)),"")</f>
        <v>QUESO MOZARELLA LIGHT KIOSKO 35 G</v>
      </c>
      <c r="K58" s="47">
        <v>360</v>
      </c>
      <c r="L58" s="38">
        <f>+IFERROR(IF(MACHACHI[[#This Row],[CODIGO]]="","",VLOOKUP(MACHACHI[[#This Row],[CODIGO]],MAESTRO!$A:$BF,58,FALSE)),"")</f>
        <v>1</v>
      </c>
      <c r="M58" s="27">
        <f>+IFERROR(IF(MACHACHI[[#This Row],[CODIGO]]="","",VLOOKUP(MACHACHI[[#This Row],[CODIGO]],MAESTRO!A:N,14,FALSE)),"")</f>
        <v>3.5000000000000003E-2</v>
      </c>
      <c r="N58" s="28">
        <f>+IFERROR(IF(MACHACHI[[#This Row],[CODIGO]]="","",VLOOKUP(MACHACHI[[#This Row],[CODIGO]],MAESTRO!A:P,16,FALSE)),"")</f>
        <v>40</v>
      </c>
      <c r="O58" s="182">
        <f>+IF(MACHACHI[[#This Row],[CODIGO]]="","",MACHACHI[[#This Row],[Fecha Elab.]])</f>
        <v>45622</v>
      </c>
      <c r="P58" s="99" t="str">
        <f t="shared" si="10"/>
        <v>martes</v>
      </c>
      <c r="Q58" s="183">
        <f>IFERROR(IF(MACHACHI[[#This Row],[CODIGO]]="","",IF(MACHACHI[[#This Row],[Fecha Cad]]="","",(MACHACHI[[#This Row],[Fecha Cad]]-MACHACHI[[#This Row],[VIDA UTIL (Días)]]))+1),"")</f>
        <v>45622</v>
      </c>
      <c r="R58" s="18">
        <v>45661</v>
      </c>
      <c r="S58" s="180">
        <f t="shared" ca="1" si="11"/>
        <v>37</v>
      </c>
      <c r="T58" s="207">
        <f t="shared" ca="1" si="9"/>
        <v>0.92500000000000004</v>
      </c>
      <c r="U58" s="47">
        <v>360</v>
      </c>
      <c r="V58" s="184">
        <f>+IFERROR(IF(MACHACHI[[#This Row],[CODIGO]]="","",MACHACHI[[#This Row],[Stock Actual Unds]]*MACHACHI[[#This Row],[Gramaje]]*MACHACHI[[#This Row],[Conversión]]),"")</f>
        <v>12.600000000000001</v>
      </c>
      <c r="W58" s="45">
        <f>+IFERROR(IF(I57="","",MACHACHI[[#This Row],[Fecha Elab.]]-MACHACHI[[#This Row],[Fecha de Ingreso]]),"")</f>
        <v>0</v>
      </c>
      <c r="X58" s="44">
        <f t="shared" si="8"/>
        <v>1</v>
      </c>
      <c r="Y58" s="236">
        <f>+IFERROR(IF(MACHACHI[[#This Row],[CODIGO]]="","",VLOOKUP(MACHACHI[[#This Row],[CODIGO]],MAESTRO!A:BI,21,FALSE)),"")</f>
        <v>0.228385</v>
      </c>
      <c r="Z58" s="236">
        <f>+IFERROR(IF(MACHACHI[[#This Row],[CODIGO]]="","",Y58*MACHACHI[[#This Row],[Conversión]]),"")</f>
        <v>0.228385</v>
      </c>
      <c r="AA58" s="236">
        <f>+IFERROR(IF(MACHACHI[[#This Row],[CODIGO]]="","",MACHACHI[[#This Row],[COSTO UNIT Conv]]*MACHACHI[[#This Row],[Stock Actual Unds]]),"")</f>
        <v>82.218599999999995</v>
      </c>
      <c r="AB58" s="180">
        <f ca="1">+IFERROR(IF(MACHACHI[[#This Row],[CODIGO]]="","",$J$3-O58),"")</f>
        <v>2</v>
      </c>
      <c r="AC58" s="35" t="str">
        <f ca="1">IF(MACHACHI[[#This Row],[CODIGO]]="","",IF(S58&lt;=0,"CADUCADO",IF(AND(S58&gt;0,S58&lt;=21),"FECHA CORTA",IF(AND(S58&gt;=22,S58&lt;=26),"PROXIMOS FECHA CORTA", "VIGENTE"))))</f>
        <v>VIGENTE</v>
      </c>
      <c r="AD58" s="181">
        <f>+IFERROR(IF(MACHACHI[[#This Row],[CODIGO]]="","",MACHACHI[[#This Row],[Stock Actual Unds]]*MACHACHI[[#This Row],[Gramaje]]*MACHACHI[[#This Row],[Conversión]]),"")/1000</f>
        <v>1.2600000000000002E-2</v>
      </c>
    </row>
    <row r="59" spans="1:30">
      <c r="A59" s="42" t="str">
        <f>+IFERROR(IF(MACHACHI[[#This Row],[CODIGO]]="","",VLOOKUP(MACHACHI[[#This Row],[CODIGO]],MAESTRO!$A:$J,10,FALSE)),"")</f>
        <v>SAN GABRIEL</v>
      </c>
      <c r="B59" s="42" t="str">
        <f>+IFERROR(IF(MACHACHI[[#This Row],[CODIGO]]="","",VLOOKUP(MACHACHI[[#This Row],[CODIGO]],MAESTRO!$A:$Q,17,FALSE)),"")</f>
        <v>QUESOS Y GRASAS</v>
      </c>
      <c r="C59" s="42" t="str">
        <f>+IFERROR(IF(MACHACHI[[#This Row],[CODIGO]]="","",VLOOKUP(MACHACHI[[#This Row],[CODIGO]],MAESTRO!$A:$BA,53,FALSE)),"")</f>
        <v xml:space="preserve">Esteban Montenegro                      </v>
      </c>
      <c r="D59" s="42" t="str">
        <f>+IFERROR(IF(MACHACHI[[#This Row],[CODIGO]]="","",VLOOKUP(MACHACHI[[#This Row],[CODIGO]],MAESTRO!$A:$D,4,FALSE)),"")</f>
        <v>QUESO MOZARELLA KIOSKO</v>
      </c>
      <c r="E59" s="42" t="str">
        <f>+IFERROR(IF(MACHACHI[[#This Row],[CODIGO]]="","",VLOOKUP(MACHACHI[[#This Row],[CODIGO]],MAESTRO!$A:$F,6,FALSE)),"")</f>
        <v>QUESO MOZARELLA SNACK</v>
      </c>
      <c r="F59" s="42" t="str">
        <f>IF(MACHACHI[[#This Row],[CODIGO]]="","",$K$6)</f>
        <v>MACHACHI</v>
      </c>
      <c r="G59" s="49">
        <f>IF(MACHACHI[[#This Row],[CODIGO]]="","",7701)</f>
        <v>7701</v>
      </c>
      <c r="H59" s="49">
        <f>IF(MACHACHI[[#This Row],[CODIGO]]="","",1080)</f>
        <v>1080</v>
      </c>
      <c r="I59" s="256" t="s">
        <v>4306</v>
      </c>
      <c r="J59" s="25" t="str">
        <f>IFERROR((VLOOKUP(MACHACHI[[#This Row],[CODIGO]],MAESTRO!A:B,2,FALSE)),"")</f>
        <v>QUESO MOZARELLA LIGHT KIOSKO 35 G</v>
      </c>
      <c r="K59" s="47">
        <v>540</v>
      </c>
      <c r="L59" s="38">
        <f>+IFERROR(IF(MACHACHI[[#This Row],[CODIGO]]="","",VLOOKUP(MACHACHI[[#This Row],[CODIGO]],MAESTRO!$A:$BF,58,FALSE)),"")</f>
        <v>1</v>
      </c>
      <c r="M59" s="27">
        <f>+IFERROR(IF(MACHACHI[[#This Row],[CODIGO]]="","",VLOOKUP(MACHACHI[[#This Row],[CODIGO]],MAESTRO!A:N,14,FALSE)),"")</f>
        <v>3.5000000000000003E-2</v>
      </c>
      <c r="N59" s="28">
        <f>+IFERROR(IF(MACHACHI[[#This Row],[CODIGO]]="","",VLOOKUP(MACHACHI[[#This Row],[CODIGO]],MAESTRO!A:P,16,FALSE)),"")</f>
        <v>40</v>
      </c>
      <c r="O59" s="182">
        <f>+IF(MACHACHI[[#This Row],[CODIGO]]="","",MACHACHI[[#This Row],[Fecha Elab.]])</f>
        <v>45615</v>
      </c>
      <c r="P59" s="99" t="str">
        <f t="shared" si="10"/>
        <v>martes</v>
      </c>
      <c r="Q59" s="183">
        <f>IFERROR(IF(MACHACHI[[#This Row],[CODIGO]]="","",IF(MACHACHI[[#This Row],[Fecha Cad]]="","",(MACHACHI[[#This Row],[Fecha Cad]]-MACHACHI[[#This Row],[VIDA UTIL (Días)]]))+1),"")</f>
        <v>45615</v>
      </c>
      <c r="R59" s="18">
        <v>45654</v>
      </c>
      <c r="S59" s="180">
        <f t="shared" ca="1" si="11"/>
        <v>30</v>
      </c>
      <c r="T59" s="207">
        <f t="shared" ca="1" si="9"/>
        <v>0.75</v>
      </c>
      <c r="U59" s="47">
        <v>540</v>
      </c>
      <c r="V59" s="184">
        <f>+IFERROR(IF(MACHACHI[[#This Row],[CODIGO]]="","",MACHACHI[[#This Row],[Stock Actual Unds]]*MACHACHI[[#This Row],[Gramaje]]*MACHACHI[[#This Row],[Conversión]]),"")</f>
        <v>18.900000000000002</v>
      </c>
      <c r="W59" s="45">
        <f>+IFERROR(IF(I58="","",MACHACHI[[#This Row],[Fecha Elab.]]-MACHACHI[[#This Row],[Fecha de Ingreso]]),"")</f>
        <v>0</v>
      </c>
      <c r="X59" s="44">
        <f t="shared" si="8"/>
        <v>1</v>
      </c>
      <c r="Y59" s="236">
        <f>+IFERROR(IF(MACHACHI[[#This Row],[CODIGO]]="","",VLOOKUP(MACHACHI[[#This Row],[CODIGO]],MAESTRO!A:BI,21,FALSE)),"")</f>
        <v>0.228385</v>
      </c>
      <c r="Z59" s="236">
        <f>+IFERROR(IF(MACHACHI[[#This Row],[CODIGO]]="","",Y59*MACHACHI[[#This Row],[Conversión]]),"")</f>
        <v>0.228385</v>
      </c>
      <c r="AA59" s="236">
        <f>+IFERROR(IF(MACHACHI[[#This Row],[CODIGO]]="","",MACHACHI[[#This Row],[COSTO UNIT Conv]]*MACHACHI[[#This Row],[Stock Actual Unds]]),"")</f>
        <v>123.3279</v>
      </c>
      <c r="AB59" s="180">
        <f ca="1">+IFERROR(IF(MACHACHI[[#This Row],[CODIGO]]="","",$J$3-O59),"")</f>
        <v>9</v>
      </c>
      <c r="AC59" s="35" t="str">
        <f ca="1">IF(MACHACHI[[#This Row],[CODIGO]]="","",IF(S59&lt;=0,"CADUCADO",IF(AND(S59&gt;0,S59&lt;=21),"FECHA CORTA",IF(AND(S59&gt;=22,S59&lt;=26),"PROXIMOS FECHA CORTA", "VIGENTE"))))</f>
        <v>VIGENTE</v>
      </c>
      <c r="AD59" s="181">
        <f>+IFERROR(IF(MACHACHI[[#This Row],[CODIGO]]="","",MACHACHI[[#This Row],[Stock Actual Unds]]*MACHACHI[[#This Row],[Gramaje]]*MACHACHI[[#This Row],[Conversión]]),"")/1000</f>
        <v>1.8900000000000004E-2</v>
      </c>
    </row>
    <row r="60" spans="1:30">
      <c r="A60" s="42" t="str">
        <f>+IFERROR(IF(MACHACHI[[#This Row],[CODIGO]]="","",VLOOKUP(MACHACHI[[#This Row],[CODIGO]],MAESTRO!$A:$J,10,FALSE)),"")</f>
        <v>MACHACHI</v>
      </c>
      <c r="B60" s="42" t="str">
        <f>+IFERROR(IF(MACHACHI[[#This Row],[CODIGO]]="","",VLOOKUP(MACHACHI[[#This Row],[CODIGO]],MAESTRO!$A:$Q,17,FALSE)),"")</f>
        <v>BEBIDAS LACTEAS</v>
      </c>
      <c r="C60" s="42" t="str">
        <f>+IFERROR(IF(MACHACHI[[#This Row],[CODIGO]]="","",VLOOKUP(MACHACHI[[#This Row],[CODIGO]],MAESTRO!$A:$BA,53,FALSE)),"")</f>
        <v xml:space="preserve">Luis Armendariz                         </v>
      </c>
      <c r="D60" s="42" t="str">
        <f>+IFERROR(IF(MACHACHI[[#This Row],[CODIGO]]="","",VLOOKUP(MACHACHI[[#This Row],[CODIGO]],MAESTRO!$A:$D,4,FALSE)),"")</f>
        <v>YOGURT FINESSE</v>
      </c>
      <c r="E60" s="42" t="str">
        <f>+IFERROR(IF(MACHACHI[[#This Row],[CODIGO]]="","",VLOOKUP(MACHACHI[[#This Row],[CODIGO]],MAESTRO!$A:$F,6,FALSE)),"")</f>
        <v>YOGURT FINESSE DESLACT BOTELLA FAMILIAR</v>
      </c>
      <c r="F60" s="42" t="str">
        <f>IF(MACHACHI[[#This Row],[CODIGO]]="","",$K$6)</f>
        <v>MACHACHI</v>
      </c>
      <c r="G60" s="49">
        <f>IF(MACHACHI[[#This Row],[CODIGO]]="","",7701)</f>
        <v>7701</v>
      </c>
      <c r="H60" s="49">
        <f>IF(MACHACHI[[#This Row],[CODIGO]]="","",1080)</f>
        <v>1080</v>
      </c>
      <c r="I60" s="256" t="s">
        <v>2845</v>
      </c>
      <c r="J60" s="25" t="str">
        <f>IFERROR((VLOOKUP(MACHACHI[[#This Row],[CODIGO]],MAESTRO!A:B,2,FALSE)),"")</f>
        <v>YOG FNSSE SBILA BOT 1670G</v>
      </c>
      <c r="K60" s="47">
        <v>10</v>
      </c>
      <c r="L60" s="38">
        <f>+IFERROR(IF(MACHACHI[[#This Row],[CODIGO]]="","",VLOOKUP(MACHACHI[[#This Row],[CODIGO]],MAESTRO!$A:$BF,58,FALSE)),"")</f>
        <v>1</v>
      </c>
      <c r="M60" s="27">
        <f>+IFERROR(IF(MACHACHI[[#This Row],[CODIGO]]="","",VLOOKUP(MACHACHI[[#This Row],[CODIGO]],MAESTRO!A:N,14,FALSE)),"")</f>
        <v>1.67</v>
      </c>
      <c r="N60" s="28">
        <f>+IFERROR(IF(MACHACHI[[#This Row],[CODIGO]]="","",VLOOKUP(MACHACHI[[#This Row],[CODIGO]],MAESTRO!A:P,16,FALSE)),"")</f>
        <v>45</v>
      </c>
      <c r="O60" s="182">
        <f>+IF(MACHACHI[[#This Row],[CODIGO]]="","",MACHACHI[[#This Row],[Fecha Elab.]])</f>
        <v>45596</v>
      </c>
      <c r="P60" s="99" t="str">
        <f t="shared" si="10"/>
        <v>jueves</v>
      </c>
      <c r="Q60" s="183">
        <f>IFERROR(IF(MACHACHI[[#This Row],[CODIGO]]="","",IF(MACHACHI[[#This Row],[Fecha Cad]]="","",(MACHACHI[[#This Row],[Fecha Cad]]-MACHACHI[[#This Row],[VIDA UTIL (Días)]]))+1),"")</f>
        <v>45596</v>
      </c>
      <c r="R60" s="18">
        <v>45640</v>
      </c>
      <c r="S60" s="180">
        <f t="shared" ca="1" si="11"/>
        <v>16</v>
      </c>
      <c r="T60" s="207">
        <f t="shared" ca="1" si="9"/>
        <v>0.35555555555555557</v>
      </c>
      <c r="U60" s="47">
        <v>10</v>
      </c>
      <c r="V60" s="184">
        <f>+IFERROR(IF(MACHACHI[[#This Row],[CODIGO]]="","",MACHACHI[[#This Row],[Stock Actual Unds]]*MACHACHI[[#This Row],[Gramaje]]*MACHACHI[[#This Row],[Conversión]]),"")</f>
        <v>16.7</v>
      </c>
      <c r="W60" s="45">
        <f>+IFERROR(IF(I59="","",MACHACHI[[#This Row],[Fecha Elab.]]-MACHACHI[[#This Row],[Fecha de Ingreso]]),"")</f>
        <v>0</v>
      </c>
      <c r="X60" s="44">
        <f t="shared" si="8"/>
        <v>1</v>
      </c>
      <c r="Y60" s="236">
        <f>+IFERROR(IF(MACHACHI[[#This Row],[CODIGO]]="","",VLOOKUP(MACHACHI[[#This Row],[CODIGO]],MAESTRO!A:BI,21,FALSE)),"")</f>
        <v>2.4703599999999999</v>
      </c>
      <c r="Z60" s="236">
        <f>+IFERROR(IF(MACHACHI[[#This Row],[CODIGO]]="","",Y60*MACHACHI[[#This Row],[Conversión]]),"")</f>
        <v>2.4703599999999999</v>
      </c>
      <c r="AA60" s="236">
        <f>+IFERROR(IF(MACHACHI[[#This Row],[CODIGO]]="","",MACHACHI[[#This Row],[COSTO UNIT Conv]]*MACHACHI[[#This Row],[Stock Actual Unds]]),"")</f>
        <v>24.703599999999998</v>
      </c>
      <c r="AB60" s="180">
        <f ca="1">+IFERROR(IF(MACHACHI[[#This Row],[CODIGO]]="","",$J$3-O60),"")</f>
        <v>28</v>
      </c>
      <c r="AC60" s="35" t="str">
        <f ca="1">IF(MACHACHI[[#This Row],[CODIGO]]="","",IF(S60&lt;=0,"CADUCADO",IF(AND(S60&gt;0,S60&lt;=21),"FECHA CORTA",IF(AND(S60&gt;=22,S60&lt;=26),"PROXIMOS FECHA CORTA", "VIGENTE"))))</f>
        <v>FECHA CORTA</v>
      </c>
      <c r="AD60" s="181">
        <f>+IFERROR(IF(MACHACHI[[#This Row],[CODIGO]]="","",MACHACHI[[#This Row],[Stock Actual Unds]]*MACHACHI[[#This Row],[Gramaje]]*MACHACHI[[#This Row],[Conversión]]),"")/1000</f>
        <v>1.67E-2</v>
      </c>
    </row>
    <row r="61" spans="1:30">
      <c r="A61" s="42" t="str">
        <f>+IFERROR(IF(MACHACHI[[#This Row],[CODIGO]]="","",VLOOKUP(MACHACHI[[#This Row],[CODIGO]],MAESTRO!$A:$J,10,FALSE)),"")</f>
        <v>MACHACHI</v>
      </c>
      <c r="B61" s="42" t="str">
        <f>+IFERROR(IF(MACHACHI[[#This Row],[CODIGO]]="","",VLOOKUP(MACHACHI[[#This Row],[CODIGO]],MAESTRO!$A:$Q,17,FALSE)),"")</f>
        <v>BEBIDAS LACTEAS</v>
      </c>
      <c r="C61" s="42" t="str">
        <f>+IFERROR(IF(MACHACHI[[#This Row],[CODIGO]]="","",VLOOKUP(MACHACHI[[#This Row],[CODIGO]],MAESTRO!$A:$BA,53,FALSE)),"")</f>
        <v xml:space="preserve">Luis Armendariz                         </v>
      </c>
      <c r="D61" s="42" t="str">
        <f>+IFERROR(IF(MACHACHI[[#This Row],[CODIGO]]="","",VLOOKUP(MACHACHI[[#This Row],[CODIGO]],MAESTRO!$A:$D,4,FALSE)),"")</f>
        <v>YOGURT FINESSE</v>
      </c>
      <c r="E61" s="42" t="str">
        <f>+IFERROR(IF(MACHACHI[[#This Row],[CODIGO]]="","",VLOOKUP(MACHACHI[[#This Row],[CODIGO]],MAESTRO!$A:$F,6,FALSE)),"")</f>
        <v>YOGURT FINESSE DESLACT BOTELLA FAMILIAR</v>
      </c>
      <c r="F61" s="42" t="str">
        <f>IF(MACHACHI[[#This Row],[CODIGO]]="","",$K$6)</f>
        <v>MACHACHI</v>
      </c>
      <c r="G61" s="49">
        <f>IF(MACHACHI[[#This Row],[CODIGO]]="","",7701)</f>
        <v>7701</v>
      </c>
      <c r="H61" s="49">
        <f>IF(MACHACHI[[#This Row],[CODIGO]]="","",1080)</f>
        <v>1080</v>
      </c>
      <c r="I61" s="256" t="s">
        <v>4043</v>
      </c>
      <c r="J61" s="25" t="str">
        <f>IFERROR((VLOOKUP(MACHACHI[[#This Row],[CODIGO]],MAESTRO!A:B,2,FALSE)),"")</f>
        <v>YOG FINESSE NATURAL 1650G</v>
      </c>
      <c r="K61" s="47">
        <v>13</v>
      </c>
      <c r="L61" s="38">
        <f>+IFERROR(IF(MACHACHI[[#This Row],[CODIGO]]="","",VLOOKUP(MACHACHI[[#This Row],[CODIGO]],MAESTRO!$A:$BF,58,FALSE)),"")</f>
        <v>1</v>
      </c>
      <c r="M61" s="27">
        <f>+IFERROR(IF(MACHACHI[[#This Row],[CODIGO]]="","",VLOOKUP(MACHACHI[[#This Row],[CODIGO]],MAESTRO!A:N,14,FALSE)),"")</f>
        <v>1.65</v>
      </c>
      <c r="N61" s="28">
        <f>+IFERROR(IF(MACHACHI[[#This Row],[CODIGO]]="","",VLOOKUP(MACHACHI[[#This Row],[CODIGO]],MAESTRO!A:P,16,FALSE)),"")</f>
        <v>45</v>
      </c>
      <c r="O61" s="182">
        <f>+IF(MACHACHI[[#This Row],[CODIGO]]="","",MACHACHI[[#This Row],[Fecha Elab.]])</f>
        <v>45595</v>
      </c>
      <c r="P61" s="99" t="str">
        <f t="shared" si="10"/>
        <v>miércoles</v>
      </c>
      <c r="Q61" s="183">
        <f>IFERROR(IF(MACHACHI[[#This Row],[CODIGO]]="","",IF(MACHACHI[[#This Row],[Fecha Cad]]="","",(MACHACHI[[#This Row],[Fecha Cad]]-MACHACHI[[#This Row],[VIDA UTIL (Días)]]))+1),"")</f>
        <v>45595</v>
      </c>
      <c r="R61" s="18">
        <v>45639</v>
      </c>
      <c r="S61" s="180">
        <f t="shared" ca="1" si="11"/>
        <v>15</v>
      </c>
      <c r="T61" s="207">
        <f t="shared" ca="1" si="9"/>
        <v>0.33333333333333331</v>
      </c>
      <c r="U61" s="47">
        <v>13</v>
      </c>
      <c r="V61" s="184">
        <f>+IFERROR(IF(MACHACHI[[#This Row],[CODIGO]]="","",MACHACHI[[#This Row],[Stock Actual Unds]]*MACHACHI[[#This Row],[Gramaje]]*MACHACHI[[#This Row],[Conversión]]),"")</f>
        <v>21.45</v>
      </c>
      <c r="W61" s="45">
        <f>+IFERROR(IF(I60="","",MACHACHI[[#This Row],[Fecha Elab.]]-MACHACHI[[#This Row],[Fecha de Ingreso]]),"")</f>
        <v>0</v>
      </c>
      <c r="X61" s="44">
        <f t="shared" si="8"/>
        <v>1</v>
      </c>
      <c r="Y61" s="236">
        <f>+IFERROR(IF(MACHACHI[[#This Row],[CODIGO]]="","",VLOOKUP(MACHACHI[[#This Row],[CODIGO]],MAESTRO!A:BI,21,FALSE)),"")</f>
        <v>1.9335450000000001</v>
      </c>
      <c r="Z61" s="236">
        <f>+IFERROR(IF(MACHACHI[[#This Row],[CODIGO]]="","",Y61*MACHACHI[[#This Row],[Conversión]]),"")</f>
        <v>1.9335450000000001</v>
      </c>
      <c r="AA61" s="236">
        <f>+IFERROR(IF(MACHACHI[[#This Row],[CODIGO]]="","",MACHACHI[[#This Row],[COSTO UNIT Conv]]*MACHACHI[[#This Row],[Stock Actual Unds]]),"")</f>
        <v>25.136085000000001</v>
      </c>
      <c r="AB61" s="180">
        <f ca="1">+IFERROR(IF(MACHACHI[[#This Row],[CODIGO]]="","",$J$3-O61),"")</f>
        <v>29</v>
      </c>
      <c r="AC61" s="35" t="str">
        <f ca="1">IF(MACHACHI[[#This Row],[CODIGO]]="","",IF(S61&lt;=0,"CADUCADO",IF(AND(S61&gt;0,S61&lt;=21),"FECHA CORTA",IF(AND(S61&gt;=22,S61&lt;=26),"PROXIMOS FECHA CORTA", "VIGENTE"))))</f>
        <v>FECHA CORTA</v>
      </c>
      <c r="AD61" s="181">
        <f>+IFERROR(IF(MACHACHI[[#This Row],[CODIGO]]="","",MACHACHI[[#This Row],[Stock Actual Unds]]*MACHACHI[[#This Row],[Gramaje]]*MACHACHI[[#This Row],[Conversión]]),"")/1000</f>
        <v>2.145E-2</v>
      </c>
    </row>
    <row r="62" spans="1:30">
      <c r="A62" s="42" t="str">
        <f>+IFERROR(IF(MACHACHI[[#This Row],[CODIGO]]="","",VLOOKUP(MACHACHI[[#This Row],[CODIGO]],MAESTRO!$A:$J,10,FALSE)),"")</f>
        <v>MACHACHI</v>
      </c>
      <c r="B62" s="42" t="str">
        <f>+IFERROR(IF(MACHACHI[[#This Row],[CODIGO]]="","",VLOOKUP(MACHACHI[[#This Row],[CODIGO]],MAESTRO!$A:$Q,17,FALSE)),"")</f>
        <v>BEBIDAS LACTEAS</v>
      </c>
      <c r="C62" s="42" t="str">
        <f>+IFERROR(IF(MACHACHI[[#This Row],[CODIGO]]="","",VLOOKUP(MACHACHI[[#This Row],[CODIGO]],MAESTRO!$A:$BA,53,FALSE)),"")</f>
        <v xml:space="preserve">Luis Armendariz                         </v>
      </c>
      <c r="D62" s="42" t="str">
        <f>+IFERROR(IF(MACHACHI[[#This Row],[CODIGO]]="","",VLOOKUP(MACHACHI[[#This Row],[CODIGO]],MAESTRO!$A:$D,4,FALSE)),"")</f>
        <v>YOGURT FINESSE</v>
      </c>
      <c r="E62" s="42" t="str">
        <f>+IFERROR(IF(MACHACHI[[#This Row],[CODIGO]]="","",VLOOKUP(MACHACHI[[#This Row],[CODIGO]],MAESTRO!$A:$F,6,FALSE)),"")</f>
        <v>YOGURT FINESSE DESLACT BOTELLA PERSONAL</v>
      </c>
      <c r="F62" s="42" t="str">
        <f>IF(MACHACHI[[#This Row],[CODIGO]]="","",$K$6)</f>
        <v>MACHACHI</v>
      </c>
      <c r="G62" s="49">
        <f>IF(MACHACHI[[#This Row],[CODIGO]]="","",7701)</f>
        <v>7701</v>
      </c>
      <c r="H62" s="49">
        <f>IF(MACHACHI[[#This Row],[CODIGO]]="","",1080)</f>
        <v>1080</v>
      </c>
      <c r="I62" s="256" t="s">
        <v>1191</v>
      </c>
      <c r="J62" s="25" t="str">
        <f>IFERROR((VLOOKUP(MACHACHI[[#This Row],[CODIGO]],MAESTRO!A:B,2,FALSE)),"")</f>
        <v>YOG FNSSE VAINILLA 180</v>
      </c>
      <c r="K62" s="47">
        <v>274</v>
      </c>
      <c r="L62" s="38">
        <f>+IFERROR(IF(MACHACHI[[#This Row],[CODIGO]]="","",VLOOKUP(MACHACHI[[#This Row],[CODIGO]],MAESTRO!$A:$BF,58,FALSE)),"")</f>
        <v>1</v>
      </c>
      <c r="M62" s="27">
        <f>+IFERROR(IF(MACHACHI[[#This Row],[CODIGO]]="","",VLOOKUP(MACHACHI[[#This Row],[CODIGO]],MAESTRO!A:N,14,FALSE)),"")</f>
        <v>0.18</v>
      </c>
      <c r="N62" s="28">
        <f>+IFERROR(IF(MACHACHI[[#This Row],[CODIGO]]="","",VLOOKUP(MACHACHI[[#This Row],[CODIGO]],MAESTRO!A:P,16,FALSE)),"")</f>
        <v>45</v>
      </c>
      <c r="O62" s="182">
        <f>+IF(MACHACHI[[#This Row],[CODIGO]]="","",MACHACHI[[#This Row],[Fecha Elab.]])</f>
        <v>45596</v>
      </c>
      <c r="P62" s="99" t="str">
        <f t="shared" si="10"/>
        <v>jueves</v>
      </c>
      <c r="Q62" s="183">
        <f>IFERROR(IF(MACHACHI[[#This Row],[CODIGO]]="","",IF(MACHACHI[[#This Row],[Fecha Cad]]="","",(MACHACHI[[#This Row],[Fecha Cad]]-MACHACHI[[#This Row],[VIDA UTIL (Días)]]))+1),"")</f>
        <v>45596</v>
      </c>
      <c r="R62" s="18">
        <v>45640</v>
      </c>
      <c r="S62" s="180">
        <f t="shared" ca="1" si="11"/>
        <v>16</v>
      </c>
      <c r="T62" s="207">
        <f t="shared" ca="1" si="9"/>
        <v>0.35555555555555557</v>
      </c>
      <c r="U62" s="47">
        <v>274</v>
      </c>
      <c r="V62" s="184">
        <f>+IFERROR(IF(MACHACHI[[#This Row],[CODIGO]]="","",MACHACHI[[#This Row],[Stock Actual Unds]]*MACHACHI[[#This Row],[Gramaje]]*MACHACHI[[#This Row],[Conversión]]),"")</f>
        <v>49.32</v>
      </c>
      <c r="W62" s="45">
        <f>+IFERROR(IF(I61="","",MACHACHI[[#This Row],[Fecha Elab.]]-MACHACHI[[#This Row],[Fecha de Ingreso]]),"")</f>
        <v>0</v>
      </c>
      <c r="X62" s="44">
        <f t="shared" si="8"/>
        <v>1</v>
      </c>
      <c r="Y62" s="236">
        <f>+IFERROR(IF(MACHACHI[[#This Row],[CODIGO]]="","",VLOOKUP(MACHACHI[[#This Row],[CODIGO]],MAESTRO!A:BI,21,FALSE)),"")</f>
        <v>0.286325</v>
      </c>
      <c r="Z62" s="236">
        <f>+IFERROR(IF(MACHACHI[[#This Row],[CODIGO]]="","",Y62*MACHACHI[[#This Row],[Conversión]]),"")</f>
        <v>0.286325</v>
      </c>
      <c r="AA62" s="236">
        <f>+IFERROR(IF(MACHACHI[[#This Row],[CODIGO]]="","",MACHACHI[[#This Row],[COSTO UNIT Conv]]*MACHACHI[[#This Row],[Stock Actual Unds]]),"")</f>
        <v>78.453050000000005</v>
      </c>
      <c r="AB62" s="180">
        <f ca="1">+IFERROR(IF(MACHACHI[[#This Row],[CODIGO]]="","",$J$3-O62),"")</f>
        <v>28</v>
      </c>
      <c r="AC62" s="35" t="str">
        <f ca="1">IF(MACHACHI[[#This Row],[CODIGO]]="","",IF(S62&lt;=0,"CADUCADO",IF(AND(S62&gt;0,S62&lt;=21),"FECHA CORTA",IF(AND(S62&gt;=22,S62&lt;=26),"PROXIMOS FECHA CORTA", "VIGENTE"))))</f>
        <v>FECHA CORTA</v>
      </c>
      <c r="AD62" s="181">
        <f>+IFERROR(IF(MACHACHI[[#This Row],[CODIGO]]="","",MACHACHI[[#This Row],[Stock Actual Unds]]*MACHACHI[[#This Row],[Gramaje]]*MACHACHI[[#This Row],[Conversión]]),"")/1000</f>
        <v>4.9320000000000003E-2</v>
      </c>
    </row>
    <row r="63" spans="1:30">
      <c r="A63" s="42" t="str">
        <f>+IFERROR(IF(MACHACHI[[#This Row],[CODIGO]]="","",VLOOKUP(MACHACHI[[#This Row],[CODIGO]],MAESTRO!$A:$J,10,FALSE)),"")</f>
        <v>MACHACHI</v>
      </c>
      <c r="B63" s="42" t="str">
        <f>+IFERROR(IF(MACHACHI[[#This Row],[CODIGO]]="","",VLOOKUP(MACHACHI[[#This Row],[CODIGO]],MAESTRO!$A:$Q,17,FALSE)),"")</f>
        <v>BEBIDAS LACTEAS</v>
      </c>
      <c r="C63" s="42" t="str">
        <f>+IFERROR(IF(MACHACHI[[#This Row],[CODIGO]]="","",VLOOKUP(MACHACHI[[#This Row],[CODIGO]],MAESTRO!$A:$BA,53,FALSE)),"")</f>
        <v xml:space="preserve">Luis Armendariz                         </v>
      </c>
      <c r="D63" s="42" t="str">
        <f>+IFERROR(IF(MACHACHI[[#This Row],[CODIGO]]="","",VLOOKUP(MACHACHI[[#This Row],[CODIGO]],MAESTRO!$A:$D,4,FALSE)),"")</f>
        <v>YOGURT FINESSE</v>
      </c>
      <c r="E63" s="42" t="str">
        <f>+IFERROR(IF(MACHACHI[[#This Row],[CODIGO]]="","",VLOOKUP(MACHACHI[[#This Row],[CODIGO]],MAESTRO!$A:$F,6,FALSE)),"")</f>
        <v>YOGURT FINESSE DESLACT BOTELLA FAMILIAR</v>
      </c>
      <c r="F63" s="42" t="str">
        <f>IF(MACHACHI[[#This Row],[CODIGO]]="","",$K$6)</f>
        <v>MACHACHI</v>
      </c>
      <c r="G63" s="49">
        <f>IF(MACHACHI[[#This Row],[CODIGO]]="","",7701)</f>
        <v>7701</v>
      </c>
      <c r="H63" s="49">
        <f>IF(MACHACHI[[#This Row],[CODIGO]]="","",1080)</f>
        <v>1080</v>
      </c>
      <c r="I63" s="256" t="s">
        <v>4016</v>
      </c>
      <c r="J63" s="25" t="str">
        <f>IFERROR((VLOOKUP(MACHACHI[[#This Row],[CODIGO]],MAESTRO!A:B,2,FALSE)),"")</f>
        <v>YOG FNSSE VAINILLA 1650</v>
      </c>
      <c r="K63" s="47">
        <v>33</v>
      </c>
      <c r="L63" s="38">
        <f>+IFERROR(IF(MACHACHI[[#This Row],[CODIGO]]="","",VLOOKUP(MACHACHI[[#This Row],[CODIGO]],MAESTRO!$A:$BF,58,FALSE)),"")</f>
        <v>1</v>
      </c>
      <c r="M63" s="27">
        <f>+IFERROR(IF(MACHACHI[[#This Row],[CODIGO]]="","",VLOOKUP(MACHACHI[[#This Row],[CODIGO]],MAESTRO!A:N,14,FALSE)),"")</f>
        <v>1.65</v>
      </c>
      <c r="N63" s="28">
        <f>+IFERROR(IF(MACHACHI[[#This Row],[CODIGO]]="","",VLOOKUP(MACHACHI[[#This Row],[CODIGO]],MAESTRO!A:P,16,FALSE)),"")</f>
        <v>45</v>
      </c>
      <c r="O63" s="182">
        <f>+IF(MACHACHI[[#This Row],[CODIGO]]="","",MACHACHI[[#This Row],[Fecha Elab.]])</f>
        <v>45596</v>
      </c>
      <c r="P63" s="99" t="str">
        <f t="shared" si="10"/>
        <v>jueves</v>
      </c>
      <c r="Q63" s="183">
        <f>IFERROR(IF(MACHACHI[[#This Row],[CODIGO]]="","",IF(MACHACHI[[#This Row],[Fecha Cad]]="","",(MACHACHI[[#This Row],[Fecha Cad]]-MACHACHI[[#This Row],[VIDA UTIL (Días)]]))+1),"")</f>
        <v>45596</v>
      </c>
      <c r="R63" s="18">
        <v>45640</v>
      </c>
      <c r="S63" s="180">
        <f t="shared" ca="1" si="11"/>
        <v>16</v>
      </c>
      <c r="T63" s="207">
        <f t="shared" ca="1" si="9"/>
        <v>0.35555555555555557</v>
      </c>
      <c r="U63" s="47">
        <v>33</v>
      </c>
      <c r="V63" s="184">
        <f>+IFERROR(IF(MACHACHI[[#This Row],[CODIGO]]="","",MACHACHI[[#This Row],[Stock Actual Unds]]*MACHACHI[[#This Row],[Gramaje]]*MACHACHI[[#This Row],[Conversión]]),"")</f>
        <v>54.449999999999996</v>
      </c>
      <c r="W63" s="45">
        <f>+IFERROR(IF(I62="","",MACHACHI[[#This Row],[Fecha Elab.]]-MACHACHI[[#This Row],[Fecha de Ingreso]]),"")</f>
        <v>0</v>
      </c>
      <c r="X63" s="44">
        <f t="shared" si="8"/>
        <v>1</v>
      </c>
      <c r="Y63" s="236">
        <f>+IFERROR(IF(MACHACHI[[#This Row],[CODIGO]]="","",VLOOKUP(MACHACHI[[#This Row],[CODIGO]],MAESTRO!A:BI,21,FALSE)),"")</f>
        <v>2.0279499999999997</v>
      </c>
      <c r="Z63" s="236">
        <f>+IFERROR(IF(MACHACHI[[#This Row],[CODIGO]]="","",Y63*MACHACHI[[#This Row],[Conversión]]),"")</f>
        <v>2.0279499999999997</v>
      </c>
      <c r="AA63" s="236">
        <f>+IFERROR(IF(MACHACHI[[#This Row],[CODIGO]]="","",MACHACHI[[#This Row],[COSTO UNIT Conv]]*MACHACHI[[#This Row],[Stock Actual Unds]]),"")</f>
        <v>66.922349999999994</v>
      </c>
      <c r="AB63" s="180">
        <f ca="1">+IFERROR(IF(MACHACHI[[#This Row],[CODIGO]]="","",$J$3-O63),"")</f>
        <v>28</v>
      </c>
      <c r="AC63" s="35" t="str">
        <f ca="1">IF(MACHACHI[[#This Row],[CODIGO]]="","",IF(S63&lt;=0,"CADUCADO",IF(AND(S63&gt;0,S63&lt;=21),"FECHA CORTA",IF(AND(S63&gt;=22,S63&lt;=26),"PROXIMOS FECHA CORTA", "VIGENTE"))))</f>
        <v>FECHA CORTA</v>
      </c>
      <c r="AD63" s="181">
        <f>+IFERROR(IF(MACHACHI[[#This Row],[CODIGO]]="","",MACHACHI[[#This Row],[Stock Actual Unds]]*MACHACHI[[#This Row],[Gramaje]]*MACHACHI[[#This Row],[Conversión]]),"")/1000</f>
        <v>5.4449999999999998E-2</v>
      </c>
    </row>
    <row r="64" spans="1:30">
      <c r="A64" s="42" t="str">
        <f>+IFERROR(IF(MACHACHI[[#This Row],[CODIGO]]="","",VLOOKUP(MACHACHI[[#This Row],[CODIGO]],MAESTRO!$A:$J,10,FALSE)),"")</f>
        <v>MACHACHI</v>
      </c>
      <c r="B64" s="42" t="str">
        <f>+IFERROR(IF(MACHACHI[[#This Row],[CODIGO]]="","",VLOOKUP(MACHACHI[[#This Row],[CODIGO]],MAESTRO!$A:$Q,17,FALSE)),"")</f>
        <v>BEBIDAS LACTEAS</v>
      </c>
      <c r="C64" s="42" t="str">
        <f>+IFERROR(IF(MACHACHI[[#This Row],[CODIGO]]="","",VLOOKUP(MACHACHI[[#This Row],[CODIGO]],MAESTRO!$A:$BA,53,FALSE)),"")</f>
        <v xml:space="preserve">Luis Armendariz                         </v>
      </c>
      <c r="D64" s="42" t="str">
        <f>+IFERROR(IF(MACHACHI[[#This Row],[CODIGO]]="","",VLOOKUP(MACHACHI[[#This Row],[CODIGO]],MAESTRO!$A:$D,4,FALSE)),"")</f>
        <v>YOGURT KIOSKO</v>
      </c>
      <c r="E64" s="42" t="str">
        <f>+IFERROR(IF(MACHACHI[[#This Row],[CODIGO]]="","",VLOOKUP(MACHACHI[[#This Row],[CODIGO]],MAESTRO!$A:$F,6,FALSE)),"")</f>
        <v>GRIEGO SABORIZADO</v>
      </c>
      <c r="F64" s="42" t="str">
        <f>IF(MACHACHI[[#This Row],[CODIGO]]="","",$K$6)</f>
        <v>MACHACHI</v>
      </c>
      <c r="G64" s="49">
        <f>IF(MACHACHI[[#This Row],[CODIGO]]="","",7701)</f>
        <v>7701</v>
      </c>
      <c r="H64" s="49">
        <f>IF(MACHACHI[[#This Row],[CODIGO]]="","",1080)</f>
        <v>1080</v>
      </c>
      <c r="I64" s="256" t="s">
        <v>118</v>
      </c>
      <c r="J64" s="25" t="str">
        <f>IFERROR((VLOOKUP(MACHACHI[[#This Row],[CODIGO]],MAESTRO!A:B,2,FALSE)),"")</f>
        <v>MPLX4 GRIEG KIOSKO MULTISAB 480</v>
      </c>
      <c r="K64" s="47">
        <v>16</v>
      </c>
      <c r="L64" s="38">
        <f>+IFERROR(IF(MACHACHI[[#This Row],[CODIGO]]="","",VLOOKUP(MACHACHI[[#This Row],[CODIGO]],MAESTRO!$A:$BF,58,FALSE)),"")</f>
        <v>1</v>
      </c>
      <c r="M64" s="27">
        <f>+IFERROR(IF(MACHACHI[[#This Row],[CODIGO]]="","",VLOOKUP(MACHACHI[[#This Row],[CODIGO]],MAESTRO!A:N,14,FALSE)),"")</f>
        <v>0.12</v>
      </c>
      <c r="N64" s="28">
        <f>+IFERROR(IF(MACHACHI[[#This Row],[CODIGO]]="","",VLOOKUP(MACHACHI[[#This Row],[CODIGO]],MAESTRO!A:P,16,FALSE)),"")</f>
        <v>45</v>
      </c>
      <c r="O64" s="182">
        <f>+IF(MACHACHI[[#This Row],[CODIGO]]="","",MACHACHI[[#This Row],[Fecha Elab.]])</f>
        <v>45618</v>
      </c>
      <c r="P64" s="99" t="str">
        <f t="shared" si="10"/>
        <v>viernes</v>
      </c>
      <c r="Q64" s="183">
        <f>IFERROR(IF(MACHACHI[[#This Row],[CODIGO]]="","",IF(MACHACHI[[#This Row],[Fecha Cad]]="","",(MACHACHI[[#This Row],[Fecha Cad]]-MACHACHI[[#This Row],[VIDA UTIL (Días)]]))+1),"")</f>
        <v>45618</v>
      </c>
      <c r="R64" s="18">
        <v>45662</v>
      </c>
      <c r="S64" s="180">
        <f t="shared" ca="1" si="11"/>
        <v>38</v>
      </c>
      <c r="T64" s="207">
        <f t="shared" ca="1" si="9"/>
        <v>0.84444444444444444</v>
      </c>
      <c r="U64" s="47">
        <v>16</v>
      </c>
      <c r="V64" s="184">
        <f>+IFERROR(IF(MACHACHI[[#This Row],[CODIGO]]="","",MACHACHI[[#This Row],[Stock Actual Unds]]*MACHACHI[[#This Row],[Gramaje]]*MACHACHI[[#This Row],[Conversión]]),"")</f>
        <v>1.92</v>
      </c>
      <c r="W64" s="45">
        <f>+IFERROR(IF(I63="","",MACHACHI[[#This Row],[Fecha Elab.]]-MACHACHI[[#This Row],[Fecha de Ingreso]]),"")</f>
        <v>0</v>
      </c>
      <c r="X64" s="44">
        <f t="shared" si="8"/>
        <v>1</v>
      </c>
      <c r="Y64" s="236">
        <f>+IFERROR(IF(MACHACHI[[#This Row],[CODIGO]]="","",VLOOKUP(MACHACHI[[#This Row],[CODIGO]],MAESTRO!A:BI,21,FALSE)),"")</f>
        <v>1.6781600000000001</v>
      </c>
      <c r="Z64" s="236">
        <f>+IFERROR(IF(MACHACHI[[#This Row],[CODIGO]]="","",Y64*MACHACHI[[#This Row],[Conversión]]),"")</f>
        <v>1.6781600000000001</v>
      </c>
      <c r="AA64" s="236">
        <f>+IFERROR(IF(MACHACHI[[#This Row],[CODIGO]]="","",MACHACHI[[#This Row],[COSTO UNIT Conv]]*MACHACHI[[#This Row],[Stock Actual Unds]]),"")</f>
        <v>26.850560000000002</v>
      </c>
      <c r="AB64" s="180">
        <f ca="1">+IFERROR(IF(MACHACHI[[#This Row],[CODIGO]]="","",$J$3-O64),"")</f>
        <v>6</v>
      </c>
      <c r="AC64" s="35" t="str">
        <f ca="1">IF(MACHACHI[[#This Row],[CODIGO]]="","",IF(S64&lt;=0,"CADUCADO",IF(AND(S64&gt;0,S64&lt;=21),"FECHA CORTA",IF(AND(S64&gt;=22,S64&lt;=26),"PROXIMOS FECHA CORTA", "VIGENTE"))))</f>
        <v>VIGENTE</v>
      </c>
      <c r="AD64" s="181">
        <f>+IFERROR(IF(MACHACHI[[#This Row],[CODIGO]]="","",MACHACHI[[#This Row],[Stock Actual Unds]]*MACHACHI[[#This Row],[Gramaje]]*MACHACHI[[#This Row],[Conversión]]),"")/1000</f>
        <v>1.9199999999999998E-3</v>
      </c>
    </row>
    <row r="65" spans="1:30">
      <c r="A65" s="42" t="str">
        <f>+IFERROR(IF(MACHACHI[[#This Row],[CODIGO]]="","",VLOOKUP(MACHACHI[[#This Row],[CODIGO]],MAESTRO!$A:$J,10,FALSE)),"")</f>
        <v>MULTIEMPAQUE_MACH</v>
      </c>
      <c r="B65" s="42" t="str">
        <f>+IFERROR(IF(MACHACHI[[#This Row],[CODIGO]]="","",VLOOKUP(MACHACHI[[#This Row],[CODIGO]],MAESTRO!$A:$Q,17,FALSE)),"")</f>
        <v>BEBIDAS LACTEAS</v>
      </c>
      <c r="C65" s="42" t="str">
        <f>+IFERROR(IF(MACHACHI[[#This Row],[CODIGO]]="","",VLOOKUP(MACHACHI[[#This Row],[CODIGO]],MAESTRO!$A:$BA,53,FALSE)),"")</f>
        <v xml:space="preserve">Luis Armendariz                         </v>
      </c>
      <c r="D65" s="42" t="str">
        <f>+IFERROR(IF(MACHACHI[[#This Row],[CODIGO]]="","",VLOOKUP(MACHACHI[[#This Row],[CODIGO]],MAESTRO!$A:$D,4,FALSE)),"")</f>
        <v>YOGURT FINESSE</v>
      </c>
      <c r="E65" s="42" t="str">
        <f>+IFERROR(IF(MACHACHI[[#This Row],[CODIGO]]="","",VLOOKUP(MACHACHI[[#This Row],[CODIGO]],MAESTRO!$A:$F,6,FALSE)),"")</f>
        <v>YOGURT FINESSE DESLACT BOTELLA PERSONAL</v>
      </c>
      <c r="F65" s="42" t="str">
        <f>IF(MACHACHI[[#This Row],[CODIGO]]="","",$K$6)</f>
        <v>MACHACHI</v>
      </c>
      <c r="G65" s="49">
        <f>IF(MACHACHI[[#This Row],[CODIGO]]="","",7701)</f>
        <v>7701</v>
      </c>
      <c r="H65" s="49">
        <f>IF(MACHACHI[[#This Row],[CODIGO]]="","",1080)</f>
        <v>1080</v>
      </c>
      <c r="I65" s="256" t="s">
        <v>2966</v>
      </c>
      <c r="J65" s="25" t="str">
        <f>IFERROR((VLOOKUP(MACHACHI[[#This Row],[CODIGO]],MAESTRO!A:B,2,FALSE)),"")</f>
        <v>MPX4 YOG FNSSE MULTSAB BOT 180G</v>
      </c>
      <c r="K65" s="47">
        <v>3</v>
      </c>
      <c r="L65" s="38">
        <f>+IFERROR(IF(MACHACHI[[#This Row],[CODIGO]]="","",VLOOKUP(MACHACHI[[#This Row],[CODIGO]],MAESTRO!$A:$BF,58,FALSE)),"")</f>
        <v>1</v>
      </c>
      <c r="M65" s="27">
        <f>+IFERROR(IF(MACHACHI[[#This Row],[CODIGO]]="","",VLOOKUP(MACHACHI[[#This Row],[CODIGO]],MAESTRO!A:N,14,FALSE)),"")</f>
        <v>0.72</v>
      </c>
      <c r="N65" s="28">
        <f>+IFERROR(IF(MACHACHI[[#This Row],[CODIGO]]="","",VLOOKUP(MACHACHI[[#This Row],[CODIGO]],MAESTRO!A:P,16,FALSE)),"")</f>
        <v>45</v>
      </c>
      <c r="O65" s="182">
        <f>+IF(MACHACHI[[#This Row],[CODIGO]]="","",MACHACHI[[#This Row],[Fecha Elab.]])</f>
        <v>45596</v>
      </c>
      <c r="P65" s="99" t="str">
        <f t="shared" si="10"/>
        <v>jueves</v>
      </c>
      <c r="Q65" s="183">
        <f>IFERROR(IF(MACHACHI[[#This Row],[CODIGO]]="","",IF(MACHACHI[[#This Row],[Fecha Cad]]="","",(MACHACHI[[#This Row],[Fecha Cad]]-MACHACHI[[#This Row],[VIDA UTIL (Días)]]))+1),"")</f>
        <v>45596</v>
      </c>
      <c r="R65" s="18">
        <v>45640</v>
      </c>
      <c r="S65" s="180">
        <f t="shared" ca="1" si="11"/>
        <v>16</v>
      </c>
      <c r="T65" s="207">
        <f t="shared" ca="1" si="9"/>
        <v>0.35555555555555557</v>
      </c>
      <c r="U65" s="47">
        <v>3</v>
      </c>
      <c r="V65" s="184">
        <f>+IFERROR(IF(MACHACHI[[#This Row],[CODIGO]]="","",MACHACHI[[#This Row],[Stock Actual Unds]]*MACHACHI[[#This Row],[Gramaje]]*MACHACHI[[#This Row],[Conversión]]),"")</f>
        <v>2.16</v>
      </c>
      <c r="W65" s="45">
        <f>+IFERROR(IF(I64="","",MACHACHI[[#This Row],[Fecha Elab.]]-MACHACHI[[#This Row],[Fecha de Ingreso]]),"")</f>
        <v>0</v>
      </c>
      <c r="X65" s="44">
        <f t="shared" si="8"/>
        <v>1</v>
      </c>
      <c r="Y65" s="236">
        <f>+IFERROR(IF(MACHACHI[[#This Row],[CODIGO]]="","",VLOOKUP(MACHACHI[[#This Row],[CODIGO]],MAESTRO!A:BI,21,FALSE)),"")</f>
        <v>1.325315</v>
      </c>
      <c r="Z65" s="236">
        <f>+IFERROR(IF(MACHACHI[[#This Row],[CODIGO]]="","",Y65*MACHACHI[[#This Row],[Conversión]]),"")</f>
        <v>1.325315</v>
      </c>
      <c r="AA65" s="236">
        <f>+IFERROR(IF(MACHACHI[[#This Row],[CODIGO]]="","",MACHACHI[[#This Row],[COSTO UNIT Conv]]*MACHACHI[[#This Row],[Stock Actual Unds]]),"")</f>
        <v>3.9759450000000003</v>
      </c>
      <c r="AB65" s="180">
        <f ca="1">+IFERROR(IF(MACHACHI[[#This Row],[CODIGO]]="","",$J$3-O65),"")</f>
        <v>28</v>
      </c>
      <c r="AC65" s="35" t="str">
        <f ca="1">IF(MACHACHI[[#This Row],[CODIGO]]="","",IF(S65&lt;=0,"CADUCADO",IF(AND(S65&gt;0,S65&lt;=21),"FECHA CORTA",IF(AND(S65&gt;=22,S65&lt;=26),"PROXIMOS FECHA CORTA", "VIGENTE"))))</f>
        <v>FECHA CORTA</v>
      </c>
      <c r="AD65" s="181">
        <f>+IFERROR(IF(MACHACHI[[#This Row],[CODIGO]]="","",MACHACHI[[#This Row],[Stock Actual Unds]]*MACHACHI[[#This Row],[Gramaje]]*MACHACHI[[#This Row],[Conversión]]),"")/1000</f>
        <v>2.16E-3</v>
      </c>
    </row>
    <row r="66" spans="1:30">
      <c r="A66" s="42" t="str">
        <f>+IFERROR(IF(MACHACHI[[#This Row],[CODIGO]]="","",VLOOKUP(MACHACHI[[#This Row],[CODIGO]],MAESTRO!$A:$J,10,FALSE)),"")</f>
        <v>MULTIEMPAQUE_MACH</v>
      </c>
      <c r="B66" s="42" t="str">
        <f>+IFERROR(IF(MACHACHI[[#This Row],[CODIGO]]="","",VLOOKUP(MACHACHI[[#This Row],[CODIGO]],MAESTRO!$A:$Q,17,FALSE)),"")</f>
        <v>BEBIDAS LACTEAS</v>
      </c>
      <c r="C66" s="42" t="str">
        <f>+IFERROR(IF(MACHACHI[[#This Row],[CODIGO]]="","",VLOOKUP(MACHACHI[[#This Row],[CODIGO]],MAESTRO!$A:$BA,53,FALSE)),"")</f>
        <v xml:space="preserve">Luis Armendariz                         </v>
      </c>
      <c r="D66" s="42" t="str">
        <f>+IFERROR(IF(MACHACHI[[#This Row],[CODIGO]]="","",VLOOKUP(MACHACHI[[#This Row],[CODIGO]],MAESTRO!$A:$D,4,FALSE)),"")</f>
        <v>YOGURT FINESSE</v>
      </c>
      <c r="E66" s="42" t="str">
        <f>+IFERROR(IF(MACHACHI[[#This Row],[CODIGO]]="","",VLOOKUP(MACHACHI[[#This Row],[CODIGO]],MAESTRO!$A:$F,6,FALSE)),"")</f>
        <v>YOGURT FINESSE DESLACT BOTELLA PERSONAL</v>
      </c>
      <c r="F66" s="42" t="str">
        <f>IF(MACHACHI[[#This Row],[CODIGO]]="","",$K$6)</f>
        <v>MACHACHI</v>
      </c>
      <c r="G66" s="49">
        <f>IF(MACHACHI[[#This Row],[CODIGO]]="","",7701)</f>
        <v>7701</v>
      </c>
      <c r="H66" s="49">
        <f>IF(MACHACHI[[#This Row],[CODIGO]]="","",1080)</f>
        <v>1080</v>
      </c>
      <c r="I66" s="256" t="s">
        <v>2966</v>
      </c>
      <c r="J66" s="25" t="str">
        <f>IFERROR((VLOOKUP(MACHACHI[[#This Row],[CODIGO]],MAESTRO!A:B,2,FALSE)),"")</f>
        <v>MPX4 YOG FNSSE MULTSAB BOT 180G</v>
      </c>
      <c r="K66" s="47">
        <v>4</v>
      </c>
      <c r="L66" s="38">
        <f>+IFERROR(IF(MACHACHI[[#This Row],[CODIGO]]="","",VLOOKUP(MACHACHI[[#This Row],[CODIGO]],MAESTRO!$A:$BF,58,FALSE)),"")</f>
        <v>1</v>
      </c>
      <c r="M66" s="27">
        <f>+IFERROR(IF(MACHACHI[[#This Row],[CODIGO]]="","",VLOOKUP(MACHACHI[[#This Row],[CODIGO]],MAESTRO!A:N,14,FALSE)),"")</f>
        <v>0.72</v>
      </c>
      <c r="N66" s="28">
        <f>+IFERROR(IF(MACHACHI[[#This Row],[CODIGO]]="","",VLOOKUP(MACHACHI[[#This Row],[CODIGO]],MAESTRO!A:P,16,FALSE)),"")</f>
        <v>45</v>
      </c>
      <c r="O66" s="182">
        <f>+IF(MACHACHI[[#This Row],[CODIGO]]="","",MACHACHI[[#This Row],[Fecha Elab.]])</f>
        <v>45618</v>
      </c>
      <c r="P66" s="99" t="str">
        <f t="shared" si="10"/>
        <v>viernes</v>
      </c>
      <c r="Q66" s="183">
        <f>IFERROR(IF(MACHACHI[[#This Row],[CODIGO]]="","",IF(MACHACHI[[#This Row],[Fecha Cad]]="","",(MACHACHI[[#This Row],[Fecha Cad]]-MACHACHI[[#This Row],[VIDA UTIL (Días)]]))+1),"")</f>
        <v>45618</v>
      </c>
      <c r="R66" s="18">
        <v>45662</v>
      </c>
      <c r="S66" s="180">
        <f t="shared" ca="1" si="11"/>
        <v>38</v>
      </c>
      <c r="T66" s="207">
        <f t="shared" ca="1" si="9"/>
        <v>0.84444444444444444</v>
      </c>
      <c r="U66" s="47">
        <v>4</v>
      </c>
      <c r="V66" s="184">
        <f>+IFERROR(IF(MACHACHI[[#This Row],[CODIGO]]="","",MACHACHI[[#This Row],[Stock Actual Unds]]*MACHACHI[[#This Row],[Gramaje]]*MACHACHI[[#This Row],[Conversión]]),"")</f>
        <v>2.88</v>
      </c>
      <c r="W66" s="45">
        <f>+IFERROR(IF(I65="","",MACHACHI[[#This Row],[Fecha Elab.]]-MACHACHI[[#This Row],[Fecha de Ingreso]]),"")</f>
        <v>0</v>
      </c>
      <c r="X66" s="44">
        <f t="shared" si="8"/>
        <v>1</v>
      </c>
      <c r="Y66" s="236">
        <f>+IFERROR(IF(MACHACHI[[#This Row],[CODIGO]]="","",VLOOKUP(MACHACHI[[#This Row],[CODIGO]],MAESTRO!A:BI,21,FALSE)),"")</f>
        <v>1.325315</v>
      </c>
      <c r="Z66" s="236">
        <f>+IFERROR(IF(MACHACHI[[#This Row],[CODIGO]]="","",Y66*MACHACHI[[#This Row],[Conversión]]),"")</f>
        <v>1.325315</v>
      </c>
      <c r="AA66" s="236">
        <f>+IFERROR(IF(MACHACHI[[#This Row],[CODIGO]]="","",MACHACHI[[#This Row],[COSTO UNIT Conv]]*MACHACHI[[#This Row],[Stock Actual Unds]]),"")</f>
        <v>5.3012600000000001</v>
      </c>
      <c r="AB66" s="180">
        <f ca="1">+IFERROR(IF(MACHACHI[[#This Row],[CODIGO]]="","",$J$3-O66),"")</f>
        <v>6</v>
      </c>
      <c r="AC66" s="35" t="str">
        <f ca="1">IF(MACHACHI[[#This Row],[CODIGO]]="","",IF(S66&lt;=0,"CADUCADO",IF(AND(S66&gt;0,S66&lt;=21),"FECHA CORTA",IF(AND(S66&gt;=22,S66&lt;=26),"PROXIMOS FECHA CORTA", "VIGENTE"))))</f>
        <v>VIGENTE</v>
      </c>
      <c r="AD66" s="181">
        <f>+IFERROR(IF(MACHACHI[[#This Row],[CODIGO]]="","",MACHACHI[[#This Row],[Stock Actual Unds]]*MACHACHI[[#This Row],[Gramaje]]*MACHACHI[[#This Row],[Conversión]]),"")/1000</f>
        <v>2.8799999999999997E-3</v>
      </c>
    </row>
    <row r="67" spans="1:30">
      <c r="A67" s="42" t="str">
        <f>+IFERROR(IF(MACHACHI[[#This Row],[CODIGO]]="","",VLOOKUP(MACHACHI[[#This Row],[CODIGO]],MAESTRO!$A:$J,10,FALSE)),"")</f>
        <v>MULTIEMPAQUE_MACH</v>
      </c>
      <c r="B67" s="42" t="str">
        <f>+IFERROR(IF(MACHACHI[[#This Row],[CODIGO]]="","",VLOOKUP(MACHACHI[[#This Row],[CODIGO]],MAESTRO!$A:$Q,17,FALSE)),"")</f>
        <v>BEBIDAS LACTEAS</v>
      </c>
      <c r="C67" s="42" t="str">
        <f>+IFERROR(IF(MACHACHI[[#This Row],[CODIGO]]="","",VLOOKUP(MACHACHI[[#This Row],[CODIGO]],MAESTRO!$A:$BA,53,FALSE)),"")</f>
        <v xml:space="preserve">Luis Armendariz                         </v>
      </c>
      <c r="D67" s="42" t="str">
        <f>+IFERROR(IF(MACHACHI[[#This Row],[CODIGO]]="","",VLOOKUP(MACHACHI[[#This Row],[CODIGO]],MAESTRO!$A:$D,4,FALSE)),"")</f>
        <v>YOGURT KIOSKO</v>
      </c>
      <c r="E67" s="42" t="str">
        <f>+IFERROR(IF(MACHACHI[[#This Row],[CODIGO]]="","",VLOOKUP(MACHACHI[[#This Row],[CODIGO]],MAESTRO!$A:$F,6,FALSE)),"")</f>
        <v>BEBIDA DE YOGURT KIOSKO BOTELLA PERSONAL</v>
      </c>
      <c r="F67" s="42" t="str">
        <f>IF(MACHACHI[[#This Row],[CODIGO]]="","",$K$6)</f>
        <v>MACHACHI</v>
      </c>
      <c r="G67" s="49">
        <f>IF(MACHACHI[[#This Row],[CODIGO]]="","",7701)</f>
        <v>7701</v>
      </c>
      <c r="H67" s="49">
        <f>IF(MACHACHI[[#This Row],[CODIGO]]="","",1080)</f>
        <v>1080</v>
      </c>
      <c r="I67" s="256" t="s">
        <v>960</v>
      </c>
      <c r="J67" s="25" t="str">
        <f>IFERROR((VLOOKUP(MACHACHI[[#This Row],[CODIGO]],MAESTRO!A:B,2,FALSE)),"")</f>
        <v>MPX6 YOG BBLE KID KK MULTSAB BOT 120G</v>
      </c>
      <c r="K67" s="47">
        <v>396</v>
      </c>
      <c r="L67" s="38">
        <f>+IFERROR(IF(MACHACHI[[#This Row],[CODIGO]]="","",VLOOKUP(MACHACHI[[#This Row],[CODIGO]],MAESTRO!$A:$BF,58,FALSE)),"")</f>
        <v>1</v>
      </c>
      <c r="M67" s="27">
        <f>+IFERROR(IF(MACHACHI[[#This Row],[CODIGO]]="","",VLOOKUP(MACHACHI[[#This Row],[CODIGO]],MAESTRO!A:N,14,FALSE)),"")</f>
        <v>0.72</v>
      </c>
      <c r="N67" s="28">
        <f>+IFERROR(IF(MACHACHI[[#This Row],[CODIGO]]="","",VLOOKUP(MACHACHI[[#This Row],[CODIGO]],MAESTRO!A:P,16,FALSE)),"")</f>
        <v>45</v>
      </c>
      <c r="O67" s="182">
        <f>+IF(MACHACHI[[#This Row],[CODIGO]]="","",MACHACHI[[#This Row],[Fecha Elab.]])</f>
        <v>45653</v>
      </c>
      <c r="P67" s="99" t="str">
        <f t="shared" ref="P67:P79" si="12">+IF(R67="","",TEXT(O67,"dddd"))</f>
        <v>viernes</v>
      </c>
      <c r="Q67" s="183">
        <f>IFERROR(IF(MACHACHI[[#This Row],[CODIGO]]="","",IF(MACHACHI[[#This Row],[Fecha Cad]]="","",(MACHACHI[[#This Row],[Fecha Cad]]-MACHACHI[[#This Row],[VIDA UTIL (Días)]]))+1),"")</f>
        <v>45653</v>
      </c>
      <c r="R67" s="18">
        <v>45697</v>
      </c>
      <c r="S67" s="180">
        <f t="shared" ref="S67:S79" ca="1" si="13">+IFERROR(IF(R67="","",R67-$J$3),0)</f>
        <v>73</v>
      </c>
      <c r="T67" s="207">
        <f t="shared" ref="T67:T79" ca="1" si="14">IFERROR(IF(8="","",S67/N67),0)</f>
        <v>1.6222222222222222</v>
      </c>
      <c r="U67" s="47">
        <v>396</v>
      </c>
      <c r="V67" s="184">
        <f>+IFERROR(IF(MACHACHI[[#This Row],[CODIGO]]="","",MACHACHI[[#This Row],[Stock Actual Unds]]*MACHACHI[[#This Row],[Gramaje]]*MACHACHI[[#This Row],[Conversión]]),"")</f>
        <v>285.12</v>
      </c>
      <c r="W67" s="45">
        <f>+IFERROR(IF(I66="","",MACHACHI[[#This Row],[Fecha Elab.]]-MACHACHI[[#This Row],[Fecha de Ingreso]]),"")</f>
        <v>0</v>
      </c>
      <c r="X67" s="44">
        <f t="shared" si="8"/>
        <v>1</v>
      </c>
      <c r="Y67" s="236">
        <f>+IFERROR(IF(MACHACHI[[#This Row],[CODIGO]]="","",VLOOKUP(MACHACHI[[#This Row],[CODIGO]],MAESTRO!A:BI,21,FALSE)),"")</f>
        <v>1.6533599999999999</v>
      </c>
      <c r="Z67" s="236">
        <f>+IFERROR(IF(MACHACHI[[#This Row],[CODIGO]]="","",Y67*MACHACHI[[#This Row],[Conversión]]),"")</f>
        <v>1.6533599999999999</v>
      </c>
      <c r="AA67" s="236">
        <f>+IFERROR(IF(MACHACHI[[#This Row],[CODIGO]]="","",MACHACHI[[#This Row],[COSTO UNIT Conv]]*MACHACHI[[#This Row],[Stock Actual Unds]]),"")</f>
        <v>654.73055999999997</v>
      </c>
      <c r="AB67" s="180">
        <f ca="1">+IFERROR(IF(MACHACHI[[#This Row],[CODIGO]]="","",$J$3-O67),"")</f>
        <v>-29</v>
      </c>
      <c r="AC67" s="35" t="str">
        <f ca="1">IF(MACHACHI[[#This Row],[CODIGO]]="","",IF(S67&lt;=0,"CADUCADO",IF(AND(S67&gt;0,S67&lt;=21),"FECHA CORTA",IF(AND(S67&gt;=22,S67&lt;=26),"PROXIMOS FECHA CORTA", "VIGENTE"))))</f>
        <v>VIGENTE</v>
      </c>
      <c r="AD67" s="181">
        <f>+IFERROR(IF(MACHACHI[[#This Row],[CODIGO]]="","",MACHACHI[[#This Row],[Stock Actual Unds]]*MACHACHI[[#This Row],[Gramaje]]*MACHACHI[[#This Row],[Conversión]]),"")/1000</f>
        <v>0.28511999999999998</v>
      </c>
    </row>
    <row r="68" spans="1:30">
      <c r="A68" s="42" t="str">
        <f>+IFERROR(IF(MACHACHI[[#This Row],[CODIGO]]="","",VLOOKUP(MACHACHI[[#This Row],[CODIGO]],MAESTRO!$A:$J,10,FALSE)),"")</f>
        <v>MULTIEMPAQUE_MACH</v>
      </c>
      <c r="B68" s="42" t="str">
        <f>+IFERROR(IF(MACHACHI[[#This Row],[CODIGO]]="","",VLOOKUP(MACHACHI[[#This Row],[CODIGO]],MAESTRO!$A:$Q,17,FALSE)),"")</f>
        <v>BEBIDAS LACTEAS</v>
      </c>
      <c r="C68" s="42" t="str">
        <f>+IFERROR(IF(MACHACHI[[#This Row],[CODIGO]]="","",VLOOKUP(MACHACHI[[#This Row],[CODIGO]],MAESTRO!$A:$BA,53,FALSE)),"")</f>
        <v xml:space="preserve">Luis Armendariz                         </v>
      </c>
      <c r="D68" s="42" t="str">
        <f>+IFERROR(IF(MACHACHI[[#This Row],[CODIGO]]="","",VLOOKUP(MACHACHI[[#This Row],[CODIGO]],MAESTRO!$A:$D,4,FALSE)),"")</f>
        <v>YOGURT KIOSKO</v>
      </c>
      <c r="E68" s="42" t="str">
        <f>+IFERROR(IF(MACHACHI[[#This Row],[CODIGO]]="","",VLOOKUP(MACHACHI[[#This Row],[CODIGO]],MAESTRO!$A:$F,6,FALSE)),"")</f>
        <v>BEBIDA DE YOGURT KIOSKO BOTELLA PERSONAL</v>
      </c>
      <c r="F68" s="42" t="str">
        <f>IF(MACHACHI[[#This Row],[CODIGO]]="","",$K$6)</f>
        <v>MACHACHI</v>
      </c>
      <c r="G68" s="49">
        <f>IF(MACHACHI[[#This Row],[CODIGO]]="","",7701)</f>
        <v>7701</v>
      </c>
      <c r="H68" s="49">
        <f>IF(MACHACHI[[#This Row],[CODIGO]]="","",1080)</f>
        <v>1080</v>
      </c>
      <c r="I68" s="256" t="s">
        <v>1545</v>
      </c>
      <c r="J68" s="25" t="str">
        <f>IFERROR((VLOOKUP(MACHACHI[[#This Row],[CODIGO]],MAESTRO!A:B,2,FALSE)),"")</f>
        <v>MPX6 YOG BBLE KIOSKO 180</v>
      </c>
      <c r="K68" s="47">
        <v>60</v>
      </c>
      <c r="L68" s="38">
        <f>+IFERROR(IF(MACHACHI[[#This Row],[CODIGO]]="","",VLOOKUP(MACHACHI[[#This Row],[CODIGO]],MAESTRO!$A:$BF,58,FALSE)),"")</f>
        <v>1</v>
      </c>
      <c r="M68" s="27">
        <f>+IFERROR(IF(MACHACHI[[#This Row],[CODIGO]]="","",VLOOKUP(MACHACHI[[#This Row],[CODIGO]],MAESTRO!A:N,14,FALSE)),"")</f>
        <v>1.08</v>
      </c>
      <c r="N68" s="28">
        <f>+IFERROR(IF(MACHACHI[[#This Row],[CODIGO]]="","",VLOOKUP(MACHACHI[[#This Row],[CODIGO]],MAESTRO!A:P,16,FALSE)),"")</f>
        <v>45</v>
      </c>
      <c r="O68" s="182">
        <f>+IF(MACHACHI[[#This Row],[CODIGO]]="","",MACHACHI[[#This Row],[Fecha Elab.]])</f>
        <v>45618</v>
      </c>
      <c r="P68" s="99" t="str">
        <f t="shared" si="12"/>
        <v>viernes</v>
      </c>
      <c r="Q68" s="183">
        <f>IFERROR(IF(MACHACHI[[#This Row],[CODIGO]]="","",IF(MACHACHI[[#This Row],[Fecha Cad]]="","",(MACHACHI[[#This Row],[Fecha Cad]]-MACHACHI[[#This Row],[VIDA UTIL (Días)]]))+1),"")</f>
        <v>45618</v>
      </c>
      <c r="R68" s="18">
        <v>45662</v>
      </c>
      <c r="S68" s="180">
        <f t="shared" ca="1" si="13"/>
        <v>38</v>
      </c>
      <c r="T68" s="207">
        <f t="shared" ca="1" si="14"/>
        <v>0.84444444444444444</v>
      </c>
      <c r="U68" s="47">
        <v>60</v>
      </c>
      <c r="V68" s="184">
        <f>+IFERROR(IF(MACHACHI[[#This Row],[CODIGO]]="","",MACHACHI[[#This Row],[Stock Actual Unds]]*MACHACHI[[#This Row],[Gramaje]]*MACHACHI[[#This Row],[Conversión]]),"")</f>
        <v>64.800000000000011</v>
      </c>
      <c r="W68" s="45">
        <f>+IFERROR(IF(I67="","",MACHACHI[[#This Row],[Fecha Elab.]]-MACHACHI[[#This Row],[Fecha de Ingreso]]),"")</f>
        <v>0</v>
      </c>
      <c r="X68" s="44">
        <f t="shared" ref="X68:X97" si="15">IFERROR(IF(I68="","",1-(W68/N68)),"")</f>
        <v>1</v>
      </c>
      <c r="Y68" s="236">
        <f>+IFERROR(IF(MACHACHI[[#This Row],[CODIGO]]="","",VLOOKUP(MACHACHI[[#This Row],[CODIGO]],MAESTRO!A:BI,21,FALSE)),"")</f>
        <v>1.5516000000000001</v>
      </c>
      <c r="Z68" s="236">
        <f>+IFERROR(IF(MACHACHI[[#This Row],[CODIGO]]="","",Y68*MACHACHI[[#This Row],[Conversión]]),"")</f>
        <v>1.5516000000000001</v>
      </c>
      <c r="AA68" s="236">
        <f>+IFERROR(IF(MACHACHI[[#This Row],[CODIGO]]="","",MACHACHI[[#This Row],[COSTO UNIT Conv]]*MACHACHI[[#This Row],[Stock Actual Unds]]),"")</f>
        <v>93.096000000000004</v>
      </c>
      <c r="AB68" s="180">
        <f ca="1">+IFERROR(IF(MACHACHI[[#This Row],[CODIGO]]="","",$J$3-O68),"")</f>
        <v>6</v>
      </c>
      <c r="AC68" s="35" t="str">
        <f ca="1">IF(MACHACHI[[#This Row],[CODIGO]]="","",IF(S68&lt;=0,"CADUCADO",IF(AND(S68&gt;0,S68&lt;=21),"FECHA CORTA",IF(AND(S68&gt;=22,S68&lt;=26),"PROXIMOS FECHA CORTA", "VIGENTE"))))</f>
        <v>VIGENTE</v>
      </c>
      <c r="AD68" s="181">
        <f>+IFERROR(IF(MACHACHI[[#This Row],[CODIGO]]="","",MACHACHI[[#This Row],[Stock Actual Unds]]*MACHACHI[[#This Row],[Gramaje]]*MACHACHI[[#This Row],[Conversión]]),"")/1000</f>
        <v>6.480000000000001E-2</v>
      </c>
    </row>
    <row r="69" spans="1:30">
      <c r="A69" s="42" t="str">
        <f>+IFERROR(IF(MACHACHI[[#This Row],[CODIGO]]="","",VLOOKUP(MACHACHI[[#This Row],[CODIGO]],MAESTRO!$A:$J,10,FALSE)),"")</f>
        <v>MULTIEMPAQUE_MACH</v>
      </c>
      <c r="B69" s="42" t="str">
        <f>+IFERROR(IF(MACHACHI[[#This Row],[CODIGO]]="","",VLOOKUP(MACHACHI[[#This Row],[CODIGO]],MAESTRO!$A:$Q,17,FALSE)),"")</f>
        <v>BEBIDAS LACTEAS</v>
      </c>
      <c r="C69" s="42" t="str">
        <f>+IFERROR(IF(MACHACHI[[#This Row],[CODIGO]]="","",VLOOKUP(MACHACHI[[#This Row],[CODIGO]],MAESTRO!$A:$BA,53,FALSE)),"")</f>
        <v xml:space="preserve">Luis Armendariz                         </v>
      </c>
      <c r="D69" s="42" t="str">
        <f>+IFERROR(IF(MACHACHI[[#This Row],[CODIGO]]="","",VLOOKUP(MACHACHI[[#This Row],[CODIGO]],MAESTRO!$A:$D,4,FALSE)),"")</f>
        <v>REGENERIS</v>
      </c>
      <c r="E69" s="42" t="str">
        <f>+IFERROR(IF(MACHACHI[[#This Row],[CODIGO]]="","",VLOOKUP(MACHACHI[[#This Row],[CODIGO]],MAESTRO!$A:$F,6,FALSE)),"")</f>
        <v>REGENERIS REGULAR VASO</v>
      </c>
      <c r="F69" s="42" t="str">
        <f>IF(MACHACHI[[#This Row],[CODIGO]]="","",$K$6)</f>
        <v>MACHACHI</v>
      </c>
      <c r="G69" s="49">
        <f>IF(MACHACHI[[#This Row],[CODIGO]]="","",7701)</f>
        <v>7701</v>
      </c>
      <c r="H69" s="49">
        <f>IF(MACHACHI[[#This Row],[CODIGO]]="","",1080)</f>
        <v>1080</v>
      </c>
      <c r="I69" s="256" t="s">
        <v>771</v>
      </c>
      <c r="J69" s="25" t="str">
        <f>IFERROR((VLOOKUP(MACHACHI[[#This Row],[CODIGO]],MAESTRO!A:B,2,FALSE)),"")</f>
        <v>MPLX6 RGN TZOS MULTSAB VASO 150G</v>
      </c>
      <c r="K69" s="47">
        <v>17</v>
      </c>
      <c r="L69" s="38">
        <f>+IFERROR(IF(MACHACHI[[#This Row],[CODIGO]]="","",VLOOKUP(MACHACHI[[#This Row],[CODIGO]],MAESTRO!$A:$BF,58,FALSE)),"")</f>
        <v>1</v>
      </c>
      <c r="M69" s="27">
        <f>+IFERROR(IF(MACHACHI[[#This Row],[CODIGO]]="","",VLOOKUP(MACHACHI[[#This Row],[CODIGO]],MAESTRO!A:N,14,FALSE)),"")</f>
        <v>0.9</v>
      </c>
      <c r="N69" s="28">
        <f>+IFERROR(IF(MACHACHI[[#This Row],[CODIGO]]="","",VLOOKUP(MACHACHI[[#This Row],[CODIGO]],MAESTRO!A:P,16,FALSE)),"")</f>
        <v>45</v>
      </c>
      <c r="O69" s="182">
        <f>+IF(MACHACHI[[#This Row],[CODIGO]]="","",MACHACHI[[#This Row],[Fecha Elab.]])</f>
        <v>45595</v>
      </c>
      <c r="P69" s="99" t="str">
        <f t="shared" si="12"/>
        <v>miércoles</v>
      </c>
      <c r="Q69" s="183">
        <f>IFERROR(IF(MACHACHI[[#This Row],[CODIGO]]="","",IF(MACHACHI[[#This Row],[Fecha Cad]]="","",(MACHACHI[[#This Row],[Fecha Cad]]-MACHACHI[[#This Row],[VIDA UTIL (Días)]]))+1),"")</f>
        <v>45595</v>
      </c>
      <c r="R69" s="18">
        <v>45639</v>
      </c>
      <c r="S69" s="180">
        <f t="shared" ca="1" si="13"/>
        <v>15</v>
      </c>
      <c r="T69" s="207">
        <f t="shared" ca="1" si="14"/>
        <v>0.33333333333333331</v>
      </c>
      <c r="U69" s="47">
        <v>17</v>
      </c>
      <c r="V69" s="184">
        <f>+IFERROR(IF(MACHACHI[[#This Row],[CODIGO]]="","",MACHACHI[[#This Row],[Stock Actual Unds]]*MACHACHI[[#This Row],[Gramaje]]*MACHACHI[[#This Row],[Conversión]]),"")</f>
        <v>15.3</v>
      </c>
      <c r="W69" s="45">
        <f>+IFERROR(IF(I68="","",MACHACHI[[#This Row],[Fecha Elab.]]-MACHACHI[[#This Row],[Fecha de Ingreso]]),"")</f>
        <v>0</v>
      </c>
      <c r="X69" s="44">
        <f t="shared" si="15"/>
        <v>1</v>
      </c>
      <c r="Y69" s="236">
        <f>+IFERROR(IF(MACHACHI[[#This Row],[CODIGO]]="","",VLOOKUP(MACHACHI[[#This Row],[CODIGO]],MAESTRO!A:BI,21,FALSE)),"")</f>
        <v>1.50911</v>
      </c>
      <c r="Z69" s="236">
        <f>+IFERROR(IF(MACHACHI[[#This Row],[CODIGO]]="","",Y69*MACHACHI[[#This Row],[Conversión]]),"")</f>
        <v>1.50911</v>
      </c>
      <c r="AA69" s="236">
        <f>+IFERROR(IF(MACHACHI[[#This Row],[CODIGO]]="","",MACHACHI[[#This Row],[COSTO UNIT Conv]]*MACHACHI[[#This Row],[Stock Actual Unds]]),"")</f>
        <v>25.654869999999999</v>
      </c>
      <c r="AB69" s="180">
        <f ca="1">+IFERROR(IF(MACHACHI[[#This Row],[CODIGO]]="","",$J$3-O69),"")</f>
        <v>29</v>
      </c>
      <c r="AC69" s="35" t="str">
        <f ca="1">IF(MACHACHI[[#This Row],[CODIGO]]="","",IF(S69&lt;=0,"CADUCADO",IF(AND(S69&gt;0,S69&lt;=21),"FECHA CORTA",IF(AND(S69&gt;=22,S69&lt;=26),"PROXIMOS FECHA CORTA", "VIGENTE"))))</f>
        <v>FECHA CORTA</v>
      </c>
      <c r="AD69" s="181">
        <f>+IFERROR(IF(MACHACHI[[#This Row],[CODIGO]]="","",MACHACHI[[#This Row],[Stock Actual Unds]]*MACHACHI[[#This Row],[Gramaje]]*MACHACHI[[#This Row],[Conversión]]),"")/1000</f>
        <v>1.5300000000000001E-2</v>
      </c>
    </row>
    <row r="70" spans="1:30">
      <c r="A70" s="42" t="str">
        <f>+IFERROR(IF(MACHACHI[[#This Row],[CODIGO]]="","",VLOOKUP(MACHACHI[[#This Row],[CODIGO]],MAESTRO!$A:$J,10,FALSE)),"")</f>
        <v>MULTIEMPAQUE_MACH</v>
      </c>
      <c r="B70" s="42" t="str">
        <f>+IFERROR(IF(MACHACHI[[#This Row],[CODIGO]]="","",VLOOKUP(MACHACHI[[#This Row],[CODIGO]],MAESTRO!$A:$Q,17,FALSE)),"")</f>
        <v>BEBIDAS LACTEAS</v>
      </c>
      <c r="C70" s="42" t="str">
        <f>+IFERROR(IF(MACHACHI[[#This Row],[CODIGO]]="","",VLOOKUP(MACHACHI[[#This Row],[CODIGO]],MAESTRO!$A:$BA,53,FALSE)),"")</f>
        <v xml:space="preserve">Luis Armendariz                         </v>
      </c>
      <c r="D70" s="42" t="str">
        <f>+IFERROR(IF(MACHACHI[[#This Row],[CODIGO]]="","",VLOOKUP(MACHACHI[[#This Row],[CODIGO]],MAESTRO!$A:$D,4,FALSE)),"")</f>
        <v>REGENERIS</v>
      </c>
      <c r="E70" s="42" t="str">
        <f>+IFERROR(IF(MACHACHI[[#This Row],[CODIGO]]="","",VLOOKUP(MACHACHI[[#This Row],[CODIGO]],MAESTRO!$A:$F,6,FALSE)),"")</f>
        <v>REGENERIS REGULAR VASO</v>
      </c>
      <c r="F70" s="42" t="str">
        <f>IF(MACHACHI[[#This Row],[CODIGO]]="","",$K$6)</f>
        <v>MACHACHI</v>
      </c>
      <c r="G70" s="49">
        <f>IF(MACHACHI[[#This Row],[CODIGO]]="","",7701)</f>
        <v>7701</v>
      </c>
      <c r="H70" s="49">
        <f>IF(MACHACHI[[#This Row],[CODIGO]]="","",1080)</f>
        <v>1080</v>
      </c>
      <c r="I70" s="256" t="s">
        <v>771</v>
      </c>
      <c r="J70" s="25" t="str">
        <f>IFERROR((VLOOKUP(MACHACHI[[#This Row],[CODIGO]],MAESTRO!A:B,2,FALSE)),"")</f>
        <v>MPLX6 RGN TZOS MULTSAB VASO 150G</v>
      </c>
      <c r="K70" s="47">
        <v>79</v>
      </c>
      <c r="L70" s="38">
        <f>+IFERROR(IF(MACHACHI[[#This Row],[CODIGO]]="","",VLOOKUP(MACHACHI[[#This Row],[CODIGO]],MAESTRO!$A:$BF,58,FALSE)),"")</f>
        <v>1</v>
      </c>
      <c r="M70" s="27">
        <f>+IFERROR(IF(MACHACHI[[#This Row],[CODIGO]]="","",VLOOKUP(MACHACHI[[#This Row],[CODIGO]],MAESTRO!A:N,14,FALSE)),"")</f>
        <v>0.9</v>
      </c>
      <c r="N70" s="28">
        <f>+IFERROR(IF(MACHACHI[[#This Row],[CODIGO]]="","",VLOOKUP(MACHACHI[[#This Row],[CODIGO]],MAESTRO!A:P,16,FALSE)),"")</f>
        <v>45</v>
      </c>
      <c r="O70" s="182">
        <f>+IF(MACHACHI[[#This Row],[CODIGO]]="","",MACHACHI[[#This Row],[Fecha Elab.]])</f>
        <v>45619</v>
      </c>
      <c r="P70" s="99" t="str">
        <f t="shared" si="12"/>
        <v>sábado</v>
      </c>
      <c r="Q70" s="183">
        <f>IFERROR(IF(MACHACHI[[#This Row],[CODIGO]]="","",IF(MACHACHI[[#This Row],[Fecha Cad]]="","",(MACHACHI[[#This Row],[Fecha Cad]]-MACHACHI[[#This Row],[VIDA UTIL (Días)]]))+1),"")</f>
        <v>45619</v>
      </c>
      <c r="R70" s="18">
        <v>45663</v>
      </c>
      <c r="S70" s="180">
        <f t="shared" ca="1" si="13"/>
        <v>39</v>
      </c>
      <c r="T70" s="207">
        <f t="shared" ca="1" si="14"/>
        <v>0.8666666666666667</v>
      </c>
      <c r="U70" s="47">
        <v>79</v>
      </c>
      <c r="V70" s="184">
        <f>+IFERROR(IF(MACHACHI[[#This Row],[CODIGO]]="","",MACHACHI[[#This Row],[Stock Actual Unds]]*MACHACHI[[#This Row],[Gramaje]]*MACHACHI[[#This Row],[Conversión]]),"")</f>
        <v>71.100000000000009</v>
      </c>
      <c r="W70" s="45">
        <f>+IFERROR(IF(I69="","",MACHACHI[[#This Row],[Fecha Elab.]]-MACHACHI[[#This Row],[Fecha de Ingreso]]),"")</f>
        <v>0</v>
      </c>
      <c r="X70" s="44">
        <f t="shared" si="15"/>
        <v>1</v>
      </c>
      <c r="Y70" s="236">
        <f>+IFERROR(IF(MACHACHI[[#This Row],[CODIGO]]="","",VLOOKUP(MACHACHI[[#This Row],[CODIGO]],MAESTRO!A:BI,21,FALSE)),"")</f>
        <v>1.50911</v>
      </c>
      <c r="Z70" s="236">
        <f>+IFERROR(IF(MACHACHI[[#This Row],[CODIGO]]="","",Y70*MACHACHI[[#This Row],[Conversión]]),"")</f>
        <v>1.50911</v>
      </c>
      <c r="AA70" s="236">
        <f>+IFERROR(IF(MACHACHI[[#This Row],[CODIGO]]="","",MACHACHI[[#This Row],[COSTO UNIT Conv]]*MACHACHI[[#This Row],[Stock Actual Unds]]),"")</f>
        <v>119.21969</v>
      </c>
      <c r="AB70" s="180">
        <f ca="1">+IFERROR(IF(MACHACHI[[#This Row],[CODIGO]]="","",$J$3-O70),"")</f>
        <v>5</v>
      </c>
      <c r="AC70" s="35" t="str">
        <f ca="1">IF(MACHACHI[[#This Row],[CODIGO]]="","",IF(S70&lt;=0,"CADUCADO",IF(AND(S70&gt;0,S70&lt;=21),"FECHA CORTA",IF(AND(S70&gt;=22,S70&lt;=26),"PROXIMOS FECHA CORTA", "VIGENTE"))))</f>
        <v>VIGENTE</v>
      </c>
      <c r="AD70" s="181">
        <f>+IFERROR(IF(MACHACHI[[#This Row],[CODIGO]]="","",MACHACHI[[#This Row],[Stock Actual Unds]]*MACHACHI[[#This Row],[Gramaje]]*MACHACHI[[#This Row],[Conversión]]),"")/1000</f>
        <v>7.110000000000001E-2</v>
      </c>
    </row>
    <row r="71" spans="1:30">
      <c r="A71" s="42" t="str">
        <f>+IFERROR(IF(MACHACHI[[#This Row],[CODIGO]]="","",VLOOKUP(MACHACHI[[#This Row],[CODIGO]],MAESTRO!$A:$J,10,FALSE)),"")</f>
        <v>MULTIEMPAQUE_MACH</v>
      </c>
      <c r="B71" s="42" t="str">
        <f>+IFERROR(IF(MACHACHI[[#This Row],[CODIGO]]="","",VLOOKUP(MACHACHI[[#This Row],[CODIGO]],MAESTRO!$A:$Q,17,FALSE)),"")</f>
        <v>BEBIDAS LACTEAS</v>
      </c>
      <c r="C71" s="42" t="str">
        <f>+IFERROR(IF(MACHACHI[[#This Row],[CODIGO]]="","",VLOOKUP(MACHACHI[[#This Row],[CODIGO]],MAESTRO!$A:$BA,53,FALSE)),"")</f>
        <v xml:space="preserve">Luis Armendariz                         </v>
      </c>
      <c r="D71" s="42" t="str">
        <f>+IFERROR(IF(MACHACHI[[#This Row],[CODIGO]]="","",VLOOKUP(MACHACHI[[#This Row],[CODIGO]],MAESTRO!$A:$D,4,FALSE)),"")</f>
        <v>BON YURT</v>
      </c>
      <c r="E71" s="42" t="str">
        <f>+IFERROR(IF(MACHACHI[[#This Row],[CODIGO]]="","",VLOOKUP(MACHACHI[[#This Row],[CODIGO]],MAESTRO!$A:$F,6,FALSE)),"")</f>
        <v>BON YURT REGULAR</v>
      </c>
      <c r="F71" s="42" t="str">
        <f>IF(MACHACHI[[#This Row],[CODIGO]]="","",$K$6)</f>
        <v>MACHACHI</v>
      </c>
      <c r="G71" s="49">
        <f>IF(MACHACHI[[#This Row],[CODIGO]]="","",7701)</f>
        <v>7701</v>
      </c>
      <c r="H71" s="49">
        <f>IF(MACHACHI[[#This Row],[CODIGO]]="","",1080)</f>
        <v>1080</v>
      </c>
      <c r="I71" s="256" t="s">
        <v>1004</v>
      </c>
      <c r="J71" s="25" t="str">
        <f>IFERROR((VLOOKUP(MACHACHI[[#This Row],[CODIGO]],MAESTRO!A:B,2,FALSE)),"")</f>
        <v>MPLX4 BY BLCK VASO 165G</v>
      </c>
      <c r="K71" s="47">
        <v>373</v>
      </c>
      <c r="L71" s="38">
        <f>+IFERROR(IF(MACHACHI[[#This Row],[CODIGO]]="","",VLOOKUP(MACHACHI[[#This Row],[CODIGO]],MAESTRO!$A:$BF,58,FALSE)),"")</f>
        <v>1</v>
      </c>
      <c r="M71" s="27">
        <f>+IFERROR(IF(MACHACHI[[#This Row],[CODIGO]]="","",VLOOKUP(MACHACHI[[#This Row],[CODIGO]],MAESTRO!A:N,14,FALSE)),"")</f>
        <v>0.66</v>
      </c>
      <c r="N71" s="28">
        <f>+IFERROR(IF(MACHACHI[[#This Row],[CODIGO]]="","",VLOOKUP(MACHACHI[[#This Row],[CODIGO]],MAESTRO!A:P,16,FALSE)),"")</f>
        <v>45</v>
      </c>
      <c r="O71" s="182">
        <f>+IF(MACHACHI[[#This Row],[CODIGO]]="","",MACHACHI[[#This Row],[Fecha Elab.]])</f>
        <v>45620</v>
      </c>
      <c r="P71" s="99" t="str">
        <f t="shared" si="12"/>
        <v>domingo</v>
      </c>
      <c r="Q71" s="183">
        <f>IFERROR(IF(MACHACHI[[#This Row],[CODIGO]]="","",IF(MACHACHI[[#This Row],[Fecha Cad]]="","",(MACHACHI[[#This Row],[Fecha Cad]]-MACHACHI[[#This Row],[VIDA UTIL (Días)]]))+1),"")</f>
        <v>45620</v>
      </c>
      <c r="R71" s="18">
        <v>45664</v>
      </c>
      <c r="S71" s="180">
        <f t="shared" ca="1" si="13"/>
        <v>40</v>
      </c>
      <c r="T71" s="207">
        <f t="shared" ca="1" si="14"/>
        <v>0.88888888888888884</v>
      </c>
      <c r="U71" s="47">
        <v>373</v>
      </c>
      <c r="V71" s="184">
        <f>+IFERROR(IF(MACHACHI[[#This Row],[CODIGO]]="","",MACHACHI[[#This Row],[Stock Actual Unds]]*MACHACHI[[#This Row],[Gramaje]]*MACHACHI[[#This Row],[Conversión]]),"")</f>
        <v>246.18</v>
      </c>
      <c r="W71" s="45">
        <f>+IFERROR(IF(I70="","",MACHACHI[[#This Row],[Fecha Elab.]]-MACHACHI[[#This Row],[Fecha de Ingreso]]),"")</f>
        <v>0</v>
      </c>
      <c r="X71" s="44">
        <f t="shared" si="15"/>
        <v>1</v>
      </c>
      <c r="Y71" s="236">
        <f>+IFERROR(IF(MACHACHI[[#This Row],[CODIGO]]="","",VLOOKUP(MACHACHI[[#This Row],[CODIGO]],MAESTRO!A:BI,21,FALSE)),"")</f>
        <v>1.3975849999999999</v>
      </c>
      <c r="Z71" s="236">
        <f>+IFERROR(IF(MACHACHI[[#This Row],[CODIGO]]="","",Y71*MACHACHI[[#This Row],[Conversión]]),"")</f>
        <v>1.3975849999999999</v>
      </c>
      <c r="AA71" s="236">
        <f>+IFERROR(IF(MACHACHI[[#This Row],[CODIGO]]="","",MACHACHI[[#This Row],[COSTO UNIT Conv]]*MACHACHI[[#This Row],[Stock Actual Unds]]),"")</f>
        <v>521.29920499999992</v>
      </c>
      <c r="AB71" s="180">
        <f ca="1">+IFERROR(IF(MACHACHI[[#This Row],[CODIGO]]="","",$J$3-O71),"")</f>
        <v>4</v>
      </c>
      <c r="AC71" s="35" t="str">
        <f ca="1">IF(MACHACHI[[#This Row],[CODIGO]]="","",IF(S71&lt;=0,"CADUCADO",IF(AND(S71&gt;0,S71&lt;=21),"FECHA CORTA",IF(AND(S71&gt;=22,S71&lt;=26),"PROXIMOS FECHA CORTA", "VIGENTE"))))</f>
        <v>VIGENTE</v>
      </c>
      <c r="AD71" s="181">
        <f>+IFERROR(IF(MACHACHI[[#This Row],[CODIGO]]="","",MACHACHI[[#This Row],[Stock Actual Unds]]*MACHACHI[[#This Row],[Gramaje]]*MACHACHI[[#This Row],[Conversión]]),"")/1000</f>
        <v>0.24618000000000001</v>
      </c>
    </row>
    <row r="72" spans="1:30">
      <c r="A72" s="42" t="str">
        <f>+IFERROR(IF(MACHACHI[[#This Row],[CODIGO]]="","",VLOOKUP(MACHACHI[[#This Row],[CODIGO]],MAESTRO!$A:$J,10,FALSE)),"")</f>
        <v>MULTIEMPAQUE_MACH</v>
      </c>
      <c r="B72" s="42" t="str">
        <f>+IFERROR(IF(MACHACHI[[#This Row],[CODIGO]]="","",VLOOKUP(MACHACHI[[#This Row],[CODIGO]],MAESTRO!$A:$Q,17,FALSE)),"")</f>
        <v>BEBIDAS LACTEAS</v>
      </c>
      <c r="C72" s="42" t="str">
        <f>+IFERROR(IF(MACHACHI[[#This Row],[CODIGO]]="","",VLOOKUP(MACHACHI[[#This Row],[CODIGO]],MAESTRO!$A:$BA,53,FALSE)),"")</f>
        <v xml:space="preserve">Luis Armendariz                         </v>
      </c>
      <c r="D72" s="42" t="str">
        <f>+IFERROR(IF(MACHACHI[[#This Row],[CODIGO]]="","",VLOOKUP(MACHACHI[[#This Row],[CODIGO]],MAESTRO!$A:$D,4,FALSE)),"")</f>
        <v>BON YURT</v>
      </c>
      <c r="E72" s="42" t="str">
        <f>+IFERROR(IF(MACHACHI[[#This Row],[CODIGO]]="","",VLOOKUP(MACHACHI[[#This Row],[CODIGO]],MAESTRO!$A:$F,6,FALSE)),"")</f>
        <v>BON YURT REGULAR</v>
      </c>
      <c r="F72" s="42" t="str">
        <f>IF(MACHACHI[[#This Row],[CODIGO]]="","",$K$6)</f>
        <v>MACHACHI</v>
      </c>
      <c r="G72" s="49">
        <f>IF(MACHACHI[[#This Row],[CODIGO]]="","",7701)</f>
        <v>7701</v>
      </c>
      <c r="H72" s="49">
        <f>IF(MACHACHI[[#This Row],[CODIGO]]="","",1080)</f>
        <v>1080</v>
      </c>
      <c r="I72" s="256" t="s">
        <v>1004</v>
      </c>
      <c r="J72" s="25" t="str">
        <f>IFERROR((VLOOKUP(MACHACHI[[#This Row],[CODIGO]],MAESTRO!A:B,2,FALSE)),"")</f>
        <v>MPLX4 BY BLCK VASO 165G</v>
      </c>
      <c r="K72" s="47">
        <v>15</v>
      </c>
      <c r="L72" s="38">
        <f>+IFERROR(IF(MACHACHI[[#This Row],[CODIGO]]="","",VLOOKUP(MACHACHI[[#This Row],[CODIGO]],MAESTRO!$A:$BF,58,FALSE)),"")</f>
        <v>1</v>
      </c>
      <c r="M72" s="27">
        <f>+IFERROR(IF(MACHACHI[[#This Row],[CODIGO]]="","",VLOOKUP(MACHACHI[[#This Row],[CODIGO]],MAESTRO!A:N,14,FALSE)),"")</f>
        <v>0.66</v>
      </c>
      <c r="N72" s="28">
        <f>+IFERROR(IF(MACHACHI[[#This Row],[CODIGO]]="","",VLOOKUP(MACHACHI[[#This Row],[CODIGO]],MAESTRO!A:P,16,FALSE)),"")</f>
        <v>45</v>
      </c>
      <c r="O72" s="182">
        <f>+IF(MACHACHI[[#This Row],[CODIGO]]="","",MACHACHI[[#This Row],[Fecha Elab.]])</f>
        <v>45615</v>
      </c>
      <c r="P72" s="99" t="str">
        <f t="shared" si="12"/>
        <v>martes</v>
      </c>
      <c r="Q72" s="183">
        <f>IFERROR(IF(MACHACHI[[#This Row],[CODIGO]]="","",IF(MACHACHI[[#This Row],[Fecha Cad]]="","",(MACHACHI[[#This Row],[Fecha Cad]]-MACHACHI[[#This Row],[VIDA UTIL (Días)]]))+1),"")</f>
        <v>45615</v>
      </c>
      <c r="R72" s="18">
        <v>45659</v>
      </c>
      <c r="S72" s="180">
        <f t="shared" ca="1" si="13"/>
        <v>35</v>
      </c>
      <c r="T72" s="207">
        <f t="shared" ca="1" si="14"/>
        <v>0.77777777777777779</v>
      </c>
      <c r="U72" s="47">
        <v>15</v>
      </c>
      <c r="V72" s="184">
        <f>+IFERROR(IF(MACHACHI[[#This Row],[CODIGO]]="","",MACHACHI[[#This Row],[Stock Actual Unds]]*MACHACHI[[#This Row],[Gramaje]]*MACHACHI[[#This Row],[Conversión]]),"")</f>
        <v>9.9</v>
      </c>
      <c r="W72" s="45">
        <f>+IFERROR(IF(I71="","",MACHACHI[[#This Row],[Fecha Elab.]]-MACHACHI[[#This Row],[Fecha de Ingreso]]),"")</f>
        <v>0</v>
      </c>
      <c r="X72" s="44">
        <f t="shared" si="15"/>
        <v>1</v>
      </c>
      <c r="Y72" s="236">
        <f>+IFERROR(IF(MACHACHI[[#This Row],[CODIGO]]="","",VLOOKUP(MACHACHI[[#This Row],[CODIGO]],MAESTRO!A:BI,21,FALSE)),"")</f>
        <v>1.3975849999999999</v>
      </c>
      <c r="Z72" s="236">
        <f>+IFERROR(IF(MACHACHI[[#This Row],[CODIGO]]="","",Y72*MACHACHI[[#This Row],[Conversión]]),"")</f>
        <v>1.3975849999999999</v>
      </c>
      <c r="AA72" s="236">
        <f>+IFERROR(IF(MACHACHI[[#This Row],[CODIGO]]="","",MACHACHI[[#This Row],[COSTO UNIT Conv]]*MACHACHI[[#This Row],[Stock Actual Unds]]),"")</f>
        <v>20.963774999999998</v>
      </c>
      <c r="AB72" s="180">
        <f ca="1">+IFERROR(IF(MACHACHI[[#This Row],[CODIGO]]="","",$J$3-O72),"")</f>
        <v>9</v>
      </c>
      <c r="AC72" s="35" t="str">
        <f ca="1">IF(MACHACHI[[#This Row],[CODIGO]]="","",IF(S72&lt;=0,"CADUCADO",IF(AND(S72&gt;0,S72&lt;=21),"FECHA CORTA",IF(AND(S72&gt;=22,S72&lt;=26),"PROXIMOS FECHA CORTA", "VIGENTE"))))</f>
        <v>VIGENTE</v>
      </c>
      <c r="AD72" s="181">
        <f>+IFERROR(IF(MACHACHI[[#This Row],[CODIGO]]="","",MACHACHI[[#This Row],[Stock Actual Unds]]*MACHACHI[[#This Row],[Gramaje]]*MACHACHI[[#This Row],[Conversión]]),"")/1000</f>
        <v>9.9000000000000008E-3</v>
      </c>
    </row>
    <row r="73" spans="1:30">
      <c r="A73" s="42" t="str">
        <f>+IFERROR(IF(MACHACHI[[#This Row],[CODIGO]]="","",VLOOKUP(MACHACHI[[#This Row],[CODIGO]],MAESTRO!$A:$J,10,FALSE)),"")</f>
        <v>MULTIEMPAQUE_MACH</v>
      </c>
      <c r="B73" s="42" t="str">
        <f>+IFERROR(IF(MACHACHI[[#This Row],[CODIGO]]="","",VLOOKUP(MACHACHI[[#This Row],[CODIGO]],MAESTRO!$A:$Q,17,FALSE)),"")</f>
        <v>BEBIDAS LACTEAS</v>
      </c>
      <c r="C73" s="42" t="str">
        <f>+IFERROR(IF(MACHACHI[[#This Row],[CODIGO]]="","",VLOOKUP(MACHACHI[[#This Row],[CODIGO]],MAESTRO!$A:$BA,53,FALSE)),"")</f>
        <v xml:space="preserve">Luis Armendariz                         </v>
      </c>
      <c r="D73" s="42" t="str">
        <f>+IFERROR(IF(MACHACHI[[#This Row],[CODIGO]]="","",VLOOKUP(MACHACHI[[#This Row],[CODIGO]],MAESTRO!$A:$D,4,FALSE)),"")</f>
        <v>BON YURT</v>
      </c>
      <c r="E73" s="42" t="str">
        <f>+IFERROR(IF(MACHACHI[[#This Row],[CODIGO]]="","",VLOOKUP(MACHACHI[[#This Row],[CODIGO]],MAESTRO!$A:$F,6,FALSE)),"")</f>
        <v>BON YURT REGULAR</v>
      </c>
      <c r="F73" s="42" t="str">
        <f>IF(MACHACHI[[#This Row],[CODIGO]]="","",$K$6)</f>
        <v>MACHACHI</v>
      </c>
      <c r="G73" s="49">
        <f>IF(MACHACHI[[#This Row],[CODIGO]]="","",7701)</f>
        <v>7701</v>
      </c>
      <c r="H73" s="49">
        <f>IF(MACHACHI[[#This Row],[CODIGO]]="","",1080)</f>
        <v>1080</v>
      </c>
      <c r="I73" s="256" t="s">
        <v>1004</v>
      </c>
      <c r="J73" s="25" t="str">
        <f>IFERROR((VLOOKUP(MACHACHI[[#This Row],[CODIGO]],MAESTRO!A:B,2,FALSE)),"")</f>
        <v>MPLX4 BY BLCK VASO 165G</v>
      </c>
      <c r="K73" s="47">
        <v>752</v>
      </c>
      <c r="L73" s="38">
        <f>+IFERROR(IF(MACHACHI[[#This Row],[CODIGO]]="","",VLOOKUP(MACHACHI[[#This Row],[CODIGO]],MAESTRO!$A:$BF,58,FALSE)),"")</f>
        <v>1</v>
      </c>
      <c r="M73" s="27">
        <f>+IFERROR(IF(MACHACHI[[#This Row],[CODIGO]]="","",VLOOKUP(MACHACHI[[#This Row],[CODIGO]],MAESTRO!A:N,14,FALSE)),"")</f>
        <v>0.66</v>
      </c>
      <c r="N73" s="28">
        <f>+IFERROR(IF(MACHACHI[[#This Row],[CODIGO]]="","",VLOOKUP(MACHACHI[[#This Row],[CODIGO]],MAESTRO!A:P,16,FALSE)),"")</f>
        <v>45</v>
      </c>
      <c r="O73" s="182">
        <f>+IF(MACHACHI[[#This Row],[CODIGO]]="","",MACHACHI[[#This Row],[Fecha Elab.]])</f>
        <v>45623</v>
      </c>
      <c r="P73" s="99" t="str">
        <f t="shared" si="12"/>
        <v>miércoles</v>
      </c>
      <c r="Q73" s="183">
        <f>IFERROR(IF(MACHACHI[[#This Row],[CODIGO]]="","",IF(MACHACHI[[#This Row],[Fecha Cad]]="","",(MACHACHI[[#This Row],[Fecha Cad]]-MACHACHI[[#This Row],[VIDA UTIL (Días)]]))+1),"")</f>
        <v>45623</v>
      </c>
      <c r="R73" s="18">
        <v>45667</v>
      </c>
      <c r="S73" s="180">
        <f t="shared" ca="1" si="13"/>
        <v>43</v>
      </c>
      <c r="T73" s="207">
        <f t="shared" ca="1" si="14"/>
        <v>0.9555555555555556</v>
      </c>
      <c r="U73" s="47">
        <v>752</v>
      </c>
      <c r="V73" s="184">
        <f>+IFERROR(IF(MACHACHI[[#This Row],[CODIGO]]="","",MACHACHI[[#This Row],[Stock Actual Unds]]*MACHACHI[[#This Row],[Gramaje]]*MACHACHI[[#This Row],[Conversión]]),"")</f>
        <v>496.32000000000005</v>
      </c>
      <c r="W73" s="45">
        <f>+IFERROR(IF(I72="","",MACHACHI[[#This Row],[Fecha Elab.]]-MACHACHI[[#This Row],[Fecha de Ingreso]]),"")</f>
        <v>0</v>
      </c>
      <c r="X73" s="44">
        <f t="shared" si="15"/>
        <v>1</v>
      </c>
      <c r="Y73" s="236">
        <f>+IFERROR(IF(MACHACHI[[#This Row],[CODIGO]]="","",VLOOKUP(MACHACHI[[#This Row],[CODIGO]],MAESTRO!A:BI,21,FALSE)),"")</f>
        <v>1.3975849999999999</v>
      </c>
      <c r="Z73" s="236">
        <f>+IFERROR(IF(MACHACHI[[#This Row],[CODIGO]]="","",Y73*MACHACHI[[#This Row],[Conversión]]),"")</f>
        <v>1.3975849999999999</v>
      </c>
      <c r="AA73" s="236">
        <f>+IFERROR(IF(MACHACHI[[#This Row],[CODIGO]]="","",MACHACHI[[#This Row],[COSTO UNIT Conv]]*MACHACHI[[#This Row],[Stock Actual Unds]]),"")</f>
        <v>1050.9839199999999</v>
      </c>
      <c r="AB73" s="180">
        <f ca="1">+IFERROR(IF(MACHACHI[[#This Row],[CODIGO]]="","",$J$3-O73),"")</f>
        <v>1</v>
      </c>
      <c r="AC73" s="35" t="str">
        <f ca="1">IF(MACHACHI[[#This Row],[CODIGO]]="","",IF(S73&lt;=0,"CADUCADO",IF(AND(S73&gt;0,S73&lt;=21),"FECHA CORTA",IF(AND(S73&gt;=22,S73&lt;=26),"PROXIMOS FECHA CORTA", "VIGENTE"))))</f>
        <v>VIGENTE</v>
      </c>
      <c r="AD73" s="181">
        <f>+IFERROR(IF(MACHACHI[[#This Row],[CODIGO]]="","",MACHACHI[[#This Row],[Stock Actual Unds]]*MACHACHI[[#This Row],[Gramaje]]*MACHACHI[[#This Row],[Conversión]]),"")/1000</f>
        <v>0.49632000000000004</v>
      </c>
    </row>
    <row r="74" spans="1:30">
      <c r="A74" s="42" t="str">
        <f>+IFERROR(IF(MACHACHI[[#This Row],[CODIGO]]="","",VLOOKUP(MACHACHI[[#This Row],[CODIGO]],MAESTRO!$A:$J,10,FALSE)),"")</f>
        <v>MULTIEMPAQUE_MACH</v>
      </c>
      <c r="B74" s="42" t="str">
        <f>+IFERROR(IF(MACHACHI[[#This Row],[CODIGO]]="","",VLOOKUP(MACHACHI[[#This Row],[CODIGO]],MAESTRO!$A:$Q,17,FALSE)),"")</f>
        <v>BEBIDAS LACTEAS</v>
      </c>
      <c r="C74" s="42" t="str">
        <f>+IFERROR(IF(MACHACHI[[#This Row],[CODIGO]]="","",VLOOKUP(MACHACHI[[#This Row],[CODIGO]],MAESTRO!$A:$BA,53,FALSE)),"")</f>
        <v xml:space="preserve">Luis Armendariz                         </v>
      </c>
      <c r="D74" s="42" t="str">
        <f>+IFERROR(IF(MACHACHI[[#This Row],[CODIGO]]="","",VLOOKUP(MACHACHI[[#This Row],[CODIGO]],MAESTRO!$A:$D,4,FALSE)),"")</f>
        <v>REGENERIS</v>
      </c>
      <c r="E74" s="42" t="str">
        <f>+IFERROR(IF(MACHACHI[[#This Row],[CODIGO]]="","",VLOOKUP(MACHACHI[[#This Row],[CODIGO]],MAESTRO!$A:$F,6,FALSE)),"")</f>
        <v>REGENERIS REGULAR VASO</v>
      </c>
      <c r="F74" s="42" t="str">
        <f>IF(MACHACHI[[#This Row],[CODIGO]]="","",$K$6)</f>
        <v>MACHACHI</v>
      </c>
      <c r="G74" s="49">
        <f>IF(MACHACHI[[#This Row],[CODIGO]]="","",7701)</f>
        <v>7701</v>
      </c>
      <c r="H74" s="49">
        <f>IF(MACHACHI[[#This Row],[CODIGO]]="","",1080)</f>
        <v>1080</v>
      </c>
      <c r="I74" s="256" t="s">
        <v>1712</v>
      </c>
      <c r="J74" s="25" t="str">
        <f>IFERROR((VLOOKUP(MACHACHI[[#This Row],[CODIGO]],MAESTRO!A:B,2,FALSE)),"")</f>
        <v>MPLX4 RGN TZOS MULTSAB VASO 150G</v>
      </c>
      <c r="K74" s="47">
        <v>7</v>
      </c>
      <c r="L74" s="38">
        <f>+IFERROR(IF(MACHACHI[[#This Row],[CODIGO]]="","",VLOOKUP(MACHACHI[[#This Row],[CODIGO]],MAESTRO!$A:$BF,58,FALSE)),"")</f>
        <v>1</v>
      </c>
      <c r="M74" s="27">
        <f>+IFERROR(IF(MACHACHI[[#This Row],[CODIGO]]="","",VLOOKUP(MACHACHI[[#This Row],[CODIGO]],MAESTRO!A:N,14,FALSE)),"")</f>
        <v>0.6</v>
      </c>
      <c r="N74" s="28">
        <f>+IFERROR(IF(MACHACHI[[#This Row],[CODIGO]]="","",VLOOKUP(MACHACHI[[#This Row],[CODIGO]],MAESTRO!A:P,16,FALSE)),"")</f>
        <v>45</v>
      </c>
      <c r="O74" s="182">
        <f>+IF(MACHACHI[[#This Row],[CODIGO]]="","",MACHACHI[[#This Row],[Fecha Elab.]])</f>
        <v>45612</v>
      </c>
      <c r="P74" s="99" t="str">
        <f t="shared" si="12"/>
        <v>sábado</v>
      </c>
      <c r="Q74" s="183">
        <f>IFERROR(IF(MACHACHI[[#This Row],[CODIGO]]="","",IF(MACHACHI[[#This Row],[Fecha Cad]]="","",(MACHACHI[[#This Row],[Fecha Cad]]-MACHACHI[[#This Row],[VIDA UTIL (Días)]]))+1),"")</f>
        <v>45612</v>
      </c>
      <c r="R74" s="18">
        <v>45656</v>
      </c>
      <c r="S74" s="180">
        <f t="shared" ca="1" si="13"/>
        <v>32</v>
      </c>
      <c r="T74" s="207">
        <f t="shared" ca="1" si="14"/>
        <v>0.71111111111111114</v>
      </c>
      <c r="U74" s="47">
        <v>7</v>
      </c>
      <c r="V74" s="184">
        <f>+IFERROR(IF(MACHACHI[[#This Row],[CODIGO]]="","",MACHACHI[[#This Row],[Stock Actual Unds]]*MACHACHI[[#This Row],[Gramaje]]*MACHACHI[[#This Row],[Conversión]]),"")</f>
        <v>4.2</v>
      </c>
      <c r="W74" s="45">
        <f>+IFERROR(IF(I73="","",MACHACHI[[#This Row],[Fecha Elab.]]-MACHACHI[[#This Row],[Fecha de Ingreso]]),"")</f>
        <v>0</v>
      </c>
      <c r="X74" s="44">
        <f t="shared" si="15"/>
        <v>1</v>
      </c>
      <c r="Y74" s="236">
        <f>+IFERROR(IF(MACHACHI[[#This Row],[CODIGO]]="","",VLOOKUP(MACHACHI[[#This Row],[CODIGO]],MAESTRO!A:BI,21,FALSE)),"")</f>
        <v>1.0306549999999999</v>
      </c>
      <c r="Z74" s="236">
        <f>+IFERROR(IF(MACHACHI[[#This Row],[CODIGO]]="","",Y74*MACHACHI[[#This Row],[Conversión]]),"")</f>
        <v>1.0306549999999999</v>
      </c>
      <c r="AA74" s="236">
        <f>+IFERROR(IF(MACHACHI[[#This Row],[CODIGO]]="","",MACHACHI[[#This Row],[COSTO UNIT Conv]]*MACHACHI[[#This Row],[Stock Actual Unds]]),"")</f>
        <v>7.2145849999999996</v>
      </c>
      <c r="AB74" s="180">
        <f ca="1">+IFERROR(IF(MACHACHI[[#This Row],[CODIGO]]="","",$J$3-O74),"")</f>
        <v>12</v>
      </c>
      <c r="AC74" s="35" t="str">
        <f ca="1">IF(MACHACHI[[#This Row],[CODIGO]]="","",IF(S74&lt;=0,"CADUCADO",IF(AND(S74&gt;0,S74&lt;=21),"FECHA CORTA",IF(AND(S74&gt;=22,S74&lt;=26),"PROXIMOS FECHA CORTA", "VIGENTE"))))</f>
        <v>VIGENTE</v>
      </c>
      <c r="AD74" s="181">
        <f>+IFERROR(IF(MACHACHI[[#This Row],[CODIGO]]="","",MACHACHI[[#This Row],[Stock Actual Unds]]*MACHACHI[[#This Row],[Gramaje]]*MACHACHI[[#This Row],[Conversión]]),"")/1000</f>
        <v>4.2000000000000006E-3</v>
      </c>
    </row>
    <row r="75" spans="1:30">
      <c r="A75" s="42" t="str">
        <f>+IFERROR(IF(MACHACHI[[#This Row],[CODIGO]]="","",VLOOKUP(MACHACHI[[#This Row],[CODIGO]],MAESTRO!$A:$J,10,FALSE)),"")</f>
        <v>MULTIEMPAQUE_MACH</v>
      </c>
      <c r="B75" s="42" t="str">
        <f>+IFERROR(IF(MACHACHI[[#This Row],[CODIGO]]="","",VLOOKUP(MACHACHI[[#This Row],[CODIGO]],MAESTRO!$A:$Q,17,FALSE)),"")</f>
        <v>BEBIDAS LACTEAS</v>
      </c>
      <c r="C75" s="42" t="str">
        <f>+IFERROR(IF(MACHACHI[[#This Row],[CODIGO]]="","",VLOOKUP(MACHACHI[[#This Row],[CODIGO]],MAESTRO!$A:$BA,53,FALSE)),"")</f>
        <v xml:space="preserve">Luis Armendariz                         </v>
      </c>
      <c r="D75" s="42" t="str">
        <f>+IFERROR(IF(MACHACHI[[#This Row],[CODIGO]]="","",VLOOKUP(MACHACHI[[#This Row],[CODIGO]],MAESTRO!$A:$D,4,FALSE)),"")</f>
        <v>REGENERIS</v>
      </c>
      <c r="E75" s="42" t="str">
        <f>+IFERROR(IF(MACHACHI[[#This Row],[CODIGO]]="","",VLOOKUP(MACHACHI[[#This Row],[CODIGO]],MAESTRO!$A:$F,6,FALSE)),"")</f>
        <v>REGENERIS REGULAR VASO</v>
      </c>
      <c r="F75" s="42" t="str">
        <f>IF(MACHACHI[[#This Row],[CODIGO]]="","",$K$6)</f>
        <v>MACHACHI</v>
      </c>
      <c r="G75" s="49">
        <f>IF(MACHACHI[[#This Row],[CODIGO]]="","",7701)</f>
        <v>7701</v>
      </c>
      <c r="H75" s="49">
        <f>IF(MACHACHI[[#This Row],[CODIGO]]="","",1080)</f>
        <v>1080</v>
      </c>
      <c r="I75" s="256" t="s">
        <v>1712</v>
      </c>
      <c r="J75" s="25" t="str">
        <f>IFERROR((VLOOKUP(MACHACHI[[#This Row],[CODIGO]],MAESTRO!A:B,2,FALSE)),"")</f>
        <v>MPLX4 RGN TZOS MULTSAB VASO 150G</v>
      </c>
      <c r="K75" s="47">
        <v>160</v>
      </c>
      <c r="L75" s="38">
        <f>+IFERROR(IF(MACHACHI[[#This Row],[CODIGO]]="","",VLOOKUP(MACHACHI[[#This Row],[CODIGO]],MAESTRO!$A:$BF,58,FALSE)),"")</f>
        <v>1</v>
      </c>
      <c r="M75" s="27">
        <f>+IFERROR(IF(MACHACHI[[#This Row],[CODIGO]]="","",VLOOKUP(MACHACHI[[#This Row],[CODIGO]],MAESTRO!A:N,14,FALSE)),"")</f>
        <v>0.6</v>
      </c>
      <c r="N75" s="28">
        <f>+IFERROR(IF(MACHACHI[[#This Row],[CODIGO]]="","",VLOOKUP(MACHACHI[[#This Row],[CODIGO]],MAESTRO!A:P,16,FALSE)),"")</f>
        <v>45</v>
      </c>
      <c r="O75" s="182">
        <f>+IF(MACHACHI[[#This Row],[CODIGO]]="","",MACHACHI[[#This Row],[Fecha Elab.]])</f>
        <v>45619</v>
      </c>
      <c r="P75" s="99" t="str">
        <f t="shared" si="12"/>
        <v>sábado</v>
      </c>
      <c r="Q75" s="183">
        <f>IFERROR(IF(MACHACHI[[#This Row],[CODIGO]]="","",IF(MACHACHI[[#This Row],[Fecha Cad]]="","",(MACHACHI[[#This Row],[Fecha Cad]]-MACHACHI[[#This Row],[VIDA UTIL (Días)]]))+1),"")</f>
        <v>45619</v>
      </c>
      <c r="R75" s="18">
        <v>45663</v>
      </c>
      <c r="S75" s="180">
        <f t="shared" ca="1" si="13"/>
        <v>39</v>
      </c>
      <c r="T75" s="207">
        <f t="shared" ca="1" si="14"/>
        <v>0.8666666666666667</v>
      </c>
      <c r="U75" s="47">
        <v>160</v>
      </c>
      <c r="V75" s="184">
        <f>+IFERROR(IF(MACHACHI[[#This Row],[CODIGO]]="","",MACHACHI[[#This Row],[Stock Actual Unds]]*MACHACHI[[#This Row],[Gramaje]]*MACHACHI[[#This Row],[Conversión]]),"")</f>
        <v>96</v>
      </c>
      <c r="W75" s="45">
        <f>+IFERROR(IF(I74="","",MACHACHI[[#This Row],[Fecha Elab.]]-MACHACHI[[#This Row],[Fecha de Ingreso]]),"")</f>
        <v>0</v>
      </c>
      <c r="X75" s="44">
        <f t="shared" si="15"/>
        <v>1</v>
      </c>
      <c r="Y75" s="236">
        <f>+IFERROR(IF(MACHACHI[[#This Row],[CODIGO]]="","",VLOOKUP(MACHACHI[[#This Row],[CODIGO]],MAESTRO!A:BI,21,FALSE)),"")</f>
        <v>1.0306549999999999</v>
      </c>
      <c r="Z75" s="236">
        <f>+IFERROR(IF(MACHACHI[[#This Row],[CODIGO]]="","",Y75*MACHACHI[[#This Row],[Conversión]]),"")</f>
        <v>1.0306549999999999</v>
      </c>
      <c r="AA75" s="236">
        <f>+IFERROR(IF(MACHACHI[[#This Row],[CODIGO]]="","",MACHACHI[[#This Row],[COSTO UNIT Conv]]*MACHACHI[[#This Row],[Stock Actual Unds]]),"")</f>
        <v>164.90479999999997</v>
      </c>
      <c r="AB75" s="180">
        <f ca="1">+IFERROR(IF(MACHACHI[[#This Row],[CODIGO]]="","",$J$3-O75),"")</f>
        <v>5</v>
      </c>
      <c r="AC75" s="35" t="str">
        <f ca="1">IF(MACHACHI[[#This Row],[CODIGO]]="","",IF(S75&lt;=0,"CADUCADO",IF(AND(S75&gt;0,S75&lt;=21),"FECHA CORTA",IF(AND(S75&gt;=22,S75&lt;=26),"PROXIMOS FECHA CORTA", "VIGENTE"))))</f>
        <v>VIGENTE</v>
      </c>
      <c r="AD75" s="181">
        <f>+IFERROR(IF(MACHACHI[[#This Row],[CODIGO]]="","",MACHACHI[[#This Row],[Stock Actual Unds]]*MACHACHI[[#This Row],[Gramaje]]*MACHACHI[[#This Row],[Conversión]]),"")/1000</f>
        <v>9.6000000000000002E-2</v>
      </c>
    </row>
    <row r="76" spans="1:30">
      <c r="A76" s="42" t="str">
        <f>+IFERROR(IF(MACHACHI[[#This Row],[CODIGO]]="","",VLOOKUP(MACHACHI[[#This Row],[CODIGO]],MAESTRO!$A:$J,10,FALSE)),"")</f>
        <v>MULTIEMPAQUE_MACH</v>
      </c>
      <c r="B76" s="42" t="str">
        <f>+IFERROR(IF(MACHACHI[[#This Row],[CODIGO]]="","",VLOOKUP(MACHACHI[[#This Row],[CODIGO]],MAESTRO!$A:$Q,17,FALSE)),"")</f>
        <v>BEBIDAS LACTEAS</v>
      </c>
      <c r="C76" s="42" t="str">
        <f>+IFERROR(IF(MACHACHI[[#This Row],[CODIGO]]="","",VLOOKUP(MACHACHI[[#This Row],[CODIGO]],MAESTRO!$A:$BA,53,FALSE)),"")</f>
        <v xml:space="preserve">Luis Armendariz                         </v>
      </c>
      <c r="D76" s="42" t="str">
        <f>+IFERROR(IF(MACHACHI[[#This Row],[CODIGO]]="","",VLOOKUP(MACHACHI[[#This Row],[CODIGO]],MAESTRO!$A:$D,4,FALSE)),"")</f>
        <v>REGENERIS</v>
      </c>
      <c r="E76" s="42" t="str">
        <f>+IFERROR(IF(MACHACHI[[#This Row],[CODIGO]]="","",VLOOKUP(MACHACHI[[#This Row],[CODIGO]],MAESTRO!$A:$F,6,FALSE)),"")</f>
        <v>REGENERIS REGULAR VASO</v>
      </c>
      <c r="F76" s="42" t="str">
        <f>IF(MACHACHI[[#This Row],[CODIGO]]="","",$K$6)</f>
        <v>MACHACHI</v>
      </c>
      <c r="G76" s="49">
        <f>IF(MACHACHI[[#This Row],[CODIGO]]="","",7701)</f>
        <v>7701</v>
      </c>
      <c r="H76" s="49">
        <f>IF(MACHACHI[[#This Row],[CODIGO]]="","",1080)</f>
        <v>1080</v>
      </c>
      <c r="I76" s="256" t="s">
        <v>1712</v>
      </c>
      <c r="J76" s="25" t="str">
        <f>IFERROR((VLOOKUP(MACHACHI[[#This Row],[CODIGO]],MAESTRO!A:B,2,FALSE)),"")</f>
        <v>MPLX4 RGN TZOS MULTSAB VASO 150G</v>
      </c>
      <c r="K76" s="47">
        <v>21</v>
      </c>
      <c r="L76" s="38">
        <f>+IFERROR(IF(MACHACHI[[#This Row],[CODIGO]]="","",VLOOKUP(MACHACHI[[#This Row],[CODIGO]],MAESTRO!$A:$BF,58,FALSE)),"")</f>
        <v>1</v>
      </c>
      <c r="M76" s="27">
        <f>+IFERROR(IF(MACHACHI[[#This Row],[CODIGO]]="","",VLOOKUP(MACHACHI[[#This Row],[CODIGO]],MAESTRO!A:N,14,FALSE)),"")</f>
        <v>0.6</v>
      </c>
      <c r="N76" s="28">
        <f>+IFERROR(IF(MACHACHI[[#This Row],[CODIGO]]="","",VLOOKUP(MACHACHI[[#This Row],[CODIGO]],MAESTRO!A:P,16,FALSE)),"")</f>
        <v>45</v>
      </c>
      <c r="O76" s="182">
        <f>+IF(MACHACHI[[#This Row],[CODIGO]]="","",MACHACHI[[#This Row],[Fecha Elab.]])</f>
        <v>45595</v>
      </c>
      <c r="P76" s="99" t="str">
        <f t="shared" si="12"/>
        <v>miércoles</v>
      </c>
      <c r="Q76" s="183">
        <f>IFERROR(IF(MACHACHI[[#This Row],[CODIGO]]="","",IF(MACHACHI[[#This Row],[Fecha Cad]]="","",(MACHACHI[[#This Row],[Fecha Cad]]-MACHACHI[[#This Row],[VIDA UTIL (Días)]]))+1),"")</f>
        <v>45595</v>
      </c>
      <c r="R76" s="18">
        <v>45639</v>
      </c>
      <c r="S76" s="180">
        <f t="shared" ca="1" si="13"/>
        <v>15</v>
      </c>
      <c r="T76" s="207">
        <f t="shared" ca="1" si="14"/>
        <v>0.33333333333333331</v>
      </c>
      <c r="U76" s="47">
        <v>21</v>
      </c>
      <c r="V76" s="184">
        <f>+IFERROR(IF(MACHACHI[[#This Row],[CODIGO]]="","",MACHACHI[[#This Row],[Stock Actual Unds]]*MACHACHI[[#This Row],[Gramaje]]*MACHACHI[[#This Row],[Conversión]]),"")</f>
        <v>12.6</v>
      </c>
      <c r="W76" s="45">
        <f>+IFERROR(IF(I75="","",MACHACHI[[#This Row],[Fecha Elab.]]-MACHACHI[[#This Row],[Fecha de Ingreso]]),"")</f>
        <v>0</v>
      </c>
      <c r="X76" s="44">
        <f t="shared" si="15"/>
        <v>1</v>
      </c>
      <c r="Y76" s="236">
        <f>+IFERROR(IF(MACHACHI[[#This Row],[CODIGO]]="","",VLOOKUP(MACHACHI[[#This Row],[CODIGO]],MAESTRO!A:BI,21,FALSE)),"")</f>
        <v>1.0306549999999999</v>
      </c>
      <c r="Z76" s="236">
        <f>+IFERROR(IF(MACHACHI[[#This Row],[CODIGO]]="","",Y76*MACHACHI[[#This Row],[Conversión]]),"")</f>
        <v>1.0306549999999999</v>
      </c>
      <c r="AA76" s="236">
        <f>+IFERROR(IF(MACHACHI[[#This Row],[CODIGO]]="","",MACHACHI[[#This Row],[COSTO UNIT Conv]]*MACHACHI[[#This Row],[Stock Actual Unds]]),"")</f>
        <v>21.643754999999999</v>
      </c>
      <c r="AB76" s="180">
        <f ca="1">+IFERROR(IF(MACHACHI[[#This Row],[CODIGO]]="","",$J$3-O76),"")</f>
        <v>29</v>
      </c>
      <c r="AC76" s="35" t="str">
        <f ca="1">IF(MACHACHI[[#This Row],[CODIGO]]="","",IF(S76&lt;=0,"CADUCADO",IF(AND(S76&gt;0,S76&lt;=21),"FECHA CORTA",IF(AND(S76&gt;=22,S76&lt;=26),"PROXIMOS FECHA CORTA", "VIGENTE"))))</f>
        <v>FECHA CORTA</v>
      </c>
      <c r="AD76" s="181">
        <f>+IFERROR(IF(MACHACHI[[#This Row],[CODIGO]]="","",MACHACHI[[#This Row],[Stock Actual Unds]]*MACHACHI[[#This Row],[Gramaje]]*MACHACHI[[#This Row],[Conversión]]),"")/1000</f>
        <v>1.26E-2</v>
      </c>
    </row>
    <row r="77" spans="1:30">
      <c r="A77" s="42" t="str">
        <f>+IFERROR(IF(MACHACHI[[#This Row],[CODIGO]]="","",VLOOKUP(MACHACHI[[#This Row],[CODIGO]],MAESTRO!$A:$J,10,FALSE)),"")</f>
        <v>MULTIEMPAQUE_MACH</v>
      </c>
      <c r="B77" s="42" t="str">
        <f>+IFERROR(IF(MACHACHI[[#This Row],[CODIGO]]="","",VLOOKUP(MACHACHI[[#This Row],[CODIGO]],MAESTRO!$A:$Q,17,FALSE)),"")</f>
        <v>BEBIDAS LACTEAS</v>
      </c>
      <c r="C77" s="42" t="str">
        <f>+IFERROR(IF(MACHACHI[[#This Row],[CODIGO]]="","",VLOOKUP(MACHACHI[[#This Row],[CODIGO]],MAESTRO!$A:$BA,53,FALSE)),"")</f>
        <v xml:space="preserve">Luis Armendariz                         </v>
      </c>
      <c r="D77" s="42" t="str">
        <f>+IFERROR(IF(MACHACHI[[#This Row],[CODIGO]]="","",VLOOKUP(MACHACHI[[#This Row],[CODIGO]],MAESTRO!$A:$D,4,FALSE)),"")</f>
        <v>BON YURT</v>
      </c>
      <c r="E77" s="42" t="str">
        <f>+IFERROR(IF(MACHACHI[[#This Row],[CODIGO]]="","",VLOOKUP(MACHACHI[[#This Row],[CODIGO]],MAESTRO!$A:$F,6,FALSE)),"")</f>
        <v>BON YURT REGULAR</v>
      </c>
      <c r="F77" s="42" t="str">
        <f>IF(MACHACHI[[#This Row],[CODIGO]]="","",$K$6)</f>
        <v>MACHACHI</v>
      </c>
      <c r="G77" s="49">
        <f>IF(MACHACHI[[#This Row],[CODIGO]]="","",7701)</f>
        <v>7701</v>
      </c>
      <c r="H77" s="49">
        <f>IF(MACHACHI[[#This Row],[CODIGO]]="","",1080)</f>
        <v>1080</v>
      </c>
      <c r="I77" s="256" t="s">
        <v>1237</v>
      </c>
      <c r="J77" s="25" t="str">
        <f>IFERROR((VLOOKUP(MACHACHI[[#This Row],[CODIGO]],MAESTRO!A:B,2,FALSE)),"")</f>
        <v>MPLX4 BY MULTSAB VASO ECU</v>
      </c>
      <c r="K77" s="47">
        <v>8</v>
      </c>
      <c r="L77" s="38">
        <f>+IFERROR(IF(MACHACHI[[#This Row],[CODIGO]]="","",VLOOKUP(MACHACHI[[#This Row],[CODIGO]],MAESTRO!$A:$BF,58,FALSE)),"")</f>
        <v>1</v>
      </c>
      <c r="M77" s="27">
        <f>+IFERROR(IF(MACHACHI[[#This Row],[CODIGO]]="","",VLOOKUP(MACHACHI[[#This Row],[CODIGO]],MAESTRO!A:N,14,FALSE)),"")</f>
        <v>0.68</v>
      </c>
      <c r="N77" s="28">
        <f>+IFERROR(IF(MACHACHI[[#This Row],[CODIGO]]="","",VLOOKUP(MACHACHI[[#This Row],[CODIGO]],MAESTRO!A:P,16,FALSE)),"")</f>
        <v>45</v>
      </c>
      <c r="O77" s="182">
        <f>+IF(MACHACHI[[#This Row],[CODIGO]]="","",MACHACHI[[#This Row],[Fecha Elab.]])</f>
        <v>45611</v>
      </c>
      <c r="P77" s="99" t="str">
        <f t="shared" si="12"/>
        <v>viernes</v>
      </c>
      <c r="Q77" s="183">
        <f>IFERROR(IF(MACHACHI[[#This Row],[CODIGO]]="","",IF(MACHACHI[[#This Row],[Fecha Cad]]="","",(MACHACHI[[#This Row],[Fecha Cad]]-MACHACHI[[#This Row],[VIDA UTIL (Días)]]))+1),"")</f>
        <v>45611</v>
      </c>
      <c r="R77" s="18">
        <v>45655</v>
      </c>
      <c r="S77" s="180">
        <f t="shared" ca="1" si="13"/>
        <v>31</v>
      </c>
      <c r="T77" s="207">
        <f t="shared" ca="1" si="14"/>
        <v>0.68888888888888888</v>
      </c>
      <c r="U77" s="47">
        <v>8</v>
      </c>
      <c r="V77" s="184">
        <f>+IFERROR(IF(MACHACHI[[#This Row],[CODIGO]]="","",MACHACHI[[#This Row],[Stock Actual Unds]]*MACHACHI[[#This Row],[Gramaje]]*MACHACHI[[#This Row],[Conversión]]),"")</f>
        <v>5.44</v>
      </c>
      <c r="W77" s="45">
        <f>+IFERROR(IF(I76="","",MACHACHI[[#This Row],[Fecha Elab.]]-MACHACHI[[#This Row],[Fecha de Ingreso]]),"")</f>
        <v>0</v>
      </c>
      <c r="X77" s="44">
        <f t="shared" si="15"/>
        <v>1</v>
      </c>
      <c r="Y77" s="236">
        <f>+IFERROR(IF(MACHACHI[[#This Row],[CODIGO]]="","",VLOOKUP(MACHACHI[[#This Row],[CODIGO]],MAESTRO!A:BI,21,FALSE)),"")</f>
        <v>1.3252700000000002</v>
      </c>
      <c r="Z77" s="236">
        <f>+IFERROR(IF(MACHACHI[[#This Row],[CODIGO]]="","",Y77*MACHACHI[[#This Row],[Conversión]]),"")</f>
        <v>1.3252700000000002</v>
      </c>
      <c r="AA77" s="236">
        <f>+IFERROR(IF(MACHACHI[[#This Row],[CODIGO]]="","",MACHACHI[[#This Row],[COSTO UNIT Conv]]*MACHACHI[[#This Row],[Stock Actual Unds]]),"")</f>
        <v>10.602160000000001</v>
      </c>
      <c r="AB77" s="180">
        <f ca="1">+IFERROR(IF(MACHACHI[[#This Row],[CODIGO]]="","",$J$3-O77),"")</f>
        <v>13</v>
      </c>
      <c r="AC77" s="35" t="str">
        <f ca="1">IF(MACHACHI[[#This Row],[CODIGO]]="","",IF(S77&lt;=0,"CADUCADO",IF(AND(S77&gt;0,S77&lt;=21),"FECHA CORTA",IF(AND(S77&gt;=22,S77&lt;=26),"PROXIMOS FECHA CORTA", "VIGENTE"))))</f>
        <v>VIGENTE</v>
      </c>
      <c r="AD77" s="181">
        <f>+IFERROR(IF(MACHACHI[[#This Row],[CODIGO]]="","",MACHACHI[[#This Row],[Stock Actual Unds]]*MACHACHI[[#This Row],[Gramaje]]*MACHACHI[[#This Row],[Conversión]]),"")/1000</f>
        <v>5.4400000000000004E-3</v>
      </c>
    </row>
    <row r="78" spans="1:30">
      <c r="A78" s="42" t="str">
        <f>+IFERROR(IF(MACHACHI[[#This Row],[CODIGO]]="","",VLOOKUP(MACHACHI[[#This Row],[CODIGO]],MAESTRO!$A:$J,10,FALSE)),"")</f>
        <v>MULTIEMPAQUE_MACH</v>
      </c>
      <c r="B78" s="42" t="str">
        <f>+IFERROR(IF(MACHACHI[[#This Row],[CODIGO]]="","",VLOOKUP(MACHACHI[[#This Row],[CODIGO]],MAESTRO!$A:$Q,17,FALSE)),"")</f>
        <v>BEBIDAS LACTEAS</v>
      </c>
      <c r="C78" s="42" t="str">
        <f>+IFERROR(IF(MACHACHI[[#This Row],[CODIGO]]="","",VLOOKUP(MACHACHI[[#This Row],[CODIGO]],MAESTRO!$A:$BA,53,FALSE)),"")</f>
        <v xml:space="preserve">Luis Armendariz                         </v>
      </c>
      <c r="D78" s="42" t="str">
        <f>+IFERROR(IF(MACHACHI[[#This Row],[CODIGO]]="","",VLOOKUP(MACHACHI[[#This Row],[CODIGO]],MAESTRO!$A:$D,4,FALSE)),"")</f>
        <v>BON YURT</v>
      </c>
      <c r="E78" s="42" t="str">
        <f>+IFERROR(IF(MACHACHI[[#This Row],[CODIGO]]="","",VLOOKUP(MACHACHI[[#This Row],[CODIGO]],MAESTRO!$A:$F,6,FALSE)),"")</f>
        <v>BON YURT REGULAR</v>
      </c>
      <c r="F78" s="42" t="str">
        <f>IF(MACHACHI[[#This Row],[CODIGO]]="","",$K$6)</f>
        <v>MACHACHI</v>
      </c>
      <c r="G78" s="49">
        <f>IF(MACHACHI[[#This Row],[CODIGO]]="","",7701)</f>
        <v>7701</v>
      </c>
      <c r="H78" s="49">
        <f>IF(MACHACHI[[#This Row],[CODIGO]]="","",1080)</f>
        <v>1080</v>
      </c>
      <c r="I78" s="256" t="s">
        <v>1237</v>
      </c>
      <c r="J78" s="25" t="str">
        <f>IFERROR((VLOOKUP(MACHACHI[[#This Row],[CODIGO]],MAESTRO!A:B,2,FALSE)),"")</f>
        <v>MPLX4 BY MULTSAB VASO ECU</v>
      </c>
      <c r="K78" s="47">
        <v>357</v>
      </c>
      <c r="L78" s="38">
        <f>+IFERROR(IF(MACHACHI[[#This Row],[CODIGO]]="","",VLOOKUP(MACHACHI[[#This Row],[CODIGO]],MAESTRO!$A:$BF,58,FALSE)),"")</f>
        <v>1</v>
      </c>
      <c r="M78" s="27">
        <f>+IFERROR(IF(MACHACHI[[#This Row],[CODIGO]]="","",VLOOKUP(MACHACHI[[#This Row],[CODIGO]],MAESTRO!A:N,14,FALSE)),"")</f>
        <v>0.68</v>
      </c>
      <c r="N78" s="28">
        <f>+IFERROR(IF(MACHACHI[[#This Row],[CODIGO]]="","",VLOOKUP(MACHACHI[[#This Row],[CODIGO]],MAESTRO!A:P,16,FALSE)),"")</f>
        <v>45</v>
      </c>
      <c r="O78" s="182">
        <f>+IF(MACHACHI[[#This Row],[CODIGO]]="","",MACHACHI[[#This Row],[Fecha Elab.]])</f>
        <v>45619</v>
      </c>
      <c r="P78" s="99" t="str">
        <f t="shared" si="12"/>
        <v>sábado</v>
      </c>
      <c r="Q78" s="183">
        <f>IFERROR(IF(MACHACHI[[#This Row],[CODIGO]]="","",IF(MACHACHI[[#This Row],[Fecha Cad]]="","",(MACHACHI[[#This Row],[Fecha Cad]]-MACHACHI[[#This Row],[VIDA UTIL (Días)]]))+1),"")</f>
        <v>45619</v>
      </c>
      <c r="R78" s="18">
        <v>45663</v>
      </c>
      <c r="S78" s="180">
        <f t="shared" ca="1" si="13"/>
        <v>39</v>
      </c>
      <c r="T78" s="207">
        <f t="shared" ca="1" si="14"/>
        <v>0.8666666666666667</v>
      </c>
      <c r="U78" s="47">
        <v>357</v>
      </c>
      <c r="V78" s="184">
        <f>+IFERROR(IF(MACHACHI[[#This Row],[CODIGO]]="","",MACHACHI[[#This Row],[Stock Actual Unds]]*MACHACHI[[#This Row],[Gramaje]]*MACHACHI[[#This Row],[Conversión]]),"")</f>
        <v>242.76000000000002</v>
      </c>
      <c r="W78" s="45">
        <f>+IFERROR(IF(I77="","",MACHACHI[[#This Row],[Fecha Elab.]]-MACHACHI[[#This Row],[Fecha de Ingreso]]),"")</f>
        <v>0</v>
      </c>
      <c r="X78" s="44">
        <f t="shared" si="15"/>
        <v>1</v>
      </c>
      <c r="Y78" s="236">
        <f>+IFERROR(IF(MACHACHI[[#This Row],[CODIGO]]="","",VLOOKUP(MACHACHI[[#This Row],[CODIGO]],MAESTRO!A:BI,21,FALSE)),"")</f>
        <v>1.3252700000000002</v>
      </c>
      <c r="Z78" s="236">
        <f>+IFERROR(IF(MACHACHI[[#This Row],[CODIGO]]="","",Y78*MACHACHI[[#This Row],[Conversión]]),"")</f>
        <v>1.3252700000000002</v>
      </c>
      <c r="AA78" s="236">
        <f>+IFERROR(IF(MACHACHI[[#This Row],[CODIGO]]="","",MACHACHI[[#This Row],[COSTO UNIT Conv]]*MACHACHI[[#This Row],[Stock Actual Unds]]),"")</f>
        <v>473.12139000000008</v>
      </c>
      <c r="AB78" s="180">
        <f ca="1">+IFERROR(IF(MACHACHI[[#This Row],[CODIGO]]="","",$J$3-O78),"")</f>
        <v>5</v>
      </c>
      <c r="AC78" s="35" t="str">
        <f ca="1">IF(MACHACHI[[#This Row],[CODIGO]]="","",IF(S78&lt;=0,"CADUCADO",IF(AND(S78&gt;0,S78&lt;=21),"FECHA CORTA",IF(AND(S78&gt;=22,S78&lt;=26),"PROXIMOS FECHA CORTA", "VIGENTE"))))</f>
        <v>VIGENTE</v>
      </c>
      <c r="AD78" s="181">
        <f>+IFERROR(IF(MACHACHI[[#This Row],[CODIGO]]="","",MACHACHI[[#This Row],[Stock Actual Unds]]*MACHACHI[[#This Row],[Gramaje]]*MACHACHI[[#This Row],[Conversión]]),"")/1000</f>
        <v>0.24276000000000003</v>
      </c>
    </row>
    <row r="79" spans="1:30">
      <c r="A79" s="42" t="str">
        <f>+IFERROR(IF(MACHACHI[[#This Row],[CODIGO]]="","",VLOOKUP(MACHACHI[[#This Row],[CODIGO]],MAESTRO!$A:$J,10,FALSE)),"")</f>
        <v>MULTIEMPAQUE_MACH</v>
      </c>
      <c r="B79" s="42" t="str">
        <f>+IFERROR(IF(MACHACHI[[#This Row],[CODIGO]]="","",VLOOKUP(MACHACHI[[#This Row],[CODIGO]],MAESTRO!$A:$Q,17,FALSE)),"")</f>
        <v>BEBIDAS LACTEAS</v>
      </c>
      <c r="C79" s="42" t="str">
        <f>+IFERROR(IF(MACHACHI[[#This Row],[CODIGO]]="","",VLOOKUP(MACHACHI[[#This Row],[CODIGO]],MAESTRO!$A:$BA,53,FALSE)),"")</f>
        <v xml:space="preserve">Luis Armendariz                         </v>
      </c>
      <c r="D79" s="42" t="str">
        <f>+IFERROR(IF(MACHACHI[[#This Row],[CODIGO]]="","",VLOOKUP(MACHACHI[[#This Row],[CODIGO]],MAESTRO!$A:$D,4,FALSE)),"")</f>
        <v>REGENERIS</v>
      </c>
      <c r="E79" s="42" t="str">
        <f>+IFERROR(IF(MACHACHI[[#This Row],[CODIGO]]="","",VLOOKUP(MACHACHI[[#This Row],[CODIGO]],MAESTRO!$A:$F,6,FALSE)),"")</f>
        <v>REGENERIS BAJO EN GRASA BOTELLA PERSONAL</v>
      </c>
      <c r="F79" s="42" t="str">
        <f>IF(MACHACHI[[#This Row],[CODIGO]]="","",$K$6)</f>
        <v>MACHACHI</v>
      </c>
      <c r="G79" s="49">
        <f>IF(MACHACHI[[#This Row],[CODIGO]]="","",7701)</f>
        <v>7701</v>
      </c>
      <c r="H79" s="49">
        <f>IF(MACHACHI[[#This Row],[CODIGO]]="","",1080)</f>
        <v>1080</v>
      </c>
      <c r="I79" s="256" t="s">
        <v>4146</v>
      </c>
      <c r="J79" s="25" t="str">
        <f>IFERROR((VLOOKUP(MACHACHI[[#This Row],[CODIGO]],MAESTRO!A:B,2,FALSE)),"")</f>
        <v>MPLX4 RGN LGHT FTLLA BOT 180G</v>
      </c>
      <c r="K79" s="47">
        <v>23</v>
      </c>
      <c r="L79" s="38">
        <f>+IFERROR(IF(MACHACHI[[#This Row],[CODIGO]]="","",VLOOKUP(MACHACHI[[#This Row],[CODIGO]],MAESTRO!$A:$BF,58,FALSE)),"")</f>
        <v>1</v>
      </c>
      <c r="M79" s="27">
        <f>+IFERROR(IF(MACHACHI[[#This Row],[CODIGO]]="","",VLOOKUP(MACHACHI[[#This Row],[CODIGO]],MAESTRO!A:N,14,FALSE)),"")</f>
        <v>0.72</v>
      </c>
      <c r="N79" s="28">
        <f>+IFERROR(IF(MACHACHI[[#This Row],[CODIGO]]="","",VLOOKUP(MACHACHI[[#This Row],[CODIGO]],MAESTRO!A:P,16,FALSE)),"")</f>
        <v>45</v>
      </c>
      <c r="O79" s="182">
        <f>+IF(MACHACHI[[#This Row],[CODIGO]]="","",MACHACHI[[#This Row],[Fecha Elab.]])</f>
        <v>45602</v>
      </c>
      <c r="P79" s="99" t="str">
        <f t="shared" si="12"/>
        <v>miércoles</v>
      </c>
      <c r="Q79" s="183">
        <f>IFERROR(IF(MACHACHI[[#This Row],[CODIGO]]="","",IF(MACHACHI[[#This Row],[Fecha Cad]]="","",(MACHACHI[[#This Row],[Fecha Cad]]-MACHACHI[[#This Row],[VIDA UTIL (Días)]]))+1),"")</f>
        <v>45602</v>
      </c>
      <c r="R79" s="18">
        <v>45646</v>
      </c>
      <c r="S79" s="180">
        <f t="shared" ca="1" si="13"/>
        <v>22</v>
      </c>
      <c r="T79" s="207">
        <f t="shared" ca="1" si="14"/>
        <v>0.48888888888888887</v>
      </c>
      <c r="U79" s="47">
        <v>23</v>
      </c>
      <c r="V79" s="184">
        <f>+IFERROR(IF(MACHACHI[[#This Row],[CODIGO]]="","",MACHACHI[[#This Row],[Stock Actual Unds]]*MACHACHI[[#This Row],[Gramaje]]*MACHACHI[[#This Row],[Conversión]]),"")</f>
        <v>16.559999999999999</v>
      </c>
      <c r="W79" s="45">
        <f>+IFERROR(IF(I78="","",MACHACHI[[#This Row],[Fecha Elab.]]-MACHACHI[[#This Row],[Fecha de Ingreso]]),"")</f>
        <v>0</v>
      </c>
      <c r="X79" s="44">
        <f t="shared" si="15"/>
        <v>1</v>
      </c>
      <c r="Y79" s="236">
        <f>+IFERROR(IF(MACHACHI[[#This Row],[CODIGO]]="","",VLOOKUP(MACHACHI[[#This Row],[CODIGO]],MAESTRO!A:BI,21,FALSE)),"")</f>
        <v>1.235225</v>
      </c>
      <c r="Z79" s="236">
        <f>+IFERROR(IF(MACHACHI[[#This Row],[CODIGO]]="","",Y79*MACHACHI[[#This Row],[Conversión]]),"")</f>
        <v>1.235225</v>
      </c>
      <c r="AA79" s="236">
        <f>+IFERROR(IF(MACHACHI[[#This Row],[CODIGO]]="","",MACHACHI[[#This Row],[COSTO UNIT Conv]]*MACHACHI[[#This Row],[Stock Actual Unds]]),"")</f>
        <v>28.410174999999999</v>
      </c>
      <c r="AB79" s="180">
        <f ca="1">+IFERROR(IF(MACHACHI[[#This Row],[CODIGO]]="","",$J$3-O79),"")</f>
        <v>22</v>
      </c>
      <c r="AC79" s="35" t="str">
        <f ca="1">IF(MACHACHI[[#This Row],[CODIGO]]="","",IF(S79&lt;=0,"CADUCADO",IF(AND(S79&gt;0,S79&lt;=21),"FECHA CORTA",IF(AND(S79&gt;=22,S79&lt;=26),"PROXIMOS FECHA CORTA", "VIGENTE"))))</f>
        <v>PROXIMOS FECHA CORTA</v>
      </c>
      <c r="AD79" s="181">
        <f>+IFERROR(IF(MACHACHI[[#This Row],[CODIGO]]="","",MACHACHI[[#This Row],[Stock Actual Unds]]*MACHACHI[[#This Row],[Gramaje]]*MACHACHI[[#This Row],[Conversión]]),"")/1000</f>
        <v>1.6559999999999998E-2</v>
      </c>
    </row>
    <row r="80" spans="1:30">
      <c r="A80" s="42" t="str">
        <f>+IFERROR(IF(MACHACHI[[#This Row],[CODIGO]]="","",VLOOKUP(MACHACHI[[#This Row],[CODIGO]],MAESTRO!$A:$J,10,FALSE)),"")</f>
        <v>MULTIEMPAQUE_MACH</v>
      </c>
      <c r="B80" s="42" t="str">
        <f>+IFERROR(IF(MACHACHI[[#This Row],[CODIGO]]="","",VLOOKUP(MACHACHI[[#This Row],[CODIGO]],MAESTRO!$A:$Q,17,FALSE)),"")</f>
        <v>BEBIDAS LACTEAS</v>
      </c>
      <c r="C80" s="42" t="str">
        <f>+IFERROR(IF(MACHACHI[[#This Row],[CODIGO]]="","",VLOOKUP(MACHACHI[[#This Row],[CODIGO]],MAESTRO!$A:$BA,53,FALSE)),"")</f>
        <v xml:space="preserve">Luis Armendariz                         </v>
      </c>
      <c r="D80" s="42" t="str">
        <f>+IFERROR(IF(MACHACHI[[#This Row],[CODIGO]]="","",VLOOKUP(MACHACHI[[#This Row],[CODIGO]],MAESTRO!$A:$D,4,FALSE)),"")</f>
        <v>REGENERIS</v>
      </c>
      <c r="E80" s="42" t="str">
        <f>+IFERROR(IF(MACHACHI[[#This Row],[CODIGO]]="","",VLOOKUP(MACHACHI[[#This Row],[CODIGO]],MAESTRO!$A:$F,6,FALSE)),"")</f>
        <v>REGENERIS BAJO EN GRASA BOTELLA PERSONAL</v>
      </c>
      <c r="F80" s="42" t="str">
        <f>IF(MACHACHI[[#This Row],[CODIGO]]="","",$K$6)</f>
        <v>MACHACHI</v>
      </c>
      <c r="G80" s="49">
        <f>IF(MACHACHI[[#This Row],[CODIGO]]="","",7701)</f>
        <v>7701</v>
      </c>
      <c r="H80" s="49">
        <f>IF(MACHACHI[[#This Row],[CODIGO]]="","",1080)</f>
        <v>1080</v>
      </c>
      <c r="I80" s="256" t="s">
        <v>4146</v>
      </c>
      <c r="J80" s="25" t="str">
        <f>IFERROR((VLOOKUP(MACHACHI[[#This Row],[CODIGO]],MAESTRO!A:B,2,FALSE)),"")</f>
        <v>MPLX4 RGN LGHT FTLLA BOT 180G</v>
      </c>
      <c r="K80" s="47">
        <v>6</v>
      </c>
      <c r="L80" s="38">
        <f>+IFERROR(IF(MACHACHI[[#This Row],[CODIGO]]="","",VLOOKUP(MACHACHI[[#This Row],[CODIGO]],MAESTRO!$A:$BF,58,FALSE)),"")</f>
        <v>1</v>
      </c>
      <c r="M80" s="27">
        <f>+IFERROR(IF(MACHACHI[[#This Row],[CODIGO]]="","",VLOOKUP(MACHACHI[[#This Row],[CODIGO]],MAESTRO!A:N,14,FALSE)),"")</f>
        <v>0.72</v>
      </c>
      <c r="N80" s="28">
        <f>+IFERROR(IF(MACHACHI[[#This Row],[CODIGO]]="","",VLOOKUP(MACHACHI[[#This Row],[CODIGO]],MAESTRO!A:P,16,FALSE)),"")</f>
        <v>45</v>
      </c>
      <c r="O80" s="182">
        <f>+IF(MACHACHI[[#This Row],[CODIGO]]="","",MACHACHI[[#This Row],[Fecha Elab.]])</f>
        <v>45622</v>
      </c>
      <c r="P80" s="99" t="str">
        <f t="shared" ref="P80:P97" si="16">+IF(R80="","",TEXT(O80,"dddd"))</f>
        <v>martes</v>
      </c>
      <c r="Q80" s="183">
        <f>IFERROR(IF(MACHACHI[[#This Row],[CODIGO]]="","",IF(MACHACHI[[#This Row],[Fecha Cad]]="","",(MACHACHI[[#This Row],[Fecha Cad]]-MACHACHI[[#This Row],[VIDA UTIL (Días)]]))+1),"")</f>
        <v>45622</v>
      </c>
      <c r="R80" s="18">
        <v>45666</v>
      </c>
      <c r="S80" s="180">
        <f t="shared" ref="S80:S97" ca="1" si="17">+IFERROR(IF(R80="","",R80-$J$3),0)</f>
        <v>42</v>
      </c>
      <c r="T80" s="207">
        <f t="shared" ref="T80:T97" ca="1" si="18">IFERROR(IF(8="","",S80/N80),0)</f>
        <v>0.93333333333333335</v>
      </c>
      <c r="U80" s="47">
        <v>6</v>
      </c>
      <c r="V80" s="184">
        <f>+IFERROR(IF(MACHACHI[[#This Row],[CODIGO]]="","",MACHACHI[[#This Row],[Stock Actual Unds]]*MACHACHI[[#This Row],[Gramaje]]*MACHACHI[[#This Row],[Conversión]]),"")</f>
        <v>4.32</v>
      </c>
      <c r="W80" s="45">
        <f>+IFERROR(IF(I79="","",MACHACHI[[#This Row],[Fecha Elab.]]-MACHACHI[[#This Row],[Fecha de Ingreso]]),"")</f>
        <v>0</v>
      </c>
      <c r="X80" s="44">
        <f t="shared" si="15"/>
        <v>1</v>
      </c>
      <c r="Y80" s="236">
        <f>+IFERROR(IF(MACHACHI[[#This Row],[CODIGO]]="","",VLOOKUP(MACHACHI[[#This Row],[CODIGO]],MAESTRO!A:BI,21,FALSE)),"")</f>
        <v>1.235225</v>
      </c>
      <c r="Z80" s="236">
        <f>+IFERROR(IF(MACHACHI[[#This Row],[CODIGO]]="","",Y80*MACHACHI[[#This Row],[Conversión]]),"")</f>
        <v>1.235225</v>
      </c>
      <c r="AA80" s="236">
        <f>+IFERROR(IF(MACHACHI[[#This Row],[CODIGO]]="","",MACHACHI[[#This Row],[COSTO UNIT Conv]]*MACHACHI[[#This Row],[Stock Actual Unds]]),"")</f>
        <v>7.4113500000000005</v>
      </c>
      <c r="AB80" s="180">
        <f ca="1">+IFERROR(IF(MACHACHI[[#This Row],[CODIGO]]="","",$J$3-O80),"")</f>
        <v>2</v>
      </c>
      <c r="AC80" s="35" t="str">
        <f ca="1">IF(MACHACHI[[#This Row],[CODIGO]]="","",IF(S80&lt;=0,"CADUCADO",IF(AND(S80&gt;0,S80&lt;=21),"FECHA CORTA",IF(AND(S80&gt;=22,S80&lt;=26),"PROXIMOS FECHA CORTA", "VIGENTE"))))</f>
        <v>VIGENTE</v>
      </c>
      <c r="AD80" s="181">
        <f>+IFERROR(IF(MACHACHI[[#This Row],[CODIGO]]="","",MACHACHI[[#This Row],[Stock Actual Unds]]*MACHACHI[[#This Row],[Gramaje]]*MACHACHI[[#This Row],[Conversión]]),"")/1000</f>
        <v>4.3200000000000001E-3</v>
      </c>
    </row>
    <row r="81" spans="1:30">
      <c r="A81" s="42" t="str">
        <f>+IFERROR(IF(MACHACHI[[#This Row],[CODIGO]]="","",VLOOKUP(MACHACHI[[#This Row],[CODIGO]],MAESTRO!$A:$J,10,FALSE)),"")</f>
        <v>MULTIEMPAQUE_MACH</v>
      </c>
      <c r="B81" s="42" t="str">
        <f>+IFERROR(IF(MACHACHI[[#This Row],[CODIGO]]="","",VLOOKUP(MACHACHI[[#This Row],[CODIGO]],MAESTRO!$A:$Q,17,FALSE)),"")</f>
        <v>BEBIDAS LACTEAS</v>
      </c>
      <c r="C81" s="42" t="str">
        <f>+IFERROR(IF(MACHACHI[[#This Row],[CODIGO]]="","",VLOOKUP(MACHACHI[[#This Row],[CODIGO]],MAESTRO!$A:$BA,53,FALSE)),"")</f>
        <v xml:space="preserve">Luis Armendariz                         </v>
      </c>
      <c r="D81" s="42" t="str">
        <f>+IFERROR(IF(MACHACHI[[#This Row],[CODIGO]]="","",VLOOKUP(MACHACHI[[#This Row],[CODIGO]],MAESTRO!$A:$D,4,FALSE)),"")</f>
        <v>BON YURT</v>
      </c>
      <c r="E81" s="42" t="str">
        <f>+IFERROR(IF(MACHACHI[[#This Row],[CODIGO]]="","",VLOOKUP(MACHACHI[[#This Row],[CODIGO]],MAESTRO!$A:$F,6,FALSE)),"")</f>
        <v>BON YURT REGULAR</v>
      </c>
      <c r="F81" s="42" t="str">
        <f>IF(MACHACHI[[#This Row],[CODIGO]]="","",$K$6)</f>
        <v>MACHACHI</v>
      </c>
      <c r="G81" s="49">
        <f>IF(MACHACHI[[#This Row],[CODIGO]]="","",7701)</f>
        <v>7701</v>
      </c>
      <c r="H81" s="49">
        <f>IF(MACHACHI[[#This Row],[CODIGO]]="","",1080)</f>
        <v>1080</v>
      </c>
      <c r="I81" s="256" t="s">
        <v>4196</v>
      </c>
      <c r="J81" s="25" t="str">
        <f>IFERROR((VLOOKUP(MACHACHI[[#This Row],[CODIGO]],MAESTRO!A:B,2,FALSE)),"")</f>
        <v>MPLX4 BY MULTSAB VASO</v>
      </c>
      <c r="K81" s="47">
        <v>3</v>
      </c>
      <c r="L81" s="38">
        <f>+IFERROR(IF(MACHACHI[[#This Row],[CODIGO]]="","",VLOOKUP(MACHACHI[[#This Row],[CODIGO]],MAESTRO!$A:$BF,58,FALSE)),"")</f>
        <v>1</v>
      </c>
      <c r="M81" s="27">
        <f>+IFERROR(IF(MACHACHI[[#This Row],[CODIGO]]="","",VLOOKUP(MACHACHI[[#This Row],[CODIGO]],MAESTRO!A:N,14,FALSE)),"")</f>
        <v>0.66500000000000004</v>
      </c>
      <c r="N81" s="28">
        <f>+IFERROR(IF(MACHACHI[[#This Row],[CODIGO]]="","",VLOOKUP(MACHACHI[[#This Row],[CODIGO]],MAESTRO!A:P,16,FALSE)),"")</f>
        <v>45</v>
      </c>
      <c r="O81" s="182">
        <f>+IF(MACHACHI[[#This Row],[CODIGO]]="","",MACHACHI[[#This Row],[Fecha Elab.]])</f>
        <v>45612</v>
      </c>
      <c r="P81" s="99" t="str">
        <f t="shared" si="16"/>
        <v>sábado</v>
      </c>
      <c r="Q81" s="183">
        <f>IFERROR(IF(MACHACHI[[#This Row],[CODIGO]]="","",IF(MACHACHI[[#This Row],[Fecha Cad]]="","",(MACHACHI[[#This Row],[Fecha Cad]]-MACHACHI[[#This Row],[VIDA UTIL (Días)]]))+1),"")</f>
        <v>45612</v>
      </c>
      <c r="R81" s="18">
        <v>45656</v>
      </c>
      <c r="S81" s="180">
        <f t="shared" ca="1" si="17"/>
        <v>32</v>
      </c>
      <c r="T81" s="207">
        <f t="shared" ca="1" si="18"/>
        <v>0.71111111111111114</v>
      </c>
      <c r="U81" s="47">
        <v>3</v>
      </c>
      <c r="V81" s="184">
        <f>+IFERROR(IF(MACHACHI[[#This Row],[CODIGO]]="","",MACHACHI[[#This Row],[Stock Actual Unds]]*MACHACHI[[#This Row],[Gramaje]]*MACHACHI[[#This Row],[Conversión]]),"")</f>
        <v>1.9950000000000001</v>
      </c>
      <c r="W81" s="45">
        <f>+IFERROR(IF(I80="","",MACHACHI[[#This Row],[Fecha Elab.]]-MACHACHI[[#This Row],[Fecha de Ingreso]]),"")</f>
        <v>0</v>
      </c>
      <c r="X81" s="44">
        <f t="shared" si="15"/>
        <v>1</v>
      </c>
      <c r="Y81" s="236">
        <f>+IFERROR(IF(MACHACHI[[#This Row],[CODIGO]]="","",VLOOKUP(MACHACHI[[#This Row],[CODIGO]],MAESTRO!A:BI,21,FALSE)),"")</f>
        <v>1.5265749999999998</v>
      </c>
      <c r="Z81" s="236">
        <f>+IFERROR(IF(MACHACHI[[#This Row],[CODIGO]]="","",Y81*MACHACHI[[#This Row],[Conversión]]),"")</f>
        <v>1.5265749999999998</v>
      </c>
      <c r="AA81" s="236">
        <f>+IFERROR(IF(MACHACHI[[#This Row],[CODIGO]]="","",MACHACHI[[#This Row],[COSTO UNIT Conv]]*MACHACHI[[#This Row],[Stock Actual Unds]]),"")</f>
        <v>4.5797249999999998</v>
      </c>
      <c r="AB81" s="180">
        <f ca="1">+IFERROR(IF(MACHACHI[[#This Row],[CODIGO]]="","",$J$3-O81),"")</f>
        <v>12</v>
      </c>
      <c r="AC81" s="35" t="str">
        <f ca="1">IF(MACHACHI[[#This Row],[CODIGO]]="","",IF(S81&lt;=0,"CADUCADO",IF(AND(S81&gt;0,S81&lt;=21),"FECHA CORTA",IF(AND(S81&gt;=22,S81&lt;=26),"PROXIMOS FECHA CORTA", "VIGENTE"))))</f>
        <v>VIGENTE</v>
      </c>
      <c r="AD81" s="181">
        <f>+IFERROR(IF(MACHACHI[[#This Row],[CODIGO]]="","",MACHACHI[[#This Row],[Stock Actual Unds]]*MACHACHI[[#This Row],[Gramaje]]*MACHACHI[[#This Row],[Conversión]]),"")/1000</f>
        <v>1.9950000000000002E-3</v>
      </c>
    </row>
    <row r="82" spans="1:30">
      <c r="A82" s="42" t="str">
        <f>+IFERROR(IF(MACHACHI[[#This Row],[CODIGO]]="","",VLOOKUP(MACHACHI[[#This Row],[CODIGO]],MAESTRO!$A:$J,10,FALSE)),"")</f>
        <v>MULTIEMPAQUE_MACH</v>
      </c>
      <c r="B82" s="42" t="str">
        <f>+IFERROR(IF(MACHACHI[[#This Row],[CODIGO]]="","",VLOOKUP(MACHACHI[[#This Row],[CODIGO]],MAESTRO!$A:$Q,17,FALSE)),"")</f>
        <v>BEBIDAS LACTEAS</v>
      </c>
      <c r="C82" s="42" t="str">
        <f>+IFERROR(IF(MACHACHI[[#This Row],[CODIGO]]="","",VLOOKUP(MACHACHI[[#This Row],[CODIGO]],MAESTRO!$A:$BA,53,FALSE)),"")</f>
        <v xml:space="preserve">Luis Armendariz                         </v>
      </c>
      <c r="D82" s="42" t="str">
        <f>+IFERROR(IF(MACHACHI[[#This Row],[CODIGO]]="","",VLOOKUP(MACHACHI[[#This Row],[CODIGO]],MAESTRO!$A:$D,4,FALSE)),"")</f>
        <v>BON YURT</v>
      </c>
      <c r="E82" s="42" t="str">
        <f>+IFERROR(IF(MACHACHI[[#This Row],[CODIGO]]="","",VLOOKUP(MACHACHI[[#This Row],[CODIGO]],MAESTRO!$A:$F,6,FALSE)),"")</f>
        <v>BON YURT REGULAR</v>
      </c>
      <c r="F82" s="42" t="str">
        <f>IF(MACHACHI[[#This Row],[CODIGO]]="","",$K$6)</f>
        <v>MACHACHI</v>
      </c>
      <c r="G82" s="49">
        <f>IF(MACHACHI[[#This Row],[CODIGO]]="","",7701)</f>
        <v>7701</v>
      </c>
      <c r="H82" s="49">
        <f>IF(MACHACHI[[#This Row],[CODIGO]]="","",1080)</f>
        <v>1080</v>
      </c>
      <c r="I82" s="256" t="s">
        <v>4196</v>
      </c>
      <c r="J82" s="25" t="str">
        <f>IFERROR((VLOOKUP(MACHACHI[[#This Row],[CODIGO]],MAESTRO!A:B,2,FALSE)),"")</f>
        <v>MPLX4 BY MULTSAB VASO</v>
      </c>
      <c r="K82" s="47">
        <v>3</v>
      </c>
      <c r="L82" s="38">
        <f>+IFERROR(IF(MACHACHI[[#This Row],[CODIGO]]="","",VLOOKUP(MACHACHI[[#This Row],[CODIGO]],MAESTRO!$A:$BF,58,FALSE)),"")</f>
        <v>1</v>
      </c>
      <c r="M82" s="27">
        <f>+IFERROR(IF(MACHACHI[[#This Row],[CODIGO]]="","",VLOOKUP(MACHACHI[[#This Row],[CODIGO]],MAESTRO!A:N,14,FALSE)),"")</f>
        <v>0.66500000000000004</v>
      </c>
      <c r="N82" s="28">
        <f>+IFERROR(IF(MACHACHI[[#This Row],[CODIGO]]="","",VLOOKUP(MACHACHI[[#This Row],[CODIGO]],MAESTRO!A:P,16,FALSE)),"")</f>
        <v>45</v>
      </c>
      <c r="O82" s="182">
        <f>+IF(MACHACHI[[#This Row],[CODIGO]]="","",MACHACHI[[#This Row],[Fecha Elab.]])</f>
        <v>45604</v>
      </c>
      <c r="P82" s="99" t="str">
        <f t="shared" si="16"/>
        <v>viernes</v>
      </c>
      <c r="Q82" s="183">
        <f>IFERROR(IF(MACHACHI[[#This Row],[CODIGO]]="","",IF(MACHACHI[[#This Row],[Fecha Cad]]="","",(MACHACHI[[#This Row],[Fecha Cad]]-MACHACHI[[#This Row],[VIDA UTIL (Días)]]))+1),"")</f>
        <v>45604</v>
      </c>
      <c r="R82" s="18">
        <v>45648</v>
      </c>
      <c r="S82" s="180">
        <f t="shared" ca="1" si="17"/>
        <v>24</v>
      </c>
      <c r="T82" s="207">
        <f t="shared" ca="1" si="18"/>
        <v>0.53333333333333333</v>
      </c>
      <c r="U82" s="47">
        <v>3</v>
      </c>
      <c r="V82" s="184">
        <f>+IFERROR(IF(MACHACHI[[#This Row],[CODIGO]]="","",MACHACHI[[#This Row],[Stock Actual Unds]]*MACHACHI[[#This Row],[Gramaje]]*MACHACHI[[#This Row],[Conversión]]),"")</f>
        <v>1.9950000000000001</v>
      </c>
      <c r="W82" s="45">
        <f>+IFERROR(IF(I81="","",MACHACHI[[#This Row],[Fecha Elab.]]-MACHACHI[[#This Row],[Fecha de Ingreso]]),"")</f>
        <v>0</v>
      </c>
      <c r="X82" s="44">
        <f t="shared" si="15"/>
        <v>1</v>
      </c>
      <c r="Y82" s="236">
        <f>+IFERROR(IF(MACHACHI[[#This Row],[CODIGO]]="","",VLOOKUP(MACHACHI[[#This Row],[CODIGO]],MAESTRO!A:BI,21,FALSE)),"")</f>
        <v>1.5265749999999998</v>
      </c>
      <c r="Z82" s="236">
        <f>+IFERROR(IF(MACHACHI[[#This Row],[CODIGO]]="","",Y82*MACHACHI[[#This Row],[Conversión]]),"")</f>
        <v>1.5265749999999998</v>
      </c>
      <c r="AA82" s="236">
        <f>+IFERROR(IF(MACHACHI[[#This Row],[CODIGO]]="","",MACHACHI[[#This Row],[COSTO UNIT Conv]]*MACHACHI[[#This Row],[Stock Actual Unds]]),"")</f>
        <v>4.5797249999999998</v>
      </c>
      <c r="AB82" s="180">
        <f ca="1">+IFERROR(IF(MACHACHI[[#This Row],[CODIGO]]="","",$J$3-O82),"")</f>
        <v>20</v>
      </c>
      <c r="AC82" s="35" t="str">
        <f ca="1">IF(MACHACHI[[#This Row],[CODIGO]]="","",IF(S82&lt;=0,"CADUCADO",IF(AND(S82&gt;0,S82&lt;=21),"FECHA CORTA",IF(AND(S82&gt;=22,S82&lt;=26),"PROXIMOS FECHA CORTA", "VIGENTE"))))</f>
        <v>PROXIMOS FECHA CORTA</v>
      </c>
      <c r="AD82" s="181">
        <f>+IFERROR(IF(MACHACHI[[#This Row],[CODIGO]]="","",MACHACHI[[#This Row],[Stock Actual Unds]]*MACHACHI[[#This Row],[Gramaje]]*MACHACHI[[#This Row],[Conversión]]),"")/1000</f>
        <v>1.9950000000000002E-3</v>
      </c>
    </row>
    <row r="83" spans="1:30">
      <c r="A83" s="42" t="str">
        <f>+IFERROR(IF(MACHACHI[[#This Row],[CODIGO]]="","",VLOOKUP(MACHACHI[[#This Row],[CODIGO]],MAESTRO!$A:$J,10,FALSE)),"")</f>
        <v>MULTIEMPAQUE_MACH</v>
      </c>
      <c r="B83" s="42" t="str">
        <f>+IFERROR(IF(MACHACHI[[#This Row],[CODIGO]]="","",VLOOKUP(MACHACHI[[#This Row],[CODIGO]],MAESTRO!$A:$Q,17,FALSE)),"")</f>
        <v>BEBIDAS LACTEAS</v>
      </c>
      <c r="C83" s="42" t="str">
        <f>+IFERROR(IF(MACHACHI[[#This Row],[CODIGO]]="","",VLOOKUP(MACHACHI[[#This Row],[CODIGO]],MAESTRO!$A:$BA,53,FALSE)),"")</f>
        <v xml:space="preserve">Luis Armendariz                         </v>
      </c>
      <c r="D83" s="42" t="str">
        <f>+IFERROR(IF(MACHACHI[[#This Row],[CODIGO]]="","",VLOOKUP(MACHACHI[[#This Row],[CODIGO]],MAESTRO!$A:$D,4,FALSE)),"")</f>
        <v>BON YURT</v>
      </c>
      <c r="E83" s="42" t="str">
        <f>+IFERROR(IF(MACHACHI[[#This Row],[CODIGO]]="","",VLOOKUP(MACHACHI[[#This Row],[CODIGO]],MAESTRO!$A:$F,6,FALSE)),"")</f>
        <v>BON YURT REGULAR</v>
      </c>
      <c r="F83" s="42" t="str">
        <f>IF(MACHACHI[[#This Row],[CODIGO]]="","",$K$6)</f>
        <v>MACHACHI</v>
      </c>
      <c r="G83" s="49">
        <f>IF(MACHACHI[[#This Row],[CODIGO]]="","",7701)</f>
        <v>7701</v>
      </c>
      <c r="H83" s="49">
        <f>IF(MACHACHI[[#This Row],[CODIGO]]="","",1080)</f>
        <v>1080</v>
      </c>
      <c r="I83" s="256" t="s">
        <v>4196</v>
      </c>
      <c r="J83" s="25" t="str">
        <f>IFERROR((VLOOKUP(MACHACHI[[#This Row],[CODIGO]],MAESTRO!A:B,2,FALSE)),"")</f>
        <v>MPLX4 BY MULTSAB VASO</v>
      </c>
      <c r="K83" s="47">
        <v>18</v>
      </c>
      <c r="L83" s="38">
        <f>+IFERROR(IF(MACHACHI[[#This Row],[CODIGO]]="","",VLOOKUP(MACHACHI[[#This Row],[CODIGO]],MAESTRO!$A:$BF,58,FALSE)),"")</f>
        <v>1</v>
      </c>
      <c r="M83" s="27">
        <f>+IFERROR(IF(MACHACHI[[#This Row],[CODIGO]]="","",VLOOKUP(MACHACHI[[#This Row],[CODIGO]],MAESTRO!A:N,14,FALSE)),"")</f>
        <v>0.66500000000000004</v>
      </c>
      <c r="N83" s="28">
        <f>+IFERROR(IF(MACHACHI[[#This Row],[CODIGO]]="","",VLOOKUP(MACHACHI[[#This Row],[CODIGO]],MAESTRO!A:P,16,FALSE)),"")</f>
        <v>45</v>
      </c>
      <c r="O83" s="182">
        <f>+IF(MACHACHI[[#This Row],[CODIGO]]="","",MACHACHI[[#This Row],[Fecha Elab.]])</f>
        <v>45619</v>
      </c>
      <c r="P83" s="99" t="str">
        <f t="shared" si="16"/>
        <v>sábado</v>
      </c>
      <c r="Q83" s="183">
        <f>IFERROR(IF(MACHACHI[[#This Row],[CODIGO]]="","",IF(MACHACHI[[#This Row],[Fecha Cad]]="","",(MACHACHI[[#This Row],[Fecha Cad]]-MACHACHI[[#This Row],[VIDA UTIL (Días)]]))+1),"")</f>
        <v>45619</v>
      </c>
      <c r="R83" s="18">
        <v>45663</v>
      </c>
      <c r="S83" s="180">
        <f t="shared" ca="1" si="17"/>
        <v>39</v>
      </c>
      <c r="T83" s="207">
        <f t="shared" ca="1" si="18"/>
        <v>0.8666666666666667</v>
      </c>
      <c r="U83" s="47">
        <v>18</v>
      </c>
      <c r="V83" s="184">
        <f>+IFERROR(IF(MACHACHI[[#This Row],[CODIGO]]="","",MACHACHI[[#This Row],[Stock Actual Unds]]*MACHACHI[[#This Row],[Gramaje]]*MACHACHI[[#This Row],[Conversión]]),"")</f>
        <v>11.97</v>
      </c>
      <c r="W83" s="45">
        <f>+IFERROR(IF(I82="","",MACHACHI[[#This Row],[Fecha Elab.]]-MACHACHI[[#This Row],[Fecha de Ingreso]]),"")</f>
        <v>0</v>
      </c>
      <c r="X83" s="44">
        <f t="shared" si="15"/>
        <v>1</v>
      </c>
      <c r="Y83" s="236">
        <f>+IFERROR(IF(MACHACHI[[#This Row],[CODIGO]]="","",VLOOKUP(MACHACHI[[#This Row],[CODIGO]],MAESTRO!A:BI,21,FALSE)),"")</f>
        <v>1.5265749999999998</v>
      </c>
      <c r="Z83" s="236">
        <f>+IFERROR(IF(MACHACHI[[#This Row],[CODIGO]]="","",Y83*MACHACHI[[#This Row],[Conversión]]),"")</f>
        <v>1.5265749999999998</v>
      </c>
      <c r="AA83" s="236">
        <f>+IFERROR(IF(MACHACHI[[#This Row],[CODIGO]]="","",MACHACHI[[#This Row],[COSTO UNIT Conv]]*MACHACHI[[#This Row],[Stock Actual Unds]]),"")</f>
        <v>27.478349999999995</v>
      </c>
      <c r="AB83" s="180">
        <f ca="1">+IFERROR(IF(MACHACHI[[#This Row],[CODIGO]]="","",$J$3-O83),"")</f>
        <v>5</v>
      </c>
      <c r="AC83" s="35" t="str">
        <f ca="1">IF(MACHACHI[[#This Row],[CODIGO]]="","",IF(S83&lt;=0,"CADUCADO",IF(AND(S83&gt;0,S83&lt;=21),"FECHA CORTA",IF(AND(S83&gt;=22,S83&lt;=26),"PROXIMOS FECHA CORTA", "VIGENTE"))))</f>
        <v>VIGENTE</v>
      </c>
      <c r="AD83" s="181">
        <f>+IFERROR(IF(MACHACHI[[#This Row],[CODIGO]]="","",MACHACHI[[#This Row],[Stock Actual Unds]]*MACHACHI[[#This Row],[Gramaje]]*MACHACHI[[#This Row],[Conversión]]),"")/1000</f>
        <v>1.1970000000000001E-2</v>
      </c>
    </row>
    <row r="84" spans="1:30">
      <c r="A84" s="42" t="str">
        <f>+IFERROR(IF(MACHACHI[[#This Row],[CODIGO]]="","",VLOOKUP(MACHACHI[[#This Row],[CODIGO]],MAESTRO!$A:$J,10,FALSE)),"")</f>
        <v>MULTIEMPAQUE_MACH</v>
      </c>
      <c r="B84" s="42" t="str">
        <f>+IFERROR(IF(MACHACHI[[#This Row],[CODIGO]]="","",VLOOKUP(MACHACHI[[#This Row],[CODIGO]],MAESTRO!$A:$Q,17,FALSE)),"")</f>
        <v>BEBIDAS LACTEAS</v>
      </c>
      <c r="C84" s="42" t="str">
        <f>+IFERROR(IF(MACHACHI[[#This Row],[CODIGO]]="","",VLOOKUP(MACHACHI[[#This Row],[CODIGO]],MAESTRO!$A:$BA,53,FALSE)),"")</f>
        <v xml:space="preserve">Luis Armendariz                         </v>
      </c>
      <c r="D84" s="42" t="str">
        <f>+IFERROR(IF(MACHACHI[[#This Row],[CODIGO]]="","",VLOOKUP(MACHACHI[[#This Row],[CODIGO]],MAESTRO!$A:$D,4,FALSE)),"")</f>
        <v>BON YURT</v>
      </c>
      <c r="E84" s="42" t="str">
        <f>+IFERROR(IF(MACHACHI[[#This Row],[CODIGO]]="","",VLOOKUP(MACHACHI[[#This Row],[CODIGO]],MAESTRO!$A:$F,6,FALSE)),"")</f>
        <v>BON YURT REGULAR</v>
      </c>
      <c r="F84" s="42" t="str">
        <f>IF(MACHACHI[[#This Row],[CODIGO]]="","",$K$6)</f>
        <v>MACHACHI</v>
      </c>
      <c r="G84" s="49">
        <f>IF(MACHACHI[[#This Row],[CODIGO]]="","",7701)</f>
        <v>7701</v>
      </c>
      <c r="H84" s="49">
        <f>IF(MACHACHI[[#This Row],[CODIGO]]="","",1080)</f>
        <v>1080</v>
      </c>
      <c r="I84" s="256" t="s">
        <v>4196</v>
      </c>
      <c r="J84" s="25" t="str">
        <f>IFERROR((VLOOKUP(MACHACHI[[#This Row],[CODIGO]],MAESTRO!A:B,2,FALSE)),"")</f>
        <v>MPLX4 BY MULTSAB VASO</v>
      </c>
      <c r="K84" s="47">
        <v>96</v>
      </c>
      <c r="L84" s="38">
        <f>+IFERROR(IF(MACHACHI[[#This Row],[CODIGO]]="","",VLOOKUP(MACHACHI[[#This Row],[CODIGO]],MAESTRO!$A:$BF,58,FALSE)),"")</f>
        <v>1</v>
      </c>
      <c r="M84" s="27">
        <f>+IFERROR(IF(MACHACHI[[#This Row],[CODIGO]]="","",VLOOKUP(MACHACHI[[#This Row],[CODIGO]],MAESTRO!A:N,14,FALSE)),"")</f>
        <v>0.66500000000000004</v>
      </c>
      <c r="N84" s="28">
        <f>+IFERROR(IF(MACHACHI[[#This Row],[CODIGO]]="","",VLOOKUP(MACHACHI[[#This Row],[CODIGO]],MAESTRO!A:P,16,FALSE)),"")</f>
        <v>45</v>
      </c>
      <c r="O84" s="182">
        <f>+IF(MACHACHI[[#This Row],[CODIGO]]="","",MACHACHI[[#This Row],[Fecha Elab.]])</f>
        <v>45623</v>
      </c>
      <c r="P84" s="99" t="str">
        <f t="shared" si="16"/>
        <v>miércoles</v>
      </c>
      <c r="Q84" s="183">
        <f>IFERROR(IF(MACHACHI[[#This Row],[CODIGO]]="","",IF(MACHACHI[[#This Row],[Fecha Cad]]="","",(MACHACHI[[#This Row],[Fecha Cad]]-MACHACHI[[#This Row],[VIDA UTIL (Días)]]))+1),"")</f>
        <v>45623</v>
      </c>
      <c r="R84" s="18">
        <v>45667</v>
      </c>
      <c r="S84" s="180">
        <f t="shared" ca="1" si="17"/>
        <v>43</v>
      </c>
      <c r="T84" s="207">
        <f t="shared" ca="1" si="18"/>
        <v>0.9555555555555556</v>
      </c>
      <c r="U84" s="47">
        <v>96</v>
      </c>
      <c r="V84" s="184">
        <f>+IFERROR(IF(MACHACHI[[#This Row],[CODIGO]]="","",MACHACHI[[#This Row],[Stock Actual Unds]]*MACHACHI[[#This Row],[Gramaje]]*MACHACHI[[#This Row],[Conversión]]),"")</f>
        <v>63.84</v>
      </c>
      <c r="W84" s="45">
        <f>+IFERROR(IF(I83="","",MACHACHI[[#This Row],[Fecha Elab.]]-MACHACHI[[#This Row],[Fecha de Ingreso]]),"")</f>
        <v>0</v>
      </c>
      <c r="X84" s="44">
        <f t="shared" si="15"/>
        <v>1</v>
      </c>
      <c r="Y84" s="236">
        <f>+IFERROR(IF(MACHACHI[[#This Row],[CODIGO]]="","",VLOOKUP(MACHACHI[[#This Row],[CODIGO]],MAESTRO!A:BI,21,FALSE)),"")</f>
        <v>1.5265749999999998</v>
      </c>
      <c r="Z84" s="236">
        <f>+IFERROR(IF(MACHACHI[[#This Row],[CODIGO]]="","",Y84*MACHACHI[[#This Row],[Conversión]]),"")</f>
        <v>1.5265749999999998</v>
      </c>
      <c r="AA84" s="236">
        <f>+IFERROR(IF(MACHACHI[[#This Row],[CODIGO]]="","",MACHACHI[[#This Row],[COSTO UNIT Conv]]*MACHACHI[[#This Row],[Stock Actual Unds]]),"")</f>
        <v>146.55119999999999</v>
      </c>
      <c r="AB84" s="180">
        <f ca="1">+IFERROR(IF(MACHACHI[[#This Row],[CODIGO]]="","",$J$3-O84),"")</f>
        <v>1</v>
      </c>
      <c r="AC84" s="35" t="str">
        <f ca="1">IF(MACHACHI[[#This Row],[CODIGO]]="","",IF(S84&lt;=0,"CADUCADO",IF(AND(S84&gt;0,S84&lt;=21),"FECHA CORTA",IF(AND(S84&gt;=22,S84&lt;=26),"PROXIMOS FECHA CORTA", "VIGENTE"))))</f>
        <v>VIGENTE</v>
      </c>
      <c r="AD84" s="181">
        <f>+IFERROR(IF(MACHACHI[[#This Row],[CODIGO]]="","",MACHACHI[[#This Row],[Stock Actual Unds]]*MACHACHI[[#This Row],[Gramaje]]*MACHACHI[[#This Row],[Conversión]]),"")/1000</f>
        <v>6.3840000000000008E-2</v>
      </c>
    </row>
    <row r="85" spans="1:30">
      <c r="A85" s="42" t="str">
        <f>+IFERROR(IF(MACHACHI[[#This Row],[CODIGO]]="","",VLOOKUP(MACHACHI[[#This Row],[CODIGO]],MAESTRO!$A:$J,10,FALSE)),"")</f>
        <v>MULTIEMPAQUE_MACH</v>
      </c>
      <c r="B85" s="42" t="str">
        <f>+IFERROR(IF(MACHACHI[[#This Row],[CODIGO]]="","",VLOOKUP(MACHACHI[[#This Row],[CODIGO]],MAESTRO!$A:$Q,17,FALSE)),"")</f>
        <v>BEBIDAS LACTEAS</v>
      </c>
      <c r="C85" s="42" t="str">
        <f>+IFERROR(IF(MACHACHI[[#This Row],[CODIGO]]="","",VLOOKUP(MACHACHI[[#This Row],[CODIGO]],MAESTRO!$A:$BA,53,FALSE)),"")</f>
        <v xml:space="preserve">Luis Armendariz                         </v>
      </c>
      <c r="D85" s="42" t="str">
        <f>+IFERROR(IF(MACHACHI[[#This Row],[CODIGO]]="","",VLOOKUP(MACHACHI[[#This Row],[CODIGO]],MAESTRO!$A:$D,4,FALSE)),"")</f>
        <v>BON YURT</v>
      </c>
      <c r="E85" s="42" t="str">
        <f>+IFERROR(IF(MACHACHI[[#This Row],[CODIGO]]="","",VLOOKUP(MACHACHI[[#This Row],[CODIGO]],MAESTRO!$A:$F,6,FALSE)),"")</f>
        <v>BON YURT REGULAR</v>
      </c>
      <c r="F85" s="42" t="str">
        <f>IF(MACHACHI[[#This Row],[CODIGO]]="","",$K$6)</f>
        <v>MACHACHI</v>
      </c>
      <c r="G85" s="49">
        <f>IF(MACHACHI[[#This Row],[CODIGO]]="","",7701)</f>
        <v>7701</v>
      </c>
      <c r="H85" s="49">
        <f>IF(MACHACHI[[#This Row],[CODIGO]]="","",1080)</f>
        <v>1080</v>
      </c>
      <c r="I85" s="256" t="s">
        <v>4155</v>
      </c>
      <c r="J85" s="25" t="str">
        <f>IFERROR((VLOOKUP(MACHACHI[[#This Row],[CODIGO]],MAESTRO!A:B,2,FALSE)),"")</f>
        <v>MPLX4 BY NEON VASO 170G</v>
      </c>
      <c r="K85" s="47">
        <v>4</v>
      </c>
      <c r="L85" s="38">
        <f>+IFERROR(IF(MACHACHI[[#This Row],[CODIGO]]="","",VLOOKUP(MACHACHI[[#This Row],[CODIGO]],MAESTRO!$A:$BF,58,FALSE)),"")</f>
        <v>1</v>
      </c>
      <c r="M85" s="27">
        <f>+IFERROR(IF(MACHACHI[[#This Row],[CODIGO]]="","",VLOOKUP(MACHACHI[[#This Row],[CODIGO]],MAESTRO!A:N,14,FALSE)),"")</f>
        <v>0.68</v>
      </c>
      <c r="N85" s="28">
        <f>+IFERROR(IF(MACHACHI[[#This Row],[CODIGO]]="","",VLOOKUP(MACHACHI[[#This Row],[CODIGO]],MAESTRO!A:P,16,FALSE)),"")</f>
        <v>45</v>
      </c>
      <c r="O85" s="182">
        <f>+IF(MACHACHI[[#This Row],[CODIGO]]="","",MACHACHI[[#This Row],[Fecha Elab.]])</f>
        <v>45612</v>
      </c>
      <c r="P85" s="99" t="str">
        <f t="shared" si="16"/>
        <v>sábado</v>
      </c>
      <c r="Q85" s="183">
        <f>IFERROR(IF(MACHACHI[[#This Row],[CODIGO]]="","",IF(MACHACHI[[#This Row],[Fecha Cad]]="","",(MACHACHI[[#This Row],[Fecha Cad]]-MACHACHI[[#This Row],[VIDA UTIL (Días)]]))+1),"")</f>
        <v>45612</v>
      </c>
      <c r="R85" s="18">
        <v>45656</v>
      </c>
      <c r="S85" s="180">
        <f t="shared" ca="1" si="17"/>
        <v>32</v>
      </c>
      <c r="T85" s="207">
        <f t="shared" ca="1" si="18"/>
        <v>0.71111111111111114</v>
      </c>
      <c r="U85" s="47">
        <v>4</v>
      </c>
      <c r="V85" s="184">
        <f>+IFERROR(IF(MACHACHI[[#This Row],[CODIGO]]="","",MACHACHI[[#This Row],[Stock Actual Unds]]*MACHACHI[[#This Row],[Gramaje]]*MACHACHI[[#This Row],[Conversión]]),"")</f>
        <v>2.72</v>
      </c>
      <c r="W85" s="45">
        <f>+IFERROR(IF(I84="","",MACHACHI[[#This Row],[Fecha Elab.]]-MACHACHI[[#This Row],[Fecha de Ingreso]]),"")</f>
        <v>0</v>
      </c>
      <c r="X85" s="44">
        <f t="shared" si="15"/>
        <v>1</v>
      </c>
      <c r="Y85" s="236">
        <f>+IFERROR(IF(MACHACHI[[#This Row],[CODIGO]]="","",VLOOKUP(MACHACHI[[#This Row],[CODIGO]],MAESTRO!A:BI,21,FALSE)),"")</f>
        <v>1.6522000000000001</v>
      </c>
      <c r="Z85" s="236">
        <f>+IFERROR(IF(MACHACHI[[#This Row],[CODIGO]]="","",Y85*MACHACHI[[#This Row],[Conversión]]),"")</f>
        <v>1.6522000000000001</v>
      </c>
      <c r="AA85" s="236">
        <f>+IFERROR(IF(MACHACHI[[#This Row],[CODIGO]]="","",MACHACHI[[#This Row],[COSTO UNIT Conv]]*MACHACHI[[#This Row],[Stock Actual Unds]]),"")</f>
        <v>6.6088000000000005</v>
      </c>
      <c r="AB85" s="180">
        <f ca="1">+IFERROR(IF(MACHACHI[[#This Row],[CODIGO]]="","",$J$3-O85),"")</f>
        <v>12</v>
      </c>
      <c r="AC85" s="35" t="str">
        <f ca="1">IF(MACHACHI[[#This Row],[CODIGO]]="","",IF(S85&lt;=0,"CADUCADO",IF(AND(S85&gt;0,S85&lt;=21),"FECHA CORTA",IF(AND(S85&gt;=22,S85&lt;=26),"PROXIMOS FECHA CORTA", "VIGENTE"))))</f>
        <v>VIGENTE</v>
      </c>
      <c r="AD85" s="181">
        <f>+IFERROR(IF(MACHACHI[[#This Row],[CODIGO]]="","",MACHACHI[[#This Row],[Stock Actual Unds]]*MACHACHI[[#This Row],[Gramaje]]*MACHACHI[[#This Row],[Conversión]]),"")/1000</f>
        <v>2.7200000000000002E-3</v>
      </c>
    </row>
    <row r="86" spans="1:30">
      <c r="A86" s="42" t="str">
        <f>+IFERROR(IF(MACHACHI[[#This Row],[CODIGO]]="","",VLOOKUP(MACHACHI[[#This Row],[CODIGO]],MAESTRO!$A:$J,10,FALSE)),"")</f>
        <v>MULTIEMPAQUE_MACH</v>
      </c>
      <c r="B86" s="42" t="str">
        <f>+IFERROR(IF(MACHACHI[[#This Row],[CODIGO]]="","",VLOOKUP(MACHACHI[[#This Row],[CODIGO]],MAESTRO!$A:$Q,17,FALSE)),"")</f>
        <v>BEBIDAS LACTEAS</v>
      </c>
      <c r="C86" s="42" t="str">
        <f>+IFERROR(IF(MACHACHI[[#This Row],[CODIGO]]="","",VLOOKUP(MACHACHI[[#This Row],[CODIGO]],MAESTRO!$A:$BA,53,FALSE)),"")</f>
        <v xml:space="preserve">Luis Armendariz                         </v>
      </c>
      <c r="D86" s="42" t="str">
        <f>+IFERROR(IF(MACHACHI[[#This Row],[CODIGO]]="","",VLOOKUP(MACHACHI[[#This Row],[CODIGO]],MAESTRO!$A:$D,4,FALSE)),"")</f>
        <v>BON YURT</v>
      </c>
      <c r="E86" s="42" t="str">
        <f>+IFERROR(IF(MACHACHI[[#This Row],[CODIGO]]="","",VLOOKUP(MACHACHI[[#This Row],[CODIGO]],MAESTRO!$A:$F,6,FALSE)),"")</f>
        <v>BON YURT REGULAR</v>
      </c>
      <c r="F86" s="42" t="str">
        <f>IF(MACHACHI[[#This Row],[CODIGO]]="","",$K$6)</f>
        <v>MACHACHI</v>
      </c>
      <c r="G86" s="49">
        <f>IF(MACHACHI[[#This Row],[CODIGO]]="","",7701)</f>
        <v>7701</v>
      </c>
      <c r="H86" s="49">
        <f>IF(MACHACHI[[#This Row],[CODIGO]]="","",1080)</f>
        <v>1080</v>
      </c>
      <c r="I86" s="256" t="s">
        <v>4155</v>
      </c>
      <c r="J86" s="25" t="str">
        <f>IFERROR((VLOOKUP(MACHACHI[[#This Row],[CODIGO]],MAESTRO!A:B,2,FALSE)),"")</f>
        <v>MPLX4 BY NEON VASO 170G</v>
      </c>
      <c r="K86" s="47">
        <v>2</v>
      </c>
      <c r="L86" s="38">
        <f>+IFERROR(IF(MACHACHI[[#This Row],[CODIGO]]="","",VLOOKUP(MACHACHI[[#This Row],[CODIGO]],MAESTRO!$A:$BF,58,FALSE)),"")</f>
        <v>1</v>
      </c>
      <c r="M86" s="27">
        <f>+IFERROR(IF(MACHACHI[[#This Row],[CODIGO]]="","",VLOOKUP(MACHACHI[[#This Row],[CODIGO]],MAESTRO!A:N,14,FALSE)),"")</f>
        <v>0.68</v>
      </c>
      <c r="N86" s="28">
        <f>+IFERROR(IF(MACHACHI[[#This Row],[CODIGO]]="","",VLOOKUP(MACHACHI[[#This Row],[CODIGO]],MAESTRO!A:P,16,FALSE)),"")</f>
        <v>45</v>
      </c>
      <c r="O86" s="182">
        <f>+IF(MACHACHI[[#This Row],[CODIGO]]="","",MACHACHI[[#This Row],[Fecha Elab.]])</f>
        <v>45615</v>
      </c>
      <c r="P86" s="99" t="str">
        <f t="shared" si="16"/>
        <v>martes</v>
      </c>
      <c r="Q86" s="183">
        <f>IFERROR(IF(MACHACHI[[#This Row],[CODIGO]]="","",IF(MACHACHI[[#This Row],[Fecha Cad]]="","",(MACHACHI[[#This Row],[Fecha Cad]]-MACHACHI[[#This Row],[VIDA UTIL (Días)]]))+1),"")</f>
        <v>45615</v>
      </c>
      <c r="R86" s="18">
        <v>45659</v>
      </c>
      <c r="S86" s="180">
        <f t="shared" ca="1" si="17"/>
        <v>35</v>
      </c>
      <c r="T86" s="207">
        <f t="shared" ca="1" si="18"/>
        <v>0.77777777777777779</v>
      </c>
      <c r="U86" s="47">
        <v>2</v>
      </c>
      <c r="V86" s="184">
        <f>+IFERROR(IF(MACHACHI[[#This Row],[CODIGO]]="","",MACHACHI[[#This Row],[Stock Actual Unds]]*MACHACHI[[#This Row],[Gramaje]]*MACHACHI[[#This Row],[Conversión]]),"")</f>
        <v>1.36</v>
      </c>
      <c r="W86" s="45">
        <f>+IFERROR(IF(I85="","",MACHACHI[[#This Row],[Fecha Elab.]]-MACHACHI[[#This Row],[Fecha de Ingreso]]),"")</f>
        <v>0</v>
      </c>
      <c r="X86" s="44">
        <f t="shared" si="15"/>
        <v>1</v>
      </c>
      <c r="Y86" s="236">
        <f>+IFERROR(IF(MACHACHI[[#This Row],[CODIGO]]="","",VLOOKUP(MACHACHI[[#This Row],[CODIGO]],MAESTRO!A:BI,21,FALSE)),"")</f>
        <v>1.6522000000000001</v>
      </c>
      <c r="Z86" s="236">
        <f>+IFERROR(IF(MACHACHI[[#This Row],[CODIGO]]="","",Y86*MACHACHI[[#This Row],[Conversión]]),"")</f>
        <v>1.6522000000000001</v>
      </c>
      <c r="AA86" s="236">
        <f>+IFERROR(IF(MACHACHI[[#This Row],[CODIGO]]="","",MACHACHI[[#This Row],[COSTO UNIT Conv]]*MACHACHI[[#This Row],[Stock Actual Unds]]),"")</f>
        <v>3.3044000000000002</v>
      </c>
      <c r="AB86" s="180">
        <f ca="1">+IFERROR(IF(MACHACHI[[#This Row],[CODIGO]]="","",$J$3-O86),"")</f>
        <v>9</v>
      </c>
      <c r="AC86" s="35" t="str">
        <f ca="1">IF(MACHACHI[[#This Row],[CODIGO]]="","",IF(S86&lt;=0,"CADUCADO",IF(AND(S86&gt;0,S86&lt;=21),"FECHA CORTA",IF(AND(S86&gt;=22,S86&lt;=26),"PROXIMOS FECHA CORTA", "VIGENTE"))))</f>
        <v>VIGENTE</v>
      </c>
      <c r="AD86" s="181">
        <f>+IFERROR(IF(MACHACHI[[#This Row],[CODIGO]]="","",MACHACHI[[#This Row],[Stock Actual Unds]]*MACHACHI[[#This Row],[Gramaje]]*MACHACHI[[#This Row],[Conversión]]),"")/1000</f>
        <v>1.3600000000000001E-3</v>
      </c>
    </row>
    <row r="87" spans="1:30">
      <c r="A87" s="42" t="str">
        <f>+IFERROR(IF(MACHACHI[[#This Row],[CODIGO]]="","",VLOOKUP(MACHACHI[[#This Row],[CODIGO]],MAESTRO!$A:$J,10,FALSE)),"")</f>
        <v>MULTIEMPAQUE_MACH</v>
      </c>
      <c r="B87" s="42" t="str">
        <f>+IFERROR(IF(MACHACHI[[#This Row],[CODIGO]]="","",VLOOKUP(MACHACHI[[#This Row],[CODIGO]],MAESTRO!$A:$Q,17,FALSE)),"")</f>
        <v>BEBIDAS LACTEAS</v>
      </c>
      <c r="C87" s="42" t="str">
        <f>+IFERROR(IF(MACHACHI[[#This Row],[CODIGO]]="","",VLOOKUP(MACHACHI[[#This Row],[CODIGO]],MAESTRO!$A:$BA,53,FALSE)),"")</f>
        <v xml:space="preserve">Luis Armendariz                         </v>
      </c>
      <c r="D87" s="42" t="str">
        <f>+IFERROR(IF(MACHACHI[[#This Row],[CODIGO]]="","",VLOOKUP(MACHACHI[[#This Row],[CODIGO]],MAESTRO!$A:$D,4,FALSE)),"")</f>
        <v>BON YURT</v>
      </c>
      <c r="E87" s="42" t="str">
        <f>+IFERROR(IF(MACHACHI[[#This Row],[CODIGO]]="","",VLOOKUP(MACHACHI[[#This Row],[CODIGO]],MAESTRO!$A:$F,6,FALSE)),"")</f>
        <v>BON YURT REGULAR</v>
      </c>
      <c r="F87" s="42" t="str">
        <f>IF(MACHACHI[[#This Row],[CODIGO]]="","",$K$6)</f>
        <v>MACHACHI</v>
      </c>
      <c r="G87" s="49">
        <f>IF(MACHACHI[[#This Row],[CODIGO]]="","",7701)</f>
        <v>7701</v>
      </c>
      <c r="H87" s="49">
        <f>IF(MACHACHI[[#This Row],[CODIGO]]="","",1080)</f>
        <v>1080</v>
      </c>
      <c r="I87" s="256" t="s">
        <v>4155</v>
      </c>
      <c r="J87" s="25" t="str">
        <f>IFERROR((VLOOKUP(MACHACHI[[#This Row],[CODIGO]],MAESTRO!A:B,2,FALSE)),"")</f>
        <v>MPLX4 BY NEON VASO 170G</v>
      </c>
      <c r="K87" s="47">
        <v>2</v>
      </c>
      <c r="L87" s="38">
        <f>+IFERROR(IF(MACHACHI[[#This Row],[CODIGO]]="","",VLOOKUP(MACHACHI[[#This Row],[CODIGO]],MAESTRO!$A:$BF,58,FALSE)),"")</f>
        <v>1</v>
      </c>
      <c r="M87" s="27">
        <f>+IFERROR(IF(MACHACHI[[#This Row],[CODIGO]]="","",VLOOKUP(MACHACHI[[#This Row],[CODIGO]],MAESTRO!A:N,14,FALSE)),"")</f>
        <v>0.68</v>
      </c>
      <c r="N87" s="28">
        <f>+IFERROR(IF(MACHACHI[[#This Row],[CODIGO]]="","",VLOOKUP(MACHACHI[[#This Row],[CODIGO]],MAESTRO!A:P,16,FALSE)),"")</f>
        <v>45</v>
      </c>
      <c r="O87" s="182">
        <f>+IF(MACHACHI[[#This Row],[CODIGO]]="","",MACHACHI[[#This Row],[Fecha Elab.]])</f>
        <v>45605</v>
      </c>
      <c r="P87" s="99" t="str">
        <f t="shared" si="16"/>
        <v>sábado</v>
      </c>
      <c r="Q87" s="183">
        <f>IFERROR(IF(MACHACHI[[#This Row],[CODIGO]]="","",IF(MACHACHI[[#This Row],[Fecha Cad]]="","",(MACHACHI[[#This Row],[Fecha Cad]]-MACHACHI[[#This Row],[VIDA UTIL (Días)]]))+1),"")</f>
        <v>45605</v>
      </c>
      <c r="R87" s="18">
        <v>45649</v>
      </c>
      <c r="S87" s="180">
        <f t="shared" ca="1" si="17"/>
        <v>25</v>
      </c>
      <c r="T87" s="207">
        <f t="shared" ca="1" si="18"/>
        <v>0.55555555555555558</v>
      </c>
      <c r="U87" s="47">
        <v>2</v>
      </c>
      <c r="V87" s="184">
        <f>+IFERROR(IF(MACHACHI[[#This Row],[CODIGO]]="","",MACHACHI[[#This Row],[Stock Actual Unds]]*MACHACHI[[#This Row],[Gramaje]]*MACHACHI[[#This Row],[Conversión]]),"")</f>
        <v>1.36</v>
      </c>
      <c r="W87" s="45">
        <f>+IFERROR(IF(I86="","",MACHACHI[[#This Row],[Fecha Elab.]]-MACHACHI[[#This Row],[Fecha de Ingreso]]),"")</f>
        <v>0</v>
      </c>
      <c r="X87" s="44">
        <f t="shared" si="15"/>
        <v>1</v>
      </c>
      <c r="Y87" s="236">
        <f>+IFERROR(IF(MACHACHI[[#This Row],[CODIGO]]="","",VLOOKUP(MACHACHI[[#This Row],[CODIGO]],MAESTRO!A:BI,21,FALSE)),"")</f>
        <v>1.6522000000000001</v>
      </c>
      <c r="Z87" s="236">
        <f>+IFERROR(IF(MACHACHI[[#This Row],[CODIGO]]="","",Y87*MACHACHI[[#This Row],[Conversión]]),"")</f>
        <v>1.6522000000000001</v>
      </c>
      <c r="AA87" s="236">
        <f>+IFERROR(IF(MACHACHI[[#This Row],[CODIGO]]="","",MACHACHI[[#This Row],[COSTO UNIT Conv]]*MACHACHI[[#This Row],[Stock Actual Unds]]),"")</f>
        <v>3.3044000000000002</v>
      </c>
      <c r="AB87" s="180">
        <f ca="1">+IFERROR(IF(MACHACHI[[#This Row],[CODIGO]]="","",$J$3-O87),"")</f>
        <v>19</v>
      </c>
      <c r="AC87" s="35" t="str">
        <f ca="1">IF(MACHACHI[[#This Row],[CODIGO]]="","",IF(S87&lt;=0,"CADUCADO",IF(AND(S87&gt;0,S87&lt;=21),"FECHA CORTA",IF(AND(S87&gt;=22,S87&lt;=26),"PROXIMOS FECHA CORTA", "VIGENTE"))))</f>
        <v>PROXIMOS FECHA CORTA</v>
      </c>
      <c r="AD87" s="181">
        <f>+IFERROR(IF(MACHACHI[[#This Row],[CODIGO]]="","",MACHACHI[[#This Row],[Stock Actual Unds]]*MACHACHI[[#This Row],[Gramaje]]*MACHACHI[[#This Row],[Conversión]]),"")/1000</f>
        <v>1.3600000000000001E-3</v>
      </c>
    </row>
    <row r="88" spans="1:30">
      <c r="A88" s="42" t="str">
        <f>+IFERROR(IF(MACHACHI[[#This Row],[CODIGO]]="","",VLOOKUP(MACHACHI[[#This Row],[CODIGO]],MAESTRO!$A:$J,10,FALSE)),"")</f>
        <v>MULTIEMPAQUE_MACH</v>
      </c>
      <c r="B88" s="42" t="str">
        <f>+IFERROR(IF(MACHACHI[[#This Row],[CODIGO]]="","",VLOOKUP(MACHACHI[[#This Row],[CODIGO]],MAESTRO!$A:$Q,17,FALSE)),"")</f>
        <v>BEBIDAS LACTEAS</v>
      </c>
      <c r="C88" s="42" t="str">
        <f>+IFERROR(IF(MACHACHI[[#This Row],[CODIGO]]="","",VLOOKUP(MACHACHI[[#This Row],[CODIGO]],MAESTRO!$A:$BA,53,FALSE)),"")</f>
        <v xml:space="preserve">Luis Armendariz                         </v>
      </c>
      <c r="D88" s="42" t="str">
        <f>+IFERROR(IF(MACHACHI[[#This Row],[CODIGO]]="","",VLOOKUP(MACHACHI[[#This Row],[CODIGO]],MAESTRO!$A:$D,4,FALSE)),"")</f>
        <v>BON YURT</v>
      </c>
      <c r="E88" s="42" t="str">
        <f>+IFERROR(IF(MACHACHI[[#This Row],[CODIGO]]="","",VLOOKUP(MACHACHI[[#This Row],[CODIGO]],MAESTRO!$A:$F,6,FALSE)),"")</f>
        <v>BON YURT REGULAR</v>
      </c>
      <c r="F88" s="42" t="str">
        <f>IF(MACHACHI[[#This Row],[CODIGO]]="","",$K$6)</f>
        <v>MACHACHI</v>
      </c>
      <c r="G88" s="49">
        <f>IF(MACHACHI[[#This Row],[CODIGO]]="","",7701)</f>
        <v>7701</v>
      </c>
      <c r="H88" s="49">
        <f>IF(MACHACHI[[#This Row],[CODIGO]]="","",1080)</f>
        <v>1080</v>
      </c>
      <c r="I88" s="256" t="s">
        <v>4155</v>
      </c>
      <c r="J88" s="25" t="str">
        <f>IFERROR((VLOOKUP(MACHACHI[[#This Row],[CODIGO]],MAESTRO!A:B,2,FALSE)),"")</f>
        <v>MPLX4 BY NEON VASO 170G</v>
      </c>
      <c r="K88" s="47">
        <v>4</v>
      </c>
      <c r="L88" s="38">
        <f>+IFERROR(IF(MACHACHI[[#This Row],[CODIGO]]="","",VLOOKUP(MACHACHI[[#This Row],[CODIGO]],MAESTRO!$A:$BF,58,FALSE)),"")</f>
        <v>1</v>
      </c>
      <c r="M88" s="27">
        <f>+IFERROR(IF(MACHACHI[[#This Row],[CODIGO]]="","",VLOOKUP(MACHACHI[[#This Row],[CODIGO]],MAESTRO!A:N,14,FALSE)),"")</f>
        <v>0.68</v>
      </c>
      <c r="N88" s="28">
        <f>+IFERROR(IF(MACHACHI[[#This Row],[CODIGO]]="","",VLOOKUP(MACHACHI[[#This Row],[CODIGO]],MAESTRO!A:P,16,FALSE)),"")</f>
        <v>45</v>
      </c>
      <c r="O88" s="182">
        <f>+IF(MACHACHI[[#This Row],[CODIGO]]="","",MACHACHI[[#This Row],[Fecha Elab.]])</f>
        <v>45601</v>
      </c>
      <c r="P88" s="99" t="str">
        <f t="shared" si="16"/>
        <v>martes</v>
      </c>
      <c r="Q88" s="183">
        <f>IFERROR(IF(MACHACHI[[#This Row],[CODIGO]]="","",IF(MACHACHI[[#This Row],[Fecha Cad]]="","",(MACHACHI[[#This Row],[Fecha Cad]]-MACHACHI[[#This Row],[VIDA UTIL (Días)]]))+1),"")</f>
        <v>45601</v>
      </c>
      <c r="R88" s="18">
        <v>45645</v>
      </c>
      <c r="S88" s="180">
        <f t="shared" ca="1" si="17"/>
        <v>21</v>
      </c>
      <c r="T88" s="207">
        <f t="shared" ca="1" si="18"/>
        <v>0.46666666666666667</v>
      </c>
      <c r="U88" s="47">
        <v>4</v>
      </c>
      <c r="V88" s="184">
        <f>+IFERROR(IF(MACHACHI[[#This Row],[CODIGO]]="","",MACHACHI[[#This Row],[Stock Actual Unds]]*MACHACHI[[#This Row],[Gramaje]]*MACHACHI[[#This Row],[Conversión]]),"")</f>
        <v>2.72</v>
      </c>
      <c r="W88" s="45">
        <f>+IFERROR(IF(I87="","",MACHACHI[[#This Row],[Fecha Elab.]]-MACHACHI[[#This Row],[Fecha de Ingreso]]),"")</f>
        <v>0</v>
      </c>
      <c r="X88" s="44">
        <f t="shared" si="15"/>
        <v>1</v>
      </c>
      <c r="Y88" s="236">
        <f>+IFERROR(IF(MACHACHI[[#This Row],[CODIGO]]="","",VLOOKUP(MACHACHI[[#This Row],[CODIGO]],MAESTRO!A:BI,21,FALSE)),"")</f>
        <v>1.6522000000000001</v>
      </c>
      <c r="Z88" s="236">
        <f>+IFERROR(IF(MACHACHI[[#This Row],[CODIGO]]="","",Y88*MACHACHI[[#This Row],[Conversión]]),"")</f>
        <v>1.6522000000000001</v>
      </c>
      <c r="AA88" s="236">
        <f>+IFERROR(IF(MACHACHI[[#This Row],[CODIGO]]="","",MACHACHI[[#This Row],[COSTO UNIT Conv]]*MACHACHI[[#This Row],[Stock Actual Unds]]),"")</f>
        <v>6.6088000000000005</v>
      </c>
      <c r="AB88" s="180">
        <f ca="1">+IFERROR(IF(MACHACHI[[#This Row],[CODIGO]]="","",$J$3-O88),"")</f>
        <v>23</v>
      </c>
      <c r="AC88" s="35" t="str">
        <f ca="1">IF(MACHACHI[[#This Row],[CODIGO]]="","",IF(S88&lt;=0,"CADUCADO",IF(AND(S88&gt;0,S88&lt;=21),"FECHA CORTA",IF(AND(S88&gt;=22,S88&lt;=26),"PROXIMOS FECHA CORTA", "VIGENTE"))))</f>
        <v>FECHA CORTA</v>
      </c>
      <c r="AD88" s="181">
        <f>+IFERROR(IF(MACHACHI[[#This Row],[CODIGO]]="","",MACHACHI[[#This Row],[Stock Actual Unds]]*MACHACHI[[#This Row],[Gramaje]]*MACHACHI[[#This Row],[Conversión]]),"")/1000</f>
        <v>2.7200000000000002E-3</v>
      </c>
    </row>
    <row r="89" spans="1:30">
      <c r="A89" s="42" t="str">
        <f>+IFERROR(IF(MACHACHI[[#This Row],[CODIGO]]="","",VLOOKUP(MACHACHI[[#This Row],[CODIGO]],MAESTRO!$A:$J,10,FALSE)),"")</f>
        <v>MULTIEMPAQUE_MACH</v>
      </c>
      <c r="B89" s="42" t="str">
        <f>+IFERROR(IF(MACHACHI[[#This Row],[CODIGO]]="","",VLOOKUP(MACHACHI[[#This Row],[CODIGO]],MAESTRO!$A:$Q,17,FALSE)),"")</f>
        <v>BEBIDAS LACTEAS</v>
      </c>
      <c r="C89" s="42" t="str">
        <f>+IFERROR(IF(MACHACHI[[#This Row],[CODIGO]]="","",VLOOKUP(MACHACHI[[#This Row],[CODIGO]],MAESTRO!$A:$BA,53,FALSE)),"")</f>
        <v xml:space="preserve">Luis Armendariz                         </v>
      </c>
      <c r="D89" s="42" t="str">
        <f>+IFERROR(IF(MACHACHI[[#This Row],[CODIGO]]="","",VLOOKUP(MACHACHI[[#This Row],[CODIGO]],MAESTRO!$A:$D,4,FALSE)),"")</f>
        <v>BON YURT</v>
      </c>
      <c r="E89" s="42" t="str">
        <f>+IFERROR(IF(MACHACHI[[#This Row],[CODIGO]]="","",VLOOKUP(MACHACHI[[#This Row],[CODIGO]],MAESTRO!$A:$F,6,FALSE)),"")</f>
        <v>BON YURT REGULAR</v>
      </c>
      <c r="F89" s="42" t="str">
        <f>IF(MACHACHI[[#This Row],[CODIGO]]="","",$K$6)</f>
        <v>MACHACHI</v>
      </c>
      <c r="G89" s="1">
        <f>IF(MACHACHI[[#This Row],[CODIGO]]="","",7701)</f>
        <v>7701</v>
      </c>
      <c r="H89" s="1">
        <f>IF(MACHACHI[[#This Row],[CODIGO]]="","",1080)</f>
        <v>1080</v>
      </c>
      <c r="I89" s="256" t="s">
        <v>4155</v>
      </c>
      <c r="J89" s="25" t="str">
        <f>IFERROR((VLOOKUP(MACHACHI[[#This Row],[CODIGO]],MAESTRO!A:B,2,FALSE)),"")</f>
        <v>MPLX4 BY NEON VASO 170G</v>
      </c>
      <c r="K89" s="47">
        <v>185</v>
      </c>
      <c r="L89" s="38">
        <f>+IFERROR(IF(MACHACHI[[#This Row],[CODIGO]]="","",VLOOKUP(MACHACHI[[#This Row],[CODIGO]],MAESTRO!$A:$BF,58,FALSE)),"")</f>
        <v>1</v>
      </c>
      <c r="M89" s="27">
        <f>+IFERROR(IF(MACHACHI[[#This Row],[CODIGO]]="","",VLOOKUP(MACHACHI[[#This Row],[CODIGO]],MAESTRO!A:N,14,FALSE)),"")</f>
        <v>0.68</v>
      </c>
      <c r="N89" s="28">
        <f>+IFERROR(IF(MACHACHI[[#This Row],[CODIGO]]="","",VLOOKUP(MACHACHI[[#This Row],[CODIGO]],MAESTRO!A:P,16,FALSE)),"")</f>
        <v>45</v>
      </c>
      <c r="O89" s="182">
        <f>+IF(MACHACHI[[#This Row],[CODIGO]]="","",MACHACHI[[#This Row],[Fecha Elab.]])</f>
        <v>45619</v>
      </c>
      <c r="P89" s="99" t="str">
        <f t="shared" si="16"/>
        <v>sábado</v>
      </c>
      <c r="Q89" s="183">
        <f>IFERROR(IF(MACHACHI[[#This Row],[CODIGO]]="","",IF(MACHACHI[[#This Row],[Fecha Cad]]="","",(MACHACHI[[#This Row],[Fecha Cad]]-MACHACHI[[#This Row],[VIDA UTIL (Días)]]))+1),"")</f>
        <v>45619</v>
      </c>
      <c r="R89" s="18">
        <v>45663</v>
      </c>
      <c r="S89" s="180">
        <f t="shared" ca="1" si="17"/>
        <v>39</v>
      </c>
      <c r="T89" s="207">
        <f t="shared" ca="1" si="18"/>
        <v>0.8666666666666667</v>
      </c>
      <c r="U89" s="47">
        <v>185</v>
      </c>
      <c r="V89" s="184">
        <f>+IFERROR(IF(MACHACHI[[#This Row],[CODIGO]]="","",MACHACHI[[#This Row],[Stock Actual Unds]]*MACHACHI[[#This Row],[Gramaje]]*MACHACHI[[#This Row],[Conversión]]),"")</f>
        <v>125.80000000000001</v>
      </c>
      <c r="W89" s="45">
        <f>+IFERROR(IF(I88="","",MACHACHI[[#This Row],[Fecha Elab.]]-MACHACHI[[#This Row],[Fecha de Ingreso]]),"")</f>
        <v>0</v>
      </c>
      <c r="X89" s="44">
        <f t="shared" si="15"/>
        <v>1</v>
      </c>
      <c r="Y89" s="236">
        <f>+IFERROR(IF(MACHACHI[[#This Row],[CODIGO]]="","",VLOOKUP(MACHACHI[[#This Row],[CODIGO]],MAESTRO!A:BI,21,FALSE)),"")</f>
        <v>1.6522000000000001</v>
      </c>
      <c r="Z89" s="236">
        <f>+IFERROR(IF(MACHACHI[[#This Row],[CODIGO]]="","",Y89*MACHACHI[[#This Row],[Conversión]]),"")</f>
        <v>1.6522000000000001</v>
      </c>
      <c r="AA89" s="236">
        <f>+IFERROR(IF(MACHACHI[[#This Row],[CODIGO]]="","",MACHACHI[[#This Row],[COSTO UNIT Conv]]*MACHACHI[[#This Row],[Stock Actual Unds]]),"")</f>
        <v>305.65700000000004</v>
      </c>
      <c r="AB89" s="180">
        <f ca="1">+IFERROR(IF(MACHACHI[[#This Row],[CODIGO]]="","",$J$3-O89),"")</f>
        <v>5</v>
      </c>
      <c r="AC89" s="35" t="str">
        <f ca="1">IF(MACHACHI[[#This Row],[CODIGO]]="","",IF(S89&lt;=0,"CADUCADO",IF(AND(S89&gt;0,S89&lt;=21),"FECHA CORTA",IF(AND(S89&gt;=22,S89&lt;=26),"PROXIMOS FECHA CORTA", "VIGENTE"))))</f>
        <v>VIGENTE</v>
      </c>
      <c r="AD89" s="181">
        <f>+IFERROR(IF(MACHACHI[[#This Row],[CODIGO]]="","",MACHACHI[[#This Row],[Stock Actual Unds]]*MACHACHI[[#This Row],[Gramaje]]*MACHACHI[[#This Row],[Conversión]]),"")/1000</f>
        <v>0.12580000000000002</v>
      </c>
    </row>
    <row r="90" spans="1:30">
      <c r="A90" s="42" t="str">
        <f>+IFERROR(IF(MACHACHI[[#This Row],[CODIGO]]="","",VLOOKUP(MACHACHI[[#This Row],[CODIGO]],MAESTRO!$A:$J,10,FALSE)),"")</f>
        <v>MULTIEMPAQUE_SG</v>
      </c>
      <c r="B90" s="42" t="str">
        <f>+IFERROR(IF(MACHACHI[[#This Row],[CODIGO]]="","",VLOOKUP(MACHACHI[[#This Row],[CODIGO]],MAESTRO!$A:$Q,17,FALSE)),"")</f>
        <v>QUESOS Y GRASAS</v>
      </c>
      <c r="C90" s="42" t="str">
        <f>+IFERROR(IF(MACHACHI[[#This Row],[CODIGO]]="","",VLOOKUP(MACHACHI[[#This Row],[CODIGO]],MAESTRO!$A:$BA,53,FALSE)),"")</f>
        <v xml:space="preserve">Esteban Montenegro                      </v>
      </c>
      <c r="D90" s="42" t="str">
        <f>+IFERROR(IF(MACHACHI[[#This Row],[CODIGO]]="","",VLOOKUP(MACHACHI[[#This Row],[CODIGO]],MAESTRO!$A:$D,4,FALSE)),"")</f>
        <v>QUESO MOZARELLA KIOSKO</v>
      </c>
      <c r="E90" s="42" t="str">
        <f>+IFERROR(IF(MACHACHI[[#This Row],[CODIGO]]="","",VLOOKUP(MACHACHI[[#This Row],[CODIGO]],MAESTRO!$A:$F,6,FALSE)),"")</f>
        <v>QUESO MOZARELLA SNACK</v>
      </c>
      <c r="F90" s="42" t="str">
        <f>IF(MACHACHI[[#This Row],[CODIGO]]="","",$K$6)</f>
        <v>MACHACHI</v>
      </c>
      <c r="G90" s="49">
        <f>IF(MACHACHI[[#This Row],[CODIGO]]="","",7701)</f>
        <v>7701</v>
      </c>
      <c r="H90" s="49">
        <f>IF(MACHACHI[[#This Row],[CODIGO]]="","",1080)</f>
        <v>1080</v>
      </c>
      <c r="I90" s="256" t="s">
        <v>842</v>
      </c>
      <c r="J90" s="25" t="str">
        <f>IFERROR((VLOOKUP(MACHACHI[[#This Row],[CODIGO]],MAESTRO!A:B,2,FALSE)),"")</f>
        <v>MPLX6 Q MOZAR KIOSKO SNACK 50G</v>
      </c>
      <c r="K90" s="47">
        <v>16</v>
      </c>
      <c r="L90" s="38">
        <f>+IFERROR(IF(MACHACHI[[#This Row],[CODIGO]]="","",VLOOKUP(MACHACHI[[#This Row],[CODIGO]],MAESTRO!$A:$BF,58,FALSE)),"")</f>
        <v>1</v>
      </c>
      <c r="M90" s="27">
        <f>+IFERROR(IF(MACHACHI[[#This Row],[CODIGO]]="","",VLOOKUP(MACHACHI[[#This Row],[CODIGO]],MAESTRO!A:N,14,FALSE)),"")</f>
        <v>0.3</v>
      </c>
      <c r="N90" s="28">
        <f>+IFERROR(IF(MACHACHI[[#This Row],[CODIGO]]="","",VLOOKUP(MACHACHI[[#This Row],[CODIGO]],MAESTRO!A:P,16,FALSE)),"")</f>
        <v>40</v>
      </c>
      <c r="O90" s="182">
        <f>+IF(MACHACHI[[#This Row],[CODIGO]]="","",MACHACHI[[#This Row],[Fecha Elab.]])</f>
        <v>45623</v>
      </c>
      <c r="P90" s="99" t="str">
        <f t="shared" si="16"/>
        <v>miércoles</v>
      </c>
      <c r="Q90" s="183">
        <f>IFERROR(IF(MACHACHI[[#This Row],[CODIGO]]="","",IF(MACHACHI[[#This Row],[Fecha Cad]]="","",(MACHACHI[[#This Row],[Fecha Cad]]-MACHACHI[[#This Row],[VIDA UTIL (Días)]]))+1),"")</f>
        <v>45623</v>
      </c>
      <c r="R90" s="18">
        <v>45662</v>
      </c>
      <c r="S90" s="180">
        <f t="shared" ca="1" si="17"/>
        <v>38</v>
      </c>
      <c r="T90" s="207">
        <f t="shared" ca="1" si="18"/>
        <v>0.95</v>
      </c>
      <c r="U90" s="47">
        <v>16</v>
      </c>
      <c r="V90" s="184">
        <f>+IFERROR(IF(MACHACHI[[#This Row],[CODIGO]]="","",MACHACHI[[#This Row],[Stock Actual Unds]]*MACHACHI[[#This Row],[Gramaje]]*MACHACHI[[#This Row],[Conversión]]),"")</f>
        <v>4.8</v>
      </c>
      <c r="W90" s="45">
        <f>+IFERROR(IF(I89="","",MACHACHI[[#This Row],[Fecha Elab.]]-MACHACHI[[#This Row],[Fecha de Ingreso]]),"")</f>
        <v>0</v>
      </c>
      <c r="X90" s="44">
        <f t="shared" si="15"/>
        <v>1</v>
      </c>
      <c r="Y90" s="236">
        <f>+IFERROR(IF(MACHACHI[[#This Row],[CODIGO]]="","",VLOOKUP(MACHACHI[[#This Row],[CODIGO]],MAESTRO!A:BI,21,FALSE)),"")</f>
        <v>1.955125</v>
      </c>
      <c r="Z90" s="236">
        <f>+IFERROR(IF(MACHACHI[[#This Row],[CODIGO]]="","",Y90*MACHACHI[[#This Row],[Conversión]]),"")</f>
        <v>1.955125</v>
      </c>
      <c r="AA90" s="236">
        <f>+IFERROR(IF(MACHACHI[[#This Row],[CODIGO]]="","",MACHACHI[[#This Row],[COSTO UNIT Conv]]*MACHACHI[[#This Row],[Stock Actual Unds]]),"")</f>
        <v>31.282</v>
      </c>
      <c r="AB90" s="180">
        <f ca="1">+IFERROR(IF(MACHACHI[[#This Row],[CODIGO]]="","",$J$3-O90),"")</f>
        <v>1</v>
      </c>
      <c r="AC90" s="35" t="str">
        <f ca="1">IF(MACHACHI[[#This Row],[CODIGO]]="","",IF(S90&lt;=0,"CADUCADO",IF(AND(S90&gt;0,S90&lt;=21),"FECHA CORTA",IF(AND(S90&gt;=22,S90&lt;=26),"PROXIMOS FECHA CORTA", "VIGENTE"))))</f>
        <v>VIGENTE</v>
      </c>
      <c r="AD90" s="181">
        <f>+IFERROR(IF(MACHACHI[[#This Row],[CODIGO]]="","",MACHACHI[[#This Row],[Stock Actual Unds]]*MACHACHI[[#This Row],[Gramaje]]*MACHACHI[[#This Row],[Conversión]]),"")/1000</f>
        <v>4.7999999999999996E-3</v>
      </c>
    </row>
    <row r="91" spans="1:30">
      <c r="A91" s="42" t="str">
        <f>+IFERROR(IF(MACHACHI[[#This Row],[CODIGO]]="","",VLOOKUP(MACHACHI[[#This Row],[CODIGO]],MAESTRO!$A:$J,10,FALSE)),"")</f>
        <v>MULTIEMPAQUE_SG</v>
      </c>
      <c r="B91" s="42" t="str">
        <f>+IFERROR(IF(MACHACHI[[#This Row],[CODIGO]]="","",VLOOKUP(MACHACHI[[#This Row],[CODIGO]],MAESTRO!$A:$Q,17,FALSE)),"")</f>
        <v>QUESOS Y GRASAS</v>
      </c>
      <c r="C91" s="42" t="str">
        <f>+IFERROR(IF(MACHACHI[[#This Row],[CODIGO]]="","",VLOOKUP(MACHACHI[[#This Row],[CODIGO]],MAESTRO!$A:$BA,53,FALSE)),"")</f>
        <v xml:space="preserve">Esteban Montenegro                      </v>
      </c>
      <c r="D91" s="42" t="str">
        <f>+IFERROR(IF(MACHACHI[[#This Row],[CODIGO]]="","",VLOOKUP(MACHACHI[[#This Row],[CODIGO]],MAESTRO!$A:$D,4,FALSE)),"")</f>
        <v>QUESO MOZARELLA KIOSKO</v>
      </c>
      <c r="E91" s="42" t="str">
        <f>+IFERROR(IF(MACHACHI[[#This Row],[CODIGO]]="","",VLOOKUP(MACHACHI[[#This Row],[CODIGO]],MAESTRO!$A:$F,6,FALSE)),"")</f>
        <v>QUESO MOZARELLA SNACK</v>
      </c>
      <c r="F91" s="42" t="str">
        <f>IF(MACHACHI[[#This Row],[CODIGO]]="","",$K$6)</f>
        <v>MACHACHI</v>
      </c>
      <c r="G91" s="49">
        <f>IF(MACHACHI[[#This Row],[CODIGO]]="","",7701)</f>
        <v>7701</v>
      </c>
      <c r="H91" s="49">
        <f>IF(MACHACHI[[#This Row],[CODIGO]]="","",1080)</f>
        <v>1080</v>
      </c>
      <c r="I91" s="256" t="s">
        <v>842</v>
      </c>
      <c r="J91" s="25" t="str">
        <f>IFERROR((VLOOKUP(MACHACHI[[#This Row],[CODIGO]],MAESTRO!A:B,2,FALSE)),"")</f>
        <v>MPLX6 Q MOZAR KIOSKO SNACK 50G</v>
      </c>
      <c r="K91" s="47">
        <v>11</v>
      </c>
      <c r="L91" s="38">
        <f>+IFERROR(IF(MACHACHI[[#This Row],[CODIGO]]="","",VLOOKUP(MACHACHI[[#This Row],[CODIGO]],MAESTRO!$A:$BF,58,FALSE)),"")</f>
        <v>1</v>
      </c>
      <c r="M91" s="27">
        <f>+IFERROR(IF(MACHACHI[[#This Row],[CODIGO]]="","",VLOOKUP(MACHACHI[[#This Row],[CODIGO]],MAESTRO!A:N,14,FALSE)),"")</f>
        <v>0.3</v>
      </c>
      <c r="N91" s="28">
        <f>+IFERROR(IF(MACHACHI[[#This Row],[CODIGO]]="","",VLOOKUP(MACHACHI[[#This Row],[CODIGO]],MAESTRO!A:P,16,FALSE)),"")</f>
        <v>40</v>
      </c>
      <c r="O91" s="182">
        <f>+IF(MACHACHI[[#This Row],[CODIGO]]="","",MACHACHI[[#This Row],[Fecha Elab.]])</f>
        <v>45617</v>
      </c>
      <c r="P91" s="99" t="str">
        <f t="shared" si="16"/>
        <v>jueves</v>
      </c>
      <c r="Q91" s="183">
        <f>IFERROR(IF(MACHACHI[[#This Row],[CODIGO]]="","",IF(MACHACHI[[#This Row],[Fecha Cad]]="","",(MACHACHI[[#This Row],[Fecha Cad]]-MACHACHI[[#This Row],[VIDA UTIL (Días)]]))+1),"")</f>
        <v>45617</v>
      </c>
      <c r="R91" s="18">
        <v>45656</v>
      </c>
      <c r="S91" s="180">
        <f t="shared" ca="1" si="17"/>
        <v>32</v>
      </c>
      <c r="T91" s="207">
        <f t="shared" ca="1" si="18"/>
        <v>0.8</v>
      </c>
      <c r="U91" s="47">
        <v>11</v>
      </c>
      <c r="V91" s="184">
        <f>+IFERROR(IF(MACHACHI[[#This Row],[CODIGO]]="","",MACHACHI[[#This Row],[Stock Actual Unds]]*MACHACHI[[#This Row],[Gramaje]]*MACHACHI[[#This Row],[Conversión]]),"")</f>
        <v>3.3</v>
      </c>
      <c r="W91" s="45">
        <f>+IFERROR(IF(I90="","",MACHACHI[[#This Row],[Fecha Elab.]]-MACHACHI[[#This Row],[Fecha de Ingreso]]),"")</f>
        <v>0</v>
      </c>
      <c r="X91" s="44">
        <f t="shared" si="15"/>
        <v>1</v>
      </c>
      <c r="Y91" s="236">
        <f>+IFERROR(IF(MACHACHI[[#This Row],[CODIGO]]="","",VLOOKUP(MACHACHI[[#This Row],[CODIGO]],MAESTRO!A:BI,21,FALSE)),"")</f>
        <v>1.955125</v>
      </c>
      <c r="Z91" s="236">
        <f>+IFERROR(IF(MACHACHI[[#This Row],[CODIGO]]="","",Y91*MACHACHI[[#This Row],[Conversión]]),"")</f>
        <v>1.955125</v>
      </c>
      <c r="AA91" s="236">
        <f>+IFERROR(IF(MACHACHI[[#This Row],[CODIGO]]="","",MACHACHI[[#This Row],[COSTO UNIT Conv]]*MACHACHI[[#This Row],[Stock Actual Unds]]),"")</f>
        <v>21.506374999999998</v>
      </c>
      <c r="AB91" s="180">
        <f ca="1">+IFERROR(IF(MACHACHI[[#This Row],[CODIGO]]="","",$J$3-O91),"")</f>
        <v>7</v>
      </c>
      <c r="AC91" s="35" t="str">
        <f ca="1">IF(MACHACHI[[#This Row],[CODIGO]]="","",IF(S91&lt;=0,"CADUCADO",IF(AND(S91&gt;0,S91&lt;=21),"FECHA CORTA",IF(AND(S91&gt;=22,S91&lt;=26),"PROXIMOS FECHA CORTA", "VIGENTE"))))</f>
        <v>VIGENTE</v>
      </c>
      <c r="AD91" s="181">
        <f>+IFERROR(IF(MACHACHI[[#This Row],[CODIGO]]="","",MACHACHI[[#This Row],[Stock Actual Unds]]*MACHACHI[[#This Row],[Gramaje]]*MACHACHI[[#This Row],[Conversión]]),"")/1000</f>
        <v>3.3E-3</v>
      </c>
    </row>
    <row r="92" spans="1:30">
      <c r="A92" s="42" t="str">
        <f>+IFERROR(IF(MACHACHI[[#This Row],[CODIGO]]="","",VLOOKUP(MACHACHI[[#This Row],[CODIGO]],MAESTRO!$A:$J,10,FALSE)),"")</f>
        <v>MULTIEMPAQUE_SG</v>
      </c>
      <c r="B92" s="42" t="str">
        <f>+IFERROR(IF(MACHACHI[[#This Row],[CODIGO]]="","",VLOOKUP(MACHACHI[[#This Row],[CODIGO]],MAESTRO!$A:$Q,17,FALSE)),"")</f>
        <v>QUESOS Y GRASAS</v>
      </c>
      <c r="C92" s="42" t="str">
        <f>+IFERROR(IF(MACHACHI[[#This Row],[CODIGO]]="","",VLOOKUP(MACHACHI[[#This Row],[CODIGO]],MAESTRO!$A:$BA,53,FALSE)),"")</f>
        <v xml:space="preserve">Esteban Montenegro                      </v>
      </c>
      <c r="D92" s="42" t="str">
        <f>+IFERROR(IF(MACHACHI[[#This Row],[CODIGO]]="","",VLOOKUP(MACHACHI[[#This Row],[CODIGO]],MAESTRO!$A:$D,4,FALSE)),"")</f>
        <v>QUESO MOZARELLA KIOSKO</v>
      </c>
      <c r="E92" s="42" t="str">
        <f>+IFERROR(IF(MACHACHI[[#This Row],[CODIGO]]="","",VLOOKUP(MACHACHI[[#This Row],[CODIGO]],MAESTRO!$A:$F,6,FALSE)),"")</f>
        <v>QUESO MOZARELLA SNACK</v>
      </c>
      <c r="F92" s="42" t="str">
        <f>IF(MACHACHI[[#This Row],[CODIGO]]="","",$K$6)</f>
        <v>MACHACHI</v>
      </c>
      <c r="G92" s="49">
        <f>IF(MACHACHI[[#This Row],[CODIGO]]="","",7701)</f>
        <v>7701</v>
      </c>
      <c r="H92" s="49">
        <f>IF(MACHACHI[[#This Row],[CODIGO]]="","",1080)</f>
        <v>1080</v>
      </c>
      <c r="I92" s="256" t="s">
        <v>842</v>
      </c>
      <c r="J92" s="25" t="str">
        <f>IFERROR((VLOOKUP(MACHACHI[[#This Row],[CODIGO]],MAESTRO!A:B,2,FALSE)),"")</f>
        <v>MPLX6 Q MOZAR KIOSKO SNACK 50G</v>
      </c>
      <c r="K92" s="47">
        <v>25</v>
      </c>
      <c r="L92" s="38">
        <f>+IFERROR(IF(MACHACHI[[#This Row],[CODIGO]]="","",VLOOKUP(MACHACHI[[#This Row],[CODIGO]],MAESTRO!$A:$BF,58,FALSE)),"")</f>
        <v>1</v>
      </c>
      <c r="M92" s="27">
        <f>+IFERROR(IF(MACHACHI[[#This Row],[CODIGO]]="","",VLOOKUP(MACHACHI[[#This Row],[CODIGO]],MAESTRO!A:N,14,FALSE)),"")</f>
        <v>0.3</v>
      </c>
      <c r="N92" s="28">
        <f>+IFERROR(IF(MACHACHI[[#This Row],[CODIGO]]="","",VLOOKUP(MACHACHI[[#This Row],[CODIGO]],MAESTRO!A:P,16,FALSE)),"")</f>
        <v>40</v>
      </c>
      <c r="O92" s="182">
        <f>+IF(MACHACHI[[#This Row],[CODIGO]]="","",MACHACHI[[#This Row],[Fecha Elab.]])</f>
        <v>45614</v>
      </c>
      <c r="P92" s="99" t="str">
        <f t="shared" si="16"/>
        <v>lunes</v>
      </c>
      <c r="Q92" s="183">
        <f>IFERROR(IF(MACHACHI[[#This Row],[CODIGO]]="","",IF(MACHACHI[[#This Row],[Fecha Cad]]="","",(MACHACHI[[#This Row],[Fecha Cad]]-MACHACHI[[#This Row],[VIDA UTIL (Días)]]))+1),"")</f>
        <v>45614</v>
      </c>
      <c r="R92" s="18">
        <v>45653</v>
      </c>
      <c r="S92" s="180">
        <f t="shared" ca="1" si="17"/>
        <v>29</v>
      </c>
      <c r="T92" s="207">
        <f t="shared" ca="1" si="18"/>
        <v>0.72499999999999998</v>
      </c>
      <c r="U92" s="47">
        <v>25</v>
      </c>
      <c r="V92" s="184">
        <f>+IFERROR(IF(MACHACHI[[#This Row],[CODIGO]]="","",MACHACHI[[#This Row],[Stock Actual Unds]]*MACHACHI[[#This Row],[Gramaje]]*MACHACHI[[#This Row],[Conversión]]),"")</f>
        <v>7.5</v>
      </c>
      <c r="W92" s="45">
        <f>+IFERROR(IF(I91="","",MACHACHI[[#This Row],[Fecha Elab.]]-MACHACHI[[#This Row],[Fecha de Ingreso]]),"")</f>
        <v>0</v>
      </c>
      <c r="X92" s="44">
        <f t="shared" si="15"/>
        <v>1</v>
      </c>
      <c r="Y92" s="236">
        <f>+IFERROR(IF(MACHACHI[[#This Row],[CODIGO]]="","",VLOOKUP(MACHACHI[[#This Row],[CODIGO]],MAESTRO!A:BI,21,FALSE)),"")</f>
        <v>1.955125</v>
      </c>
      <c r="Z92" s="236">
        <f>+IFERROR(IF(MACHACHI[[#This Row],[CODIGO]]="","",Y92*MACHACHI[[#This Row],[Conversión]]),"")</f>
        <v>1.955125</v>
      </c>
      <c r="AA92" s="236">
        <f>+IFERROR(IF(MACHACHI[[#This Row],[CODIGO]]="","",MACHACHI[[#This Row],[COSTO UNIT Conv]]*MACHACHI[[#This Row],[Stock Actual Unds]]),"")</f>
        <v>48.878124999999997</v>
      </c>
      <c r="AB92" s="180">
        <f ca="1">+IFERROR(IF(MACHACHI[[#This Row],[CODIGO]]="","",$J$3-O92),"")</f>
        <v>10</v>
      </c>
      <c r="AC92" s="35" t="str">
        <f ca="1">IF(MACHACHI[[#This Row],[CODIGO]]="","",IF(S92&lt;=0,"CADUCADO",IF(AND(S92&gt;0,S92&lt;=21),"FECHA CORTA",IF(AND(S92&gt;=22,S92&lt;=26),"PROXIMOS FECHA CORTA", "VIGENTE"))))</f>
        <v>VIGENTE</v>
      </c>
      <c r="AD92" s="181">
        <f>+IFERROR(IF(MACHACHI[[#This Row],[CODIGO]]="","",MACHACHI[[#This Row],[Stock Actual Unds]]*MACHACHI[[#This Row],[Gramaje]]*MACHACHI[[#This Row],[Conversión]]),"")/1000</f>
        <v>7.4999999999999997E-3</v>
      </c>
    </row>
    <row r="93" spans="1:30">
      <c r="A93" s="42" t="str">
        <f>+IFERROR(IF(MACHACHI[[#This Row],[CODIGO]]="","",VLOOKUP(MACHACHI[[#This Row],[CODIGO]],MAESTRO!$A:$J,10,FALSE)),"")</f>
        <v>MULTIEMPAQUE_SG</v>
      </c>
      <c r="B93" s="42" t="str">
        <f>+IFERROR(IF(MACHACHI[[#This Row],[CODIGO]]="","",VLOOKUP(MACHACHI[[#This Row],[CODIGO]],MAESTRO!$A:$Q,17,FALSE)),"")</f>
        <v>QUESOS Y GRASAS</v>
      </c>
      <c r="C93" s="42" t="str">
        <f>+IFERROR(IF(MACHACHI[[#This Row],[CODIGO]]="","",VLOOKUP(MACHACHI[[#This Row],[CODIGO]],MAESTRO!$A:$BA,53,FALSE)),"")</f>
        <v xml:space="preserve">Esteban Montenegro                      </v>
      </c>
      <c r="D93" s="42" t="str">
        <f>+IFERROR(IF(MACHACHI[[#This Row],[CODIGO]]="","",VLOOKUP(MACHACHI[[#This Row],[CODIGO]],MAESTRO!$A:$D,4,FALSE)),"")</f>
        <v>QUESO MOZARELLA KIOSKO</v>
      </c>
      <c r="E93" s="42" t="str">
        <f>+IFERROR(IF(MACHACHI[[#This Row],[CODIGO]]="","",VLOOKUP(MACHACHI[[#This Row],[CODIGO]],MAESTRO!$A:$F,6,FALSE)),"")</f>
        <v>QUESO MOZARELLA SNACK</v>
      </c>
      <c r="F93" s="42" t="str">
        <f>IF(MACHACHI[[#This Row],[CODIGO]]="","",$K$6)</f>
        <v>MACHACHI</v>
      </c>
      <c r="G93" s="49">
        <f>IF(MACHACHI[[#This Row],[CODIGO]]="","",7701)</f>
        <v>7701</v>
      </c>
      <c r="H93" s="49">
        <f>IF(MACHACHI[[#This Row],[CODIGO]]="","",1080)</f>
        <v>1080</v>
      </c>
      <c r="I93" s="256" t="s">
        <v>3542</v>
      </c>
      <c r="J93" s="25" t="str">
        <f>IFERROR((VLOOKUP(MACHACHI[[#This Row],[CODIGO]],MAESTRO!A:B,2,FALSE)),"")</f>
        <v>MPLX5 QUESO MOZARELLA LIGHT KIOSKO 35 G</v>
      </c>
      <c r="K93" s="47">
        <v>37</v>
      </c>
      <c r="L93" s="38">
        <f>+IFERROR(IF(MACHACHI[[#This Row],[CODIGO]]="","",VLOOKUP(MACHACHI[[#This Row],[CODIGO]],MAESTRO!$A:$BF,58,FALSE)),"")</f>
        <v>1</v>
      </c>
      <c r="M93" s="27">
        <f>+IFERROR(IF(MACHACHI[[#This Row],[CODIGO]]="","",VLOOKUP(MACHACHI[[#This Row],[CODIGO]],MAESTRO!A:N,14,FALSE)),"")</f>
        <v>0.17499999999999999</v>
      </c>
      <c r="N93" s="28">
        <f>+IFERROR(IF(MACHACHI[[#This Row],[CODIGO]]="","",VLOOKUP(MACHACHI[[#This Row],[CODIGO]],MAESTRO!A:P,16,FALSE)),"")</f>
        <v>40</v>
      </c>
      <c r="O93" s="182">
        <f>+IF(MACHACHI[[#This Row],[CODIGO]]="","",MACHACHI[[#This Row],[Fecha Elab.]])</f>
        <v>45610</v>
      </c>
      <c r="P93" s="99" t="str">
        <f t="shared" si="16"/>
        <v>jueves</v>
      </c>
      <c r="Q93" s="183">
        <f>IFERROR(IF(MACHACHI[[#This Row],[CODIGO]]="","",IF(MACHACHI[[#This Row],[Fecha Cad]]="","",(MACHACHI[[#This Row],[Fecha Cad]]-MACHACHI[[#This Row],[VIDA UTIL (Días)]]))+1),"")</f>
        <v>45610</v>
      </c>
      <c r="R93" s="18">
        <v>45649</v>
      </c>
      <c r="S93" s="180">
        <f t="shared" ca="1" si="17"/>
        <v>25</v>
      </c>
      <c r="T93" s="207">
        <f t="shared" ca="1" si="18"/>
        <v>0.625</v>
      </c>
      <c r="U93" s="47">
        <v>37</v>
      </c>
      <c r="V93" s="184">
        <f>+IFERROR(IF(MACHACHI[[#This Row],[CODIGO]]="","",MACHACHI[[#This Row],[Stock Actual Unds]]*MACHACHI[[#This Row],[Gramaje]]*MACHACHI[[#This Row],[Conversión]]),"")</f>
        <v>6.4749999999999996</v>
      </c>
      <c r="W93" s="45">
        <f>+IFERROR(IF(I92="","",MACHACHI[[#This Row],[Fecha Elab.]]-MACHACHI[[#This Row],[Fecha de Ingreso]]),"")</f>
        <v>0</v>
      </c>
      <c r="X93" s="44">
        <f t="shared" si="15"/>
        <v>1</v>
      </c>
      <c r="Y93" s="236">
        <f>+IFERROR(IF(MACHACHI[[#This Row],[CODIGO]]="","",VLOOKUP(MACHACHI[[#This Row],[CODIGO]],MAESTRO!A:BI,21,FALSE)),"")</f>
        <v>1.2970350000000002</v>
      </c>
      <c r="Z93" s="236">
        <f>+IFERROR(IF(MACHACHI[[#This Row],[CODIGO]]="","",Y93*MACHACHI[[#This Row],[Conversión]]),"")</f>
        <v>1.2970350000000002</v>
      </c>
      <c r="AA93" s="236">
        <f>+IFERROR(IF(MACHACHI[[#This Row],[CODIGO]]="","",MACHACHI[[#This Row],[COSTO UNIT Conv]]*MACHACHI[[#This Row],[Stock Actual Unds]]),"")</f>
        <v>47.990295000000003</v>
      </c>
      <c r="AB93" s="180">
        <f ca="1">+IFERROR(IF(MACHACHI[[#This Row],[CODIGO]]="","",$J$3-O93),"")</f>
        <v>14</v>
      </c>
      <c r="AC93" s="35" t="str">
        <f ca="1">IF(MACHACHI[[#This Row],[CODIGO]]="","",IF(S93&lt;=0,"CADUCADO",IF(AND(S93&gt;0,S93&lt;=21),"FECHA CORTA",IF(AND(S93&gt;=22,S93&lt;=26),"PROXIMOS FECHA CORTA", "VIGENTE"))))</f>
        <v>PROXIMOS FECHA CORTA</v>
      </c>
      <c r="AD93" s="181">
        <f>+IFERROR(IF(MACHACHI[[#This Row],[CODIGO]]="","",MACHACHI[[#This Row],[Stock Actual Unds]]*MACHACHI[[#This Row],[Gramaje]]*MACHACHI[[#This Row],[Conversión]]),"")/1000</f>
        <v>6.4749999999999999E-3</v>
      </c>
    </row>
    <row r="94" spans="1:30">
      <c r="A94" s="42" t="str">
        <f>+IFERROR(IF(MACHACHI[[#This Row],[CODIGO]]="","",VLOOKUP(MACHACHI[[#This Row],[CODIGO]],MAESTRO!$A:$J,10,FALSE)),"")</f>
        <v>MULTIEMPAQUE_SG</v>
      </c>
      <c r="B94" s="42" t="str">
        <f>+IFERROR(IF(MACHACHI[[#This Row],[CODIGO]]="","",VLOOKUP(MACHACHI[[#This Row],[CODIGO]],MAESTRO!$A:$Q,17,FALSE)),"")</f>
        <v>QUESOS Y GRASAS</v>
      </c>
      <c r="C94" s="42" t="str">
        <f>+IFERROR(IF(MACHACHI[[#This Row],[CODIGO]]="","",VLOOKUP(MACHACHI[[#This Row],[CODIGO]],MAESTRO!$A:$BA,53,FALSE)),"")</f>
        <v xml:space="preserve">Esteban Montenegro                      </v>
      </c>
      <c r="D94" s="42" t="str">
        <f>+IFERROR(IF(MACHACHI[[#This Row],[CODIGO]]="","",VLOOKUP(MACHACHI[[#This Row],[CODIGO]],MAESTRO!$A:$D,4,FALSE)),"")</f>
        <v>QUESO MOZARELLA KIOSKO</v>
      </c>
      <c r="E94" s="42" t="str">
        <f>+IFERROR(IF(MACHACHI[[#This Row],[CODIGO]]="","",VLOOKUP(MACHACHI[[#This Row],[CODIGO]],MAESTRO!$A:$F,6,FALSE)),"")</f>
        <v>QUESO MOZARELLA SNACK</v>
      </c>
      <c r="F94" s="42" t="str">
        <f>IF(MACHACHI[[#This Row],[CODIGO]]="","",$K$6)</f>
        <v>MACHACHI</v>
      </c>
      <c r="G94" s="49">
        <f>IF(MACHACHI[[#This Row],[CODIGO]]="","",7701)</f>
        <v>7701</v>
      </c>
      <c r="H94" s="49">
        <f>IF(MACHACHI[[#This Row],[CODIGO]]="","",1080)</f>
        <v>1080</v>
      </c>
      <c r="I94" s="256" t="s">
        <v>3542</v>
      </c>
      <c r="J94" s="25" t="str">
        <f>IFERROR((VLOOKUP(MACHACHI[[#This Row],[CODIGO]],MAESTRO!A:B,2,FALSE)),"")</f>
        <v>MPLX5 QUESO MOZARELLA LIGHT KIOSKO 35 G</v>
      </c>
      <c r="K94" s="47">
        <v>59</v>
      </c>
      <c r="L94" s="38">
        <f>+IFERROR(IF(MACHACHI[[#This Row],[CODIGO]]="","",VLOOKUP(MACHACHI[[#This Row],[CODIGO]],MAESTRO!$A:$BF,58,FALSE)),"")</f>
        <v>1</v>
      </c>
      <c r="M94" s="27">
        <f>+IFERROR(IF(MACHACHI[[#This Row],[CODIGO]]="","",VLOOKUP(MACHACHI[[#This Row],[CODIGO]],MAESTRO!A:N,14,FALSE)),"")</f>
        <v>0.17499999999999999</v>
      </c>
      <c r="N94" s="28">
        <f>+IFERROR(IF(MACHACHI[[#This Row],[CODIGO]]="","",VLOOKUP(MACHACHI[[#This Row],[CODIGO]],MAESTRO!A:P,16,FALSE)),"")</f>
        <v>40</v>
      </c>
      <c r="O94" s="182">
        <f>+IF(MACHACHI[[#This Row],[CODIGO]]="","",MACHACHI[[#This Row],[Fecha Elab.]])</f>
        <v>45622</v>
      </c>
      <c r="P94" s="99" t="str">
        <f t="shared" si="16"/>
        <v>martes</v>
      </c>
      <c r="Q94" s="183">
        <f>IFERROR(IF(MACHACHI[[#This Row],[CODIGO]]="","",IF(MACHACHI[[#This Row],[Fecha Cad]]="","",(MACHACHI[[#This Row],[Fecha Cad]]-MACHACHI[[#This Row],[VIDA UTIL (Días)]]))+1),"")</f>
        <v>45622</v>
      </c>
      <c r="R94" s="18">
        <v>45661</v>
      </c>
      <c r="S94" s="180">
        <f t="shared" ca="1" si="17"/>
        <v>37</v>
      </c>
      <c r="T94" s="207">
        <f t="shared" ca="1" si="18"/>
        <v>0.92500000000000004</v>
      </c>
      <c r="U94" s="47">
        <v>59</v>
      </c>
      <c r="V94" s="184">
        <f>+IFERROR(IF(MACHACHI[[#This Row],[CODIGO]]="","",MACHACHI[[#This Row],[Stock Actual Unds]]*MACHACHI[[#This Row],[Gramaje]]*MACHACHI[[#This Row],[Conversión]]),"")</f>
        <v>10.324999999999999</v>
      </c>
      <c r="W94" s="45">
        <f>+IFERROR(IF(I93="","",MACHACHI[[#This Row],[Fecha Elab.]]-MACHACHI[[#This Row],[Fecha de Ingreso]]),"")</f>
        <v>0</v>
      </c>
      <c r="X94" s="44">
        <f t="shared" si="15"/>
        <v>1</v>
      </c>
      <c r="Y94" s="236">
        <f>+IFERROR(IF(MACHACHI[[#This Row],[CODIGO]]="","",VLOOKUP(MACHACHI[[#This Row],[CODIGO]],MAESTRO!A:BI,21,FALSE)),"")</f>
        <v>1.2970350000000002</v>
      </c>
      <c r="Z94" s="236">
        <f>+IFERROR(IF(MACHACHI[[#This Row],[CODIGO]]="","",Y94*MACHACHI[[#This Row],[Conversión]]),"")</f>
        <v>1.2970350000000002</v>
      </c>
      <c r="AA94" s="236">
        <f>+IFERROR(IF(MACHACHI[[#This Row],[CODIGO]]="","",MACHACHI[[#This Row],[COSTO UNIT Conv]]*MACHACHI[[#This Row],[Stock Actual Unds]]),"")</f>
        <v>76.525065000000012</v>
      </c>
      <c r="AB94" s="180">
        <f ca="1">+IFERROR(IF(MACHACHI[[#This Row],[CODIGO]]="","",$J$3-O94),"")</f>
        <v>2</v>
      </c>
      <c r="AC94" s="35" t="str">
        <f ca="1">IF(MACHACHI[[#This Row],[CODIGO]]="","",IF(S94&lt;=0,"CADUCADO",IF(AND(S94&gt;0,S94&lt;=21),"FECHA CORTA",IF(AND(S94&gt;=22,S94&lt;=26),"PROXIMOS FECHA CORTA", "VIGENTE"))))</f>
        <v>VIGENTE</v>
      </c>
      <c r="AD94" s="181">
        <f>+IFERROR(IF(MACHACHI[[#This Row],[CODIGO]]="","",MACHACHI[[#This Row],[Stock Actual Unds]]*MACHACHI[[#This Row],[Gramaje]]*MACHACHI[[#This Row],[Conversión]]),"")/1000</f>
        <v>1.0324999999999999E-2</v>
      </c>
    </row>
    <row r="95" spans="1:30">
      <c r="A95" s="42" t="str">
        <f>+IFERROR(IF(MACHACHI[[#This Row],[CODIGO]]="","",VLOOKUP(MACHACHI[[#This Row],[CODIGO]],MAESTRO!$A:$J,10,FALSE)),"")</f>
        <v>COLOMBIA</v>
      </c>
      <c r="B95" s="42" t="str">
        <f>+IFERROR(IF(MACHACHI[[#This Row],[CODIGO]]="","",VLOOKUP(MACHACHI[[#This Row],[CODIGO]],MAESTRO!$A:$Q,17,FALSE)),"")</f>
        <v>POSTRES</v>
      </c>
      <c r="C95" s="42" t="str">
        <f>+IFERROR(IF(MACHACHI[[#This Row],[CODIGO]]="","",VLOOKUP(MACHACHI[[#This Row],[CODIGO]],MAESTRO!$A:$BA,53,FALSE)),"")</f>
        <v xml:space="preserve">Luis Armendariz                         </v>
      </c>
      <c r="D95" s="42" t="str">
        <f>+IFERROR(IF(MACHACHI[[#This Row],[CODIGO]]="","",VLOOKUP(MACHACHI[[#This Row],[CODIGO]],MAESTRO!$A:$D,4,FALSE)),"")</f>
        <v>ALPINETTE</v>
      </c>
      <c r="E95" s="42" t="str">
        <f>+IFERROR(IF(MACHACHI[[#This Row],[CODIGO]]="","",VLOOKUP(MACHACHI[[#This Row],[CODIGO]],MAESTRO!$A:$F,6,FALSE)),"")</f>
        <v>ALPINETTE</v>
      </c>
      <c r="F95" s="42" t="str">
        <f>IF(MACHACHI[[#This Row],[CODIGO]]="","",$K$6)</f>
        <v>MACHACHI</v>
      </c>
      <c r="G95" s="49">
        <f>IF(MACHACHI[[#This Row],[CODIGO]]="","",7701)</f>
        <v>7701</v>
      </c>
      <c r="H95" s="49">
        <f>IF(MACHACHI[[#This Row],[CODIGO]]="","",1080)</f>
        <v>1080</v>
      </c>
      <c r="I95" s="256" t="s">
        <v>1123</v>
      </c>
      <c r="J95" s="25" t="str">
        <f>IFERROR((VLOOKUP(MACHACHI[[#This Row],[CODIGO]],MAESTRO!A:B,2,FALSE)),"")</f>
        <v>ALPINETTE FRESA 140G ECU</v>
      </c>
      <c r="K95" s="47">
        <v>2270</v>
      </c>
      <c r="L95" s="38">
        <f>+IFERROR(IF(MACHACHI[[#This Row],[CODIGO]]="","",VLOOKUP(MACHACHI[[#This Row],[CODIGO]],MAESTRO!$A:$BF,58,FALSE)),"")</f>
        <v>1</v>
      </c>
      <c r="M95" s="27">
        <f>+IFERROR(IF(MACHACHI[[#This Row],[CODIGO]]="","",VLOOKUP(MACHACHI[[#This Row],[CODIGO]],MAESTRO!A:N,14,FALSE)),"")</f>
        <v>0.14000000000000001</v>
      </c>
      <c r="N95" s="28">
        <f>+IFERROR(IF(MACHACHI[[#This Row],[CODIGO]]="","",VLOOKUP(MACHACHI[[#This Row],[CODIGO]],MAESTRO!A:P,16,FALSE)),"")</f>
        <v>60</v>
      </c>
      <c r="O95" s="182">
        <f>+IF(MACHACHI[[#This Row],[CODIGO]]="","",MACHACHI[[#This Row],[Fecha Elab.]])</f>
        <v>45601</v>
      </c>
      <c r="P95" s="99" t="str">
        <f t="shared" si="16"/>
        <v>martes</v>
      </c>
      <c r="Q95" s="183">
        <f>IFERROR(IF(MACHACHI[[#This Row],[CODIGO]]="","",IF(MACHACHI[[#This Row],[Fecha Cad]]="","",(MACHACHI[[#This Row],[Fecha Cad]]-MACHACHI[[#This Row],[VIDA UTIL (Días)]]))+1),"")</f>
        <v>45601</v>
      </c>
      <c r="R95" s="18">
        <v>45660</v>
      </c>
      <c r="S95" s="180">
        <f t="shared" ca="1" si="17"/>
        <v>36</v>
      </c>
      <c r="T95" s="207">
        <f t="shared" ca="1" si="18"/>
        <v>0.6</v>
      </c>
      <c r="U95" s="47">
        <v>2270</v>
      </c>
      <c r="V95" s="184">
        <f>+IFERROR(IF(MACHACHI[[#This Row],[CODIGO]]="","",MACHACHI[[#This Row],[Stock Actual Unds]]*MACHACHI[[#This Row],[Gramaje]]*MACHACHI[[#This Row],[Conversión]]),"")</f>
        <v>317.8</v>
      </c>
      <c r="W95" s="45">
        <f>+IFERROR(IF(I94="","",MACHACHI[[#This Row],[Fecha Elab.]]-MACHACHI[[#This Row],[Fecha de Ingreso]]),"")</f>
        <v>0</v>
      </c>
      <c r="X95" s="44">
        <f t="shared" si="15"/>
        <v>1</v>
      </c>
      <c r="Y95" s="236">
        <f>+IFERROR(IF(MACHACHI[[#This Row],[CODIGO]]="","",VLOOKUP(MACHACHI[[#This Row],[CODIGO]],MAESTRO!A:BI,21,FALSE)),"")</f>
        <v>0.46937499999999999</v>
      </c>
      <c r="Z95" s="236">
        <f>+IFERROR(IF(MACHACHI[[#This Row],[CODIGO]]="","",Y95*MACHACHI[[#This Row],[Conversión]]),"")</f>
        <v>0.46937499999999999</v>
      </c>
      <c r="AA95" s="236">
        <f>+IFERROR(IF(MACHACHI[[#This Row],[CODIGO]]="","",MACHACHI[[#This Row],[COSTO UNIT Conv]]*MACHACHI[[#This Row],[Stock Actual Unds]]),"")</f>
        <v>1065.48125</v>
      </c>
      <c r="AB95" s="180">
        <f ca="1">+IFERROR(IF(MACHACHI[[#This Row],[CODIGO]]="","",$J$3-O95),"")</f>
        <v>23</v>
      </c>
      <c r="AC95" s="35" t="str">
        <f ca="1">IF(MACHACHI[[#This Row],[CODIGO]]="","",IF(S95&lt;=0,"CADUCADO",IF(AND(S95&gt;0,S95&lt;=21),"FECHA CORTA",IF(AND(S95&gt;=22,S95&lt;=26),"PROXIMOS FECHA CORTA", "VIGENTE"))))</f>
        <v>VIGENTE</v>
      </c>
      <c r="AD95" s="181">
        <f>+IFERROR(IF(MACHACHI[[#This Row],[CODIGO]]="","",MACHACHI[[#This Row],[Stock Actual Unds]]*MACHACHI[[#This Row],[Gramaje]]*MACHACHI[[#This Row],[Conversión]]),"")/1000</f>
        <v>0.31780000000000003</v>
      </c>
    </row>
    <row r="96" spans="1:30">
      <c r="A96" s="42" t="str">
        <f>+IFERROR(IF(MACHACHI[[#This Row],[CODIGO]]="","",VLOOKUP(MACHACHI[[#This Row],[CODIGO]],MAESTRO!$A:$J,10,FALSE)),"")</f>
        <v>COLOMBIA</v>
      </c>
      <c r="B96" s="42" t="str">
        <f>+IFERROR(IF(MACHACHI[[#This Row],[CODIGO]]="","",VLOOKUP(MACHACHI[[#This Row],[CODIGO]],MAESTRO!$A:$Q,17,FALSE)),"")</f>
        <v>POSTRES</v>
      </c>
      <c r="C96" s="42" t="str">
        <f>+IFERROR(IF(MACHACHI[[#This Row],[CODIGO]]="","",VLOOKUP(MACHACHI[[#This Row],[CODIGO]],MAESTRO!$A:$BA,53,FALSE)),"")</f>
        <v xml:space="preserve">Luis Armendariz                         </v>
      </c>
      <c r="D96" s="42" t="str">
        <f>+IFERROR(IF(MACHACHI[[#This Row],[CODIGO]]="","",VLOOKUP(MACHACHI[[#This Row],[CODIGO]],MAESTRO!$A:$D,4,FALSE)),"")</f>
        <v>ALPINETTE</v>
      </c>
      <c r="E96" s="42" t="str">
        <f>+IFERROR(IF(MACHACHI[[#This Row],[CODIGO]]="","",VLOOKUP(MACHACHI[[#This Row],[CODIGO]],MAESTRO!$A:$F,6,FALSE)),"")</f>
        <v>ALPINETTE</v>
      </c>
      <c r="F96" s="42" t="str">
        <f>IF(MACHACHI[[#This Row],[CODIGO]]="","",$K$6)</f>
        <v>MACHACHI</v>
      </c>
      <c r="G96" s="49">
        <f>IF(MACHACHI[[#This Row],[CODIGO]]="","",7701)</f>
        <v>7701</v>
      </c>
      <c r="H96" s="49">
        <f>IF(MACHACHI[[#This Row],[CODIGO]]="","",1080)</f>
        <v>1080</v>
      </c>
      <c r="I96" s="256" t="s">
        <v>2933</v>
      </c>
      <c r="J96" s="25" t="str">
        <f>IFERROR((VLOOKUP(MACHACHI[[#This Row],[CODIGO]],MAESTRO!A:B,2,FALSE)),"")</f>
        <v>ALPINETTE MELOCOTON 140G ECU</v>
      </c>
      <c r="K96" s="47">
        <v>67</v>
      </c>
      <c r="L96" s="38">
        <f>+IFERROR(IF(MACHACHI[[#This Row],[CODIGO]]="","",VLOOKUP(MACHACHI[[#This Row],[CODIGO]],MAESTRO!$A:$BF,58,FALSE)),"")</f>
        <v>1</v>
      </c>
      <c r="M96" s="27">
        <f>+IFERROR(IF(MACHACHI[[#This Row],[CODIGO]]="","",VLOOKUP(MACHACHI[[#This Row],[CODIGO]],MAESTRO!A:N,14,FALSE)),"")</f>
        <v>0.14000000000000001</v>
      </c>
      <c r="N96" s="28">
        <f>+IFERROR(IF(MACHACHI[[#This Row],[CODIGO]]="","",VLOOKUP(MACHACHI[[#This Row],[CODIGO]],MAESTRO!A:P,16,FALSE)),"")</f>
        <v>60</v>
      </c>
      <c r="O96" s="182">
        <f>+IF(MACHACHI[[#This Row],[CODIGO]]="","",MACHACHI[[#This Row],[Fecha Elab.]])</f>
        <v>45605</v>
      </c>
      <c r="P96" s="99" t="str">
        <f t="shared" si="16"/>
        <v>sábado</v>
      </c>
      <c r="Q96" s="183">
        <f>IFERROR(IF(MACHACHI[[#This Row],[CODIGO]]="","",IF(MACHACHI[[#This Row],[Fecha Cad]]="","",(MACHACHI[[#This Row],[Fecha Cad]]-MACHACHI[[#This Row],[VIDA UTIL (Días)]]))+1),"")</f>
        <v>45605</v>
      </c>
      <c r="R96" s="18">
        <v>45664</v>
      </c>
      <c r="S96" s="180">
        <f t="shared" ca="1" si="17"/>
        <v>40</v>
      </c>
      <c r="T96" s="207">
        <f t="shared" ca="1" si="18"/>
        <v>0.66666666666666663</v>
      </c>
      <c r="U96" s="47">
        <v>67</v>
      </c>
      <c r="V96" s="184">
        <f>+IFERROR(IF(MACHACHI[[#This Row],[CODIGO]]="","",MACHACHI[[#This Row],[Stock Actual Unds]]*MACHACHI[[#This Row],[Gramaje]]*MACHACHI[[#This Row],[Conversión]]),"")</f>
        <v>9.3800000000000008</v>
      </c>
      <c r="W96" s="45">
        <f>+IFERROR(IF(I95="","",MACHACHI[[#This Row],[Fecha Elab.]]-MACHACHI[[#This Row],[Fecha de Ingreso]]),"")</f>
        <v>0</v>
      </c>
      <c r="X96" s="44">
        <f t="shared" si="15"/>
        <v>1</v>
      </c>
      <c r="Y96" s="236">
        <f>+IFERROR(IF(MACHACHI[[#This Row],[CODIGO]]="","",VLOOKUP(MACHACHI[[#This Row],[CODIGO]],MAESTRO!A:BI,21,FALSE)),"")</f>
        <v>0.48450000000000004</v>
      </c>
      <c r="Z96" s="236">
        <f>+IFERROR(IF(MACHACHI[[#This Row],[CODIGO]]="","",Y96*MACHACHI[[#This Row],[Conversión]]),"")</f>
        <v>0.48450000000000004</v>
      </c>
      <c r="AA96" s="236">
        <f>+IFERROR(IF(MACHACHI[[#This Row],[CODIGO]]="","",MACHACHI[[#This Row],[COSTO UNIT Conv]]*MACHACHI[[#This Row],[Stock Actual Unds]]),"")</f>
        <v>32.461500000000001</v>
      </c>
      <c r="AB96" s="180">
        <f ca="1">+IFERROR(IF(MACHACHI[[#This Row],[CODIGO]]="","",$J$3-O96),"")</f>
        <v>19</v>
      </c>
      <c r="AC96" s="35" t="str">
        <f ca="1">IF(MACHACHI[[#This Row],[CODIGO]]="","",IF(S96&lt;=0,"CADUCADO",IF(AND(S96&gt;0,S96&lt;=21),"FECHA CORTA",IF(AND(S96&gt;=22,S96&lt;=26),"PROXIMOS FECHA CORTA", "VIGENTE"))))</f>
        <v>VIGENTE</v>
      </c>
      <c r="AD96" s="181">
        <f>+IFERROR(IF(MACHACHI[[#This Row],[CODIGO]]="","",MACHACHI[[#This Row],[Stock Actual Unds]]*MACHACHI[[#This Row],[Gramaje]]*MACHACHI[[#This Row],[Conversión]]),"")/1000</f>
        <v>9.3800000000000012E-3</v>
      </c>
    </row>
    <row r="97" spans="1:30">
      <c r="A97" s="42" t="str">
        <f>+IFERROR(IF(MACHACHI[[#This Row],[CODIGO]]="","",VLOOKUP(MACHACHI[[#This Row],[CODIGO]],MAESTRO!$A:$J,10,FALSE)),"")</f>
        <v>SAN GABRIEL</v>
      </c>
      <c r="B97" s="42" t="str">
        <f>+IFERROR(IF(MACHACHI[[#This Row],[CODIGO]]="","",VLOOKUP(MACHACHI[[#This Row],[CODIGO]],MAESTRO!$A:$Q,17,FALSE)),"")</f>
        <v>QUESOS Y GRASAS</v>
      </c>
      <c r="C97" s="42" t="str">
        <f>+IFERROR(IF(MACHACHI[[#This Row],[CODIGO]]="","",VLOOKUP(MACHACHI[[#This Row],[CODIGO]],MAESTRO!$A:$BA,53,FALSE)),"")</f>
        <v xml:space="preserve">Esteban Montenegro                      </v>
      </c>
      <c r="D97" s="42" t="str">
        <f>+IFERROR(IF(MACHACHI[[#This Row],[CODIGO]]="","",VLOOKUP(MACHACHI[[#This Row],[CODIGO]],MAESTRO!$A:$D,4,FALSE)),"")</f>
        <v>QUESO SEMIMADURO KIOSKO</v>
      </c>
      <c r="E97" s="42" t="str">
        <f>+IFERROR(IF(MACHACHI[[#This Row],[CODIGO]]="","",VLOOKUP(MACHACHI[[#This Row],[CODIGO]],MAESTRO!$A:$F,6,FALSE)),"")</f>
        <v>QUESO AMERICANO KIOSKO TAJADO</v>
      </c>
      <c r="F97" s="42" t="str">
        <f>IF(MACHACHI[[#This Row],[CODIGO]]="","",$K$6)</f>
        <v>MACHACHI</v>
      </c>
      <c r="G97" s="49">
        <f>IF(MACHACHI[[#This Row],[CODIGO]]="","",7701)</f>
        <v>7701</v>
      </c>
      <c r="H97" s="49">
        <f>IF(MACHACHI[[#This Row],[CODIGO]]="","",1080)</f>
        <v>1080</v>
      </c>
      <c r="I97" s="256" t="s">
        <v>1582</v>
      </c>
      <c r="J97" s="25" t="str">
        <f>IFERROR((VLOOKUP(MACHACHI[[#This Row],[CODIGO]],MAESTRO!A:B,2,FALSE)),"")</f>
        <v>Q AMERIC KIOSKO LONJ AL PESO COR</v>
      </c>
      <c r="K97" s="47">
        <v>64.099999999999994</v>
      </c>
      <c r="L97" s="38">
        <f>+IFERROR(IF(MACHACHI[[#This Row],[CODIGO]]="","",VLOOKUP(MACHACHI[[#This Row],[CODIGO]],MAESTRO!$A:$BF,58,FALSE)),"")</f>
        <v>1.7</v>
      </c>
      <c r="M97" s="27">
        <f>+IFERROR(IF(MACHACHI[[#This Row],[CODIGO]]="","",VLOOKUP(MACHACHI[[#This Row],[CODIGO]],MAESTRO!A:N,14,FALSE)),"")</f>
        <v>1</v>
      </c>
      <c r="N97" s="28">
        <f>+IFERROR(IF(MACHACHI[[#This Row],[CODIGO]]="","",VLOOKUP(MACHACHI[[#This Row],[CODIGO]],MAESTRO!A:P,16,FALSE)),"")</f>
        <v>60</v>
      </c>
      <c r="O97" s="182">
        <f>+IF(MACHACHI[[#This Row],[CODIGO]]="","",MACHACHI[[#This Row],[Fecha Elab.]])</f>
        <v>45609</v>
      </c>
      <c r="P97" s="99" t="str">
        <f t="shared" si="16"/>
        <v>miércoles</v>
      </c>
      <c r="Q97" s="183">
        <f>IFERROR(IF(MACHACHI[[#This Row],[CODIGO]]="","",IF(MACHACHI[[#This Row],[Fecha Cad]]="","",(MACHACHI[[#This Row],[Fecha Cad]]-MACHACHI[[#This Row],[VIDA UTIL (Días)]]))+1),"")</f>
        <v>45609</v>
      </c>
      <c r="R97" s="18">
        <v>45668</v>
      </c>
      <c r="S97" s="180">
        <f t="shared" ca="1" si="17"/>
        <v>44</v>
      </c>
      <c r="T97" s="207">
        <f t="shared" ca="1" si="18"/>
        <v>0.73333333333333328</v>
      </c>
      <c r="U97" s="47">
        <v>64.099999999999994</v>
      </c>
      <c r="V97" s="184">
        <f>+IFERROR(IF(MACHACHI[[#This Row],[CODIGO]]="","",MACHACHI[[#This Row],[Stock Actual Unds]]*MACHACHI[[#This Row],[Gramaje]]*MACHACHI[[#This Row],[Conversión]]),"")</f>
        <v>108.96999999999998</v>
      </c>
      <c r="W97" s="45">
        <f>+IFERROR(IF(I96="","",MACHACHI[[#This Row],[Fecha Elab.]]-MACHACHI[[#This Row],[Fecha de Ingreso]]),"")</f>
        <v>0</v>
      </c>
      <c r="X97" s="44">
        <f t="shared" si="15"/>
        <v>1</v>
      </c>
      <c r="Y97" s="236">
        <f>+IFERROR(IF(MACHACHI[[#This Row],[CODIGO]]="","",VLOOKUP(MACHACHI[[#This Row],[CODIGO]],MAESTRO!A:BI,21,FALSE)),"")</f>
        <v>7.0906599999999997</v>
      </c>
      <c r="Z97" s="236">
        <f>+IFERROR(IF(MACHACHI[[#This Row],[CODIGO]]="","",Y97*MACHACHI[[#This Row],[Conversión]]),"")</f>
        <v>12.054122</v>
      </c>
      <c r="AA97" s="236">
        <f>+IFERROR(IF(MACHACHI[[#This Row],[CODIGO]]="","",MACHACHI[[#This Row],[COSTO UNIT Conv]]*MACHACHI[[#This Row],[Stock Actual Unds]]),"")</f>
        <v>772.66922019999993</v>
      </c>
      <c r="AB97" s="180">
        <f ca="1">+IFERROR(IF(MACHACHI[[#This Row],[CODIGO]]="","",$J$3-O97),"")</f>
        <v>15</v>
      </c>
      <c r="AC97" s="35" t="str">
        <f ca="1">IF(MACHACHI[[#This Row],[CODIGO]]="","",IF(S97&lt;=0,"CADUCADO",IF(AND(S97&gt;0,S97&lt;=21),"FECHA CORTA",IF(AND(S97&gt;=22,S97&lt;=26),"PROXIMOS FECHA CORTA", "VIGENTE"))))</f>
        <v>VIGENTE</v>
      </c>
      <c r="AD97" s="181">
        <f>+IFERROR(IF(MACHACHI[[#This Row],[CODIGO]]="","",MACHACHI[[#This Row],[Stock Actual Unds]]*MACHACHI[[#This Row],[Gramaje]]*MACHACHI[[#This Row],[Conversión]]),"")/1000</f>
        <v>0.10896999999999998</v>
      </c>
    </row>
    <row r="98" spans="1:30">
      <c r="A98" s="42" t="str">
        <f>+IFERROR(IF(MACHACHI[[#This Row],[CODIGO]]="","",VLOOKUP(MACHACHI[[#This Row],[CODIGO]],MAESTRO!$A:$J,10,FALSE)),"")</f>
        <v>SAN GABRIEL</v>
      </c>
      <c r="B98" s="42" t="str">
        <f>+IFERROR(IF(MACHACHI[[#This Row],[CODIGO]]="","",VLOOKUP(MACHACHI[[#This Row],[CODIGO]],MAESTRO!$A:$Q,17,FALSE)),"")</f>
        <v>QUESOS Y GRASAS</v>
      </c>
      <c r="C98" s="42" t="str">
        <f>+IFERROR(IF(MACHACHI[[#This Row],[CODIGO]]="","",VLOOKUP(MACHACHI[[#This Row],[CODIGO]],MAESTRO!$A:$BA,53,FALSE)),"")</f>
        <v xml:space="preserve">Esteban Montenegro                      </v>
      </c>
      <c r="D98" s="42" t="str">
        <f>+IFERROR(IF(MACHACHI[[#This Row],[CODIGO]]="","",VLOOKUP(MACHACHI[[#This Row],[CODIGO]],MAESTRO!$A:$D,4,FALSE)),"")</f>
        <v>QUESO SEMIMADURO KIOSKO</v>
      </c>
      <c r="E98" s="42" t="str">
        <f>+IFERROR(IF(MACHACHI[[#This Row],[CODIGO]]="","",VLOOKUP(MACHACHI[[#This Row],[CODIGO]],MAESTRO!$A:$F,6,FALSE)),"")</f>
        <v>QUESO AMERICANO KIOSKO TAJADO</v>
      </c>
      <c r="F98" s="42" t="str">
        <f>IF(MACHACHI[[#This Row],[CODIGO]]="","",$K$6)</f>
        <v>MACHACHI</v>
      </c>
      <c r="G98" s="49">
        <f>IF(MACHACHI[[#This Row],[CODIGO]]="","",7701)</f>
        <v>7701</v>
      </c>
      <c r="H98" s="49">
        <f>IF(MACHACHI[[#This Row],[CODIGO]]="","",1080)</f>
        <v>1080</v>
      </c>
      <c r="I98" s="256" t="s">
        <v>1582</v>
      </c>
      <c r="J98" s="43" t="str">
        <f>IFERROR((VLOOKUP(MACHACHI[[#This Row],[CODIGO]],MAESTRO!A:B,2,FALSE)),"")</f>
        <v>Q AMERIC KIOSKO LONJ AL PESO COR</v>
      </c>
      <c r="K98" s="47">
        <v>182.5</v>
      </c>
      <c r="L98" s="205">
        <f>+IFERROR(IF(MACHACHI[[#This Row],[CODIGO]]="","",VLOOKUP(MACHACHI[[#This Row],[CODIGO]],MAESTRO!$A:$BF,58,FALSE)),"")</f>
        <v>1.7</v>
      </c>
      <c r="M98" s="27">
        <f>+IFERROR(IF(MACHACHI[[#This Row],[CODIGO]]="","",VLOOKUP(MACHACHI[[#This Row],[CODIGO]],MAESTRO!A:N,14,FALSE)),"")</f>
        <v>1</v>
      </c>
      <c r="N98" s="206">
        <f>+IFERROR(IF(MACHACHI[[#This Row],[CODIGO]]="","",VLOOKUP(MACHACHI[[#This Row],[CODIGO]],MAESTRO!A:P,16,FALSE)),"")</f>
        <v>60</v>
      </c>
      <c r="O98" s="306">
        <f>+IF(MACHACHI[[#This Row],[CODIGO]]="","",MACHACHI[[#This Row],[Fecha Elab.]])</f>
        <v>45619</v>
      </c>
      <c r="P98" s="99" t="str">
        <f t="shared" ref="P98:P107" si="19">+IF(R98="","",TEXT(O98,"dddd"))</f>
        <v>sábado</v>
      </c>
      <c r="Q98" s="307">
        <f>IFERROR(IF(MACHACHI[[#This Row],[CODIGO]]="","",IF(MACHACHI[[#This Row],[Fecha Cad]]="","",(MACHACHI[[#This Row],[Fecha Cad]]-MACHACHI[[#This Row],[VIDA UTIL (Días)]]))+1),"")</f>
        <v>45619</v>
      </c>
      <c r="R98" s="18">
        <v>45678</v>
      </c>
      <c r="S98" s="180">
        <f t="shared" ref="S98:S107" ca="1" si="20">+IFERROR(IF(R98="","",R98-$J$3),0)</f>
        <v>54</v>
      </c>
      <c r="T98" s="44">
        <f t="shared" ref="T98:T107" ca="1" si="21">IFERROR(IF(8="","",S98/N98),0)</f>
        <v>0.9</v>
      </c>
      <c r="U98" s="47">
        <v>182.5</v>
      </c>
      <c r="V98" s="184">
        <f>+IFERROR(IF(MACHACHI[[#This Row],[CODIGO]]="","",MACHACHI[[#This Row],[Stock Actual Unds]]*MACHACHI[[#This Row],[Gramaje]]*MACHACHI[[#This Row],[Conversión]]),"")</f>
        <v>310.25</v>
      </c>
      <c r="W98" s="303">
        <f>+IFERROR(IF(I97="","",MACHACHI[[#This Row],[Fecha Elab.]]-MACHACHI[[#This Row],[Fecha de Ingreso]]),"")</f>
        <v>0</v>
      </c>
      <c r="X98" s="44">
        <f t="shared" ref="X98:X107" si="22">IFERROR(IF(I98="","",1-(W98/N98)),"")</f>
        <v>1</v>
      </c>
      <c r="Y98" s="236">
        <f>+IFERROR(IF(MACHACHI[[#This Row],[CODIGO]]="","",VLOOKUP(MACHACHI[[#This Row],[CODIGO]],MAESTRO!A:BI,21,FALSE)),"")</f>
        <v>7.0906599999999997</v>
      </c>
      <c r="Z98" s="236">
        <f>+IFERROR(IF(MACHACHI[[#This Row],[CODIGO]]="","",Y98*MACHACHI[[#This Row],[Conversión]]),"")</f>
        <v>12.054122</v>
      </c>
      <c r="AA98" s="236">
        <f>+IFERROR(IF(MACHACHI[[#This Row],[CODIGO]]="","",MACHACHI[[#This Row],[COSTO UNIT Conv]]*MACHACHI[[#This Row],[Stock Actual Unds]]),"")</f>
        <v>2199.8772650000001</v>
      </c>
      <c r="AB98" s="180">
        <f ca="1">+IFERROR(IF(MACHACHI[[#This Row],[CODIGO]]="","",$J$3-O98),"")</f>
        <v>5</v>
      </c>
      <c r="AC98" s="35" t="str">
        <f ca="1">IF(MACHACHI[[#This Row],[CODIGO]]="","",IF(S98&lt;=0,"CADUCADO",IF(AND(S98&gt;0,S98&lt;=21),"FECHA CORTA",IF(AND(S98&gt;=22,S98&lt;=26),"PROXIMOS FECHA CORTA", "VIGENTE"))))</f>
        <v>VIGENTE</v>
      </c>
      <c r="AD98" s="181">
        <f>+IFERROR(IF(MACHACHI[[#This Row],[CODIGO]]="","",MACHACHI[[#This Row],[Stock Actual Unds]]*MACHACHI[[#This Row],[Gramaje]]*MACHACHI[[#This Row],[Conversión]]),"")/1000</f>
        <v>0.31025000000000003</v>
      </c>
    </row>
    <row r="99" spans="1:30">
      <c r="A99" s="42" t="str">
        <f>+IFERROR(IF(MACHACHI[[#This Row],[CODIGO]]="","",VLOOKUP(MACHACHI[[#This Row],[CODIGO]],MAESTRO!$A:$J,10,FALSE)),"")</f>
        <v>SAN GABRIEL</v>
      </c>
      <c r="B99" s="42" t="str">
        <f>+IFERROR(IF(MACHACHI[[#This Row],[CODIGO]]="","",VLOOKUP(MACHACHI[[#This Row],[CODIGO]],MAESTRO!$A:$Q,17,FALSE)),"")</f>
        <v>QUESOS Y GRASAS</v>
      </c>
      <c r="C99" s="42" t="str">
        <f>+IFERROR(IF(MACHACHI[[#This Row],[CODIGO]]="","",VLOOKUP(MACHACHI[[#This Row],[CODIGO]],MAESTRO!$A:$BA,53,FALSE)),"")</f>
        <v xml:space="preserve">Esteban Montenegro                      </v>
      </c>
      <c r="D99" s="42" t="str">
        <f>+IFERROR(IF(MACHACHI[[#This Row],[CODIGO]]="","",VLOOKUP(MACHACHI[[#This Row],[CODIGO]],MAESTRO!$A:$D,4,FALSE)),"")</f>
        <v>QUESO SEMIMADURO KIOSKO</v>
      </c>
      <c r="E99" s="42" t="str">
        <f>+IFERROR(IF(MACHACHI[[#This Row],[CODIGO]]="","",VLOOKUP(MACHACHI[[#This Row],[CODIGO]],MAESTRO!$A:$F,6,FALSE)),"")</f>
        <v>QUESO AMERICANO KIOSKO TAJADO</v>
      </c>
      <c r="F99" s="42" t="str">
        <f>IF(MACHACHI[[#This Row],[CODIGO]]="","",$K$6)</f>
        <v>MACHACHI</v>
      </c>
      <c r="G99" s="305">
        <f>IF(MACHACHI[[#This Row],[CODIGO]]="","",7701)</f>
        <v>7701</v>
      </c>
      <c r="H99" s="305">
        <f>IF(MACHACHI[[#This Row],[CODIGO]]="","",1080)</f>
        <v>1080</v>
      </c>
      <c r="I99" s="256" t="s">
        <v>1582</v>
      </c>
      <c r="J99" s="43" t="str">
        <f>IFERROR((VLOOKUP(MACHACHI[[#This Row],[CODIGO]],MAESTRO!A:B,2,FALSE)),"")</f>
        <v>Q AMERIC KIOSKO LONJ AL PESO COR</v>
      </c>
      <c r="K99" s="47">
        <v>57.6</v>
      </c>
      <c r="L99" s="205">
        <f>+IFERROR(IF(MACHACHI[[#This Row],[CODIGO]]="","",VLOOKUP(MACHACHI[[#This Row],[CODIGO]],MAESTRO!$A:$BF,58,FALSE)),"")</f>
        <v>1.7</v>
      </c>
      <c r="M99" s="27">
        <f>+IFERROR(IF(MACHACHI[[#This Row],[CODIGO]]="","",VLOOKUP(MACHACHI[[#This Row],[CODIGO]],MAESTRO!A:N,14,FALSE)),"")</f>
        <v>1</v>
      </c>
      <c r="N99" s="206">
        <f>+IFERROR(IF(MACHACHI[[#This Row],[CODIGO]]="","",VLOOKUP(MACHACHI[[#This Row],[CODIGO]],MAESTRO!A:P,16,FALSE)),"")</f>
        <v>60</v>
      </c>
      <c r="O99" s="306">
        <f>+IF(MACHACHI[[#This Row],[CODIGO]]="","",MACHACHI[[#This Row],[Fecha Elab.]])</f>
        <v>45623</v>
      </c>
      <c r="P99" s="99" t="str">
        <f t="shared" si="19"/>
        <v>miércoles</v>
      </c>
      <c r="Q99" s="307">
        <f>IFERROR(IF(MACHACHI[[#This Row],[CODIGO]]="","",IF(MACHACHI[[#This Row],[Fecha Cad]]="","",(MACHACHI[[#This Row],[Fecha Cad]]-MACHACHI[[#This Row],[VIDA UTIL (Días)]]))+1),"")</f>
        <v>45623</v>
      </c>
      <c r="R99" s="18">
        <v>45682</v>
      </c>
      <c r="S99" s="180">
        <f t="shared" ca="1" si="20"/>
        <v>58</v>
      </c>
      <c r="T99" s="44">
        <f t="shared" ca="1" si="21"/>
        <v>0.96666666666666667</v>
      </c>
      <c r="U99" s="47">
        <v>57.6</v>
      </c>
      <c r="V99" s="184">
        <f>+IFERROR(IF(MACHACHI[[#This Row],[CODIGO]]="","",MACHACHI[[#This Row],[Stock Actual Unds]]*MACHACHI[[#This Row],[Gramaje]]*MACHACHI[[#This Row],[Conversión]]),"")</f>
        <v>97.92</v>
      </c>
      <c r="W99" s="303">
        <f>+IFERROR(IF(I98="","",MACHACHI[[#This Row],[Fecha Elab.]]-MACHACHI[[#This Row],[Fecha de Ingreso]]),"")</f>
        <v>0</v>
      </c>
      <c r="X99" s="44">
        <f t="shared" si="22"/>
        <v>1</v>
      </c>
      <c r="Y99" s="236">
        <f>+IFERROR(IF(MACHACHI[[#This Row],[CODIGO]]="","",VLOOKUP(MACHACHI[[#This Row],[CODIGO]],MAESTRO!A:BI,21,FALSE)),"")</f>
        <v>7.0906599999999997</v>
      </c>
      <c r="Z99" s="236">
        <f>+IFERROR(IF(MACHACHI[[#This Row],[CODIGO]]="","",Y99*MACHACHI[[#This Row],[Conversión]]),"")</f>
        <v>12.054122</v>
      </c>
      <c r="AA99" s="236">
        <f>+IFERROR(IF(MACHACHI[[#This Row],[CODIGO]]="","",MACHACHI[[#This Row],[COSTO UNIT Conv]]*MACHACHI[[#This Row],[Stock Actual Unds]]),"")</f>
        <v>694.3174272</v>
      </c>
      <c r="AB99" s="180">
        <f ca="1">+IFERROR(IF(MACHACHI[[#This Row],[CODIGO]]="","",$J$3-O99),"")</f>
        <v>1</v>
      </c>
      <c r="AC99" s="35" t="str">
        <f ca="1">IF(MACHACHI[[#This Row],[CODIGO]]="","",IF(S99&lt;=0,"CADUCADO",IF(AND(S99&gt;0,S99&lt;=21),"FECHA CORTA",IF(AND(S99&gt;=22,S99&lt;=26),"PROXIMOS FECHA CORTA", "VIGENTE"))))</f>
        <v>VIGENTE</v>
      </c>
      <c r="AD99" s="181">
        <f>+IFERROR(IF(MACHACHI[[#This Row],[CODIGO]]="","",MACHACHI[[#This Row],[Stock Actual Unds]]*MACHACHI[[#This Row],[Gramaje]]*MACHACHI[[#This Row],[Conversión]]),"")/1000</f>
        <v>9.7920000000000007E-2</v>
      </c>
    </row>
    <row r="100" spans="1:30">
      <c r="A100" s="42" t="str">
        <f>+IFERROR(IF(MACHACHI[[#This Row],[CODIGO]]="","",VLOOKUP(MACHACHI[[#This Row],[CODIGO]],MAESTRO!$A:$J,10,FALSE)),"")</f>
        <v>SAN GABRIEL</v>
      </c>
      <c r="B100" s="42" t="str">
        <f>+IFERROR(IF(MACHACHI[[#This Row],[CODIGO]]="","",VLOOKUP(MACHACHI[[#This Row],[CODIGO]],MAESTRO!$A:$Q,17,FALSE)),"")</f>
        <v>QUESOS Y GRASAS</v>
      </c>
      <c r="C100" s="42" t="str">
        <f>+IFERROR(IF(MACHACHI[[#This Row],[CODIGO]]="","",VLOOKUP(MACHACHI[[#This Row],[CODIGO]],MAESTRO!$A:$BA,53,FALSE)),"")</f>
        <v xml:space="preserve">Esteban Montenegro                      </v>
      </c>
      <c r="D100" s="42" t="str">
        <f>+IFERROR(IF(MACHACHI[[#This Row],[CODIGO]]="","",VLOOKUP(MACHACHI[[#This Row],[CODIGO]],MAESTRO!$A:$D,4,FALSE)),"")</f>
        <v>QUESO MOZARELLA KIOSKO</v>
      </c>
      <c r="E100" s="42" t="str">
        <f>+IFERROR(IF(MACHACHI[[#This Row],[CODIGO]]="","",VLOOKUP(MACHACHI[[#This Row],[CODIGO]],MAESTRO!$A:$F,6,FALSE)),"")</f>
        <v>QUESO MOZARELLA PIZZA KIOSKO TAJADO</v>
      </c>
      <c r="F100" s="42" t="str">
        <f>IF(MACHACHI[[#This Row],[CODIGO]]="","",$K$6)</f>
        <v>MACHACHI</v>
      </c>
      <c r="G100" s="305">
        <f>IF(MACHACHI[[#This Row],[CODIGO]]="","",7701)</f>
        <v>7701</v>
      </c>
      <c r="H100" s="305">
        <f>IF(MACHACHI[[#This Row],[CODIGO]]="","",1080)</f>
        <v>1080</v>
      </c>
      <c r="I100" s="256" t="s">
        <v>1878</v>
      </c>
      <c r="J100" s="43" t="str">
        <f>IFERROR((VLOOKUP(MACHACHI[[#This Row],[CODIGO]],MAESTRO!A:B,2,FALSE)),"")</f>
        <v>Q MOZAR PIZZ KIOSKO LONJ AL PESO COR</v>
      </c>
      <c r="K100" s="47">
        <v>2.7</v>
      </c>
      <c r="L100" s="205">
        <f>+IFERROR(IF(MACHACHI[[#This Row],[CODIGO]]="","",VLOOKUP(MACHACHI[[#This Row],[CODIGO]],MAESTRO!$A:$BF,58,FALSE)),"")</f>
        <v>2.7</v>
      </c>
      <c r="M100" s="27">
        <f>+IFERROR(IF(MACHACHI[[#This Row],[CODIGO]]="","",VLOOKUP(MACHACHI[[#This Row],[CODIGO]],MAESTRO!A:N,14,FALSE)),"")</f>
        <v>1</v>
      </c>
      <c r="N100" s="206">
        <f>+IFERROR(IF(MACHACHI[[#This Row],[CODIGO]]="","",VLOOKUP(MACHACHI[[#This Row],[CODIGO]],MAESTRO!A:P,16,FALSE)),"")</f>
        <v>30</v>
      </c>
      <c r="O100" s="306">
        <f>+IF(MACHACHI[[#This Row],[CODIGO]]="","",MACHACHI[[#This Row],[Fecha Elab.]])</f>
        <v>45609</v>
      </c>
      <c r="P100" s="99" t="str">
        <f t="shared" si="19"/>
        <v>miércoles</v>
      </c>
      <c r="Q100" s="307">
        <f>IFERROR(IF(MACHACHI[[#This Row],[CODIGO]]="","",IF(MACHACHI[[#This Row],[Fecha Cad]]="","",(MACHACHI[[#This Row],[Fecha Cad]]-MACHACHI[[#This Row],[VIDA UTIL (Días)]]))+1),"")</f>
        <v>45609</v>
      </c>
      <c r="R100" s="18">
        <v>45638</v>
      </c>
      <c r="S100" s="180">
        <f t="shared" ca="1" si="20"/>
        <v>14</v>
      </c>
      <c r="T100" s="44">
        <f t="shared" ca="1" si="21"/>
        <v>0.46666666666666667</v>
      </c>
      <c r="U100" s="47">
        <v>2.7</v>
      </c>
      <c r="V100" s="184">
        <f>+IFERROR(IF(MACHACHI[[#This Row],[CODIGO]]="","",MACHACHI[[#This Row],[Stock Actual Unds]]*MACHACHI[[#This Row],[Gramaje]]*MACHACHI[[#This Row],[Conversión]]),"")</f>
        <v>7.2900000000000009</v>
      </c>
      <c r="W100" s="303">
        <f>+IFERROR(IF(I99="","",MACHACHI[[#This Row],[Fecha Elab.]]-MACHACHI[[#This Row],[Fecha de Ingreso]]),"")</f>
        <v>0</v>
      </c>
      <c r="X100" s="44">
        <f t="shared" si="22"/>
        <v>1</v>
      </c>
      <c r="Y100" s="236">
        <f>+IFERROR(IF(MACHACHI[[#This Row],[CODIGO]]="","",VLOOKUP(MACHACHI[[#This Row],[CODIGO]],MAESTRO!A:BI,21,FALSE)),"")</f>
        <v>7.2692399999999999</v>
      </c>
      <c r="Z100" s="236">
        <f>+IFERROR(IF(MACHACHI[[#This Row],[CODIGO]]="","",Y100*MACHACHI[[#This Row],[Conversión]]),"")</f>
        <v>19.626948000000002</v>
      </c>
      <c r="AA100" s="236">
        <f>+IFERROR(IF(MACHACHI[[#This Row],[CODIGO]]="","",MACHACHI[[#This Row],[COSTO UNIT Conv]]*MACHACHI[[#This Row],[Stock Actual Unds]]),"")</f>
        <v>52.992759600000007</v>
      </c>
      <c r="AB100" s="180">
        <f ca="1">+IFERROR(IF(MACHACHI[[#This Row],[CODIGO]]="","",$J$3-O100),"")</f>
        <v>15</v>
      </c>
      <c r="AC100" s="35" t="str">
        <f ca="1">IF(MACHACHI[[#This Row],[CODIGO]]="","",IF(S100&lt;=0,"CADUCADO",IF(AND(S100&gt;0,S100&lt;=21),"FECHA CORTA",IF(AND(S100&gt;=22,S100&lt;=26),"PROXIMOS FECHA CORTA", "VIGENTE"))))</f>
        <v>FECHA CORTA</v>
      </c>
      <c r="AD100" s="181">
        <f>+IFERROR(IF(MACHACHI[[#This Row],[CODIGO]]="","",MACHACHI[[#This Row],[Stock Actual Unds]]*MACHACHI[[#This Row],[Gramaje]]*MACHACHI[[#This Row],[Conversión]]),"")/1000</f>
        <v>7.2900000000000013E-3</v>
      </c>
    </row>
    <row r="101" spans="1:30">
      <c r="A101" s="42" t="str">
        <f>+IFERROR(IF(MACHACHI[[#This Row],[CODIGO]]="","",VLOOKUP(MACHACHI[[#This Row],[CODIGO]],MAESTRO!$A:$J,10,FALSE)),"")</f>
        <v>SAN GABRIEL</v>
      </c>
      <c r="B101" s="42" t="str">
        <f>+IFERROR(IF(MACHACHI[[#This Row],[CODIGO]]="","",VLOOKUP(MACHACHI[[#This Row],[CODIGO]],MAESTRO!$A:$Q,17,FALSE)),"")</f>
        <v>QUESOS Y GRASAS</v>
      </c>
      <c r="C101" s="42" t="str">
        <f>+IFERROR(IF(MACHACHI[[#This Row],[CODIGO]]="","",VLOOKUP(MACHACHI[[#This Row],[CODIGO]],MAESTRO!$A:$BA,53,FALSE)),"")</f>
        <v xml:space="preserve">Esteban Montenegro                      </v>
      </c>
      <c r="D101" s="42" t="str">
        <f>+IFERROR(IF(MACHACHI[[#This Row],[CODIGO]]="","",VLOOKUP(MACHACHI[[#This Row],[CODIGO]],MAESTRO!$A:$D,4,FALSE)),"")</f>
        <v>QUESO MOZARELLA KIOSKO</v>
      </c>
      <c r="E101" s="42" t="str">
        <f>+IFERROR(IF(MACHACHI[[#This Row],[CODIGO]]="","",VLOOKUP(MACHACHI[[#This Row],[CODIGO]],MAESTRO!$A:$F,6,FALSE)),"")</f>
        <v>QUESO MOZARELLA PIZZA KIOSKO TAJADO</v>
      </c>
      <c r="F101" s="42" t="str">
        <f>IF(MACHACHI[[#This Row],[CODIGO]]="","",$K$6)</f>
        <v>MACHACHI</v>
      </c>
      <c r="G101" s="305">
        <f>IF(MACHACHI[[#This Row],[CODIGO]]="","",7701)</f>
        <v>7701</v>
      </c>
      <c r="H101" s="305">
        <f>IF(MACHACHI[[#This Row],[CODIGO]]="","",1080)</f>
        <v>1080</v>
      </c>
      <c r="I101" s="256" t="s">
        <v>1878</v>
      </c>
      <c r="J101" s="43" t="str">
        <f>IFERROR((VLOOKUP(MACHACHI[[#This Row],[CODIGO]],MAESTRO!A:B,2,FALSE)),"")</f>
        <v>Q MOZAR PIZZ KIOSKO LONJ AL PESO COR</v>
      </c>
      <c r="K101" s="47">
        <v>83.7</v>
      </c>
      <c r="L101" s="205">
        <f>+IFERROR(IF(MACHACHI[[#This Row],[CODIGO]]="","",VLOOKUP(MACHACHI[[#This Row],[CODIGO]],MAESTRO!$A:$BF,58,FALSE)),"")</f>
        <v>2.7</v>
      </c>
      <c r="M101" s="27">
        <f>+IFERROR(IF(MACHACHI[[#This Row],[CODIGO]]="","",VLOOKUP(MACHACHI[[#This Row],[CODIGO]],MAESTRO!A:N,14,FALSE)),"")</f>
        <v>1</v>
      </c>
      <c r="N101" s="206">
        <f>+IFERROR(IF(MACHACHI[[#This Row],[CODIGO]]="","",VLOOKUP(MACHACHI[[#This Row],[CODIGO]],MAESTRO!A:P,16,FALSE)),"")</f>
        <v>30</v>
      </c>
      <c r="O101" s="306">
        <f>+IF(MACHACHI[[#This Row],[CODIGO]]="","",MACHACHI[[#This Row],[Fecha Elab.]])</f>
        <v>45622</v>
      </c>
      <c r="P101" s="99" t="str">
        <f t="shared" si="19"/>
        <v>martes</v>
      </c>
      <c r="Q101" s="307">
        <f>IFERROR(IF(MACHACHI[[#This Row],[CODIGO]]="","",IF(MACHACHI[[#This Row],[Fecha Cad]]="","",(MACHACHI[[#This Row],[Fecha Cad]]-MACHACHI[[#This Row],[VIDA UTIL (Días)]]))+1),"")</f>
        <v>45622</v>
      </c>
      <c r="R101" s="18">
        <v>45651</v>
      </c>
      <c r="S101" s="180">
        <f t="shared" ca="1" si="20"/>
        <v>27</v>
      </c>
      <c r="T101" s="44">
        <f t="shared" ca="1" si="21"/>
        <v>0.9</v>
      </c>
      <c r="U101" s="47">
        <v>83.7</v>
      </c>
      <c r="V101" s="184">
        <f>+IFERROR(IF(MACHACHI[[#This Row],[CODIGO]]="","",MACHACHI[[#This Row],[Stock Actual Unds]]*MACHACHI[[#This Row],[Gramaje]]*MACHACHI[[#This Row],[Conversión]]),"")</f>
        <v>225.99</v>
      </c>
      <c r="W101" s="303">
        <f>+IFERROR(IF(I100="","",MACHACHI[[#This Row],[Fecha Elab.]]-MACHACHI[[#This Row],[Fecha de Ingreso]]),"")</f>
        <v>0</v>
      </c>
      <c r="X101" s="44">
        <f t="shared" si="22"/>
        <v>1</v>
      </c>
      <c r="Y101" s="236">
        <f>+IFERROR(IF(MACHACHI[[#This Row],[CODIGO]]="","",VLOOKUP(MACHACHI[[#This Row],[CODIGO]],MAESTRO!A:BI,21,FALSE)),"")</f>
        <v>7.2692399999999999</v>
      </c>
      <c r="Z101" s="236">
        <f>+IFERROR(IF(MACHACHI[[#This Row],[CODIGO]]="","",Y101*MACHACHI[[#This Row],[Conversión]]),"")</f>
        <v>19.626948000000002</v>
      </c>
      <c r="AA101" s="236">
        <f>+IFERROR(IF(MACHACHI[[#This Row],[CODIGO]]="","",MACHACHI[[#This Row],[COSTO UNIT Conv]]*MACHACHI[[#This Row],[Stock Actual Unds]]),"")</f>
        <v>1642.7755476000002</v>
      </c>
      <c r="AB101" s="180">
        <f ca="1">+IFERROR(IF(MACHACHI[[#This Row],[CODIGO]]="","",$J$3-O101),"")</f>
        <v>2</v>
      </c>
      <c r="AC101" s="35" t="str">
        <f ca="1">IF(MACHACHI[[#This Row],[CODIGO]]="","",IF(S101&lt;=0,"CADUCADO",IF(AND(S101&gt;0,S101&lt;=21),"FECHA CORTA",IF(AND(S101&gt;=22,S101&lt;=26),"PROXIMOS FECHA CORTA", "VIGENTE"))))</f>
        <v>VIGENTE</v>
      </c>
      <c r="AD101" s="181">
        <f>+IFERROR(IF(MACHACHI[[#This Row],[CODIGO]]="","",MACHACHI[[#This Row],[Stock Actual Unds]]*MACHACHI[[#This Row],[Gramaje]]*MACHACHI[[#This Row],[Conversión]]),"")/1000</f>
        <v>0.22599</v>
      </c>
    </row>
    <row r="102" spans="1:30">
      <c r="A102" s="42" t="str">
        <f>+IFERROR(IF(MACHACHI[[#This Row],[CODIGO]]="","",VLOOKUP(MACHACHI[[#This Row],[CODIGO]],MAESTRO!$A:$J,10,FALSE)),"")</f>
        <v>MACHACHI</v>
      </c>
      <c r="B102" s="42" t="str">
        <f>+IFERROR(IF(MACHACHI[[#This Row],[CODIGO]]="","",VLOOKUP(MACHACHI[[#This Row],[CODIGO]],MAESTRO!$A:$Q,17,FALSE)),"")</f>
        <v>BEBIDAS LACTEAS</v>
      </c>
      <c r="C102" s="42" t="str">
        <f>+IFERROR(IF(MACHACHI[[#This Row],[CODIGO]]="","",VLOOKUP(MACHACHI[[#This Row],[CODIGO]],MAESTRO!$A:$BA,53,FALSE)),"")</f>
        <v xml:space="preserve">Luis Armendariz                         </v>
      </c>
      <c r="D102" s="42" t="str">
        <f>+IFERROR(IF(MACHACHI[[#This Row],[CODIGO]]="","",VLOOKUP(MACHACHI[[#This Row],[CODIGO]],MAESTRO!$A:$D,4,FALSE)),"")</f>
        <v>REGENERIS</v>
      </c>
      <c r="E102" s="42" t="str">
        <f>+IFERROR(IF(MACHACHI[[#This Row],[CODIGO]]="","",VLOOKUP(MACHACHI[[#This Row],[CODIGO]],MAESTRO!$A:$F,6,FALSE)),"")</f>
        <v>REGENERIS BEBIBLE BOTELLA FAMILIAR</v>
      </c>
      <c r="F102" s="42" t="str">
        <f>IF(MACHACHI[[#This Row],[CODIGO]]="","",$K$6)</f>
        <v>MACHACHI</v>
      </c>
      <c r="G102" s="305">
        <f>IF(MACHACHI[[#This Row],[CODIGO]]="","",7701)</f>
        <v>7701</v>
      </c>
      <c r="H102" s="305">
        <f>IF(MACHACHI[[#This Row],[CODIGO]]="","",1080)</f>
        <v>1080</v>
      </c>
      <c r="I102" s="256" t="s">
        <v>2433</v>
      </c>
      <c r="J102" s="43" t="str">
        <f>IFERROR((VLOOKUP(MACHACHI[[#This Row],[CODIGO]],MAESTRO!A:B,2,FALSE)),"")</f>
        <v>RGN BBLE MORA 1000</v>
      </c>
      <c r="K102" s="47">
        <v>62</v>
      </c>
      <c r="L102" s="205">
        <f>+IFERROR(IF(MACHACHI[[#This Row],[CODIGO]]="","",VLOOKUP(MACHACHI[[#This Row],[CODIGO]],MAESTRO!$A:$BF,58,FALSE)),"")</f>
        <v>1</v>
      </c>
      <c r="M102" s="27">
        <f>+IFERROR(IF(MACHACHI[[#This Row],[CODIGO]]="","",VLOOKUP(MACHACHI[[#This Row],[CODIGO]],MAESTRO!A:N,14,FALSE)),"")</f>
        <v>1</v>
      </c>
      <c r="N102" s="206">
        <f>+IFERROR(IF(MACHACHI[[#This Row],[CODIGO]]="","",VLOOKUP(MACHACHI[[#This Row],[CODIGO]],MAESTRO!A:P,16,FALSE)),"")</f>
        <v>45</v>
      </c>
      <c r="O102" s="306">
        <f>+IF(MACHACHI[[#This Row],[CODIGO]]="","",MACHACHI[[#This Row],[Fecha Elab.]])</f>
        <v>45596</v>
      </c>
      <c r="P102" s="99" t="str">
        <f t="shared" si="19"/>
        <v>jueves</v>
      </c>
      <c r="Q102" s="307">
        <f>IFERROR(IF(MACHACHI[[#This Row],[CODIGO]]="","",IF(MACHACHI[[#This Row],[Fecha Cad]]="","",(MACHACHI[[#This Row],[Fecha Cad]]-MACHACHI[[#This Row],[VIDA UTIL (Días)]]))+1),"")</f>
        <v>45596</v>
      </c>
      <c r="R102" s="18">
        <v>45640</v>
      </c>
      <c r="S102" s="180">
        <f t="shared" ca="1" si="20"/>
        <v>16</v>
      </c>
      <c r="T102" s="44">
        <f t="shared" ca="1" si="21"/>
        <v>0.35555555555555557</v>
      </c>
      <c r="U102" s="47">
        <v>62</v>
      </c>
      <c r="V102" s="184">
        <f>+IFERROR(IF(MACHACHI[[#This Row],[CODIGO]]="","",MACHACHI[[#This Row],[Stock Actual Unds]]*MACHACHI[[#This Row],[Gramaje]]*MACHACHI[[#This Row],[Conversión]]),"")</f>
        <v>62</v>
      </c>
      <c r="W102" s="303">
        <f>+IFERROR(IF(I101="","",MACHACHI[[#This Row],[Fecha Elab.]]-MACHACHI[[#This Row],[Fecha de Ingreso]]),"")</f>
        <v>0</v>
      </c>
      <c r="X102" s="44">
        <f t="shared" si="22"/>
        <v>1</v>
      </c>
      <c r="Y102" s="236">
        <f>+IFERROR(IF(MACHACHI[[#This Row],[CODIGO]]="","",VLOOKUP(MACHACHI[[#This Row],[CODIGO]],MAESTRO!A:BI,21,FALSE)),"")</f>
        <v>1.3255649999999999</v>
      </c>
      <c r="Z102" s="236">
        <f>+IFERROR(IF(MACHACHI[[#This Row],[CODIGO]]="","",Y102*MACHACHI[[#This Row],[Conversión]]),"")</f>
        <v>1.3255649999999999</v>
      </c>
      <c r="AA102" s="236">
        <f>+IFERROR(IF(MACHACHI[[#This Row],[CODIGO]]="","",MACHACHI[[#This Row],[COSTO UNIT Conv]]*MACHACHI[[#This Row],[Stock Actual Unds]]),"")</f>
        <v>82.185029999999998</v>
      </c>
      <c r="AB102" s="180">
        <f ca="1">+IFERROR(IF(MACHACHI[[#This Row],[CODIGO]]="","",$J$3-O102),"")</f>
        <v>28</v>
      </c>
      <c r="AC102" s="35" t="str">
        <f ca="1">IF(MACHACHI[[#This Row],[CODIGO]]="","",IF(S102&lt;=0,"CADUCADO",IF(AND(S102&gt;0,S102&lt;=21),"FECHA CORTA",IF(AND(S102&gt;=22,S102&lt;=26),"PROXIMOS FECHA CORTA", "VIGENTE"))))</f>
        <v>FECHA CORTA</v>
      </c>
      <c r="AD102" s="181">
        <f>+IFERROR(IF(MACHACHI[[#This Row],[CODIGO]]="","",MACHACHI[[#This Row],[Stock Actual Unds]]*MACHACHI[[#This Row],[Gramaje]]*MACHACHI[[#This Row],[Conversión]]),"")/1000</f>
        <v>6.2E-2</v>
      </c>
    </row>
    <row r="103" spans="1:30">
      <c r="A103" s="42" t="str">
        <f>+IFERROR(IF(MACHACHI[[#This Row],[CODIGO]]="","",VLOOKUP(MACHACHI[[#This Row],[CODIGO]],MAESTRO!$A:$J,10,FALSE)),"")</f>
        <v>MACHACHI</v>
      </c>
      <c r="B103" s="42" t="str">
        <f>+IFERROR(IF(MACHACHI[[#This Row],[CODIGO]]="","",VLOOKUP(MACHACHI[[#This Row],[CODIGO]],MAESTRO!$A:$Q,17,FALSE)),"")</f>
        <v>BEBIDAS LACTEAS</v>
      </c>
      <c r="C103" s="42" t="str">
        <f>+IFERROR(IF(MACHACHI[[#This Row],[CODIGO]]="","",VLOOKUP(MACHACHI[[#This Row],[CODIGO]],MAESTRO!$A:$BA,53,FALSE)),"")</f>
        <v xml:space="preserve">Luis Armendariz                         </v>
      </c>
      <c r="D103" s="42" t="str">
        <f>+IFERROR(IF(MACHACHI[[#This Row],[CODIGO]]="","",VLOOKUP(MACHACHI[[#This Row],[CODIGO]],MAESTRO!$A:$D,4,FALSE)),"")</f>
        <v>YOGURT KIOSKO</v>
      </c>
      <c r="E103" s="42" t="str">
        <f>+IFERROR(IF(MACHACHI[[#This Row],[CODIGO]]="","",VLOOKUP(MACHACHI[[#This Row],[CODIGO]],MAESTRO!$A:$F,6,FALSE)),"")</f>
        <v>BEBIDA DE YOGURT KIOSKO FUNDA PER</v>
      </c>
      <c r="F103" s="42" t="str">
        <f>IF(MACHACHI[[#This Row],[CODIGO]]="","",$K$6)</f>
        <v>MACHACHI</v>
      </c>
      <c r="G103" s="305">
        <f>IF(MACHACHI[[#This Row],[CODIGO]]="","",7701)</f>
        <v>7701</v>
      </c>
      <c r="H103" s="305">
        <f>IF(MACHACHI[[#This Row],[CODIGO]]="","",1080)</f>
        <v>1080</v>
      </c>
      <c r="I103" s="256" t="s">
        <v>3221</v>
      </c>
      <c r="J103" s="43" t="str">
        <f>IFERROR((VLOOKUP(MACHACHI[[#This Row],[CODIGO]],MAESTRO!A:B,2,FALSE)),"")</f>
        <v>YOG BBLE KIOSKO MORA FUN 150G</v>
      </c>
      <c r="K103" s="47">
        <v>416</v>
      </c>
      <c r="L103" s="205">
        <f>+IFERROR(IF(MACHACHI[[#This Row],[CODIGO]]="","",VLOOKUP(MACHACHI[[#This Row],[CODIGO]],MAESTRO!$A:$BF,58,FALSE)),"")</f>
        <v>1</v>
      </c>
      <c r="M103" s="27">
        <f>+IFERROR(IF(MACHACHI[[#This Row],[CODIGO]]="","",VLOOKUP(MACHACHI[[#This Row],[CODIGO]],MAESTRO!A:N,14,FALSE)),"")</f>
        <v>0.15</v>
      </c>
      <c r="N103" s="206">
        <f>+IFERROR(IF(MACHACHI[[#This Row],[CODIGO]]="","",VLOOKUP(MACHACHI[[#This Row],[CODIGO]],MAESTRO!A:P,16,FALSE)),"")</f>
        <v>45</v>
      </c>
      <c r="O103" s="306">
        <f>+IF(MACHACHI[[#This Row],[CODIGO]]="","",MACHACHI[[#This Row],[Fecha Elab.]])</f>
        <v>45596</v>
      </c>
      <c r="P103" s="99" t="str">
        <f t="shared" si="19"/>
        <v>jueves</v>
      </c>
      <c r="Q103" s="307">
        <f>IFERROR(IF(MACHACHI[[#This Row],[CODIGO]]="","",IF(MACHACHI[[#This Row],[Fecha Cad]]="","",(MACHACHI[[#This Row],[Fecha Cad]]-MACHACHI[[#This Row],[VIDA UTIL (Días)]]))+1),"")</f>
        <v>45596</v>
      </c>
      <c r="R103" s="18">
        <v>45640</v>
      </c>
      <c r="S103" s="180">
        <f t="shared" ca="1" si="20"/>
        <v>16</v>
      </c>
      <c r="T103" s="44">
        <f t="shared" ca="1" si="21"/>
        <v>0.35555555555555557</v>
      </c>
      <c r="U103" s="47">
        <v>416</v>
      </c>
      <c r="V103" s="184">
        <f>+IFERROR(IF(MACHACHI[[#This Row],[CODIGO]]="","",MACHACHI[[#This Row],[Stock Actual Unds]]*MACHACHI[[#This Row],[Gramaje]]*MACHACHI[[#This Row],[Conversión]]),"")</f>
        <v>62.4</v>
      </c>
      <c r="W103" s="303">
        <f>+IFERROR(IF(I102="","",MACHACHI[[#This Row],[Fecha Elab.]]-MACHACHI[[#This Row],[Fecha de Ingreso]]),"")</f>
        <v>0</v>
      </c>
      <c r="X103" s="44">
        <f t="shared" si="22"/>
        <v>1</v>
      </c>
      <c r="Y103" s="236">
        <f>+IFERROR(IF(MACHACHI[[#This Row],[CODIGO]]="","",VLOOKUP(MACHACHI[[#This Row],[CODIGO]],MAESTRO!A:BI,21,FALSE)),"")</f>
        <v>0.11866</v>
      </c>
      <c r="Z103" s="236">
        <f>+IFERROR(IF(MACHACHI[[#This Row],[CODIGO]]="","",Y103*MACHACHI[[#This Row],[Conversión]]),"")</f>
        <v>0.11866</v>
      </c>
      <c r="AA103" s="236">
        <f>+IFERROR(IF(MACHACHI[[#This Row],[CODIGO]]="","",MACHACHI[[#This Row],[COSTO UNIT Conv]]*MACHACHI[[#This Row],[Stock Actual Unds]]),"")</f>
        <v>49.362560000000002</v>
      </c>
      <c r="AB103" s="180">
        <f ca="1">+IFERROR(IF(MACHACHI[[#This Row],[CODIGO]]="","",$J$3-O103),"")</f>
        <v>28</v>
      </c>
      <c r="AC103" s="35" t="str">
        <f ca="1">IF(MACHACHI[[#This Row],[CODIGO]]="","",IF(S103&lt;=0,"CADUCADO",IF(AND(S103&gt;0,S103&lt;=21),"FECHA CORTA",IF(AND(S103&gt;=22,S103&lt;=26),"PROXIMOS FECHA CORTA", "VIGENTE"))))</f>
        <v>FECHA CORTA</v>
      </c>
      <c r="AD103" s="181">
        <f>+IFERROR(IF(MACHACHI[[#This Row],[CODIGO]]="","",MACHACHI[[#This Row],[Stock Actual Unds]]*MACHACHI[[#This Row],[Gramaje]]*MACHACHI[[#This Row],[Conversión]]),"")/1000</f>
        <v>6.2399999999999997E-2</v>
      </c>
    </row>
    <row r="104" spans="1:30">
      <c r="A104" s="42" t="str">
        <f>+IFERROR(IF(MACHACHI[[#This Row],[CODIGO]]="","",VLOOKUP(MACHACHI[[#This Row],[CODIGO]],MAESTRO!$A:$J,10,FALSE)),"")</f>
        <v>SAN GABRIEL</v>
      </c>
      <c r="B104" s="42" t="str">
        <f>+IFERROR(IF(MACHACHI[[#This Row],[CODIGO]]="","",VLOOKUP(MACHACHI[[#This Row],[CODIGO]],MAESTRO!$A:$Q,17,FALSE)),"")</f>
        <v>QUESOS Y GRASAS</v>
      </c>
      <c r="C104" s="42" t="str">
        <f>+IFERROR(IF(MACHACHI[[#This Row],[CODIGO]]="","",VLOOKUP(MACHACHI[[#This Row],[CODIGO]],MAESTRO!$A:$BA,53,FALSE)),"")</f>
        <v xml:space="preserve">Esteban Montenegro                      </v>
      </c>
      <c r="D104" s="42" t="str">
        <f>+IFERROR(IF(MACHACHI[[#This Row],[CODIGO]]="","",VLOOKUP(MACHACHI[[#This Row],[CODIGO]],MAESTRO!$A:$D,4,FALSE)),"")</f>
        <v>QUESO FRESCO KIOSKO</v>
      </c>
      <c r="E104" s="42" t="str">
        <f>+IFERROR(IF(MACHACHI[[#This Row],[CODIGO]]="","",VLOOKUP(MACHACHI[[#This Row],[CODIGO]],MAESTRO!$A:$F,6,FALSE)),"")</f>
        <v>QUESO AMASADO KIOSKO BLOQUE</v>
      </c>
      <c r="F104" s="42" t="str">
        <f>IF(MACHACHI[[#This Row],[CODIGO]]="","",$K$6)</f>
        <v>MACHACHI</v>
      </c>
      <c r="G104" s="305">
        <f>IF(MACHACHI[[#This Row],[CODIGO]]="","",7701)</f>
        <v>7701</v>
      </c>
      <c r="H104" s="305">
        <f>IF(MACHACHI[[#This Row],[CODIGO]]="","",1080)</f>
        <v>1080</v>
      </c>
      <c r="I104" s="256" t="s">
        <v>2557</v>
      </c>
      <c r="J104" s="43" t="str">
        <f>IFERROR((VLOOKUP(MACHACHI[[#This Row],[CODIGO]],MAESTRO!A:B,2,FALSE)),"")</f>
        <v>Q AMASADO KIOSKO BLOQ 450G</v>
      </c>
      <c r="K104" s="47">
        <v>39</v>
      </c>
      <c r="L104" s="205">
        <f>+IFERROR(IF(MACHACHI[[#This Row],[CODIGO]]="","",VLOOKUP(MACHACHI[[#This Row],[CODIGO]],MAESTRO!$A:$BF,58,FALSE)),"")</f>
        <v>1</v>
      </c>
      <c r="M104" s="27">
        <f>+IFERROR(IF(MACHACHI[[#This Row],[CODIGO]]="","",VLOOKUP(MACHACHI[[#This Row],[CODIGO]],MAESTRO!A:N,14,FALSE)),"")</f>
        <v>0.45</v>
      </c>
      <c r="N104" s="206">
        <f>+IFERROR(IF(MACHACHI[[#This Row],[CODIGO]]="","",VLOOKUP(MACHACHI[[#This Row],[CODIGO]],MAESTRO!A:P,16,FALSE)),"")</f>
        <v>35</v>
      </c>
      <c r="O104" s="306">
        <f>+IF(MACHACHI[[#This Row],[CODIGO]]="","",MACHACHI[[#This Row],[Fecha Elab.]])</f>
        <v>45608</v>
      </c>
      <c r="P104" s="99" t="str">
        <f t="shared" si="19"/>
        <v>martes</v>
      </c>
      <c r="Q104" s="307">
        <f>IFERROR(IF(MACHACHI[[#This Row],[CODIGO]]="","",IF(MACHACHI[[#This Row],[Fecha Cad]]="","",(MACHACHI[[#This Row],[Fecha Cad]]-MACHACHI[[#This Row],[VIDA UTIL (Días)]]))+1),"")</f>
        <v>45608</v>
      </c>
      <c r="R104" s="18">
        <v>45642</v>
      </c>
      <c r="S104" s="180">
        <f t="shared" ca="1" si="20"/>
        <v>18</v>
      </c>
      <c r="T104" s="44">
        <f t="shared" ca="1" si="21"/>
        <v>0.51428571428571423</v>
      </c>
      <c r="U104" s="47">
        <v>39</v>
      </c>
      <c r="V104" s="184">
        <f>+IFERROR(IF(MACHACHI[[#This Row],[CODIGO]]="","",MACHACHI[[#This Row],[Stock Actual Unds]]*MACHACHI[[#This Row],[Gramaje]]*MACHACHI[[#This Row],[Conversión]]),"")</f>
        <v>17.55</v>
      </c>
      <c r="W104" s="303">
        <f>+IFERROR(IF(I103="","",MACHACHI[[#This Row],[Fecha Elab.]]-MACHACHI[[#This Row],[Fecha de Ingreso]]),"")</f>
        <v>0</v>
      </c>
      <c r="X104" s="44">
        <f t="shared" si="22"/>
        <v>1</v>
      </c>
      <c r="Y104" s="236">
        <f>+IFERROR(IF(MACHACHI[[#This Row],[CODIGO]]="","",VLOOKUP(MACHACHI[[#This Row],[CODIGO]],MAESTRO!A:BI,21,FALSE)),"")</f>
        <v>1.2293700000000001</v>
      </c>
      <c r="Z104" s="236">
        <f>+IFERROR(IF(MACHACHI[[#This Row],[CODIGO]]="","",Y104*MACHACHI[[#This Row],[Conversión]]),"")</f>
        <v>1.2293700000000001</v>
      </c>
      <c r="AA104" s="236">
        <f>+IFERROR(IF(MACHACHI[[#This Row],[CODIGO]]="","",MACHACHI[[#This Row],[COSTO UNIT Conv]]*MACHACHI[[#This Row],[Stock Actual Unds]]),"")</f>
        <v>47.945430000000002</v>
      </c>
      <c r="AB104" s="180">
        <f ca="1">+IFERROR(IF(MACHACHI[[#This Row],[CODIGO]]="","",$J$3-O104),"")</f>
        <v>16</v>
      </c>
      <c r="AC104" s="35" t="str">
        <f ca="1">IF(MACHACHI[[#This Row],[CODIGO]]="","",IF(S104&lt;=0,"CADUCADO",IF(AND(S104&gt;0,S104&lt;=21),"FECHA CORTA",IF(AND(S104&gt;=22,S104&lt;=26),"PROXIMOS FECHA CORTA", "VIGENTE"))))</f>
        <v>FECHA CORTA</v>
      </c>
      <c r="AD104" s="181">
        <f>+IFERROR(IF(MACHACHI[[#This Row],[CODIGO]]="","",MACHACHI[[#This Row],[Stock Actual Unds]]*MACHACHI[[#This Row],[Gramaje]]*MACHACHI[[#This Row],[Conversión]]),"")/1000</f>
        <v>1.755E-2</v>
      </c>
    </row>
    <row r="105" spans="1:30">
      <c r="A105" s="42" t="str">
        <f>+IFERROR(IF(MACHACHI[[#This Row],[CODIGO]]="","",VLOOKUP(MACHACHI[[#This Row],[CODIGO]],MAESTRO!$A:$J,10,FALSE)),"")</f>
        <v>SAN GABRIEL</v>
      </c>
      <c r="B105" s="42" t="str">
        <f>+IFERROR(IF(MACHACHI[[#This Row],[CODIGO]]="","",VLOOKUP(MACHACHI[[#This Row],[CODIGO]],MAESTRO!$A:$Q,17,FALSE)),"")</f>
        <v>QUESOS Y GRASAS</v>
      </c>
      <c r="C105" s="42" t="str">
        <f>+IFERROR(IF(MACHACHI[[#This Row],[CODIGO]]="","",VLOOKUP(MACHACHI[[#This Row],[CODIGO]],MAESTRO!$A:$BA,53,FALSE)),"")</f>
        <v xml:space="preserve">Esteban Montenegro                      </v>
      </c>
      <c r="D105" s="42" t="str">
        <f>+IFERROR(IF(MACHACHI[[#This Row],[CODIGO]]="","",VLOOKUP(MACHACHI[[#This Row],[CODIGO]],MAESTRO!$A:$D,4,FALSE)),"")</f>
        <v>QUESO MOZARELLA KIOSKO</v>
      </c>
      <c r="E105" s="42" t="str">
        <f>+IFERROR(IF(MACHACHI[[#This Row],[CODIGO]]="","",VLOOKUP(MACHACHI[[#This Row],[CODIGO]],MAESTRO!$A:$F,6,FALSE)),"")</f>
        <v>QUESO MOZARELLA PIZZA KIOSKO TAJADO</v>
      </c>
      <c r="F105" s="42" t="str">
        <f>IF(MACHACHI[[#This Row],[CODIGO]]="","",$K$6)</f>
        <v>MACHACHI</v>
      </c>
      <c r="G105" s="305">
        <f>IF(MACHACHI[[#This Row],[CODIGO]]="","",7701)</f>
        <v>7701</v>
      </c>
      <c r="H105" s="305">
        <f>IF(MACHACHI[[#This Row],[CODIGO]]="","",1080)</f>
        <v>1080</v>
      </c>
      <c r="I105" s="256" t="s">
        <v>3892</v>
      </c>
      <c r="J105" s="43" t="str">
        <f>IFERROR((VLOOKUP(MACHACHI[[#This Row],[CODIGO]],MAESTRO!A:B,2,FALSE)),"")</f>
        <v>Q MOZAR PIZZ KIOSKO 20 LONJ 300G</v>
      </c>
      <c r="K105" s="47">
        <v>23</v>
      </c>
      <c r="L105" s="205">
        <f>+IFERROR(IF(MACHACHI[[#This Row],[CODIGO]]="","",VLOOKUP(MACHACHI[[#This Row],[CODIGO]],MAESTRO!$A:$BF,58,FALSE)),"")</f>
        <v>1</v>
      </c>
      <c r="M105" s="27">
        <f>+IFERROR(IF(MACHACHI[[#This Row],[CODIGO]]="","",VLOOKUP(MACHACHI[[#This Row],[CODIGO]],MAESTRO!A:N,14,FALSE)),"")</f>
        <v>0.3</v>
      </c>
      <c r="N105" s="206">
        <f>+IFERROR(IF(MACHACHI[[#This Row],[CODIGO]]="","",VLOOKUP(MACHACHI[[#This Row],[CODIGO]],MAESTRO!A:P,16,FALSE)),"")</f>
        <v>30</v>
      </c>
      <c r="O105" s="306">
        <f>+IF(MACHACHI[[#This Row],[CODIGO]]="","",MACHACHI[[#This Row],[Fecha Elab.]])</f>
        <v>45610</v>
      </c>
      <c r="P105" s="99" t="str">
        <f t="shared" si="19"/>
        <v>jueves</v>
      </c>
      <c r="Q105" s="307">
        <f>IFERROR(IF(MACHACHI[[#This Row],[CODIGO]]="","",IF(MACHACHI[[#This Row],[Fecha Cad]]="","",(MACHACHI[[#This Row],[Fecha Cad]]-MACHACHI[[#This Row],[VIDA UTIL (Días)]]))+1),"")</f>
        <v>45610</v>
      </c>
      <c r="R105" s="18">
        <v>45639</v>
      </c>
      <c r="S105" s="180">
        <f t="shared" ca="1" si="20"/>
        <v>15</v>
      </c>
      <c r="T105" s="44">
        <f t="shared" ca="1" si="21"/>
        <v>0.5</v>
      </c>
      <c r="U105" s="47">
        <v>23</v>
      </c>
      <c r="V105" s="184">
        <f>+IFERROR(IF(MACHACHI[[#This Row],[CODIGO]]="","",MACHACHI[[#This Row],[Stock Actual Unds]]*MACHACHI[[#This Row],[Gramaje]]*MACHACHI[[#This Row],[Conversión]]),"")</f>
        <v>6.8999999999999995</v>
      </c>
      <c r="W105" s="303">
        <f>+IFERROR(IF(I104="","",MACHACHI[[#This Row],[Fecha Elab.]]-MACHACHI[[#This Row],[Fecha de Ingreso]]),"")</f>
        <v>0</v>
      </c>
      <c r="X105" s="44">
        <f t="shared" si="22"/>
        <v>1</v>
      </c>
      <c r="Y105" s="236">
        <f>+IFERROR(IF(MACHACHI[[#This Row],[CODIGO]]="","",VLOOKUP(MACHACHI[[#This Row],[CODIGO]],MAESTRO!A:BI,21,FALSE)),"")</f>
        <v>2.2262750000000002</v>
      </c>
      <c r="Z105" s="236">
        <f>+IFERROR(IF(MACHACHI[[#This Row],[CODIGO]]="","",Y105*MACHACHI[[#This Row],[Conversión]]),"")</f>
        <v>2.2262750000000002</v>
      </c>
      <c r="AA105" s="236">
        <f>+IFERROR(IF(MACHACHI[[#This Row],[CODIGO]]="","",MACHACHI[[#This Row],[COSTO UNIT Conv]]*MACHACHI[[#This Row],[Stock Actual Unds]]),"")</f>
        <v>51.204325000000004</v>
      </c>
      <c r="AB105" s="180">
        <f ca="1">+IFERROR(IF(MACHACHI[[#This Row],[CODIGO]]="","",$J$3-O105),"")</f>
        <v>14</v>
      </c>
      <c r="AC105" s="35" t="str">
        <f ca="1">IF(MACHACHI[[#This Row],[CODIGO]]="","",IF(S105&lt;=0,"CADUCADO",IF(AND(S105&gt;0,S105&lt;=21),"FECHA CORTA",IF(AND(S105&gt;=22,S105&lt;=26),"PROXIMOS FECHA CORTA", "VIGENTE"))))</f>
        <v>FECHA CORTA</v>
      </c>
      <c r="AD105" s="181">
        <f>+IFERROR(IF(MACHACHI[[#This Row],[CODIGO]]="","",MACHACHI[[#This Row],[Stock Actual Unds]]*MACHACHI[[#This Row],[Gramaje]]*MACHACHI[[#This Row],[Conversión]]),"")/1000</f>
        <v>6.8999999999999999E-3</v>
      </c>
    </row>
    <row r="106" spans="1:30">
      <c r="A106" s="42" t="str">
        <f>+IFERROR(IF(MACHACHI[[#This Row],[CODIGO]]="","",VLOOKUP(MACHACHI[[#This Row],[CODIGO]],MAESTRO!$A:$J,10,FALSE)),"")</f>
        <v>SAN GABRIEL</v>
      </c>
      <c r="B106" s="42" t="str">
        <f>+IFERROR(IF(MACHACHI[[#This Row],[CODIGO]]="","",VLOOKUP(MACHACHI[[#This Row],[CODIGO]],MAESTRO!$A:$Q,17,FALSE)),"")</f>
        <v>QUESOS Y GRASAS</v>
      </c>
      <c r="C106" s="42" t="str">
        <f>+IFERROR(IF(MACHACHI[[#This Row],[CODIGO]]="","",VLOOKUP(MACHACHI[[#This Row],[CODIGO]],MAESTRO!$A:$BA,53,FALSE)),"")</f>
        <v xml:space="preserve">Esteban Montenegro                      </v>
      </c>
      <c r="D106" s="42" t="str">
        <f>+IFERROR(IF(MACHACHI[[#This Row],[CODIGO]]="","",VLOOKUP(MACHACHI[[#This Row],[CODIGO]],MAESTRO!$A:$D,4,FALSE)),"")</f>
        <v>QUESO MOZARELLA KIOSKO</v>
      </c>
      <c r="E106" s="42" t="str">
        <f>+IFERROR(IF(MACHACHI[[#This Row],[CODIGO]]="","",VLOOKUP(MACHACHI[[#This Row],[CODIGO]],MAESTRO!$A:$F,6,FALSE)),"")</f>
        <v>QUESO MOZARELLA PIZZA KIOSKO TAJADO</v>
      </c>
      <c r="F106" s="42" t="str">
        <f>IF(MACHACHI[[#This Row],[CODIGO]]="","",$K$6)</f>
        <v>MACHACHI</v>
      </c>
      <c r="G106" s="305">
        <f>IF(MACHACHI[[#This Row],[CODIGO]]="","",7701)</f>
        <v>7701</v>
      </c>
      <c r="H106" s="305">
        <f>IF(MACHACHI[[#This Row],[CODIGO]]="","",1080)</f>
        <v>1080</v>
      </c>
      <c r="I106" s="256" t="s">
        <v>3520</v>
      </c>
      <c r="J106" s="43" t="str">
        <f>IFERROR((VLOOKUP(MACHACHI[[#This Row],[CODIGO]],MAESTRO!A:B,2,FALSE)),"")</f>
        <v>Q MOZZARELLA HIERBAS LONJAS 150G</v>
      </c>
      <c r="K106" s="47">
        <v>11</v>
      </c>
      <c r="L106" s="205">
        <f>+IFERROR(IF(MACHACHI[[#This Row],[CODIGO]]="","",VLOOKUP(MACHACHI[[#This Row],[CODIGO]],MAESTRO!$A:$BF,58,FALSE)),"")</f>
        <v>1</v>
      </c>
      <c r="M106" s="27">
        <f>+IFERROR(IF(MACHACHI[[#This Row],[CODIGO]]="","",VLOOKUP(MACHACHI[[#This Row],[CODIGO]],MAESTRO!A:N,14,FALSE)),"")</f>
        <v>0.15</v>
      </c>
      <c r="N106" s="206">
        <f>+IFERROR(IF(MACHACHI[[#This Row],[CODIGO]]="","",VLOOKUP(MACHACHI[[#This Row],[CODIGO]],MAESTRO!A:P,16,FALSE)),"")</f>
        <v>40</v>
      </c>
      <c r="O106" s="306">
        <f>+IF(MACHACHI[[#This Row],[CODIGO]]="","",MACHACHI[[#This Row],[Fecha Elab.]])</f>
        <v>45602</v>
      </c>
      <c r="P106" s="99" t="str">
        <f t="shared" si="19"/>
        <v>miércoles</v>
      </c>
      <c r="Q106" s="307">
        <f>IFERROR(IF(MACHACHI[[#This Row],[CODIGO]]="","",IF(MACHACHI[[#This Row],[Fecha Cad]]="","",(MACHACHI[[#This Row],[Fecha Cad]]-MACHACHI[[#This Row],[VIDA UTIL (Días)]]))+1),"")</f>
        <v>45602</v>
      </c>
      <c r="R106" s="18">
        <v>45641</v>
      </c>
      <c r="S106" s="180">
        <f t="shared" ca="1" si="20"/>
        <v>17</v>
      </c>
      <c r="T106" s="44">
        <f t="shared" ca="1" si="21"/>
        <v>0.42499999999999999</v>
      </c>
      <c r="U106" s="47">
        <v>11</v>
      </c>
      <c r="V106" s="184">
        <f>+IFERROR(IF(MACHACHI[[#This Row],[CODIGO]]="","",MACHACHI[[#This Row],[Stock Actual Unds]]*MACHACHI[[#This Row],[Gramaje]]*MACHACHI[[#This Row],[Conversión]]),"")</f>
        <v>1.65</v>
      </c>
      <c r="W106" s="303">
        <f>+IFERROR(IF(I105="","",MACHACHI[[#This Row],[Fecha Elab.]]-MACHACHI[[#This Row],[Fecha de Ingreso]]),"")</f>
        <v>0</v>
      </c>
      <c r="X106" s="44">
        <f t="shared" si="22"/>
        <v>1</v>
      </c>
      <c r="Y106" s="236">
        <f>+IFERROR(IF(MACHACHI[[#This Row],[CODIGO]]="","",VLOOKUP(MACHACHI[[#This Row],[CODIGO]],MAESTRO!A:BI,21,FALSE)),"")</f>
        <v>1.279185</v>
      </c>
      <c r="Z106" s="236">
        <f>+IFERROR(IF(MACHACHI[[#This Row],[CODIGO]]="","",Y106*MACHACHI[[#This Row],[Conversión]]),"")</f>
        <v>1.279185</v>
      </c>
      <c r="AA106" s="236">
        <f>+IFERROR(IF(MACHACHI[[#This Row],[CODIGO]]="","",MACHACHI[[#This Row],[COSTO UNIT Conv]]*MACHACHI[[#This Row],[Stock Actual Unds]]),"")</f>
        <v>14.071035</v>
      </c>
      <c r="AB106" s="180">
        <f ca="1">+IFERROR(IF(MACHACHI[[#This Row],[CODIGO]]="","",$J$3-O106),"")</f>
        <v>22</v>
      </c>
      <c r="AC106" s="35" t="str">
        <f ca="1">IF(MACHACHI[[#This Row],[CODIGO]]="","",IF(S106&lt;=0,"CADUCADO",IF(AND(S106&gt;0,S106&lt;=21),"FECHA CORTA",IF(AND(S106&gt;=22,S106&lt;=26),"PROXIMOS FECHA CORTA", "VIGENTE"))))</f>
        <v>FECHA CORTA</v>
      </c>
      <c r="AD106" s="181">
        <f>+IFERROR(IF(MACHACHI[[#This Row],[CODIGO]]="","",MACHACHI[[#This Row],[Stock Actual Unds]]*MACHACHI[[#This Row],[Gramaje]]*MACHACHI[[#This Row],[Conversión]]),"")/1000</f>
        <v>1.65E-3</v>
      </c>
    </row>
    <row r="107" spans="1:30">
      <c r="A107" s="42" t="str">
        <f>+IFERROR(IF(MACHACHI[[#This Row],[CODIGO]]="","",VLOOKUP(MACHACHI[[#This Row],[CODIGO]],MAESTRO!$A:$J,10,FALSE)),"")</f>
        <v>SAN GABRIEL</v>
      </c>
      <c r="B107" s="42" t="str">
        <f>+IFERROR(IF(MACHACHI[[#This Row],[CODIGO]]="","",VLOOKUP(MACHACHI[[#This Row],[CODIGO]],MAESTRO!$A:$Q,17,FALSE)),"")</f>
        <v>QUESOS Y GRASAS</v>
      </c>
      <c r="C107" s="42" t="str">
        <f>+IFERROR(IF(MACHACHI[[#This Row],[CODIGO]]="","",VLOOKUP(MACHACHI[[#This Row],[CODIGO]],MAESTRO!$A:$BA,53,FALSE)),"")</f>
        <v xml:space="preserve">Esteban Montenegro                      </v>
      </c>
      <c r="D107" s="42" t="str">
        <f>+IFERROR(IF(MACHACHI[[#This Row],[CODIGO]]="","",VLOOKUP(MACHACHI[[#This Row],[CODIGO]],MAESTRO!$A:$D,4,FALSE)),"")</f>
        <v>QUESO FRESCO KIOSKO</v>
      </c>
      <c r="E107" s="42" t="str">
        <f>+IFERROR(IF(MACHACHI[[#This Row],[CODIGO]]="","",VLOOKUP(MACHACHI[[#This Row],[CODIGO]],MAESTRO!$A:$F,6,FALSE)),"")</f>
        <v>QUESO RICOTTA KIOSKO BLOQUE</v>
      </c>
      <c r="F107" s="42" t="str">
        <f>IF(MACHACHI[[#This Row],[CODIGO]]="","",$K$6)</f>
        <v>MACHACHI</v>
      </c>
      <c r="G107" s="305">
        <f>IF(MACHACHI[[#This Row],[CODIGO]]="","",7701)</f>
        <v>7701</v>
      </c>
      <c r="H107" s="305">
        <f>IF(MACHACHI[[#This Row],[CODIGO]]="","",1080)</f>
        <v>1080</v>
      </c>
      <c r="I107" s="256" t="s">
        <v>4293</v>
      </c>
      <c r="J107" s="43" t="str">
        <f>IFERROR((VLOOKUP(MACHACHI[[#This Row],[CODIGO]],MAESTRO!A:B,2,FALSE)),"")</f>
        <v>Q RICOTTA KIOSKO BLOQ 250G</v>
      </c>
      <c r="K107" s="47">
        <v>155</v>
      </c>
      <c r="L107" s="205">
        <f>+IFERROR(IF(MACHACHI[[#This Row],[CODIGO]]="","",VLOOKUP(MACHACHI[[#This Row],[CODIGO]],MAESTRO!$A:$BF,58,FALSE)),"")</f>
        <v>1</v>
      </c>
      <c r="M107" s="27">
        <f>+IFERROR(IF(MACHACHI[[#This Row],[CODIGO]]="","",VLOOKUP(MACHACHI[[#This Row],[CODIGO]],MAESTRO!A:N,14,FALSE)),"")</f>
        <v>0.25</v>
      </c>
      <c r="N107" s="206">
        <f>+IFERROR(IF(MACHACHI[[#This Row],[CODIGO]]="","",VLOOKUP(MACHACHI[[#This Row],[CODIGO]],MAESTRO!A:P,16,FALSE)),"")</f>
        <v>35</v>
      </c>
      <c r="O107" s="306">
        <f>+IF(MACHACHI[[#This Row],[CODIGO]]="","",MACHACHI[[#This Row],[Fecha Elab.]])</f>
        <v>45611</v>
      </c>
      <c r="P107" s="99" t="str">
        <f t="shared" si="19"/>
        <v>viernes</v>
      </c>
      <c r="Q107" s="307">
        <f>IFERROR(IF(MACHACHI[[#This Row],[CODIGO]]="","",IF(MACHACHI[[#This Row],[Fecha Cad]]="","",(MACHACHI[[#This Row],[Fecha Cad]]-MACHACHI[[#This Row],[VIDA UTIL (Días)]]))+1),"")</f>
        <v>45611</v>
      </c>
      <c r="R107" s="18">
        <v>45645</v>
      </c>
      <c r="S107" s="180">
        <f t="shared" ca="1" si="20"/>
        <v>21</v>
      </c>
      <c r="T107" s="44">
        <f t="shared" ca="1" si="21"/>
        <v>0.6</v>
      </c>
      <c r="U107" s="47">
        <v>155</v>
      </c>
      <c r="V107" s="184">
        <f>+IFERROR(IF(MACHACHI[[#This Row],[CODIGO]]="","",MACHACHI[[#This Row],[Stock Actual Unds]]*MACHACHI[[#This Row],[Gramaje]]*MACHACHI[[#This Row],[Conversión]]),"")</f>
        <v>38.75</v>
      </c>
      <c r="W107" s="303">
        <f>+IFERROR(IF(I106="","",MACHACHI[[#This Row],[Fecha Elab.]]-MACHACHI[[#This Row],[Fecha de Ingreso]]),"")</f>
        <v>0</v>
      </c>
      <c r="X107" s="44">
        <f t="shared" si="22"/>
        <v>1</v>
      </c>
      <c r="Y107" s="236">
        <f>+IFERROR(IF(MACHACHI[[#This Row],[CODIGO]]="","",VLOOKUP(MACHACHI[[#This Row],[CODIGO]],MAESTRO!A:BI,21,FALSE)),"")</f>
        <v>0.69428000000000001</v>
      </c>
      <c r="Z107" s="236">
        <f>+IFERROR(IF(MACHACHI[[#This Row],[CODIGO]]="","",Y107*MACHACHI[[#This Row],[Conversión]]),"")</f>
        <v>0.69428000000000001</v>
      </c>
      <c r="AA107" s="236">
        <f>+IFERROR(IF(MACHACHI[[#This Row],[CODIGO]]="","",MACHACHI[[#This Row],[COSTO UNIT Conv]]*MACHACHI[[#This Row],[Stock Actual Unds]]),"")</f>
        <v>107.6134</v>
      </c>
      <c r="AB107" s="180">
        <f ca="1">+IFERROR(IF(MACHACHI[[#This Row],[CODIGO]]="","",$J$3-O107),"")</f>
        <v>13</v>
      </c>
      <c r="AC107" s="35" t="str">
        <f ca="1">IF(MACHACHI[[#This Row],[CODIGO]]="","",IF(S107&lt;=0,"CADUCADO",IF(AND(S107&gt;0,S107&lt;=21),"FECHA CORTA",IF(AND(S107&gt;=22,S107&lt;=26),"PROXIMOS FECHA CORTA", "VIGENTE"))))</f>
        <v>FECHA CORTA</v>
      </c>
      <c r="AD107" s="181">
        <f>+IFERROR(IF(MACHACHI[[#This Row],[CODIGO]]="","",MACHACHI[[#This Row],[Stock Actual Unds]]*MACHACHI[[#This Row],[Gramaje]]*MACHACHI[[#This Row],[Conversión]]),"")/1000</f>
        <v>3.875E-2</v>
      </c>
    </row>
    <row r="108" spans="1:30">
      <c r="A108" s="42" t="str">
        <f>+IFERROR(IF(MACHACHI[[#This Row],[CODIGO]]="","",VLOOKUP(MACHACHI[[#This Row],[CODIGO]],MAESTRO!$A:$J,10,FALSE)),"")</f>
        <v>MACHACHI</v>
      </c>
      <c r="B108" s="42" t="str">
        <f>+IFERROR(IF(MACHACHI[[#This Row],[CODIGO]]="","",VLOOKUP(MACHACHI[[#This Row],[CODIGO]],MAESTRO!$A:$Q,17,FALSE)),"")</f>
        <v>BEBIDAS LACTEAS</v>
      </c>
      <c r="C108" s="42" t="str">
        <f>+IFERROR(IF(MACHACHI[[#This Row],[CODIGO]]="","",VLOOKUP(MACHACHI[[#This Row],[CODIGO]],MAESTRO!$A:$BA,53,FALSE)),"")</f>
        <v xml:space="preserve">Luis Armendariz                         </v>
      </c>
      <c r="D108" s="42" t="str">
        <f>+IFERROR(IF(MACHACHI[[#This Row],[CODIGO]]="","",VLOOKUP(MACHACHI[[#This Row],[CODIGO]],MAESTRO!$A:$D,4,FALSE)),"")</f>
        <v>YOGURT FINESSE</v>
      </c>
      <c r="E108" s="42" t="str">
        <f>+IFERROR(IF(MACHACHI[[#This Row],[CODIGO]]="","",VLOOKUP(MACHACHI[[#This Row],[CODIGO]],MAESTRO!$A:$F,6,FALSE)),"")</f>
        <v>YOGURT FINESSE DESLACT BOTELLA FAMILIAR</v>
      </c>
      <c r="F108" s="42" t="str">
        <f>IF(MACHACHI[[#This Row],[CODIGO]]="","",$K$6)</f>
        <v>MACHACHI</v>
      </c>
      <c r="G108" s="49">
        <f>IF(MACHACHI[[#This Row],[CODIGO]]="","",7701)</f>
        <v>7701</v>
      </c>
      <c r="H108" s="49">
        <f>IF(MACHACHI[[#This Row],[CODIGO]]="","",1080)</f>
        <v>1080</v>
      </c>
      <c r="I108" s="256" t="s">
        <v>1715</v>
      </c>
      <c r="J108" s="43" t="str">
        <f>IFERROR((VLOOKUP(MACHACHI[[#This Row],[CODIGO]],MAESTRO!A:B,2,FALSE)),"")</f>
        <v>YOG FNSSE DURAZNO BOT 1670G</v>
      </c>
      <c r="K108" s="47">
        <v>13</v>
      </c>
      <c r="L108" s="205">
        <f>+IFERROR(IF(MACHACHI[[#This Row],[CODIGO]]="","",VLOOKUP(MACHACHI[[#This Row],[CODIGO]],MAESTRO!$A:$BF,58,FALSE)),"")</f>
        <v>1</v>
      </c>
      <c r="M108" s="27">
        <f>+IFERROR(IF(MACHACHI[[#This Row],[CODIGO]]="","",VLOOKUP(MACHACHI[[#This Row],[CODIGO]],MAESTRO!A:N,14,FALSE)),"")</f>
        <v>1.67</v>
      </c>
      <c r="N108" s="206">
        <f>+IFERROR(IF(MACHACHI[[#This Row],[CODIGO]]="","",VLOOKUP(MACHACHI[[#This Row],[CODIGO]],MAESTRO!A:P,16,FALSE)),"")</f>
        <v>45</v>
      </c>
      <c r="O108" s="306">
        <f>+IF(MACHACHI[[#This Row],[CODIGO]]="","",MACHACHI[[#This Row],[Fecha Elab.]])</f>
        <v>45590</v>
      </c>
      <c r="P108" s="99" t="str">
        <f>+IF(R108="","",TEXT(O108,"dddd"))</f>
        <v>viernes</v>
      </c>
      <c r="Q108" s="307">
        <f>IFERROR(IF(MACHACHI[[#This Row],[CODIGO]]="","",IF(MACHACHI[[#This Row],[Fecha Cad]]="","",(MACHACHI[[#This Row],[Fecha Cad]]-MACHACHI[[#This Row],[VIDA UTIL (Días)]]))+1),"")</f>
        <v>45590</v>
      </c>
      <c r="R108" s="18">
        <v>45634</v>
      </c>
      <c r="S108" s="180">
        <f ca="1">+IFERROR(IF(R108="","",R108-$J$3),0)</f>
        <v>10</v>
      </c>
      <c r="T108" s="44">
        <f ca="1">IFERROR(IF(8="","",S108/N108),0)</f>
        <v>0.22222222222222221</v>
      </c>
      <c r="U108" s="47">
        <v>13</v>
      </c>
      <c r="V108" s="184">
        <f>+IFERROR(IF(MACHACHI[[#This Row],[CODIGO]]="","",MACHACHI[[#This Row],[Stock Actual Unds]]*MACHACHI[[#This Row],[Gramaje]]*MACHACHI[[#This Row],[Conversión]]),"")</f>
        <v>21.71</v>
      </c>
      <c r="W108" s="303">
        <f>+IFERROR(IF(I107="","",MACHACHI[[#This Row],[Fecha Elab.]]-MACHACHI[[#This Row],[Fecha de Ingreso]]),"")</f>
        <v>0</v>
      </c>
      <c r="X108" s="44">
        <f>IFERROR(IF(I108="","",1-(W108/N108)),"")</f>
        <v>1</v>
      </c>
      <c r="Y108" s="236">
        <f>+IFERROR(IF(MACHACHI[[#This Row],[CODIGO]]="","",VLOOKUP(MACHACHI[[#This Row],[CODIGO]],MAESTRO!A:BI,21,FALSE)),"")</f>
        <v>2.4125399999999999</v>
      </c>
      <c r="Z108" s="236">
        <f>+IFERROR(IF(MACHACHI[[#This Row],[CODIGO]]="","",Y108*MACHACHI[[#This Row],[Conversión]]),"")</f>
        <v>2.4125399999999999</v>
      </c>
      <c r="AA108" s="236">
        <f>+IFERROR(IF(MACHACHI[[#This Row],[CODIGO]]="","",MACHACHI[[#This Row],[COSTO UNIT Conv]]*MACHACHI[[#This Row],[Stock Actual Unds]]),"")</f>
        <v>31.363019999999999</v>
      </c>
      <c r="AB108" s="180">
        <f ca="1">+IFERROR(IF(MACHACHI[[#This Row],[CODIGO]]="","",$J$3-O108),"")</f>
        <v>34</v>
      </c>
      <c r="AC108" s="35" t="str">
        <f ca="1">IF(MACHACHI[[#This Row],[CODIGO]]="","",IF(S108&lt;=0,"CADUCADO",IF(AND(S108&gt;0,S108&lt;=21),"FECHA CORTA",IF(AND(S108&gt;=22,S108&lt;=26),"PROXIMOS FECHA CORTA", "VIGENTE"))))</f>
        <v>FECHA CORTA</v>
      </c>
      <c r="AD108" s="181">
        <f>+IFERROR(IF(MACHACHI[[#This Row],[CODIGO]]="","",MACHACHI[[#This Row],[Stock Actual Unds]]*MACHACHI[[#This Row],[Gramaje]]*MACHACHI[[#This Row],[Conversión]]),"")/1000</f>
        <v>2.171E-2</v>
      </c>
    </row>
    <row r="109" spans="1:30">
      <c r="A109" s="42" t="str">
        <f>+IFERROR(IF(MACHACHI[[#This Row],[CODIGO]]="","",VLOOKUP(MACHACHI[[#This Row],[CODIGO]],MAESTRO!$A:$J,10,FALSE)),"")</f>
        <v>SAN GABRIEL</v>
      </c>
      <c r="B109" s="42" t="str">
        <f>+IFERROR(IF(MACHACHI[[#This Row],[CODIGO]]="","",VLOOKUP(MACHACHI[[#This Row],[CODIGO]],MAESTRO!$A:$Q,17,FALSE)),"")</f>
        <v>QUESOS Y GRASAS</v>
      </c>
      <c r="C109" s="42" t="str">
        <f>+IFERROR(IF(MACHACHI[[#This Row],[CODIGO]]="","",VLOOKUP(MACHACHI[[#This Row],[CODIGO]],MAESTRO!$A:$BA,53,FALSE)),"")</f>
        <v xml:space="preserve">Esteban Montenegro                      </v>
      </c>
      <c r="D109" s="42" t="str">
        <f>+IFERROR(IF(MACHACHI[[#This Row],[CODIGO]]="","",VLOOKUP(MACHACHI[[#This Row],[CODIGO]],MAESTRO!$A:$D,4,FALSE)),"")</f>
        <v>QUESO MOZARELLA KIOSKO</v>
      </c>
      <c r="E109" s="42" t="str">
        <f>+IFERROR(IF(MACHACHI[[#This Row],[CODIGO]]="","",VLOOKUP(MACHACHI[[#This Row],[CODIGO]],MAESTRO!$A:$F,6,FALSE)),"")</f>
        <v>QUESO MOZARELLA PIZZA KIOSKO TAJADO</v>
      </c>
      <c r="F109" s="42" t="str">
        <f>IF(MACHACHI[[#This Row],[CODIGO]]="","",$K$6)</f>
        <v>MACHACHI</v>
      </c>
      <c r="G109" s="49">
        <f>IF(MACHACHI[[#This Row],[CODIGO]]="","",7701)</f>
        <v>7701</v>
      </c>
      <c r="H109" s="49">
        <f>IF(MACHACHI[[#This Row],[CODIGO]]="","",1080)</f>
        <v>1080</v>
      </c>
      <c r="I109" s="256" t="s">
        <v>4014</v>
      </c>
      <c r="J109" s="43" t="str">
        <f>IFERROR((VLOOKUP(MACHACHI[[#This Row],[CODIGO]],MAESTRO!A:B,2,FALSE)),"")</f>
        <v>KIOSKO MOZZARELL LONJAS LINEA DIARIA 75G</v>
      </c>
      <c r="K109" s="47">
        <v>22</v>
      </c>
      <c r="L109" s="205">
        <f>+IFERROR(IF(MACHACHI[[#This Row],[CODIGO]]="","",VLOOKUP(MACHACHI[[#This Row],[CODIGO]],MAESTRO!$A:$BF,58,FALSE)),"")</f>
        <v>1</v>
      </c>
      <c r="M109" s="27">
        <f>+IFERROR(IF(MACHACHI[[#This Row],[CODIGO]]="","",VLOOKUP(MACHACHI[[#This Row],[CODIGO]],MAESTRO!A:N,14,FALSE)),"")</f>
        <v>7.4999999999999997E-2</v>
      </c>
      <c r="N109" s="206">
        <f>+IFERROR(IF(MACHACHI[[#This Row],[CODIGO]]="","",VLOOKUP(MACHACHI[[#This Row],[CODIGO]],MAESTRO!A:P,16,FALSE)),"")</f>
        <v>30</v>
      </c>
      <c r="O109" s="306">
        <f>+IF(MACHACHI[[#This Row],[CODIGO]]="","",MACHACHI[[#This Row],[Fecha Elab.]])</f>
        <v>45608</v>
      </c>
      <c r="P109" s="99" t="str">
        <f t="shared" ref="P109:P110" si="23">+IF(R109="","",TEXT(O109,"dddd"))</f>
        <v>martes</v>
      </c>
      <c r="Q109" s="307">
        <f>IFERROR(IF(MACHACHI[[#This Row],[CODIGO]]="","",IF(MACHACHI[[#This Row],[Fecha Cad]]="","",(MACHACHI[[#This Row],[Fecha Cad]]-MACHACHI[[#This Row],[VIDA UTIL (Días)]]))+1),"")</f>
        <v>45608</v>
      </c>
      <c r="R109" s="18">
        <v>45637</v>
      </c>
      <c r="S109" s="180">
        <f t="shared" ref="S109:S110" ca="1" si="24">+IFERROR(IF(R109="","",R109-$J$3),0)</f>
        <v>13</v>
      </c>
      <c r="T109" s="44">
        <f t="shared" ref="T109:T110" ca="1" si="25">IFERROR(IF(8="","",S109/N109),0)</f>
        <v>0.43333333333333335</v>
      </c>
      <c r="U109" s="47">
        <v>22</v>
      </c>
      <c r="V109" s="184">
        <f>+IFERROR(IF(MACHACHI[[#This Row],[CODIGO]]="","",MACHACHI[[#This Row],[Stock Actual Unds]]*MACHACHI[[#This Row],[Gramaje]]*MACHACHI[[#This Row],[Conversión]]),"")</f>
        <v>1.65</v>
      </c>
      <c r="W109" s="303">
        <f>+IFERROR(IF(I108="","",MACHACHI[[#This Row],[Fecha Elab.]]-MACHACHI[[#This Row],[Fecha de Ingreso]]),"")</f>
        <v>0</v>
      </c>
      <c r="X109" s="44">
        <f t="shared" ref="X109:X110" si="26">IFERROR(IF(I109="","",1-(W109/N109)),"")</f>
        <v>1</v>
      </c>
      <c r="Y109" s="236">
        <f>+IFERROR(IF(MACHACHI[[#This Row],[CODIGO]]="","",VLOOKUP(MACHACHI[[#This Row],[CODIGO]],MAESTRO!A:BI,21,FALSE)),"")</f>
        <v>0.62214499999999995</v>
      </c>
      <c r="Z109" s="236">
        <f>+IFERROR(IF(MACHACHI[[#This Row],[CODIGO]]="","",Y109*MACHACHI[[#This Row],[Conversión]]),"")</f>
        <v>0.62214499999999995</v>
      </c>
      <c r="AA109" s="236">
        <f>+IFERROR(IF(MACHACHI[[#This Row],[CODIGO]]="","",MACHACHI[[#This Row],[COSTO UNIT Conv]]*MACHACHI[[#This Row],[Stock Actual Unds]]),"")</f>
        <v>13.687189999999999</v>
      </c>
      <c r="AB109" s="180">
        <f ca="1">+IFERROR(IF(MACHACHI[[#This Row],[CODIGO]]="","",$J$3-O109),"")</f>
        <v>16</v>
      </c>
      <c r="AC109" s="35" t="str">
        <f ca="1">IF(MACHACHI[[#This Row],[CODIGO]]="","",IF(S109&lt;=0,"CADUCADO",IF(AND(S109&gt;0,S109&lt;=21),"FECHA CORTA",IF(AND(S109&gt;=22,S109&lt;=26),"PROXIMOS FECHA CORTA", "VIGENTE"))))</f>
        <v>FECHA CORTA</v>
      </c>
      <c r="AD109" s="181">
        <f>+IFERROR(IF(MACHACHI[[#This Row],[CODIGO]]="","",MACHACHI[[#This Row],[Stock Actual Unds]]*MACHACHI[[#This Row],[Gramaje]]*MACHACHI[[#This Row],[Conversión]]),"")/1000</f>
        <v>1.65E-3</v>
      </c>
    </row>
    <row r="110" spans="1:30">
      <c r="A110" s="42" t="str">
        <f>+IFERROR(IF(MACHACHI[[#This Row],[CODIGO]]="","",VLOOKUP(MACHACHI[[#This Row],[CODIGO]],MAESTRO!$A:$J,10,FALSE)),"")</f>
        <v>SAN GABRIEL</v>
      </c>
      <c r="B110" s="42" t="str">
        <f>+IFERROR(IF(MACHACHI[[#This Row],[CODIGO]]="","",VLOOKUP(MACHACHI[[#This Row],[CODIGO]],MAESTRO!$A:$Q,17,FALSE)),"")</f>
        <v>QUESOS Y GRASAS</v>
      </c>
      <c r="C110" s="42" t="str">
        <f>+IFERROR(IF(MACHACHI[[#This Row],[CODIGO]]="","",VLOOKUP(MACHACHI[[#This Row],[CODIGO]],MAESTRO!$A:$BA,53,FALSE)),"")</f>
        <v xml:space="preserve">Esteban Montenegro                      </v>
      </c>
      <c r="D110" s="42" t="str">
        <f>+IFERROR(IF(MACHACHI[[#This Row],[CODIGO]]="","",VLOOKUP(MACHACHI[[#This Row],[CODIGO]],MAESTRO!$A:$D,4,FALSE)),"")</f>
        <v>QUESO SEMIMADURO KIOSKO</v>
      </c>
      <c r="E110" s="42" t="str">
        <f>+IFERROR(IF(MACHACHI[[#This Row],[CODIGO]]="","",VLOOKUP(MACHACHI[[#This Row],[CODIGO]],MAESTRO!$A:$F,6,FALSE)),"")</f>
        <v>QUESO PROVOLONE KIOSKO BLOQUE</v>
      </c>
      <c r="F110" s="42" t="str">
        <f>IF(MACHACHI[[#This Row],[CODIGO]]="","",$K$6)</f>
        <v>MACHACHI</v>
      </c>
      <c r="G110" s="305">
        <f>IF(MACHACHI[[#This Row],[CODIGO]]="","",7701)</f>
        <v>7701</v>
      </c>
      <c r="H110" s="305">
        <f>IF(MACHACHI[[#This Row],[CODIGO]]="","",1080)</f>
        <v>1080</v>
      </c>
      <c r="I110" s="256" t="s">
        <v>3514</v>
      </c>
      <c r="J110" s="43" t="str">
        <f>IFERROR((VLOOKUP(MACHACHI[[#This Row],[CODIGO]],MAESTRO!A:B,2,FALSE)),"")</f>
        <v>Q PROVO AHUM KIOSKO BLOQ 260G</v>
      </c>
      <c r="K110" s="47">
        <v>1</v>
      </c>
      <c r="L110" s="205">
        <f>+IFERROR(IF(MACHACHI[[#This Row],[CODIGO]]="","",VLOOKUP(MACHACHI[[#This Row],[CODIGO]],MAESTRO!$A:$BF,58,FALSE)),"")</f>
        <v>1</v>
      </c>
      <c r="M110" s="27">
        <f>+IFERROR(IF(MACHACHI[[#This Row],[CODIGO]]="","",VLOOKUP(MACHACHI[[#This Row],[CODIGO]],MAESTRO!A:N,14,FALSE)),"")</f>
        <v>0.26</v>
      </c>
      <c r="N110" s="206">
        <f>+IFERROR(IF(MACHACHI[[#This Row],[CODIGO]]="","",VLOOKUP(MACHACHI[[#This Row],[CODIGO]],MAESTRO!A:P,16,FALSE)),"")</f>
        <v>60</v>
      </c>
      <c r="O110" s="306">
        <f>+IF(MACHACHI[[#This Row],[CODIGO]]="","",MACHACHI[[#This Row],[Fecha Elab.]])</f>
        <v>45576</v>
      </c>
      <c r="P110" s="99" t="str">
        <f t="shared" si="23"/>
        <v>viernes</v>
      </c>
      <c r="Q110" s="307">
        <f>IFERROR(IF(MACHACHI[[#This Row],[CODIGO]]="","",IF(MACHACHI[[#This Row],[Fecha Cad]]="","",(MACHACHI[[#This Row],[Fecha Cad]]-MACHACHI[[#This Row],[VIDA UTIL (Días)]]))+1),"")</f>
        <v>45576</v>
      </c>
      <c r="R110" s="18">
        <v>45635</v>
      </c>
      <c r="S110" s="180">
        <f t="shared" ca="1" si="24"/>
        <v>11</v>
      </c>
      <c r="T110" s="44">
        <f t="shared" ca="1" si="25"/>
        <v>0.18333333333333332</v>
      </c>
      <c r="U110" s="47">
        <v>1</v>
      </c>
      <c r="V110" s="184">
        <f>+IFERROR(IF(MACHACHI[[#This Row],[CODIGO]]="","",MACHACHI[[#This Row],[Stock Actual Unds]]*MACHACHI[[#This Row],[Gramaje]]*MACHACHI[[#This Row],[Conversión]]),"")</f>
        <v>0.26</v>
      </c>
      <c r="W110" s="303">
        <f>+IFERROR(IF(I109="","",MACHACHI[[#This Row],[Fecha Elab.]]-MACHACHI[[#This Row],[Fecha de Ingreso]]),"")</f>
        <v>0</v>
      </c>
      <c r="X110" s="44">
        <f t="shared" si="26"/>
        <v>1</v>
      </c>
      <c r="Y110" s="236">
        <f>+IFERROR(IF(MACHACHI[[#This Row],[CODIGO]]="","",VLOOKUP(MACHACHI[[#This Row],[CODIGO]],MAESTRO!A:BI,21,FALSE)),"")</f>
        <v>2.0346349999999997</v>
      </c>
      <c r="Z110" s="236">
        <f>+IFERROR(IF(MACHACHI[[#This Row],[CODIGO]]="","",Y110*MACHACHI[[#This Row],[Conversión]]),"")</f>
        <v>2.0346349999999997</v>
      </c>
      <c r="AA110" s="236">
        <f>+IFERROR(IF(MACHACHI[[#This Row],[CODIGO]]="","",MACHACHI[[#This Row],[COSTO UNIT Conv]]*MACHACHI[[#This Row],[Stock Actual Unds]]),"")</f>
        <v>2.0346349999999997</v>
      </c>
      <c r="AB110" s="180">
        <f ca="1">+IFERROR(IF(MACHACHI[[#This Row],[CODIGO]]="","",$J$3-O110),"")</f>
        <v>48</v>
      </c>
      <c r="AC110" s="35" t="str">
        <f ca="1">IF(MACHACHI[[#This Row],[CODIGO]]="","",IF(S110&lt;=0,"CADUCADO",IF(AND(S110&gt;0,S110&lt;=21),"FECHA CORTA",IF(AND(S110&gt;=22,S110&lt;=26),"PROXIMOS FECHA CORTA", "VIGENTE"))))</f>
        <v>FECHA CORTA</v>
      </c>
      <c r="AD110" s="181">
        <f>+IFERROR(IF(MACHACHI[[#This Row],[CODIGO]]="","",MACHACHI[[#This Row],[Stock Actual Unds]]*MACHACHI[[#This Row],[Gramaje]]*MACHACHI[[#This Row],[Conversión]]),"")/1000</f>
        <v>2.6000000000000003E-4</v>
      </c>
    </row>
    <row r="115" spans="19:19">
      <c r="S115" s="8"/>
    </row>
  </sheetData>
  <sheetProtection selectLockedCells="1" selectUnlockedCells="1"/>
  <mergeCells count="1">
    <mergeCell ref="I1:J1"/>
  </mergeCells>
  <phoneticPr fontId="17" type="noConversion"/>
  <conditionalFormatting sqref="S8:S110">
    <cfRule type="cellIs" dxfId="28" priority="7" stopIfTrue="1" operator="greaterThanOrEqual">
      <formula>27</formula>
    </cfRule>
    <cfRule type="cellIs" dxfId="27" priority="8" stopIfTrue="1" operator="lessThanOrEqual">
      <formula>0</formula>
    </cfRule>
    <cfRule type="cellIs" dxfId="26" priority="9" stopIfTrue="1" operator="lessThanOrEqual">
      <formula>20</formula>
    </cfRule>
    <cfRule type="cellIs" dxfId="25" priority="10" stopIfTrue="1" operator="between">
      <formula>26</formula>
      <formula>21</formula>
    </cfRule>
  </conditionalFormatting>
  <conditionalFormatting sqref="W8:X1048576">
    <cfRule type="cellIs" dxfId="24" priority="6" operator="lessThan">
      <formula>0</formula>
    </cfRule>
  </conditionalFormatting>
  <conditionalFormatting sqref="AC8:AC1048576">
    <cfRule type="cellIs" dxfId="23" priority="2" operator="equal">
      <formula>"CADUCADO"</formula>
    </cfRule>
    <cfRule type="cellIs" dxfId="22" priority="3" operator="equal">
      <formula>"VIGENTE"</formula>
    </cfRule>
    <cfRule type="cellIs" dxfId="21" priority="4" operator="equal">
      <formula>"FECHA CORTA"</formula>
    </cfRule>
    <cfRule type="cellIs" dxfId="20" priority="5" operator="equal">
      <formula>"PROXIMOS FECHA CORTA"</formula>
    </cfRule>
  </conditionalFormatting>
  <conditionalFormatting sqref="I8:I9">
    <cfRule type="duplicateValues" dxfId="19" priority="44"/>
  </conditionalFormatting>
  <pageMargins left="0.15748031496062992" right="0.15748031496062992" top="0.55118110236220474" bottom="0.98425196850393704" header="0" footer="0"/>
  <pageSetup paperSize="9" scale="67" fitToHeight="0" orientation="landscape" r:id="rId1"/>
  <headerFooter alignWithMargins="0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F4D83-E235-4C34-A17C-50E99DF6CC3F}">
  <sheetPr codeName="Hoja5">
    <tabColor theme="9" tint="-0.499984740745262"/>
    <pageSetUpPr fitToPage="1"/>
  </sheetPr>
  <dimension ref="A1:AD38"/>
  <sheetViews>
    <sheetView showGridLines="0" showZeros="0" topLeftCell="A2" zoomScale="78" zoomScaleNormal="78" zoomScaleSheetLayoutView="80" workbookViewId="0">
      <pane xSplit="10" ySplit="6" topLeftCell="K8" activePane="bottomRight" state="frozen"/>
      <selection pane="topRight" activeCell="K21" sqref="K21"/>
      <selection pane="bottomLeft" activeCell="K21" sqref="K21"/>
      <selection pane="bottomRight" activeCell="U4" sqref="U4"/>
    </sheetView>
  </sheetViews>
  <sheetFormatPr baseColWidth="10" defaultColWidth="11.453125" defaultRowHeight="14.5" outlineLevelCol="1"/>
  <cols>
    <col min="1" max="1" width="20.54296875" style="1" hidden="1" customWidth="1" outlineLevel="1"/>
    <col min="2" max="2" width="19.453125" style="1" hidden="1" customWidth="1" outlineLevel="1"/>
    <col min="3" max="3" width="24.54296875" style="1" hidden="1" customWidth="1" outlineLevel="1"/>
    <col min="4" max="4" width="24.453125" style="1" hidden="1" customWidth="1" outlineLevel="1"/>
    <col min="5" max="5" width="43.54296875" style="1" hidden="1" customWidth="1" outlineLevel="1"/>
    <col min="6" max="8" width="12.453125" style="1" hidden="1" customWidth="1" outlineLevel="1"/>
    <col min="9" max="9" width="13.54296875" style="176" bestFit="1" customWidth="1" collapsed="1"/>
    <col min="10" max="10" width="44" style="2" customWidth="1"/>
    <col min="11" max="11" width="13.54296875" style="4" hidden="1" customWidth="1" outlineLevel="1"/>
    <col min="12" max="12" width="14.453125" style="3" hidden="1" customWidth="1" outlineLevel="1"/>
    <col min="13" max="13" width="13.54296875" style="13" hidden="1" customWidth="1" outlineLevel="1"/>
    <col min="14" max="14" width="13" style="4" hidden="1" customWidth="1" outlineLevel="1"/>
    <col min="15" max="15" width="13.453125" style="7" hidden="1" customWidth="1" collapsed="1"/>
    <col min="16" max="16" width="15.453125" style="7" hidden="1" customWidth="1"/>
    <col min="17" max="17" width="19.453125" style="8" hidden="1" customWidth="1"/>
    <col min="18" max="18" width="12" style="8" customWidth="1"/>
    <col min="19" max="19" width="14.54296875" style="4" customWidth="1" outlineLevel="1"/>
    <col min="20" max="20" width="13.453125" style="4" customWidth="1" outlineLevel="1"/>
    <col min="21" max="21" width="15.54296875" style="92" bestFit="1" customWidth="1"/>
    <col min="22" max="22" width="14.453125" style="4" customWidth="1"/>
    <col min="23" max="23" width="13.54296875" style="4" customWidth="1"/>
    <col min="24" max="24" width="15.453125" style="96" bestFit="1" customWidth="1" outlineLevel="1"/>
    <col min="25" max="25" width="15.54296875" style="227" bestFit="1" customWidth="1" outlineLevel="1"/>
    <col min="26" max="26" width="12.54296875" style="228" bestFit="1" customWidth="1" outlineLevel="1"/>
    <col min="27" max="27" width="11.54296875" style="229" customWidth="1"/>
    <col min="28" max="28" width="19.54296875" style="4" customWidth="1"/>
    <col min="29" max="29" width="34.54296875" style="47" customWidth="1"/>
    <col min="30" max="30" width="15.453125" customWidth="1"/>
  </cols>
  <sheetData>
    <row r="1" spans="1:30" ht="24" hidden="1" customHeight="1">
      <c r="I1" s="310" t="s">
        <v>4926</v>
      </c>
      <c r="J1" s="310"/>
      <c r="M1" s="3"/>
      <c r="O1" s="5" t="s">
        <v>4927</v>
      </c>
      <c r="P1" s="6" t="s">
        <v>4928</v>
      </c>
      <c r="T1" s="8"/>
      <c r="V1" s="3"/>
      <c r="AB1" s="47"/>
    </row>
    <row r="2" spans="1:30" ht="26.15" customHeight="1">
      <c r="A2" s="1">
        <v>1</v>
      </c>
      <c r="B2" s="1">
        <v>2</v>
      </c>
      <c r="C2" s="1">
        <v>3</v>
      </c>
      <c r="D2" s="1">
        <v>4</v>
      </c>
      <c r="E2" s="1">
        <v>5</v>
      </c>
      <c r="F2" s="1">
        <v>1</v>
      </c>
      <c r="I2" s="175">
        <v>2</v>
      </c>
      <c r="J2" s="1">
        <v>3</v>
      </c>
      <c r="K2" s="63">
        <v>4</v>
      </c>
      <c r="L2" s="63">
        <v>5</v>
      </c>
      <c r="M2" s="1">
        <v>6</v>
      </c>
      <c r="N2" s="63">
        <v>7</v>
      </c>
      <c r="O2" s="63">
        <v>8</v>
      </c>
      <c r="P2" s="63">
        <v>9</v>
      </c>
      <c r="Q2" s="63">
        <v>10</v>
      </c>
      <c r="R2" s="63">
        <v>11</v>
      </c>
      <c r="S2" s="63">
        <v>12</v>
      </c>
      <c r="T2" s="63">
        <v>13</v>
      </c>
      <c r="U2" s="196">
        <v>14</v>
      </c>
      <c r="V2" s="63">
        <v>16</v>
      </c>
      <c r="W2" s="63">
        <v>17</v>
      </c>
      <c r="X2" s="102">
        <v>18</v>
      </c>
      <c r="Y2" s="230">
        <v>19</v>
      </c>
      <c r="Z2" s="231">
        <v>20</v>
      </c>
      <c r="AA2" s="230">
        <v>21</v>
      </c>
      <c r="AB2" s="63">
        <v>22</v>
      </c>
      <c r="AC2" s="63">
        <v>28</v>
      </c>
    </row>
    <row r="3" spans="1:30" ht="32.15" customHeight="1">
      <c r="I3" s="199" t="s">
        <v>4929</v>
      </c>
      <c r="J3" s="200">
        <f ca="1">+TODAY()</f>
        <v>45624</v>
      </c>
      <c r="N3" s="64"/>
      <c r="O3" s="87" t="s">
        <v>4930</v>
      </c>
      <c r="P3" s="154" t="s">
        <v>4931</v>
      </c>
      <c r="T3" s="12"/>
      <c r="V3" s="16"/>
      <c r="W3" s="64"/>
      <c r="AB3" s="47"/>
    </row>
    <row r="4" spans="1:30" ht="18.649999999999999" customHeight="1">
      <c r="J4" s="14"/>
      <c r="L4" s="10"/>
      <c r="M4" s="10"/>
      <c r="N4" s="64"/>
      <c r="O4" s="87" t="s">
        <v>4932</v>
      </c>
      <c r="P4" s="155" t="s">
        <v>4933</v>
      </c>
      <c r="R4" s="70"/>
      <c r="S4" s="18"/>
      <c r="V4" s="3"/>
      <c r="AB4" s="47"/>
    </row>
    <row r="5" spans="1:30" ht="18.649999999999999" customHeight="1">
      <c r="J5" s="14"/>
      <c r="L5" s="55"/>
      <c r="M5" s="40"/>
      <c r="N5" s="64"/>
      <c r="O5" s="71" t="s">
        <v>4969</v>
      </c>
      <c r="P5" s="48"/>
      <c r="Q5" s="71"/>
      <c r="R5" s="48"/>
      <c r="S5" s="64"/>
      <c r="T5" s="19"/>
    </row>
    <row r="6" spans="1:30" ht="17.899999999999999" customHeight="1">
      <c r="A6" s="20"/>
      <c r="B6" s="20"/>
      <c r="C6" s="20"/>
      <c r="D6" s="20"/>
      <c r="E6" s="20"/>
      <c r="F6" s="20"/>
      <c r="G6" s="20"/>
      <c r="H6" s="20"/>
      <c r="I6" s="177"/>
      <c r="J6" s="21"/>
      <c r="K6" s="22" t="s">
        <v>163</v>
      </c>
      <c r="L6" s="23"/>
      <c r="M6" s="23"/>
      <c r="N6" s="64"/>
      <c r="T6" s="19"/>
      <c r="X6" s="100"/>
      <c r="Y6" s="232">
        <f>+SUBTOTAL(9,SNGABRIEL[COSTO UNIT base])</f>
        <v>37.375565000000002</v>
      </c>
      <c r="Z6" s="232">
        <f>+SUBTOTAL(9,SNGABRIEL[COSTO UNIT Conv])</f>
        <v>37.375565000000002</v>
      </c>
      <c r="AA6" s="233">
        <f>+SUBTOTAL(9,SNGABRIEL[COSTO TOTAL])</f>
        <v>499.36975987499994</v>
      </c>
    </row>
    <row r="7" spans="1:30" s="39" customFormat="1" ht="47.15" customHeight="1">
      <c r="A7" s="65" t="s">
        <v>4937</v>
      </c>
      <c r="B7" s="65" t="s">
        <v>4938</v>
      </c>
      <c r="C7" s="65" t="s">
        <v>4939</v>
      </c>
      <c r="D7" s="65" t="s">
        <v>4940</v>
      </c>
      <c r="E7" s="65" t="s">
        <v>4941</v>
      </c>
      <c r="F7" s="66" t="s">
        <v>4942</v>
      </c>
      <c r="G7" s="66" t="s">
        <v>4943</v>
      </c>
      <c r="H7" s="66" t="s">
        <v>4944</v>
      </c>
      <c r="I7" s="167" t="s">
        <v>4945</v>
      </c>
      <c r="J7" s="198" t="s">
        <v>4946</v>
      </c>
      <c r="K7" s="167" t="s">
        <v>4947</v>
      </c>
      <c r="L7" s="198" t="s">
        <v>4948</v>
      </c>
      <c r="M7" s="198" t="s">
        <v>26</v>
      </c>
      <c r="N7" s="198" t="s">
        <v>4949</v>
      </c>
      <c r="O7" s="198" t="s">
        <v>4950</v>
      </c>
      <c r="P7" s="198" t="s">
        <v>4951</v>
      </c>
      <c r="Q7" s="198" t="s">
        <v>4952</v>
      </c>
      <c r="R7" s="166" t="s">
        <v>4953</v>
      </c>
      <c r="S7" s="198" t="s">
        <v>4954</v>
      </c>
      <c r="T7" s="198" t="s">
        <v>4955</v>
      </c>
      <c r="U7" s="197" t="s">
        <v>4956</v>
      </c>
      <c r="V7" s="201" t="s">
        <v>4957</v>
      </c>
      <c r="W7" s="198" t="s">
        <v>4958</v>
      </c>
      <c r="X7" s="202" t="s">
        <v>4959</v>
      </c>
      <c r="Y7" s="234" t="s">
        <v>4960</v>
      </c>
      <c r="Z7" s="235" t="s">
        <v>4961</v>
      </c>
      <c r="AA7" s="234" t="s">
        <v>4962</v>
      </c>
      <c r="AB7" s="203" t="s">
        <v>4963</v>
      </c>
      <c r="AC7" s="203" t="s">
        <v>4964</v>
      </c>
      <c r="AD7" s="204" t="s">
        <v>4965</v>
      </c>
    </row>
    <row r="8" spans="1:30">
      <c r="A8" s="49"/>
      <c r="B8" s="49"/>
      <c r="C8" s="49"/>
      <c r="D8" s="49"/>
      <c r="E8" s="49"/>
      <c r="F8" s="49" t="str">
        <f>IF(GUAYAQUIL[[#This Row],[CODIGO]]="","",$K$6)</f>
        <v>SAN GABRIEL</v>
      </c>
      <c r="G8" s="49">
        <f>IF(SNGABRIEL[[#This Row],[CODIGO]]="","",7702)</f>
        <v>7702</v>
      </c>
      <c r="H8" s="49">
        <f>IF(SNGABRIEL[[#This Row],[CODIGO]]="","",1001)</f>
        <v>1001</v>
      </c>
      <c r="I8" s="271" t="s">
        <v>3055</v>
      </c>
      <c r="J8" s="50" t="str">
        <f>IFERROR((VLOOKUP(SNGABRIEL[[#This Row],[CODIGO]],MAESTRO!A:B,2,FALSE)),"")</f>
        <v>YOG BBLE KIOSKO DZNO BOT 950G</v>
      </c>
      <c r="K8" s="273"/>
      <c r="L8" s="246">
        <f>+IFERROR(IF(SNGABRIEL[[#This Row],[CODIGO]]="","",VLOOKUP(SNGABRIEL[[#This Row],[CODIGO]],MAESTRO!$A:$BI,58,FALSE)),"")</f>
        <v>1</v>
      </c>
      <c r="M8" s="187">
        <f>IFERROR(IF(SNGABRIEL[[#This Row],[CODIGO]]="","",VLOOKUP(SNGABRIEL[[#This Row],[CODIGO]],MAESTRO!A:N,14,FALSE)),"")</f>
        <v>0.95</v>
      </c>
      <c r="N8" s="247">
        <f>+IFERROR(IF(SNGABRIEL[[#This Row],[CODIGO]]="","",VLOOKUP(SNGABRIEL[[#This Row],[CODIGO]],MAESTRO!A:P,16,FALSE)),"")</f>
        <v>45</v>
      </c>
      <c r="O8" s="51">
        <f>+IFERROR(IF(SNGABRIEL[[#This Row],[CODIGO]]="","",SNGABRIEL[[#This Row],[Fecha Elab.]]),"")</f>
        <v>45583</v>
      </c>
      <c r="P8" s="73" t="str">
        <f t="shared" ref="P8:P38" si="0">+IF(R8="","",TEXT(O8,"dddd"))</f>
        <v>viernes</v>
      </c>
      <c r="Q8" s="272">
        <f>IFERROR(IF(SNGABRIEL[[#This Row],[CODIGO]]="","",IF(SNGABRIEL[[#This Row],[Fecha Cad]]="","",(SNGABRIEL[[#This Row],[Fecha Cad]]-SNGABRIEL[[#This Row],[VIDA UTIL (Días)]]))+1),"")</f>
        <v>45583</v>
      </c>
      <c r="R8" s="51">
        <v>45627</v>
      </c>
      <c r="S8" s="52">
        <f t="shared" ref="S8:S38" ca="1" si="1">+IFERROR(IF(R8="","",R8-$J$3),0)</f>
        <v>3</v>
      </c>
      <c r="T8" s="53">
        <f t="shared" ref="T8:T38" ca="1" si="2">IFERROR(IF(8="","",S8/N8),0)</f>
        <v>6.6666666666666666E-2</v>
      </c>
      <c r="U8" s="273">
        <v>4</v>
      </c>
      <c r="V8" s="274">
        <f>+IFERROR(IF(SNGABRIEL[[#This Row],[CODIGO]]="","",SNGABRIEL[[#This Row],[Stock Actual Unds]]*SNGABRIEL[[#This Row],[Gramaje]]*SNGABRIEL[[#This Row],[Conversión]]),"")</f>
        <v>3.8</v>
      </c>
      <c r="W8" s="274">
        <f>+IFERROR(IF(SNGABRIEL[[#This Row],[CODIGO]]="","",SNGABRIEL[[#This Row],[Fecha de Ingreso]]-SNGABRIEL[[#This Row],[Fecha Elab.]]),"")</f>
        <v>0</v>
      </c>
      <c r="X8" s="275">
        <f t="shared" ref="X8:X38" si="3">IF(I8="","",1-(W8/N8))</f>
        <v>1</v>
      </c>
      <c r="Y8" s="242">
        <f>IFERROR(VLOOKUP(SNGABRIEL[[#This Row],[CODIGO]],MAESTRO!A:BI,21,FALSE),0)</f>
        <v>1.055175</v>
      </c>
      <c r="Z8" s="242">
        <f>+IFERROR(IF(SNGABRIEL[[#This Row],[CODIGO]]="","",SNGABRIEL[[#This Row],[COSTO UNIT base]]*SNGABRIEL[[#This Row],[Conversión]]),"")</f>
        <v>1.055175</v>
      </c>
      <c r="AA8" s="276">
        <f>+IFERROR(IF(SNGABRIEL[[#This Row],[CODIGO]]="","",SNGABRIEL[[#This Row],[COSTO UNIT Conv]]*SNGABRIEL[[#This Row],[Stock Actual Kgs]]),"")</f>
        <v>4.009665</v>
      </c>
      <c r="AB8" s="52">
        <f ca="1">+IFERROR(IF(SNGABRIEL[[#This Row],[CODIGO]]="","",$J$3-O9),"")</f>
        <v>41</v>
      </c>
      <c r="AC8" s="277" t="str">
        <f ca="1">IF(SNGABRIEL[[#This Row],[CODIGO]]="","",IF(S8&lt;=0,"CADUCADO",IF(AND(S8&gt;0,S8&lt;=21),"FECHA CORTA",IF(AND(S8&gt;=22,S8&lt;=26),"PROXIMOS FECHA CORTA", "VIGENTE"))))</f>
        <v>FECHA CORTA</v>
      </c>
      <c r="AD8" s="54">
        <f>+IFERROR(IF(SNGABRIEL[[#This Row],[CODIGO]]="","",SNGABRIEL[[#This Row],[Stock Actual Unds]]*SNGABRIEL[[#This Row],[Gramaje]]*SNGABRIEL[[#This Row],[Conversión]]),"")/1000</f>
        <v>3.8E-3</v>
      </c>
    </row>
    <row r="9" spans="1:30">
      <c r="A9" s="49"/>
      <c r="B9" s="49"/>
      <c r="C9" s="49"/>
      <c r="D9" s="49"/>
      <c r="E9" s="49"/>
      <c r="F9" s="49" t="str">
        <f>IF(GUAYAQUIL[[#This Row],[CODIGO]]="","",$K$6)</f>
        <v>SAN GABRIEL</v>
      </c>
      <c r="G9" s="49">
        <f>IF(SNGABRIEL[[#This Row],[CODIGO]]="","",7702)</f>
        <v>7702</v>
      </c>
      <c r="H9" s="49">
        <f>IF(SNGABRIEL[[#This Row],[CODIGO]]="","",1001)</f>
        <v>1001</v>
      </c>
      <c r="I9" s="271" t="s">
        <v>1763</v>
      </c>
      <c r="J9" s="50" t="str">
        <f>IFERROR((VLOOKUP(SNGABRIEL[[#This Row],[CODIGO]],MAESTRO!A:B,2,FALSE)),"")</f>
        <v>RGN BBLE FTLLA BOT 1750G</v>
      </c>
      <c r="K9" s="273"/>
      <c r="L9" s="246">
        <f>+IFERROR(IF(SNGABRIEL[[#This Row],[CODIGO]]="","",VLOOKUP(SNGABRIEL[[#This Row],[CODIGO]],MAESTRO!$A:$BI,58,FALSE)),"")</f>
        <v>1</v>
      </c>
      <c r="M9" s="187">
        <f>IFERROR(IF(SNGABRIEL[[#This Row],[CODIGO]]="","",VLOOKUP(SNGABRIEL[[#This Row],[CODIGO]],MAESTRO!A:N,14,FALSE)),"")</f>
        <v>1.75</v>
      </c>
      <c r="N9" s="247">
        <f>+IFERROR(IF(SNGABRIEL[[#This Row],[CODIGO]]="","",VLOOKUP(SNGABRIEL[[#This Row],[CODIGO]],MAESTRO!A:P,16,FALSE)),"")</f>
        <v>45</v>
      </c>
      <c r="O9" s="51">
        <f>+IFERROR(IF(SNGABRIEL[[#This Row],[CODIGO]]="","",SNGABRIEL[[#This Row],[Fecha Elab.]]),"")</f>
        <v>45583</v>
      </c>
      <c r="P9" s="73" t="str">
        <f t="shared" si="0"/>
        <v>viernes</v>
      </c>
      <c r="Q9" s="272">
        <f>IFERROR(IF(SNGABRIEL[[#This Row],[CODIGO]]="","",IF(SNGABRIEL[[#This Row],[Fecha Cad]]="","",(SNGABRIEL[[#This Row],[Fecha Cad]]-SNGABRIEL[[#This Row],[VIDA UTIL (Días)]]))+1),"")</f>
        <v>45583</v>
      </c>
      <c r="R9" s="51">
        <v>45627</v>
      </c>
      <c r="S9" s="52">
        <f t="shared" ca="1" si="1"/>
        <v>3</v>
      </c>
      <c r="T9" s="53">
        <f t="shared" ca="1" si="2"/>
        <v>6.6666666666666666E-2</v>
      </c>
      <c r="U9" s="273">
        <v>8</v>
      </c>
      <c r="V9" s="274">
        <f>+IFERROR(IF(SNGABRIEL[[#This Row],[CODIGO]]="","",SNGABRIEL[[#This Row],[Stock Actual Unds]]*SNGABRIEL[[#This Row],[Gramaje]]*SNGABRIEL[[#This Row],[Conversión]]),"")</f>
        <v>14</v>
      </c>
      <c r="W9" s="274">
        <f>+IFERROR(IF(SNGABRIEL[[#This Row],[CODIGO]]="","",SNGABRIEL[[#This Row],[Fecha de Ingreso]]-SNGABRIEL[[#This Row],[Fecha Elab.]]),"")</f>
        <v>0</v>
      </c>
      <c r="X9" s="275">
        <f t="shared" si="3"/>
        <v>1</v>
      </c>
      <c r="Y9" s="242">
        <f>IFERROR(VLOOKUP(SNGABRIEL[[#This Row],[CODIGO]],MAESTRO!A:BI,21,FALSE),0)</f>
        <v>2.2867100000000002</v>
      </c>
      <c r="Z9" s="242">
        <f>+IFERROR(IF(SNGABRIEL[[#This Row],[CODIGO]]="","",SNGABRIEL[[#This Row],[COSTO UNIT base]]*SNGABRIEL[[#This Row],[Conversión]]),"")</f>
        <v>2.2867100000000002</v>
      </c>
      <c r="AA9" s="276">
        <f>+IFERROR(IF(SNGABRIEL[[#This Row],[CODIGO]]="","",SNGABRIEL[[#This Row],[COSTO UNIT Conv]]*SNGABRIEL[[#This Row],[Stock Actual Kgs]]),"")</f>
        <v>32.013940000000005</v>
      </c>
      <c r="AB9" s="52">
        <f ca="1">+IFERROR(IF(SNGABRIEL[[#This Row],[CODIGO]]="","",$J$3-O10),"")</f>
        <v>41</v>
      </c>
      <c r="AC9" s="277" t="str">
        <f ca="1">IF(SNGABRIEL[[#This Row],[CODIGO]]="","",IF(S9&lt;=0,"CADUCADO",IF(AND(S9&gt;0,S9&lt;=21),"FECHA CORTA",IF(AND(S9&gt;=22,S9&lt;=26),"PROXIMOS FECHA CORTA", "VIGENTE"))))</f>
        <v>FECHA CORTA</v>
      </c>
      <c r="AD9" s="54">
        <f>+IFERROR(IF(SNGABRIEL[[#This Row],[CODIGO]]="","",SNGABRIEL[[#This Row],[Stock Actual Unds]]*SNGABRIEL[[#This Row],[Gramaje]]*SNGABRIEL[[#This Row],[Conversión]]),"")/1000</f>
        <v>1.4E-2</v>
      </c>
    </row>
    <row r="10" spans="1:30">
      <c r="A10" s="49"/>
      <c r="B10" s="49"/>
      <c r="C10" s="49"/>
      <c r="D10" s="49"/>
      <c r="E10" s="49"/>
      <c r="F10" s="49" t="str">
        <f>IF(GUAYAQUIL[[#This Row],[CODIGO]]="","",$K$6)</f>
        <v>SAN GABRIEL</v>
      </c>
      <c r="G10" s="49">
        <f>IF(SNGABRIEL[[#This Row],[CODIGO]]="","",7702)</f>
        <v>7702</v>
      </c>
      <c r="H10" s="49">
        <f>IF(SNGABRIEL[[#This Row],[CODIGO]]="","",1001)</f>
        <v>1001</v>
      </c>
      <c r="I10" s="271" t="s">
        <v>2843</v>
      </c>
      <c r="J10" s="50" t="str">
        <f>IFERROR((VLOOKUP(SNGABRIEL[[#This Row],[CODIGO]],MAESTRO!A:B,2,FALSE)),"")</f>
        <v>YOG FNSSE DURAZNO BOT 950G</v>
      </c>
      <c r="K10" s="273"/>
      <c r="L10" s="246">
        <f>+IFERROR(IF(SNGABRIEL[[#This Row],[CODIGO]]="","",VLOOKUP(SNGABRIEL[[#This Row],[CODIGO]],MAESTRO!$A:$BI,58,FALSE)),"")</f>
        <v>1</v>
      </c>
      <c r="M10" s="187">
        <f>IFERROR(IF(SNGABRIEL[[#This Row],[CODIGO]]="","",VLOOKUP(SNGABRIEL[[#This Row],[CODIGO]],MAESTRO!A:N,14,FALSE)),"")</f>
        <v>0.95</v>
      </c>
      <c r="N10" s="247">
        <f>+IFERROR(IF(SNGABRIEL[[#This Row],[CODIGO]]="","",VLOOKUP(SNGABRIEL[[#This Row],[CODIGO]],MAESTRO!A:P,16,FALSE)),"")</f>
        <v>45</v>
      </c>
      <c r="O10" s="51">
        <f>+IFERROR(IF(SNGABRIEL[[#This Row],[CODIGO]]="","",SNGABRIEL[[#This Row],[Fecha Elab.]]),"")</f>
        <v>45583</v>
      </c>
      <c r="P10" s="73" t="str">
        <f t="shared" si="0"/>
        <v>viernes</v>
      </c>
      <c r="Q10" s="272">
        <f>IFERROR(IF(SNGABRIEL[[#This Row],[CODIGO]]="","",IF(SNGABRIEL[[#This Row],[Fecha Cad]]="","",(SNGABRIEL[[#This Row],[Fecha Cad]]-SNGABRIEL[[#This Row],[VIDA UTIL (Días)]]))+1),"")</f>
        <v>45583</v>
      </c>
      <c r="R10" s="51">
        <v>45627</v>
      </c>
      <c r="S10" s="52">
        <f t="shared" ca="1" si="1"/>
        <v>3</v>
      </c>
      <c r="T10" s="53">
        <f t="shared" ca="1" si="2"/>
        <v>6.6666666666666666E-2</v>
      </c>
      <c r="U10" s="273">
        <v>12</v>
      </c>
      <c r="V10" s="274">
        <f>+IFERROR(IF(SNGABRIEL[[#This Row],[CODIGO]]="","",SNGABRIEL[[#This Row],[Stock Actual Unds]]*SNGABRIEL[[#This Row],[Gramaje]]*SNGABRIEL[[#This Row],[Conversión]]),"")</f>
        <v>11.399999999999999</v>
      </c>
      <c r="W10" s="274">
        <f>+IFERROR(IF(SNGABRIEL[[#This Row],[CODIGO]]="","",SNGABRIEL[[#This Row],[Fecha de Ingreso]]-SNGABRIEL[[#This Row],[Fecha Elab.]]),"")</f>
        <v>0</v>
      </c>
      <c r="X10" s="275">
        <f t="shared" si="3"/>
        <v>1</v>
      </c>
      <c r="Y10" s="242">
        <f>IFERROR(VLOOKUP(SNGABRIEL[[#This Row],[CODIGO]],MAESTRO!A:BI,21,FALSE),0)</f>
        <v>1.4163950000000001</v>
      </c>
      <c r="Z10" s="242">
        <f>+IFERROR(IF(SNGABRIEL[[#This Row],[CODIGO]]="","",SNGABRIEL[[#This Row],[COSTO UNIT base]]*SNGABRIEL[[#This Row],[Conversión]]),"")</f>
        <v>1.4163950000000001</v>
      </c>
      <c r="AA10" s="276">
        <f>+IFERROR(IF(SNGABRIEL[[#This Row],[CODIGO]]="","",SNGABRIEL[[#This Row],[COSTO UNIT Conv]]*SNGABRIEL[[#This Row],[Stock Actual Kgs]]),"")</f>
        <v>16.146902999999998</v>
      </c>
      <c r="AB10" s="52">
        <f ca="1">+IFERROR(IF(SNGABRIEL[[#This Row],[CODIGO]]="","",$J$3-O11),"")</f>
        <v>41</v>
      </c>
      <c r="AC10" s="277" t="str">
        <f ca="1">IF(SNGABRIEL[[#This Row],[CODIGO]]="","",IF(S10&lt;=0,"CADUCADO",IF(AND(S10&gt;0,S10&lt;=21),"FECHA CORTA",IF(AND(S10&gt;=22,S10&lt;=26),"PROXIMOS FECHA CORTA", "VIGENTE"))))</f>
        <v>FECHA CORTA</v>
      </c>
      <c r="AD10" s="54">
        <f>+IFERROR(IF(SNGABRIEL[[#This Row],[CODIGO]]="","",SNGABRIEL[[#This Row],[Stock Actual Unds]]*SNGABRIEL[[#This Row],[Gramaje]]*SNGABRIEL[[#This Row],[Conversión]]),"")/1000</f>
        <v>1.1399999999999999E-2</v>
      </c>
    </row>
    <row r="11" spans="1:30">
      <c r="A11" s="49"/>
      <c r="B11" s="49"/>
      <c r="C11" s="49"/>
      <c r="D11" s="49"/>
      <c r="E11" s="49"/>
      <c r="F11" s="49" t="str">
        <f>IF(GUAYAQUIL[[#This Row],[CODIGO]]="","",$K$6)</f>
        <v>SAN GABRIEL</v>
      </c>
      <c r="G11" s="49">
        <f>IF(SNGABRIEL[[#This Row],[CODIGO]]="","",7702)</f>
        <v>7702</v>
      </c>
      <c r="H11" s="49">
        <f>IF(SNGABRIEL[[#This Row],[CODIGO]]="","",1001)</f>
        <v>1001</v>
      </c>
      <c r="I11" s="271" t="s">
        <v>4381</v>
      </c>
      <c r="J11" s="50" t="str">
        <f>IFERROR((VLOOKUP(SNGABRIEL[[#This Row],[CODIGO]],MAESTRO!A:B,2,FALSE)),"")</f>
        <v>RGN TZOS FTLLA BOT 1750G</v>
      </c>
      <c r="K11" s="273"/>
      <c r="L11" s="246">
        <f>+IFERROR(IF(SNGABRIEL[[#This Row],[CODIGO]]="","",VLOOKUP(SNGABRIEL[[#This Row],[CODIGO]],MAESTRO!$A:$BI,58,FALSE)),"")</f>
        <v>1</v>
      </c>
      <c r="M11" s="187">
        <f>IFERROR(IF(SNGABRIEL[[#This Row],[CODIGO]]="","",VLOOKUP(SNGABRIEL[[#This Row],[CODIGO]],MAESTRO!A:N,14,FALSE)),"")</f>
        <v>1.75</v>
      </c>
      <c r="N11" s="247">
        <f>+IFERROR(IF(SNGABRIEL[[#This Row],[CODIGO]]="","",VLOOKUP(SNGABRIEL[[#This Row],[CODIGO]],MAESTRO!A:P,16,FALSE)),"")</f>
        <v>45</v>
      </c>
      <c r="O11" s="51">
        <f>+IFERROR(IF(SNGABRIEL[[#This Row],[CODIGO]]="","",SNGABRIEL[[#This Row],[Fecha Elab.]]),"")</f>
        <v>45583</v>
      </c>
      <c r="P11" s="73" t="str">
        <f t="shared" si="0"/>
        <v>viernes</v>
      </c>
      <c r="Q11" s="272">
        <f>IFERROR(IF(SNGABRIEL[[#This Row],[CODIGO]]="","",IF(SNGABRIEL[[#This Row],[Fecha Cad]]="","",(SNGABRIEL[[#This Row],[Fecha Cad]]-SNGABRIEL[[#This Row],[VIDA UTIL (Días)]]))+1),"")</f>
        <v>45583</v>
      </c>
      <c r="R11" s="51">
        <v>45627</v>
      </c>
      <c r="S11" s="52">
        <f t="shared" ca="1" si="1"/>
        <v>3</v>
      </c>
      <c r="T11" s="53">
        <f t="shared" ca="1" si="2"/>
        <v>6.6666666666666666E-2</v>
      </c>
      <c r="U11" s="273">
        <v>4</v>
      </c>
      <c r="V11" s="274">
        <f>+IFERROR(IF(SNGABRIEL[[#This Row],[CODIGO]]="","",SNGABRIEL[[#This Row],[Stock Actual Unds]]*SNGABRIEL[[#This Row],[Gramaje]]*SNGABRIEL[[#This Row],[Conversión]]),"")</f>
        <v>7</v>
      </c>
      <c r="W11" s="274">
        <f>+IFERROR(IF(SNGABRIEL[[#This Row],[CODIGO]]="","",SNGABRIEL[[#This Row],[Fecha de Ingreso]]-SNGABRIEL[[#This Row],[Fecha Elab.]]),"")</f>
        <v>0</v>
      </c>
      <c r="X11" s="275">
        <f t="shared" si="3"/>
        <v>1</v>
      </c>
      <c r="Y11" s="242">
        <f>IFERROR(VLOOKUP(SNGABRIEL[[#This Row],[CODIGO]],MAESTRO!A:BI,21,FALSE),0)</f>
        <v>2.4097600000000003</v>
      </c>
      <c r="Z11" s="242">
        <f>+IFERROR(IF(SNGABRIEL[[#This Row],[CODIGO]]="","",SNGABRIEL[[#This Row],[COSTO UNIT base]]*SNGABRIEL[[#This Row],[Conversión]]),"")</f>
        <v>2.4097600000000003</v>
      </c>
      <c r="AA11" s="276">
        <f>+IFERROR(IF(SNGABRIEL[[#This Row],[CODIGO]]="","",SNGABRIEL[[#This Row],[COSTO UNIT Conv]]*SNGABRIEL[[#This Row],[Stock Actual Kgs]]),"")</f>
        <v>16.868320000000004</v>
      </c>
      <c r="AB11" s="52">
        <f ca="1">+IFERROR(IF(SNGABRIEL[[#This Row],[CODIGO]]="","",$J$3-O12),"")</f>
        <v>41</v>
      </c>
      <c r="AC11" s="277" t="str">
        <f ca="1">IF(SNGABRIEL[[#This Row],[CODIGO]]="","",IF(S11&lt;=0,"CADUCADO",IF(AND(S11&gt;0,S11&lt;=21),"FECHA CORTA",IF(AND(S11&gt;=22,S11&lt;=26),"PROXIMOS FECHA CORTA", "VIGENTE"))))</f>
        <v>FECHA CORTA</v>
      </c>
      <c r="AD11" s="54">
        <f>+IFERROR(IF(SNGABRIEL[[#This Row],[CODIGO]]="","",SNGABRIEL[[#This Row],[Stock Actual Unds]]*SNGABRIEL[[#This Row],[Gramaje]]*SNGABRIEL[[#This Row],[Conversión]]),"")/1000</f>
        <v>7.0000000000000001E-3</v>
      </c>
    </row>
    <row r="12" spans="1:30">
      <c r="A12" s="49"/>
      <c r="B12" s="49"/>
      <c r="C12" s="49"/>
      <c r="D12" s="49"/>
      <c r="E12" s="49"/>
      <c r="F12" s="49" t="str">
        <f>IF(GUAYAQUIL[[#This Row],[CODIGO]]="","",$K$6)</f>
        <v>SAN GABRIEL</v>
      </c>
      <c r="G12" s="49">
        <f>IF(SNGABRIEL[[#This Row],[CODIGO]]="","",7702)</f>
        <v>7702</v>
      </c>
      <c r="H12" s="49">
        <f>IF(SNGABRIEL[[#This Row],[CODIGO]]="","",1001)</f>
        <v>1001</v>
      </c>
      <c r="I12" s="271" t="s">
        <v>3209</v>
      </c>
      <c r="J12" s="50" t="str">
        <f>IFERROR((VLOOKUP(SNGABRIEL[[#This Row],[CODIGO]],MAESTRO!A:B,2,FALSE)),"")</f>
        <v>RGN BBLE DZNO BOT 1000G</v>
      </c>
      <c r="K12" s="273"/>
      <c r="L12" s="246">
        <f>+IFERROR(IF(SNGABRIEL[[#This Row],[CODIGO]]="","",VLOOKUP(SNGABRIEL[[#This Row],[CODIGO]],MAESTRO!$A:$BI,58,FALSE)),"")</f>
        <v>1</v>
      </c>
      <c r="M12" s="187">
        <f>IFERROR(IF(SNGABRIEL[[#This Row],[CODIGO]]="","",VLOOKUP(SNGABRIEL[[#This Row],[CODIGO]],MAESTRO!A:N,14,FALSE)),"")</f>
        <v>1</v>
      </c>
      <c r="N12" s="247">
        <f>+IFERROR(IF(SNGABRIEL[[#This Row],[CODIGO]]="","",VLOOKUP(SNGABRIEL[[#This Row],[CODIGO]],MAESTRO!A:P,16,FALSE)),"")</f>
        <v>45</v>
      </c>
      <c r="O12" s="51">
        <f>+IFERROR(IF(SNGABRIEL[[#This Row],[CODIGO]]="","",SNGABRIEL[[#This Row],[Fecha Elab.]]),"")</f>
        <v>45583</v>
      </c>
      <c r="P12" s="73" t="str">
        <f t="shared" si="0"/>
        <v>viernes</v>
      </c>
      <c r="Q12" s="272">
        <f>IFERROR(IF(SNGABRIEL[[#This Row],[CODIGO]]="","",IF(SNGABRIEL[[#This Row],[Fecha Cad]]="","",(SNGABRIEL[[#This Row],[Fecha Cad]]-SNGABRIEL[[#This Row],[VIDA UTIL (Días)]]))+1),"")</f>
        <v>45583</v>
      </c>
      <c r="R12" s="51">
        <v>45627</v>
      </c>
      <c r="S12" s="52">
        <f t="shared" ca="1" si="1"/>
        <v>3</v>
      </c>
      <c r="T12" s="53">
        <f t="shared" ca="1" si="2"/>
        <v>6.6666666666666666E-2</v>
      </c>
      <c r="U12" s="273">
        <v>10</v>
      </c>
      <c r="V12" s="274">
        <f>+IFERROR(IF(SNGABRIEL[[#This Row],[CODIGO]]="","",SNGABRIEL[[#This Row],[Stock Actual Unds]]*SNGABRIEL[[#This Row],[Gramaje]]*SNGABRIEL[[#This Row],[Conversión]]),"")</f>
        <v>10</v>
      </c>
      <c r="W12" s="274">
        <f>+IFERROR(IF(SNGABRIEL[[#This Row],[CODIGO]]="","",SNGABRIEL[[#This Row],[Fecha de Ingreso]]-SNGABRIEL[[#This Row],[Fecha Elab.]]),"")</f>
        <v>0</v>
      </c>
      <c r="X12" s="275">
        <f t="shared" si="3"/>
        <v>1</v>
      </c>
      <c r="Y12" s="242">
        <f>IFERROR(VLOOKUP(SNGABRIEL[[#This Row],[CODIGO]],MAESTRO!A:BI,21,FALSE),0)</f>
        <v>1.3744550000000002</v>
      </c>
      <c r="Z12" s="242">
        <f>+IFERROR(IF(SNGABRIEL[[#This Row],[CODIGO]]="","",SNGABRIEL[[#This Row],[COSTO UNIT base]]*SNGABRIEL[[#This Row],[Conversión]]),"")</f>
        <v>1.3744550000000002</v>
      </c>
      <c r="AA12" s="276">
        <f>+IFERROR(IF(SNGABRIEL[[#This Row],[CODIGO]]="","",SNGABRIEL[[#This Row],[COSTO UNIT Conv]]*SNGABRIEL[[#This Row],[Stock Actual Kgs]]),"")</f>
        <v>13.744550000000002</v>
      </c>
      <c r="AB12" s="52">
        <f ca="1">+IFERROR(IF(SNGABRIEL[[#This Row],[CODIGO]]="","",$J$3-O13),"")</f>
        <v>41</v>
      </c>
      <c r="AC12" s="277" t="str">
        <f ca="1">IF(SNGABRIEL[[#This Row],[CODIGO]]="","",IF(S12&lt;=0,"CADUCADO",IF(AND(S12&gt;0,S12&lt;=21),"FECHA CORTA",IF(AND(S12&gt;=22,S12&lt;=26),"PROXIMOS FECHA CORTA", "VIGENTE"))))</f>
        <v>FECHA CORTA</v>
      </c>
      <c r="AD12" s="54">
        <f>+IFERROR(IF(SNGABRIEL[[#This Row],[CODIGO]]="","",SNGABRIEL[[#This Row],[Stock Actual Unds]]*SNGABRIEL[[#This Row],[Gramaje]]*SNGABRIEL[[#This Row],[Conversión]]),"")/1000</f>
        <v>0.01</v>
      </c>
    </row>
    <row r="13" spans="1:30">
      <c r="A13" s="49"/>
      <c r="B13" s="49"/>
      <c r="C13" s="49"/>
      <c r="D13" s="49"/>
      <c r="E13" s="49"/>
      <c r="F13" s="49" t="str">
        <f>IF(GUAYAQUIL[[#This Row],[CODIGO]]="","",$K$6)</f>
        <v>SAN GABRIEL</v>
      </c>
      <c r="G13" s="49">
        <f>IF(SNGABRIEL[[#This Row],[CODIGO]]="","",7702)</f>
        <v>7702</v>
      </c>
      <c r="H13" s="49">
        <f>IF(SNGABRIEL[[#This Row],[CODIGO]]="","",1001)</f>
        <v>1001</v>
      </c>
      <c r="I13" s="271" t="s">
        <v>1191</v>
      </c>
      <c r="J13" s="50" t="str">
        <f>IFERROR((VLOOKUP(SNGABRIEL[[#This Row],[CODIGO]],MAESTRO!A:B,2,FALSE)),"")</f>
        <v>YOG FNSSE VAINILLA 180</v>
      </c>
      <c r="K13" s="273"/>
      <c r="L13" s="246">
        <f>+IFERROR(IF(SNGABRIEL[[#This Row],[CODIGO]]="","",VLOOKUP(SNGABRIEL[[#This Row],[CODIGO]],MAESTRO!$A:$BI,58,FALSE)),"")</f>
        <v>1</v>
      </c>
      <c r="M13" s="187">
        <f>IFERROR(IF(SNGABRIEL[[#This Row],[CODIGO]]="","",VLOOKUP(SNGABRIEL[[#This Row],[CODIGO]],MAESTRO!A:N,14,FALSE)),"")</f>
        <v>0.18</v>
      </c>
      <c r="N13" s="247">
        <f>+IFERROR(IF(SNGABRIEL[[#This Row],[CODIGO]]="","",VLOOKUP(SNGABRIEL[[#This Row],[CODIGO]],MAESTRO!A:P,16,FALSE)),"")</f>
        <v>45</v>
      </c>
      <c r="O13" s="308">
        <f>+IFERROR(IF(SNGABRIEL[[#This Row],[CODIGO]]="","",SNGABRIEL[[#This Row],[Fecha Elab.]]),"")</f>
        <v>45583</v>
      </c>
      <c r="P13" s="73" t="str">
        <f t="shared" si="0"/>
        <v>viernes</v>
      </c>
      <c r="Q13" s="309">
        <f>IFERROR(IF(SNGABRIEL[[#This Row],[CODIGO]]="","",IF(SNGABRIEL[[#This Row],[Fecha Cad]]="","",(SNGABRIEL[[#This Row],[Fecha Cad]]-SNGABRIEL[[#This Row],[VIDA UTIL (Días)]]))+1),"")</f>
        <v>45583</v>
      </c>
      <c r="R13" s="308">
        <v>45627</v>
      </c>
      <c r="S13" s="52">
        <f t="shared" ca="1" si="1"/>
        <v>3</v>
      </c>
      <c r="T13" s="53">
        <f t="shared" ca="1" si="2"/>
        <v>6.6666666666666666E-2</v>
      </c>
      <c r="U13" s="273">
        <v>50</v>
      </c>
      <c r="V13" s="274">
        <f>+IFERROR(IF(SNGABRIEL[[#This Row],[CODIGO]]="","",SNGABRIEL[[#This Row],[Stock Actual Unds]]*SNGABRIEL[[#This Row],[Gramaje]]*SNGABRIEL[[#This Row],[Conversión]]),"")</f>
        <v>9</v>
      </c>
      <c r="W13" s="274">
        <f>+IFERROR(IF(SNGABRIEL[[#This Row],[CODIGO]]="","",SNGABRIEL[[#This Row],[Fecha de Ingreso]]-SNGABRIEL[[#This Row],[Fecha Elab.]]),"")</f>
        <v>0</v>
      </c>
      <c r="X13" s="275">
        <f t="shared" si="3"/>
        <v>1</v>
      </c>
      <c r="Y13" s="242">
        <f>IFERROR(VLOOKUP(SNGABRIEL[[#This Row],[CODIGO]],MAESTRO!A:BI,21,FALSE),0)</f>
        <v>0.286325</v>
      </c>
      <c r="Z13" s="242">
        <f>+IFERROR(IF(SNGABRIEL[[#This Row],[CODIGO]]="","",SNGABRIEL[[#This Row],[COSTO UNIT base]]*SNGABRIEL[[#This Row],[Conversión]]),"")</f>
        <v>0.286325</v>
      </c>
      <c r="AA13" s="276">
        <f>+IFERROR(IF(SNGABRIEL[[#This Row],[CODIGO]]="","",SNGABRIEL[[#This Row],[COSTO UNIT Conv]]*SNGABRIEL[[#This Row],[Stock Actual Kgs]]),"")</f>
        <v>2.5769250000000001</v>
      </c>
      <c r="AB13" s="52">
        <f ca="1">+IFERROR(IF(SNGABRIEL[[#This Row],[CODIGO]]="","",$J$3-O14),"")</f>
        <v>37</v>
      </c>
      <c r="AC13" s="277" t="str">
        <f ca="1">IF(SNGABRIEL[[#This Row],[CODIGO]]="","",IF(S13&lt;=0,"CADUCADO",IF(AND(S13&gt;0,S13&lt;=21),"FECHA CORTA",IF(AND(S13&gt;=22,S13&lt;=26),"PROXIMOS FECHA CORTA", "VIGENTE"))))</f>
        <v>FECHA CORTA</v>
      </c>
      <c r="AD13" s="54">
        <f>+IFERROR(IF(SNGABRIEL[[#This Row],[CODIGO]]="","",SNGABRIEL[[#This Row],[Stock Actual Unds]]*SNGABRIEL[[#This Row],[Gramaje]]*SNGABRIEL[[#This Row],[Conversión]]),"")/1000</f>
        <v>8.9999999999999993E-3</v>
      </c>
    </row>
    <row r="14" spans="1:30">
      <c r="A14" s="49"/>
      <c r="B14" s="49"/>
      <c r="C14" s="49"/>
      <c r="D14" s="49"/>
      <c r="E14" s="49"/>
      <c r="F14" s="49" t="str">
        <f>IF(GUAYAQUIL[[#This Row],[CODIGO]]="","",$K$6)</f>
        <v>SAN GABRIEL</v>
      </c>
      <c r="G14" s="49">
        <f>IF(SNGABRIEL[[#This Row],[CODIGO]]="","",7702)</f>
        <v>7702</v>
      </c>
      <c r="H14" s="49">
        <f>IF(SNGABRIEL[[#This Row],[CODIGO]]="","",1001)</f>
        <v>1001</v>
      </c>
      <c r="I14" s="271" t="s">
        <v>1871</v>
      </c>
      <c r="J14" s="50" t="str">
        <f>IFERROR((VLOOKUP(SNGABRIEL[[#This Row],[CODIGO]],MAESTRO!A:B,2,FALSE)),"")</f>
        <v>RGN CER PITA BOT 1750G ECU</v>
      </c>
      <c r="K14" s="273"/>
      <c r="L14" s="246">
        <f>+IFERROR(IF(SNGABRIEL[[#This Row],[CODIGO]]="","",VLOOKUP(SNGABRIEL[[#This Row],[CODIGO]],MAESTRO!$A:$BI,58,FALSE)),"")</f>
        <v>1</v>
      </c>
      <c r="M14" s="187">
        <f>IFERROR(IF(SNGABRIEL[[#This Row],[CODIGO]]="","",VLOOKUP(SNGABRIEL[[#This Row],[CODIGO]],MAESTRO!A:N,14,FALSE)),"")</f>
        <v>1.75</v>
      </c>
      <c r="N14" s="247">
        <f>+IFERROR(IF(SNGABRIEL[[#This Row],[CODIGO]]="","",VLOOKUP(SNGABRIEL[[#This Row],[CODIGO]],MAESTRO!A:P,16,FALSE)),"")</f>
        <v>45</v>
      </c>
      <c r="O14" s="51">
        <f>+IFERROR(IF(SNGABRIEL[[#This Row],[CODIGO]]="","",SNGABRIEL[[#This Row],[Fecha Elab.]]),"")</f>
        <v>45587</v>
      </c>
      <c r="P14" s="73" t="str">
        <f t="shared" si="0"/>
        <v>martes</v>
      </c>
      <c r="Q14" s="272">
        <f>IFERROR(IF(SNGABRIEL[[#This Row],[CODIGO]]="","",IF(SNGABRIEL[[#This Row],[Fecha Cad]]="","",(SNGABRIEL[[#This Row],[Fecha Cad]]-SNGABRIEL[[#This Row],[VIDA UTIL (Días)]]))+1),"")</f>
        <v>45587</v>
      </c>
      <c r="R14" s="51">
        <v>45631</v>
      </c>
      <c r="S14" s="52">
        <f t="shared" ca="1" si="1"/>
        <v>7</v>
      </c>
      <c r="T14" s="53">
        <f t="shared" ca="1" si="2"/>
        <v>0.15555555555555556</v>
      </c>
      <c r="U14" s="273">
        <v>4</v>
      </c>
      <c r="V14" s="274">
        <f>+IFERROR(IF(SNGABRIEL[[#This Row],[CODIGO]]="","",SNGABRIEL[[#This Row],[Stock Actual Unds]]*SNGABRIEL[[#This Row],[Gramaje]]*SNGABRIEL[[#This Row],[Conversión]]),"")</f>
        <v>7</v>
      </c>
      <c r="W14" s="274">
        <f>+IFERROR(IF(SNGABRIEL[[#This Row],[CODIGO]]="","",SNGABRIEL[[#This Row],[Fecha de Ingreso]]-SNGABRIEL[[#This Row],[Fecha Elab.]]),"")</f>
        <v>0</v>
      </c>
      <c r="X14" s="275">
        <f t="shared" si="3"/>
        <v>1</v>
      </c>
      <c r="Y14" s="242">
        <f>IFERROR(VLOOKUP(SNGABRIEL[[#This Row],[CODIGO]],MAESTRO!A:BI,21,FALSE),0)</f>
        <v>2.48414</v>
      </c>
      <c r="Z14" s="242">
        <f>+IFERROR(IF(SNGABRIEL[[#This Row],[CODIGO]]="","",SNGABRIEL[[#This Row],[COSTO UNIT base]]*SNGABRIEL[[#This Row],[Conversión]]),"")</f>
        <v>2.48414</v>
      </c>
      <c r="AA14" s="276">
        <f>+IFERROR(IF(SNGABRIEL[[#This Row],[CODIGO]]="","",SNGABRIEL[[#This Row],[COSTO UNIT Conv]]*SNGABRIEL[[#This Row],[Stock Actual Kgs]]),"")</f>
        <v>17.38898</v>
      </c>
      <c r="AB14" s="52" t="str">
        <f ca="1">+IFERROR(IF(SNGABRIEL[[#This Row],[CODIGO]]="","",$J$3-#REF!),"")</f>
        <v/>
      </c>
      <c r="AC14" s="277" t="str">
        <f ca="1">IF(SNGABRIEL[[#This Row],[CODIGO]]="","",IF(S14&lt;=0,"CADUCADO",IF(AND(S14&gt;0,S14&lt;=21),"FECHA CORTA",IF(AND(S14&gt;=22,S14&lt;=26),"PROXIMOS FECHA CORTA", "VIGENTE"))))</f>
        <v>FECHA CORTA</v>
      </c>
      <c r="AD14" s="54">
        <f>+IFERROR(IF(SNGABRIEL[[#This Row],[CODIGO]]="","",SNGABRIEL[[#This Row],[Stock Actual Unds]]*SNGABRIEL[[#This Row],[Gramaje]]*SNGABRIEL[[#This Row],[Conversión]]),"")/1000</f>
        <v>7.0000000000000001E-3</v>
      </c>
    </row>
    <row r="15" spans="1:30">
      <c r="A15" s="49"/>
      <c r="B15" s="49"/>
      <c r="C15" s="49"/>
      <c r="D15" s="49"/>
      <c r="E15" s="49"/>
      <c r="F15" s="49" t="str">
        <f>IF(GUAYAQUIL[[#This Row],[CODIGO]]="","",$K$6)</f>
        <v>SAN GABRIEL</v>
      </c>
      <c r="G15" s="49">
        <f>IF(SNGABRIEL[[#This Row],[CODIGO]]="","",7702)</f>
        <v>7702</v>
      </c>
      <c r="H15" s="49">
        <f>IF(SNGABRIEL[[#This Row],[CODIGO]]="","",1001)</f>
        <v>1001</v>
      </c>
      <c r="I15" s="271" t="s">
        <v>4293</v>
      </c>
      <c r="J15" s="50" t="str">
        <f>IFERROR((VLOOKUP(SNGABRIEL[[#This Row],[CODIGO]],MAESTRO!A:B,2,FALSE)),"")</f>
        <v>Q RICOTTA KIOSKO BLOQ 250G</v>
      </c>
      <c r="K15" s="273"/>
      <c r="L15" s="246">
        <f>+IFERROR(IF(SNGABRIEL[[#This Row],[CODIGO]]="","",VLOOKUP(SNGABRIEL[[#This Row],[CODIGO]],MAESTRO!$A:$BI,58,FALSE)),"")</f>
        <v>1</v>
      </c>
      <c r="M15" s="187">
        <f>IFERROR(IF(SNGABRIEL[[#This Row],[CODIGO]]="","",VLOOKUP(SNGABRIEL[[#This Row],[CODIGO]],MAESTRO!A:N,14,FALSE)),"")</f>
        <v>0.25</v>
      </c>
      <c r="N15" s="247">
        <f>+IFERROR(IF(SNGABRIEL[[#This Row],[CODIGO]]="","",VLOOKUP(SNGABRIEL[[#This Row],[CODIGO]],MAESTRO!A:P,16,FALSE)),"")</f>
        <v>35</v>
      </c>
      <c r="O15" s="308">
        <f>+IFERROR(IF(SNGABRIEL[[#This Row],[CODIGO]]="","",SNGABRIEL[[#This Row],[Fecha Elab.]]),"")</f>
        <v>45597</v>
      </c>
      <c r="P15" s="73" t="str">
        <f t="shared" si="0"/>
        <v>viernes</v>
      </c>
      <c r="Q15" s="309">
        <f>IFERROR(IF(SNGABRIEL[[#This Row],[CODIGO]]="","",IF(SNGABRIEL[[#This Row],[Fecha Cad]]="","",(SNGABRIEL[[#This Row],[Fecha Cad]]-SNGABRIEL[[#This Row],[VIDA UTIL (Días)]]))+1),"")</f>
        <v>45597</v>
      </c>
      <c r="R15" s="308">
        <v>45631</v>
      </c>
      <c r="S15" s="52">
        <f t="shared" ca="1" si="1"/>
        <v>7</v>
      </c>
      <c r="T15" s="53">
        <f t="shared" ca="1" si="2"/>
        <v>0.2</v>
      </c>
      <c r="U15" s="273">
        <v>120</v>
      </c>
      <c r="V15" s="274">
        <f>+IFERROR(IF(SNGABRIEL[[#This Row],[CODIGO]]="","",SNGABRIEL[[#This Row],[Stock Actual Unds]]*SNGABRIEL[[#This Row],[Gramaje]]*SNGABRIEL[[#This Row],[Conversión]]),"")</f>
        <v>30</v>
      </c>
      <c r="W15" s="274">
        <f>+IFERROR(IF(SNGABRIEL[[#This Row],[CODIGO]]="","",SNGABRIEL[[#This Row],[Fecha de Ingreso]]-SNGABRIEL[[#This Row],[Fecha Elab.]]),"")</f>
        <v>0</v>
      </c>
      <c r="X15" s="275">
        <f t="shared" si="3"/>
        <v>1</v>
      </c>
      <c r="Y15" s="242">
        <f>IFERROR(VLOOKUP(SNGABRIEL[[#This Row],[CODIGO]],MAESTRO!A:BI,21,FALSE),0)</f>
        <v>0.69428000000000001</v>
      </c>
      <c r="Z15" s="242">
        <f>+IFERROR(IF(SNGABRIEL[[#This Row],[CODIGO]]="","",SNGABRIEL[[#This Row],[COSTO UNIT base]]*SNGABRIEL[[#This Row],[Conversión]]),"")</f>
        <v>0.69428000000000001</v>
      </c>
      <c r="AA15" s="276">
        <f>+IFERROR(IF(SNGABRIEL[[#This Row],[CODIGO]]="","",SNGABRIEL[[#This Row],[COSTO UNIT Conv]]*SNGABRIEL[[#This Row],[Stock Actual Kgs]]),"")</f>
        <v>20.828400000000002</v>
      </c>
      <c r="AB15" s="52">
        <f ca="1">+IFERROR(IF(SNGABRIEL[[#This Row],[CODIGO]]="","",$J$3-O16),"")</f>
        <v>36</v>
      </c>
      <c r="AC15" s="277" t="str">
        <f ca="1">IF(SNGABRIEL[[#This Row],[CODIGO]]="","",IF(S15&lt;=0,"CADUCADO",IF(AND(S15&gt;0,S15&lt;=21),"FECHA CORTA",IF(AND(S15&gt;=22,S15&lt;=26),"PROXIMOS FECHA CORTA", "VIGENTE"))))</f>
        <v>FECHA CORTA</v>
      </c>
      <c r="AD15" s="54">
        <f>+IFERROR(IF(SNGABRIEL[[#This Row],[CODIGO]]="","",SNGABRIEL[[#This Row],[Stock Actual Unds]]*SNGABRIEL[[#This Row],[Gramaje]]*SNGABRIEL[[#This Row],[Conversión]]),"")/1000</f>
        <v>0.03</v>
      </c>
    </row>
    <row r="16" spans="1:30">
      <c r="A16" s="49"/>
      <c r="B16" s="49"/>
      <c r="C16" s="49"/>
      <c r="D16" s="49"/>
      <c r="E16" s="49"/>
      <c r="F16" s="49" t="str">
        <f>IF(GUAYAQUIL[[#This Row],[CODIGO]]="","",$K$6)</f>
        <v>SAN GABRIEL</v>
      </c>
      <c r="G16" s="49">
        <f>IF(SNGABRIEL[[#This Row],[CODIGO]]="","",7702)</f>
        <v>7702</v>
      </c>
      <c r="H16" s="49">
        <f>IF(SNGABRIEL[[#This Row],[CODIGO]]="","",1001)</f>
        <v>1001</v>
      </c>
      <c r="I16" s="271" t="s">
        <v>4279</v>
      </c>
      <c r="J16" s="50" t="str">
        <f>IFERROR((VLOOKUP(SNGABRIEL[[#This Row],[CODIGO]],MAESTRO!A:B,2,FALSE)),"")</f>
        <v>RGN BBLE DZNO BOT 1750G</v>
      </c>
      <c r="K16" s="273"/>
      <c r="L16" s="246">
        <f>+IFERROR(IF(SNGABRIEL[[#This Row],[CODIGO]]="","",VLOOKUP(SNGABRIEL[[#This Row],[CODIGO]],MAESTRO!$A:$BI,58,FALSE)),"")</f>
        <v>1</v>
      </c>
      <c r="M16" s="187">
        <f>IFERROR(IF(SNGABRIEL[[#This Row],[CODIGO]]="","",VLOOKUP(SNGABRIEL[[#This Row],[CODIGO]],MAESTRO!A:N,14,FALSE)),"")</f>
        <v>1.75</v>
      </c>
      <c r="N16" s="247">
        <f>+IFERROR(IF(SNGABRIEL[[#This Row],[CODIGO]]="","",VLOOKUP(SNGABRIEL[[#This Row],[CODIGO]],MAESTRO!A:P,16,FALSE)),"")</f>
        <v>45</v>
      </c>
      <c r="O16" s="51">
        <f>+IFERROR(IF(SNGABRIEL[[#This Row],[CODIGO]]="","",SNGABRIEL[[#This Row],[Fecha Elab.]]),"")</f>
        <v>45588</v>
      </c>
      <c r="P16" s="73" t="str">
        <f t="shared" si="0"/>
        <v>miércoles</v>
      </c>
      <c r="Q16" s="272">
        <f>IFERROR(IF(SNGABRIEL[[#This Row],[CODIGO]]="","",IF(SNGABRIEL[[#This Row],[Fecha Cad]]="","",(SNGABRIEL[[#This Row],[Fecha Cad]]-SNGABRIEL[[#This Row],[VIDA UTIL (Días)]]))+1),"")</f>
        <v>45588</v>
      </c>
      <c r="R16" s="51">
        <v>45632</v>
      </c>
      <c r="S16" s="52">
        <f t="shared" ca="1" si="1"/>
        <v>8</v>
      </c>
      <c r="T16" s="53">
        <f t="shared" ca="1" si="2"/>
        <v>0.17777777777777778</v>
      </c>
      <c r="U16" s="273">
        <v>8</v>
      </c>
      <c r="V16" s="274">
        <f>+IFERROR(IF(SNGABRIEL[[#This Row],[CODIGO]]="","",SNGABRIEL[[#This Row],[Stock Actual Unds]]*SNGABRIEL[[#This Row],[Gramaje]]*SNGABRIEL[[#This Row],[Conversión]]),"")</f>
        <v>14</v>
      </c>
      <c r="W16" s="274">
        <f>+IFERROR(IF(SNGABRIEL[[#This Row],[CODIGO]]="","",SNGABRIEL[[#This Row],[Fecha de Ingreso]]-SNGABRIEL[[#This Row],[Fecha Elab.]]),"")</f>
        <v>0</v>
      </c>
      <c r="X16" s="275">
        <f t="shared" si="3"/>
        <v>1</v>
      </c>
      <c r="Y16" s="242">
        <f>IFERROR(VLOOKUP(SNGABRIEL[[#This Row],[CODIGO]],MAESTRO!A:BI,21,FALSE),0)</f>
        <v>2.3115999999999999</v>
      </c>
      <c r="Z16" s="242">
        <f>+IFERROR(IF(SNGABRIEL[[#This Row],[CODIGO]]="","",SNGABRIEL[[#This Row],[COSTO UNIT base]]*SNGABRIEL[[#This Row],[Conversión]]),"")</f>
        <v>2.3115999999999999</v>
      </c>
      <c r="AA16" s="276">
        <f>+IFERROR(IF(SNGABRIEL[[#This Row],[CODIGO]]="","",SNGABRIEL[[#This Row],[COSTO UNIT Conv]]*SNGABRIEL[[#This Row],[Stock Actual Kgs]]),"")</f>
        <v>32.362400000000001</v>
      </c>
      <c r="AB16" s="52">
        <f ca="1">+IFERROR(IF(SNGABRIEL[[#This Row],[CODIGO]]="","",$J$3-O17),"")</f>
        <v>36</v>
      </c>
      <c r="AC16" s="277" t="str">
        <f ca="1">IF(SNGABRIEL[[#This Row],[CODIGO]]="","",IF(S16&lt;=0,"CADUCADO",IF(AND(S16&gt;0,S16&lt;=21),"FECHA CORTA",IF(AND(S16&gt;=22,S16&lt;=26),"PROXIMOS FECHA CORTA", "VIGENTE"))))</f>
        <v>FECHA CORTA</v>
      </c>
      <c r="AD16" s="54">
        <f>+IFERROR(IF(SNGABRIEL[[#This Row],[CODIGO]]="","",SNGABRIEL[[#This Row],[Stock Actual Unds]]*SNGABRIEL[[#This Row],[Gramaje]]*SNGABRIEL[[#This Row],[Conversión]]),"")/1000</f>
        <v>1.4E-2</v>
      </c>
    </row>
    <row r="17" spans="1:30">
      <c r="A17" s="49"/>
      <c r="B17" s="49"/>
      <c r="C17" s="49"/>
      <c r="D17" s="49"/>
      <c r="E17" s="49"/>
      <c r="F17" s="49" t="str">
        <f>IF(GUAYAQUIL[[#This Row],[CODIGO]]="","",$K$6)</f>
        <v>SAN GABRIEL</v>
      </c>
      <c r="G17" s="49">
        <f>IF(SNGABRIEL[[#This Row],[CODIGO]]="","",7702)</f>
        <v>7702</v>
      </c>
      <c r="H17" s="49">
        <f>IF(SNGABRIEL[[#This Row],[CODIGO]]="","",1001)</f>
        <v>1001</v>
      </c>
      <c r="I17" s="271" t="s">
        <v>4308</v>
      </c>
      <c r="J17" s="50" t="str">
        <f>IFERROR((VLOOKUP(SNGABRIEL[[#This Row],[CODIGO]],MAESTRO!A:B,2,FALSE)),"")</f>
        <v>YOG FNSSE FRTROJ BOT 1670G</v>
      </c>
      <c r="K17" s="273"/>
      <c r="L17" s="246">
        <f>+IFERROR(IF(SNGABRIEL[[#This Row],[CODIGO]]="","",VLOOKUP(SNGABRIEL[[#This Row],[CODIGO]],MAESTRO!$A:$BI,58,FALSE)),"")</f>
        <v>1</v>
      </c>
      <c r="M17" s="187">
        <f>IFERROR(IF(SNGABRIEL[[#This Row],[CODIGO]]="","",VLOOKUP(SNGABRIEL[[#This Row],[CODIGO]],MAESTRO!A:N,14,FALSE)),"")</f>
        <v>1.67</v>
      </c>
      <c r="N17" s="247">
        <f>+IFERROR(IF(SNGABRIEL[[#This Row],[CODIGO]]="","",VLOOKUP(SNGABRIEL[[#This Row],[CODIGO]],MAESTRO!A:P,16,FALSE)),"")</f>
        <v>45</v>
      </c>
      <c r="O17" s="51">
        <f>+IFERROR(IF(SNGABRIEL[[#This Row],[CODIGO]]="","",SNGABRIEL[[#This Row],[Fecha Elab.]]),"")</f>
        <v>45588</v>
      </c>
      <c r="P17" s="73" t="str">
        <f t="shared" si="0"/>
        <v>miércoles</v>
      </c>
      <c r="Q17" s="272">
        <f>IFERROR(IF(SNGABRIEL[[#This Row],[CODIGO]]="","",IF(SNGABRIEL[[#This Row],[Fecha Cad]]="","",(SNGABRIEL[[#This Row],[Fecha Cad]]-SNGABRIEL[[#This Row],[VIDA UTIL (Días)]]))+1),"")</f>
        <v>45588</v>
      </c>
      <c r="R17" s="51">
        <v>45632</v>
      </c>
      <c r="S17" s="52">
        <f t="shared" ca="1" si="1"/>
        <v>8</v>
      </c>
      <c r="T17" s="53">
        <f t="shared" ca="1" si="2"/>
        <v>0.17777777777777778</v>
      </c>
      <c r="U17" s="273">
        <v>10</v>
      </c>
      <c r="V17" s="274">
        <f>+IFERROR(IF(SNGABRIEL[[#This Row],[CODIGO]]="","",SNGABRIEL[[#This Row],[Stock Actual Unds]]*SNGABRIEL[[#This Row],[Gramaje]]*SNGABRIEL[[#This Row],[Conversión]]),"")</f>
        <v>16.7</v>
      </c>
      <c r="W17" s="274">
        <f>+IFERROR(IF(SNGABRIEL[[#This Row],[CODIGO]]="","",SNGABRIEL[[#This Row],[Fecha de Ingreso]]-SNGABRIEL[[#This Row],[Fecha Elab.]]),"")</f>
        <v>0</v>
      </c>
      <c r="X17" s="275">
        <f t="shared" si="3"/>
        <v>1</v>
      </c>
      <c r="Y17" s="242">
        <f>IFERROR(VLOOKUP(SNGABRIEL[[#This Row],[CODIGO]],MAESTRO!A:BI,21,FALSE),0)</f>
        <v>2.3031100000000002</v>
      </c>
      <c r="Z17" s="242">
        <f>+IFERROR(IF(SNGABRIEL[[#This Row],[CODIGO]]="","",SNGABRIEL[[#This Row],[COSTO UNIT base]]*SNGABRIEL[[#This Row],[Conversión]]),"")</f>
        <v>2.3031100000000002</v>
      </c>
      <c r="AA17" s="276">
        <f>+IFERROR(IF(SNGABRIEL[[#This Row],[CODIGO]]="","",SNGABRIEL[[#This Row],[COSTO UNIT Conv]]*SNGABRIEL[[#This Row],[Stock Actual Kgs]]),"")</f>
        <v>38.461936999999999</v>
      </c>
      <c r="AB17" s="52">
        <f ca="1">+IFERROR(IF(SNGABRIEL[[#This Row],[CODIGO]]="","",$J$3-O18),"")</f>
        <v>35</v>
      </c>
      <c r="AC17" s="277" t="str">
        <f ca="1">IF(SNGABRIEL[[#This Row],[CODIGO]]="","",IF(S17&lt;=0,"CADUCADO",IF(AND(S17&gt;0,S17&lt;=21),"FECHA CORTA",IF(AND(S17&gt;=22,S17&lt;=26),"PROXIMOS FECHA CORTA", "VIGENTE"))))</f>
        <v>FECHA CORTA</v>
      </c>
      <c r="AD17" s="54">
        <f>+IFERROR(IF(SNGABRIEL[[#This Row],[CODIGO]]="","",SNGABRIEL[[#This Row],[Stock Actual Unds]]*SNGABRIEL[[#This Row],[Gramaje]]*SNGABRIEL[[#This Row],[Conversión]]),"")/1000</f>
        <v>1.67E-2</v>
      </c>
    </row>
    <row r="18" spans="1:30">
      <c r="A18" s="49"/>
      <c r="B18" s="49"/>
      <c r="C18" s="49"/>
      <c r="D18" s="49"/>
      <c r="E18" s="49"/>
      <c r="F18" s="49" t="str">
        <f>IF(GUAYAQUIL[[#This Row],[CODIGO]]="","",$K$6)</f>
        <v>SAN GABRIEL</v>
      </c>
      <c r="G18" s="49">
        <f>IF(SNGABRIEL[[#This Row],[CODIGO]]="","",7702)</f>
        <v>7702</v>
      </c>
      <c r="H18" s="49">
        <f>IF(SNGABRIEL[[#This Row],[CODIGO]]="","",1001)</f>
        <v>1001</v>
      </c>
      <c r="I18" s="271" t="s">
        <v>2429</v>
      </c>
      <c r="J18" s="50" t="str">
        <f>IFERROR((VLOOKUP(SNGABRIEL[[#This Row],[CODIGO]],MAESTRO!A:B,2,FALSE)),"")</f>
        <v>RGN TZOS DZNO BOT 1750G</v>
      </c>
      <c r="K18" s="273"/>
      <c r="L18" s="246">
        <f>+IFERROR(IF(SNGABRIEL[[#This Row],[CODIGO]]="","",VLOOKUP(SNGABRIEL[[#This Row],[CODIGO]],MAESTRO!$A:$BI,58,FALSE)),"")</f>
        <v>1</v>
      </c>
      <c r="M18" s="187">
        <f>IFERROR(IF(SNGABRIEL[[#This Row],[CODIGO]]="","",VLOOKUP(SNGABRIEL[[#This Row],[CODIGO]],MAESTRO!A:N,14,FALSE)),"")</f>
        <v>1.75</v>
      </c>
      <c r="N18" s="247">
        <f>+IFERROR(IF(SNGABRIEL[[#This Row],[CODIGO]]="","",VLOOKUP(SNGABRIEL[[#This Row],[CODIGO]],MAESTRO!A:P,16,FALSE)),"")</f>
        <v>45</v>
      </c>
      <c r="O18" s="51">
        <f>+IFERROR(IF(SNGABRIEL[[#This Row],[CODIGO]]="","",SNGABRIEL[[#This Row],[Fecha Elab.]]),"")</f>
        <v>45589</v>
      </c>
      <c r="P18" s="73" t="str">
        <f t="shared" si="0"/>
        <v>jueves</v>
      </c>
      <c r="Q18" s="272">
        <f>IFERROR(IF(SNGABRIEL[[#This Row],[CODIGO]]="","",IF(SNGABRIEL[[#This Row],[Fecha Cad]]="","",(SNGABRIEL[[#This Row],[Fecha Cad]]-SNGABRIEL[[#This Row],[VIDA UTIL (Días)]]))+1),"")</f>
        <v>45589</v>
      </c>
      <c r="R18" s="51">
        <v>45633</v>
      </c>
      <c r="S18" s="52">
        <f t="shared" ca="1" si="1"/>
        <v>9</v>
      </c>
      <c r="T18" s="53">
        <f t="shared" ca="1" si="2"/>
        <v>0.2</v>
      </c>
      <c r="U18" s="273">
        <v>8</v>
      </c>
      <c r="V18" s="274">
        <f>+IFERROR(IF(SNGABRIEL[[#This Row],[CODIGO]]="","",SNGABRIEL[[#This Row],[Stock Actual Unds]]*SNGABRIEL[[#This Row],[Gramaje]]*SNGABRIEL[[#This Row],[Conversión]]),"")</f>
        <v>14</v>
      </c>
      <c r="W18" s="274">
        <f>+IFERROR(IF(SNGABRIEL[[#This Row],[CODIGO]]="","",SNGABRIEL[[#This Row],[Fecha de Ingreso]]-SNGABRIEL[[#This Row],[Fecha Elab.]]),"")</f>
        <v>0</v>
      </c>
      <c r="X18" s="275">
        <f t="shared" si="3"/>
        <v>1</v>
      </c>
      <c r="Y18" s="242">
        <f>IFERROR(VLOOKUP(SNGABRIEL[[#This Row],[CODIGO]],MAESTRO!A:BI,21,FALSE),0)</f>
        <v>2.36903</v>
      </c>
      <c r="Z18" s="242">
        <f>+IFERROR(IF(SNGABRIEL[[#This Row],[CODIGO]]="","",SNGABRIEL[[#This Row],[COSTO UNIT base]]*SNGABRIEL[[#This Row],[Conversión]]),"")</f>
        <v>2.36903</v>
      </c>
      <c r="AA18" s="276">
        <f>+IFERROR(IF(SNGABRIEL[[#This Row],[CODIGO]]="","",SNGABRIEL[[#This Row],[COSTO UNIT Conv]]*SNGABRIEL[[#This Row],[Stock Actual Kgs]]),"")</f>
        <v>33.166420000000002</v>
      </c>
      <c r="AB18" s="52">
        <f ca="1">+IFERROR(IF(SNGABRIEL[[#This Row],[CODIGO]]="","",$J$3-O19),"")</f>
        <v>34</v>
      </c>
      <c r="AC18" s="277" t="str">
        <f ca="1">IF(SNGABRIEL[[#This Row],[CODIGO]]="","",IF(S18&lt;=0,"CADUCADO",IF(AND(S18&gt;0,S18&lt;=21),"FECHA CORTA",IF(AND(S18&gt;=22,S18&lt;=26),"PROXIMOS FECHA CORTA", "VIGENTE"))))</f>
        <v>FECHA CORTA</v>
      </c>
      <c r="AD18" s="54">
        <f>+IFERROR(IF(SNGABRIEL[[#This Row],[CODIGO]]="","",SNGABRIEL[[#This Row],[Stock Actual Unds]]*SNGABRIEL[[#This Row],[Gramaje]]*SNGABRIEL[[#This Row],[Conversión]]),"")/1000</f>
        <v>1.4E-2</v>
      </c>
    </row>
    <row r="19" spans="1:30">
      <c r="A19" s="49"/>
      <c r="B19" s="49"/>
      <c r="C19" s="49"/>
      <c r="D19" s="49"/>
      <c r="E19" s="49"/>
      <c r="F19" s="49" t="str">
        <f>IF(GUAYAQUIL[[#This Row],[CODIGO]]="","",$K$6)</f>
        <v>SAN GABRIEL</v>
      </c>
      <c r="G19" s="49">
        <f>IF(SNGABRIEL[[#This Row],[CODIGO]]="","",7702)</f>
        <v>7702</v>
      </c>
      <c r="H19" s="49">
        <f>IF(SNGABRIEL[[#This Row],[CODIGO]]="","",1001)</f>
        <v>1001</v>
      </c>
      <c r="I19" s="271" t="s">
        <v>3139</v>
      </c>
      <c r="J19" s="50" t="str">
        <f>IFERROR((VLOOKUP(SNGABRIEL[[#This Row],[CODIGO]],MAESTRO!A:B,2,FALSE)),"")</f>
        <v>YOG BBLE KIOSKO FTLLA BOT 1700G</v>
      </c>
      <c r="K19" s="273"/>
      <c r="L19" s="246">
        <f>+IFERROR(IF(SNGABRIEL[[#This Row],[CODIGO]]="","",VLOOKUP(SNGABRIEL[[#This Row],[CODIGO]],MAESTRO!$A:$BI,58,FALSE)),"")</f>
        <v>1</v>
      </c>
      <c r="M19" s="187">
        <f>IFERROR(IF(SNGABRIEL[[#This Row],[CODIGO]]="","",VLOOKUP(SNGABRIEL[[#This Row],[CODIGO]],MAESTRO!A:N,14,FALSE)),"")</f>
        <v>1.7</v>
      </c>
      <c r="N19" s="247">
        <f>+IFERROR(IF(SNGABRIEL[[#This Row],[CODIGO]]="","",VLOOKUP(SNGABRIEL[[#This Row],[CODIGO]],MAESTRO!A:P,16,FALSE)),"")</f>
        <v>45</v>
      </c>
      <c r="O19" s="51">
        <f>+IFERROR(IF(SNGABRIEL[[#This Row],[CODIGO]]="","",SNGABRIEL[[#This Row],[Fecha Elab.]]),"")</f>
        <v>45590</v>
      </c>
      <c r="P19" s="73" t="str">
        <f t="shared" si="0"/>
        <v>viernes</v>
      </c>
      <c r="Q19" s="272">
        <f>IFERROR(IF(SNGABRIEL[[#This Row],[CODIGO]]="","",IF(SNGABRIEL[[#This Row],[Fecha Cad]]="","",(SNGABRIEL[[#This Row],[Fecha Cad]]-SNGABRIEL[[#This Row],[VIDA UTIL (Días)]]))+1),"")</f>
        <v>45590</v>
      </c>
      <c r="R19" s="51">
        <v>45634</v>
      </c>
      <c r="S19" s="52">
        <f t="shared" ca="1" si="1"/>
        <v>10</v>
      </c>
      <c r="T19" s="53">
        <f t="shared" ca="1" si="2"/>
        <v>0.22222222222222221</v>
      </c>
      <c r="U19" s="273">
        <v>4</v>
      </c>
      <c r="V19" s="274">
        <f>+IFERROR(IF(SNGABRIEL[[#This Row],[CODIGO]]="","",SNGABRIEL[[#This Row],[Stock Actual Unds]]*SNGABRIEL[[#This Row],[Gramaje]]*SNGABRIEL[[#This Row],[Conversión]]),"")</f>
        <v>6.8</v>
      </c>
      <c r="W19" s="274">
        <f>+IFERROR(IF(SNGABRIEL[[#This Row],[CODIGO]]="","",SNGABRIEL[[#This Row],[Fecha de Ingreso]]-SNGABRIEL[[#This Row],[Fecha Elab.]]),"")</f>
        <v>0</v>
      </c>
      <c r="X19" s="275">
        <f t="shared" si="3"/>
        <v>1</v>
      </c>
      <c r="Y19" s="242">
        <f>IFERROR(VLOOKUP(SNGABRIEL[[#This Row],[CODIGO]],MAESTRO!A:BI,21,FALSE),0)</f>
        <v>1.7276500000000001</v>
      </c>
      <c r="Z19" s="242">
        <f>+IFERROR(IF(SNGABRIEL[[#This Row],[CODIGO]]="","",SNGABRIEL[[#This Row],[COSTO UNIT base]]*SNGABRIEL[[#This Row],[Conversión]]),"")</f>
        <v>1.7276500000000001</v>
      </c>
      <c r="AA19" s="276">
        <f>+IFERROR(IF(SNGABRIEL[[#This Row],[CODIGO]]="","",SNGABRIEL[[#This Row],[COSTO UNIT Conv]]*SNGABRIEL[[#This Row],[Stock Actual Kgs]]),"")</f>
        <v>11.74802</v>
      </c>
      <c r="AB19" s="52">
        <f ca="1">+IFERROR(IF(SNGABRIEL[[#This Row],[CODIGO]]="","",$J$3-O20),"")</f>
        <v>34</v>
      </c>
      <c r="AC19" s="277" t="str">
        <f ca="1">IF(SNGABRIEL[[#This Row],[CODIGO]]="","",IF(S19&lt;=0,"CADUCADO",IF(AND(S19&gt;0,S19&lt;=21),"FECHA CORTA",IF(AND(S19&gt;=22,S19&lt;=26),"PROXIMOS FECHA CORTA", "VIGENTE"))))</f>
        <v>FECHA CORTA</v>
      </c>
      <c r="AD19" s="54">
        <f>+IFERROR(IF(SNGABRIEL[[#This Row],[CODIGO]]="","",SNGABRIEL[[#This Row],[Stock Actual Unds]]*SNGABRIEL[[#This Row],[Gramaje]]*SNGABRIEL[[#This Row],[Conversión]]),"")/1000</f>
        <v>6.7999999999999996E-3</v>
      </c>
    </row>
    <row r="20" spans="1:30">
      <c r="A20" s="49"/>
      <c r="B20" s="49"/>
      <c r="C20" s="49"/>
      <c r="D20" s="49"/>
      <c r="E20" s="49"/>
      <c r="F20" s="49" t="str">
        <f>IF(GUAYAQUIL[[#This Row],[CODIGO]]="","",$K$6)</f>
        <v>SAN GABRIEL</v>
      </c>
      <c r="G20" s="49">
        <f>IF(SNGABRIEL[[#This Row],[CODIGO]]="","",7702)</f>
        <v>7702</v>
      </c>
      <c r="H20" s="49">
        <f>IF(SNGABRIEL[[#This Row],[CODIGO]]="","",1001)</f>
        <v>1001</v>
      </c>
      <c r="I20" s="271" t="s">
        <v>4011</v>
      </c>
      <c r="J20" s="50" t="str">
        <f>IFERROR((VLOOKUP(SNGABRIEL[[#This Row],[CODIGO]],MAESTRO!A:B,2,FALSE)),"")</f>
        <v>YOG BBLE KIOSKO DZNO BOT 1700G</v>
      </c>
      <c r="K20" s="273"/>
      <c r="L20" s="246">
        <f>+IFERROR(IF(SNGABRIEL[[#This Row],[CODIGO]]="","",VLOOKUP(SNGABRIEL[[#This Row],[CODIGO]],MAESTRO!$A:$BI,58,FALSE)),"")</f>
        <v>1</v>
      </c>
      <c r="M20" s="187">
        <f>IFERROR(IF(SNGABRIEL[[#This Row],[CODIGO]]="","",VLOOKUP(SNGABRIEL[[#This Row],[CODIGO]],MAESTRO!A:N,14,FALSE)),"")</f>
        <v>1.7</v>
      </c>
      <c r="N20" s="247">
        <f>+IFERROR(IF(SNGABRIEL[[#This Row],[CODIGO]]="","",VLOOKUP(SNGABRIEL[[#This Row],[CODIGO]],MAESTRO!A:P,16,FALSE)),"")</f>
        <v>45</v>
      </c>
      <c r="O20" s="51">
        <f>+IFERROR(IF(SNGABRIEL[[#This Row],[CODIGO]]="","",SNGABRIEL[[#This Row],[Fecha Elab.]]),"")</f>
        <v>45590</v>
      </c>
      <c r="P20" s="73" t="str">
        <f t="shared" si="0"/>
        <v>viernes</v>
      </c>
      <c r="Q20" s="272">
        <f>IFERROR(IF(SNGABRIEL[[#This Row],[CODIGO]]="","",IF(SNGABRIEL[[#This Row],[Fecha Cad]]="","",(SNGABRIEL[[#This Row],[Fecha Cad]]-SNGABRIEL[[#This Row],[VIDA UTIL (Días)]]))+1),"")</f>
        <v>45590</v>
      </c>
      <c r="R20" s="51">
        <v>45634</v>
      </c>
      <c r="S20" s="52">
        <f t="shared" ca="1" si="1"/>
        <v>10</v>
      </c>
      <c r="T20" s="53">
        <f t="shared" ca="1" si="2"/>
        <v>0.22222222222222221</v>
      </c>
      <c r="U20" s="273">
        <v>22</v>
      </c>
      <c r="V20" s="274">
        <f>+IFERROR(IF(SNGABRIEL[[#This Row],[CODIGO]]="","",SNGABRIEL[[#This Row],[Stock Actual Unds]]*SNGABRIEL[[#This Row],[Gramaje]]*SNGABRIEL[[#This Row],[Conversión]]),"")</f>
        <v>37.4</v>
      </c>
      <c r="W20" s="274">
        <f>+IFERROR(IF(SNGABRIEL[[#This Row],[CODIGO]]="","",SNGABRIEL[[#This Row],[Fecha de Ingreso]]-SNGABRIEL[[#This Row],[Fecha Elab.]]),"")</f>
        <v>0</v>
      </c>
      <c r="X20" s="275">
        <f t="shared" si="3"/>
        <v>1</v>
      </c>
      <c r="Y20" s="242">
        <f>IFERROR(VLOOKUP(SNGABRIEL[[#This Row],[CODIGO]],MAESTRO!A:BI,21,FALSE),0)</f>
        <v>1.751825</v>
      </c>
      <c r="Z20" s="242">
        <f>+IFERROR(IF(SNGABRIEL[[#This Row],[CODIGO]]="","",SNGABRIEL[[#This Row],[COSTO UNIT base]]*SNGABRIEL[[#This Row],[Conversión]]),"")</f>
        <v>1.751825</v>
      </c>
      <c r="AA20" s="276">
        <f>+IFERROR(IF(SNGABRIEL[[#This Row],[CODIGO]]="","",SNGABRIEL[[#This Row],[COSTO UNIT Conv]]*SNGABRIEL[[#This Row],[Stock Actual Kgs]]),"")</f>
        <v>65.518254999999996</v>
      </c>
      <c r="AB20" s="52">
        <f ca="1">+IFERROR(IF(SNGABRIEL[[#This Row],[CODIGO]]="","",$J$3-O21),"")</f>
        <v>34</v>
      </c>
      <c r="AC20" s="277" t="str">
        <f ca="1">IF(SNGABRIEL[[#This Row],[CODIGO]]="","",IF(S20&lt;=0,"CADUCADO",IF(AND(S20&gt;0,S20&lt;=21),"FECHA CORTA",IF(AND(S20&gt;=22,S20&lt;=26),"PROXIMOS FECHA CORTA", "VIGENTE"))))</f>
        <v>FECHA CORTA</v>
      </c>
      <c r="AD20" s="54">
        <f>+IFERROR(IF(SNGABRIEL[[#This Row],[CODIGO]]="","",SNGABRIEL[[#This Row],[Stock Actual Unds]]*SNGABRIEL[[#This Row],[Gramaje]]*SNGABRIEL[[#This Row],[Conversión]]),"")/1000</f>
        <v>3.7399999999999996E-2</v>
      </c>
    </row>
    <row r="21" spans="1:30">
      <c r="A21" s="49"/>
      <c r="B21" s="49"/>
      <c r="C21" s="49"/>
      <c r="D21" s="49"/>
      <c r="E21" s="49"/>
      <c r="F21" s="49" t="str">
        <f>IF(GUAYAQUIL[[#This Row],[CODIGO]]="","",$K$6)</f>
        <v>SAN GABRIEL</v>
      </c>
      <c r="G21" s="49">
        <f>IF(SNGABRIEL[[#This Row],[CODIGO]]="","",7702)</f>
        <v>7702</v>
      </c>
      <c r="H21" s="49">
        <f>IF(SNGABRIEL[[#This Row],[CODIGO]]="","",1001)</f>
        <v>1001</v>
      </c>
      <c r="I21" s="271" t="s">
        <v>4413</v>
      </c>
      <c r="J21" s="50" t="str">
        <f>IFERROR((VLOOKUP(SNGABRIEL[[#This Row],[CODIGO]],MAESTRO!A:B,2,FALSE)),"")</f>
        <v>YOG FNSSE FRTROJ BOT 180G</v>
      </c>
      <c r="K21" s="273"/>
      <c r="L21" s="246">
        <f>+IFERROR(IF(SNGABRIEL[[#This Row],[CODIGO]]="","",VLOOKUP(SNGABRIEL[[#This Row],[CODIGO]],MAESTRO!$A:$BI,58,FALSE)),"")</f>
        <v>1</v>
      </c>
      <c r="M21" s="187">
        <f>IFERROR(IF(SNGABRIEL[[#This Row],[CODIGO]]="","",VLOOKUP(SNGABRIEL[[#This Row],[CODIGO]],MAESTRO!A:N,14,FALSE)),"")</f>
        <v>0.18</v>
      </c>
      <c r="N21" s="247">
        <f>+IFERROR(IF(SNGABRIEL[[#This Row],[CODIGO]]="","",VLOOKUP(SNGABRIEL[[#This Row],[CODIGO]],MAESTRO!A:P,16,FALSE)),"")</f>
        <v>45</v>
      </c>
      <c r="O21" s="51">
        <f>+IFERROR(IF(SNGABRIEL[[#This Row],[CODIGO]]="","",SNGABRIEL[[#This Row],[Fecha Elab.]]),"")</f>
        <v>45590</v>
      </c>
      <c r="P21" s="73" t="str">
        <f t="shared" si="0"/>
        <v>viernes</v>
      </c>
      <c r="Q21" s="272">
        <f>IFERROR(IF(SNGABRIEL[[#This Row],[CODIGO]]="","",IF(SNGABRIEL[[#This Row],[Fecha Cad]]="","",(SNGABRIEL[[#This Row],[Fecha Cad]]-SNGABRIEL[[#This Row],[VIDA UTIL (Días)]]))+1),"")</f>
        <v>45590</v>
      </c>
      <c r="R21" s="51">
        <v>45634</v>
      </c>
      <c r="S21" s="52">
        <f t="shared" ca="1" si="1"/>
        <v>10</v>
      </c>
      <c r="T21" s="53">
        <f t="shared" ca="1" si="2"/>
        <v>0.22222222222222221</v>
      </c>
      <c r="U21" s="273">
        <v>18</v>
      </c>
      <c r="V21" s="274">
        <f>+IFERROR(IF(SNGABRIEL[[#This Row],[CODIGO]]="","",SNGABRIEL[[#This Row],[Stock Actual Unds]]*SNGABRIEL[[#This Row],[Gramaje]]*SNGABRIEL[[#This Row],[Conversión]]),"")</f>
        <v>3.2399999999999998</v>
      </c>
      <c r="W21" s="274">
        <f>+IFERROR(IF(SNGABRIEL[[#This Row],[CODIGO]]="","",SNGABRIEL[[#This Row],[Fecha de Ingreso]]-SNGABRIEL[[#This Row],[Fecha Elab.]]),"")</f>
        <v>0</v>
      </c>
      <c r="X21" s="275">
        <f t="shared" si="3"/>
        <v>1</v>
      </c>
      <c r="Y21" s="242">
        <f>IFERROR(VLOOKUP(SNGABRIEL[[#This Row],[CODIGO]],MAESTRO!A:BI,21,FALSE),0)</f>
        <v>0.30833500000000003</v>
      </c>
      <c r="Z21" s="242">
        <f>+IFERROR(IF(SNGABRIEL[[#This Row],[CODIGO]]="","",SNGABRIEL[[#This Row],[COSTO UNIT base]]*SNGABRIEL[[#This Row],[Conversión]]),"")</f>
        <v>0.30833500000000003</v>
      </c>
      <c r="AA21" s="276">
        <f>+IFERROR(IF(SNGABRIEL[[#This Row],[CODIGO]]="","",SNGABRIEL[[#This Row],[COSTO UNIT Conv]]*SNGABRIEL[[#This Row],[Stock Actual Kgs]]),"")</f>
        <v>0.99900540000000004</v>
      </c>
      <c r="AB21" s="52">
        <f ca="1">+IFERROR(IF(SNGABRIEL[[#This Row],[CODIGO]]="","",$J$3-O22),"")</f>
        <v>34</v>
      </c>
      <c r="AC21" s="277" t="str">
        <f ca="1">IF(SNGABRIEL[[#This Row],[CODIGO]]="","",IF(S21&lt;=0,"CADUCADO",IF(AND(S21&gt;0,S21&lt;=21),"FECHA CORTA",IF(AND(S21&gt;=22,S21&lt;=26),"PROXIMOS FECHA CORTA", "VIGENTE"))))</f>
        <v>FECHA CORTA</v>
      </c>
      <c r="AD21" s="54">
        <f>+IFERROR(IF(SNGABRIEL[[#This Row],[CODIGO]]="","",SNGABRIEL[[#This Row],[Stock Actual Unds]]*SNGABRIEL[[#This Row],[Gramaje]]*SNGABRIEL[[#This Row],[Conversión]]),"")/1000</f>
        <v>3.2399999999999998E-3</v>
      </c>
    </row>
    <row r="22" spans="1:30">
      <c r="A22" s="49"/>
      <c r="B22" s="49"/>
      <c r="C22" s="49"/>
      <c r="D22" s="49"/>
      <c r="E22" s="49"/>
      <c r="F22" s="49" t="str">
        <f>IF(GUAYAQUIL[[#This Row],[CODIGO]]="","",$K$6)</f>
        <v>SAN GABRIEL</v>
      </c>
      <c r="G22" s="49">
        <f>IF(SNGABRIEL[[#This Row],[CODIGO]]="","",7702)</f>
        <v>7702</v>
      </c>
      <c r="H22" s="49">
        <f>IF(SNGABRIEL[[#This Row],[CODIGO]]="","",1001)</f>
        <v>1001</v>
      </c>
      <c r="I22" s="271" t="s">
        <v>4086</v>
      </c>
      <c r="J22" s="50" t="str">
        <f>IFERROR((VLOOKUP(SNGABRIEL[[#This Row],[CODIGO]],MAESTRO!A:B,2,FALSE)),"")</f>
        <v>RGN LGHT FTLLA BOT 1000G</v>
      </c>
      <c r="K22" s="273"/>
      <c r="L22" s="246">
        <f>+IFERROR(IF(SNGABRIEL[[#This Row],[CODIGO]]="","",VLOOKUP(SNGABRIEL[[#This Row],[CODIGO]],MAESTRO!$A:$BI,58,FALSE)),"")</f>
        <v>1</v>
      </c>
      <c r="M22" s="187">
        <f>IFERROR(IF(SNGABRIEL[[#This Row],[CODIGO]]="","",VLOOKUP(SNGABRIEL[[#This Row],[CODIGO]],MAESTRO!A:N,14,FALSE)),"")</f>
        <v>1</v>
      </c>
      <c r="N22" s="247">
        <f>+IFERROR(IF(SNGABRIEL[[#This Row],[CODIGO]]="","",VLOOKUP(SNGABRIEL[[#This Row],[CODIGO]],MAESTRO!A:P,16,FALSE)),"")</f>
        <v>45</v>
      </c>
      <c r="O22" s="51">
        <f>+IFERROR(IF(SNGABRIEL[[#This Row],[CODIGO]]="","",SNGABRIEL[[#This Row],[Fecha Elab.]]),"")</f>
        <v>45590</v>
      </c>
      <c r="P22" s="73" t="str">
        <f t="shared" si="0"/>
        <v>viernes</v>
      </c>
      <c r="Q22" s="272">
        <f>IFERROR(IF(SNGABRIEL[[#This Row],[CODIGO]]="","",IF(SNGABRIEL[[#This Row],[Fecha Cad]]="","",(SNGABRIEL[[#This Row],[Fecha Cad]]-SNGABRIEL[[#This Row],[VIDA UTIL (Días)]]))+1),"")</f>
        <v>45590</v>
      </c>
      <c r="R22" s="51">
        <v>45634</v>
      </c>
      <c r="S22" s="52">
        <f t="shared" ca="1" si="1"/>
        <v>10</v>
      </c>
      <c r="T22" s="53">
        <f t="shared" ca="1" si="2"/>
        <v>0.22222222222222221</v>
      </c>
      <c r="U22" s="273">
        <v>7</v>
      </c>
      <c r="V22" s="274">
        <f>+IFERROR(IF(SNGABRIEL[[#This Row],[CODIGO]]="","",SNGABRIEL[[#This Row],[Stock Actual Unds]]*SNGABRIEL[[#This Row],[Gramaje]]*SNGABRIEL[[#This Row],[Conversión]]),"")</f>
        <v>7</v>
      </c>
      <c r="W22" s="274">
        <f>+IFERROR(IF(SNGABRIEL[[#This Row],[CODIGO]]="","",SNGABRIEL[[#This Row],[Fecha de Ingreso]]-SNGABRIEL[[#This Row],[Fecha Elab.]]),"")</f>
        <v>0</v>
      </c>
      <c r="X22" s="275">
        <f t="shared" si="3"/>
        <v>1</v>
      </c>
      <c r="Y22" s="242">
        <f>IFERROR(VLOOKUP(SNGABRIEL[[#This Row],[CODIGO]],MAESTRO!A:BI,21,FALSE),0)</f>
        <v>1.3149000000000002</v>
      </c>
      <c r="Z22" s="242">
        <f>+IFERROR(IF(SNGABRIEL[[#This Row],[CODIGO]]="","",SNGABRIEL[[#This Row],[COSTO UNIT base]]*SNGABRIEL[[#This Row],[Conversión]]),"")</f>
        <v>1.3149000000000002</v>
      </c>
      <c r="AA22" s="276">
        <f>+IFERROR(IF(SNGABRIEL[[#This Row],[CODIGO]]="","",SNGABRIEL[[#This Row],[COSTO UNIT Conv]]*SNGABRIEL[[#This Row],[Stock Actual Kgs]]),"")</f>
        <v>9.2043000000000017</v>
      </c>
      <c r="AB22" s="52">
        <f ca="1">+IFERROR(IF(SNGABRIEL[[#This Row],[CODIGO]]="","",$J$3-O23),"")</f>
        <v>34</v>
      </c>
      <c r="AC22" s="277" t="str">
        <f ca="1">IF(SNGABRIEL[[#This Row],[CODIGO]]="","",IF(S22&lt;=0,"CADUCADO",IF(AND(S22&gt;0,S22&lt;=21),"FECHA CORTA",IF(AND(S22&gt;=22,S22&lt;=26),"PROXIMOS FECHA CORTA", "VIGENTE"))))</f>
        <v>FECHA CORTA</v>
      </c>
      <c r="AD22" s="54">
        <f>+IFERROR(IF(SNGABRIEL[[#This Row],[CODIGO]]="","",SNGABRIEL[[#This Row],[Stock Actual Unds]]*SNGABRIEL[[#This Row],[Gramaje]]*SNGABRIEL[[#This Row],[Conversión]]),"")/1000</f>
        <v>7.0000000000000001E-3</v>
      </c>
    </row>
    <row r="23" spans="1:30">
      <c r="A23" s="49"/>
      <c r="B23" s="49"/>
      <c r="C23" s="49"/>
      <c r="D23" s="49"/>
      <c r="E23" s="49"/>
      <c r="F23" s="49" t="str">
        <f>IF(GUAYAQUIL[[#This Row],[CODIGO]]="","",$K$6)</f>
        <v>SAN GABRIEL</v>
      </c>
      <c r="G23" s="49">
        <f>IF(SNGABRIEL[[#This Row],[CODIGO]]="","",7702)</f>
        <v>7702</v>
      </c>
      <c r="H23" s="49">
        <f>IF(SNGABRIEL[[#This Row],[CODIGO]]="","",1001)</f>
        <v>1001</v>
      </c>
      <c r="I23" s="271" t="s">
        <v>1156</v>
      </c>
      <c r="J23" s="50" t="str">
        <f>IFERROR((VLOOKUP(SNGABRIEL[[#This Row],[CODIGO]],MAESTRO!A:B,2,FALSE)),"")</f>
        <v>RGN CER GDLLA BOT 180G</v>
      </c>
      <c r="K23" s="273"/>
      <c r="L23" s="246">
        <f>+IFERROR(IF(SNGABRIEL[[#This Row],[CODIGO]]="","",VLOOKUP(SNGABRIEL[[#This Row],[CODIGO]],MAESTRO!$A:$BI,58,FALSE)),"")</f>
        <v>1</v>
      </c>
      <c r="M23" s="187">
        <f>IFERROR(IF(SNGABRIEL[[#This Row],[CODIGO]]="","",VLOOKUP(SNGABRIEL[[#This Row],[CODIGO]],MAESTRO!A:N,14,FALSE)),"")</f>
        <v>0.18</v>
      </c>
      <c r="N23" s="247">
        <f>+IFERROR(IF(SNGABRIEL[[#This Row],[CODIGO]]="","",VLOOKUP(SNGABRIEL[[#This Row],[CODIGO]],MAESTRO!A:P,16,FALSE)),"")</f>
        <v>45</v>
      </c>
      <c r="O23" s="51">
        <f>+IFERROR(IF(SNGABRIEL[[#This Row],[CODIGO]]="","",SNGABRIEL[[#This Row],[Fecha Elab.]]),"")</f>
        <v>45590</v>
      </c>
      <c r="P23" s="73" t="str">
        <f t="shared" si="0"/>
        <v>viernes</v>
      </c>
      <c r="Q23" s="272">
        <f>IFERROR(IF(SNGABRIEL[[#This Row],[CODIGO]]="","",IF(SNGABRIEL[[#This Row],[Fecha Cad]]="","",(SNGABRIEL[[#This Row],[Fecha Cad]]-SNGABRIEL[[#This Row],[VIDA UTIL (Días)]]))+1),"")</f>
        <v>45590</v>
      </c>
      <c r="R23" s="51">
        <v>45634</v>
      </c>
      <c r="S23" s="52">
        <f t="shared" ca="1" si="1"/>
        <v>10</v>
      </c>
      <c r="T23" s="53">
        <f t="shared" ca="1" si="2"/>
        <v>0.22222222222222221</v>
      </c>
      <c r="U23" s="273">
        <v>27</v>
      </c>
      <c r="V23" s="274">
        <f>+IFERROR(IF(SNGABRIEL[[#This Row],[CODIGO]]="","",SNGABRIEL[[#This Row],[Stock Actual Unds]]*SNGABRIEL[[#This Row],[Gramaje]]*SNGABRIEL[[#This Row],[Conversión]]),"")</f>
        <v>4.8599999999999994</v>
      </c>
      <c r="W23" s="274">
        <f>+IFERROR(IF(SNGABRIEL[[#This Row],[CODIGO]]="","",SNGABRIEL[[#This Row],[Fecha de Ingreso]]-SNGABRIEL[[#This Row],[Fecha Elab.]]),"")</f>
        <v>0</v>
      </c>
      <c r="X23" s="275">
        <f t="shared" si="3"/>
        <v>1</v>
      </c>
      <c r="Y23" s="242">
        <f>IFERROR(VLOOKUP(SNGABRIEL[[#This Row],[CODIGO]],MAESTRO!A:BI,21,FALSE),0)</f>
        <v>0.28275</v>
      </c>
      <c r="Z23" s="242">
        <f>+IFERROR(IF(SNGABRIEL[[#This Row],[CODIGO]]="","",SNGABRIEL[[#This Row],[COSTO UNIT base]]*SNGABRIEL[[#This Row],[Conversión]]),"")</f>
        <v>0.28275</v>
      </c>
      <c r="AA23" s="276">
        <f>+IFERROR(IF(SNGABRIEL[[#This Row],[CODIGO]]="","",SNGABRIEL[[#This Row],[COSTO UNIT Conv]]*SNGABRIEL[[#This Row],[Stock Actual Kgs]]),"")</f>
        <v>1.3741649999999999</v>
      </c>
      <c r="AB23" s="52">
        <f ca="1">+IFERROR(IF(SNGABRIEL[[#This Row],[CODIGO]]="","",$J$3-O24),"")</f>
        <v>34</v>
      </c>
      <c r="AC23" s="277" t="str">
        <f ca="1">IF(SNGABRIEL[[#This Row],[CODIGO]]="","",IF(S23&lt;=0,"CADUCADO",IF(AND(S23&gt;0,S23&lt;=21),"FECHA CORTA",IF(AND(S23&gt;=22,S23&lt;=26),"PROXIMOS FECHA CORTA", "VIGENTE"))))</f>
        <v>FECHA CORTA</v>
      </c>
      <c r="AD23" s="54">
        <f>+IFERROR(IF(SNGABRIEL[[#This Row],[CODIGO]]="","",SNGABRIEL[[#This Row],[Stock Actual Unds]]*SNGABRIEL[[#This Row],[Gramaje]]*SNGABRIEL[[#This Row],[Conversión]]),"")/1000</f>
        <v>4.8599999999999997E-3</v>
      </c>
    </row>
    <row r="24" spans="1:30">
      <c r="A24" s="49"/>
      <c r="B24" s="49"/>
      <c r="C24" s="49"/>
      <c r="D24" s="49"/>
      <c r="E24" s="49"/>
      <c r="F24" s="49" t="str">
        <f>IF(GUAYAQUIL[[#This Row],[CODIGO]]="","",$K$6)</f>
        <v>SAN GABRIEL</v>
      </c>
      <c r="G24" s="49">
        <f>IF(SNGABRIEL[[#This Row],[CODIGO]]="","",7702)</f>
        <v>7702</v>
      </c>
      <c r="H24" s="49">
        <f>IF(SNGABRIEL[[#This Row],[CODIGO]]="","",1001)</f>
        <v>1001</v>
      </c>
      <c r="I24" s="271" t="s">
        <v>1715</v>
      </c>
      <c r="J24" s="50" t="str">
        <f>IFERROR((VLOOKUP(SNGABRIEL[[#This Row],[CODIGO]],MAESTRO!A:B,2,FALSE)),"")</f>
        <v>YOG FNSSE DURAZNO BOT 1670G</v>
      </c>
      <c r="K24" s="273"/>
      <c r="L24" s="246">
        <f>+IFERROR(IF(SNGABRIEL[[#This Row],[CODIGO]]="","",VLOOKUP(SNGABRIEL[[#This Row],[CODIGO]],MAESTRO!$A:$BI,58,FALSE)),"")</f>
        <v>1</v>
      </c>
      <c r="M24" s="187">
        <f>IFERROR(IF(SNGABRIEL[[#This Row],[CODIGO]]="","",VLOOKUP(SNGABRIEL[[#This Row],[CODIGO]],MAESTRO!A:N,14,FALSE)),"")</f>
        <v>1.67</v>
      </c>
      <c r="N24" s="247">
        <f>+IFERROR(IF(SNGABRIEL[[#This Row],[CODIGO]]="","",VLOOKUP(SNGABRIEL[[#This Row],[CODIGO]],MAESTRO!A:P,16,FALSE)),"")</f>
        <v>45</v>
      </c>
      <c r="O24" s="51">
        <f>+IFERROR(IF(SNGABRIEL[[#This Row],[CODIGO]]="","",SNGABRIEL[[#This Row],[Fecha Elab.]]),"")</f>
        <v>45590</v>
      </c>
      <c r="P24" s="73" t="str">
        <f t="shared" si="0"/>
        <v>viernes</v>
      </c>
      <c r="Q24" s="272">
        <f>IFERROR(IF(SNGABRIEL[[#This Row],[CODIGO]]="","",IF(SNGABRIEL[[#This Row],[Fecha Cad]]="","",(SNGABRIEL[[#This Row],[Fecha Cad]]-SNGABRIEL[[#This Row],[VIDA UTIL (Días)]]))+1),"")</f>
        <v>45590</v>
      </c>
      <c r="R24" s="51">
        <v>45634</v>
      </c>
      <c r="S24" s="52">
        <f t="shared" ca="1" si="1"/>
        <v>10</v>
      </c>
      <c r="T24" s="53">
        <f t="shared" ca="1" si="2"/>
        <v>0.22222222222222221</v>
      </c>
      <c r="U24" s="273">
        <v>6</v>
      </c>
      <c r="V24" s="274">
        <f>+IFERROR(IF(SNGABRIEL[[#This Row],[CODIGO]]="","",SNGABRIEL[[#This Row],[Stock Actual Unds]]*SNGABRIEL[[#This Row],[Gramaje]]*SNGABRIEL[[#This Row],[Conversión]]),"")</f>
        <v>10.02</v>
      </c>
      <c r="W24" s="274">
        <f>+IFERROR(IF(SNGABRIEL[[#This Row],[CODIGO]]="","",SNGABRIEL[[#This Row],[Fecha de Ingreso]]-SNGABRIEL[[#This Row],[Fecha Elab.]]),"")</f>
        <v>0</v>
      </c>
      <c r="X24" s="275">
        <f t="shared" si="3"/>
        <v>1</v>
      </c>
      <c r="Y24" s="242">
        <f>IFERROR(VLOOKUP(SNGABRIEL[[#This Row],[CODIGO]],MAESTRO!A:BI,21,FALSE),0)</f>
        <v>2.4125399999999999</v>
      </c>
      <c r="Z24" s="242">
        <f>+IFERROR(IF(SNGABRIEL[[#This Row],[CODIGO]]="","",SNGABRIEL[[#This Row],[COSTO UNIT base]]*SNGABRIEL[[#This Row],[Conversión]]),"")</f>
        <v>2.4125399999999999</v>
      </c>
      <c r="AA24" s="276">
        <f>+IFERROR(IF(SNGABRIEL[[#This Row],[CODIGO]]="","",SNGABRIEL[[#This Row],[COSTO UNIT Conv]]*SNGABRIEL[[#This Row],[Stock Actual Kgs]]),"")</f>
        <v>24.173650799999997</v>
      </c>
      <c r="AB24" s="52">
        <f ca="1">+IFERROR(IF(SNGABRIEL[[#This Row],[CODIGO]]="","",$J$3-O25),"")</f>
        <v>29</v>
      </c>
      <c r="AC24" s="277" t="str">
        <f ca="1">IF(SNGABRIEL[[#This Row],[CODIGO]]="","",IF(S24&lt;=0,"CADUCADO",IF(AND(S24&gt;0,S24&lt;=21),"FECHA CORTA",IF(AND(S24&gt;=22,S24&lt;=26),"PROXIMOS FECHA CORTA", "VIGENTE"))))</f>
        <v>FECHA CORTA</v>
      </c>
      <c r="AD24" s="54">
        <f>+IFERROR(IF(SNGABRIEL[[#This Row],[CODIGO]]="","",SNGABRIEL[[#This Row],[Stock Actual Unds]]*SNGABRIEL[[#This Row],[Gramaje]]*SNGABRIEL[[#This Row],[Conversión]]),"")/1000</f>
        <v>1.0019999999999999E-2</v>
      </c>
    </row>
    <row r="25" spans="1:30">
      <c r="A25" s="49"/>
      <c r="B25" s="49"/>
      <c r="C25" s="49"/>
      <c r="D25" s="49"/>
      <c r="E25" s="49"/>
      <c r="F25" s="49" t="str">
        <f>IF(GUAYAQUIL[[#This Row],[CODIGO]]="","",$K$6)</f>
        <v>SAN GABRIEL</v>
      </c>
      <c r="G25" s="49">
        <f>IF(SNGABRIEL[[#This Row],[CODIGO]]="","",7702)</f>
        <v>7702</v>
      </c>
      <c r="H25" s="49">
        <f>IF(SNGABRIEL[[#This Row],[CODIGO]]="","",1001)</f>
        <v>1001</v>
      </c>
      <c r="I25" s="271" t="s">
        <v>765</v>
      </c>
      <c r="J25" s="50" t="str">
        <f>IFERROR((VLOOKUP(SNGABRIEL[[#This Row],[CODIGO]],MAESTRO!A:B,2,FALSE)),"")</f>
        <v>YOG NAT KIOSKO BOTELLA 950G</v>
      </c>
      <c r="K25" s="273"/>
      <c r="L25" s="246">
        <f>+IFERROR(IF(SNGABRIEL[[#This Row],[CODIGO]]="","",VLOOKUP(SNGABRIEL[[#This Row],[CODIGO]],MAESTRO!$A:$BI,58,FALSE)),"")</f>
        <v>1</v>
      </c>
      <c r="M25" s="187">
        <f>IFERROR(IF(SNGABRIEL[[#This Row],[CODIGO]]="","",VLOOKUP(SNGABRIEL[[#This Row],[CODIGO]],MAESTRO!A:N,14,FALSE)),"")</f>
        <v>0.95</v>
      </c>
      <c r="N25" s="247">
        <f>+IFERROR(IF(SNGABRIEL[[#This Row],[CODIGO]]="","",VLOOKUP(SNGABRIEL[[#This Row],[CODIGO]],MAESTRO!A:P,16,FALSE)),"")</f>
        <v>45</v>
      </c>
      <c r="O25" s="51">
        <f>+IFERROR(IF(SNGABRIEL[[#This Row],[CODIGO]]="","",SNGABRIEL[[#This Row],[Fecha Elab.]]),"")</f>
        <v>45595</v>
      </c>
      <c r="P25" s="73" t="str">
        <f t="shared" si="0"/>
        <v>miércoles</v>
      </c>
      <c r="Q25" s="272">
        <f>IFERROR(IF(SNGABRIEL[[#This Row],[CODIGO]]="","",IF(SNGABRIEL[[#This Row],[Fecha Cad]]="","",(SNGABRIEL[[#This Row],[Fecha Cad]]-SNGABRIEL[[#This Row],[VIDA UTIL (Días)]]))+1),"")</f>
        <v>45595</v>
      </c>
      <c r="R25" s="51">
        <v>45639</v>
      </c>
      <c r="S25" s="52">
        <f t="shared" ca="1" si="1"/>
        <v>15</v>
      </c>
      <c r="T25" s="53">
        <f t="shared" ca="1" si="2"/>
        <v>0.33333333333333331</v>
      </c>
      <c r="U25" s="273">
        <v>31</v>
      </c>
      <c r="V25" s="274">
        <f>+IFERROR(IF(SNGABRIEL[[#This Row],[CODIGO]]="","",SNGABRIEL[[#This Row],[Stock Actual Unds]]*SNGABRIEL[[#This Row],[Gramaje]]*SNGABRIEL[[#This Row],[Conversión]]),"")</f>
        <v>29.45</v>
      </c>
      <c r="W25" s="274">
        <f>+IFERROR(IF(SNGABRIEL[[#This Row],[CODIGO]]="","",SNGABRIEL[[#This Row],[Fecha de Ingreso]]-SNGABRIEL[[#This Row],[Fecha Elab.]]),"")</f>
        <v>0</v>
      </c>
      <c r="X25" s="275">
        <f t="shared" si="3"/>
        <v>1</v>
      </c>
      <c r="Y25" s="242">
        <f>IFERROR(VLOOKUP(SNGABRIEL[[#This Row],[CODIGO]],MAESTRO!A:BI,21,FALSE),0)</f>
        <v>1.062665</v>
      </c>
      <c r="Z25" s="242">
        <f>+IFERROR(IF(SNGABRIEL[[#This Row],[CODIGO]]="","",SNGABRIEL[[#This Row],[COSTO UNIT base]]*SNGABRIEL[[#This Row],[Conversión]]),"")</f>
        <v>1.062665</v>
      </c>
      <c r="AA25" s="276">
        <f>+IFERROR(IF(SNGABRIEL[[#This Row],[CODIGO]]="","",SNGABRIEL[[#This Row],[COSTO UNIT Conv]]*SNGABRIEL[[#This Row],[Stock Actual Kgs]]),"")</f>
        <v>31.295484249999998</v>
      </c>
      <c r="AB25" s="52">
        <f ca="1">+IFERROR(IF(SNGABRIEL[[#This Row],[CODIGO]]="","",$J$3-O26),"")</f>
        <v>29</v>
      </c>
      <c r="AC25" s="277" t="str">
        <f ca="1">IF(SNGABRIEL[[#This Row],[CODIGO]]="","",IF(S25&lt;=0,"CADUCADO",IF(AND(S25&gt;0,S25&lt;=21),"FECHA CORTA",IF(AND(S25&gt;=22,S25&lt;=26),"PROXIMOS FECHA CORTA", "VIGENTE"))))</f>
        <v>FECHA CORTA</v>
      </c>
      <c r="AD25" s="54">
        <f>+IFERROR(IF(SNGABRIEL[[#This Row],[CODIGO]]="","",SNGABRIEL[[#This Row],[Stock Actual Unds]]*SNGABRIEL[[#This Row],[Gramaje]]*SNGABRIEL[[#This Row],[Conversión]]),"")/1000</f>
        <v>2.945E-2</v>
      </c>
    </row>
    <row r="26" spans="1:30">
      <c r="A26" s="49"/>
      <c r="B26" s="49"/>
      <c r="C26" s="49"/>
      <c r="D26" s="49"/>
      <c r="E26" s="49"/>
      <c r="F26" s="49" t="str">
        <f>IF(GUAYAQUIL[[#This Row],[CODIGO]]="","",$K$6)</f>
        <v>SAN GABRIEL</v>
      </c>
      <c r="G26" s="49">
        <f>IF(SNGABRIEL[[#This Row],[CODIGO]]="","",7702)</f>
        <v>7702</v>
      </c>
      <c r="H26" s="49">
        <f>IF(SNGABRIEL[[#This Row],[CODIGO]]="","",1001)</f>
        <v>1001</v>
      </c>
      <c r="I26" s="271" t="s">
        <v>1712</v>
      </c>
      <c r="J26" s="50" t="str">
        <f>IFERROR((VLOOKUP(SNGABRIEL[[#This Row],[CODIGO]],MAESTRO!A:B,2,FALSE)),"")</f>
        <v>MPLX4 RGN TZOS MULTSAB VASO 150G</v>
      </c>
      <c r="K26" s="273"/>
      <c r="L26" s="246">
        <f>+IFERROR(IF(SNGABRIEL[[#This Row],[CODIGO]]="","",VLOOKUP(SNGABRIEL[[#This Row],[CODIGO]],MAESTRO!$A:$BI,58,FALSE)),"")</f>
        <v>1</v>
      </c>
      <c r="M26" s="187">
        <f>IFERROR(IF(SNGABRIEL[[#This Row],[CODIGO]]="","",VLOOKUP(SNGABRIEL[[#This Row],[CODIGO]],MAESTRO!A:N,14,FALSE)),"")</f>
        <v>0.6</v>
      </c>
      <c r="N26" s="247">
        <f>+IFERROR(IF(SNGABRIEL[[#This Row],[CODIGO]]="","",VLOOKUP(SNGABRIEL[[#This Row],[CODIGO]],MAESTRO!A:P,16,FALSE)),"")</f>
        <v>45</v>
      </c>
      <c r="O26" s="51">
        <f>+IFERROR(IF(SNGABRIEL[[#This Row],[CODIGO]]="","",SNGABRIEL[[#This Row],[Fecha Elab.]]),"")</f>
        <v>45595</v>
      </c>
      <c r="P26" s="73" t="str">
        <f t="shared" si="0"/>
        <v>miércoles</v>
      </c>
      <c r="Q26" s="272">
        <f>IFERROR(IF(SNGABRIEL[[#This Row],[CODIGO]]="","",IF(SNGABRIEL[[#This Row],[Fecha Cad]]="","",(SNGABRIEL[[#This Row],[Fecha Cad]]-SNGABRIEL[[#This Row],[VIDA UTIL (Días)]]))+1),"")</f>
        <v>45595</v>
      </c>
      <c r="R26" s="51">
        <v>45639</v>
      </c>
      <c r="S26" s="52">
        <f t="shared" ca="1" si="1"/>
        <v>15</v>
      </c>
      <c r="T26" s="53">
        <f t="shared" ca="1" si="2"/>
        <v>0.33333333333333331</v>
      </c>
      <c r="U26" s="273">
        <v>21</v>
      </c>
      <c r="V26" s="274">
        <f>+IFERROR(IF(SNGABRIEL[[#This Row],[CODIGO]]="","",SNGABRIEL[[#This Row],[Stock Actual Unds]]*SNGABRIEL[[#This Row],[Gramaje]]*SNGABRIEL[[#This Row],[Conversión]]),"")</f>
        <v>12.6</v>
      </c>
      <c r="W26" s="274">
        <f>+IFERROR(IF(SNGABRIEL[[#This Row],[CODIGO]]="","",SNGABRIEL[[#This Row],[Fecha de Ingreso]]-SNGABRIEL[[#This Row],[Fecha Elab.]]),"")</f>
        <v>0</v>
      </c>
      <c r="X26" s="275">
        <f t="shared" si="3"/>
        <v>1</v>
      </c>
      <c r="Y26" s="242">
        <f>IFERROR(VLOOKUP(SNGABRIEL[[#This Row],[CODIGO]],MAESTRO!A:BI,21,FALSE),0)</f>
        <v>1.0306549999999999</v>
      </c>
      <c r="Z26" s="242">
        <f>+IFERROR(IF(SNGABRIEL[[#This Row],[CODIGO]]="","",SNGABRIEL[[#This Row],[COSTO UNIT base]]*SNGABRIEL[[#This Row],[Conversión]]),"")</f>
        <v>1.0306549999999999</v>
      </c>
      <c r="AA26" s="276">
        <f>+IFERROR(IF(SNGABRIEL[[#This Row],[CODIGO]]="","",SNGABRIEL[[#This Row],[COSTO UNIT Conv]]*SNGABRIEL[[#This Row],[Stock Actual Kgs]]),"")</f>
        <v>12.986252999999998</v>
      </c>
      <c r="AB26" s="52">
        <f ca="1">+IFERROR(IF(SNGABRIEL[[#This Row],[CODIGO]]="","",$J$3-O27),"")</f>
        <v>28</v>
      </c>
      <c r="AC26" s="277" t="str">
        <f ca="1">IF(SNGABRIEL[[#This Row],[CODIGO]]="","",IF(S26&lt;=0,"CADUCADO",IF(AND(S26&gt;0,S26&lt;=21),"FECHA CORTA",IF(AND(S26&gt;=22,S26&lt;=26),"PROXIMOS FECHA CORTA", "VIGENTE"))))</f>
        <v>FECHA CORTA</v>
      </c>
      <c r="AD26" s="54">
        <f>+IFERROR(IF(SNGABRIEL[[#This Row],[CODIGO]]="","",SNGABRIEL[[#This Row],[Stock Actual Unds]]*SNGABRIEL[[#This Row],[Gramaje]]*SNGABRIEL[[#This Row],[Conversión]]),"")/1000</f>
        <v>1.26E-2</v>
      </c>
    </row>
    <row r="27" spans="1:30">
      <c r="A27" s="49"/>
      <c r="B27" s="49"/>
      <c r="C27" s="49"/>
      <c r="D27" s="49"/>
      <c r="E27" s="49"/>
      <c r="F27" s="49" t="str">
        <f>IF(GUAYAQUIL[[#This Row],[CODIGO]]="","",$K$6)</f>
        <v>SAN GABRIEL</v>
      </c>
      <c r="G27" s="49">
        <f>IF(SNGABRIEL[[#This Row],[CODIGO]]="","",7702)</f>
        <v>7702</v>
      </c>
      <c r="H27" s="49">
        <f>IF(SNGABRIEL[[#This Row],[CODIGO]]="","",1001)</f>
        <v>1001</v>
      </c>
      <c r="I27" s="271" t="s">
        <v>3223</v>
      </c>
      <c r="J27" s="50" t="str">
        <f>IFERROR((VLOOKUP(SNGABRIEL[[#This Row],[CODIGO]],MAESTRO!A:B,2,FALSE)),"")</f>
        <v>YOG BBLE KIOSKO MOR BOT 950G</v>
      </c>
      <c r="K27" s="273"/>
      <c r="L27" s="246">
        <f>+IFERROR(IF(SNGABRIEL[[#This Row],[CODIGO]]="","",VLOOKUP(SNGABRIEL[[#This Row],[CODIGO]],MAESTRO!$A:$BI,58,FALSE)),"")</f>
        <v>1</v>
      </c>
      <c r="M27" s="187">
        <f>IFERROR(IF(SNGABRIEL[[#This Row],[CODIGO]]="","",VLOOKUP(SNGABRIEL[[#This Row],[CODIGO]],MAESTRO!A:N,14,FALSE)),"")</f>
        <v>0.95</v>
      </c>
      <c r="N27" s="247">
        <f>+IFERROR(IF(SNGABRIEL[[#This Row],[CODIGO]]="","",VLOOKUP(SNGABRIEL[[#This Row],[CODIGO]],MAESTRO!A:P,16,FALSE)),"")</f>
        <v>45</v>
      </c>
      <c r="O27" s="51">
        <f>+IFERROR(IF(SNGABRIEL[[#This Row],[CODIGO]]="","",SNGABRIEL[[#This Row],[Fecha Elab.]]),"")</f>
        <v>45596</v>
      </c>
      <c r="P27" s="73" t="str">
        <f t="shared" si="0"/>
        <v>jueves</v>
      </c>
      <c r="Q27" s="272">
        <f>IFERROR(IF(SNGABRIEL[[#This Row],[CODIGO]]="","",IF(SNGABRIEL[[#This Row],[Fecha Cad]]="","",(SNGABRIEL[[#This Row],[Fecha Cad]]-SNGABRIEL[[#This Row],[VIDA UTIL (Días)]]))+1),"")</f>
        <v>45596</v>
      </c>
      <c r="R27" s="51">
        <v>45640</v>
      </c>
      <c r="S27" s="52">
        <f t="shared" ca="1" si="1"/>
        <v>16</v>
      </c>
      <c r="T27" s="53">
        <f t="shared" ca="1" si="2"/>
        <v>0.35555555555555557</v>
      </c>
      <c r="U27" s="273">
        <v>42</v>
      </c>
      <c r="V27" s="274">
        <f>+IFERROR(IF(SNGABRIEL[[#This Row],[CODIGO]]="","",SNGABRIEL[[#This Row],[Stock Actual Unds]]*SNGABRIEL[[#This Row],[Gramaje]]*SNGABRIEL[[#This Row],[Conversión]]),"")</f>
        <v>39.9</v>
      </c>
      <c r="W27" s="274">
        <f>+IFERROR(IF(SNGABRIEL[[#This Row],[CODIGO]]="","",SNGABRIEL[[#This Row],[Fecha de Ingreso]]-SNGABRIEL[[#This Row],[Fecha Elab.]]),"")</f>
        <v>0</v>
      </c>
      <c r="X27" s="275">
        <f t="shared" si="3"/>
        <v>1</v>
      </c>
      <c r="Y27" s="242">
        <f>IFERROR(VLOOKUP(SNGABRIEL[[#This Row],[CODIGO]],MAESTRO!A:BI,21,FALSE),0)</f>
        <v>1.02759</v>
      </c>
      <c r="Z27" s="242">
        <f>+IFERROR(IF(SNGABRIEL[[#This Row],[CODIGO]]="","",SNGABRIEL[[#This Row],[COSTO UNIT base]]*SNGABRIEL[[#This Row],[Conversión]]),"")</f>
        <v>1.02759</v>
      </c>
      <c r="AA27" s="276">
        <f>+IFERROR(IF(SNGABRIEL[[#This Row],[CODIGO]]="","",SNGABRIEL[[#This Row],[COSTO UNIT Conv]]*SNGABRIEL[[#This Row],[Stock Actual Kgs]]),"")</f>
        <v>41.000841000000001</v>
      </c>
      <c r="AB27" s="52">
        <f ca="1">+IFERROR(IF(SNGABRIEL[[#This Row],[CODIGO]]="","",$J$3-O28),"")</f>
        <v>28</v>
      </c>
      <c r="AC27" s="277" t="str">
        <f ca="1">IF(SNGABRIEL[[#This Row],[CODIGO]]="","",IF(S27&lt;=0,"CADUCADO",IF(AND(S27&gt;0,S27&lt;=21),"FECHA CORTA",IF(AND(S27&gt;=22,S27&lt;=26),"PROXIMOS FECHA CORTA", "VIGENTE"))))</f>
        <v>FECHA CORTA</v>
      </c>
      <c r="AD27" s="54">
        <f>+IFERROR(IF(SNGABRIEL[[#This Row],[CODIGO]]="","",SNGABRIEL[[#This Row],[Stock Actual Unds]]*SNGABRIEL[[#This Row],[Gramaje]]*SNGABRIEL[[#This Row],[Conversión]]),"")/1000</f>
        <v>3.9899999999999998E-2</v>
      </c>
    </row>
    <row r="28" spans="1:30">
      <c r="A28" s="49"/>
      <c r="B28" s="49"/>
      <c r="C28" s="49"/>
      <c r="D28" s="49"/>
      <c r="E28" s="49"/>
      <c r="F28" s="49" t="str">
        <f>IF(GUAYAQUIL[[#This Row],[CODIGO]]="","",$K$6)</f>
        <v>SAN GABRIEL</v>
      </c>
      <c r="G28" s="49">
        <f>IF(SNGABRIEL[[#This Row],[CODIGO]]="","",7702)</f>
        <v>7702</v>
      </c>
      <c r="H28" s="49">
        <f>IF(SNGABRIEL[[#This Row],[CODIGO]]="","",1001)</f>
        <v>1001</v>
      </c>
      <c r="I28" s="271" t="s">
        <v>3060</v>
      </c>
      <c r="J28" s="50" t="str">
        <f>IFERROR((VLOOKUP(SNGABRIEL[[#This Row],[CODIGO]],MAESTRO!A:B,2,FALSE)),"")</f>
        <v>YOG BBLE KIOSKO FTLLA BOT 950G</v>
      </c>
      <c r="K28" s="273"/>
      <c r="L28" s="246">
        <f>+IFERROR(IF(SNGABRIEL[[#This Row],[CODIGO]]="","",VLOOKUP(SNGABRIEL[[#This Row],[CODIGO]],MAESTRO!$A:$BI,58,FALSE)),"")</f>
        <v>1</v>
      </c>
      <c r="M28" s="187">
        <f>IFERROR(IF(SNGABRIEL[[#This Row],[CODIGO]]="","",VLOOKUP(SNGABRIEL[[#This Row],[CODIGO]],MAESTRO!A:N,14,FALSE)),"")</f>
        <v>0.95</v>
      </c>
      <c r="N28" s="247">
        <f>+IFERROR(IF(SNGABRIEL[[#This Row],[CODIGO]]="","",VLOOKUP(SNGABRIEL[[#This Row],[CODIGO]],MAESTRO!A:P,16,FALSE)),"")</f>
        <v>45</v>
      </c>
      <c r="O28" s="51">
        <f>+IFERROR(IF(SNGABRIEL[[#This Row],[CODIGO]]="","",SNGABRIEL[[#This Row],[Fecha Elab.]]),"")</f>
        <v>45596</v>
      </c>
      <c r="P28" s="73" t="str">
        <f t="shared" si="0"/>
        <v>jueves</v>
      </c>
      <c r="Q28" s="272">
        <f>IFERROR(IF(SNGABRIEL[[#This Row],[CODIGO]]="","",IF(SNGABRIEL[[#This Row],[Fecha Cad]]="","",(SNGABRIEL[[#This Row],[Fecha Cad]]-SNGABRIEL[[#This Row],[VIDA UTIL (Días)]]))+1),"")</f>
        <v>45596</v>
      </c>
      <c r="R28" s="51">
        <v>45640</v>
      </c>
      <c r="S28" s="52">
        <f t="shared" ca="1" si="1"/>
        <v>16</v>
      </c>
      <c r="T28" s="53">
        <f t="shared" ca="1" si="2"/>
        <v>0.35555555555555557</v>
      </c>
      <c r="U28" s="273">
        <v>17</v>
      </c>
      <c r="V28" s="274">
        <f>+IFERROR(IF(SNGABRIEL[[#This Row],[CODIGO]]="","",SNGABRIEL[[#This Row],[Stock Actual Unds]]*SNGABRIEL[[#This Row],[Gramaje]]*SNGABRIEL[[#This Row],[Conversión]]),"")</f>
        <v>16.149999999999999</v>
      </c>
      <c r="W28" s="274">
        <f>+IFERROR(IF(SNGABRIEL[[#This Row],[CODIGO]]="","",SNGABRIEL[[#This Row],[Fecha de Ingreso]]-SNGABRIEL[[#This Row],[Fecha Elab.]]),"")</f>
        <v>0</v>
      </c>
      <c r="X28" s="275">
        <f t="shared" si="3"/>
        <v>1</v>
      </c>
      <c r="Y28" s="242">
        <f>IFERROR(VLOOKUP(SNGABRIEL[[#This Row],[CODIGO]],MAESTRO!A:BI,21,FALSE),0)</f>
        <v>1.0303550000000001</v>
      </c>
      <c r="Z28" s="242">
        <f>+IFERROR(IF(SNGABRIEL[[#This Row],[CODIGO]]="","",SNGABRIEL[[#This Row],[COSTO UNIT base]]*SNGABRIEL[[#This Row],[Conversión]]),"")</f>
        <v>1.0303550000000001</v>
      </c>
      <c r="AA28" s="276">
        <f>+IFERROR(IF(SNGABRIEL[[#This Row],[CODIGO]]="","",SNGABRIEL[[#This Row],[COSTO UNIT Conv]]*SNGABRIEL[[#This Row],[Stock Actual Kgs]]),"")</f>
        <v>16.640233250000001</v>
      </c>
      <c r="AB28" s="52">
        <f ca="1">+IFERROR(IF(SNGABRIEL[[#This Row],[CODIGO]]="","",$J$3-O29),"")</f>
        <v>28</v>
      </c>
      <c r="AC28" s="277" t="str">
        <f ca="1">IF(SNGABRIEL[[#This Row],[CODIGO]]="","",IF(S28&lt;=0,"CADUCADO",IF(AND(S28&gt;0,S28&lt;=21),"FECHA CORTA",IF(AND(S28&gt;=22,S28&lt;=26),"PROXIMOS FECHA CORTA", "VIGENTE"))))</f>
        <v>FECHA CORTA</v>
      </c>
      <c r="AD28" s="54">
        <f>+IFERROR(IF(SNGABRIEL[[#This Row],[CODIGO]]="","",SNGABRIEL[[#This Row],[Stock Actual Unds]]*SNGABRIEL[[#This Row],[Gramaje]]*SNGABRIEL[[#This Row],[Conversión]]),"")/1000</f>
        <v>1.6149999999999998E-2</v>
      </c>
    </row>
    <row r="29" spans="1:30">
      <c r="A29" s="49"/>
      <c r="B29" s="49"/>
      <c r="C29" s="49"/>
      <c r="D29" s="49"/>
      <c r="E29" s="49"/>
      <c r="F29" s="49" t="str">
        <f>IF(GUAYAQUIL[[#This Row],[CODIGO]]="","",$K$6)</f>
        <v>SAN GABRIEL</v>
      </c>
      <c r="G29" s="49">
        <f>IF(SNGABRIEL[[#This Row],[CODIGO]]="","",7702)</f>
        <v>7702</v>
      </c>
      <c r="H29" s="49">
        <f>IF(SNGABRIEL[[#This Row],[CODIGO]]="","",1001)</f>
        <v>1001</v>
      </c>
      <c r="I29" s="271" t="s">
        <v>3055</v>
      </c>
      <c r="J29" s="50" t="str">
        <f>IFERROR((VLOOKUP(SNGABRIEL[[#This Row],[CODIGO]],MAESTRO!A:B,2,FALSE)),"")</f>
        <v>YOG BBLE KIOSKO DZNO BOT 950G</v>
      </c>
      <c r="K29" s="273"/>
      <c r="L29" s="246">
        <f>+IFERROR(IF(SNGABRIEL[[#This Row],[CODIGO]]="","",VLOOKUP(SNGABRIEL[[#This Row],[CODIGO]],MAESTRO!$A:$BI,58,FALSE)),"")</f>
        <v>1</v>
      </c>
      <c r="M29" s="187">
        <f>IFERROR(IF(SNGABRIEL[[#This Row],[CODIGO]]="","",VLOOKUP(SNGABRIEL[[#This Row],[CODIGO]],MAESTRO!A:N,14,FALSE)),"")</f>
        <v>0.95</v>
      </c>
      <c r="N29" s="247">
        <f>+IFERROR(IF(SNGABRIEL[[#This Row],[CODIGO]]="","",VLOOKUP(SNGABRIEL[[#This Row],[CODIGO]],MAESTRO!A:P,16,FALSE)),"")</f>
        <v>45</v>
      </c>
      <c r="O29" s="51">
        <f>+IFERROR(IF(SNGABRIEL[[#This Row],[CODIGO]]="","",SNGABRIEL[[#This Row],[Fecha Elab.]]),"")</f>
        <v>45596</v>
      </c>
      <c r="P29" s="73" t="str">
        <f t="shared" si="0"/>
        <v>jueves</v>
      </c>
      <c r="Q29" s="272">
        <f>IFERROR(IF(SNGABRIEL[[#This Row],[CODIGO]]="","",IF(SNGABRIEL[[#This Row],[Fecha Cad]]="","",(SNGABRIEL[[#This Row],[Fecha Cad]]-SNGABRIEL[[#This Row],[VIDA UTIL (Días)]]))+1),"")</f>
        <v>45596</v>
      </c>
      <c r="R29" s="51">
        <v>45640</v>
      </c>
      <c r="S29" s="52">
        <f t="shared" ca="1" si="1"/>
        <v>16</v>
      </c>
      <c r="T29" s="53">
        <f t="shared" ca="1" si="2"/>
        <v>0.35555555555555557</v>
      </c>
      <c r="U29" s="273">
        <v>14</v>
      </c>
      <c r="V29" s="274">
        <f>+IFERROR(IF(SNGABRIEL[[#This Row],[CODIGO]]="","",SNGABRIEL[[#This Row],[Stock Actual Unds]]*SNGABRIEL[[#This Row],[Gramaje]]*SNGABRIEL[[#This Row],[Conversión]]),"")</f>
        <v>13.299999999999999</v>
      </c>
      <c r="W29" s="274">
        <f>+IFERROR(IF(SNGABRIEL[[#This Row],[CODIGO]]="","",SNGABRIEL[[#This Row],[Fecha de Ingreso]]-SNGABRIEL[[#This Row],[Fecha Elab.]]),"")</f>
        <v>0</v>
      </c>
      <c r="X29" s="275">
        <f t="shared" si="3"/>
        <v>1</v>
      </c>
      <c r="Y29" s="242">
        <f>IFERROR(VLOOKUP(SNGABRIEL[[#This Row],[CODIGO]],MAESTRO!A:BI,21,FALSE),0)</f>
        <v>1.055175</v>
      </c>
      <c r="Z29" s="242">
        <f>+IFERROR(IF(SNGABRIEL[[#This Row],[CODIGO]]="","",SNGABRIEL[[#This Row],[COSTO UNIT base]]*SNGABRIEL[[#This Row],[Conversión]]),"")</f>
        <v>1.055175</v>
      </c>
      <c r="AA29" s="276">
        <f>+IFERROR(IF(SNGABRIEL[[#This Row],[CODIGO]]="","",SNGABRIEL[[#This Row],[COSTO UNIT Conv]]*SNGABRIEL[[#This Row],[Stock Actual Kgs]]),"")</f>
        <v>14.033827499999999</v>
      </c>
      <c r="AB29" s="52">
        <f ca="1">+IFERROR(IF(SNGABRIEL[[#This Row],[CODIGO]]="","",$J$3-O30),"")</f>
        <v>28</v>
      </c>
      <c r="AC29" s="277" t="str">
        <f ca="1">IF(SNGABRIEL[[#This Row],[CODIGO]]="","",IF(S29&lt;=0,"CADUCADO",IF(AND(S29&gt;0,S29&lt;=21),"FECHA CORTA",IF(AND(S29&gt;=22,S29&lt;=26),"PROXIMOS FECHA CORTA", "VIGENTE"))))</f>
        <v>FECHA CORTA</v>
      </c>
      <c r="AD29" s="54">
        <f>+IFERROR(IF(SNGABRIEL[[#This Row],[CODIGO]]="","",SNGABRIEL[[#This Row],[Stock Actual Unds]]*SNGABRIEL[[#This Row],[Gramaje]]*SNGABRIEL[[#This Row],[Conversión]]),"")/1000</f>
        <v>1.3299999999999999E-2</v>
      </c>
    </row>
    <row r="30" spans="1:30">
      <c r="A30" s="49"/>
      <c r="B30" s="49"/>
      <c r="C30" s="49"/>
      <c r="D30" s="49"/>
      <c r="E30" s="49"/>
      <c r="F30" s="49" t="str">
        <f>IF(GUAYAQUIL[[#This Row],[CODIGO]]="","",$K$6)</f>
        <v>SAN GABRIEL</v>
      </c>
      <c r="G30" s="49">
        <f>IF(SNGABRIEL[[#This Row],[CODIGO]]="","",7702)</f>
        <v>7702</v>
      </c>
      <c r="H30" s="49">
        <f>IF(SNGABRIEL[[#This Row],[CODIGO]]="","",1001)</f>
        <v>1001</v>
      </c>
      <c r="I30" s="271" t="s">
        <v>3212</v>
      </c>
      <c r="J30" s="50" t="str">
        <f>IFERROR((VLOOKUP(SNGABRIEL[[#This Row],[CODIGO]],MAESTRO!A:B,2,FALSE)),"")</f>
        <v>RGN BBLE FTLLA BOT 180G</v>
      </c>
      <c r="K30" s="273"/>
      <c r="L30" s="246">
        <f>+IFERROR(IF(SNGABRIEL[[#This Row],[CODIGO]]="","",VLOOKUP(SNGABRIEL[[#This Row],[CODIGO]],MAESTRO!$A:$BI,58,FALSE)),"")</f>
        <v>1</v>
      </c>
      <c r="M30" s="187">
        <f>IFERROR(IF(SNGABRIEL[[#This Row],[CODIGO]]="","",VLOOKUP(SNGABRIEL[[#This Row],[CODIGO]],MAESTRO!A:N,14,FALSE)),"")</f>
        <v>0.18</v>
      </c>
      <c r="N30" s="247">
        <f>+IFERROR(IF(SNGABRIEL[[#This Row],[CODIGO]]="","",VLOOKUP(SNGABRIEL[[#This Row],[CODIGO]],MAESTRO!A:P,16,FALSE)),"")</f>
        <v>45</v>
      </c>
      <c r="O30" s="51">
        <f>+IFERROR(IF(SNGABRIEL[[#This Row],[CODIGO]]="","",SNGABRIEL[[#This Row],[Fecha Elab.]]),"")</f>
        <v>45596</v>
      </c>
      <c r="P30" s="73" t="str">
        <f t="shared" si="0"/>
        <v>jueves</v>
      </c>
      <c r="Q30" s="272">
        <f>IFERROR(IF(SNGABRIEL[[#This Row],[CODIGO]]="","",IF(SNGABRIEL[[#This Row],[Fecha Cad]]="","",(SNGABRIEL[[#This Row],[Fecha Cad]]-SNGABRIEL[[#This Row],[VIDA UTIL (Días)]]))+1),"")</f>
        <v>45596</v>
      </c>
      <c r="R30" s="51">
        <v>45640</v>
      </c>
      <c r="S30" s="52">
        <f t="shared" ca="1" si="1"/>
        <v>16</v>
      </c>
      <c r="T30" s="53">
        <f t="shared" ca="1" si="2"/>
        <v>0.35555555555555557</v>
      </c>
      <c r="U30" s="273">
        <v>242</v>
      </c>
      <c r="V30" s="274">
        <f>+IFERROR(IF(SNGABRIEL[[#This Row],[CODIGO]]="","",SNGABRIEL[[#This Row],[Stock Actual Unds]]*SNGABRIEL[[#This Row],[Gramaje]]*SNGABRIEL[[#This Row],[Conversión]]),"")</f>
        <v>43.559999999999995</v>
      </c>
      <c r="W30" s="274">
        <f>+IFERROR(IF(SNGABRIEL[[#This Row],[CODIGO]]="","",SNGABRIEL[[#This Row],[Fecha de Ingreso]]-SNGABRIEL[[#This Row],[Fecha Elab.]]),"")</f>
        <v>0</v>
      </c>
      <c r="X30" s="275">
        <f t="shared" si="3"/>
        <v>1</v>
      </c>
      <c r="Y30" s="242">
        <f>IFERROR(VLOOKUP(SNGABRIEL[[#This Row],[CODIGO]],MAESTRO!A:BI,21,FALSE),0)</f>
        <v>0.30145500000000003</v>
      </c>
      <c r="Z30" s="242">
        <f>+IFERROR(IF(SNGABRIEL[[#This Row],[CODIGO]]="","",SNGABRIEL[[#This Row],[COSTO UNIT base]]*SNGABRIEL[[#This Row],[Conversión]]),"")</f>
        <v>0.30145500000000003</v>
      </c>
      <c r="AA30" s="276">
        <f>+IFERROR(IF(SNGABRIEL[[#This Row],[CODIGO]]="","",SNGABRIEL[[#This Row],[COSTO UNIT Conv]]*SNGABRIEL[[#This Row],[Stock Actual Kgs]]),"")</f>
        <v>13.131379799999999</v>
      </c>
      <c r="AB30" s="52">
        <f ca="1">+IFERROR(IF(SNGABRIEL[[#This Row],[CODIGO]]="","",$J$3-O31),"")</f>
        <v>28</v>
      </c>
      <c r="AC30" s="277" t="str">
        <f ca="1">IF(SNGABRIEL[[#This Row],[CODIGO]]="","",IF(S30&lt;=0,"CADUCADO",IF(AND(S30&gt;0,S30&lt;=21),"FECHA CORTA",IF(AND(S30&gt;=22,S30&lt;=26),"PROXIMOS FECHA CORTA", "VIGENTE"))))</f>
        <v>FECHA CORTA</v>
      </c>
      <c r="AD30" s="54">
        <f>+IFERROR(IF(SNGABRIEL[[#This Row],[CODIGO]]="","",SNGABRIEL[[#This Row],[Stock Actual Unds]]*SNGABRIEL[[#This Row],[Gramaje]]*SNGABRIEL[[#This Row],[Conversión]]),"")/1000</f>
        <v>4.3559999999999995E-2</v>
      </c>
    </row>
    <row r="31" spans="1:30">
      <c r="A31" s="49"/>
      <c r="B31" s="49"/>
      <c r="C31" s="49"/>
      <c r="D31" s="49"/>
      <c r="E31" s="49"/>
      <c r="F31" s="49" t="str">
        <f>IF(GUAYAQUIL[[#This Row],[CODIGO]]="","",$K$6)</f>
        <v>SAN GABRIEL</v>
      </c>
      <c r="G31" s="49">
        <f>IF(SNGABRIEL[[#This Row],[CODIGO]]="","",7702)</f>
        <v>7702</v>
      </c>
      <c r="H31" s="49">
        <f>IF(SNGABRIEL[[#This Row],[CODIGO]]="","",1001)</f>
        <v>1001</v>
      </c>
      <c r="I31" s="271" t="s">
        <v>3127</v>
      </c>
      <c r="J31" s="50" t="str">
        <f>IFERROR((VLOOKUP(SNGABRIEL[[#This Row],[CODIGO]],MAESTRO!A:B,2,FALSE)),"")</f>
        <v>RGN TZOS MOR BOT 1000G</v>
      </c>
      <c r="K31" s="273"/>
      <c r="L31" s="246">
        <f>+IFERROR(IF(SNGABRIEL[[#This Row],[CODIGO]]="","",VLOOKUP(SNGABRIEL[[#This Row],[CODIGO]],MAESTRO!$A:$BI,58,FALSE)),"")</f>
        <v>1</v>
      </c>
      <c r="M31" s="187">
        <f>IFERROR(IF(SNGABRIEL[[#This Row],[CODIGO]]="","",VLOOKUP(SNGABRIEL[[#This Row],[CODIGO]],MAESTRO!A:N,14,FALSE)),"")</f>
        <v>1</v>
      </c>
      <c r="N31" s="247">
        <f>+IFERROR(IF(SNGABRIEL[[#This Row],[CODIGO]]="","",VLOOKUP(SNGABRIEL[[#This Row],[CODIGO]],MAESTRO!A:P,16,FALSE)),"")</f>
        <v>45</v>
      </c>
      <c r="O31" s="51">
        <f>+IFERROR(IF(SNGABRIEL[[#This Row],[CODIGO]]="","",SNGABRIEL[[#This Row],[Fecha Elab.]]),"")</f>
        <v>45596</v>
      </c>
      <c r="P31" s="73" t="str">
        <f t="shared" si="0"/>
        <v>jueves</v>
      </c>
      <c r="Q31" s="272">
        <f>IFERROR(IF(SNGABRIEL[[#This Row],[CODIGO]]="","",IF(SNGABRIEL[[#This Row],[Fecha Cad]]="","",(SNGABRIEL[[#This Row],[Fecha Cad]]-SNGABRIEL[[#This Row],[VIDA UTIL (Días)]]))+1),"")</f>
        <v>45596</v>
      </c>
      <c r="R31" s="51">
        <v>45640</v>
      </c>
      <c r="S31" s="52">
        <f t="shared" ca="1" si="1"/>
        <v>16</v>
      </c>
      <c r="T31" s="53">
        <f t="shared" ca="1" si="2"/>
        <v>0.35555555555555557</v>
      </c>
      <c r="U31" s="273">
        <v>9</v>
      </c>
      <c r="V31" s="274">
        <f>+IFERROR(IF(SNGABRIEL[[#This Row],[CODIGO]]="","",SNGABRIEL[[#This Row],[Stock Actual Unds]]*SNGABRIEL[[#This Row],[Gramaje]]*SNGABRIEL[[#This Row],[Conversión]]),"")</f>
        <v>9</v>
      </c>
      <c r="W31" s="274">
        <f>+IFERROR(IF(SNGABRIEL[[#This Row],[CODIGO]]="","",SNGABRIEL[[#This Row],[Fecha de Ingreso]]-SNGABRIEL[[#This Row],[Fecha Elab.]]),"")</f>
        <v>0</v>
      </c>
      <c r="X31" s="275">
        <f t="shared" si="3"/>
        <v>1</v>
      </c>
      <c r="Y31" s="242">
        <f>IFERROR(VLOOKUP(SNGABRIEL[[#This Row],[CODIGO]],MAESTRO!A:BI,21,FALSE),0)</f>
        <v>1.4067150000000002</v>
      </c>
      <c r="Z31" s="242">
        <f>+IFERROR(IF(SNGABRIEL[[#This Row],[CODIGO]]="","",SNGABRIEL[[#This Row],[COSTO UNIT base]]*SNGABRIEL[[#This Row],[Conversión]]),"")</f>
        <v>1.4067150000000002</v>
      </c>
      <c r="AA31" s="276">
        <f>+IFERROR(IF(SNGABRIEL[[#This Row],[CODIGO]]="","",SNGABRIEL[[#This Row],[COSTO UNIT Conv]]*SNGABRIEL[[#This Row],[Stock Actual Kgs]]),"")</f>
        <v>12.660435000000001</v>
      </c>
      <c r="AB31" s="52">
        <f ca="1">+IFERROR(IF(SNGABRIEL[[#This Row],[CODIGO]]="","",$J$3-O32),"")</f>
        <v>28</v>
      </c>
      <c r="AC31" s="277" t="str">
        <f ca="1">IF(SNGABRIEL[[#This Row],[CODIGO]]="","",IF(S31&lt;=0,"CADUCADO",IF(AND(S31&gt;0,S31&lt;=21),"FECHA CORTA",IF(AND(S31&gt;=22,S31&lt;=26),"PROXIMOS FECHA CORTA", "VIGENTE"))))</f>
        <v>FECHA CORTA</v>
      </c>
      <c r="AD31" s="54">
        <f>+IFERROR(IF(SNGABRIEL[[#This Row],[CODIGO]]="","",SNGABRIEL[[#This Row],[Stock Actual Unds]]*SNGABRIEL[[#This Row],[Gramaje]]*SNGABRIEL[[#This Row],[Conversión]]),"")/1000</f>
        <v>8.9999999999999993E-3</v>
      </c>
    </row>
    <row r="32" spans="1:30">
      <c r="A32" s="49"/>
      <c r="B32" s="49"/>
      <c r="C32" s="49"/>
      <c r="D32" s="49"/>
      <c r="E32" s="49"/>
      <c r="F32" s="49" t="str">
        <f>IF(GUAYAQUIL[[#This Row],[CODIGO]]="","",$K$6)</f>
        <v>SAN GABRIEL</v>
      </c>
      <c r="G32" s="49">
        <f>IF(SNGABRIEL[[#This Row],[CODIGO]]="","",7702)</f>
        <v>7702</v>
      </c>
      <c r="H32" s="49">
        <f>IF(SNGABRIEL[[#This Row],[CODIGO]]="","",1001)</f>
        <v>1001</v>
      </c>
      <c r="I32" s="271" t="s">
        <v>920</v>
      </c>
      <c r="J32" s="50" t="str">
        <f>IFERROR((VLOOKUP(SNGABRIEL[[#This Row],[CODIGO]],MAESTRO!A:B,2,FALSE)),"")</f>
        <v>YOG BBLE KIOSKO DZNO 180</v>
      </c>
      <c r="K32" s="273"/>
      <c r="L32" s="246">
        <f>+IFERROR(IF(SNGABRIEL[[#This Row],[CODIGO]]="","",VLOOKUP(SNGABRIEL[[#This Row],[CODIGO]],MAESTRO!$A:$BI,58,FALSE)),"")</f>
        <v>1</v>
      </c>
      <c r="M32" s="187">
        <f>IFERROR(IF(SNGABRIEL[[#This Row],[CODIGO]]="","",VLOOKUP(SNGABRIEL[[#This Row],[CODIGO]],MAESTRO!A:N,14,FALSE)),"")</f>
        <v>0.18</v>
      </c>
      <c r="N32" s="247">
        <f>+IFERROR(IF(SNGABRIEL[[#This Row],[CODIGO]]="","",VLOOKUP(SNGABRIEL[[#This Row],[CODIGO]],MAESTRO!A:P,16,FALSE)),"")</f>
        <v>45</v>
      </c>
      <c r="O32" s="51">
        <f>+IFERROR(IF(SNGABRIEL[[#This Row],[CODIGO]]="","",SNGABRIEL[[#This Row],[Fecha Elab.]]),"")</f>
        <v>45596</v>
      </c>
      <c r="P32" s="73" t="str">
        <f t="shared" si="0"/>
        <v>jueves</v>
      </c>
      <c r="Q32" s="272">
        <f>IFERROR(IF(SNGABRIEL[[#This Row],[CODIGO]]="","",IF(SNGABRIEL[[#This Row],[Fecha Cad]]="","",(SNGABRIEL[[#This Row],[Fecha Cad]]-SNGABRIEL[[#This Row],[VIDA UTIL (Días)]]))+1),"")</f>
        <v>45596</v>
      </c>
      <c r="R32" s="51">
        <v>45640</v>
      </c>
      <c r="S32" s="52">
        <f t="shared" ca="1" si="1"/>
        <v>16</v>
      </c>
      <c r="T32" s="53">
        <f t="shared" ca="1" si="2"/>
        <v>0.35555555555555557</v>
      </c>
      <c r="U32" s="273">
        <v>33</v>
      </c>
      <c r="V32" s="274">
        <f>+IFERROR(IF(SNGABRIEL[[#This Row],[CODIGO]]="","",SNGABRIEL[[#This Row],[Stock Actual Unds]]*SNGABRIEL[[#This Row],[Gramaje]]*SNGABRIEL[[#This Row],[Conversión]]),"")</f>
        <v>5.9399999999999995</v>
      </c>
      <c r="W32" s="274">
        <f>+IFERROR(IF(SNGABRIEL[[#This Row],[CODIGO]]="","",SNGABRIEL[[#This Row],[Fecha de Ingreso]]-SNGABRIEL[[#This Row],[Fecha Elab.]]),"")</f>
        <v>0</v>
      </c>
      <c r="X32" s="275">
        <f t="shared" si="3"/>
        <v>1</v>
      </c>
      <c r="Y32" s="242">
        <f>IFERROR(VLOOKUP(SNGABRIEL[[#This Row],[CODIGO]],MAESTRO!A:BI,21,FALSE),0)</f>
        <v>0.24857499999999999</v>
      </c>
      <c r="Z32" s="242">
        <f>+IFERROR(IF(SNGABRIEL[[#This Row],[CODIGO]]="","",SNGABRIEL[[#This Row],[COSTO UNIT base]]*SNGABRIEL[[#This Row],[Conversión]]),"")</f>
        <v>0.24857499999999999</v>
      </c>
      <c r="AA32" s="276">
        <f>+IFERROR(IF(SNGABRIEL[[#This Row],[CODIGO]]="","",SNGABRIEL[[#This Row],[COSTO UNIT Conv]]*SNGABRIEL[[#This Row],[Stock Actual Kgs]]),"")</f>
        <v>1.4765354999999998</v>
      </c>
      <c r="AB32" s="52">
        <f ca="1">+IFERROR(IF(SNGABRIEL[[#This Row],[CODIGO]]="","",$J$3-O33),"")</f>
        <v>28</v>
      </c>
      <c r="AC32" s="277" t="str">
        <f ca="1">IF(SNGABRIEL[[#This Row],[CODIGO]]="","",IF(S32&lt;=0,"CADUCADO",IF(AND(S32&gt;0,S32&lt;=21),"FECHA CORTA",IF(AND(S32&gt;=22,S32&lt;=26),"PROXIMOS FECHA CORTA", "VIGENTE"))))</f>
        <v>FECHA CORTA</v>
      </c>
      <c r="AD32" s="54">
        <f>+IFERROR(IF(SNGABRIEL[[#This Row],[CODIGO]]="","",SNGABRIEL[[#This Row],[Stock Actual Unds]]*SNGABRIEL[[#This Row],[Gramaje]]*SNGABRIEL[[#This Row],[Conversión]]),"")/1000</f>
        <v>5.9399999999999991E-3</v>
      </c>
    </row>
    <row r="33" spans="1:30">
      <c r="A33" s="49"/>
      <c r="B33" s="49"/>
      <c r="C33" s="49"/>
      <c r="D33" s="49"/>
      <c r="E33" s="49"/>
      <c r="F33" s="49" t="str">
        <f>IF(GUAYAQUIL[[#This Row],[CODIGO]]="","",$K$6)</f>
        <v>SAN GABRIEL</v>
      </c>
      <c r="G33" s="49">
        <f>IF(SNGABRIEL[[#This Row],[CODIGO]]="","",7702)</f>
        <v>7702</v>
      </c>
      <c r="H33" s="49">
        <f>IF(SNGABRIEL[[#This Row],[CODIGO]]="","",1001)</f>
        <v>1001</v>
      </c>
      <c r="I33" s="271" t="s">
        <v>4019</v>
      </c>
      <c r="J33" s="50" t="str">
        <f>IFERROR((VLOOKUP(SNGABRIEL[[#This Row],[CODIGO]],MAESTRO!A:B,2,FALSE)),"")</f>
        <v>YOG BBLE KIOSKO FTILLA 180</v>
      </c>
      <c r="K33" s="273"/>
      <c r="L33" s="246">
        <f>+IFERROR(IF(SNGABRIEL[[#This Row],[CODIGO]]="","",VLOOKUP(SNGABRIEL[[#This Row],[CODIGO]],MAESTRO!$A:$BI,58,FALSE)),"")</f>
        <v>1</v>
      </c>
      <c r="M33" s="187">
        <f>IFERROR(IF(SNGABRIEL[[#This Row],[CODIGO]]="","",VLOOKUP(SNGABRIEL[[#This Row],[CODIGO]],MAESTRO!A:N,14,FALSE)),"")</f>
        <v>0.18</v>
      </c>
      <c r="N33" s="247">
        <f>+IFERROR(IF(SNGABRIEL[[#This Row],[CODIGO]]="","",VLOOKUP(SNGABRIEL[[#This Row],[CODIGO]],MAESTRO!A:P,16,FALSE)),"")</f>
        <v>45</v>
      </c>
      <c r="O33" s="51">
        <f>+IFERROR(IF(SNGABRIEL[[#This Row],[CODIGO]]="","",SNGABRIEL[[#This Row],[Fecha Elab.]]),"")</f>
        <v>45596</v>
      </c>
      <c r="P33" s="73" t="str">
        <f t="shared" si="0"/>
        <v>jueves</v>
      </c>
      <c r="Q33" s="272">
        <f>IFERROR(IF(SNGABRIEL[[#This Row],[CODIGO]]="","",IF(SNGABRIEL[[#This Row],[Fecha Cad]]="","",(SNGABRIEL[[#This Row],[Fecha Cad]]-SNGABRIEL[[#This Row],[VIDA UTIL (Días)]]))+1),"")</f>
        <v>45596</v>
      </c>
      <c r="R33" s="51">
        <v>45640</v>
      </c>
      <c r="S33" s="52">
        <f t="shared" ca="1" si="1"/>
        <v>16</v>
      </c>
      <c r="T33" s="53">
        <f t="shared" ca="1" si="2"/>
        <v>0.35555555555555557</v>
      </c>
      <c r="U33" s="273">
        <v>17</v>
      </c>
      <c r="V33" s="274">
        <f>+IFERROR(IF(SNGABRIEL[[#This Row],[CODIGO]]="","",SNGABRIEL[[#This Row],[Stock Actual Unds]]*SNGABRIEL[[#This Row],[Gramaje]]*SNGABRIEL[[#This Row],[Conversión]]),"")</f>
        <v>3.06</v>
      </c>
      <c r="W33" s="274">
        <f>+IFERROR(IF(SNGABRIEL[[#This Row],[CODIGO]]="","",SNGABRIEL[[#This Row],[Fecha de Ingreso]]-SNGABRIEL[[#This Row],[Fecha Elab.]]),"")</f>
        <v>0</v>
      </c>
      <c r="X33" s="275">
        <f t="shared" si="3"/>
        <v>1</v>
      </c>
      <c r="Y33" s="242">
        <f>IFERROR(VLOOKUP(SNGABRIEL[[#This Row],[CODIGO]],MAESTRO!A:BI,21,FALSE),0)</f>
        <v>0.24412500000000001</v>
      </c>
      <c r="Z33" s="242">
        <f>+IFERROR(IF(SNGABRIEL[[#This Row],[CODIGO]]="","",SNGABRIEL[[#This Row],[COSTO UNIT base]]*SNGABRIEL[[#This Row],[Conversión]]),"")</f>
        <v>0.24412500000000001</v>
      </c>
      <c r="AA33" s="276">
        <f>+IFERROR(IF(SNGABRIEL[[#This Row],[CODIGO]]="","",SNGABRIEL[[#This Row],[COSTO UNIT Conv]]*SNGABRIEL[[#This Row],[Stock Actual Kgs]]),"")</f>
        <v>0.74702250000000003</v>
      </c>
      <c r="AB33" s="52">
        <f ca="1">+IFERROR(IF(SNGABRIEL[[#This Row],[CODIGO]]="","",$J$3-O34),"")</f>
        <v>28</v>
      </c>
      <c r="AC33" s="277" t="str">
        <f ca="1">IF(SNGABRIEL[[#This Row],[CODIGO]]="","",IF(S33&lt;=0,"CADUCADO",IF(AND(S33&gt;0,S33&lt;=21),"FECHA CORTA",IF(AND(S33&gt;=22,S33&lt;=26),"PROXIMOS FECHA CORTA", "VIGENTE"))))</f>
        <v>FECHA CORTA</v>
      </c>
      <c r="AD33" s="54">
        <f>+IFERROR(IF(SNGABRIEL[[#This Row],[CODIGO]]="","",SNGABRIEL[[#This Row],[Stock Actual Unds]]*SNGABRIEL[[#This Row],[Gramaje]]*SNGABRIEL[[#This Row],[Conversión]]),"")/1000</f>
        <v>3.0600000000000002E-3</v>
      </c>
    </row>
    <row r="34" spans="1:30">
      <c r="A34" s="49"/>
      <c r="B34" s="49"/>
      <c r="C34" s="49"/>
      <c r="D34" s="49"/>
      <c r="E34" s="49"/>
      <c r="F34" s="49" t="str">
        <f>IF(GUAYAQUIL[[#This Row],[CODIGO]]="","",$K$6)</f>
        <v>SAN GABRIEL</v>
      </c>
      <c r="G34" s="49">
        <f>IF(SNGABRIEL[[#This Row],[CODIGO]]="","",7702)</f>
        <v>7702</v>
      </c>
      <c r="H34" s="49">
        <f>IF(SNGABRIEL[[#This Row],[CODIGO]]="","",1001)</f>
        <v>1001</v>
      </c>
      <c r="I34" s="271" t="s">
        <v>1543</v>
      </c>
      <c r="J34" s="50" t="str">
        <f>IFERROR((VLOOKUP(SNGABRIEL[[#This Row],[CODIGO]],MAESTRO!A:B,2,FALSE)),"")</f>
        <v>YOG BBLE KIOSKO MORA 180</v>
      </c>
      <c r="K34" s="273"/>
      <c r="L34" s="246">
        <f>+IFERROR(IF(SNGABRIEL[[#This Row],[CODIGO]]="","",VLOOKUP(SNGABRIEL[[#This Row],[CODIGO]],MAESTRO!$A:$BI,58,FALSE)),"")</f>
        <v>1</v>
      </c>
      <c r="M34" s="187">
        <f>IFERROR(IF(SNGABRIEL[[#This Row],[CODIGO]]="","",VLOOKUP(SNGABRIEL[[#This Row],[CODIGO]],MAESTRO!A:N,14,FALSE)),"")</f>
        <v>0.18</v>
      </c>
      <c r="N34" s="247">
        <f>+IFERROR(IF(SNGABRIEL[[#This Row],[CODIGO]]="","",VLOOKUP(SNGABRIEL[[#This Row],[CODIGO]],MAESTRO!A:P,16,FALSE)),"")</f>
        <v>45</v>
      </c>
      <c r="O34" s="51">
        <f>+IFERROR(IF(SNGABRIEL[[#This Row],[CODIGO]]="","",SNGABRIEL[[#This Row],[Fecha Elab.]]),"")</f>
        <v>45596</v>
      </c>
      <c r="P34" s="73" t="str">
        <f t="shared" si="0"/>
        <v>jueves</v>
      </c>
      <c r="Q34" s="272">
        <f>IFERROR(IF(SNGABRIEL[[#This Row],[CODIGO]]="","",IF(SNGABRIEL[[#This Row],[Fecha Cad]]="","",(SNGABRIEL[[#This Row],[Fecha Cad]]-SNGABRIEL[[#This Row],[VIDA UTIL (Días)]]))+1),"")</f>
        <v>45596</v>
      </c>
      <c r="R34" s="51">
        <v>45640</v>
      </c>
      <c r="S34" s="52">
        <f t="shared" ca="1" si="1"/>
        <v>16</v>
      </c>
      <c r="T34" s="53">
        <f t="shared" ca="1" si="2"/>
        <v>0.35555555555555557</v>
      </c>
      <c r="U34" s="273">
        <v>44</v>
      </c>
      <c r="V34" s="274">
        <f>+IFERROR(IF(SNGABRIEL[[#This Row],[CODIGO]]="","",SNGABRIEL[[#This Row],[Stock Actual Unds]]*SNGABRIEL[[#This Row],[Gramaje]]*SNGABRIEL[[#This Row],[Conversión]]),"")</f>
        <v>7.92</v>
      </c>
      <c r="W34" s="274">
        <f>+IFERROR(IF(SNGABRIEL[[#This Row],[CODIGO]]="","",SNGABRIEL[[#This Row],[Fecha de Ingreso]]-SNGABRIEL[[#This Row],[Fecha Elab.]]),"")</f>
        <v>0</v>
      </c>
      <c r="X34" s="275">
        <f t="shared" si="3"/>
        <v>1</v>
      </c>
      <c r="Y34" s="242">
        <f>IFERROR(VLOOKUP(SNGABRIEL[[#This Row],[CODIGO]],MAESTRO!A:BI,21,FALSE),0)</f>
        <v>0.243175</v>
      </c>
      <c r="Z34" s="242">
        <f>+IFERROR(IF(SNGABRIEL[[#This Row],[CODIGO]]="","",SNGABRIEL[[#This Row],[COSTO UNIT base]]*SNGABRIEL[[#This Row],[Conversión]]),"")</f>
        <v>0.243175</v>
      </c>
      <c r="AA34" s="276">
        <f>+IFERROR(IF(SNGABRIEL[[#This Row],[CODIGO]]="","",SNGABRIEL[[#This Row],[COSTO UNIT Conv]]*SNGABRIEL[[#This Row],[Stock Actual Kgs]]),"")</f>
        <v>1.9259459999999999</v>
      </c>
      <c r="AB34" s="52">
        <f ca="1">+IFERROR(IF(SNGABRIEL[[#This Row],[CODIGO]]="","",$J$3-O35),"")</f>
        <v>28</v>
      </c>
      <c r="AC34" s="277" t="str">
        <f ca="1">IF(SNGABRIEL[[#This Row],[CODIGO]]="","",IF(S34&lt;=0,"CADUCADO",IF(AND(S34&gt;0,S34&lt;=21),"FECHA CORTA",IF(AND(S34&gt;=22,S34&lt;=26),"PROXIMOS FECHA CORTA", "VIGENTE"))))</f>
        <v>FECHA CORTA</v>
      </c>
      <c r="AD34" s="54">
        <f>+IFERROR(IF(SNGABRIEL[[#This Row],[CODIGO]]="","",SNGABRIEL[[#This Row],[Stock Actual Unds]]*SNGABRIEL[[#This Row],[Gramaje]]*SNGABRIEL[[#This Row],[Conversión]]),"")/1000</f>
        <v>7.92E-3</v>
      </c>
    </row>
    <row r="35" spans="1:30">
      <c r="A35" s="49"/>
      <c r="B35" s="49"/>
      <c r="C35" s="49"/>
      <c r="D35" s="49"/>
      <c r="E35" s="49"/>
      <c r="F35" s="49" t="str">
        <f>IF(GUAYAQUIL[[#This Row],[CODIGO]]="","",$K$6)</f>
        <v>SAN GABRIEL</v>
      </c>
      <c r="G35" s="49">
        <f>IF(SNGABRIEL[[#This Row],[CODIGO]]="","",7702)</f>
        <v>7702</v>
      </c>
      <c r="H35" s="49">
        <f>IF(SNGABRIEL[[#This Row],[CODIGO]]="","",1001)</f>
        <v>1001</v>
      </c>
      <c r="I35" s="271" t="s">
        <v>4413</v>
      </c>
      <c r="J35" s="50" t="str">
        <f>IFERROR((VLOOKUP(SNGABRIEL[[#This Row],[CODIGO]],MAESTRO!A:B,2,FALSE)),"")</f>
        <v>YOG FNSSE FRTROJ BOT 180G</v>
      </c>
      <c r="K35" s="273"/>
      <c r="L35" s="246">
        <f>+IFERROR(IF(SNGABRIEL[[#This Row],[CODIGO]]="","",VLOOKUP(SNGABRIEL[[#This Row],[CODIGO]],MAESTRO!$A:$BI,58,FALSE)),"")</f>
        <v>1</v>
      </c>
      <c r="M35" s="187">
        <f>IFERROR(IF(SNGABRIEL[[#This Row],[CODIGO]]="","",VLOOKUP(SNGABRIEL[[#This Row],[CODIGO]],MAESTRO!A:N,14,FALSE)),"")</f>
        <v>0.18</v>
      </c>
      <c r="N35" s="247">
        <f>+IFERROR(IF(SNGABRIEL[[#This Row],[CODIGO]]="","",VLOOKUP(SNGABRIEL[[#This Row],[CODIGO]],MAESTRO!A:P,16,FALSE)),"")</f>
        <v>45</v>
      </c>
      <c r="O35" s="51">
        <f>+IFERROR(IF(SNGABRIEL[[#This Row],[CODIGO]]="","",SNGABRIEL[[#This Row],[Fecha Elab.]]),"")</f>
        <v>45596</v>
      </c>
      <c r="P35" s="73" t="str">
        <f t="shared" si="0"/>
        <v>jueves</v>
      </c>
      <c r="Q35" s="272">
        <f>IFERROR(IF(SNGABRIEL[[#This Row],[CODIGO]]="","",IF(SNGABRIEL[[#This Row],[Fecha Cad]]="","",(SNGABRIEL[[#This Row],[Fecha Cad]]-SNGABRIEL[[#This Row],[VIDA UTIL (Días)]]))+1),"")</f>
        <v>45596</v>
      </c>
      <c r="R35" s="51">
        <v>45640</v>
      </c>
      <c r="S35" s="52">
        <f t="shared" ca="1" si="1"/>
        <v>16</v>
      </c>
      <c r="T35" s="53">
        <f t="shared" ca="1" si="2"/>
        <v>0.35555555555555557</v>
      </c>
      <c r="U35" s="273">
        <v>50</v>
      </c>
      <c r="V35" s="274">
        <f>+IFERROR(IF(SNGABRIEL[[#This Row],[CODIGO]]="","",SNGABRIEL[[#This Row],[Stock Actual Unds]]*SNGABRIEL[[#This Row],[Gramaje]]*SNGABRIEL[[#This Row],[Conversión]]),"")</f>
        <v>9</v>
      </c>
      <c r="W35" s="274">
        <f>+IFERROR(IF(SNGABRIEL[[#This Row],[CODIGO]]="","",SNGABRIEL[[#This Row],[Fecha de Ingreso]]-SNGABRIEL[[#This Row],[Fecha Elab.]]),"")</f>
        <v>0</v>
      </c>
      <c r="X35" s="275">
        <f t="shared" si="3"/>
        <v>1</v>
      </c>
      <c r="Y35" s="242">
        <f>IFERROR(VLOOKUP(SNGABRIEL[[#This Row],[CODIGO]],MAESTRO!A:BI,21,FALSE),0)</f>
        <v>0.30833500000000003</v>
      </c>
      <c r="Z35" s="242">
        <f>+IFERROR(IF(SNGABRIEL[[#This Row],[CODIGO]]="","",SNGABRIEL[[#This Row],[COSTO UNIT base]]*SNGABRIEL[[#This Row],[Conversión]]),"")</f>
        <v>0.30833500000000003</v>
      </c>
      <c r="AA35" s="276">
        <f>+IFERROR(IF(SNGABRIEL[[#This Row],[CODIGO]]="","",SNGABRIEL[[#This Row],[COSTO UNIT Conv]]*SNGABRIEL[[#This Row],[Stock Actual Kgs]]),"")</f>
        <v>2.7750150000000002</v>
      </c>
      <c r="AB35" s="52">
        <f ca="1">+IFERROR(IF(SNGABRIEL[[#This Row],[CODIGO]]="","",$J$3-O36),"")</f>
        <v>28</v>
      </c>
      <c r="AC35" s="277" t="str">
        <f ca="1">IF(SNGABRIEL[[#This Row],[CODIGO]]="","",IF(S35&lt;=0,"CADUCADO",IF(AND(S35&gt;0,S35&lt;=21),"FECHA CORTA",IF(AND(S35&gt;=22,S35&lt;=26),"PROXIMOS FECHA CORTA", "VIGENTE"))))</f>
        <v>FECHA CORTA</v>
      </c>
      <c r="AD35" s="54">
        <f>+IFERROR(IF(SNGABRIEL[[#This Row],[CODIGO]]="","",SNGABRIEL[[#This Row],[Stock Actual Unds]]*SNGABRIEL[[#This Row],[Gramaje]]*SNGABRIEL[[#This Row],[Conversión]]),"")/1000</f>
        <v>8.9999999999999993E-3</v>
      </c>
    </row>
    <row r="36" spans="1:30">
      <c r="A36" s="49"/>
      <c r="B36" s="49"/>
      <c r="C36" s="49"/>
      <c r="D36" s="49"/>
      <c r="E36" s="49"/>
      <c r="F36" s="49" t="str">
        <f>IF(GUAYAQUIL[[#This Row],[CODIGO]]="","",$K$6)</f>
        <v>SAN GABRIEL</v>
      </c>
      <c r="G36" s="49">
        <f>IF(SNGABRIEL[[#This Row],[CODIGO]]="","",7702)</f>
        <v>7702</v>
      </c>
      <c r="H36" s="49">
        <f>IF(SNGABRIEL[[#This Row],[CODIGO]]="","",1001)</f>
        <v>1001</v>
      </c>
      <c r="I36" s="271" t="s">
        <v>3002</v>
      </c>
      <c r="J36" s="50" t="str">
        <f>IFERROR((VLOOKUP(SNGABRIEL[[#This Row],[CODIGO]],MAESTRO!A:B,2,FALSE)),"")</f>
        <v>YOG FNSSE DURAZNO BOT 180G</v>
      </c>
      <c r="K36" s="273"/>
      <c r="L36" s="246">
        <f>+IFERROR(IF(SNGABRIEL[[#This Row],[CODIGO]]="","",VLOOKUP(SNGABRIEL[[#This Row],[CODIGO]],MAESTRO!$A:$BI,58,FALSE)),"")</f>
        <v>1</v>
      </c>
      <c r="M36" s="187">
        <f>IFERROR(IF(SNGABRIEL[[#This Row],[CODIGO]]="","",VLOOKUP(SNGABRIEL[[#This Row],[CODIGO]],MAESTRO!A:N,14,FALSE)),"")</f>
        <v>0.18</v>
      </c>
      <c r="N36" s="247">
        <f>+IFERROR(IF(SNGABRIEL[[#This Row],[CODIGO]]="","",VLOOKUP(SNGABRIEL[[#This Row],[CODIGO]],MAESTRO!A:P,16,FALSE)),"")</f>
        <v>45</v>
      </c>
      <c r="O36" s="51">
        <f>+IFERROR(IF(SNGABRIEL[[#This Row],[CODIGO]]="","",SNGABRIEL[[#This Row],[Fecha Elab.]]),"")</f>
        <v>45596</v>
      </c>
      <c r="P36" s="73" t="str">
        <f t="shared" si="0"/>
        <v>jueves</v>
      </c>
      <c r="Q36" s="272">
        <f>IFERROR(IF(SNGABRIEL[[#This Row],[CODIGO]]="","",IF(SNGABRIEL[[#This Row],[Fecha Cad]]="","",(SNGABRIEL[[#This Row],[Fecha Cad]]-SNGABRIEL[[#This Row],[VIDA UTIL (Días)]]))+1),"")</f>
        <v>45596</v>
      </c>
      <c r="R36" s="51">
        <v>45640</v>
      </c>
      <c r="S36" s="52">
        <f t="shared" ca="1" si="1"/>
        <v>16</v>
      </c>
      <c r="T36" s="53">
        <f t="shared" ca="1" si="2"/>
        <v>0.35555555555555557</v>
      </c>
      <c r="U36" s="273">
        <v>10</v>
      </c>
      <c r="V36" s="274">
        <f>+IFERROR(IF(SNGABRIEL[[#This Row],[CODIGO]]="","",SNGABRIEL[[#This Row],[Stock Actual Unds]]*SNGABRIEL[[#This Row],[Gramaje]]*SNGABRIEL[[#This Row],[Conversión]]),"")</f>
        <v>1.7999999999999998</v>
      </c>
      <c r="W36" s="274">
        <f>+IFERROR(IF(SNGABRIEL[[#This Row],[CODIGO]]="","",SNGABRIEL[[#This Row],[Fecha de Ingreso]]-SNGABRIEL[[#This Row],[Fecha Elab.]]),"")</f>
        <v>0</v>
      </c>
      <c r="X36" s="275">
        <f t="shared" si="3"/>
        <v>1</v>
      </c>
      <c r="Y36" s="242">
        <f>IFERROR(VLOOKUP(SNGABRIEL[[#This Row],[CODIGO]],MAESTRO!A:BI,21,FALSE),0)</f>
        <v>0.31489500000000004</v>
      </c>
      <c r="Z36" s="242">
        <f>+IFERROR(IF(SNGABRIEL[[#This Row],[CODIGO]]="","",SNGABRIEL[[#This Row],[COSTO UNIT base]]*SNGABRIEL[[#This Row],[Conversión]]),"")</f>
        <v>0.31489500000000004</v>
      </c>
      <c r="AA36" s="276">
        <f>+IFERROR(IF(SNGABRIEL[[#This Row],[CODIGO]]="","",SNGABRIEL[[#This Row],[COSTO UNIT Conv]]*SNGABRIEL[[#This Row],[Stock Actual Kgs]]),"")</f>
        <v>0.56681099999999995</v>
      </c>
      <c r="AB36" s="52" t="str">
        <f ca="1">+IFERROR(IF(SNGABRIEL[[#This Row],[CODIGO]]="","",$J$3-#REF!),"")</f>
        <v/>
      </c>
      <c r="AC36" s="277" t="str">
        <f ca="1">IF(SNGABRIEL[[#This Row],[CODIGO]]="","",IF(S36&lt;=0,"CADUCADO",IF(AND(S36&gt;0,S36&lt;=21),"FECHA CORTA",IF(AND(S36&gt;=22,S36&lt;=26),"PROXIMOS FECHA CORTA", "VIGENTE"))))</f>
        <v>FECHA CORTA</v>
      </c>
      <c r="AD36" s="54">
        <f>+IFERROR(IF(SNGABRIEL[[#This Row],[CODIGO]]="","",SNGABRIEL[[#This Row],[Stock Actual Unds]]*SNGABRIEL[[#This Row],[Gramaje]]*SNGABRIEL[[#This Row],[Conversión]]),"")/1000</f>
        <v>1.7999999999999997E-3</v>
      </c>
    </row>
    <row r="37" spans="1:30">
      <c r="A37" s="49"/>
      <c r="B37" s="49"/>
      <c r="C37" s="49"/>
      <c r="D37" s="49"/>
      <c r="E37" s="49"/>
      <c r="F37" s="49" t="str">
        <f>IF(GUAYAQUIL[[#This Row],[CODIGO]]="","",$K$6)</f>
        <v>SAN GABRIEL</v>
      </c>
      <c r="G37" s="49">
        <f>IF(SNGABRIEL[[#This Row],[CODIGO]]="","",7702)</f>
        <v>7702</v>
      </c>
      <c r="H37" s="49">
        <f>IF(SNGABRIEL[[#This Row],[CODIGO]]="","",1001)</f>
        <v>1001</v>
      </c>
      <c r="I37" s="271" t="s">
        <v>1618</v>
      </c>
      <c r="J37" s="50" t="str">
        <f>IFERROR((VLOOKUP(SNGABRIEL[[#This Row],[CODIGO]],MAESTRO!A:B,2,FALSE)),"")</f>
        <v>RGN CER GDLLA BOT 1750G</v>
      </c>
      <c r="K37" s="273"/>
      <c r="L37" s="246">
        <f>+IFERROR(IF(SNGABRIEL[[#This Row],[CODIGO]]="","",VLOOKUP(SNGABRIEL[[#This Row],[CODIGO]],MAESTRO!$A:$BI,58,FALSE)),"")</f>
        <v>1</v>
      </c>
      <c r="M37" s="187">
        <f>IFERROR(IF(SNGABRIEL[[#This Row],[CODIGO]]="","",VLOOKUP(SNGABRIEL[[#This Row],[CODIGO]],MAESTRO!A:N,14,FALSE)),"")</f>
        <v>1.75</v>
      </c>
      <c r="N37" s="247">
        <f>+IFERROR(IF(SNGABRIEL[[#This Row],[CODIGO]]="","",VLOOKUP(SNGABRIEL[[#This Row],[CODIGO]],MAESTRO!A:P,16,FALSE)),"")</f>
        <v>45</v>
      </c>
      <c r="O37" s="51">
        <f>+IFERROR(IF(SNGABRIEL[[#This Row],[CODIGO]]="","",SNGABRIEL[[#This Row],[Fecha Elab.]]),"")</f>
        <v>45597</v>
      </c>
      <c r="P37" s="73" t="str">
        <f t="shared" si="0"/>
        <v>viernes</v>
      </c>
      <c r="Q37" s="272">
        <f>IFERROR(IF(SNGABRIEL[[#This Row],[CODIGO]]="","",IF(SNGABRIEL[[#This Row],[Fecha Cad]]="","",(SNGABRIEL[[#This Row],[Fecha Cad]]-SNGABRIEL[[#This Row],[VIDA UTIL (Días)]]))+1),"")</f>
        <v>45597</v>
      </c>
      <c r="R37" s="51">
        <v>45641</v>
      </c>
      <c r="S37" s="52">
        <f t="shared" ca="1" si="1"/>
        <v>17</v>
      </c>
      <c r="T37" s="53">
        <f t="shared" ca="1" si="2"/>
        <v>0.37777777777777777</v>
      </c>
      <c r="U37" s="273">
        <v>2</v>
      </c>
      <c r="V37" s="274">
        <f>+IFERROR(IF(SNGABRIEL[[#This Row],[CODIGO]]="","",SNGABRIEL[[#This Row],[Stock Actual Unds]]*SNGABRIEL[[#This Row],[Gramaje]]*SNGABRIEL[[#This Row],[Conversión]]),"")</f>
        <v>3.5</v>
      </c>
      <c r="W37" s="274">
        <f>+IFERROR(IF(SNGABRIEL[[#This Row],[CODIGO]]="","",SNGABRIEL[[#This Row],[Fecha de Ingreso]]-SNGABRIEL[[#This Row],[Fecha Elab.]]),"")</f>
        <v>0</v>
      </c>
      <c r="X37" s="275">
        <f t="shared" si="3"/>
        <v>1</v>
      </c>
      <c r="Y37" s="242">
        <f>IFERROR(VLOOKUP(SNGABRIEL[[#This Row],[CODIGO]],MAESTRO!A:BI,21,FALSE),0)</f>
        <v>2.164625</v>
      </c>
      <c r="Z37" s="242">
        <f>+IFERROR(IF(SNGABRIEL[[#This Row],[CODIGO]]="","",SNGABRIEL[[#This Row],[COSTO UNIT base]]*SNGABRIEL[[#This Row],[Conversión]]),"")</f>
        <v>2.164625</v>
      </c>
      <c r="AA37" s="276">
        <f>+IFERROR(IF(SNGABRIEL[[#This Row],[CODIGO]]="","",SNGABRIEL[[#This Row],[COSTO UNIT Conv]]*SNGABRIEL[[#This Row],[Stock Actual Kgs]]),"")</f>
        <v>7.5761874999999996</v>
      </c>
      <c r="AB37" s="52" t="str">
        <f ca="1">+IFERROR(IF(SNGABRIEL[[#This Row],[CODIGO]]="","",$J$3-#REF!),"")</f>
        <v/>
      </c>
      <c r="AC37" s="277" t="str">
        <f ca="1">IF(SNGABRIEL[[#This Row],[CODIGO]]="","",IF(S37&lt;=0,"CADUCADO",IF(AND(S37&gt;0,S37&lt;=21),"FECHA CORTA",IF(AND(S37&gt;=22,S37&lt;=26),"PROXIMOS FECHA CORTA", "VIGENTE"))))</f>
        <v>FECHA CORTA</v>
      </c>
      <c r="AD37" s="54">
        <f>+IFERROR(IF(SNGABRIEL[[#This Row],[CODIGO]]="","",SNGABRIEL[[#This Row],[Stock Actual Unds]]*SNGABRIEL[[#This Row],[Gramaje]]*SNGABRIEL[[#This Row],[Conversión]]),"")/1000</f>
        <v>3.5000000000000001E-3</v>
      </c>
    </row>
    <row r="38" spans="1:30">
      <c r="A38" s="49"/>
      <c r="B38" s="49"/>
      <c r="C38" s="49"/>
      <c r="D38" s="49"/>
      <c r="E38" s="49"/>
      <c r="F38" s="49" t="str">
        <f>IF(GUAYAQUIL[[#This Row],[CODIGO]]="","",$K$6)</f>
        <v>SAN GABRIEL</v>
      </c>
      <c r="G38" s="49">
        <f>IF(SNGABRIEL[[#This Row],[CODIGO]]="","",7702)</f>
        <v>7702</v>
      </c>
      <c r="H38" s="49">
        <f>IF(SNGABRIEL[[#This Row],[CODIGO]]="","",1001)</f>
        <v>1001</v>
      </c>
      <c r="I38" s="271" t="s">
        <v>179</v>
      </c>
      <c r="J38" s="50" t="str">
        <f>IFERROR((VLOOKUP(SNGABRIEL[[#This Row],[CODIGO]],MAESTRO!A:B,2,FALSE)),"")</f>
        <v>Q ESPAR CHED KIOSKO VASO 45G</v>
      </c>
      <c r="K38" s="273"/>
      <c r="L38" s="246">
        <f>+IFERROR(IF(SNGABRIEL[[#This Row],[CODIGO]]="","",VLOOKUP(SNGABRIEL[[#This Row],[CODIGO]],MAESTRO!$A:$BI,58,FALSE)),"")</f>
        <v>1</v>
      </c>
      <c r="M38" s="187">
        <f>IFERROR(IF(SNGABRIEL[[#This Row],[CODIGO]]="","",VLOOKUP(SNGABRIEL[[#This Row],[CODIGO]],MAESTRO!A:N,14,FALSE)),"")</f>
        <v>4.4999999999999998E-2</v>
      </c>
      <c r="N38" s="247">
        <f>+IFERROR(IF(SNGABRIEL[[#This Row],[CODIGO]]="","",VLOOKUP(SNGABRIEL[[#This Row],[CODIGO]],MAESTRO!A:P,16,FALSE)),"")</f>
        <v>90</v>
      </c>
      <c r="O38" s="308">
        <f>+IFERROR(IF(SNGABRIEL[[#This Row],[CODIGO]]="","",SNGABRIEL[[#This Row],[Fecha Elab.]]),"")</f>
        <v>45562</v>
      </c>
      <c r="P38" s="73" t="str">
        <f t="shared" si="0"/>
        <v>viernes</v>
      </c>
      <c r="Q38" s="309">
        <f>IFERROR(IF(SNGABRIEL[[#This Row],[CODIGO]]="","",IF(SNGABRIEL[[#This Row],[Fecha Cad]]="","",(SNGABRIEL[[#This Row],[Fecha Cad]]-SNGABRIEL[[#This Row],[VIDA UTIL (Días)]]))+1),"")</f>
        <v>45562</v>
      </c>
      <c r="R38" s="308">
        <v>45651</v>
      </c>
      <c r="S38" s="52">
        <f t="shared" ca="1" si="1"/>
        <v>27</v>
      </c>
      <c r="T38" s="53">
        <f t="shared" ca="1" si="2"/>
        <v>0.3</v>
      </c>
      <c r="U38" s="273">
        <v>295</v>
      </c>
      <c r="V38" s="274">
        <f>+IFERROR(IF(SNGABRIEL[[#This Row],[CODIGO]]="","",SNGABRIEL[[#This Row],[Stock Actual Unds]]*SNGABRIEL[[#This Row],[Gramaje]]*SNGABRIEL[[#This Row],[Conversión]]),"")</f>
        <v>13.275</v>
      </c>
      <c r="W38" s="274">
        <f>+IFERROR(IF(SNGABRIEL[[#This Row],[CODIGO]]="","",SNGABRIEL[[#This Row],[Fecha de Ingreso]]-SNGABRIEL[[#This Row],[Fecha Elab.]]),"")</f>
        <v>0</v>
      </c>
      <c r="X38" s="275">
        <f t="shared" si="3"/>
        <v>1</v>
      </c>
      <c r="Y38" s="242">
        <f>IFERROR(VLOOKUP(SNGABRIEL[[#This Row],[CODIGO]],MAESTRO!A:BI,21,FALSE),0)</f>
        <v>0.14824500000000002</v>
      </c>
      <c r="Z38" s="242">
        <f>+IFERROR(IF(SNGABRIEL[[#This Row],[CODIGO]]="","",SNGABRIEL[[#This Row],[COSTO UNIT base]]*SNGABRIEL[[#This Row],[Conversión]]),"")</f>
        <v>0.14824500000000002</v>
      </c>
      <c r="AA38" s="276">
        <f>+IFERROR(IF(SNGABRIEL[[#This Row],[CODIGO]]="","",SNGABRIEL[[#This Row],[COSTO UNIT Conv]]*SNGABRIEL[[#This Row],[Stock Actual Kgs]]),"")</f>
        <v>1.9679523750000003</v>
      </c>
      <c r="AB38" s="52">
        <f ca="1">+IFERROR(IF(SNGABRIEL[[#This Row],[CODIGO]]="","",$J$3-O39),"")</f>
        <v>45624</v>
      </c>
      <c r="AC38" s="277" t="str">
        <f ca="1">IF(SNGABRIEL[[#This Row],[CODIGO]]="","",IF(S38&lt;=0,"CADUCADO",IF(AND(S38&gt;0,S38&lt;=21),"FECHA CORTA",IF(AND(S38&gt;=22,S38&lt;=26),"PROXIMOS FECHA CORTA", "VIGENTE"))))</f>
        <v>VIGENTE</v>
      </c>
      <c r="AD38" s="54">
        <f>+IFERROR(IF(SNGABRIEL[[#This Row],[CODIGO]]="","",SNGABRIEL[[#This Row],[Stock Actual Unds]]*SNGABRIEL[[#This Row],[Gramaje]]*SNGABRIEL[[#This Row],[Conversión]]),"")/1000</f>
        <v>1.3275E-2</v>
      </c>
    </row>
  </sheetData>
  <mergeCells count="1">
    <mergeCell ref="I1:J1"/>
  </mergeCells>
  <phoneticPr fontId="17" type="noConversion"/>
  <conditionalFormatting sqref="S8:S38">
    <cfRule type="cellIs" dxfId="18" priority="3" stopIfTrue="1" operator="greaterThanOrEqual">
      <formula>27</formula>
    </cfRule>
    <cfRule type="cellIs" dxfId="17" priority="4" stopIfTrue="1" operator="lessThanOrEqual">
      <formula>0</formula>
    </cfRule>
    <cfRule type="cellIs" dxfId="16" priority="5" stopIfTrue="1" operator="lessThanOrEqual">
      <formula>20</formula>
    </cfRule>
    <cfRule type="cellIs" dxfId="15" priority="6" stopIfTrue="1" operator="between">
      <formula>26</formula>
      <formula>21</formula>
    </cfRule>
  </conditionalFormatting>
  <conditionalFormatting sqref="V8:W1048576">
    <cfRule type="cellIs" dxfId="14" priority="11" operator="lessThan">
      <formula>0</formula>
    </cfRule>
  </conditionalFormatting>
  <conditionalFormatting sqref="AC8:AC38 AB8:AB1048576">
    <cfRule type="cellIs" dxfId="13" priority="25" operator="equal">
      <formula>"CADUCADO"</formula>
    </cfRule>
    <cfRule type="cellIs" dxfId="12" priority="26" operator="equal">
      <formula>"VIGENTE"</formula>
    </cfRule>
    <cfRule type="cellIs" dxfId="11" priority="27" operator="equal">
      <formula>"FECHA CORTA"</formula>
    </cfRule>
    <cfRule type="cellIs" dxfId="10" priority="28" operator="equal">
      <formula>"PROXIMOS FECHA CORTA"</formula>
    </cfRule>
  </conditionalFormatting>
  <pageMargins left="0.15748031496062992" right="0.15748031496062992" top="0.55118110236220474" bottom="0.98425196850393704" header="0" footer="0"/>
  <pageSetup paperSize="9" scale="67" fitToHeight="0" orientation="landscape" r:id="rId1"/>
  <headerFooter alignWithMargins="0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3E69A-55BB-4B88-B74B-975028D6307E}">
  <sheetPr>
    <tabColor theme="8" tint="-0.499984740745262"/>
  </sheetPr>
  <dimension ref="B11:H523"/>
  <sheetViews>
    <sheetView showGridLines="0" zoomScale="70" workbookViewId="0">
      <pane xSplit="2" ySplit="13" topLeftCell="C14" activePane="bottomRight" state="frozen"/>
      <selection pane="topRight" activeCell="C1" sqref="C1"/>
      <selection pane="bottomLeft" activeCell="A12" sqref="A12"/>
      <selection pane="bottomRight" activeCell="I6" sqref="I6"/>
    </sheetView>
  </sheetViews>
  <sheetFormatPr baseColWidth="10" defaultColWidth="11.453125" defaultRowHeight="14.5"/>
  <cols>
    <col min="1" max="1" width="4.54296875" customWidth="1"/>
    <col min="2" max="2" width="12.453125" bestFit="1" customWidth="1"/>
    <col min="3" max="3" width="41.453125" bestFit="1" customWidth="1"/>
    <col min="4" max="4" width="12.54296875" style="78" bestFit="1" customWidth="1"/>
    <col min="5" max="5" width="11.26953125" style="152" bestFit="1" customWidth="1"/>
    <col min="6" max="6" width="6.54296875" style="78" bestFit="1" customWidth="1"/>
    <col min="7" max="7" width="16.54296875" style="152" bestFit="1" customWidth="1"/>
    <col min="8" max="8" width="12.54296875" style="214" bestFit="1" customWidth="1"/>
    <col min="9" max="10" width="17.54296875" bestFit="1" customWidth="1"/>
  </cols>
  <sheetData>
    <row r="11" spans="2:8">
      <c r="B11" s="77" t="s">
        <v>4964</v>
      </c>
      <c r="C11" t="s">
        <v>4970</v>
      </c>
    </row>
    <row r="12" spans="2:8">
      <c r="E12" s="153">
        <f>+SUBTOTAL(9,E14:E1048576)</f>
        <v>1555.2</v>
      </c>
      <c r="H12" s="215">
        <f>+SUBTOTAL(9,H14:H1048576)</f>
        <v>2554.7354446000013</v>
      </c>
    </row>
    <row r="13" spans="2:8">
      <c r="B13" s="77" t="s">
        <v>4971</v>
      </c>
      <c r="C13" s="77" t="s">
        <v>4972</v>
      </c>
      <c r="D13" s="248" t="s">
        <v>4953</v>
      </c>
      <c r="E13" s="151" t="s">
        <v>4973</v>
      </c>
      <c r="F13" s="151" t="s">
        <v>4974</v>
      </c>
      <c r="G13" s="151" t="s">
        <v>4975</v>
      </c>
      <c r="H13" s="216" t="s">
        <v>4976</v>
      </c>
    </row>
    <row r="14" spans="2:8">
      <c r="B14" t="s">
        <v>2557</v>
      </c>
      <c r="C14" t="s">
        <v>2558</v>
      </c>
      <c r="D14" s="46">
        <v>45642</v>
      </c>
      <c r="E14" s="152">
        <v>40</v>
      </c>
      <c r="F14" s="249">
        <v>0.54285714285714282</v>
      </c>
      <c r="G14" s="152">
        <v>19</v>
      </c>
      <c r="H14" s="217">
        <v>49.174800000000005</v>
      </c>
    </row>
    <row r="15" spans="2:8">
      <c r="B15" t="s">
        <v>3133</v>
      </c>
      <c r="C15" t="s">
        <v>3134</v>
      </c>
      <c r="D15" s="46">
        <v>45635</v>
      </c>
      <c r="E15" s="152">
        <v>68</v>
      </c>
      <c r="F15" s="249">
        <v>0.26666666666666666</v>
      </c>
      <c r="G15" s="152">
        <v>12</v>
      </c>
      <c r="H15" s="217">
        <v>94.910319999999999</v>
      </c>
    </row>
    <row r="16" spans="2:8">
      <c r="B16" t="s">
        <v>1156</v>
      </c>
      <c r="C16" t="s">
        <v>1157</v>
      </c>
      <c r="D16" s="46">
        <v>45634</v>
      </c>
      <c r="E16" s="152">
        <v>77</v>
      </c>
      <c r="F16" s="249">
        <v>0.24444444444444444</v>
      </c>
      <c r="G16" s="152">
        <v>11</v>
      </c>
      <c r="H16" s="217">
        <v>21.771750000000001</v>
      </c>
    </row>
    <row r="17" spans="2:8">
      <c r="B17" t="s">
        <v>1749</v>
      </c>
      <c r="C17" t="s">
        <v>1750</v>
      </c>
      <c r="D17" s="46">
        <v>45634</v>
      </c>
      <c r="E17" s="152">
        <v>126</v>
      </c>
      <c r="F17" s="249">
        <v>0.24444444444444444</v>
      </c>
      <c r="G17" s="152">
        <v>11</v>
      </c>
      <c r="H17" s="217">
        <v>143.79498000000001</v>
      </c>
    </row>
    <row r="18" spans="2:8">
      <c r="B18" t="s">
        <v>1878</v>
      </c>
      <c r="C18" t="s">
        <v>1879</v>
      </c>
      <c r="D18" s="46">
        <v>45637</v>
      </c>
      <c r="E18" s="152">
        <v>70.2</v>
      </c>
      <c r="F18" s="249">
        <v>0.93333333333333335</v>
      </c>
      <c r="G18" s="152">
        <v>28</v>
      </c>
      <c r="H18" s="217">
        <v>1377.8117496000002</v>
      </c>
    </row>
    <row r="19" spans="2:8">
      <c r="B19" t="s">
        <v>1715</v>
      </c>
      <c r="C19" t="s">
        <v>1716</v>
      </c>
      <c r="D19" s="46">
        <v>45634</v>
      </c>
      <c r="E19" s="152">
        <v>13</v>
      </c>
      <c r="F19" s="249">
        <v>0.24444444444444444</v>
      </c>
      <c r="G19" s="152">
        <v>11</v>
      </c>
      <c r="H19" s="217">
        <v>31.363019999999999</v>
      </c>
    </row>
    <row r="20" spans="2:8">
      <c r="B20" t="s">
        <v>1191</v>
      </c>
      <c r="C20" t="s">
        <v>1192</v>
      </c>
      <c r="D20" s="46">
        <v>45640</v>
      </c>
      <c r="E20" s="152">
        <v>289</v>
      </c>
      <c r="F20" s="249">
        <v>0.37777777777777777</v>
      </c>
      <c r="G20" s="152">
        <v>17</v>
      </c>
      <c r="H20" s="217">
        <v>82.747924999999995</v>
      </c>
    </row>
    <row r="21" spans="2:8">
      <c r="B21" t="s">
        <v>3520</v>
      </c>
      <c r="C21" t="s">
        <v>3521</v>
      </c>
      <c r="D21" s="46">
        <v>45641</v>
      </c>
      <c r="E21" s="152">
        <v>15</v>
      </c>
      <c r="F21" s="249">
        <v>0.45</v>
      </c>
      <c r="G21" s="152">
        <v>18</v>
      </c>
      <c r="H21" s="217">
        <v>19.187775000000002</v>
      </c>
    </row>
    <row r="22" spans="2:8">
      <c r="B22" t="s">
        <v>2433</v>
      </c>
      <c r="C22" t="s">
        <v>2434</v>
      </c>
      <c r="D22" s="46">
        <v>45640</v>
      </c>
      <c r="E22" s="152">
        <v>68</v>
      </c>
      <c r="F22" s="249">
        <v>0.37777777777777777</v>
      </c>
      <c r="G22" s="152">
        <v>17</v>
      </c>
      <c r="H22" s="217">
        <v>90.138419999999996</v>
      </c>
    </row>
    <row r="23" spans="2:8">
      <c r="B23" t="s">
        <v>4043</v>
      </c>
      <c r="C23" t="s">
        <v>4044</v>
      </c>
      <c r="D23" s="46">
        <v>45644</v>
      </c>
      <c r="E23" s="152">
        <v>8</v>
      </c>
      <c r="F23" s="249">
        <v>0.46666666666666667</v>
      </c>
      <c r="G23" s="152">
        <v>21</v>
      </c>
      <c r="H23" s="217">
        <v>15.468360000000001</v>
      </c>
    </row>
    <row r="24" spans="2:8">
      <c r="D24" s="46">
        <v>45632</v>
      </c>
      <c r="E24" s="152">
        <v>56</v>
      </c>
      <c r="F24" s="249">
        <v>0.2</v>
      </c>
      <c r="G24" s="152">
        <v>9</v>
      </c>
      <c r="H24" s="217">
        <v>108.27852</v>
      </c>
    </row>
    <row r="25" spans="2:8">
      <c r="D25" s="46">
        <v>45639</v>
      </c>
      <c r="E25" s="152">
        <v>5</v>
      </c>
      <c r="F25" s="249">
        <v>0.35555555555555557</v>
      </c>
      <c r="G25" s="152">
        <v>16</v>
      </c>
      <c r="H25" s="217">
        <v>9.6677250000000008</v>
      </c>
    </row>
    <row r="26" spans="2:8">
      <c r="B26" t="s">
        <v>4086</v>
      </c>
      <c r="C26" t="s">
        <v>4087</v>
      </c>
      <c r="D26" s="46">
        <v>45634</v>
      </c>
      <c r="E26" s="152">
        <v>74</v>
      </c>
      <c r="F26" s="249">
        <v>0.24444444444444444</v>
      </c>
      <c r="G26" s="152">
        <v>11</v>
      </c>
      <c r="H26" s="217">
        <v>97.302600000000012</v>
      </c>
    </row>
    <row r="27" spans="2:8">
      <c r="B27" t="s">
        <v>4146</v>
      </c>
      <c r="C27" t="s">
        <v>4147</v>
      </c>
      <c r="D27" s="46">
        <v>45634</v>
      </c>
      <c r="E27" s="152">
        <v>105</v>
      </c>
      <c r="F27" s="249">
        <v>0.24444444444444444</v>
      </c>
      <c r="G27" s="152">
        <v>11</v>
      </c>
      <c r="H27" s="217">
        <v>129.69862499999999</v>
      </c>
    </row>
    <row r="28" spans="2:8">
      <c r="B28" t="s">
        <v>771</v>
      </c>
      <c r="C28" t="s">
        <v>772</v>
      </c>
      <c r="D28" s="46">
        <v>45639</v>
      </c>
      <c r="E28" s="152">
        <v>13</v>
      </c>
      <c r="F28" s="249">
        <v>0.35555555555555557</v>
      </c>
      <c r="G28" s="152">
        <v>16</v>
      </c>
      <c r="H28" s="217">
        <v>19.61843</v>
      </c>
    </row>
    <row r="29" spans="2:8">
      <c r="B29" t="s">
        <v>3892</v>
      </c>
      <c r="C29" t="s">
        <v>3893</v>
      </c>
      <c r="D29" s="46">
        <v>45639</v>
      </c>
      <c r="E29" s="152">
        <v>37</v>
      </c>
      <c r="F29" s="249">
        <v>0.53333333333333333</v>
      </c>
      <c r="G29" s="152">
        <v>16</v>
      </c>
      <c r="H29" s="217">
        <v>82.372175000000013</v>
      </c>
    </row>
    <row r="30" spans="2:8">
      <c r="B30" t="s">
        <v>2966</v>
      </c>
      <c r="C30" t="s">
        <v>2967</v>
      </c>
      <c r="D30" s="46">
        <v>45640</v>
      </c>
      <c r="E30" s="152">
        <v>3</v>
      </c>
      <c r="F30" s="249">
        <v>0.37777777777777777</v>
      </c>
      <c r="G30" s="152">
        <v>17</v>
      </c>
      <c r="H30" s="217">
        <v>3.9759450000000003</v>
      </c>
    </row>
    <row r="31" spans="2:8">
      <c r="B31" t="s">
        <v>1712</v>
      </c>
      <c r="C31" t="s">
        <v>1713</v>
      </c>
      <c r="D31" s="46">
        <v>45635</v>
      </c>
      <c r="E31" s="152">
        <v>2</v>
      </c>
      <c r="F31" s="249">
        <v>0.26666666666666666</v>
      </c>
      <c r="G31" s="152">
        <v>12</v>
      </c>
      <c r="H31" s="217">
        <v>2.0613099999999998</v>
      </c>
    </row>
    <row r="32" spans="2:8">
      <c r="D32" s="46">
        <v>45639</v>
      </c>
      <c r="E32" s="152">
        <v>19</v>
      </c>
      <c r="F32" s="249">
        <v>0.35555555555555557</v>
      </c>
      <c r="G32" s="152">
        <v>16</v>
      </c>
      <c r="H32" s="217">
        <v>19.582444999999996</v>
      </c>
    </row>
    <row r="33" spans="2:8">
      <c r="B33" t="s">
        <v>2845</v>
      </c>
      <c r="C33" t="s">
        <v>2846</v>
      </c>
      <c r="D33" s="46">
        <v>45640</v>
      </c>
      <c r="E33" s="152">
        <v>8</v>
      </c>
      <c r="F33" s="249">
        <v>0.37777777777777777</v>
      </c>
      <c r="G33" s="152">
        <v>17</v>
      </c>
      <c r="H33" s="217">
        <v>19.762879999999999</v>
      </c>
    </row>
    <row r="34" spans="2:8">
      <c r="D34" s="46">
        <v>45634</v>
      </c>
      <c r="E34" s="152">
        <v>4</v>
      </c>
      <c r="F34" s="249">
        <v>0.24444444444444444</v>
      </c>
      <c r="G34" s="152">
        <v>11</v>
      </c>
      <c r="H34" s="217">
        <v>9.8814399999999996</v>
      </c>
    </row>
    <row r="35" spans="2:8">
      <c r="B35" t="s">
        <v>4016</v>
      </c>
      <c r="C35" t="s">
        <v>4017</v>
      </c>
      <c r="D35" s="46">
        <v>45640</v>
      </c>
      <c r="E35" s="152">
        <v>32</v>
      </c>
      <c r="F35" s="249">
        <v>0.37777777777777777</v>
      </c>
      <c r="G35" s="152">
        <v>17</v>
      </c>
      <c r="H35" s="217">
        <v>64.89439999999999</v>
      </c>
    </row>
    <row r="36" spans="2:8">
      <c r="B36" t="s">
        <v>4014</v>
      </c>
      <c r="C36" t="s">
        <v>4015</v>
      </c>
      <c r="D36" s="46">
        <v>45637</v>
      </c>
      <c r="E36" s="152">
        <v>22</v>
      </c>
      <c r="F36" s="249">
        <v>0.46666666666666667</v>
      </c>
      <c r="G36" s="152">
        <v>14</v>
      </c>
      <c r="H36" s="217">
        <v>13.687189999999999</v>
      </c>
    </row>
    <row r="37" spans="2:8">
      <c r="B37" t="s">
        <v>3221</v>
      </c>
      <c r="C37" t="s">
        <v>3222</v>
      </c>
      <c r="D37" s="46">
        <v>45640</v>
      </c>
      <c r="E37" s="152">
        <v>401</v>
      </c>
      <c r="F37" s="249">
        <v>0.37777777777777777</v>
      </c>
      <c r="G37" s="152">
        <v>17</v>
      </c>
      <c r="H37" s="217">
        <v>47.582660000000004</v>
      </c>
    </row>
    <row r="38" spans="2:8">
      <c r="D38"/>
      <c r="E38"/>
      <c r="F38"/>
      <c r="G38"/>
      <c r="H38"/>
    </row>
    <row r="39" spans="2:8">
      <c r="D39"/>
      <c r="E39"/>
      <c r="F39"/>
      <c r="G39"/>
      <c r="H39"/>
    </row>
    <row r="40" spans="2:8">
      <c r="D40"/>
      <c r="E40"/>
      <c r="F40"/>
      <c r="G40"/>
      <c r="H40"/>
    </row>
    <row r="41" spans="2:8">
      <c r="D41"/>
      <c r="E41"/>
      <c r="F41"/>
      <c r="G41"/>
      <c r="H41"/>
    </row>
    <row r="42" spans="2:8">
      <c r="D42"/>
      <c r="E42"/>
      <c r="F42"/>
      <c r="G42"/>
      <c r="H42"/>
    </row>
    <row r="43" spans="2:8">
      <c r="D43"/>
      <c r="E43"/>
      <c r="F43"/>
      <c r="G43"/>
      <c r="H43"/>
    </row>
    <row r="44" spans="2:8">
      <c r="D44"/>
      <c r="E44"/>
      <c r="F44"/>
      <c r="G44"/>
      <c r="H44"/>
    </row>
    <row r="45" spans="2:8">
      <c r="D45"/>
      <c r="E45"/>
      <c r="F45"/>
      <c r="G45"/>
      <c r="H45"/>
    </row>
    <row r="46" spans="2:8">
      <c r="D46"/>
      <c r="E46"/>
      <c r="F46"/>
      <c r="G46"/>
      <c r="H46"/>
    </row>
    <row r="47" spans="2:8">
      <c r="D47"/>
      <c r="E47"/>
      <c r="F47"/>
      <c r="G47"/>
      <c r="H47"/>
    </row>
    <row r="48" spans="2:8">
      <c r="D48"/>
      <c r="E48"/>
      <c r="F48"/>
      <c r="G48"/>
      <c r="H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spans="4:8">
      <c r="D145"/>
      <c r="E145"/>
      <c r="F145"/>
      <c r="G145"/>
      <c r="H145"/>
    </row>
    <row r="146" spans="4:8">
      <c r="D146"/>
      <c r="E146"/>
      <c r="F146"/>
      <c r="G146"/>
      <c r="H146"/>
    </row>
    <row r="147" spans="4:8">
      <c r="D147"/>
      <c r="E147"/>
      <c r="F147"/>
      <c r="G147"/>
      <c r="H147"/>
    </row>
    <row r="148" spans="4:8">
      <c r="D148"/>
      <c r="E148"/>
      <c r="F148"/>
      <c r="G148"/>
      <c r="H148"/>
    </row>
    <row r="149" spans="4:8">
      <c r="D149"/>
      <c r="E149"/>
      <c r="F149"/>
      <c r="G149"/>
      <c r="H149"/>
    </row>
    <row r="150" spans="4:8">
      <c r="D150"/>
      <c r="E150"/>
      <c r="F150"/>
      <c r="G150"/>
      <c r="H150"/>
    </row>
    <row r="151" spans="4:8">
      <c r="D151"/>
      <c r="E151"/>
      <c r="F151"/>
      <c r="G151"/>
      <c r="H151"/>
    </row>
    <row r="152" spans="4:8">
      <c r="D152"/>
      <c r="E152"/>
      <c r="F152"/>
      <c r="G152"/>
      <c r="H152"/>
    </row>
    <row r="153" spans="4:8">
      <c r="D153"/>
      <c r="E153"/>
      <c r="F153"/>
      <c r="G153"/>
      <c r="H153"/>
    </row>
    <row r="154" spans="4:8">
      <c r="D154"/>
      <c r="E154"/>
      <c r="F154"/>
      <c r="G154"/>
      <c r="H154"/>
    </row>
    <row r="155" spans="4:8">
      <c r="D155"/>
      <c r="E155"/>
      <c r="F155"/>
      <c r="G155"/>
      <c r="H155"/>
    </row>
    <row r="156" spans="4:8">
      <c r="D156"/>
      <c r="E156" s="47"/>
      <c r="F156"/>
      <c r="G156" s="47"/>
      <c r="H156" s="219"/>
    </row>
    <row r="157" spans="4:8">
      <c r="D157"/>
      <c r="E157" s="47"/>
      <c r="F157"/>
      <c r="G157" s="47"/>
      <c r="H157" s="219"/>
    </row>
    <row r="158" spans="4:8">
      <c r="D158"/>
      <c r="E158" s="47"/>
      <c r="F158"/>
      <c r="G158" s="47"/>
      <c r="H158" s="219"/>
    </row>
    <row r="159" spans="4:8">
      <c r="D159"/>
      <c r="E159" s="47"/>
      <c r="F159"/>
      <c r="G159" s="47"/>
      <c r="H159" s="219"/>
    </row>
    <row r="160" spans="4:8">
      <c r="D160"/>
      <c r="E160" s="47"/>
      <c r="F160"/>
      <c r="G160" s="47"/>
      <c r="H160" s="219"/>
    </row>
    <row r="161" spans="4:8">
      <c r="D161"/>
      <c r="E161" s="47"/>
      <c r="F161"/>
      <c r="G161" s="47"/>
      <c r="H161" s="219"/>
    </row>
    <row r="162" spans="4:8">
      <c r="D162"/>
      <c r="E162" s="47"/>
      <c r="F162"/>
      <c r="G162" s="47"/>
      <c r="H162" s="219"/>
    </row>
    <row r="163" spans="4:8">
      <c r="D163"/>
      <c r="E163" s="47"/>
      <c r="F163"/>
      <c r="G163" s="47"/>
      <c r="H163" s="219"/>
    </row>
    <row r="164" spans="4:8">
      <c r="D164"/>
      <c r="E164" s="47"/>
      <c r="F164"/>
      <c r="G164" s="47"/>
      <c r="H164" s="219"/>
    </row>
    <row r="165" spans="4:8">
      <c r="D165"/>
      <c r="E165" s="47"/>
      <c r="F165"/>
      <c r="G165" s="47"/>
      <c r="H165" s="219"/>
    </row>
    <row r="166" spans="4:8">
      <c r="D166"/>
      <c r="E166" s="47"/>
      <c r="F166"/>
      <c r="G166" s="47"/>
      <c r="H166" s="219"/>
    </row>
    <row r="167" spans="4:8">
      <c r="D167"/>
      <c r="E167" s="47"/>
      <c r="F167"/>
      <c r="G167" s="47"/>
      <c r="H167" s="219"/>
    </row>
    <row r="168" spans="4:8">
      <c r="D168"/>
      <c r="E168" s="47"/>
      <c r="F168"/>
      <c r="G168" s="47"/>
      <c r="H168" s="219"/>
    </row>
    <row r="169" spans="4:8">
      <c r="D169"/>
      <c r="E169" s="47"/>
      <c r="F169"/>
      <c r="G169" s="47"/>
      <c r="H169" s="219"/>
    </row>
    <row r="170" spans="4:8">
      <c r="D170"/>
      <c r="E170" s="47"/>
      <c r="F170"/>
      <c r="G170" s="47"/>
      <c r="H170" s="219"/>
    </row>
    <row r="171" spans="4:8">
      <c r="D171"/>
      <c r="E171" s="47"/>
      <c r="F171"/>
      <c r="G171" s="47"/>
      <c r="H171" s="219"/>
    </row>
    <row r="172" spans="4:8">
      <c r="D172"/>
      <c r="E172" s="47"/>
      <c r="F172"/>
      <c r="G172" s="47"/>
      <c r="H172" s="219"/>
    </row>
    <row r="173" spans="4:8">
      <c r="D173"/>
      <c r="E173" s="47"/>
      <c r="F173"/>
      <c r="G173" s="47"/>
      <c r="H173" s="219"/>
    </row>
    <row r="174" spans="4:8">
      <c r="D174"/>
      <c r="E174" s="47"/>
      <c r="F174"/>
      <c r="G174" s="47"/>
      <c r="H174" s="219"/>
    </row>
    <row r="175" spans="4:8">
      <c r="D175"/>
      <c r="E175" s="47"/>
      <c r="F175"/>
      <c r="G175" s="47"/>
      <c r="H175" s="219"/>
    </row>
    <row r="176" spans="4:8">
      <c r="D176"/>
      <c r="E176" s="47"/>
      <c r="F176"/>
      <c r="G176" s="47"/>
      <c r="H176" s="219"/>
    </row>
    <row r="177" spans="4:8">
      <c r="D177"/>
      <c r="E177" s="47"/>
      <c r="F177"/>
      <c r="G177" s="47"/>
      <c r="H177" s="219"/>
    </row>
    <row r="178" spans="4:8">
      <c r="D178"/>
      <c r="E178" s="47"/>
      <c r="F178"/>
      <c r="G178" s="47"/>
      <c r="H178" s="219"/>
    </row>
    <row r="179" spans="4:8">
      <c r="D179"/>
      <c r="E179" s="47"/>
      <c r="F179"/>
      <c r="G179" s="47"/>
      <c r="H179" s="219"/>
    </row>
    <row r="180" spans="4:8">
      <c r="D180"/>
      <c r="E180" s="47"/>
      <c r="F180"/>
      <c r="G180" s="47"/>
      <c r="H180" s="219"/>
    </row>
    <row r="181" spans="4:8">
      <c r="D181"/>
      <c r="E181" s="47"/>
      <c r="F181"/>
      <c r="G181" s="47"/>
      <c r="H181" s="219"/>
    </row>
    <row r="182" spans="4:8">
      <c r="D182"/>
      <c r="E182" s="47"/>
      <c r="F182"/>
      <c r="G182" s="47"/>
      <c r="H182" s="219"/>
    </row>
    <row r="183" spans="4:8">
      <c r="D183"/>
      <c r="E183" s="47"/>
      <c r="F183"/>
      <c r="G183" s="47"/>
      <c r="H183" s="219"/>
    </row>
    <row r="184" spans="4:8">
      <c r="D184"/>
      <c r="E184" s="47"/>
      <c r="F184"/>
      <c r="G184" s="47"/>
      <c r="H184" s="219"/>
    </row>
    <row r="185" spans="4:8">
      <c r="D185"/>
      <c r="E185" s="47"/>
      <c r="F185"/>
      <c r="G185" s="47"/>
      <c r="H185" s="219"/>
    </row>
    <row r="186" spans="4:8">
      <c r="D186"/>
      <c r="E186" s="47"/>
      <c r="F186"/>
      <c r="G186" s="47"/>
      <c r="H186" s="219"/>
    </row>
    <row r="187" spans="4:8">
      <c r="D187"/>
      <c r="E187" s="47"/>
      <c r="F187"/>
      <c r="G187" s="47"/>
      <c r="H187" s="219"/>
    </row>
    <row r="188" spans="4:8">
      <c r="D188"/>
      <c r="E188" s="47"/>
      <c r="F188"/>
      <c r="G188" s="47"/>
      <c r="H188" s="219"/>
    </row>
    <row r="189" spans="4:8">
      <c r="D189"/>
      <c r="E189" s="47"/>
      <c r="F189"/>
      <c r="G189" s="47"/>
      <c r="H189" s="219"/>
    </row>
    <row r="190" spans="4:8">
      <c r="D190"/>
      <c r="E190" s="47"/>
      <c r="F190"/>
      <c r="G190" s="47"/>
      <c r="H190" s="219"/>
    </row>
    <row r="191" spans="4:8">
      <c r="D191"/>
      <c r="E191" s="47"/>
      <c r="F191"/>
      <c r="G191" s="47"/>
      <c r="H191" s="219"/>
    </row>
    <row r="192" spans="4:8">
      <c r="D192"/>
      <c r="E192" s="47"/>
      <c r="F192"/>
      <c r="G192" s="47"/>
      <c r="H192" s="219"/>
    </row>
    <row r="193" spans="4:8">
      <c r="D193"/>
      <c r="E193" s="47"/>
      <c r="F193"/>
      <c r="G193" s="47"/>
      <c r="H193" s="219"/>
    </row>
    <row r="194" spans="4:8">
      <c r="D194"/>
      <c r="E194" s="47"/>
      <c r="F194"/>
      <c r="G194" s="47"/>
      <c r="H194" s="219"/>
    </row>
    <row r="195" spans="4:8">
      <c r="D195"/>
      <c r="E195" s="47"/>
      <c r="F195"/>
      <c r="G195" s="47"/>
      <c r="H195" s="219"/>
    </row>
    <row r="196" spans="4:8">
      <c r="D196"/>
      <c r="E196" s="47"/>
      <c r="F196"/>
      <c r="G196" s="47"/>
      <c r="H196" s="219"/>
    </row>
    <row r="197" spans="4:8">
      <c r="D197"/>
      <c r="E197" s="47"/>
      <c r="F197"/>
      <c r="G197" s="47"/>
      <c r="H197" s="219"/>
    </row>
    <row r="198" spans="4:8">
      <c r="D198"/>
      <c r="E198" s="47"/>
      <c r="F198"/>
      <c r="G198" s="47"/>
      <c r="H198" s="219"/>
    </row>
    <row r="199" spans="4:8">
      <c r="D199"/>
      <c r="E199" s="47"/>
      <c r="F199"/>
      <c r="G199" s="47"/>
      <c r="H199" s="219"/>
    </row>
    <row r="200" spans="4:8">
      <c r="D200"/>
      <c r="E200" s="47"/>
      <c r="F200"/>
      <c r="G200" s="47"/>
      <c r="H200" s="219"/>
    </row>
    <row r="201" spans="4:8">
      <c r="D201"/>
      <c r="E201" s="47"/>
      <c r="F201"/>
      <c r="G201" s="47"/>
      <c r="H201" s="219"/>
    </row>
    <row r="202" spans="4:8">
      <c r="D202"/>
      <c r="E202" s="47"/>
      <c r="F202"/>
      <c r="G202" s="47"/>
      <c r="H202" s="219"/>
    </row>
    <row r="203" spans="4:8">
      <c r="D203"/>
      <c r="E203" s="47"/>
      <c r="F203"/>
      <c r="G203" s="47"/>
      <c r="H203" s="219"/>
    </row>
    <row r="204" spans="4:8">
      <c r="D204"/>
      <c r="E204" s="47"/>
      <c r="F204"/>
      <c r="G204" s="47"/>
      <c r="H204" s="219"/>
    </row>
    <row r="205" spans="4:8">
      <c r="D205"/>
      <c r="E205" s="47"/>
      <c r="F205"/>
      <c r="G205" s="47"/>
      <c r="H205" s="219"/>
    </row>
    <row r="206" spans="4:8">
      <c r="D206"/>
      <c r="E206" s="47"/>
      <c r="F206"/>
      <c r="G206" s="47"/>
      <c r="H206" s="219"/>
    </row>
    <row r="207" spans="4:8">
      <c r="D207"/>
      <c r="E207" s="47"/>
      <c r="F207"/>
      <c r="G207" s="47"/>
      <c r="H207" s="219"/>
    </row>
    <row r="208" spans="4:8">
      <c r="D208"/>
      <c r="E208" s="47"/>
      <c r="F208"/>
      <c r="G208" s="47"/>
      <c r="H208" s="219"/>
    </row>
    <row r="209" spans="4:8">
      <c r="D209"/>
      <c r="E209" s="47"/>
      <c r="F209"/>
      <c r="G209" s="47"/>
      <c r="H209" s="219"/>
    </row>
    <row r="210" spans="4:8">
      <c r="D210"/>
      <c r="E210" s="47"/>
      <c r="F210"/>
      <c r="G210" s="47"/>
      <c r="H210" s="219"/>
    </row>
    <row r="211" spans="4:8">
      <c r="D211"/>
      <c r="E211" s="47"/>
      <c r="F211"/>
      <c r="G211" s="47"/>
      <c r="H211" s="219"/>
    </row>
    <row r="212" spans="4:8">
      <c r="D212"/>
      <c r="E212" s="47"/>
      <c r="F212"/>
      <c r="G212" s="47"/>
      <c r="H212" s="219"/>
    </row>
    <row r="213" spans="4:8">
      <c r="D213"/>
      <c r="E213" s="47"/>
      <c r="F213"/>
      <c r="G213" s="47"/>
      <c r="H213" s="219"/>
    </row>
    <row r="214" spans="4:8">
      <c r="D214"/>
      <c r="E214" s="47"/>
      <c r="F214"/>
      <c r="G214" s="47"/>
      <c r="H214" s="219"/>
    </row>
    <row r="215" spans="4:8">
      <c r="D215"/>
      <c r="E215" s="47"/>
      <c r="F215"/>
      <c r="G215" s="47"/>
      <c r="H215" s="219"/>
    </row>
    <row r="216" spans="4:8">
      <c r="D216"/>
      <c r="E216" s="47"/>
      <c r="F216"/>
      <c r="G216" s="47"/>
      <c r="H216" s="219"/>
    </row>
    <row r="217" spans="4:8">
      <c r="D217"/>
      <c r="E217" s="47"/>
      <c r="F217"/>
      <c r="G217" s="47"/>
      <c r="H217" s="219"/>
    </row>
    <row r="218" spans="4:8">
      <c r="D218"/>
      <c r="E218" s="47"/>
      <c r="F218"/>
      <c r="G218" s="47"/>
      <c r="H218" s="219"/>
    </row>
    <row r="219" spans="4:8">
      <c r="D219"/>
      <c r="E219" s="47"/>
      <c r="F219"/>
      <c r="G219" s="47"/>
      <c r="H219" s="219"/>
    </row>
    <row r="220" spans="4:8">
      <c r="D220"/>
      <c r="E220" s="47"/>
      <c r="F220"/>
      <c r="G220" s="47"/>
      <c r="H220" s="219"/>
    </row>
    <row r="221" spans="4:8">
      <c r="D221"/>
      <c r="E221" s="47"/>
      <c r="F221"/>
      <c r="G221" s="47"/>
      <c r="H221" s="219"/>
    </row>
    <row r="222" spans="4:8">
      <c r="D222"/>
      <c r="E222" s="47"/>
      <c r="F222"/>
      <c r="G222" s="47"/>
      <c r="H222" s="219"/>
    </row>
    <row r="223" spans="4:8">
      <c r="D223"/>
      <c r="E223" s="47"/>
      <c r="F223"/>
      <c r="G223" s="47"/>
      <c r="H223" s="219"/>
    </row>
    <row r="224" spans="4:8">
      <c r="D224"/>
      <c r="E224" s="47"/>
      <c r="F224"/>
      <c r="G224" s="47"/>
      <c r="H224" s="219"/>
    </row>
    <row r="225" spans="4:8">
      <c r="D225"/>
      <c r="E225" s="47"/>
      <c r="F225"/>
      <c r="G225" s="47"/>
      <c r="H225" s="219"/>
    </row>
    <row r="226" spans="4:8">
      <c r="D226"/>
      <c r="E226" s="47"/>
      <c r="F226"/>
      <c r="G226" s="47"/>
      <c r="H226" s="219"/>
    </row>
    <row r="227" spans="4:8">
      <c r="D227"/>
      <c r="E227" s="47"/>
      <c r="F227"/>
      <c r="G227" s="47"/>
      <c r="H227" s="219"/>
    </row>
    <row r="228" spans="4:8">
      <c r="D228"/>
      <c r="E228" s="47"/>
      <c r="F228"/>
      <c r="G228" s="47"/>
      <c r="H228" s="219"/>
    </row>
    <row r="229" spans="4:8">
      <c r="D229"/>
      <c r="E229" s="47"/>
      <c r="F229"/>
      <c r="G229" s="47"/>
      <c r="H229" s="219"/>
    </row>
    <row r="230" spans="4:8">
      <c r="D230"/>
      <c r="E230" s="47"/>
      <c r="F230"/>
      <c r="G230" s="47"/>
      <c r="H230" s="219"/>
    </row>
    <row r="231" spans="4:8">
      <c r="D231"/>
      <c r="E231" s="47"/>
      <c r="F231"/>
      <c r="G231" s="47"/>
      <c r="H231" s="219"/>
    </row>
    <row r="232" spans="4:8">
      <c r="D232"/>
      <c r="E232" s="47"/>
      <c r="F232"/>
      <c r="G232" s="47"/>
      <c r="H232" s="219"/>
    </row>
    <row r="233" spans="4:8">
      <c r="D233"/>
      <c r="E233" s="47"/>
      <c r="F233"/>
      <c r="G233" s="47"/>
      <c r="H233" s="219"/>
    </row>
    <row r="234" spans="4:8">
      <c r="D234"/>
      <c r="E234" s="47"/>
      <c r="F234"/>
      <c r="G234" s="47"/>
      <c r="H234" s="219"/>
    </row>
    <row r="235" spans="4:8">
      <c r="D235"/>
      <c r="E235" s="47"/>
      <c r="F235"/>
      <c r="G235" s="47"/>
      <c r="H235" s="219"/>
    </row>
    <row r="236" spans="4:8">
      <c r="D236"/>
      <c r="E236" s="47"/>
      <c r="F236"/>
      <c r="G236" s="47"/>
      <c r="H236" s="219"/>
    </row>
    <row r="237" spans="4:8">
      <c r="D237"/>
      <c r="E237" s="47"/>
      <c r="F237"/>
      <c r="G237" s="47"/>
      <c r="H237" s="219"/>
    </row>
    <row r="238" spans="4:8">
      <c r="D238"/>
      <c r="E238" s="47"/>
      <c r="F238"/>
      <c r="G238" s="47"/>
      <c r="H238" s="219"/>
    </row>
    <row r="239" spans="4:8">
      <c r="D239"/>
      <c r="E239" s="47"/>
      <c r="F239"/>
      <c r="G239" s="47"/>
      <c r="H239" s="219"/>
    </row>
    <row r="240" spans="4:8">
      <c r="D240"/>
      <c r="E240" s="47"/>
      <c r="F240"/>
      <c r="G240" s="47"/>
      <c r="H240" s="219"/>
    </row>
    <row r="241" spans="4:8">
      <c r="D241"/>
      <c r="E241" s="47"/>
      <c r="F241"/>
      <c r="G241" s="47"/>
      <c r="H241" s="219"/>
    </row>
    <row r="242" spans="4:8">
      <c r="D242"/>
      <c r="E242" s="47"/>
      <c r="F242"/>
      <c r="G242" s="47"/>
      <c r="H242" s="219"/>
    </row>
    <row r="243" spans="4:8">
      <c r="D243"/>
      <c r="E243" s="47"/>
      <c r="F243"/>
      <c r="G243" s="47"/>
      <c r="H243" s="219"/>
    </row>
    <row r="244" spans="4:8">
      <c r="D244"/>
      <c r="E244" s="47"/>
      <c r="F244"/>
      <c r="G244" s="47"/>
      <c r="H244" s="219"/>
    </row>
    <row r="245" spans="4:8">
      <c r="D245"/>
      <c r="E245" s="47"/>
      <c r="F245"/>
      <c r="G245" s="47"/>
      <c r="H245" s="219"/>
    </row>
    <row r="246" spans="4:8">
      <c r="D246"/>
      <c r="E246" s="47"/>
      <c r="F246"/>
      <c r="G246" s="47"/>
      <c r="H246" s="219"/>
    </row>
    <row r="247" spans="4:8">
      <c r="D247"/>
      <c r="E247" s="47"/>
      <c r="F247"/>
      <c r="G247" s="47"/>
      <c r="H247" s="219"/>
    </row>
    <row r="248" spans="4:8">
      <c r="D248"/>
      <c r="E248" s="47"/>
      <c r="F248"/>
      <c r="G248" s="47"/>
      <c r="H248" s="219"/>
    </row>
    <row r="249" spans="4:8">
      <c r="D249"/>
      <c r="E249" s="47"/>
      <c r="F249"/>
      <c r="G249" s="47"/>
      <c r="H249" s="219"/>
    </row>
    <row r="250" spans="4:8">
      <c r="D250"/>
      <c r="E250" s="47"/>
      <c r="F250"/>
      <c r="G250" s="47"/>
      <c r="H250" s="219"/>
    </row>
    <row r="251" spans="4:8">
      <c r="D251"/>
      <c r="E251" s="47"/>
      <c r="F251"/>
      <c r="G251" s="47"/>
      <c r="H251" s="219"/>
    </row>
    <row r="252" spans="4:8">
      <c r="D252"/>
      <c r="E252" s="47"/>
      <c r="F252"/>
      <c r="G252" s="47"/>
      <c r="H252" s="219"/>
    </row>
    <row r="253" spans="4:8">
      <c r="D253"/>
      <c r="E253" s="47"/>
      <c r="F253"/>
      <c r="G253" s="47"/>
      <c r="H253" s="219"/>
    </row>
    <row r="254" spans="4:8">
      <c r="D254"/>
      <c r="E254" s="47"/>
      <c r="F254"/>
      <c r="G254" s="47"/>
      <c r="H254" s="219"/>
    </row>
    <row r="255" spans="4:8">
      <c r="D255"/>
      <c r="E255" s="47"/>
      <c r="F255"/>
      <c r="G255" s="47"/>
      <c r="H255" s="219"/>
    </row>
    <row r="256" spans="4:8">
      <c r="D256"/>
      <c r="E256" s="47"/>
      <c r="F256"/>
      <c r="G256" s="47"/>
      <c r="H256" s="219"/>
    </row>
    <row r="257" spans="4:8">
      <c r="D257"/>
      <c r="E257" s="47"/>
      <c r="F257"/>
      <c r="G257" s="47"/>
      <c r="H257" s="219"/>
    </row>
    <row r="258" spans="4:8">
      <c r="D258"/>
      <c r="E258" s="47"/>
      <c r="F258"/>
      <c r="G258" s="47"/>
      <c r="H258" s="219"/>
    </row>
    <row r="259" spans="4:8">
      <c r="D259"/>
      <c r="E259" s="47"/>
      <c r="F259"/>
      <c r="G259" s="47"/>
      <c r="H259" s="219"/>
    </row>
    <row r="260" spans="4:8">
      <c r="D260"/>
      <c r="E260" s="47"/>
      <c r="F260"/>
      <c r="G260" s="47"/>
      <c r="H260" s="219"/>
    </row>
    <row r="261" spans="4:8">
      <c r="D261"/>
      <c r="E261" s="47"/>
      <c r="F261"/>
      <c r="G261" s="47"/>
      <c r="H261" s="219"/>
    </row>
    <row r="262" spans="4:8">
      <c r="D262"/>
      <c r="E262" s="47"/>
      <c r="F262"/>
      <c r="G262" s="47"/>
      <c r="H262" s="219"/>
    </row>
    <row r="263" spans="4:8">
      <c r="D263"/>
      <c r="E263" s="47"/>
      <c r="F263"/>
      <c r="G263" s="47"/>
      <c r="H263" s="219"/>
    </row>
    <row r="264" spans="4:8">
      <c r="D264"/>
      <c r="E264" s="47"/>
      <c r="F264"/>
      <c r="G264" s="47"/>
      <c r="H264" s="219"/>
    </row>
    <row r="265" spans="4:8">
      <c r="D265"/>
      <c r="E265" s="47"/>
      <c r="F265"/>
      <c r="G265" s="47"/>
      <c r="H265" s="219"/>
    </row>
    <row r="266" spans="4:8">
      <c r="D266"/>
      <c r="E266" s="47"/>
      <c r="F266"/>
      <c r="G266" s="47"/>
      <c r="H266" s="219"/>
    </row>
    <row r="267" spans="4:8">
      <c r="D267"/>
      <c r="E267" s="47"/>
      <c r="F267"/>
      <c r="G267" s="47"/>
      <c r="H267" s="219"/>
    </row>
    <row r="268" spans="4:8">
      <c r="D268"/>
      <c r="E268" s="47"/>
      <c r="F268"/>
      <c r="G268" s="47"/>
      <c r="H268" s="219"/>
    </row>
    <row r="269" spans="4:8">
      <c r="D269"/>
      <c r="E269" s="47"/>
      <c r="F269"/>
      <c r="G269" s="47"/>
      <c r="H269" s="219"/>
    </row>
    <row r="270" spans="4:8">
      <c r="D270"/>
      <c r="E270" s="47"/>
      <c r="F270"/>
      <c r="G270" s="47"/>
      <c r="H270" s="219"/>
    </row>
    <row r="271" spans="4:8">
      <c r="D271"/>
      <c r="E271" s="47"/>
      <c r="F271"/>
      <c r="G271" s="47"/>
      <c r="H271" s="219"/>
    </row>
    <row r="272" spans="4:8">
      <c r="D272"/>
      <c r="E272" s="47"/>
      <c r="F272"/>
      <c r="G272" s="47"/>
      <c r="H272" s="219"/>
    </row>
    <row r="273" spans="4:8">
      <c r="D273"/>
      <c r="E273" s="47"/>
      <c r="F273"/>
      <c r="G273" s="47"/>
      <c r="H273" s="219"/>
    </row>
    <row r="274" spans="4:8">
      <c r="D274"/>
      <c r="E274" s="47"/>
      <c r="F274"/>
      <c r="G274" s="47"/>
      <c r="H274" s="219"/>
    </row>
    <row r="275" spans="4:8">
      <c r="D275"/>
      <c r="E275" s="47"/>
      <c r="F275"/>
      <c r="G275" s="47"/>
      <c r="H275" s="219"/>
    </row>
    <row r="276" spans="4:8">
      <c r="D276"/>
      <c r="E276" s="47"/>
      <c r="F276"/>
      <c r="G276" s="47"/>
      <c r="H276" s="219"/>
    </row>
    <row r="277" spans="4:8">
      <c r="D277"/>
      <c r="E277" s="47"/>
      <c r="F277"/>
      <c r="G277" s="47"/>
      <c r="H277" s="219"/>
    </row>
    <row r="278" spans="4:8">
      <c r="D278"/>
      <c r="E278" s="47"/>
      <c r="F278"/>
      <c r="G278" s="47"/>
      <c r="H278" s="219"/>
    </row>
    <row r="279" spans="4:8">
      <c r="D279"/>
      <c r="E279" s="47"/>
      <c r="F279"/>
      <c r="G279" s="47"/>
      <c r="H279" s="219"/>
    </row>
    <row r="280" spans="4:8">
      <c r="D280"/>
      <c r="E280" s="47"/>
      <c r="F280"/>
      <c r="G280" s="47"/>
      <c r="H280" s="219"/>
    </row>
    <row r="281" spans="4:8">
      <c r="D281"/>
      <c r="E281" s="47"/>
      <c r="F281"/>
      <c r="G281" s="47"/>
      <c r="H281" s="219"/>
    </row>
    <row r="282" spans="4:8">
      <c r="D282"/>
      <c r="E282" s="47"/>
      <c r="F282"/>
      <c r="G282" s="47"/>
      <c r="H282" s="219"/>
    </row>
    <row r="283" spans="4:8">
      <c r="D283"/>
      <c r="E283" s="47"/>
      <c r="F283"/>
      <c r="G283" s="47"/>
      <c r="H283" s="219"/>
    </row>
    <row r="284" spans="4:8">
      <c r="D284"/>
      <c r="E284" s="47"/>
      <c r="F284"/>
      <c r="G284" s="47"/>
      <c r="H284" s="219"/>
    </row>
    <row r="285" spans="4:8">
      <c r="D285"/>
      <c r="E285" s="47"/>
      <c r="F285"/>
      <c r="G285" s="47"/>
      <c r="H285" s="219"/>
    </row>
    <row r="286" spans="4:8">
      <c r="D286"/>
      <c r="E286" s="47"/>
      <c r="F286"/>
      <c r="G286" s="47"/>
      <c r="H286" s="219"/>
    </row>
    <row r="287" spans="4:8">
      <c r="D287"/>
      <c r="E287" s="47"/>
      <c r="F287"/>
      <c r="G287" s="47"/>
      <c r="H287" s="219"/>
    </row>
    <row r="288" spans="4:8">
      <c r="D288"/>
      <c r="E288" s="47"/>
      <c r="F288"/>
      <c r="G288" s="47"/>
      <c r="H288" s="219"/>
    </row>
    <row r="289" spans="4:8">
      <c r="D289"/>
      <c r="E289" s="47"/>
      <c r="F289"/>
      <c r="G289" s="47"/>
      <c r="H289" s="219"/>
    </row>
    <row r="290" spans="4:8">
      <c r="D290"/>
      <c r="E290" s="47"/>
      <c r="F290"/>
      <c r="G290" s="47"/>
      <c r="H290" s="219"/>
    </row>
    <row r="291" spans="4:8">
      <c r="D291"/>
      <c r="E291" s="47"/>
      <c r="F291"/>
      <c r="G291" s="47"/>
      <c r="H291" s="219"/>
    </row>
    <row r="292" spans="4:8">
      <c r="D292"/>
      <c r="E292" s="47"/>
      <c r="F292"/>
      <c r="G292" s="47"/>
      <c r="H292" s="219"/>
    </row>
    <row r="293" spans="4:8">
      <c r="D293"/>
      <c r="E293" s="47"/>
      <c r="F293"/>
      <c r="G293" s="47"/>
      <c r="H293" s="219"/>
    </row>
    <row r="294" spans="4:8">
      <c r="D294"/>
      <c r="E294" s="47"/>
      <c r="F294"/>
      <c r="G294" s="47"/>
      <c r="H294" s="219"/>
    </row>
    <row r="295" spans="4:8">
      <c r="D295"/>
      <c r="E295" s="47"/>
      <c r="F295"/>
      <c r="G295" s="47"/>
      <c r="H295" s="219"/>
    </row>
    <row r="296" spans="4:8">
      <c r="D296"/>
      <c r="E296" s="47"/>
      <c r="F296"/>
      <c r="G296" s="47"/>
      <c r="H296" s="219"/>
    </row>
    <row r="297" spans="4:8">
      <c r="D297"/>
      <c r="E297" s="47"/>
      <c r="F297"/>
      <c r="G297" s="47"/>
      <c r="H297" s="219"/>
    </row>
    <row r="298" spans="4:8">
      <c r="D298"/>
      <c r="E298" s="47"/>
      <c r="F298"/>
      <c r="G298" s="47"/>
      <c r="H298" s="219"/>
    </row>
    <row r="299" spans="4:8">
      <c r="D299"/>
      <c r="E299" s="47"/>
      <c r="F299"/>
      <c r="G299" s="47"/>
      <c r="H299" s="219"/>
    </row>
    <row r="300" spans="4:8">
      <c r="D300"/>
      <c r="E300" s="47"/>
      <c r="F300"/>
      <c r="G300" s="47"/>
      <c r="H300" s="219"/>
    </row>
    <row r="301" spans="4:8">
      <c r="D301"/>
      <c r="E301" s="47"/>
      <c r="F301"/>
      <c r="G301" s="47"/>
      <c r="H301" s="219"/>
    </row>
    <row r="302" spans="4:8">
      <c r="D302"/>
      <c r="E302" s="47"/>
      <c r="F302"/>
      <c r="G302" s="47"/>
      <c r="H302" s="219"/>
    </row>
    <row r="303" spans="4:8">
      <c r="D303"/>
      <c r="E303" s="47"/>
      <c r="F303"/>
      <c r="G303" s="47"/>
      <c r="H303" s="219"/>
    </row>
    <row r="304" spans="4:8">
      <c r="D304"/>
      <c r="E304" s="47"/>
      <c r="F304"/>
      <c r="G304" s="47"/>
      <c r="H304" s="219"/>
    </row>
    <row r="305" spans="4:8">
      <c r="D305"/>
      <c r="E305" s="47"/>
      <c r="F305"/>
      <c r="G305" s="47"/>
      <c r="H305" s="219"/>
    </row>
    <row r="306" spans="4:8">
      <c r="D306"/>
      <c r="E306" s="47"/>
      <c r="F306"/>
      <c r="G306" s="47"/>
      <c r="H306" s="219"/>
    </row>
    <row r="307" spans="4:8">
      <c r="D307"/>
      <c r="E307" s="47"/>
      <c r="F307"/>
      <c r="G307" s="47"/>
      <c r="H307" s="219"/>
    </row>
    <row r="308" spans="4:8">
      <c r="D308"/>
      <c r="E308" s="47"/>
      <c r="F308"/>
      <c r="G308" s="47"/>
      <c r="H308" s="219"/>
    </row>
    <row r="309" spans="4:8">
      <c r="D309"/>
      <c r="E309" s="47"/>
      <c r="F309"/>
      <c r="G309" s="47"/>
      <c r="H309" s="219"/>
    </row>
    <row r="310" spans="4:8">
      <c r="D310"/>
      <c r="E310" s="47"/>
      <c r="F310"/>
      <c r="G310" s="47"/>
      <c r="H310" s="219"/>
    </row>
    <row r="311" spans="4:8">
      <c r="D311"/>
      <c r="E311" s="47"/>
      <c r="F311"/>
      <c r="G311" s="47"/>
      <c r="H311" s="219"/>
    </row>
    <row r="312" spans="4:8">
      <c r="D312"/>
      <c r="E312" s="47"/>
      <c r="F312"/>
      <c r="G312" s="47"/>
      <c r="H312" s="219"/>
    </row>
    <row r="313" spans="4:8">
      <c r="D313"/>
      <c r="E313" s="47"/>
      <c r="F313"/>
      <c r="G313" s="47"/>
      <c r="H313" s="219"/>
    </row>
    <row r="314" spans="4:8">
      <c r="D314"/>
      <c r="E314" s="47"/>
      <c r="F314"/>
      <c r="G314" s="47"/>
      <c r="H314" s="219"/>
    </row>
    <row r="315" spans="4:8">
      <c r="D315"/>
      <c r="E315" s="47"/>
      <c r="F315"/>
      <c r="G315" s="47"/>
      <c r="H315" s="219"/>
    </row>
    <row r="316" spans="4:8">
      <c r="D316"/>
      <c r="E316" s="47"/>
      <c r="F316"/>
      <c r="G316" s="47"/>
      <c r="H316" s="219"/>
    </row>
    <row r="317" spans="4:8">
      <c r="D317"/>
      <c r="E317" s="47"/>
      <c r="F317"/>
      <c r="G317" s="47"/>
      <c r="H317" s="219"/>
    </row>
    <row r="318" spans="4:8">
      <c r="D318"/>
      <c r="E318" s="47"/>
      <c r="F318"/>
      <c r="G318" s="47"/>
      <c r="H318" s="219"/>
    </row>
    <row r="319" spans="4:8">
      <c r="D319"/>
      <c r="E319" s="47"/>
      <c r="F319"/>
      <c r="G319" s="47"/>
      <c r="H319" s="219"/>
    </row>
    <row r="320" spans="4:8">
      <c r="D320"/>
      <c r="E320" s="47"/>
      <c r="F320"/>
      <c r="G320" s="47"/>
      <c r="H320" s="219"/>
    </row>
    <row r="321" spans="4:8">
      <c r="D321"/>
      <c r="E321" s="47"/>
      <c r="F321"/>
      <c r="G321" s="47"/>
      <c r="H321" s="219"/>
    </row>
    <row r="322" spans="4:8">
      <c r="D322"/>
      <c r="E322" s="47"/>
      <c r="F322"/>
      <c r="G322" s="47"/>
      <c r="H322" s="219"/>
    </row>
    <row r="323" spans="4:8">
      <c r="D323"/>
      <c r="E323" s="47"/>
      <c r="F323"/>
      <c r="G323" s="47"/>
      <c r="H323" s="219"/>
    </row>
    <row r="324" spans="4:8">
      <c r="D324"/>
      <c r="E324" s="47"/>
      <c r="F324"/>
      <c r="G324" s="47"/>
      <c r="H324" s="219"/>
    </row>
    <row r="325" spans="4:8">
      <c r="D325"/>
      <c r="E325" s="47"/>
      <c r="F325"/>
      <c r="G325" s="47"/>
      <c r="H325" s="219"/>
    </row>
    <row r="326" spans="4:8">
      <c r="D326"/>
      <c r="E326" s="47"/>
      <c r="F326"/>
      <c r="G326" s="47"/>
      <c r="H326" s="219"/>
    </row>
    <row r="327" spans="4:8">
      <c r="D327"/>
      <c r="E327" s="47"/>
      <c r="F327"/>
      <c r="G327" s="47"/>
      <c r="H327" s="219"/>
    </row>
    <row r="328" spans="4:8">
      <c r="D328"/>
      <c r="E328" s="47"/>
      <c r="F328"/>
      <c r="G328" s="47"/>
      <c r="H328" s="219"/>
    </row>
    <row r="329" spans="4:8">
      <c r="D329"/>
      <c r="E329" s="47"/>
      <c r="F329"/>
      <c r="G329" s="47"/>
      <c r="H329" s="219"/>
    </row>
    <row r="330" spans="4:8">
      <c r="D330"/>
      <c r="E330" s="47"/>
      <c r="F330"/>
      <c r="G330" s="47"/>
      <c r="H330" s="219"/>
    </row>
    <row r="331" spans="4:8">
      <c r="D331"/>
      <c r="E331" s="47"/>
      <c r="F331"/>
      <c r="G331" s="47"/>
      <c r="H331" s="219"/>
    </row>
    <row r="332" spans="4:8">
      <c r="D332"/>
      <c r="E332" s="47"/>
      <c r="F332"/>
      <c r="G332" s="47"/>
      <c r="H332" s="219"/>
    </row>
    <row r="333" spans="4:8">
      <c r="D333"/>
      <c r="E333" s="47"/>
      <c r="F333"/>
      <c r="G333" s="47"/>
      <c r="H333" s="219"/>
    </row>
    <row r="334" spans="4:8">
      <c r="D334"/>
      <c r="E334" s="47"/>
      <c r="F334"/>
      <c r="G334" s="47"/>
      <c r="H334" s="219"/>
    </row>
    <row r="335" spans="4:8">
      <c r="D335"/>
      <c r="E335" s="47"/>
      <c r="F335"/>
      <c r="G335" s="47"/>
      <c r="H335" s="219"/>
    </row>
    <row r="336" spans="4:8">
      <c r="D336"/>
      <c r="E336" s="47"/>
      <c r="F336"/>
      <c r="G336" s="47"/>
      <c r="H336" s="219"/>
    </row>
    <row r="337" spans="4:8">
      <c r="D337"/>
      <c r="E337" s="47"/>
      <c r="F337"/>
      <c r="G337" s="47"/>
      <c r="H337" s="219"/>
    </row>
    <row r="338" spans="4:8">
      <c r="D338"/>
      <c r="E338" s="47"/>
      <c r="F338"/>
      <c r="G338" s="47"/>
      <c r="H338" s="219"/>
    </row>
    <row r="339" spans="4:8">
      <c r="D339"/>
      <c r="E339" s="47"/>
      <c r="F339"/>
      <c r="G339" s="47"/>
      <c r="H339" s="219"/>
    </row>
    <row r="340" spans="4:8">
      <c r="D340"/>
      <c r="E340" s="47"/>
      <c r="F340"/>
      <c r="G340" s="47"/>
      <c r="H340" s="219"/>
    </row>
    <row r="341" spans="4:8">
      <c r="D341"/>
      <c r="E341" s="47"/>
      <c r="F341"/>
      <c r="G341" s="47"/>
      <c r="H341" s="219"/>
    </row>
    <row r="342" spans="4:8">
      <c r="D342"/>
      <c r="E342" s="47"/>
      <c r="F342"/>
      <c r="G342" s="47"/>
      <c r="H342" s="219"/>
    </row>
    <row r="343" spans="4:8">
      <c r="D343"/>
      <c r="E343" s="47"/>
      <c r="F343"/>
      <c r="G343" s="47"/>
      <c r="H343" s="219"/>
    </row>
    <row r="344" spans="4:8">
      <c r="D344"/>
      <c r="E344" s="47"/>
      <c r="F344"/>
      <c r="G344" s="47"/>
      <c r="H344" s="219"/>
    </row>
    <row r="345" spans="4:8">
      <c r="D345"/>
      <c r="E345" s="47"/>
      <c r="F345"/>
      <c r="G345" s="47"/>
      <c r="H345" s="219"/>
    </row>
    <row r="346" spans="4:8">
      <c r="D346"/>
      <c r="E346" s="47"/>
      <c r="F346"/>
      <c r="G346" s="47"/>
      <c r="H346" s="219"/>
    </row>
    <row r="347" spans="4:8">
      <c r="D347"/>
      <c r="E347" s="47"/>
      <c r="F347"/>
      <c r="G347" s="47"/>
      <c r="H347" s="219"/>
    </row>
    <row r="348" spans="4:8">
      <c r="D348"/>
      <c r="E348" s="47"/>
      <c r="F348"/>
      <c r="G348" s="47"/>
      <c r="H348" s="219"/>
    </row>
    <row r="349" spans="4:8">
      <c r="D349"/>
      <c r="E349" s="47"/>
      <c r="F349"/>
      <c r="G349" s="47"/>
      <c r="H349" s="219"/>
    </row>
    <row r="350" spans="4:8">
      <c r="D350"/>
      <c r="E350" s="47"/>
      <c r="F350"/>
      <c r="G350" s="47"/>
      <c r="H350" s="219"/>
    </row>
    <row r="351" spans="4:8">
      <c r="D351"/>
      <c r="E351" s="47"/>
      <c r="F351"/>
      <c r="G351" s="47"/>
      <c r="H351" s="219"/>
    </row>
    <row r="352" spans="4:8">
      <c r="D352"/>
      <c r="E352" s="47"/>
      <c r="F352"/>
      <c r="G352" s="47"/>
      <c r="H352" s="219"/>
    </row>
    <row r="353" spans="4:8">
      <c r="D353"/>
      <c r="E353" s="47"/>
      <c r="F353"/>
      <c r="G353" s="47"/>
      <c r="H353" s="219"/>
    </row>
    <row r="354" spans="4:8">
      <c r="D354"/>
      <c r="E354" s="47"/>
      <c r="F354"/>
      <c r="G354" s="47"/>
      <c r="H354" s="219"/>
    </row>
    <row r="355" spans="4:8">
      <c r="D355"/>
      <c r="E355" s="47"/>
      <c r="F355"/>
      <c r="G355" s="47"/>
      <c r="H355" s="219"/>
    </row>
    <row r="356" spans="4:8">
      <c r="D356"/>
      <c r="E356" s="47"/>
      <c r="F356"/>
      <c r="G356" s="47"/>
      <c r="H356" s="219"/>
    </row>
    <row r="357" spans="4:8">
      <c r="D357"/>
      <c r="E357" s="47"/>
      <c r="F357"/>
      <c r="G357" s="47"/>
      <c r="H357" s="219"/>
    </row>
    <row r="358" spans="4:8">
      <c r="D358"/>
      <c r="E358" s="47"/>
      <c r="F358"/>
      <c r="G358" s="47"/>
      <c r="H358" s="219"/>
    </row>
    <row r="359" spans="4:8">
      <c r="D359"/>
      <c r="E359" s="47"/>
      <c r="F359"/>
      <c r="G359" s="47"/>
      <c r="H359" s="219"/>
    </row>
    <row r="360" spans="4:8">
      <c r="D360"/>
      <c r="E360" s="47"/>
      <c r="F360"/>
      <c r="G360" s="47"/>
      <c r="H360" s="219"/>
    </row>
    <row r="361" spans="4:8">
      <c r="D361"/>
      <c r="E361" s="47"/>
      <c r="F361"/>
      <c r="G361" s="47"/>
      <c r="H361" s="219"/>
    </row>
    <row r="362" spans="4:8">
      <c r="D362"/>
      <c r="E362" s="47"/>
      <c r="F362"/>
      <c r="G362" s="47"/>
      <c r="H362" s="219"/>
    </row>
    <row r="363" spans="4:8">
      <c r="D363"/>
      <c r="E363" s="47"/>
      <c r="F363"/>
      <c r="G363" s="47"/>
      <c r="H363" s="219"/>
    </row>
    <row r="364" spans="4:8">
      <c r="D364"/>
      <c r="E364" s="47"/>
      <c r="F364"/>
      <c r="G364" s="47"/>
      <c r="H364" s="219"/>
    </row>
    <row r="365" spans="4:8">
      <c r="D365"/>
      <c r="E365" s="47"/>
      <c r="F365"/>
      <c r="G365" s="47"/>
      <c r="H365" s="219"/>
    </row>
    <row r="366" spans="4:8">
      <c r="D366"/>
      <c r="E366" s="47"/>
      <c r="F366"/>
      <c r="G366" s="47"/>
      <c r="H366" s="219"/>
    </row>
    <row r="367" spans="4:8">
      <c r="D367"/>
      <c r="E367" s="47"/>
      <c r="F367"/>
      <c r="G367" s="47"/>
      <c r="H367" s="219"/>
    </row>
    <row r="368" spans="4:8">
      <c r="D368"/>
      <c r="E368" s="47"/>
      <c r="F368"/>
      <c r="G368" s="47"/>
      <c r="H368" s="219"/>
    </row>
    <row r="369" spans="4:8">
      <c r="D369"/>
      <c r="E369" s="47"/>
      <c r="F369"/>
      <c r="G369" s="47"/>
      <c r="H369" s="219"/>
    </row>
    <row r="370" spans="4:8">
      <c r="D370"/>
      <c r="E370" s="47"/>
      <c r="F370"/>
      <c r="G370" s="47"/>
      <c r="H370" s="219"/>
    </row>
    <row r="371" spans="4:8">
      <c r="D371"/>
      <c r="E371" s="47"/>
      <c r="F371"/>
      <c r="G371" s="47"/>
      <c r="H371" s="219"/>
    </row>
    <row r="372" spans="4:8">
      <c r="D372"/>
      <c r="E372" s="47"/>
      <c r="F372"/>
      <c r="G372" s="47"/>
      <c r="H372" s="219"/>
    </row>
    <row r="373" spans="4:8">
      <c r="D373"/>
      <c r="E373" s="47"/>
      <c r="F373"/>
      <c r="G373" s="47"/>
      <c r="H373" s="219"/>
    </row>
    <row r="374" spans="4:8">
      <c r="D374"/>
      <c r="E374" s="47"/>
      <c r="F374"/>
      <c r="G374" s="47"/>
      <c r="H374" s="219"/>
    </row>
    <row r="375" spans="4:8">
      <c r="D375"/>
      <c r="E375" s="47"/>
      <c r="F375"/>
      <c r="G375" s="47"/>
      <c r="H375" s="219"/>
    </row>
    <row r="376" spans="4:8">
      <c r="D376"/>
      <c r="E376" s="47"/>
      <c r="F376"/>
      <c r="G376" s="47"/>
      <c r="H376" s="219"/>
    </row>
    <row r="377" spans="4:8">
      <c r="D377"/>
      <c r="E377" s="47"/>
      <c r="F377"/>
      <c r="G377" s="47"/>
      <c r="H377" s="219"/>
    </row>
    <row r="378" spans="4:8">
      <c r="D378"/>
      <c r="E378" s="47"/>
      <c r="F378"/>
      <c r="G378" s="47"/>
      <c r="H378" s="219"/>
    </row>
    <row r="379" spans="4:8">
      <c r="D379"/>
      <c r="E379" s="47"/>
      <c r="F379"/>
      <c r="G379" s="47"/>
      <c r="H379" s="219"/>
    </row>
    <row r="380" spans="4:8">
      <c r="D380"/>
      <c r="E380" s="47"/>
      <c r="F380"/>
      <c r="G380" s="47"/>
      <c r="H380" s="219"/>
    </row>
    <row r="381" spans="4:8">
      <c r="D381"/>
      <c r="E381" s="47"/>
      <c r="F381"/>
      <c r="G381" s="47"/>
      <c r="H381" s="219"/>
    </row>
    <row r="382" spans="4:8">
      <c r="D382"/>
      <c r="E382" s="47"/>
      <c r="F382"/>
      <c r="G382" s="47"/>
      <c r="H382" s="219"/>
    </row>
    <row r="383" spans="4:8">
      <c r="D383"/>
      <c r="E383" s="47"/>
      <c r="F383"/>
      <c r="G383" s="47"/>
      <c r="H383" s="219"/>
    </row>
    <row r="384" spans="4:8">
      <c r="D384"/>
      <c r="E384" s="47"/>
      <c r="F384"/>
      <c r="G384" s="47"/>
      <c r="H384" s="219"/>
    </row>
    <row r="385" spans="4:8">
      <c r="D385"/>
      <c r="E385" s="47"/>
      <c r="F385"/>
      <c r="G385" s="47"/>
      <c r="H385" s="219"/>
    </row>
    <row r="386" spans="4:8">
      <c r="D386"/>
      <c r="E386" s="47"/>
      <c r="F386"/>
      <c r="G386" s="47"/>
      <c r="H386" s="219"/>
    </row>
    <row r="387" spans="4:8">
      <c r="D387"/>
      <c r="E387" s="47"/>
      <c r="F387"/>
      <c r="G387" s="47"/>
      <c r="H387" s="219"/>
    </row>
    <row r="388" spans="4:8">
      <c r="D388"/>
      <c r="E388" s="47"/>
      <c r="F388"/>
      <c r="G388" s="47"/>
      <c r="H388" s="219"/>
    </row>
    <row r="389" spans="4:8">
      <c r="D389"/>
      <c r="E389" s="47"/>
      <c r="F389"/>
      <c r="G389" s="47"/>
      <c r="H389" s="219"/>
    </row>
    <row r="390" spans="4:8">
      <c r="D390"/>
      <c r="E390" s="47"/>
      <c r="F390"/>
      <c r="G390" s="47"/>
      <c r="H390" s="219"/>
    </row>
    <row r="391" spans="4:8">
      <c r="D391"/>
      <c r="E391" s="47"/>
      <c r="F391"/>
      <c r="G391" s="47"/>
      <c r="H391" s="219"/>
    </row>
    <row r="392" spans="4:8">
      <c r="D392"/>
      <c r="E392" s="47"/>
      <c r="F392"/>
      <c r="G392" s="47"/>
      <c r="H392" s="219"/>
    </row>
    <row r="393" spans="4:8">
      <c r="D393"/>
      <c r="E393" s="47"/>
      <c r="F393"/>
      <c r="G393" s="47"/>
      <c r="H393" s="219"/>
    </row>
    <row r="394" spans="4:8">
      <c r="D394"/>
      <c r="E394" s="47"/>
      <c r="F394"/>
      <c r="G394" s="47"/>
      <c r="H394" s="219"/>
    </row>
    <row r="395" spans="4:8">
      <c r="D395"/>
      <c r="E395" s="47"/>
      <c r="F395"/>
      <c r="G395" s="47"/>
      <c r="H395" s="219"/>
    </row>
    <row r="396" spans="4:8">
      <c r="D396"/>
      <c r="E396" s="47"/>
      <c r="F396"/>
      <c r="G396" s="47"/>
      <c r="H396" s="219"/>
    </row>
    <row r="397" spans="4:8">
      <c r="D397"/>
      <c r="E397" s="47"/>
      <c r="F397"/>
      <c r="G397" s="47"/>
      <c r="H397" s="219"/>
    </row>
    <row r="398" spans="4:8">
      <c r="D398"/>
      <c r="E398" s="47"/>
      <c r="F398"/>
      <c r="G398" s="47"/>
      <c r="H398" s="219"/>
    </row>
    <row r="399" spans="4:8">
      <c r="D399"/>
      <c r="E399" s="47"/>
      <c r="F399"/>
      <c r="G399" s="47"/>
      <c r="H399" s="219"/>
    </row>
    <row r="400" spans="4:8">
      <c r="D400"/>
      <c r="E400" s="47"/>
      <c r="F400"/>
      <c r="G400" s="47"/>
      <c r="H400" s="219"/>
    </row>
    <row r="401" spans="4:8">
      <c r="D401"/>
      <c r="E401" s="47"/>
      <c r="F401"/>
      <c r="G401" s="47"/>
      <c r="H401" s="219"/>
    </row>
    <row r="402" spans="4:8">
      <c r="D402"/>
      <c r="E402" s="47"/>
      <c r="F402"/>
      <c r="G402" s="47"/>
      <c r="H402" s="219"/>
    </row>
    <row r="403" spans="4:8">
      <c r="D403"/>
      <c r="E403" s="47"/>
      <c r="F403"/>
      <c r="G403" s="47"/>
      <c r="H403" s="219"/>
    </row>
    <row r="404" spans="4:8">
      <c r="D404"/>
      <c r="E404" s="47"/>
      <c r="F404"/>
      <c r="G404" s="47"/>
      <c r="H404" s="219"/>
    </row>
    <row r="405" spans="4:8">
      <c r="D405"/>
      <c r="E405" s="47"/>
      <c r="F405"/>
      <c r="G405" s="47"/>
      <c r="H405" s="219"/>
    </row>
    <row r="406" spans="4:8">
      <c r="D406"/>
      <c r="E406" s="47"/>
      <c r="F406"/>
      <c r="G406" s="47"/>
      <c r="H406" s="219"/>
    </row>
    <row r="407" spans="4:8">
      <c r="D407"/>
      <c r="E407" s="47"/>
      <c r="F407"/>
      <c r="G407" s="47"/>
      <c r="H407" s="219"/>
    </row>
    <row r="408" spans="4:8">
      <c r="D408"/>
      <c r="E408" s="47"/>
      <c r="F408"/>
      <c r="G408" s="47"/>
      <c r="H408" s="219"/>
    </row>
    <row r="409" spans="4:8">
      <c r="D409"/>
      <c r="E409" s="47"/>
      <c r="F409"/>
      <c r="G409" s="47"/>
      <c r="H409" s="219"/>
    </row>
    <row r="410" spans="4:8">
      <c r="D410"/>
      <c r="E410" s="47"/>
      <c r="F410"/>
      <c r="G410" s="47"/>
      <c r="H410" s="219"/>
    </row>
    <row r="411" spans="4:8">
      <c r="D411"/>
      <c r="E411" s="47"/>
      <c r="F411"/>
      <c r="G411" s="47"/>
      <c r="H411" s="219"/>
    </row>
    <row r="412" spans="4:8">
      <c r="D412"/>
      <c r="E412" s="47"/>
      <c r="F412"/>
      <c r="G412" s="47"/>
      <c r="H412" s="219"/>
    </row>
    <row r="413" spans="4:8">
      <c r="D413"/>
      <c r="E413" s="47"/>
      <c r="F413"/>
      <c r="G413" s="47"/>
      <c r="H413" s="219"/>
    </row>
    <row r="414" spans="4:8">
      <c r="D414"/>
      <c r="E414" s="47"/>
      <c r="F414"/>
      <c r="G414" s="47"/>
      <c r="H414" s="219"/>
    </row>
    <row r="415" spans="4:8">
      <c r="D415"/>
      <c r="E415" s="47"/>
      <c r="F415"/>
      <c r="G415" s="47"/>
      <c r="H415" s="219"/>
    </row>
    <row r="416" spans="4:8">
      <c r="D416"/>
      <c r="E416" s="47"/>
      <c r="F416"/>
      <c r="G416" s="47"/>
      <c r="H416" s="219"/>
    </row>
    <row r="417" spans="4:8">
      <c r="D417"/>
      <c r="E417" s="47"/>
      <c r="F417"/>
      <c r="G417" s="47"/>
      <c r="H417" s="219"/>
    </row>
    <row r="418" spans="4:8">
      <c r="D418"/>
      <c r="E418" s="47"/>
      <c r="F418"/>
      <c r="G418" s="47"/>
      <c r="H418" s="219"/>
    </row>
    <row r="419" spans="4:8">
      <c r="D419"/>
      <c r="E419" s="47"/>
      <c r="F419"/>
      <c r="G419" s="47"/>
      <c r="H419" s="219"/>
    </row>
    <row r="420" spans="4:8">
      <c r="D420"/>
      <c r="E420" s="47"/>
      <c r="F420"/>
      <c r="G420" s="47"/>
      <c r="H420" s="219"/>
    </row>
    <row r="421" spans="4:8">
      <c r="D421"/>
      <c r="E421" s="47"/>
      <c r="F421"/>
      <c r="G421" s="47"/>
      <c r="H421" s="219"/>
    </row>
    <row r="422" spans="4:8">
      <c r="D422"/>
      <c r="E422" s="47"/>
      <c r="F422"/>
      <c r="G422" s="47"/>
      <c r="H422" s="219"/>
    </row>
    <row r="423" spans="4:8">
      <c r="D423"/>
      <c r="E423" s="47"/>
      <c r="F423"/>
      <c r="G423" s="47"/>
      <c r="H423" s="219"/>
    </row>
    <row r="424" spans="4:8">
      <c r="D424"/>
      <c r="E424" s="47"/>
      <c r="F424"/>
      <c r="G424" s="47"/>
      <c r="H424" s="219"/>
    </row>
    <row r="425" spans="4:8">
      <c r="D425"/>
      <c r="E425" s="47"/>
      <c r="F425"/>
      <c r="G425" s="47"/>
      <c r="H425" s="219"/>
    </row>
    <row r="426" spans="4:8">
      <c r="D426"/>
      <c r="E426" s="47"/>
      <c r="F426"/>
      <c r="G426" s="47"/>
      <c r="H426" s="219"/>
    </row>
    <row r="427" spans="4:8">
      <c r="D427"/>
      <c r="E427" s="47"/>
      <c r="F427"/>
      <c r="G427" s="47"/>
      <c r="H427" s="219"/>
    </row>
    <row r="428" spans="4:8">
      <c r="D428"/>
      <c r="E428" s="47"/>
      <c r="F428"/>
      <c r="G428" s="47"/>
      <c r="H428" s="219"/>
    </row>
    <row r="429" spans="4:8">
      <c r="D429"/>
      <c r="E429" s="47"/>
      <c r="F429"/>
      <c r="G429" s="47"/>
      <c r="H429" s="219"/>
    </row>
    <row r="430" spans="4:8">
      <c r="D430"/>
      <c r="E430" s="47"/>
      <c r="F430"/>
      <c r="G430" s="47"/>
      <c r="H430" s="219"/>
    </row>
    <row r="431" spans="4:8">
      <c r="D431"/>
      <c r="E431" s="47"/>
      <c r="F431"/>
      <c r="G431" s="47"/>
      <c r="H431" s="219"/>
    </row>
    <row r="432" spans="4:8">
      <c r="D432"/>
      <c r="E432" s="47"/>
      <c r="F432"/>
      <c r="G432" s="47"/>
      <c r="H432" s="219"/>
    </row>
    <row r="433" spans="4:8">
      <c r="D433"/>
      <c r="E433" s="47"/>
      <c r="F433"/>
      <c r="G433" s="47"/>
      <c r="H433" s="219"/>
    </row>
    <row r="434" spans="4:8">
      <c r="D434"/>
      <c r="E434" s="47"/>
      <c r="F434"/>
      <c r="G434" s="47"/>
      <c r="H434" s="219"/>
    </row>
    <row r="435" spans="4:8">
      <c r="D435"/>
      <c r="E435" s="47"/>
      <c r="F435"/>
      <c r="G435" s="47"/>
      <c r="H435" s="219"/>
    </row>
    <row r="436" spans="4:8">
      <c r="D436"/>
      <c r="E436" s="47"/>
      <c r="F436"/>
      <c r="G436" s="47"/>
      <c r="H436" s="219"/>
    </row>
    <row r="437" spans="4:8">
      <c r="D437"/>
      <c r="E437" s="47"/>
      <c r="F437"/>
      <c r="G437" s="47"/>
      <c r="H437" s="219"/>
    </row>
    <row r="438" spans="4:8">
      <c r="D438"/>
      <c r="E438" s="47"/>
      <c r="F438"/>
      <c r="G438" s="47"/>
      <c r="H438" s="219"/>
    </row>
    <row r="439" spans="4:8">
      <c r="D439"/>
      <c r="E439" s="47"/>
      <c r="F439"/>
      <c r="G439" s="47"/>
      <c r="H439" s="219"/>
    </row>
    <row r="440" spans="4:8">
      <c r="D440"/>
      <c r="E440" s="47"/>
      <c r="F440"/>
      <c r="G440" s="47"/>
      <c r="H440" s="219"/>
    </row>
    <row r="441" spans="4:8">
      <c r="D441"/>
      <c r="E441" s="47"/>
      <c r="F441"/>
      <c r="G441" s="47"/>
      <c r="H441" s="219"/>
    </row>
    <row r="442" spans="4:8">
      <c r="D442"/>
      <c r="E442" s="47"/>
      <c r="F442"/>
      <c r="G442" s="47"/>
      <c r="H442" s="219"/>
    </row>
    <row r="443" spans="4:8">
      <c r="D443"/>
      <c r="E443" s="47"/>
      <c r="F443"/>
      <c r="G443" s="47"/>
      <c r="H443" s="219"/>
    </row>
    <row r="444" spans="4:8">
      <c r="D444"/>
      <c r="E444" s="47"/>
      <c r="F444"/>
      <c r="G444" s="47"/>
      <c r="H444" s="219"/>
    </row>
    <row r="445" spans="4:8">
      <c r="D445"/>
      <c r="E445" s="47"/>
      <c r="F445"/>
      <c r="G445" s="47"/>
      <c r="H445" s="219"/>
    </row>
    <row r="446" spans="4:8">
      <c r="D446"/>
      <c r="E446" s="47"/>
      <c r="F446"/>
      <c r="G446" s="47"/>
      <c r="H446" s="219"/>
    </row>
    <row r="447" spans="4:8">
      <c r="D447"/>
      <c r="E447" s="47"/>
      <c r="F447"/>
      <c r="G447" s="47"/>
      <c r="H447" s="219"/>
    </row>
    <row r="448" spans="4:8">
      <c r="D448"/>
      <c r="E448" s="47"/>
      <c r="F448"/>
      <c r="G448" s="47"/>
      <c r="H448" s="219"/>
    </row>
    <row r="449" spans="4:8">
      <c r="D449"/>
      <c r="E449" s="47"/>
      <c r="F449"/>
      <c r="G449" s="47"/>
      <c r="H449" s="219"/>
    </row>
    <row r="450" spans="4:8">
      <c r="D450"/>
      <c r="E450" s="47"/>
      <c r="F450"/>
      <c r="G450" s="47"/>
      <c r="H450" s="219"/>
    </row>
    <row r="451" spans="4:8">
      <c r="D451"/>
      <c r="E451" s="47"/>
      <c r="F451"/>
      <c r="G451" s="47"/>
      <c r="H451" s="219"/>
    </row>
    <row r="452" spans="4:8">
      <c r="D452"/>
      <c r="E452" s="47"/>
      <c r="F452"/>
      <c r="G452" s="47"/>
      <c r="H452" s="219"/>
    </row>
    <row r="453" spans="4:8">
      <c r="D453"/>
      <c r="E453" s="47"/>
      <c r="F453"/>
      <c r="G453" s="47"/>
      <c r="H453" s="219"/>
    </row>
    <row r="454" spans="4:8">
      <c r="D454"/>
      <c r="E454" s="47"/>
      <c r="F454"/>
      <c r="G454" s="47"/>
      <c r="H454" s="219"/>
    </row>
    <row r="455" spans="4:8">
      <c r="D455"/>
      <c r="E455" s="47"/>
      <c r="F455"/>
      <c r="G455" s="47"/>
      <c r="H455" s="219"/>
    </row>
    <row r="456" spans="4:8">
      <c r="D456"/>
      <c r="E456" s="47"/>
      <c r="F456"/>
      <c r="G456" s="47"/>
      <c r="H456" s="219"/>
    </row>
    <row r="457" spans="4:8">
      <c r="D457"/>
      <c r="E457" s="47"/>
      <c r="F457"/>
      <c r="G457" s="47"/>
      <c r="H457" s="219"/>
    </row>
    <row r="458" spans="4:8">
      <c r="D458"/>
      <c r="E458" s="47"/>
      <c r="F458"/>
      <c r="G458" s="47"/>
      <c r="H458" s="219"/>
    </row>
    <row r="459" spans="4:8">
      <c r="D459"/>
      <c r="E459" s="47"/>
      <c r="F459"/>
      <c r="G459" s="47"/>
      <c r="H459" s="219"/>
    </row>
    <row r="460" spans="4:8">
      <c r="D460"/>
      <c r="E460" s="47"/>
      <c r="F460"/>
      <c r="G460" s="47"/>
      <c r="H460" s="219"/>
    </row>
    <row r="461" spans="4:8">
      <c r="D461"/>
      <c r="E461" s="47"/>
      <c r="F461"/>
      <c r="G461" s="47"/>
      <c r="H461" s="219"/>
    </row>
    <row r="462" spans="4:8">
      <c r="D462"/>
      <c r="E462" s="47"/>
      <c r="F462"/>
      <c r="G462" s="47"/>
      <c r="H462" s="219"/>
    </row>
    <row r="463" spans="4:8">
      <c r="D463"/>
      <c r="E463" s="47"/>
      <c r="F463"/>
      <c r="G463" s="47"/>
      <c r="H463" s="219"/>
    </row>
    <row r="464" spans="4:8">
      <c r="D464"/>
      <c r="E464" s="47"/>
      <c r="F464"/>
      <c r="G464" s="47"/>
      <c r="H464" s="219"/>
    </row>
    <row r="465" spans="4:8">
      <c r="D465"/>
      <c r="E465" s="47"/>
      <c r="F465"/>
      <c r="G465" s="47"/>
      <c r="H465" s="219"/>
    </row>
    <row r="466" spans="4:8">
      <c r="D466"/>
      <c r="E466" s="47"/>
      <c r="F466"/>
      <c r="G466" s="47"/>
      <c r="H466" s="219"/>
    </row>
    <row r="467" spans="4:8">
      <c r="D467"/>
      <c r="E467" s="47"/>
      <c r="F467"/>
      <c r="G467" s="47"/>
      <c r="H467" s="219"/>
    </row>
    <row r="468" spans="4:8">
      <c r="D468"/>
      <c r="E468" s="47"/>
      <c r="F468"/>
      <c r="G468" s="47"/>
      <c r="H468" s="219"/>
    </row>
    <row r="469" spans="4:8">
      <c r="D469"/>
      <c r="E469" s="47"/>
      <c r="F469"/>
      <c r="G469" s="47"/>
      <c r="H469" s="219"/>
    </row>
    <row r="470" spans="4:8">
      <c r="D470"/>
      <c r="E470" s="47"/>
      <c r="F470"/>
      <c r="G470" s="47"/>
      <c r="H470" s="219"/>
    </row>
    <row r="471" spans="4:8">
      <c r="D471"/>
      <c r="E471" s="47"/>
      <c r="F471"/>
      <c r="G471" s="47"/>
      <c r="H471" s="219"/>
    </row>
    <row r="472" spans="4:8">
      <c r="D472"/>
      <c r="E472" s="47"/>
      <c r="F472"/>
      <c r="G472" s="47"/>
      <c r="H472" s="219"/>
    </row>
    <row r="473" spans="4:8">
      <c r="D473"/>
      <c r="E473" s="47"/>
      <c r="F473"/>
      <c r="G473" s="47"/>
      <c r="H473" s="219"/>
    </row>
    <row r="474" spans="4:8">
      <c r="D474"/>
      <c r="E474" s="47"/>
      <c r="F474"/>
      <c r="G474" s="47"/>
      <c r="H474" s="219"/>
    </row>
    <row r="475" spans="4:8">
      <c r="D475"/>
      <c r="E475" s="47"/>
      <c r="F475"/>
      <c r="G475" s="47"/>
      <c r="H475" s="219"/>
    </row>
    <row r="476" spans="4:8">
      <c r="D476"/>
      <c r="E476" s="47"/>
      <c r="F476"/>
      <c r="G476" s="47"/>
      <c r="H476" s="219"/>
    </row>
    <row r="477" spans="4:8">
      <c r="D477"/>
      <c r="E477" s="47"/>
      <c r="F477"/>
      <c r="G477" s="47"/>
      <c r="H477" s="219"/>
    </row>
    <row r="478" spans="4:8">
      <c r="D478"/>
      <c r="E478" s="47"/>
      <c r="F478"/>
      <c r="G478" s="47"/>
      <c r="H478" s="219"/>
    </row>
    <row r="479" spans="4:8">
      <c r="D479"/>
      <c r="E479" s="47"/>
      <c r="F479"/>
      <c r="G479" s="47"/>
      <c r="H479" s="219"/>
    </row>
    <row r="480" spans="4:8">
      <c r="D480"/>
      <c r="E480" s="47"/>
      <c r="F480"/>
      <c r="G480" s="47"/>
      <c r="H480" s="219"/>
    </row>
    <row r="481" spans="4:8">
      <c r="D481"/>
      <c r="E481" s="47"/>
      <c r="F481"/>
      <c r="G481" s="47"/>
      <c r="H481" s="219"/>
    </row>
    <row r="482" spans="4:8">
      <c r="D482"/>
      <c r="E482" s="47"/>
      <c r="F482"/>
      <c r="G482" s="47"/>
      <c r="H482" s="219"/>
    </row>
    <row r="483" spans="4:8">
      <c r="D483"/>
      <c r="E483" s="47"/>
      <c r="F483"/>
      <c r="G483" s="47"/>
      <c r="H483" s="219"/>
    </row>
    <row r="484" spans="4:8">
      <c r="D484"/>
      <c r="E484" s="47"/>
      <c r="F484"/>
      <c r="G484" s="47"/>
      <c r="H484" s="219"/>
    </row>
    <row r="485" spans="4:8">
      <c r="D485"/>
      <c r="E485" s="47"/>
      <c r="F485"/>
      <c r="G485" s="47"/>
      <c r="H485" s="219"/>
    </row>
    <row r="486" spans="4:8">
      <c r="D486"/>
      <c r="E486" s="47"/>
      <c r="F486"/>
      <c r="G486" s="47"/>
      <c r="H486" s="219"/>
    </row>
    <row r="487" spans="4:8">
      <c r="D487"/>
      <c r="E487" s="47"/>
      <c r="F487"/>
      <c r="G487" s="47"/>
      <c r="H487" s="219"/>
    </row>
    <row r="488" spans="4:8">
      <c r="D488"/>
      <c r="E488" s="47"/>
      <c r="F488"/>
      <c r="G488" s="47"/>
      <c r="H488" s="219"/>
    </row>
    <row r="489" spans="4:8">
      <c r="D489"/>
      <c r="E489" s="47"/>
      <c r="F489"/>
      <c r="G489" s="47"/>
      <c r="H489" s="219"/>
    </row>
    <row r="490" spans="4:8">
      <c r="D490"/>
      <c r="E490" s="47"/>
      <c r="F490"/>
      <c r="G490" s="47"/>
      <c r="H490" s="219"/>
    </row>
    <row r="491" spans="4:8">
      <c r="D491"/>
      <c r="E491" s="47"/>
      <c r="F491"/>
      <c r="G491" s="47"/>
      <c r="H491" s="219"/>
    </row>
    <row r="492" spans="4:8">
      <c r="D492"/>
      <c r="E492" s="47"/>
      <c r="F492"/>
      <c r="G492" s="47"/>
      <c r="H492" s="219"/>
    </row>
    <row r="493" spans="4:8">
      <c r="D493"/>
      <c r="E493" s="47"/>
      <c r="F493"/>
      <c r="G493" s="47"/>
      <c r="H493" s="219"/>
    </row>
    <row r="494" spans="4:8">
      <c r="D494"/>
      <c r="E494" s="47"/>
      <c r="F494"/>
      <c r="G494" s="47"/>
      <c r="H494" s="219"/>
    </row>
    <row r="495" spans="4:8">
      <c r="D495"/>
      <c r="E495" s="47"/>
      <c r="F495"/>
      <c r="G495" s="47"/>
      <c r="H495" s="219"/>
    </row>
    <row r="496" spans="4:8">
      <c r="D496"/>
      <c r="E496" s="47"/>
      <c r="F496"/>
      <c r="G496" s="47"/>
      <c r="H496" s="219"/>
    </row>
    <row r="497" spans="4:8">
      <c r="D497"/>
      <c r="E497" s="47"/>
      <c r="F497"/>
      <c r="G497" s="47"/>
      <c r="H497" s="219"/>
    </row>
    <row r="498" spans="4:8">
      <c r="D498"/>
      <c r="E498" s="47"/>
      <c r="F498"/>
      <c r="G498" s="47"/>
      <c r="H498" s="219"/>
    </row>
    <row r="499" spans="4:8">
      <c r="D499"/>
      <c r="E499" s="47"/>
      <c r="F499"/>
      <c r="G499" s="47"/>
      <c r="H499" s="219"/>
    </row>
    <row r="500" spans="4:8">
      <c r="D500"/>
      <c r="E500" s="47"/>
      <c r="F500"/>
      <c r="G500" s="47"/>
      <c r="H500" s="219"/>
    </row>
    <row r="501" spans="4:8">
      <c r="D501"/>
      <c r="E501" s="47"/>
      <c r="F501"/>
      <c r="G501" s="47"/>
      <c r="H501" s="219"/>
    </row>
    <row r="502" spans="4:8">
      <c r="D502"/>
      <c r="E502" s="47"/>
      <c r="F502"/>
      <c r="G502" s="47"/>
      <c r="H502" s="219"/>
    </row>
    <row r="503" spans="4:8">
      <c r="D503"/>
      <c r="E503" s="47"/>
      <c r="F503"/>
      <c r="G503" s="47"/>
      <c r="H503" s="219"/>
    </row>
    <row r="504" spans="4:8">
      <c r="D504"/>
      <c r="E504" s="47"/>
      <c r="F504"/>
      <c r="G504" s="47"/>
      <c r="H504" s="219"/>
    </row>
    <row r="505" spans="4:8">
      <c r="D505"/>
      <c r="E505" s="47"/>
      <c r="F505"/>
      <c r="G505" s="47"/>
      <c r="H505" s="219"/>
    </row>
    <row r="506" spans="4:8">
      <c r="D506"/>
      <c r="E506" s="47"/>
      <c r="F506"/>
      <c r="G506" s="47"/>
      <c r="H506" s="219"/>
    </row>
    <row r="507" spans="4:8">
      <c r="D507"/>
      <c r="E507" s="47"/>
      <c r="F507"/>
      <c r="G507" s="47"/>
      <c r="H507" s="219"/>
    </row>
    <row r="508" spans="4:8">
      <c r="D508"/>
      <c r="E508" s="47"/>
      <c r="F508"/>
      <c r="G508" s="47"/>
      <c r="H508" s="219"/>
    </row>
    <row r="509" spans="4:8">
      <c r="D509"/>
      <c r="E509" s="47"/>
      <c r="F509"/>
      <c r="G509" s="47"/>
      <c r="H509" s="219"/>
    </row>
    <row r="510" spans="4:8">
      <c r="D510"/>
      <c r="E510" s="47"/>
      <c r="F510"/>
      <c r="G510" s="47"/>
      <c r="H510" s="219"/>
    </row>
    <row r="511" spans="4:8">
      <c r="D511"/>
      <c r="E511" s="47"/>
      <c r="F511"/>
      <c r="G511" s="47"/>
      <c r="H511" s="219"/>
    </row>
    <row r="512" spans="4:8">
      <c r="D512"/>
      <c r="E512" s="47"/>
      <c r="F512"/>
      <c r="G512" s="47"/>
      <c r="H512" s="219"/>
    </row>
    <row r="513" spans="4:8">
      <c r="D513"/>
      <c r="E513" s="47"/>
      <c r="F513"/>
      <c r="G513" s="47"/>
      <c r="H513" s="219"/>
    </row>
    <row r="514" spans="4:8">
      <c r="D514"/>
      <c r="E514" s="47"/>
      <c r="F514"/>
      <c r="G514" s="47"/>
      <c r="H514" s="219"/>
    </row>
    <row r="515" spans="4:8">
      <c r="D515"/>
      <c r="E515" s="47"/>
      <c r="F515"/>
      <c r="G515" s="47"/>
      <c r="H515" s="219"/>
    </row>
    <row r="516" spans="4:8">
      <c r="D516"/>
      <c r="E516" s="47"/>
      <c r="F516"/>
      <c r="G516" s="47"/>
      <c r="H516" s="219"/>
    </row>
    <row r="517" spans="4:8">
      <c r="D517"/>
      <c r="E517" s="47"/>
      <c r="F517"/>
      <c r="G517" s="47"/>
      <c r="H517" s="219"/>
    </row>
    <row r="518" spans="4:8">
      <c r="D518"/>
      <c r="E518" s="47"/>
      <c r="F518"/>
      <c r="G518" s="47"/>
      <c r="H518" s="219"/>
    </row>
    <row r="519" spans="4:8">
      <c r="D519"/>
      <c r="E519" s="47"/>
      <c r="F519"/>
      <c r="G519" s="47"/>
      <c r="H519" s="219"/>
    </row>
    <row r="520" spans="4:8">
      <c r="D520"/>
      <c r="E520" s="47"/>
      <c r="F520"/>
      <c r="G520" s="47"/>
      <c r="H520" s="219"/>
    </row>
    <row r="521" spans="4:8">
      <c r="D521"/>
      <c r="E521" s="47"/>
      <c r="F521"/>
      <c r="G521" s="47"/>
      <c r="H521" s="219"/>
    </row>
    <row r="522" spans="4:8">
      <c r="D522"/>
      <c r="E522" s="47"/>
      <c r="F522"/>
      <c r="G522" s="47"/>
      <c r="H522" s="219"/>
    </row>
    <row r="523" spans="4:8">
      <c r="D523"/>
      <c r="E523" s="47"/>
      <c r="F523"/>
      <c r="G523" s="47"/>
      <c r="H523" s="219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461A3-2CCB-4C59-815E-131959DF78F4}">
  <sheetPr>
    <tabColor rgb="FFFF0000"/>
  </sheetPr>
  <dimension ref="B2:P21"/>
  <sheetViews>
    <sheetView showGridLines="0" topLeftCell="A3" workbookViewId="0">
      <selection activeCell="I14" sqref="I14"/>
    </sheetView>
  </sheetViews>
  <sheetFormatPr baseColWidth="10" defaultColWidth="11.453125" defaultRowHeight="14.5"/>
  <cols>
    <col min="1" max="1" width="3.453125" customWidth="1"/>
    <col min="2" max="2" width="20" bestFit="1" customWidth="1"/>
    <col min="3" max="3" width="9.54296875" customWidth="1"/>
    <col min="5" max="5" width="11.453125" bestFit="1" customWidth="1"/>
    <col min="6" max="6" width="8.54296875" bestFit="1" customWidth="1"/>
    <col min="7" max="7" width="1.54296875" customWidth="1"/>
    <col min="8" max="8" width="11.54296875" style="221" bestFit="1" customWidth="1"/>
    <col min="9" max="9" width="13.54296875" style="221" bestFit="1" customWidth="1"/>
    <col min="10" max="11" width="12.54296875" style="221" bestFit="1" customWidth="1"/>
    <col min="12" max="12" width="8.54296875" bestFit="1" customWidth="1"/>
    <col min="14" max="14" width="10.453125" bestFit="1" customWidth="1"/>
    <col min="15" max="15" width="8.453125" style="47" bestFit="1" customWidth="1"/>
    <col min="16" max="16" width="10.54296875" customWidth="1"/>
    <col min="18" max="18" width="16.54296875" customWidth="1"/>
  </cols>
  <sheetData>
    <row r="2" spans="2:15" ht="15" thickBot="1">
      <c r="B2" s="311" t="s">
        <v>4977</v>
      </c>
      <c r="C2" s="311"/>
      <c r="E2" s="77" t="s">
        <v>4978</v>
      </c>
      <c r="H2" s="220" t="s">
        <v>4979</v>
      </c>
    </row>
    <row r="3" spans="2:15" ht="15" thickBot="1">
      <c r="B3" s="189" t="s">
        <v>4980</v>
      </c>
      <c r="C3" s="190" t="s">
        <v>4981</v>
      </c>
      <c r="E3" s="80" t="s">
        <v>4936</v>
      </c>
      <c r="H3" s="220" t="s">
        <v>4979</v>
      </c>
    </row>
    <row r="4" spans="2:15">
      <c r="B4" s="191" t="s">
        <v>4982</v>
      </c>
      <c r="C4" s="192">
        <v>4</v>
      </c>
      <c r="E4" s="80" t="s">
        <v>81</v>
      </c>
    </row>
    <row r="5" spans="2:15" ht="15" thickBot="1">
      <c r="B5" s="193" t="s">
        <v>4983</v>
      </c>
      <c r="C5" s="194">
        <v>5</v>
      </c>
      <c r="E5" s="80" t="s">
        <v>163</v>
      </c>
    </row>
    <row r="6" spans="2:15" ht="15" thickBot="1">
      <c r="B6" s="195" t="s">
        <v>4984</v>
      </c>
      <c r="C6" s="188">
        <f>+SUM(C4:C5)</f>
        <v>9</v>
      </c>
    </row>
    <row r="7" spans="2:15">
      <c r="H7" s="222" t="s">
        <v>4985</v>
      </c>
      <c r="I7" s="223"/>
      <c r="J7" s="223"/>
    </row>
    <row r="8" spans="2:15">
      <c r="H8" s="243" t="s">
        <v>4986</v>
      </c>
      <c r="I8" s="219" t="s">
        <v>4987</v>
      </c>
      <c r="J8" s="219" t="s">
        <v>4988</v>
      </c>
      <c r="K8" s="224" t="s">
        <v>4979</v>
      </c>
    </row>
    <row r="9" spans="2:15">
      <c r="H9" s="302">
        <v>45623</v>
      </c>
      <c r="I9" s="217">
        <v>3975.2759999999989</v>
      </c>
      <c r="J9" s="217">
        <v>355991.12000000023</v>
      </c>
      <c r="K9" s="225">
        <f>+SUM(I9:J9)</f>
        <v>359966.39600000024</v>
      </c>
    </row>
    <row r="10" spans="2:15">
      <c r="H10" s="223"/>
      <c r="I10" s="186">
        <f>+I9/($I$9+$J$9)</f>
        <v>1.1043464179361888E-2</v>
      </c>
      <c r="J10" s="186">
        <f>+J9/($I$9+$J$9)</f>
        <v>0.98895653582063803</v>
      </c>
      <c r="K10" s="245">
        <f>+SUM(I10:J10)</f>
        <v>0.99999999999999989</v>
      </c>
      <c r="O10"/>
    </row>
    <row r="11" spans="2:15">
      <c r="O11"/>
    </row>
    <row r="12" spans="2:15">
      <c r="H12" s="222" t="s">
        <v>4989</v>
      </c>
    </row>
    <row r="13" spans="2:15">
      <c r="H13" s="243" t="s">
        <v>4986</v>
      </c>
      <c r="I13" s="219" t="s">
        <v>4990</v>
      </c>
      <c r="J13" s="219" t="s">
        <v>4991</v>
      </c>
      <c r="K13" s="224" t="s">
        <v>4979</v>
      </c>
    </row>
    <row r="14" spans="2:15">
      <c r="H14" s="301">
        <v>45623</v>
      </c>
      <c r="I14" s="214">
        <v>8151.0097065149948</v>
      </c>
      <c r="J14" s="244">
        <v>561140.35323740996</v>
      </c>
      <c r="K14" s="226">
        <f>+SUM(I14:J14)</f>
        <v>569291.36294392496</v>
      </c>
    </row>
    <row r="16" spans="2:15">
      <c r="H16" s="222" t="s">
        <v>4992</v>
      </c>
      <c r="I16" s="226">
        <f>+SUBTOTAL(9,I18:I21)</f>
        <v>36059.437046144303</v>
      </c>
    </row>
    <row r="17" spans="8:16">
      <c r="H17" s="217" t="s">
        <v>4993</v>
      </c>
      <c r="I17" s="218" t="s">
        <v>4994</v>
      </c>
      <c r="O17"/>
    </row>
    <row r="18" spans="8:16">
      <c r="H18" s="244">
        <v>14270.107570341399</v>
      </c>
      <c r="I18" s="214">
        <v>36059.437046144303</v>
      </c>
      <c r="O18"/>
    </row>
    <row r="19" spans="8:16">
      <c r="N19" s="78"/>
      <c r="O19" s="186"/>
      <c r="P19" s="186"/>
    </row>
    <row r="21" spans="8:16">
      <c r="H21" s="223"/>
      <c r="I21" s="223"/>
    </row>
  </sheetData>
  <mergeCells count="1">
    <mergeCell ref="B2:C2"/>
  </mergeCells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5F72C-B0CF-40F1-ABEE-3F77EBD553BB}">
  <dimension ref="A1:C74"/>
  <sheetViews>
    <sheetView showGridLines="0" topLeftCell="A27" workbookViewId="0">
      <selection activeCell="M44" sqref="M44"/>
    </sheetView>
  </sheetViews>
  <sheetFormatPr baseColWidth="10" defaultColWidth="11.453125" defaultRowHeight="14.5"/>
  <cols>
    <col min="1" max="1" width="23.7265625" bestFit="1" customWidth="1"/>
    <col min="2" max="2" width="14.81640625" style="97" bestFit="1" customWidth="1"/>
  </cols>
  <sheetData>
    <row r="1" spans="1:3">
      <c r="A1" s="77" t="s">
        <v>4964</v>
      </c>
      <c r="B1" s="178" t="s">
        <v>4970</v>
      </c>
    </row>
    <row r="2" spans="1:3">
      <c r="B2" s="97">
        <f>+SUBTOTAL(9,B4:B7)</f>
        <v>995.02999999999986</v>
      </c>
      <c r="C2" s="79">
        <f>+SUBTOTAL(9,C4:C7)</f>
        <v>1</v>
      </c>
    </row>
    <row r="3" spans="1:3">
      <c r="A3" s="77" t="s">
        <v>4995</v>
      </c>
      <c r="B3" s="178" t="s">
        <v>4996</v>
      </c>
    </row>
    <row r="4" spans="1:3">
      <c r="A4" s="80" t="s">
        <v>81</v>
      </c>
      <c r="B4" s="178">
        <v>995.02999999999986</v>
      </c>
      <c r="C4" s="179">
        <f>+IF(A4="","",B4/$B$2)</f>
        <v>1</v>
      </c>
    </row>
    <row r="5" spans="1:3">
      <c r="B5"/>
      <c r="C5" s="179" t="str">
        <f t="shared" ref="C5:C6" si="0">+IF(A5="","",B5/$B$2)</f>
        <v/>
      </c>
    </row>
    <row r="6" spans="1:3">
      <c r="B6"/>
      <c r="C6" s="179" t="str">
        <f t="shared" si="0"/>
        <v/>
      </c>
    </row>
    <row r="7" spans="1:3">
      <c r="B7"/>
    </row>
    <row r="8" spans="1:3">
      <c r="B8"/>
    </row>
    <row r="9" spans="1:3">
      <c r="B9" s="97">
        <f>+SUBTOTAL(9,B11:B16)</f>
        <v>995.02999999999986</v>
      </c>
      <c r="C9" s="79">
        <f>+SUBTOTAL(9,C11:C16)</f>
        <v>1</v>
      </c>
    </row>
    <row r="10" spans="1:3">
      <c r="A10" s="77" t="s">
        <v>4964</v>
      </c>
      <c r="B10" t="s">
        <v>4970</v>
      </c>
    </row>
    <row r="12" spans="1:3">
      <c r="A12" s="77" t="s">
        <v>4995</v>
      </c>
      <c r="B12" s="178" t="s">
        <v>4996</v>
      </c>
    </row>
    <row r="13" spans="1:3">
      <c r="A13" s="80" t="s">
        <v>138</v>
      </c>
      <c r="B13" s="178">
        <v>222.54</v>
      </c>
      <c r="C13" s="179">
        <f>+IF(A13="","",B13/$B$9)</f>
        <v>0.22365154819452682</v>
      </c>
    </row>
    <row r="14" spans="1:3">
      <c r="A14" s="80" t="s">
        <v>94</v>
      </c>
      <c r="B14" s="178">
        <v>772.4899999999999</v>
      </c>
      <c r="C14" s="179">
        <f>+IF(A14="","",B14/$B$9)</f>
        <v>0.77634845180547318</v>
      </c>
    </row>
    <row r="15" spans="1:3">
      <c r="B15"/>
    </row>
    <row r="16" spans="1:3">
      <c r="B16"/>
    </row>
    <row r="22" spans="1:3">
      <c r="A22" s="77" t="s">
        <v>4964</v>
      </c>
      <c r="B22" t="s">
        <v>4970</v>
      </c>
    </row>
    <row r="23" spans="1:3" ht="15.65" customHeight="1">
      <c r="B23" s="97">
        <f>+SUBTOTAL(9,B25:B45)</f>
        <v>995.02999999999986</v>
      </c>
      <c r="C23" s="79">
        <f>+SUBTOTAL(9,C25:C45)</f>
        <v>1</v>
      </c>
    </row>
    <row r="24" spans="1:3">
      <c r="A24" s="77" t="s">
        <v>4995</v>
      </c>
      <c r="B24" s="178" t="s">
        <v>4996</v>
      </c>
    </row>
    <row r="25" spans="1:3">
      <c r="A25" s="80" t="s">
        <v>1212</v>
      </c>
      <c r="B25" s="178">
        <v>126</v>
      </c>
      <c r="C25" s="179">
        <f>+IF(A25="","",B25/$B$23)</f>
        <v>0.12662934785885854</v>
      </c>
    </row>
    <row r="26" spans="1:3">
      <c r="A26" s="80" t="s">
        <v>161</v>
      </c>
      <c r="B26" s="178">
        <v>18</v>
      </c>
      <c r="C26" s="179">
        <f t="shared" ref="C26:C74" si="1">+IF(A26="","",B26/$B$23)</f>
        <v>1.8089906836979794E-2</v>
      </c>
    </row>
    <row r="27" spans="1:3">
      <c r="A27" s="80" t="s">
        <v>175</v>
      </c>
      <c r="B27" s="178">
        <v>204.54</v>
      </c>
      <c r="C27" s="179">
        <f t="shared" si="1"/>
        <v>0.20556164135754704</v>
      </c>
    </row>
    <row r="28" spans="1:3">
      <c r="A28" s="80" t="s">
        <v>147</v>
      </c>
      <c r="B28" s="178">
        <v>323.75999999999993</v>
      </c>
      <c r="C28" s="179">
        <f t="shared" si="1"/>
        <v>0.3253771243078098</v>
      </c>
    </row>
    <row r="29" spans="1:3">
      <c r="A29" s="80" t="s">
        <v>76</v>
      </c>
      <c r="B29" s="178">
        <v>262.58</v>
      </c>
      <c r="C29" s="179">
        <f t="shared" si="1"/>
        <v>0.2638915409585641</v>
      </c>
    </row>
    <row r="30" spans="1:3">
      <c r="A30" s="80" t="s">
        <v>107</v>
      </c>
      <c r="B30" s="178">
        <v>60.15</v>
      </c>
      <c r="C30" s="179">
        <f t="shared" si="1"/>
        <v>6.0450438680240803E-2</v>
      </c>
    </row>
    <row r="31" spans="1:3">
      <c r="B31"/>
      <c r="C31" s="179" t="str">
        <f t="shared" si="1"/>
        <v/>
      </c>
    </row>
    <row r="32" spans="1:3">
      <c r="B32"/>
      <c r="C32" s="179" t="str">
        <f t="shared" si="1"/>
        <v/>
      </c>
    </row>
    <row r="33" spans="2:3">
      <c r="B33"/>
      <c r="C33" s="179" t="str">
        <f t="shared" si="1"/>
        <v/>
      </c>
    </row>
    <row r="34" spans="2:3">
      <c r="B34"/>
      <c r="C34" s="179" t="str">
        <f t="shared" si="1"/>
        <v/>
      </c>
    </row>
    <row r="35" spans="2:3">
      <c r="B35"/>
      <c r="C35" s="179" t="str">
        <f t="shared" si="1"/>
        <v/>
      </c>
    </row>
    <row r="36" spans="2:3">
      <c r="B36"/>
      <c r="C36" s="179" t="str">
        <f t="shared" si="1"/>
        <v/>
      </c>
    </row>
    <row r="37" spans="2:3">
      <c r="B37"/>
      <c r="C37" s="179" t="str">
        <f t="shared" si="1"/>
        <v/>
      </c>
    </row>
    <row r="38" spans="2:3">
      <c r="B38"/>
      <c r="C38" s="179" t="str">
        <f t="shared" si="1"/>
        <v/>
      </c>
    </row>
    <row r="39" spans="2:3">
      <c r="B39"/>
      <c r="C39" s="179" t="str">
        <f t="shared" si="1"/>
        <v/>
      </c>
    </row>
    <row r="40" spans="2:3">
      <c r="B40"/>
      <c r="C40" s="179" t="str">
        <f t="shared" si="1"/>
        <v/>
      </c>
    </row>
    <row r="41" spans="2:3">
      <c r="B41"/>
      <c r="C41" s="179" t="str">
        <f t="shared" si="1"/>
        <v/>
      </c>
    </row>
    <row r="42" spans="2:3">
      <c r="C42" s="179" t="str">
        <f t="shared" si="1"/>
        <v/>
      </c>
    </row>
    <row r="43" spans="2:3">
      <c r="C43" s="179" t="str">
        <f t="shared" si="1"/>
        <v/>
      </c>
    </row>
    <row r="44" spans="2:3">
      <c r="C44" s="179" t="str">
        <f t="shared" si="1"/>
        <v/>
      </c>
    </row>
    <row r="45" spans="2:3">
      <c r="C45" s="179" t="str">
        <f t="shared" si="1"/>
        <v/>
      </c>
    </row>
    <row r="46" spans="2:3">
      <c r="C46" s="179" t="str">
        <f t="shared" si="1"/>
        <v/>
      </c>
    </row>
    <row r="47" spans="2:3">
      <c r="C47" s="179" t="str">
        <f t="shared" si="1"/>
        <v/>
      </c>
    </row>
    <row r="48" spans="2:3">
      <c r="C48" s="179" t="str">
        <f t="shared" si="1"/>
        <v/>
      </c>
    </row>
    <row r="49" spans="3:3">
      <c r="C49" s="179" t="str">
        <f t="shared" si="1"/>
        <v/>
      </c>
    </row>
    <row r="50" spans="3:3">
      <c r="C50" s="179" t="str">
        <f t="shared" si="1"/>
        <v/>
      </c>
    </row>
    <row r="51" spans="3:3">
      <c r="C51" s="179" t="str">
        <f t="shared" si="1"/>
        <v/>
      </c>
    </row>
    <row r="52" spans="3:3">
      <c r="C52" s="179" t="str">
        <f t="shared" si="1"/>
        <v/>
      </c>
    </row>
    <row r="53" spans="3:3">
      <c r="C53" s="179" t="str">
        <f t="shared" si="1"/>
        <v/>
      </c>
    </row>
    <row r="54" spans="3:3">
      <c r="C54" s="179" t="str">
        <f t="shared" si="1"/>
        <v/>
      </c>
    </row>
    <row r="55" spans="3:3">
      <c r="C55" s="179" t="str">
        <f t="shared" si="1"/>
        <v/>
      </c>
    </row>
    <row r="56" spans="3:3">
      <c r="C56" s="179" t="str">
        <f t="shared" si="1"/>
        <v/>
      </c>
    </row>
    <row r="57" spans="3:3">
      <c r="C57" s="179" t="str">
        <f t="shared" si="1"/>
        <v/>
      </c>
    </row>
    <row r="58" spans="3:3">
      <c r="C58" s="179" t="str">
        <f t="shared" si="1"/>
        <v/>
      </c>
    </row>
    <row r="59" spans="3:3">
      <c r="C59" s="179" t="str">
        <f t="shared" si="1"/>
        <v/>
      </c>
    </row>
    <row r="60" spans="3:3">
      <c r="C60" s="179" t="str">
        <f t="shared" si="1"/>
        <v/>
      </c>
    </row>
    <row r="61" spans="3:3">
      <c r="C61" s="179" t="str">
        <f t="shared" si="1"/>
        <v/>
      </c>
    </row>
    <row r="62" spans="3:3">
      <c r="C62" s="179" t="str">
        <f t="shared" si="1"/>
        <v/>
      </c>
    </row>
    <row r="63" spans="3:3">
      <c r="C63" s="179" t="str">
        <f t="shared" si="1"/>
        <v/>
      </c>
    </row>
    <row r="64" spans="3:3">
      <c r="C64" s="179" t="str">
        <f t="shared" si="1"/>
        <v/>
      </c>
    </row>
    <row r="65" spans="3:3">
      <c r="C65" s="179" t="str">
        <f t="shared" si="1"/>
        <v/>
      </c>
    </row>
    <row r="66" spans="3:3">
      <c r="C66" s="179" t="str">
        <f t="shared" si="1"/>
        <v/>
      </c>
    </row>
    <row r="67" spans="3:3">
      <c r="C67" s="179" t="str">
        <f t="shared" si="1"/>
        <v/>
      </c>
    </row>
    <row r="68" spans="3:3">
      <c r="C68" s="179" t="str">
        <f t="shared" si="1"/>
        <v/>
      </c>
    </row>
    <row r="69" spans="3:3">
      <c r="C69" s="179" t="str">
        <f t="shared" si="1"/>
        <v/>
      </c>
    </row>
    <row r="70" spans="3:3">
      <c r="C70" s="179" t="str">
        <f t="shared" si="1"/>
        <v/>
      </c>
    </row>
    <row r="71" spans="3:3">
      <c r="C71" s="179" t="str">
        <f t="shared" si="1"/>
        <v/>
      </c>
    </row>
    <row r="72" spans="3:3">
      <c r="C72" s="179" t="str">
        <f t="shared" si="1"/>
        <v/>
      </c>
    </row>
    <row r="73" spans="3:3">
      <c r="C73" s="179" t="str">
        <f t="shared" si="1"/>
        <v/>
      </c>
    </row>
    <row r="74" spans="3:3">
      <c r="C74" s="179" t="str">
        <f t="shared" si="1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34CA3-3C09-4920-9289-F6DDFFAB98AE}">
  <sheetPr>
    <tabColor theme="3" tint="0.249977111117893"/>
  </sheetPr>
  <dimension ref="A1:AD938"/>
  <sheetViews>
    <sheetView showGridLines="0" topLeftCell="G1" zoomScale="70" zoomScaleNormal="70" workbookViewId="0">
      <selection activeCell="O6" sqref="O6"/>
    </sheetView>
  </sheetViews>
  <sheetFormatPr baseColWidth="10" defaultColWidth="11.453125" defaultRowHeight="14.5" outlineLevelCol="1"/>
  <cols>
    <col min="1" max="1" width="14.54296875" hidden="1" customWidth="1" outlineLevel="1"/>
    <col min="2" max="2" width="16.453125" hidden="1" customWidth="1" outlineLevel="1"/>
    <col min="3" max="3" width="20.453125" hidden="1" customWidth="1" outlineLevel="1"/>
    <col min="4" max="4" width="22.54296875" hidden="1" customWidth="1" outlineLevel="1"/>
    <col min="5" max="5" width="41.54296875" hidden="1" customWidth="1" outlineLevel="1"/>
    <col min="6" max="6" width="10.54296875" style="125" customWidth="1" collapsed="1"/>
    <col min="7" max="8" width="10.54296875" style="125" customWidth="1"/>
    <col min="9" max="9" width="9.54296875" style="125" customWidth="1"/>
    <col min="10" max="10" width="41.453125" style="125" bestFit="1" customWidth="1"/>
    <col min="11" max="11" width="10.453125" style="126" customWidth="1"/>
    <col min="12" max="12" width="11.54296875" style="127" customWidth="1"/>
    <col min="13" max="13" width="10.54296875" style="125" bestFit="1" customWidth="1"/>
    <col min="14" max="14" width="11.453125" style="126" bestFit="1" customWidth="1"/>
    <col min="15" max="15" width="12.453125" style="128" customWidth="1"/>
    <col min="16" max="16" width="14.54296875" style="128" customWidth="1"/>
    <col min="17" max="17" width="13.453125" style="129" bestFit="1" customWidth="1"/>
    <col min="18" max="18" width="12.453125" style="129" bestFit="1" customWidth="1"/>
    <col min="19" max="19" width="10.54296875" style="89" bestFit="1" customWidth="1"/>
    <col min="20" max="20" width="12.453125" style="143" bestFit="1" customWidth="1"/>
    <col min="21" max="21" width="13.453125" style="281" customWidth="1"/>
    <col min="22" max="22" width="9.54296875" style="125" bestFit="1" customWidth="1"/>
    <col min="23" max="23" width="12.453125" style="144" bestFit="1" customWidth="1"/>
    <col min="24" max="24" width="11.54296875" style="143" bestFit="1" customWidth="1"/>
    <col min="25" max="26" width="11.54296875" style="145" bestFit="1" customWidth="1"/>
    <col min="27" max="27" width="14.54296875" style="125" customWidth="1"/>
    <col min="28" max="28" width="11.54296875" style="125" customWidth="1"/>
    <col min="29" max="29" width="25.54296875" style="98" customWidth="1"/>
    <col min="30" max="30" width="12.54296875" style="147" customWidth="1"/>
  </cols>
  <sheetData>
    <row r="1" spans="1:30">
      <c r="A1" t="s">
        <v>4997</v>
      </c>
      <c r="F1">
        <v>1</v>
      </c>
      <c r="G1"/>
      <c r="H1"/>
      <c r="I1">
        <v>2</v>
      </c>
      <c r="J1">
        <v>3</v>
      </c>
      <c r="K1" s="47">
        <v>4</v>
      </c>
      <c r="L1" s="94">
        <v>5</v>
      </c>
      <c r="M1">
        <v>6</v>
      </c>
      <c r="N1" s="47">
        <v>7</v>
      </c>
      <c r="O1">
        <v>8</v>
      </c>
      <c r="P1">
        <v>9</v>
      </c>
      <c r="Q1" s="47">
        <v>10</v>
      </c>
      <c r="R1" s="47">
        <v>11</v>
      </c>
      <c r="S1" s="89">
        <v>12</v>
      </c>
      <c r="T1" s="89">
        <v>13</v>
      </c>
      <c r="U1" s="89">
        <v>14</v>
      </c>
      <c r="V1" s="89">
        <v>15</v>
      </c>
      <c r="W1" s="89">
        <v>16</v>
      </c>
      <c r="X1" s="79">
        <v>0.17</v>
      </c>
      <c r="Y1">
        <v>19</v>
      </c>
      <c r="Z1">
        <v>20</v>
      </c>
      <c r="AA1">
        <v>21</v>
      </c>
      <c r="AB1">
        <v>22</v>
      </c>
      <c r="AD1" s="104"/>
    </row>
    <row r="2" spans="1:30" ht="32.15" customHeight="1">
      <c r="A2" s="185" t="s">
        <v>4936</v>
      </c>
      <c r="B2" s="1"/>
      <c r="C2" s="1"/>
      <c r="D2" s="1"/>
      <c r="E2" s="1"/>
      <c r="F2" s="313" t="s">
        <v>4929</v>
      </c>
      <c r="G2" s="313"/>
      <c r="H2" s="313"/>
      <c r="I2" s="314"/>
      <c r="J2" s="110">
        <f ca="1">+TODAY()</f>
        <v>45624</v>
      </c>
      <c r="K2" s="4"/>
      <c r="L2" s="95"/>
      <c r="M2" s="10"/>
      <c r="N2" s="10"/>
      <c r="O2" s="46"/>
      <c r="P2" s="46"/>
      <c r="Q2" s="82" t="s">
        <v>4998</v>
      </c>
      <c r="R2" s="11" t="s">
        <v>4999</v>
      </c>
      <c r="S2" s="88"/>
      <c r="T2" s="96"/>
      <c r="U2" s="88"/>
      <c r="V2" s="96"/>
      <c r="W2" s="96"/>
      <c r="X2" s="96"/>
      <c r="Y2" s="57"/>
      <c r="Z2" s="57"/>
      <c r="AA2" s="2"/>
      <c r="AB2"/>
      <c r="AD2" s="104"/>
    </row>
    <row r="3" spans="1:30" ht="28.4" customHeight="1">
      <c r="A3" s="66" t="s">
        <v>81</v>
      </c>
      <c r="B3" s="1"/>
      <c r="C3" s="1"/>
      <c r="D3" s="1"/>
      <c r="E3" s="1"/>
      <c r="F3" s="1"/>
      <c r="G3" s="1"/>
      <c r="H3" s="1"/>
      <c r="I3" s="4"/>
      <c r="J3" s="14"/>
      <c r="K3" s="4"/>
      <c r="L3" s="92"/>
      <c r="M3" s="10"/>
      <c r="N3" s="64"/>
      <c r="O3" s="56"/>
      <c r="P3" s="8"/>
      <c r="Q3" s="82" t="s">
        <v>4930</v>
      </c>
      <c r="R3" s="15" t="s">
        <v>4931</v>
      </c>
      <c r="T3" s="96"/>
      <c r="U3" s="88"/>
      <c r="V3" s="96"/>
      <c r="W3" s="96"/>
      <c r="X3" s="96"/>
      <c r="Y3" s="57"/>
      <c r="Z3" s="57"/>
      <c r="AA3" s="2"/>
      <c r="AB3"/>
      <c r="AD3" s="104"/>
    </row>
    <row r="4" spans="1:30" ht="18.649999999999999" customHeight="1">
      <c r="A4" s="185" t="s">
        <v>5000</v>
      </c>
      <c r="B4" s="1"/>
      <c r="C4" s="1"/>
      <c r="D4" s="1"/>
      <c r="E4" s="1"/>
      <c r="F4" s="1"/>
      <c r="G4" s="1"/>
      <c r="H4" s="1"/>
      <c r="I4" s="312"/>
      <c r="J4" s="312"/>
      <c r="K4" s="312"/>
      <c r="L4" s="312"/>
      <c r="M4" s="312"/>
      <c r="N4" s="312"/>
      <c r="O4" s="8"/>
      <c r="P4" s="8"/>
      <c r="Q4" s="82" t="s">
        <v>4932</v>
      </c>
      <c r="R4" s="17" t="s">
        <v>4933</v>
      </c>
      <c r="S4" s="91"/>
      <c r="T4" s="96"/>
      <c r="U4" s="88"/>
      <c r="V4" s="96"/>
      <c r="W4" s="96"/>
      <c r="X4" s="105"/>
      <c r="Y4" s="58"/>
      <c r="Z4" s="58"/>
      <c r="AA4" s="3"/>
      <c r="AB4" s="4"/>
      <c r="AD4" s="104"/>
    </row>
    <row r="5" spans="1:30" ht="17.899999999999999" customHeight="1">
      <c r="A5" s="20"/>
      <c r="B5" s="20"/>
      <c r="C5" s="20"/>
      <c r="D5" s="20"/>
      <c r="E5" s="20"/>
      <c r="F5" s="20"/>
      <c r="G5" s="20"/>
      <c r="H5" s="20"/>
      <c r="I5" s="21"/>
      <c r="J5" s="21"/>
      <c r="K5" s="22"/>
      <c r="L5" s="93"/>
      <c r="M5" s="23"/>
      <c r="N5" s="64"/>
      <c r="O5" s="8"/>
      <c r="P5" s="8"/>
      <c r="Q5" s="8"/>
      <c r="R5" s="8"/>
      <c r="S5" s="88"/>
      <c r="T5" s="96"/>
      <c r="U5" s="88"/>
      <c r="V5" s="4"/>
      <c r="W5" s="88"/>
      <c r="X5" s="96"/>
      <c r="Y5" s="148">
        <f>+SUBTOTAL(9,GUAYAQUIL[COSTO UNIT base])</f>
        <v>1483.9740650000008</v>
      </c>
      <c r="Z5" s="149">
        <f>+SUBTOTAL(9,GUAYAQUIL[COSTO UNIT Conv])</f>
        <v>1949.3324295000023</v>
      </c>
      <c r="AA5" s="149">
        <f>+SUBTOTAL(9,GUAYAQUIL[COSTO TOTAL])</f>
        <v>246701.32780789997</v>
      </c>
      <c r="AB5" s="4"/>
      <c r="AD5" s="104"/>
    </row>
    <row r="6" spans="1:30" s="39" customFormat="1" ht="47.15" customHeight="1">
      <c r="A6" s="66" t="s">
        <v>4937</v>
      </c>
      <c r="B6" s="66" t="s">
        <v>4938</v>
      </c>
      <c r="C6" s="66" t="s">
        <v>4939</v>
      </c>
      <c r="D6" s="66" t="s">
        <v>4940</v>
      </c>
      <c r="E6" s="66" t="s">
        <v>4941</v>
      </c>
      <c r="F6" s="66" t="s">
        <v>5001</v>
      </c>
      <c r="G6" s="66" t="s">
        <v>4943</v>
      </c>
      <c r="H6" s="66" t="s">
        <v>4944</v>
      </c>
      <c r="I6" s="81" t="s">
        <v>4971</v>
      </c>
      <c r="J6" s="82" t="s">
        <v>4972</v>
      </c>
      <c r="K6" s="81" t="s">
        <v>4947</v>
      </c>
      <c r="L6" s="107" t="s">
        <v>4948</v>
      </c>
      <c r="M6" s="83" t="s">
        <v>26</v>
      </c>
      <c r="N6" s="82" t="s">
        <v>4949</v>
      </c>
      <c r="O6" s="85" t="s">
        <v>4950</v>
      </c>
      <c r="P6" s="84" t="s">
        <v>4951</v>
      </c>
      <c r="Q6" s="84" t="s">
        <v>4952</v>
      </c>
      <c r="R6" s="85" t="s">
        <v>4953</v>
      </c>
      <c r="S6" s="108" t="s">
        <v>4954</v>
      </c>
      <c r="T6" s="101" t="s">
        <v>4955</v>
      </c>
      <c r="U6" s="108" t="s">
        <v>4956</v>
      </c>
      <c r="V6" s="82" t="s">
        <v>4957</v>
      </c>
      <c r="W6" s="108" t="s">
        <v>4958</v>
      </c>
      <c r="X6" s="101" t="s">
        <v>4959</v>
      </c>
      <c r="Y6" s="109" t="s">
        <v>4960</v>
      </c>
      <c r="Z6" s="109" t="s">
        <v>4961</v>
      </c>
      <c r="AA6" s="86" t="s">
        <v>4962</v>
      </c>
      <c r="AB6" s="86" t="s">
        <v>4963</v>
      </c>
      <c r="AC6" s="86" t="s">
        <v>4964</v>
      </c>
      <c r="AD6" s="146" t="s">
        <v>5002</v>
      </c>
    </row>
    <row r="7" spans="1:30">
      <c r="A7" s="111" t="str" cm="1">
        <f t="array" aca="1" ref="A7:AD938" ca="1">_xlfn.DROP(_xlfn.REDUCE("",Tabla573[NombreTablas],_xlfn.LAMBDA(_xlpm._Acumulador,_xlpm._ntabla,_xlfn.VSTACK(_xlpm._Acumulador,INDIRECT(_xlpm._ntabla)))),1)</f>
        <v>SAN GABRIEL</v>
      </c>
      <c r="B7" s="111" t="str">
        <f ca="1"/>
        <v>QUESOS Y GRASAS</v>
      </c>
      <c r="C7" s="111" t="str">
        <f ca="1"/>
        <v xml:space="preserve">Esteban Montenegro                      </v>
      </c>
      <c r="D7" s="111" t="str">
        <f ca="1"/>
        <v>QUESO FRESCO KIOSKO</v>
      </c>
      <c r="E7" s="111" t="str">
        <f ca="1"/>
        <v>QUESO FRESCO CREMOSO KIOSKO BLOQUE</v>
      </c>
      <c r="F7" s="111" t="str">
        <f ca="1"/>
        <v>GUAYAQUIL</v>
      </c>
      <c r="G7" s="111">
        <f ca="1"/>
        <v>7711</v>
      </c>
      <c r="H7" s="111">
        <f ca="1"/>
        <v>1001</v>
      </c>
      <c r="I7" s="112" t="str">
        <f ca="1"/>
        <v>10096</v>
      </c>
      <c r="J7" s="113" t="str">
        <f ca="1"/>
        <v>Q CREMO DEL CAMPO KIOSKO BLOQ 450G</v>
      </c>
      <c r="K7" s="114">
        <f ca="1"/>
        <v>270</v>
      </c>
      <c r="L7" s="115">
        <f ca="1"/>
        <v>1</v>
      </c>
      <c r="M7" s="116">
        <f ca="1"/>
        <v>0.45</v>
      </c>
      <c r="N7" s="117">
        <f ca="1"/>
        <v>45</v>
      </c>
      <c r="O7" s="118">
        <f ca="1"/>
        <v>45615</v>
      </c>
      <c r="P7" s="119" t="str">
        <f ca="1"/>
        <v>martes</v>
      </c>
      <c r="Q7" s="118">
        <f ca="1"/>
        <v>45611</v>
      </c>
      <c r="R7" s="118">
        <f ca="1"/>
        <v>45655</v>
      </c>
      <c r="S7" s="90">
        <f ca="1"/>
        <v>31</v>
      </c>
      <c r="T7" s="130">
        <f ca="1"/>
        <v>0.68888888888888888</v>
      </c>
      <c r="U7" s="131">
        <f ca="1"/>
        <v>2</v>
      </c>
      <c r="V7" s="132">
        <f ca="1"/>
        <v>0.9</v>
      </c>
      <c r="W7" s="133">
        <f ca="1"/>
        <v>4</v>
      </c>
      <c r="X7" s="134">
        <f ca="1"/>
        <v>0.91111111111111109</v>
      </c>
      <c r="Y7" s="135">
        <f ca="1"/>
        <v>2.3185549999999999</v>
      </c>
      <c r="Z7" s="136">
        <f ca="1"/>
        <v>2.3185549999999999</v>
      </c>
      <c r="AA7" s="137">
        <f ca="1"/>
        <v>2.0866994999999999</v>
      </c>
      <c r="AB7" s="138">
        <f ca="1"/>
        <v>9</v>
      </c>
      <c r="AC7" s="103" t="str">
        <f ca="1"/>
        <v>VIGENTE</v>
      </c>
      <c r="AD7" s="150">
        <f ca="1"/>
        <v>8.9999999999999998E-4</v>
      </c>
    </row>
    <row r="8" spans="1:30">
      <c r="A8" s="111" t="str">
        <f ca="1"/>
        <v>SAN GABRIEL</v>
      </c>
      <c r="B8" s="111" t="str">
        <f ca="1"/>
        <v>QUESOS Y GRASAS</v>
      </c>
      <c r="C8" s="111" t="str">
        <f ca="1"/>
        <v xml:space="preserve">Esteban Montenegro                      </v>
      </c>
      <c r="D8" s="111" t="str">
        <f ca="1"/>
        <v>QUESO FRESCO KIOSKO</v>
      </c>
      <c r="E8" s="111" t="str">
        <f ca="1"/>
        <v>QUESO FRESCO CREMOSO KIOSKO BLOQUE</v>
      </c>
      <c r="F8" s="111" t="str">
        <f ca="1"/>
        <v>GUAYAQUIL</v>
      </c>
      <c r="G8" s="111">
        <f ca="1"/>
        <v>7711</v>
      </c>
      <c r="H8" s="111">
        <f ca="1"/>
        <v>1001</v>
      </c>
      <c r="I8" s="112" t="str">
        <f ca="1"/>
        <v>10096</v>
      </c>
      <c r="J8" s="113" t="str">
        <f ca="1"/>
        <v>Q CREMO DEL CAMPO KIOSKO BLOQ 450G</v>
      </c>
      <c r="K8" s="114">
        <f ca="1"/>
        <v>90</v>
      </c>
      <c r="L8" s="115">
        <f ca="1"/>
        <v>1</v>
      </c>
      <c r="M8" s="116">
        <f ca="1"/>
        <v>0.45</v>
      </c>
      <c r="N8" s="117">
        <f ca="1"/>
        <v>45</v>
      </c>
      <c r="O8" s="118">
        <f ca="1"/>
        <v>45617</v>
      </c>
      <c r="P8" s="119" t="str">
        <f ca="1"/>
        <v>jueves</v>
      </c>
      <c r="Q8" s="118">
        <f ca="1"/>
        <v>45611</v>
      </c>
      <c r="R8" s="118">
        <f ca="1"/>
        <v>45655</v>
      </c>
      <c r="S8" s="90">
        <f ca="1"/>
        <v>31</v>
      </c>
      <c r="T8" s="130">
        <f ca="1"/>
        <v>0.68888888888888888</v>
      </c>
      <c r="U8" s="131">
        <f ca="1"/>
        <v>90</v>
      </c>
      <c r="V8" s="132">
        <f ca="1"/>
        <v>40.5</v>
      </c>
      <c r="W8" s="133">
        <f ca="1"/>
        <v>6</v>
      </c>
      <c r="X8" s="134">
        <f ca="1"/>
        <v>0.8666666666666667</v>
      </c>
      <c r="Y8" s="135">
        <f ca="1"/>
        <v>2.3185549999999999</v>
      </c>
      <c r="Z8" s="136">
        <f ca="1"/>
        <v>2.3185549999999999</v>
      </c>
      <c r="AA8" s="137">
        <f ca="1"/>
        <v>93.901477499999999</v>
      </c>
      <c r="AB8" s="138">
        <f ca="1"/>
        <v>7</v>
      </c>
      <c r="AC8" s="103" t="str">
        <f ca="1"/>
        <v>VIGENTE</v>
      </c>
      <c r="AD8" s="150">
        <f ca="1"/>
        <v>4.0500000000000001E-2</v>
      </c>
    </row>
    <row r="9" spans="1:30">
      <c r="A9" s="111" t="str">
        <f ca="1"/>
        <v>SAN GABRIEL</v>
      </c>
      <c r="B9" s="111" t="str">
        <f ca="1"/>
        <v>QUESOS Y GRASAS</v>
      </c>
      <c r="C9" s="111" t="str">
        <f ca="1"/>
        <v xml:space="preserve">Esteban Montenegro                      </v>
      </c>
      <c r="D9" s="111" t="str">
        <f ca="1"/>
        <v>QUESO MOZARELLA KIOSKO</v>
      </c>
      <c r="E9" s="111" t="str">
        <f ca="1"/>
        <v>QUESO MOZARELLA SNACK</v>
      </c>
      <c r="F9" s="111" t="str">
        <f ca="1"/>
        <v>GUAYAQUIL</v>
      </c>
      <c r="G9" s="111">
        <f ca="1"/>
        <v>7711</v>
      </c>
      <c r="H9" s="111">
        <f ca="1"/>
        <v>1001</v>
      </c>
      <c r="I9" s="112" t="str">
        <f ca="1"/>
        <v>10127</v>
      </c>
      <c r="J9" s="113" t="str">
        <f ca="1"/>
        <v>Q MOZAR KIOSKO SNACK 50G</v>
      </c>
      <c r="K9" s="114">
        <f ca="1"/>
        <v>1950</v>
      </c>
      <c r="L9" s="115">
        <f ca="1"/>
        <v>1</v>
      </c>
      <c r="M9" s="116">
        <f ca="1"/>
        <v>0.05</v>
      </c>
      <c r="N9" s="117">
        <f ca="1"/>
        <v>40</v>
      </c>
      <c r="O9" s="118">
        <f ca="1"/>
        <v>45611</v>
      </c>
      <c r="P9" s="119" t="str">
        <f ca="1"/>
        <v>viernes</v>
      </c>
      <c r="Q9" s="118">
        <f ca="1"/>
        <v>45608</v>
      </c>
      <c r="R9" s="118">
        <f ca="1"/>
        <v>45647</v>
      </c>
      <c r="S9" s="90">
        <f ca="1"/>
        <v>23</v>
      </c>
      <c r="T9" s="130">
        <f ca="1"/>
        <v>0.57499999999999996</v>
      </c>
      <c r="U9" s="131">
        <f ca="1"/>
        <v>1059</v>
      </c>
      <c r="V9" s="132">
        <f ca="1"/>
        <v>52.95</v>
      </c>
      <c r="W9" s="133">
        <f ca="1"/>
        <v>3</v>
      </c>
      <c r="X9" s="134">
        <f ca="1"/>
        <v>0.92500000000000004</v>
      </c>
      <c r="Y9" s="135">
        <f ca="1"/>
        <v>0.30701500000000004</v>
      </c>
      <c r="Z9" s="136">
        <f ca="1"/>
        <v>0.30701500000000004</v>
      </c>
      <c r="AA9" s="137">
        <f ca="1"/>
        <v>16.256444250000001</v>
      </c>
      <c r="AB9" s="138">
        <f ca="1"/>
        <v>13</v>
      </c>
      <c r="AC9" s="103" t="str">
        <f ca="1"/>
        <v>PROXIMOS FECHA CORTA</v>
      </c>
      <c r="AD9" s="150">
        <f ca="1"/>
        <v>5.2950000000000004E-2</v>
      </c>
    </row>
    <row r="10" spans="1:30">
      <c r="A10" s="111" t="str">
        <f ca="1"/>
        <v>SAN GABRIEL</v>
      </c>
      <c r="B10" s="111" t="str">
        <f ca="1"/>
        <v>QUESOS Y GRASAS</v>
      </c>
      <c r="C10" s="111" t="str">
        <f ca="1"/>
        <v xml:space="preserve">Esteban Montenegro                      </v>
      </c>
      <c r="D10" s="111" t="str">
        <f ca="1"/>
        <v>QUESO MOZARELLA KIOSKO</v>
      </c>
      <c r="E10" s="111" t="str">
        <f ca="1"/>
        <v>QUESO MOZARELLA SNACK</v>
      </c>
      <c r="F10" s="111" t="str">
        <f ca="1"/>
        <v>GUAYAQUIL</v>
      </c>
      <c r="G10" s="111">
        <f ca="1"/>
        <v>7711</v>
      </c>
      <c r="H10" s="111">
        <f ca="1"/>
        <v>1001</v>
      </c>
      <c r="I10" s="112" t="str">
        <f ca="1"/>
        <v>10127</v>
      </c>
      <c r="J10" s="113" t="str">
        <f ca="1"/>
        <v>Q MOZAR KIOSKO SNACK 50G</v>
      </c>
      <c r="K10" s="114">
        <f ca="1"/>
        <v>3150</v>
      </c>
      <c r="L10" s="115">
        <f ca="1"/>
        <v>1</v>
      </c>
      <c r="M10" s="116">
        <f ca="1"/>
        <v>0.05</v>
      </c>
      <c r="N10" s="117">
        <f ca="1"/>
        <v>40</v>
      </c>
      <c r="O10" s="118">
        <f ca="1"/>
        <v>45615</v>
      </c>
      <c r="P10" s="119" t="str">
        <f ca="1"/>
        <v>martes</v>
      </c>
      <c r="Q10" s="118">
        <f ca="1"/>
        <v>45614</v>
      </c>
      <c r="R10" s="118">
        <f ca="1"/>
        <v>45653</v>
      </c>
      <c r="S10" s="90">
        <f ca="1"/>
        <v>29</v>
      </c>
      <c r="T10" s="130">
        <f ca="1"/>
        <v>0.72499999999999998</v>
      </c>
      <c r="U10" s="131">
        <f ca="1"/>
        <v>2287</v>
      </c>
      <c r="V10" s="132">
        <f ca="1"/>
        <v>114.35000000000001</v>
      </c>
      <c r="W10" s="133">
        <f ca="1"/>
        <v>1</v>
      </c>
      <c r="X10" s="134">
        <f ca="1"/>
        <v>0.97499999999999998</v>
      </c>
      <c r="Y10" s="135">
        <f ca="1"/>
        <v>0.30701500000000004</v>
      </c>
      <c r="Z10" s="136">
        <f ca="1"/>
        <v>0.30701500000000004</v>
      </c>
      <c r="AA10" s="137">
        <f ca="1"/>
        <v>35.107165250000008</v>
      </c>
      <c r="AB10" s="138">
        <f ca="1"/>
        <v>9</v>
      </c>
      <c r="AC10" s="103" t="str">
        <f ca="1"/>
        <v>VIGENTE</v>
      </c>
      <c r="AD10" s="150">
        <f ca="1"/>
        <v>0.11435000000000001</v>
      </c>
    </row>
    <row r="11" spans="1:30">
      <c r="A11" s="111" t="str">
        <f ca="1"/>
        <v>SAN GABRIEL</v>
      </c>
      <c r="B11" s="111" t="str">
        <f ca="1"/>
        <v>QUESOS Y GRASAS</v>
      </c>
      <c r="C11" s="111" t="str">
        <f ca="1"/>
        <v xml:space="preserve">Esteban Montenegro                      </v>
      </c>
      <c r="D11" s="111" t="str">
        <f ca="1"/>
        <v>QUESO MOZARELLA KIOSKO</v>
      </c>
      <c r="E11" s="111" t="str">
        <f ca="1"/>
        <v>QUESO MOZARELLA SNACK</v>
      </c>
      <c r="F11" s="111" t="str">
        <f ca="1"/>
        <v>GUAYAQUIL</v>
      </c>
      <c r="G11" s="111">
        <f ca="1"/>
        <v>7711</v>
      </c>
      <c r="H11" s="111">
        <f ca="1"/>
        <v>1001</v>
      </c>
      <c r="I11" s="112" t="str">
        <f ca="1"/>
        <v>10127</v>
      </c>
      <c r="J11" s="113" t="str">
        <f ca="1"/>
        <v>Q MOZAR KIOSKO SNACK 50G</v>
      </c>
      <c r="K11" s="114">
        <f ca="1"/>
        <v>450</v>
      </c>
      <c r="L11" s="115">
        <f ca="1"/>
        <v>1</v>
      </c>
      <c r="M11" s="116">
        <f ca="1"/>
        <v>0.05</v>
      </c>
      <c r="N11" s="117">
        <f ca="1"/>
        <v>40</v>
      </c>
      <c r="O11" s="118">
        <f ca="1"/>
        <v>45616</v>
      </c>
      <c r="P11" s="119" t="str">
        <f ca="1"/>
        <v>miércoles</v>
      </c>
      <c r="Q11" s="118">
        <f ca="1"/>
        <v>45617</v>
      </c>
      <c r="R11" s="118">
        <f ca="1"/>
        <v>45656</v>
      </c>
      <c r="S11" s="90">
        <f ca="1"/>
        <v>32</v>
      </c>
      <c r="T11" s="130">
        <f ca="1"/>
        <v>0.8</v>
      </c>
      <c r="U11" s="131">
        <f ca="1"/>
        <v>450</v>
      </c>
      <c r="V11" s="132">
        <f ca="1"/>
        <v>22.5</v>
      </c>
      <c r="W11" s="133">
        <f ca="1"/>
        <v>-1</v>
      </c>
      <c r="X11" s="134">
        <f ca="1"/>
        <v>1.0249999999999999</v>
      </c>
      <c r="Y11" s="135">
        <f ca="1"/>
        <v>0.30701500000000004</v>
      </c>
      <c r="Z11" s="136">
        <f ca="1"/>
        <v>0.30701500000000004</v>
      </c>
      <c r="AA11" s="137">
        <f ca="1"/>
        <v>6.9078375000000012</v>
      </c>
      <c r="AB11" s="138">
        <f ca="1"/>
        <v>8</v>
      </c>
      <c r="AC11" s="103" t="str">
        <f ca="1"/>
        <v>VIGENTE</v>
      </c>
      <c r="AD11" s="150">
        <f ca="1"/>
        <v>2.2499999999999999E-2</v>
      </c>
    </row>
    <row r="12" spans="1:30">
      <c r="A12" s="111" t="str">
        <f ca="1"/>
        <v>SAN GABRIEL</v>
      </c>
      <c r="B12" s="111" t="str">
        <f ca="1"/>
        <v>QUESOS Y GRASAS</v>
      </c>
      <c r="C12" s="111" t="str">
        <f ca="1"/>
        <v xml:space="preserve">Esteban Montenegro                      </v>
      </c>
      <c r="D12" s="111" t="str">
        <f ca="1"/>
        <v>QUESO MOZARELLA KIOSKO</v>
      </c>
      <c r="E12" s="111" t="str">
        <f ca="1"/>
        <v>QUESO MOZARELLA SNACK</v>
      </c>
      <c r="F12" s="111" t="str">
        <f ca="1"/>
        <v>GUAYAQUIL</v>
      </c>
      <c r="G12" s="111">
        <f ca="1"/>
        <v>7711</v>
      </c>
      <c r="H12" s="111">
        <f ca="1"/>
        <v>1001</v>
      </c>
      <c r="I12" s="112" t="str">
        <f ca="1"/>
        <v>10127</v>
      </c>
      <c r="J12" s="113" t="str">
        <f ca="1"/>
        <v>Q MOZAR KIOSKO SNACK 50G</v>
      </c>
      <c r="K12" s="114">
        <f ca="1"/>
        <v>750</v>
      </c>
      <c r="L12" s="115">
        <f ca="1"/>
        <v>1</v>
      </c>
      <c r="M12" s="116">
        <f ca="1"/>
        <v>0.05</v>
      </c>
      <c r="N12" s="117">
        <f ca="1"/>
        <v>40</v>
      </c>
      <c r="O12" s="118">
        <f ca="1"/>
        <v>45617</v>
      </c>
      <c r="P12" s="119" t="str">
        <f ca="1"/>
        <v>jueves</v>
      </c>
      <c r="Q12" s="118">
        <f ca="1"/>
        <v>45617</v>
      </c>
      <c r="R12" s="118">
        <f ca="1"/>
        <v>45656</v>
      </c>
      <c r="S12" s="90">
        <f ca="1"/>
        <v>32</v>
      </c>
      <c r="T12" s="130">
        <f ca="1"/>
        <v>0.8</v>
      </c>
      <c r="U12" s="131">
        <f ca="1"/>
        <v>750</v>
      </c>
      <c r="V12" s="132">
        <f ca="1"/>
        <v>37.5</v>
      </c>
      <c r="W12" s="133">
        <f ca="1"/>
        <v>0</v>
      </c>
      <c r="X12" s="134">
        <f ca="1"/>
        <v>1</v>
      </c>
      <c r="Y12" s="135">
        <f ca="1"/>
        <v>0.30701500000000004</v>
      </c>
      <c r="Z12" s="136">
        <f ca="1"/>
        <v>0.30701500000000004</v>
      </c>
      <c r="AA12" s="137">
        <f ca="1"/>
        <v>11.513062500000002</v>
      </c>
      <c r="AB12" s="138">
        <f ca="1"/>
        <v>7</v>
      </c>
      <c r="AC12" s="103" t="str">
        <f ca="1"/>
        <v>VIGENTE</v>
      </c>
      <c r="AD12" s="150">
        <f ca="1"/>
        <v>3.7499999999999999E-2</v>
      </c>
    </row>
    <row r="13" spans="1:30">
      <c r="A13" s="111" t="str">
        <f ca="1"/>
        <v>MACHACHI</v>
      </c>
      <c r="B13" s="111" t="str">
        <f ca="1"/>
        <v>BEBIDAS LACTEAS</v>
      </c>
      <c r="C13" s="111" t="str">
        <f ca="1"/>
        <v xml:space="preserve">Luis Armendariz                         </v>
      </c>
      <c r="D13" s="111" t="str">
        <f ca="1"/>
        <v>BON YURT</v>
      </c>
      <c r="E13" s="111" t="str">
        <f ca="1"/>
        <v>BON YURT REGULAR</v>
      </c>
      <c r="F13" s="111" t="str">
        <f ca="1"/>
        <v>GUAYAQUIL</v>
      </c>
      <c r="G13" s="111">
        <f ca="1"/>
        <v>7711</v>
      </c>
      <c r="H13" s="111">
        <f ca="1"/>
        <v>1001</v>
      </c>
      <c r="I13" s="112" t="str">
        <f ca="1"/>
        <v>10663</v>
      </c>
      <c r="J13" s="113" t="str">
        <f ca="1"/>
        <v>BY NEON VASO 170G</v>
      </c>
      <c r="K13" s="114">
        <f ca="1"/>
        <v>840</v>
      </c>
      <c r="L13" s="115">
        <f ca="1"/>
        <v>1</v>
      </c>
      <c r="M13" s="116">
        <f ca="1"/>
        <v>0.17</v>
      </c>
      <c r="N13" s="117">
        <f ca="1"/>
        <v>45</v>
      </c>
      <c r="O13" s="118">
        <f ca="1"/>
        <v>45605</v>
      </c>
      <c r="P13" s="119" t="str">
        <f ca="1"/>
        <v>sábado</v>
      </c>
      <c r="Q13" s="118">
        <f ca="1"/>
        <v>45597</v>
      </c>
      <c r="R13" s="118">
        <f ca="1"/>
        <v>45641</v>
      </c>
      <c r="S13" s="90">
        <f ca="1"/>
        <v>17</v>
      </c>
      <c r="T13" s="130">
        <f ca="1"/>
        <v>0.37777777777777777</v>
      </c>
      <c r="U13" s="131">
        <f ca="1"/>
        <v>6</v>
      </c>
      <c r="V13" s="132">
        <f ca="1"/>
        <v>1.02</v>
      </c>
      <c r="W13" s="133">
        <f ca="1"/>
        <v>8</v>
      </c>
      <c r="X13" s="134">
        <f ca="1"/>
        <v>0.82222222222222219</v>
      </c>
      <c r="Y13" s="135">
        <f ca="1"/>
        <v>0.38769999999999999</v>
      </c>
      <c r="Z13" s="136">
        <f ca="1"/>
        <v>0.38769999999999999</v>
      </c>
      <c r="AA13" s="137">
        <f ca="1"/>
        <v>0.39545399999999997</v>
      </c>
      <c r="AB13" s="138">
        <f ca="1"/>
        <v>19</v>
      </c>
      <c r="AC13" s="103" t="str">
        <f ca="1"/>
        <v>FECHA CORTA</v>
      </c>
      <c r="AD13" s="150">
        <f ca="1"/>
        <v>1.0200000000000001E-3</v>
      </c>
    </row>
    <row r="14" spans="1:30">
      <c r="A14" s="111" t="str">
        <f ca="1"/>
        <v>MACHACHI</v>
      </c>
      <c r="B14" s="111" t="str">
        <f ca="1"/>
        <v>BEBIDAS LACTEAS</v>
      </c>
      <c r="C14" s="111" t="str">
        <f ca="1"/>
        <v xml:space="preserve">Luis Armendariz                         </v>
      </c>
      <c r="D14" s="111" t="str">
        <f ca="1"/>
        <v>BON YURT</v>
      </c>
      <c r="E14" s="111" t="str">
        <f ca="1"/>
        <v>BON YURT REGULAR</v>
      </c>
      <c r="F14" s="111" t="str">
        <f ca="1"/>
        <v>GUAYAQUIL</v>
      </c>
      <c r="G14" s="111">
        <f ca="1"/>
        <v>7711</v>
      </c>
      <c r="H14" s="111">
        <f ca="1"/>
        <v>1001</v>
      </c>
      <c r="I14" s="112" t="str">
        <f ca="1"/>
        <v>10663</v>
      </c>
      <c r="J14" s="113" t="str">
        <f ca="1"/>
        <v>BY NEON VASO 170G</v>
      </c>
      <c r="K14" s="114">
        <f ca="1"/>
        <v>480</v>
      </c>
      <c r="L14" s="115">
        <f ca="1"/>
        <v>1</v>
      </c>
      <c r="M14" s="116">
        <f ca="1"/>
        <v>0.17</v>
      </c>
      <c r="N14" s="117">
        <f ca="1"/>
        <v>45</v>
      </c>
      <c r="O14" s="118">
        <f ca="1"/>
        <v>45612</v>
      </c>
      <c r="P14" s="119" t="str">
        <f ca="1"/>
        <v>sábado</v>
      </c>
      <c r="Q14" s="118">
        <f ca="1"/>
        <v>45608</v>
      </c>
      <c r="R14" s="118">
        <f ca="1"/>
        <v>45652</v>
      </c>
      <c r="S14" s="90">
        <f ca="1"/>
        <v>28</v>
      </c>
      <c r="T14" s="130">
        <f ca="1"/>
        <v>0.62222222222222223</v>
      </c>
      <c r="U14" s="131">
        <f ca="1"/>
        <v>480</v>
      </c>
      <c r="V14" s="132">
        <f ca="1"/>
        <v>81.600000000000009</v>
      </c>
      <c r="W14" s="133">
        <f ca="1"/>
        <v>4</v>
      </c>
      <c r="X14" s="134">
        <f ca="1"/>
        <v>0.91111111111111109</v>
      </c>
      <c r="Y14" s="135">
        <f ca="1"/>
        <v>0.38769999999999999</v>
      </c>
      <c r="Z14" s="136">
        <f ca="1"/>
        <v>0.38769999999999999</v>
      </c>
      <c r="AA14" s="137">
        <f ca="1"/>
        <v>31.636320000000001</v>
      </c>
      <c r="AB14" s="138">
        <f ca="1"/>
        <v>12</v>
      </c>
      <c r="AC14" s="103" t="str">
        <f ca="1"/>
        <v>VIGENTE</v>
      </c>
      <c r="AD14" s="150">
        <f ca="1"/>
        <v>8.1600000000000006E-2</v>
      </c>
    </row>
    <row r="15" spans="1:30">
      <c r="A15" s="111" t="str">
        <f ca="1"/>
        <v>MACHACHI</v>
      </c>
      <c r="B15" s="111" t="str">
        <f ca="1"/>
        <v>BEBIDAS LACTEAS</v>
      </c>
      <c r="C15" s="111" t="str">
        <f ca="1"/>
        <v xml:space="preserve">Luis Armendariz                         </v>
      </c>
      <c r="D15" s="111" t="str">
        <f ca="1"/>
        <v>BON YURT</v>
      </c>
      <c r="E15" s="111" t="str">
        <f ca="1"/>
        <v>BON YURT REGULAR</v>
      </c>
      <c r="F15" s="111" t="str">
        <f ca="1"/>
        <v>GUAYAQUIL</v>
      </c>
      <c r="G15" s="111">
        <f ca="1"/>
        <v>7711</v>
      </c>
      <c r="H15" s="111">
        <f ca="1"/>
        <v>1001</v>
      </c>
      <c r="I15" s="112" t="str">
        <f ca="1"/>
        <v>10663</v>
      </c>
      <c r="J15" s="113" t="str">
        <f ca="1"/>
        <v>BY NEON VASO 170G</v>
      </c>
      <c r="K15" s="114">
        <f ca="1"/>
        <v>540</v>
      </c>
      <c r="L15" s="115">
        <f ca="1"/>
        <v>1</v>
      </c>
      <c r="M15" s="116">
        <f ca="1"/>
        <v>0.17</v>
      </c>
      <c r="N15" s="117">
        <f ca="1"/>
        <v>45</v>
      </c>
      <c r="O15" s="118">
        <f ca="1"/>
        <v>45611</v>
      </c>
      <c r="P15" s="119" t="str">
        <f ca="1"/>
        <v>viernes</v>
      </c>
      <c r="Q15" s="118">
        <f ca="1"/>
        <v>45608</v>
      </c>
      <c r="R15" s="118">
        <f ca="1"/>
        <v>45652</v>
      </c>
      <c r="S15" s="90">
        <f ca="1"/>
        <v>28</v>
      </c>
      <c r="T15" s="130">
        <f ca="1"/>
        <v>0.62222222222222223</v>
      </c>
      <c r="U15" s="131">
        <f ca="1"/>
        <v>540</v>
      </c>
      <c r="V15" s="132">
        <f ca="1"/>
        <v>91.800000000000011</v>
      </c>
      <c r="W15" s="133">
        <f ca="1"/>
        <v>3</v>
      </c>
      <c r="X15" s="134">
        <f ca="1"/>
        <v>0.93333333333333335</v>
      </c>
      <c r="Y15" s="135">
        <f ca="1"/>
        <v>0.38769999999999999</v>
      </c>
      <c r="Z15" s="136">
        <f ca="1"/>
        <v>0.38769999999999999</v>
      </c>
      <c r="AA15" s="137">
        <f ca="1"/>
        <v>35.590860000000006</v>
      </c>
      <c r="AB15" s="138">
        <f ca="1"/>
        <v>13</v>
      </c>
      <c r="AC15" s="103" t="str">
        <f ca="1"/>
        <v>VIGENTE</v>
      </c>
      <c r="AD15" s="150">
        <f ca="1"/>
        <v>9.1800000000000007E-2</v>
      </c>
    </row>
    <row r="16" spans="1:30">
      <c r="A16" s="111" t="str">
        <f ca="1"/>
        <v>MACHACHI</v>
      </c>
      <c r="B16" s="111" t="str">
        <f ca="1"/>
        <v>BEBIDAS LACTEAS</v>
      </c>
      <c r="C16" s="111" t="str">
        <f ca="1"/>
        <v xml:space="preserve">Luis Armendariz                         </v>
      </c>
      <c r="D16" s="111" t="str">
        <f ca="1"/>
        <v>BON YURT</v>
      </c>
      <c r="E16" s="111" t="str">
        <f ca="1"/>
        <v>BON YURT REGULAR</v>
      </c>
      <c r="F16" s="111" t="str">
        <f ca="1"/>
        <v>GUAYAQUIL</v>
      </c>
      <c r="G16" s="111">
        <f ca="1"/>
        <v>7711</v>
      </c>
      <c r="H16" s="111">
        <f ca="1"/>
        <v>1001</v>
      </c>
      <c r="I16" s="112" t="str">
        <f ca="1"/>
        <v>10663</v>
      </c>
      <c r="J16" s="113" t="str">
        <f ca="1"/>
        <v>BY NEON VASO 170G</v>
      </c>
      <c r="K16" s="114">
        <f ca="1"/>
        <v>600</v>
      </c>
      <c r="L16" s="115">
        <f ca="1"/>
        <v>1</v>
      </c>
      <c r="M16" s="116">
        <f ca="1"/>
        <v>0.17</v>
      </c>
      <c r="N16" s="117">
        <f ca="1"/>
        <v>45</v>
      </c>
      <c r="O16" s="118">
        <f ca="1"/>
        <v>45610</v>
      </c>
      <c r="P16" s="119" t="str">
        <f ca="1"/>
        <v>jueves</v>
      </c>
      <c r="Q16" s="118">
        <f ca="1"/>
        <v>45605</v>
      </c>
      <c r="R16" s="118">
        <f ca="1"/>
        <v>45649</v>
      </c>
      <c r="S16" s="90">
        <f ca="1"/>
        <v>25</v>
      </c>
      <c r="T16" s="130">
        <f ca="1"/>
        <v>0.55555555555555558</v>
      </c>
      <c r="U16" s="131">
        <f ca="1"/>
        <v>102</v>
      </c>
      <c r="V16" s="132">
        <f ca="1"/>
        <v>17.34</v>
      </c>
      <c r="W16" s="133">
        <f ca="1"/>
        <v>5</v>
      </c>
      <c r="X16" s="134">
        <f ca="1"/>
        <v>0.88888888888888884</v>
      </c>
      <c r="Y16" s="135">
        <f ca="1"/>
        <v>0.38769999999999999</v>
      </c>
      <c r="Z16" s="136">
        <f ca="1"/>
        <v>0.38769999999999999</v>
      </c>
      <c r="AA16" s="137">
        <f ca="1"/>
        <v>6.7227179999999995</v>
      </c>
      <c r="AB16" s="138">
        <f ca="1"/>
        <v>14</v>
      </c>
      <c r="AC16" s="103" t="str">
        <f ca="1"/>
        <v>PROXIMOS FECHA CORTA</v>
      </c>
      <c r="AD16" s="150">
        <f ca="1"/>
        <v>1.7340000000000001E-2</v>
      </c>
    </row>
    <row r="17" spans="1:30">
      <c r="A17" s="111" t="str">
        <f ca="1"/>
        <v>MACHACHI</v>
      </c>
      <c r="B17" s="111" t="str">
        <f ca="1"/>
        <v>BEBIDAS LACTEAS</v>
      </c>
      <c r="C17" s="111" t="str">
        <f ca="1"/>
        <v xml:space="preserve">Luis Armendariz                         </v>
      </c>
      <c r="D17" s="111" t="str">
        <f ca="1"/>
        <v>BON YURT</v>
      </c>
      <c r="E17" s="111" t="str">
        <f ca="1"/>
        <v>BON YURT REGULAR</v>
      </c>
      <c r="F17" s="111" t="str">
        <f ca="1"/>
        <v>GUAYAQUIL</v>
      </c>
      <c r="G17" s="111">
        <f ca="1"/>
        <v>7711</v>
      </c>
      <c r="H17" s="111">
        <f ca="1"/>
        <v>1001</v>
      </c>
      <c r="I17" s="112" t="str">
        <f ca="1"/>
        <v>10663</v>
      </c>
      <c r="J17" s="113" t="str">
        <f ca="1"/>
        <v>BY NEON VASO 170G</v>
      </c>
      <c r="K17" s="114">
        <f ca="1"/>
        <v>480</v>
      </c>
      <c r="L17" s="115">
        <f ca="1"/>
        <v>1</v>
      </c>
      <c r="M17" s="116">
        <f ca="1"/>
        <v>0.17</v>
      </c>
      <c r="N17" s="117">
        <f ca="1"/>
        <v>45</v>
      </c>
      <c r="O17" s="118">
        <f ca="1"/>
        <v>45616</v>
      </c>
      <c r="P17" s="119" t="str">
        <f ca="1"/>
        <v>miércoles</v>
      </c>
      <c r="Q17" s="118">
        <f ca="1"/>
        <v>45612</v>
      </c>
      <c r="R17" s="118">
        <f ca="1"/>
        <v>45656</v>
      </c>
      <c r="S17" s="90">
        <f ca="1"/>
        <v>32</v>
      </c>
      <c r="T17" s="130">
        <f ca="1"/>
        <v>0.71111111111111114</v>
      </c>
      <c r="U17" s="131">
        <f ca="1"/>
        <v>300</v>
      </c>
      <c r="V17" s="132">
        <f ca="1"/>
        <v>51.000000000000007</v>
      </c>
      <c r="W17" s="133">
        <f ca="1"/>
        <v>4</v>
      </c>
      <c r="X17" s="134">
        <f ca="1"/>
        <v>0.91111111111111109</v>
      </c>
      <c r="Y17" s="135">
        <f ca="1"/>
        <v>0.38769999999999999</v>
      </c>
      <c r="Z17" s="136">
        <f ca="1"/>
        <v>0.38769999999999999</v>
      </c>
      <c r="AA17" s="137">
        <f ca="1"/>
        <v>19.772700000000004</v>
      </c>
      <c r="AB17" s="138">
        <f ca="1"/>
        <v>8</v>
      </c>
      <c r="AC17" s="103" t="str">
        <f ca="1"/>
        <v>VIGENTE</v>
      </c>
      <c r="AD17" s="150">
        <f ca="1"/>
        <v>5.1000000000000004E-2</v>
      </c>
    </row>
    <row r="18" spans="1:30">
      <c r="A18" s="111" t="str">
        <f ca="1"/>
        <v>MACHACHI</v>
      </c>
      <c r="B18" s="111" t="str">
        <f ca="1"/>
        <v>BEBIDAS LACTEAS</v>
      </c>
      <c r="C18" s="111" t="str">
        <f ca="1"/>
        <v xml:space="preserve">Luis Armendariz                         </v>
      </c>
      <c r="D18" s="111" t="str">
        <f ca="1"/>
        <v>BON YURT</v>
      </c>
      <c r="E18" s="111" t="str">
        <f ca="1"/>
        <v>BON YURT REGULAR</v>
      </c>
      <c r="F18" s="111" t="str">
        <f ca="1"/>
        <v>GUAYAQUIL</v>
      </c>
      <c r="G18" s="111">
        <f ca="1"/>
        <v>7711</v>
      </c>
      <c r="H18" s="111">
        <f ca="1"/>
        <v>1001</v>
      </c>
      <c r="I18" s="112" t="str">
        <f ca="1"/>
        <v>10663</v>
      </c>
      <c r="J18" s="113" t="str">
        <f ca="1"/>
        <v>BY NEON VASO 170G</v>
      </c>
      <c r="K18" s="114">
        <f ca="1"/>
        <v>780</v>
      </c>
      <c r="L18" s="115">
        <f ca="1"/>
        <v>1</v>
      </c>
      <c r="M18" s="116">
        <f ca="1"/>
        <v>0.17</v>
      </c>
      <c r="N18" s="117">
        <f ca="1"/>
        <v>45</v>
      </c>
      <c r="O18" s="118">
        <f ca="1"/>
        <v>45617</v>
      </c>
      <c r="P18" s="119" t="str">
        <f ca="1"/>
        <v>jueves</v>
      </c>
      <c r="Q18" s="118">
        <f ca="1"/>
        <v>45612</v>
      </c>
      <c r="R18" s="118">
        <f ca="1"/>
        <v>45656</v>
      </c>
      <c r="S18" s="90">
        <f ca="1"/>
        <v>32</v>
      </c>
      <c r="T18" s="130">
        <f ca="1"/>
        <v>0.71111111111111114</v>
      </c>
      <c r="U18" s="131">
        <f ca="1"/>
        <v>780</v>
      </c>
      <c r="V18" s="132">
        <f ca="1"/>
        <v>132.60000000000002</v>
      </c>
      <c r="W18" s="133">
        <f ca="1"/>
        <v>5</v>
      </c>
      <c r="X18" s="134">
        <f ca="1"/>
        <v>0.88888888888888884</v>
      </c>
      <c r="Y18" s="135">
        <f ca="1"/>
        <v>0.38769999999999999</v>
      </c>
      <c r="Z18" s="136">
        <f ca="1"/>
        <v>0.38769999999999999</v>
      </c>
      <c r="AA18" s="137">
        <f ca="1"/>
        <v>51.409020000000005</v>
      </c>
      <c r="AB18" s="138">
        <f ca="1"/>
        <v>7</v>
      </c>
      <c r="AC18" s="103" t="str">
        <f ca="1"/>
        <v>VIGENTE</v>
      </c>
      <c r="AD18" s="150">
        <f ca="1"/>
        <v>0.13260000000000002</v>
      </c>
    </row>
    <row r="19" spans="1:30">
      <c r="A19" s="111" t="str">
        <f ca="1"/>
        <v>MACHACHI</v>
      </c>
      <c r="B19" s="111" t="str">
        <f ca="1"/>
        <v>BEBIDAS LACTEAS</v>
      </c>
      <c r="C19" s="111" t="str">
        <f ca="1"/>
        <v xml:space="preserve">Luis Armendariz                         </v>
      </c>
      <c r="D19" s="111" t="str">
        <f ca="1"/>
        <v>YOGURT KIOSKO</v>
      </c>
      <c r="E19" s="111" t="str">
        <f ca="1"/>
        <v>BEBIDA DE YOGURT KIOSKO GALONERA</v>
      </c>
      <c r="F19" s="111" t="str">
        <f ca="1"/>
        <v>GUAYAQUIL</v>
      </c>
      <c r="G19" s="111">
        <f ca="1"/>
        <v>7711</v>
      </c>
      <c r="H19" s="111">
        <f ca="1"/>
        <v>1001</v>
      </c>
      <c r="I19" s="112" t="str">
        <f ca="1"/>
        <v>10830</v>
      </c>
      <c r="J19" s="113" t="str">
        <f ca="1"/>
        <v>YOG BBLE KIOSKO DZNO BOT 3.5KG</v>
      </c>
      <c r="K19" s="114">
        <f ca="1"/>
        <v>56</v>
      </c>
      <c r="L19" s="115">
        <f ca="1"/>
        <v>1</v>
      </c>
      <c r="M19" s="116">
        <f ca="1"/>
        <v>3.5</v>
      </c>
      <c r="N19" s="117">
        <f ca="1"/>
        <v>45</v>
      </c>
      <c r="O19" s="118">
        <f ca="1"/>
        <v>45612</v>
      </c>
      <c r="P19" s="119" t="str">
        <f ca="1"/>
        <v>sábado</v>
      </c>
      <c r="Q19" s="118">
        <f ca="1"/>
        <v>45610</v>
      </c>
      <c r="R19" s="118">
        <f ca="1"/>
        <v>45654</v>
      </c>
      <c r="S19" s="90">
        <f ca="1"/>
        <v>30</v>
      </c>
      <c r="T19" s="130">
        <f ca="1"/>
        <v>0.66666666666666663</v>
      </c>
      <c r="U19" s="131">
        <f ca="1"/>
        <v>56</v>
      </c>
      <c r="V19" s="132">
        <f ca="1"/>
        <v>196</v>
      </c>
      <c r="W19" s="133">
        <f ca="1"/>
        <v>2</v>
      </c>
      <c r="X19" s="134">
        <f ca="1"/>
        <v>0.9555555555555556</v>
      </c>
      <c r="Y19" s="135">
        <f ca="1"/>
        <v>2.9180649999999999</v>
      </c>
      <c r="Z19" s="136">
        <f ca="1"/>
        <v>2.9180649999999999</v>
      </c>
      <c r="AA19" s="137">
        <f ca="1"/>
        <v>571.94074000000001</v>
      </c>
      <c r="AB19" s="138">
        <f ca="1"/>
        <v>12</v>
      </c>
      <c r="AC19" s="103" t="str">
        <f ca="1"/>
        <v>VIGENTE</v>
      </c>
      <c r="AD19" s="150">
        <f ca="1"/>
        <v>0.19600000000000001</v>
      </c>
    </row>
    <row r="20" spans="1:30">
      <c r="A20" s="111" t="str">
        <f ca="1"/>
        <v>MACHACHI</v>
      </c>
      <c r="B20" s="111" t="str">
        <f ca="1"/>
        <v>BEBIDAS LACTEAS</v>
      </c>
      <c r="C20" s="111" t="str">
        <f ca="1"/>
        <v xml:space="preserve">Luis Armendariz                         </v>
      </c>
      <c r="D20" s="111" t="str">
        <f ca="1"/>
        <v>YOGURT KIOSKO</v>
      </c>
      <c r="E20" s="111" t="str">
        <f ca="1"/>
        <v>BEBIDA DE YOGURT KIOSKO GALONERA</v>
      </c>
      <c r="F20" s="111" t="str">
        <f ca="1"/>
        <v>GUAYAQUIL</v>
      </c>
      <c r="G20" s="111">
        <f ca="1"/>
        <v>7711</v>
      </c>
      <c r="H20" s="111">
        <f ca="1"/>
        <v>1001</v>
      </c>
      <c r="I20" s="112" t="str">
        <f ca="1"/>
        <v>10830</v>
      </c>
      <c r="J20" s="113" t="str">
        <f ca="1"/>
        <v>YOG BBLE KIOSKO DZNO BOT 3.5KG</v>
      </c>
      <c r="K20" s="114">
        <f ca="1"/>
        <v>104</v>
      </c>
      <c r="L20" s="115">
        <f ca="1"/>
        <v>1</v>
      </c>
      <c r="M20" s="116">
        <f ca="1"/>
        <v>3.5</v>
      </c>
      <c r="N20" s="117">
        <f ca="1"/>
        <v>45</v>
      </c>
      <c r="O20" s="118">
        <f ca="1"/>
        <v>45611</v>
      </c>
      <c r="P20" s="119" t="str">
        <f ca="1"/>
        <v>viernes</v>
      </c>
      <c r="Q20" s="118">
        <f ca="1"/>
        <v>45610</v>
      </c>
      <c r="R20" s="118">
        <f ca="1"/>
        <v>45654</v>
      </c>
      <c r="S20" s="90">
        <f ca="1"/>
        <v>30</v>
      </c>
      <c r="T20" s="130">
        <f ca="1"/>
        <v>0.66666666666666663</v>
      </c>
      <c r="U20" s="131">
        <f ca="1"/>
        <v>11</v>
      </c>
      <c r="V20" s="132">
        <f ca="1"/>
        <v>38.5</v>
      </c>
      <c r="W20" s="133">
        <f ca="1"/>
        <v>1</v>
      </c>
      <c r="X20" s="134">
        <f ca="1"/>
        <v>0.97777777777777775</v>
      </c>
      <c r="Y20" s="135">
        <f ca="1"/>
        <v>2.9180649999999999</v>
      </c>
      <c r="Z20" s="136">
        <f ca="1"/>
        <v>2.9180649999999999</v>
      </c>
      <c r="AA20" s="137">
        <f ca="1"/>
        <v>112.34550249999999</v>
      </c>
      <c r="AB20" s="138">
        <f ca="1"/>
        <v>13</v>
      </c>
      <c r="AC20" s="103" t="str">
        <f ca="1"/>
        <v>VIGENTE</v>
      </c>
      <c r="AD20" s="150">
        <f ca="1"/>
        <v>3.85E-2</v>
      </c>
    </row>
    <row r="21" spans="1:30">
      <c r="A21" s="111" t="str">
        <f ca="1"/>
        <v>MACHACHI</v>
      </c>
      <c r="B21" s="111" t="str">
        <f ca="1"/>
        <v>BEBIDAS LACTEAS</v>
      </c>
      <c r="C21" s="111" t="str">
        <f ca="1"/>
        <v xml:space="preserve">Luis Armendariz                         </v>
      </c>
      <c r="D21" s="111" t="str">
        <f ca="1"/>
        <v>YOGURT KIOSKO</v>
      </c>
      <c r="E21" s="111" t="str">
        <f ca="1"/>
        <v>BEBIDA DE YOGURT KIOSKO GALONERA</v>
      </c>
      <c r="F21" s="111" t="str">
        <f ca="1"/>
        <v>GUAYAQUIL</v>
      </c>
      <c r="G21" s="111">
        <f ca="1"/>
        <v>7711</v>
      </c>
      <c r="H21" s="111">
        <f ca="1"/>
        <v>1001</v>
      </c>
      <c r="I21" s="112" t="str">
        <f ca="1"/>
        <v>10830</v>
      </c>
      <c r="J21" s="113" t="str">
        <f ca="1"/>
        <v>YOG BBLE KIOSKO DZNO BOT 3.5KG</v>
      </c>
      <c r="K21" s="114">
        <f ca="1"/>
        <v>104</v>
      </c>
      <c r="L21" s="115">
        <f ca="1"/>
        <v>1</v>
      </c>
      <c r="M21" s="116">
        <f ca="1"/>
        <v>3.5</v>
      </c>
      <c r="N21" s="117">
        <f ca="1"/>
        <v>45</v>
      </c>
      <c r="O21" s="118">
        <f ca="1"/>
        <v>45615</v>
      </c>
      <c r="P21" s="119" t="str">
        <f ca="1"/>
        <v>martes</v>
      </c>
      <c r="Q21" s="118">
        <f ca="1"/>
        <v>45611</v>
      </c>
      <c r="R21" s="118">
        <f ca="1"/>
        <v>45655</v>
      </c>
      <c r="S21" s="90">
        <f ca="1"/>
        <v>31</v>
      </c>
      <c r="T21" s="130">
        <f ca="1"/>
        <v>0.68888888888888888</v>
      </c>
      <c r="U21" s="131">
        <f ca="1"/>
        <v>104</v>
      </c>
      <c r="V21" s="132">
        <f ca="1"/>
        <v>364</v>
      </c>
      <c r="W21" s="133">
        <f ca="1"/>
        <v>4</v>
      </c>
      <c r="X21" s="134">
        <f ca="1"/>
        <v>0.91111111111111109</v>
      </c>
      <c r="Y21" s="135">
        <f ca="1"/>
        <v>2.9180649999999999</v>
      </c>
      <c r="Z21" s="136">
        <f ca="1"/>
        <v>2.9180649999999999</v>
      </c>
      <c r="AA21" s="137">
        <f ca="1"/>
        <v>1062.1756599999999</v>
      </c>
      <c r="AB21" s="138">
        <f ca="1"/>
        <v>9</v>
      </c>
      <c r="AC21" s="103" t="str">
        <f ca="1"/>
        <v>VIGENTE</v>
      </c>
      <c r="AD21" s="150">
        <f ca="1"/>
        <v>0.36399999999999999</v>
      </c>
    </row>
    <row r="22" spans="1:30">
      <c r="A22" s="111" t="str">
        <f ca="1"/>
        <v>MACHACHI</v>
      </c>
      <c r="B22" s="111" t="str">
        <f ca="1"/>
        <v>BEBIDAS LACTEAS</v>
      </c>
      <c r="C22" s="111" t="str">
        <f ca="1"/>
        <v xml:space="preserve">Luis Armendariz                         </v>
      </c>
      <c r="D22" s="111" t="str">
        <f ca="1"/>
        <v>YOGURT KIOSKO</v>
      </c>
      <c r="E22" s="111" t="str">
        <f ca="1"/>
        <v>BEBIDA DE YOGURT KIOSKO GALONERA</v>
      </c>
      <c r="F22" s="111" t="str">
        <f ca="1"/>
        <v>GUAYAQUIL</v>
      </c>
      <c r="G22" s="111">
        <f ca="1"/>
        <v>7711</v>
      </c>
      <c r="H22" s="111">
        <f ca="1"/>
        <v>1001</v>
      </c>
      <c r="I22" s="112" t="str">
        <f ca="1"/>
        <v>10830</v>
      </c>
      <c r="J22" s="113" t="str">
        <f ca="1"/>
        <v>YOG BBLE KIOSKO DZNO BOT 3.5KG</v>
      </c>
      <c r="K22" s="114">
        <f ca="1"/>
        <v>104</v>
      </c>
      <c r="L22" s="115">
        <f ca="1"/>
        <v>1</v>
      </c>
      <c r="M22" s="116">
        <f ca="1"/>
        <v>3.5</v>
      </c>
      <c r="N22" s="117">
        <f ca="1"/>
        <v>45</v>
      </c>
      <c r="O22" s="118">
        <f ca="1"/>
        <v>45616</v>
      </c>
      <c r="P22" s="119" t="str">
        <f ca="1"/>
        <v>miércoles</v>
      </c>
      <c r="Q22" s="118">
        <f ca="1"/>
        <v>45615</v>
      </c>
      <c r="R22" s="118">
        <f ca="1"/>
        <v>45659</v>
      </c>
      <c r="S22" s="90">
        <f ca="1"/>
        <v>35</v>
      </c>
      <c r="T22" s="130">
        <f ca="1"/>
        <v>0.77777777777777779</v>
      </c>
      <c r="U22" s="131">
        <f ca="1"/>
        <v>104</v>
      </c>
      <c r="V22" s="132">
        <f ca="1"/>
        <v>364</v>
      </c>
      <c r="W22" s="133">
        <f ca="1"/>
        <v>1</v>
      </c>
      <c r="X22" s="134">
        <f ca="1"/>
        <v>0.97777777777777775</v>
      </c>
      <c r="Y22" s="135">
        <f ca="1"/>
        <v>2.9180649999999999</v>
      </c>
      <c r="Z22" s="136">
        <f ca="1"/>
        <v>2.9180649999999999</v>
      </c>
      <c r="AA22" s="137">
        <f ca="1"/>
        <v>1062.1756599999999</v>
      </c>
      <c r="AB22" s="138">
        <f ca="1"/>
        <v>8</v>
      </c>
      <c r="AC22" s="103" t="str">
        <f ca="1"/>
        <v>VIGENTE</v>
      </c>
      <c r="AD22" s="150">
        <f ca="1"/>
        <v>0.36399999999999999</v>
      </c>
    </row>
    <row r="23" spans="1:30">
      <c r="A23" s="111" t="str">
        <f ca="1"/>
        <v>MACHACHI</v>
      </c>
      <c r="B23" s="111" t="str">
        <f ca="1"/>
        <v>BEBIDAS LACTEAS</v>
      </c>
      <c r="C23" s="111" t="str">
        <f ca="1"/>
        <v xml:space="preserve">Luis Armendariz                         </v>
      </c>
      <c r="D23" s="111" t="str">
        <f ca="1"/>
        <v>YOGURT KIOSKO</v>
      </c>
      <c r="E23" s="111" t="str">
        <f ca="1"/>
        <v>BEBIDA DE YOGURT KIOSKO BOTELLA PERSONAL</v>
      </c>
      <c r="F23" s="111" t="str">
        <f ca="1"/>
        <v>GUAYAQUIL</v>
      </c>
      <c r="G23" s="111">
        <f ca="1"/>
        <v>7711</v>
      </c>
      <c r="H23" s="111">
        <f ca="1"/>
        <v>1001</v>
      </c>
      <c r="I23" s="112" t="str">
        <f ca="1"/>
        <v>10984</v>
      </c>
      <c r="J23" s="113" t="str">
        <f ca="1"/>
        <v>YOG BBLE KID KK FTLLA BOT 120G</v>
      </c>
      <c r="K23" s="114">
        <f ca="1"/>
        <v>2730</v>
      </c>
      <c r="L23" s="115">
        <f ca="1"/>
        <v>1</v>
      </c>
      <c r="M23" s="116">
        <f ca="1"/>
        <v>0.12</v>
      </c>
      <c r="N23" s="117">
        <f ca="1"/>
        <v>45</v>
      </c>
      <c r="O23" s="118">
        <f ca="1"/>
        <v>45605</v>
      </c>
      <c r="P23" s="119" t="str">
        <f ca="1"/>
        <v>sábado</v>
      </c>
      <c r="Q23" s="118">
        <f ca="1"/>
        <v>45597</v>
      </c>
      <c r="R23" s="118">
        <f ca="1"/>
        <v>45641</v>
      </c>
      <c r="S23" s="90">
        <f ca="1"/>
        <v>17</v>
      </c>
      <c r="T23" s="130">
        <f ca="1"/>
        <v>0.37777777777777777</v>
      </c>
      <c r="U23" s="131">
        <f ca="1"/>
        <v>1</v>
      </c>
      <c r="V23" s="132">
        <f ca="1"/>
        <v>0.12</v>
      </c>
      <c r="W23" s="133">
        <f ca="1"/>
        <v>8</v>
      </c>
      <c r="X23" s="134">
        <f ca="1"/>
        <v>0.82222222222222219</v>
      </c>
      <c r="Y23" s="135">
        <f ca="1"/>
        <v>0.25833499999999998</v>
      </c>
      <c r="Z23" s="136">
        <f ca="1"/>
        <v>0.25833499999999998</v>
      </c>
      <c r="AA23" s="137">
        <f ca="1"/>
        <v>3.1000199999999995E-2</v>
      </c>
      <c r="AB23" s="138">
        <f ca="1"/>
        <v>19</v>
      </c>
      <c r="AC23" s="103" t="str">
        <f ca="1"/>
        <v>FECHA CORTA</v>
      </c>
      <c r="AD23" s="150">
        <f ca="1"/>
        <v>1.1999999999999999E-4</v>
      </c>
    </row>
    <row r="24" spans="1:30">
      <c r="A24" s="111" t="str">
        <f ca="1"/>
        <v>MACHACHI</v>
      </c>
      <c r="B24" s="111" t="str">
        <f ca="1"/>
        <v>BEBIDAS LACTEAS</v>
      </c>
      <c r="C24" s="111" t="str">
        <f ca="1"/>
        <v xml:space="preserve">Luis Armendariz                         </v>
      </c>
      <c r="D24" s="111" t="str">
        <f ca="1"/>
        <v>YOGURT KIOSKO</v>
      </c>
      <c r="E24" s="111" t="str">
        <f ca="1"/>
        <v>BEBIDA DE YOGURT KIOSKO BOTELLA PERSONAL</v>
      </c>
      <c r="F24" s="111" t="str">
        <f ca="1"/>
        <v>GUAYAQUIL</v>
      </c>
      <c r="G24" s="111">
        <f ca="1"/>
        <v>7711</v>
      </c>
      <c r="H24" s="111">
        <f ca="1"/>
        <v>1001</v>
      </c>
      <c r="I24" s="112" t="str">
        <f ca="1"/>
        <v>10984</v>
      </c>
      <c r="J24" s="113" t="str">
        <f ca="1"/>
        <v>YOG BBLE KID KK FTLLA BOT 120G</v>
      </c>
      <c r="K24" s="114">
        <f ca="1"/>
        <v>728</v>
      </c>
      <c r="L24" s="115">
        <f ca="1"/>
        <v>1</v>
      </c>
      <c r="M24" s="116">
        <f ca="1"/>
        <v>0.12</v>
      </c>
      <c r="N24" s="117">
        <f ca="1"/>
        <v>45</v>
      </c>
      <c r="O24" s="118">
        <f ca="1"/>
        <v>45612</v>
      </c>
      <c r="P24" s="119" t="str">
        <f ca="1"/>
        <v>sábado</v>
      </c>
      <c r="Q24" s="118">
        <f ca="1"/>
        <v>45609</v>
      </c>
      <c r="R24" s="118">
        <f ca="1"/>
        <v>45653</v>
      </c>
      <c r="S24" s="90">
        <f ca="1"/>
        <v>29</v>
      </c>
      <c r="T24" s="130">
        <f ca="1"/>
        <v>0.64444444444444449</v>
      </c>
      <c r="U24" s="131">
        <f ca="1"/>
        <v>406</v>
      </c>
      <c r="V24" s="132">
        <f ca="1"/>
        <v>48.72</v>
      </c>
      <c r="W24" s="133">
        <f ca="1"/>
        <v>3</v>
      </c>
      <c r="X24" s="134">
        <f ca="1"/>
        <v>0.93333333333333335</v>
      </c>
      <c r="Y24" s="135">
        <f ca="1"/>
        <v>0.25833499999999998</v>
      </c>
      <c r="Z24" s="136">
        <f ca="1"/>
        <v>0.25833499999999998</v>
      </c>
      <c r="AA24" s="137">
        <f ca="1"/>
        <v>12.586081199999999</v>
      </c>
      <c r="AB24" s="138">
        <f ca="1"/>
        <v>12</v>
      </c>
      <c r="AC24" s="103" t="str">
        <f ca="1"/>
        <v>VIGENTE</v>
      </c>
      <c r="AD24" s="150">
        <f ca="1"/>
        <v>4.8719999999999999E-2</v>
      </c>
    </row>
    <row r="25" spans="1:30">
      <c r="A25" s="111" t="str">
        <f ca="1"/>
        <v>MACHACHI</v>
      </c>
      <c r="B25" s="111" t="str">
        <f ca="1"/>
        <v>BEBIDAS LACTEAS</v>
      </c>
      <c r="C25" s="111" t="str">
        <f ca="1"/>
        <v xml:space="preserve">Luis Armendariz                         </v>
      </c>
      <c r="D25" s="111" t="str">
        <f ca="1"/>
        <v>YOGURT KIOSKO</v>
      </c>
      <c r="E25" s="111" t="str">
        <f ca="1"/>
        <v>BEBIDA DE YOGURT KIOSKO BOTELLA PERSONAL</v>
      </c>
      <c r="F25" s="111" t="str">
        <f ca="1"/>
        <v>GUAYAQUIL</v>
      </c>
      <c r="G25" s="111">
        <f ca="1"/>
        <v>7711</v>
      </c>
      <c r="H25" s="111">
        <f ca="1"/>
        <v>1001</v>
      </c>
      <c r="I25" s="112" t="str">
        <f ca="1"/>
        <v>10984</v>
      </c>
      <c r="J25" s="113" t="str">
        <f ca="1"/>
        <v>YOG BBLE KID KK FTLLA BOT 120G</v>
      </c>
      <c r="K25" s="114">
        <f ca="1"/>
        <v>364</v>
      </c>
      <c r="L25" s="115">
        <f ca="1"/>
        <v>1</v>
      </c>
      <c r="M25" s="116">
        <f ca="1"/>
        <v>0.12</v>
      </c>
      <c r="N25" s="117">
        <f ca="1"/>
        <v>45</v>
      </c>
      <c r="O25" s="118">
        <f ca="1"/>
        <v>45610</v>
      </c>
      <c r="P25" s="119" t="str">
        <f ca="1"/>
        <v>jueves</v>
      </c>
      <c r="Q25" s="118">
        <f ca="1"/>
        <v>45604</v>
      </c>
      <c r="R25" s="118">
        <f ca="1"/>
        <v>45648</v>
      </c>
      <c r="S25" s="90">
        <f ca="1"/>
        <v>24</v>
      </c>
      <c r="T25" s="130">
        <f ca="1"/>
        <v>0.53333333333333333</v>
      </c>
      <c r="U25" s="131">
        <f ca="1"/>
        <v>8</v>
      </c>
      <c r="V25" s="132">
        <f ca="1"/>
        <v>0.96</v>
      </c>
      <c r="W25" s="133">
        <f ca="1"/>
        <v>6</v>
      </c>
      <c r="X25" s="134">
        <f ca="1"/>
        <v>0.8666666666666667</v>
      </c>
      <c r="Y25" s="135">
        <f ca="1"/>
        <v>0.25833499999999998</v>
      </c>
      <c r="Z25" s="136">
        <f ca="1"/>
        <v>0.25833499999999998</v>
      </c>
      <c r="AA25" s="137">
        <f ca="1"/>
        <v>0.24800159999999996</v>
      </c>
      <c r="AB25" s="138">
        <f ca="1"/>
        <v>14</v>
      </c>
      <c r="AC25" s="103" t="str">
        <f ca="1"/>
        <v>PROXIMOS FECHA CORTA</v>
      </c>
      <c r="AD25" s="150">
        <f ca="1"/>
        <v>9.5999999999999992E-4</v>
      </c>
    </row>
    <row r="26" spans="1:30">
      <c r="A26" s="111" t="str">
        <f ca="1"/>
        <v>MACHACHI</v>
      </c>
      <c r="B26" s="111" t="str">
        <f ca="1"/>
        <v>BEBIDAS LACTEAS</v>
      </c>
      <c r="C26" s="111" t="str">
        <f ca="1"/>
        <v xml:space="preserve">Luis Armendariz                         </v>
      </c>
      <c r="D26" s="111" t="str">
        <f ca="1"/>
        <v>YOGURT KIOSKO</v>
      </c>
      <c r="E26" s="111" t="str">
        <f ca="1"/>
        <v>BEBIDA DE YOGURT KIOSKO BOTELLA PERSONAL</v>
      </c>
      <c r="F26" s="111" t="str">
        <f ca="1"/>
        <v>GUAYAQUIL</v>
      </c>
      <c r="G26" s="111">
        <f ca="1"/>
        <v>7711</v>
      </c>
      <c r="H26" s="111">
        <f ca="1"/>
        <v>1001</v>
      </c>
      <c r="I26" s="112" t="str">
        <f ca="1"/>
        <v>10984</v>
      </c>
      <c r="J26" s="113" t="str">
        <f ca="1"/>
        <v>YOG BBLE KID KK FTLLA BOT 120G</v>
      </c>
      <c r="K26" s="114">
        <f ca="1"/>
        <v>728</v>
      </c>
      <c r="L26" s="115">
        <f ca="1"/>
        <v>1</v>
      </c>
      <c r="M26" s="116">
        <f ca="1"/>
        <v>0.12</v>
      </c>
      <c r="N26" s="117">
        <f ca="1"/>
        <v>45</v>
      </c>
      <c r="O26" s="118">
        <f ca="1"/>
        <v>45615</v>
      </c>
      <c r="P26" s="119" t="str">
        <f ca="1"/>
        <v>martes</v>
      </c>
      <c r="Q26" s="118">
        <f ca="1"/>
        <v>45609</v>
      </c>
      <c r="R26" s="118">
        <f ca="1"/>
        <v>45653</v>
      </c>
      <c r="S26" s="90">
        <f ca="1"/>
        <v>29</v>
      </c>
      <c r="T26" s="130">
        <f ca="1"/>
        <v>0.64444444444444449</v>
      </c>
      <c r="U26" s="131">
        <f ca="1"/>
        <v>728</v>
      </c>
      <c r="V26" s="132">
        <f ca="1"/>
        <v>87.36</v>
      </c>
      <c r="W26" s="133">
        <f ca="1"/>
        <v>6</v>
      </c>
      <c r="X26" s="134">
        <f ca="1"/>
        <v>0.8666666666666667</v>
      </c>
      <c r="Y26" s="135">
        <f ca="1"/>
        <v>0.25833499999999998</v>
      </c>
      <c r="Z26" s="136">
        <f ca="1"/>
        <v>0.25833499999999998</v>
      </c>
      <c r="AA26" s="137">
        <f ca="1"/>
        <v>22.568145599999998</v>
      </c>
      <c r="AB26" s="138">
        <f ca="1"/>
        <v>9</v>
      </c>
      <c r="AC26" s="103" t="str">
        <f ca="1"/>
        <v>VIGENTE</v>
      </c>
      <c r="AD26" s="150">
        <f ca="1"/>
        <v>8.7359999999999993E-2</v>
      </c>
    </row>
    <row r="27" spans="1:30">
      <c r="A27" s="111" t="str">
        <f ca="1"/>
        <v>MACHACHI</v>
      </c>
      <c r="B27" s="111" t="str">
        <f ca="1"/>
        <v>BEBIDAS LACTEAS</v>
      </c>
      <c r="C27" s="111" t="str">
        <f ca="1"/>
        <v xml:space="preserve">Luis Armendariz                         </v>
      </c>
      <c r="D27" s="111" t="str">
        <f ca="1"/>
        <v>YOGURT KIOSKO</v>
      </c>
      <c r="E27" s="111" t="str">
        <f ca="1"/>
        <v>BEBIDA DE YOGURT KIOSKO BOTELLA PERSONAL</v>
      </c>
      <c r="F27" s="111" t="str">
        <f ca="1"/>
        <v>GUAYAQUIL</v>
      </c>
      <c r="G27" s="111">
        <f ca="1"/>
        <v>7711</v>
      </c>
      <c r="H27" s="111">
        <f ca="1"/>
        <v>1001</v>
      </c>
      <c r="I27" s="112" t="str">
        <f ca="1"/>
        <v>10984</v>
      </c>
      <c r="J27" s="113" t="str">
        <f ca="1"/>
        <v>YOG BBLE KID KK FTLLA BOT 120G</v>
      </c>
      <c r="K27" s="114">
        <f ca="1"/>
        <v>1092</v>
      </c>
      <c r="L27" s="115">
        <f ca="1"/>
        <v>1</v>
      </c>
      <c r="M27" s="116">
        <f ca="1"/>
        <v>0.12</v>
      </c>
      <c r="N27" s="117">
        <f ca="1"/>
        <v>45</v>
      </c>
      <c r="O27" s="118">
        <f ca="1"/>
        <v>45616</v>
      </c>
      <c r="P27" s="119" t="str">
        <f ca="1"/>
        <v>miércoles</v>
      </c>
      <c r="Q27" s="118">
        <f ca="1"/>
        <v>45609</v>
      </c>
      <c r="R27" s="118">
        <f ca="1"/>
        <v>45653</v>
      </c>
      <c r="S27" s="90">
        <f ca="1"/>
        <v>29</v>
      </c>
      <c r="T27" s="130">
        <f ca="1"/>
        <v>0.64444444444444449</v>
      </c>
      <c r="U27" s="131">
        <f ca="1"/>
        <v>1092</v>
      </c>
      <c r="V27" s="132">
        <f ca="1"/>
        <v>131.04</v>
      </c>
      <c r="W27" s="133">
        <f ca="1"/>
        <v>7</v>
      </c>
      <c r="X27" s="134">
        <f ca="1"/>
        <v>0.84444444444444444</v>
      </c>
      <c r="Y27" s="135">
        <f ca="1"/>
        <v>0.25833499999999998</v>
      </c>
      <c r="Z27" s="136">
        <f ca="1"/>
        <v>0.25833499999999998</v>
      </c>
      <c r="AA27" s="137">
        <f ca="1"/>
        <v>33.852218399999998</v>
      </c>
      <c r="AB27" s="138">
        <f ca="1"/>
        <v>8</v>
      </c>
      <c r="AC27" s="103" t="str">
        <f ca="1"/>
        <v>VIGENTE</v>
      </c>
      <c r="AD27" s="150">
        <f ca="1"/>
        <v>0.13103999999999999</v>
      </c>
    </row>
    <row r="28" spans="1:30">
      <c r="A28" s="111" t="str">
        <f ca="1"/>
        <v>MACHACHI</v>
      </c>
      <c r="B28" s="111" t="str">
        <f ca="1"/>
        <v>BEBIDAS LACTEAS</v>
      </c>
      <c r="C28" s="111" t="str">
        <f ca="1"/>
        <v xml:space="preserve">Luis Armendariz                         </v>
      </c>
      <c r="D28" s="111" t="str">
        <f ca="1"/>
        <v>YOGURT KIOSKO</v>
      </c>
      <c r="E28" s="111" t="str">
        <f ca="1"/>
        <v>BEBIDA DE YOGURT KIOSKO BOTELLA FAMILIAR</v>
      </c>
      <c r="F28" s="111" t="str">
        <f ca="1"/>
        <v>GUAYAQUIL</v>
      </c>
      <c r="G28" s="111">
        <f ca="1"/>
        <v>7711</v>
      </c>
      <c r="H28" s="111">
        <f ca="1"/>
        <v>1001</v>
      </c>
      <c r="I28" s="112" t="str">
        <f ca="1"/>
        <v>11109</v>
      </c>
      <c r="J28" s="113" t="str">
        <f ca="1"/>
        <v>YOG BBLE KIOSKO MOR BOT 950G</v>
      </c>
      <c r="K28" s="114">
        <f ca="1"/>
        <v>18</v>
      </c>
      <c r="L28" s="115">
        <f ca="1"/>
        <v>1</v>
      </c>
      <c r="M28" s="116">
        <f ca="1"/>
        <v>0.95</v>
      </c>
      <c r="N28" s="117">
        <f ca="1"/>
        <v>45</v>
      </c>
      <c r="O28" s="118">
        <f ca="1"/>
        <v>45612</v>
      </c>
      <c r="P28" s="119" t="str">
        <f ca="1"/>
        <v>sábado</v>
      </c>
      <c r="Q28" s="118">
        <f ca="1"/>
        <v>45604</v>
      </c>
      <c r="R28" s="118">
        <f ca="1"/>
        <v>45648</v>
      </c>
      <c r="S28" s="90">
        <f ca="1"/>
        <v>24</v>
      </c>
      <c r="T28" s="130">
        <f ca="1"/>
        <v>0.53333333333333333</v>
      </c>
      <c r="U28" s="131">
        <f ca="1"/>
        <v>18</v>
      </c>
      <c r="V28" s="132">
        <f ca="1"/>
        <v>17.099999999999998</v>
      </c>
      <c r="W28" s="133">
        <f ca="1"/>
        <v>8</v>
      </c>
      <c r="X28" s="134">
        <f ca="1"/>
        <v>0.82222222222222219</v>
      </c>
      <c r="Y28" s="135">
        <f ca="1"/>
        <v>1.02759</v>
      </c>
      <c r="Z28" s="136">
        <f ca="1"/>
        <v>1.02759</v>
      </c>
      <c r="AA28" s="137">
        <f ca="1"/>
        <v>17.571788999999999</v>
      </c>
      <c r="AB28" s="138">
        <f ca="1"/>
        <v>12</v>
      </c>
      <c r="AC28" s="103" t="str">
        <f ca="1"/>
        <v>PROXIMOS FECHA CORTA</v>
      </c>
      <c r="AD28" s="150">
        <f ca="1"/>
        <v>1.7099999999999997E-2</v>
      </c>
    </row>
    <row r="29" spans="1:30">
      <c r="A29" s="111" t="str">
        <f ca="1"/>
        <v>MACHACHI</v>
      </c>
      <c r="B29" s="111" t="str">
        <f ca="1"/>
        <v>BEBIDAS LACTEAS</v>
      </c>
      <c r="C29" s="111" t="str">
        <f ca="1"/>
        <v xml:space="preserve">Luis Armendariz                         </v>
      </c>
      <c r="D29" s="111" t="str">
        <f ca="1"/>
        <v>YOGURT KIOSKO</v>
      </c>
      <c r="E29" s="111" t="str">
        <f ca="1"/>
        <v>BEBIDA DE YOGURT KIOSKO BOTELLA FAMILIAR</v>
      </c>
      <c r="F29" s="111" t="str">
        <f ca="1"/>
        <v>GUAYAQUIL</v>
      </c>
      <c r="G29" s="111">
        <f ca="1"/>
        <v>7711</v>
      </c>
      <c r="H29" s="111">
        <f ca="1"/>
        <v>1001</v>
      </c>
      <c r="I29" s="112" t="str">
        <f ca="1"/>
        <v>11109</v>
      </c>
      <c r="J29" s="113" t="str">
        <f ca="1"/>
        <v>YOG BBLE KIOSKO MOR BOT 950G</v>
      </c>
      <c r="K29" s="114">
        <f ca="1"/>
        <v>18</v>
      </c>
      <c r="L29" s="115">
        <f ca="1"/>
        <v>1</v>
      </c>
      <c r="M29" s="116">
        <f ca="1"/>
        <v>0.95</v>
      </c>
      <c r="N29" s="117">
        <f ca="1"/>
        <v>45</v>
      </c>
      <c r="O29" s="118">
        <f ca="1"/>
        <v>45611</v>
      </c>
      <c r="P29" s="119" t="str">
        <f ca="1"/>
        <v>viernes</v>
      </c>
      <c r="Q29" s="118">
        <f ca="1"/>
        <v>45604</v>
      </c>
      <c r="R29" s="118">
        <f ca="1"/>
        <v>45648</v>
      </c>
      <c r="S29" s="90">
        <f ca="1"/>
        <v>24</v>
      </c>
      <c r="T29" s="130">
        <f ca="1"/>
        <v>0.53333333333333333</v>
      </c>
      <c r="U29" s="131">
        <f ca="1"/>
        <v>18</v>
      </c>
      <c r="V29" s="132">
        <f ca="1"/>
        <v>17.099999999999998</v>
      </c>
      <c r="W29" s="133">
        <f ca="1"/>
        <v>7</v>
      </c>
      <c r="X29" s="134">
        <f ca="1"/>
        <v>0.84444444444444444</v>
      </c>
      <c r="Y29" s="135">
        <f ca="1"/>
        <v>1.02759</v>
      </c>
      <c r="Z29" s="136">
        <f ca="1"/>
        <v>1.02759</v>
      </c>
      <c r="AA29" s="137">
        <f ca="1"/>
        <v>17.571788999999999</v>
      </c>
      <c r="AB29" s="138">
        <f ca="1"/>
        <v>13</v>
      </c>
      <c r="AC29" s="103" t="str">
        <f ca="1"/>
        <v>PROXIMOS FECHA CORTA</v>
      </c>
      <c r="AD29" s="150">
        <f ca="1"/>
        <v>1.7099999999999997E-2</v>
      </c>
    </row>
    <row r="30" spans="1:30">
      <c r="A30" s="111" t="str">
        <f ca="1"/>
        <v>MACHACHI</v>
      </c>
      <c r="B30" s="111" t="str">
        <f ca="1"/>
        <v>BEBIDAS LACTEAS</v>
      </c>
      <c r="C30" s="111" t="str">
        <f ca="1"/>
        <v xml:space="preserve">Luis Armendariz                         </v>
      </c>
      <c r="D30" s="111" t="str">
        <f ca="1"/>
        <v>YOGURT KIOSKO</v>
      </c>
      <c r="E30" s="111" t="str">
        <f ca="1"/>
        <v>BEBIDA DE YOGURT KIOSKO BOTELLA FAMILIAR</v>
      </c>
      <c r="F30" s="111" t="str">
        <f ca="1"/>
        <v>GUAYAQUIL</v>
      </c>
      <c r="G30" s="111">
        <f ca="1"/>
        <v>7711</v>
      </c>
      <c r="H30" s="111">
        <f ca="1"/>
        <v>1001</v>
      </c>
      <c r="I30" s="112" t="str">
        <f ca="1"/>
        <v>11109</v>
      </c>
      <c r="J30" s="113" t="str">
        <f ca="1"/>
        <v>YOG BBLE KIOSKO MOR BOT 950G</v>
      </c>
      <c r="K30" s="114">
        <f ca="1"/>
        <v>18</v>
      </c>
      <c r="L30" s="115">
        <f ca="1"/>
        <v>1</v>
      </c>
      <c r="M30" s="116">
        <f ca="1"/>
        <v>0.95</v>
      </c>
      <c r="N30" s="117">
        <f ca="1"/>
        <v>45</v>
      </c>
      <c r="O30" s="118">
        <f ca="1"/>
        <v>45610</v>
      </c>
      <c r="P30" s="119" t="str">
        <f ca="1"/>
        <v>jueves</v>
      </c>
      <c r="Q30" s="118">
        <f ca="1"/>
        <v>45604</v>
      </c>
      <c r="R30" s="118">
        <f ca="1"/>
        <v>45648</v>
      </c>
      <c r="S30" s="90">
        <f ca="1"/>
        <v>24</v>
      </c>
      <c r="T30" s="130">
        <f ca="1"/>
        <v>0.53333333333333333</v>
      </c>
      <c r="U30" s="131">
        <f ca="1"/>
        <v>3</v>
      </c>
      <c r="V30" s="132">
        <f ca="1"/>
        <v>2.8499999999999996</v>
      </c>
      <c r="W30" s="133">
        <f ca="1"/>
        <v>6</v>
      </c>
      <c r="X30" s="134">
        <f ca="1"/>
        <v>0.8666666666666667</v>
      </c>
      <c r="Y30" s="135">
        <f ca="1"/>
        <v>1.02759</v>
      </c>
      <c r="Z30" s="136">
        <f ca="1"/>
        <v>1.02759</v>
      </c>
      <c r="AA30" s="137">
        <f ca="1"/>
        <v>2.9286314999999998</v>
      </c>
      <c r="AB30" s="138">
        <f ca="1"/>
        <v>14</v>
      </c>
      <c r="AC30" s="103" t="str">
        <f ca="1"/>
        <v>PROXIMOS FECHA CORTA</v>
      </c>
      <c r="AD30" s="150">
        <f ca="1"/>
        <v>2.8499999999999997E-3</v>
      </c>
    </row>
    <row r="31" spans="1:30">
      <c r="A31" s="111" t="str">
        <f ca="1"/>
        <v>MACHACHI</v>
      </c>
      <c r="B31" s="111" t="str">
        <f ca="1"/>
        <v>BEBIDAS LACTEAS</v>
      </c>
      <c r="C31" s="111" t="str">
        <f ca="1"/>
        <v xml:space="preserve">Luis Armendariz                         </v>
      </c>
      <c r="D31" s="111" t="str">
        <f ca="1"/>
        <v>YOGURT KIOSKO</v>
      </c>
      <c r="E31" s="111" t="str">
        <f ca="1"/>
        <v>BEBIDA DE YOGURT KIOSKO BOTELLA FAMILIAR</v>
      </c>
      <c r="F31" s="111" t="str">
        <f ca="1"/>
        <v>GUAYAQUIL</v>
      </c>
      <c r="G31" s="111">
        <f ca="1"/>
        <v>7711</v>
      </c>
      <c r="H31" s="111">
        <f ca="1"/>
        <v>1001</v>
      </c>
      <c r="I31" s="112" t="str">
        <f ca="1"/>
        <v>11109</v>
      </c>
      <c r="J31" s="113" t="str">
        <f ca="1"/>
        <v>YOG BBLE KIOSKO MOR BOT 950G</v>
      </c>
      <c r="K31" s="114">
        <f ca="1"/>
        <v>18</v>
      </c>
      <c r="L31" s="115">
        <f ca="1"/>
        <v>1</v>
      </c>
      <c r="M31" s="116">
        <f ca="1"/>
        <v>0.95</v>
      </c>
      <c r="N31" s="117">
        <f ca="1"/>
        <v>45</v>
      </c>
      <c r="O31" s="118">
        <f ca="1"/>
        <v>45615</v>
      </c>
      <c r="P31" s="119" t="str">
        <f ca="1"/>
        <v>martes</v>
      </c>
      <c r="Q31" s="118">
        <f ca="1"/>
        <v>45611</v>
      </c>
      <c r="R31" s="118">
        <f ca="1"/>
        <v>45655</v>
      </c>
      <c r="S31" s="90">
        <f ca="1"/>
        <v>31</v>
      </c>
      <c r="T31" s="130">
        <f ca="1"/>
        <v>0.68888888888888888</v>
      </c>
      <c r="U31" s="131">
        <f ca="1"/>
        <v>0</v>
      </c>
      <c r="V31" s="132">
        <f ca="1"/>
        <v>0</v>
      </c>
      <c r="W31" s="133">
        <f ca="1"/>
        <v>4</v>
      </c>
      <c r="X31" s="134">
        <f ca="1"/>
        <v>0.91111111111111109</v>
      </c>
      <c r="Y31" s="135">
        <f ca="1"/>
        <v>1.02759</v>
      </c>
      <c r="Z31" s="136">
        <f ca="1"/>
        <v>1.02759</v>
      </c>
      <c r="AA31" s="137">
        <f ca="1"/>
        <v>0</v>
      </c>
      <c r="AB31" s="138">
        <f ca="1"/>
        <v>9</v>
      </c>
      <c r="AC31" s="103" t="str">
        <f ca="1"/>
        <v>VIGENTE</v>
      </c>
      <c r="AD31" s="150">
        <f ca="1"/>
        <v>0</v>
      </c>
    </row>
    <row r="32" spans="1:30">
      <c r="A32" s="111" t="str">
        <f ca="1"/>
        <v>MACHACHI</v>
      </c>
      <c r="B32" s="111" t="str">
        <f ca="1"/>
        <v>BEBIDAS LACTEAS</v>
      </c>
      <c r="C32" s="111" t="str">
        <f ca="1"/>
        <v xml:space="preserve">Luis Armendariz                         </v>
      </c>
      <c r="D32" s="111" t="str">
        <f ca="1"/>
        <v>YOGURT KIOSKO</v>
      </c>
      <c r="E32" s="111" t="str">
        <f ca="1"/>
        <v>BEBIDA DE YOGURT KIOSKO BOTELLA FAMILIAR</v>
      </c>
      <c r="F32" s="111" t="str">
        <f ca="1"/>
        <v>GUAYAQUIL</v>
      </c>
      <c r="G32" s="111">
        <f ca="1"/>
        <v>7711</v>
      </c>
      <c r="H32" s="111">
        <f ca="1"/>
        <v>1001</v>
      </c>
      <c r="I32" s="112" t="str">
        <f ca="1"/>
        <v>11109</v>
      </c>
      <c r="J32" s="113" t="str">
        <f ca="1"/>
        <v>YOG BBLE KIOSKO MOR BOT 950G</v>
      </c>
      <c r="K32" s="114">
        <f ca="1"/>
        <v>18</v>
      </c>
      <c r="L32" s="115">
        <f ca="1"/>
        <v>1</v>
      </c>
      <c r="M32" s="116">
        <f ca="1"/>
        <v>0.95</v>
      </c>
      <c r="N32" s="117">
        <f ca="1"/>
        <v>45</v>
      </c>
      <c r="O32" s="118">
        <f ca="1"/>
        <v>45616</v>
      </c>
      <c r="P32" s="119" t="str">
        <f ca="1"/>
        <v>miércoles</v>
      </c>
      <c r="Q32" s="118">
        <f ca="1"/>
        <v>45611</v>
      </c>
      <c r="R32" s="118">
        <f ca="1"/>
        <v>45655</v>
      </c>
      <c r="S32" s="90">
        <f ca="1"/>
        <v>31</v>
      </c>
      <c r="T32" s="130">
        <f ca="1"/>
        <v>0.68888888888888888</v>
      </c>
      <c r="U32" s="131">
        <f ca="1"/>
        <v>18</v>
      </c>
      <c r="V32" s="132">
        <f ca="1"/>
        <v>17.099999999999998</v>
      </c>
      <c r="W32" s="133">
        <f ca="1"/>
        <v>5</v>
      </c>
      <c r="X32" s="134">
        <f ca="1"/>
        <v>0.88888888888888884</v>
      </c>
      <c r="Y32" s="135">
        <f ca="1"/>
        <v>1.02759</v>
      </c>
      <c r="Z32" s="136">
        <f ca="1"/>
        <v>1.02759</v>
      </c>
      <c r="AA32" s="137">
        <f ca="1"/>
        <v>17.571788999999999</v>
      </c>
      <c r="AB32" s="138">
        <f ca="1"/>
        <v>8</v>
      </c>
      <c r="AC32" s="103" t="str">
        <f ca="1"/>
        <v>VIGENTE</v>
      </c>
      <c r="AD32" s="150">
        <f ca="1"/>
        <v>1.7099999999999997E-2</v>
      </c>
    </row>
    <row r="33" spans="1:30">
      <c r="A33" s="111" t="str">
        <f ca="1"/>
        <v>MACHACHI</v>
      </c>
      <c r="B33" s="111" t="str">
        <f ca="1"/>
        <v>BEBIDAS LACTEAS</v>
      </c>
      <c r="C33" s="111" t="str">
        <f ca="1"/>
        <v xml:space="preserve">Luis Armendariz                         </v>
      </c>
      <c r="D33" s="111" t="str">
        <f ca="1"/>
        <v>YOGURT KIOSKO</v>
      </c>
      <c r="E33" s="111" t="str">
        <f ca="1"/>
        <v>BEBIDA DE YOGURT KIOSKO BOTELLA FAMILIAR</v>
      </c>
      <c r="F33" s="111" t="str">
        <f ca="1"/>
        <v>GUAYAQUIL</v>
      </c>
      <c r="G33" s="111">
        <f ca="1"/>
        <v>7711</v>
      </c>
      <c r="H33" s="111">
        <f ca="1"/>
        <v>1001</v>
      </c>
      <c r="I33" s="112" t="str">
        <f ca="1"/>
        <v>11109</v>
      </c>
      <c r="J33" s="113" t="str">
        <f ca="1"/>
        <v>YOG BBLE KIOSKO MOR BOT 950G</v>
      </c>
      <c r="K33" s="114">
        <f ca="1"/>
        <v>18</v>
      </c>
      <c r="L33" s="115">
        <f ca="1"/>
        <v>1</v>
      </c>
      <c r="M33" s="116">
        <f ca="1"/>
        <v>0.95</v>
      </c>
      <c r="N33" s="117">
        <f ca="1"/>
        <v>45</v>
      </c>
      <c r="O33" s="118">
        <f ca="1"/>
        <v>45617</v>
      </c>
      <c r="P33" s="119" t="str">
        <f ca="1"/>
        <v>jueves</v>
      </c>
      <c r="Q33" s="118">
        <f ca="1"/>
        <v>45611</v>
      </c>
      <c r="R33" s="118">
        <f ca="1"/>
        <v>45655</v>
      </c>
      <c r="S33" s="90">
        <f ca="1"/>
        <v>31</v>
      </c>
      <c r="T33" s="130">
        <f ca="1"/>
        <v>0.68888888888888888</v>
      </c>
      <c r="U33" s="131">
        <f ca="1"/>
        <v>18</v>
      </c>
      <c r="V33" s="132">
        <f ca="1"/>
        <v>17.099999999999998</v>
      </c>
      <c r="W33" s="133">
        <f ca="1"/>
        <v>6</v>
      </c>
      <c r="X33" s="134">
        <f ca="1"/>
        <v>0.8666666666666667</v>
      </c>
      <c r="Y33" s="135">
        <f ca="1"/>
        <v>1.02759</v>
      </c>
      <c r="Z33" s="136">
        <f ca="1"/>
        <v>1.02759</v>
      </c>
      <c r="AA33" s="137">
        <f ca="1"/>
        <v>17.571788999999999</v>
      </c>
      <c r="AB33" s="138">
        <f ca="1"/>
        <v>7</v>
      </c>
      <c r="AC33" s="103" t="str">
        <f ca="1"/>
        <v>VIGENTE</v>
      </c>
      <c r="AD33" s="150">
        <f ca="1"/>
        <v>1.7099999999999997E-2</v>
      </c>
    </row>
    <row r="34" spans="1:30">
      <c r="A34" s="111" t="str">
        <f ca="1"/>
        <v>MACHACHI</v>
      </c>
      <c r="B34" s="111" t="str">
        <f ca="1"/>
        <v>BEBIDAS LACTEAS</v>
      </c>
      <c r="C34" s="111" t="str">
        <f ca="1"/>
        <v xml:space="preserve">Luis Armendariz                         </v>
      </c>
      <c r="D34" s="111" t="str">
        <f ca="1"/>
        <v>YOGURT KIOSKO</v>
      </c>
      <c r="E34" s="111" t="str">
        <f ca="1"/>
        <v>BEBIDA DE YOGURT KIOSKO BOTELLA PERSONAL</v>
      </c>
      <c r="F34" s="120" t="str">
        <f ca="1"/>
        <v>GUAYAQUIL</v>
      </c>
      <c r="G34" s="120">
        <f ca="1"/>
        <v>7711</v>
      </c>
      <c r="H34" s="120">
        <f ca="1"/>
        <v>1001</v>
      </c>
      <c r="I34" s="120" t="str">
        <f ca="1"/>
        <v>11175</v>
      </c>
      <c r="J34" s="120" t="str">
        <f ca="1"/>
        <v>YOG BBLE KID KK FTLLA BOT 180G</v>
      </c>
      <c r="K34" s="121">
        <f ca="1"/>
        <v>756</v>
      </c>
      <c r="L34" s="122">
        <f ca="1"/>
        <v>1</v>
      </c>
      <c r="M34" s="120">
        <f ca="1"/>
        <v>0.18</v>
      </c>
      <c r="N34" s="121">
        <f ca="1"/>
        <v>45</v>
      </c>
      <c r="O34" s="123">
        <f ca="1"/>
        <v>45605</v>
      </c>
      <c r="P34" s="123" t="str">
        <f ca="1"/>
        <v>sábado</v>
      </c>
      <c r="Q34" s="124">
        <f ca="1"/>
        <v>45596</v>
      </c>
      <c r="R34" s="124">
        <f ca="1"/>
        <v>45640</v>
      </c>
      <c r="S34" s="90">
        <f ca="1"/>
        <v>16</v>
      </c>
      <c r="T34" s="139">
        <f ca="1"/>
        <v>0.35555555555555557</v>
      </c>
      <c r="U34" s="131">
        <f ca="1"/>
        <v>2</v>
      </c>
      <c r="V34" s="120">
        <f ca="1"/>
        <v>0.36</v>
      </c>
      <c r="W34" s="140">
        <f ca="1"/>
        <v>9</v>
      </c>
      <c r="X34" s="139">
        <f ca="1"/>
        <v>0.8</v>
      </c>
      <c r="Y34" s="141">
        <f ca="1"/>
        <v>0.323905</v>
      </c>
      <c r="Z34" s="141">
        <f ca="1"/>
        <v>0.323905</v>
      </c>
      <c r="AA34" s="142">
        <f ca="1"/>
        <v>0.1166058</v>
      </c>
      <c r="AB34" s="138">
        <f ca="1"/>
        <v>19</v>
      </c>
      <c r="AC34" s="103" t="str">
        <f ca="1"/>
        <v>FECHA CORTA</v>
      </c>
      <c r="AD34" s="150">
        <f ca="1"/>
        <v>3.5999999999999997E-4</v>
      </c>
    </row>
    <row r="35" spans="1:30">
      <c r="A35" s="111" t="str">
        <f ca="1"/>
        <v>MACHACHI</v>
      </c>
      <c r="B35" s="111" t="str">
        <f ca="1"/>
        <v>BEBIDAS LACTEAS</v>
      </c>
      <c r="C35" s="111" t="str">
        <f ca="1"/>
        <v xml:space="preserve">Luis Armendariz                         </v>
      </c>
      <c r="D35" s="111" t="str">
        <f ca="1"/>
        <v>YOGURT KIOSKO</v>
      </c>
      <c r="E35" s="111" t="str">
        <f ca="1"/>
        <v>BEBIDA DE YOGURT KIOSKO BOTELLA PERSONAL</v>
      </c>
      <c r="F35" s="120" t="str">
        <f ca="1"/>
        <v>GUAYAQUIL</v>
      </c>
      <c r="G35" s="120">
        <f ca="1"/>
        <v>7711</v>
      </c>
      <c r="H35" s="120">
        <f ca="1"/>
        <v>1001</v>
      </c>
      <c r="I35" s="120" t="str">
        <f ca="1"/>
        <v>11175</v>
      </c>
      <c r="J35" s="120" t="str">
        <f ca="1"/>
        <v>YOG BBLE KID KK FTLLA BOT 180G</v>
      </c>
      <c r="K35" s="121">
        <f ca="1"/>
        <v>1296</v>
      </c>
      <c r="L35" s="122">
        <f ca="1"/>
        <v>1</v>
      </c>
      <c r="M35" s="120">
        <f ca="1"/>
        <v>0.18</v>
      </c>
      <c r="N35" s="121">
        <f ca="1"/>
        <v>45</v>
      </c>
      <c r="O35" s="123">
        <f ca="1"/>
        <v>45608</v>
      </c>
      <c r="P35" s="123" t="str">
        <f ca="1"/>
        <v>martes</v>
      </c>
      <c r="Q35" s="124">
        <f ca="1"/>
        <v>45602</v>
      </c>
      <c r="R35" s="124">
        <f ca="1"/>
        <v>45646</v>
      </c>
      <c r="S35" s="90">
        <f ca="1"/>
        <v>22</v>
      </c>
      <c r="T35" s="139">
        <f ca="1"/>
        <v>0.48888888888888887</v>
      </c>
      <c r="U35" s="131">
        <f ca="1"/>
        <v>3</v>
      </c>
      <c r="V35" s="120">
        <f ca="1"/>
        <v>0.54</v>
      </c>
      <c r="W35" s="140">
        <f ca="1"/>
        <v>6</v>
      </c>
      <c r="X35" s="139">
        <f ca="1"/>
        <v>0.8666666666666667</v>
      </c>
      <c r="Y35" s="141">
        <f ca="1"/>
        <v>0.323905</v>
      </c>
      <c r="Z35" s="141">
        <f ca="1"/>
        <v>0.323905</v>
      </c>
      <c r="AA35" s="142">
        <f ca="1"/>
        <v>0.1749087</v>
      </c>
      <c r="AB35" s="138">
        <f ca="1"/>
        <v>16</v>
      </c>
      <c r="AC35" s="103" t="str">
        <f ca="1"/>
        <v>PROXIMOS FECHA CORTA</v>
      </c>
      <c r="AD35" s="150">
        <f ca="1"/>
        <v>5.4000000000000001E-4</v>
      </c>
    </row>
    <row r="36" spans="1:30">
      <c r="A36" s="111" t="str">
        <f ca="1"/>
        <v>MACHACHI</v>
      </c>
      <c r="B36" s="111" t="str">
        <f ca="1"/>
        <v>BEBIDAS LACTEAS</v>
      </c>
      <c r="C36" s="111" t="str">
        <f ca="1"/>
        <v xml:space="preserve">Luis Armendariz                         </v>
      </c>
      <c r="D36" s="111" t="str">
        <f ca="1"/>
        <v>YOGURT KIOSKO</v>
      </c>
      <c r="E36" s="111" t="str">
        <f ca="1"/>
        <v>BEBIDA DE YOGURT KIOSKO BOTELLA PERSONAL</v>
      </c>
      <c r="F36" s="120" t="str">
        <f ca="1"/>
        <v>GUAYAQUIL</v>
      </c>
      <c r="G36" s="120">
        <f ca="1"/>
        <v>7711</v>
      </c>
      <c r="H36" s="120">
        <f ca="1"/>
        <v>1001</v>
      </c>
      <c r="I36" s="120" t="str">
        <f ca="1"/>
        <v>11175</v>
      </c>
      <c r="J36" s="120" t="str">
        <f ca="1"/>
        <v>YOG BBLE KID KK FTLLA BOT 180G</v>
      </c>
      <c r="K36" s="121">
        <f ca="1"/>
        <v>432</v>
      </c>
      <c r="L36" s="122">
        <f ca="1"/>
        <v>1</v>
      </c>
      <c r="M36" s="120">
        <f ca="1"/>
        <v>0.18</v>
      </c>
      <c r="N36" s="121">
        <f ca="1"/>
        <v>45</v>
      </c>
      <c r="O36" s="123">
        <f ca="1"/>
        <v>45612</v>
      </c>
      <c r="P36" s="123" t="str">
        <f ca="1"/>
        <v>sábado</v>
      </c>
      <c r="Q36" s="124">
        <f ca="1"/>
        <v>45609</v>
      </c>
      <c r="R36" s="124">
        <f ca="1"/>
        <v>45653</v>
      </c>
      <c r="S36" s="90">
        <f ca="1"/>
        <v>29</v>
      </c>
      <c r="T36" s="139">
        <f ca="1"/>
        <v>0.64444444444444449</v>
      </c>
      <c r="U36" s="131">
        <f ca="1"/>
        <v>432</v>
      </c>
      <c r="V36" s="120">
        <f ca="1"/>
        <v>77.759999999999991</v>
      </c>
      <c r="W36" s="140">
        <f ca="1"/>
        <v>3</v>
      </c>
      <c r="X36" s="139">
        <f ca="1"/>
        <v>0.93333333333333335</v>
      </c>
      <c r="Y36" s="141">
        <f ca="1"/>
        <v>0.323905</v>
      </c>
      <c r="Z36" s="141">
        <f ca="1"/>
        <v>0.323905</v>
      </c>
      <c r="AA36" s="142">
        <f ca="1"/>
        <v>25.186852799999997</v>
      </c>
      <c r="AB36" s="138">
        <f ca="1"/>
        <v>12</v>
      </c>
      <c r="AC36" s="103" t="str">
        <f ca="1"/>
        <v>VIGENTE</v>
      </c>
      <c r="AD36" s="150">
        <f ca="1"/>
        <v>7.7759999999999996E-2</v>
      </c>
    </row>
    <row r="37" spans="1:30">
      <c r="A37" s="111" t="str">
        <f ca="1"/>
        <v>MACHACHI</v>
      </c>
      <c r="B37" s="111" t="str">
        <f ca="1"/>
        <v>BEBIDAS LACTEAS</v>
      </c>
      <c r="C37" s="111" t="str">
        <f ca="1"/>
        <v xml:space="preserve">Luis Armendariz                         </v>
      </c>
      <c r="D37" s="111" t="str">
        <f ca="1"/>
        <v>YOGURT KIOSKO</v>
      </c>
      <c r="E37" s="111" t="str">
        <f ca="1"/>
        <v>BEBIDA DE YOGURT KIOSKO BOTELLA PERSONAL</v>
      </c>
      <c r="F37" s="120" t="str">
        <f ca="1"/>
        <v>GUAYAQUIL</v>
      </c>
      <c r="G37" s="120">
        <f ca="1"/>
        <v>7711</v>
      </c>
      <c r="H37" s="120">
        <f ca="1"/>
        <v>1001</v>
      </c>
      <c r="I37" s="120" t="str">
        <f ca="1"/>
        <v>11175</v>
      </c>
      <c r="J37" s="120" t="str">
        <f ca="1"/>
        <v>YOG BBLE KID KK FTLLA BOT 180G</v>
      </c>
      <c r="K37" s="121">
        <f ca="1"/>
        <v>540</v>
      </c>
      <c r="L37" s="122">
        <f ca="1"/>
        <v>1</v>
      </c>
      <c r="M37" s="120">
        <f ca="1"/>
        <v>0.18</v>
      </c>
      <c r="N37" s="121">
        <f ca="1"/>
        <v>45</v>
      </c>
      <c r="O37" s="123">
        <f ca="1"/>
        <v>45611</v>
      </c>
      <c r="P37" s="123" t="str">
        <f ca="1"/>
        <v>viernes</v>
      </c>
      <c r="Q37" s="124">
        <f ca="1"/>
        <v>45609</v>
      </c>
      <c r="R37" s="124">
        <f ca="1"/>
        <v>45653</v>
      </c>
      <c r="S37" s="90">
        <f ca="1"/>
        <v>29</v>
      </c>
      <c r="T37" s="139">
        <f ca="1"/>
        <v>0.64444444444444449</v>
      </c>
      <c r="U37" s="131">
        <f ca="1"/>
        <v>280</v>
      </c>
      <c r="V37" s="120">
        <f ca="1"/>
        <v>50.4</v>
      </c>
      <c r="W37" s="140">
        <f ca="1"/>
        <v>2</v>
      </c>
      <c r="X37" s="139">
        <f ca="1"/>
        <v>0.9555555555555556</v>
      </c>
      <c r="Y37" s="141">
        <f ca="1"/>
        <v>0.323905</v>
      </c>
      <c r="Z37" s="141">
        <f ca="1"/>
        <v>0.323905</v>
      </c>
      <c r="AA37" s="142">
        <f ca="1"/>
        <v>16.324811999999998</v>
      </c>
      <c r="AB37" s="138">
        <f ca="1"/>
        <v>13</v>
      </c>
      <c r="AC37" s="103" t="str">
        <f ca="1"/>
        <v>VIGENTE</v>
      </c>
      <c r="AD37" s="150">
        <f ca="1"/>
        <v>5.04E-2</v>
      </c>
    </row>
    <row r="38" spans="1:30">
      <c r="A38" s="111" t="str">
        <f ca="1"/>
        <v>MACHACHI</v>
      </c>
      <c r="B38" s="111" t="str">
        <f ca="1"/>
        <v>BEBIDAS LACTEAS</v>
      </c>
      <c r="C38" s="111" t="str">
        <f ca="1"/>
        <v xml:space="preserve">Luis Armendariz                         </v>
      </c>
      <c r="D38" s="111" t="str">
        <f ca="1"/>
        <v>YOGURT KIOSKO</v>
      </c>
      <c r="E38" s="111" t="str">
        <f ca="1"/>
        <v>BEBIDA DE YOGURT KIOSKO BOTELLA PERSONAL</v>
      </c>
      <c r="F38" s="120" t="str">
        <f ca="1"/>
        <v>GUAYAQUIL</v>
      </c>
      <c r="G38" s="120">
        <f ca="1"/>
        <v>7711</v>
      </c>
      <c r="H38" s="120">
        <f ca="1"/>
        <v>1001</v>
      </c>
      <c r="I38" s="120" t="str">
        <f ca="1"/>
        <v>11175</v>
      </c>
      <c r="J38" s="120" t="str">
        <f ca="1"/>
        <v>YOG BBLE KID KK FTLLA BOT 180G</v>
      </c>
      <c r="K38" s="121">
        <f ca="1"/>
        <v>0</v>
      </c>
      <c r="L38" s="122">
        <f ca="1"/>
        <v>1</v>
      </c>
      <c r="M38" s="120">
        <f ca="1"/>
        <v>0.18</v>
      </c>
      <c r="N38" s="121">
        <f ca="1"/>
        <v>45</v>
      </c>
      <c r="O38" s="123">
        <f ca="1"/>
        <v>45627</v>
      </c>
      <c r="P38" s="123" t="str">
        <f ca="1"/>
        <v>domingo</v>
      </c>
      <c r="Q38" s="124">
        <f ca="1"/>
        <v>45627</v>
      </c>
      <c r="R38" s="124">
        <f ca="1"/>
        <v>45671</v>
      </c>
      <c r="S38" s="90">
        <f ca="1"/>
        <v>47</v>
      </c>
      <c r="T38" s="139">
        <f ca="1"/>
        <v>1.0444444444444445</v>
      </c>
      <c r="U38" s="131">
        <f ca="1"/>
        <v>5</v>
      </c>
      <c r="V38" s="120">
        <f ca="1"/>
        <v>0.89999999999999991</v>
      </c>
      <c r="W38" s="140">
        <f ca="1"/>
        <v>0</v>
      </c>
      <c r="X38" s="139">
        <f ca="1"/>
        <v>1</v>
      </c>
      <c r="Y38" s="141">
        <f ca="1"/>
        <v>0.323905</v>
      </c>
      <c r="Z38" s="141">
        <f ca="1"/>
        <v>0.323905</v>
      </c>
      <c r="AA38" s="142">
        <f ca="1"/>
        <v>0.29151449999999995</v>
      </c>
      <c r="AB38" s="138">
        <f ca="1"/>
        <v>-3</v>
      </c>
      <c r="AC38" s="103" t="str">
        <f ca="1"/>
        <v>VIGENTE</v>
      </c>
      <c r="AD38" s="150">
        <f ca="1"/>
        <v>8.9999999999999987E-4</v>
      </c>
    </row>
    <row r="39" spans="1:30">
      <c r="A39" s="111" t="str">
        <f ca="1"/>
        <v>MACHACHI</v>
      </c>
      <c r="B39" s="111" t="str">
        <f ca="1"/>
        <v>BEBIDAS LACTEAS</v>
      </c>
      <c r="C39" s="111" t="str">
        <f ca="1"/>
        <v xml:space="preserve">Luis Armendariz                         </v>
      </c>
      <c r="D39" s="111" t="str">
        <f ca="1"/>
        <v>YOGURT KIOSKO</v>
      </c>
      <c r="E39" s="111" t="str">
        <f ca="1"/>
        <v>BEBIDA DE YOGURT KIOSKO BOTELLA PERSONAL</v>
      </c>
      <c r="F39" s="120" t="str">
        <f ca="1"/>
        <v>GUAYAQUIL</v>
      </c>
      <c r="G39" s="120">
        <f ca="1"/>
        <v>7711</v>
      </c>
      <c r="H39" s="120">
        <f ca="1"/>
        <v>1001</v>
      </c>
      <c r="I39" s="120" t="str">
        <f ca="1"/>
        <v>11175</v>
      </c>
      <c r="J39" s="120" t="str">
        <f ca="1"/>
        <v>YOG BBLE KID KK FTLLA BOT 180G</v>
      </c>
      <c r="K39" s="121">
        <f ca="1"/>
        <v>756</v>
      </c>
      <c r="L39" s="122">
        <f ca="1"/>
        <v>1</v>
      </c>
      <c r="M39" s="120">
        <f ca="1"/>
        <v>0.18</v>
      </c>
      <c r="N39" s="121">
        <f ca="1"/>
        <v>45</v>
      </c>
      <c r="O39" s="123">
        <f ca="1"/>
        <v>45615</v>
      </c>
      <c r="P39" s="123" t="str">
        <f ca="1"/>
        <v>martes</v>
      </c>
      <c r="Q39" s="124">
        <f ca="1"/>
        <v>45609</v>
      </c>
      <c r="R39" s="124">
        <f ca="1"/>
        <v>45653</v>
      </c>
      <c r="S39" s="90">
        <f ca="1"/>
        <v>29</v>
      </c>
      <c r="T39" s="139">
        <f ca="1"/>
        <v>0.64444444444444449</v>
      </c>
      <c r="U39" s="131">
        <f ca="1"/>
        <v>756</v>
      </c>
      <c r="V39" s="120">
        <f ca="1"/>
        <v>136.07999999999998</v>
      </c>
      <c r="W39" s="140">
        <f ca="1"/>
        <v>6</v>
      </c>
      <c r="X39" s="139">
        <f ca="1"/>
        <v>0.8666666666666667</v>
      </c>
      <c r="Y39" s="141">
        <f ca="1"/>
        <v>0.323905</v>
      </c>
      <c r="Z39" s="141">
        <f ca="1"/>
        <v>0.323905</v>
      </c>
      <c r="AA39" s="142">
        <f ca="1"/>
        <v>44.076992399999995</v>
      </c>
      <c r="AB39" s="138">
        <f ca="1"/>
        <v>9</v>
      </c>
      <c r="AC39" s="103" t="str">
        <f ca="1"/>
        <v>VIGENTE</v>
      </c>
      <c r="AD39" s="150">
        <f ca="1"/>
        <v>0.13607999999999998</v>
      </c>
    </row>
    <row r="40" spans="1:30">
      <c r="A40" s="111" t="str">
        <f ca="1"/>
        <v>MACHACHI</v>
      </c>
      <c r="B40" s="111" t="str">
        <f ca="1"/>
        <v>BEBIDAS LACTEAS</v>
      </c>
      <c r="C40" s="111" t="str">
        <f ca="1"/>
        <v xml:space="preserve">Luis Armendariz                         </v>
      </c>
      <c r="D40" s="111" t="str">
        <f ca="1"/>
        <v>YOGURT KIOSKO</v>
      </c>
      <c r="E40" s="111" t="str">
        <f ca="1"/>
        <v>BEBIDA DE YOGURT KIOSKO BOTELLA PERSONAL</v>
      </c>
      <c r="F40" s="120" t="str">
        <f ca="1"/>
        <v>GUAYAQUIL</v>
      </c>
      <c r="G40" s="120">
        <f ca="1"/>
        <v>7711</v>
      </c>
      <c r="H40" s="120">
        <f ca="1"/>
        <v>1001</v>
      </c>
      <c r="I40" s="120" t="str">
        <f ca="1"/>
        <v>11175</v>
      </c>
      <c r="J40" s="120" t="str">
        <f ca="1"/>
        <v>YOG BBLE KID KK FTLLA BOT 180G</v>
      </c>
      <c r="K40" s="121">
        <f ca="1"/>
        <v>864</v>
      </c>
      <c r="L40" s="122">
        <f ca="1"/>
        <v>1</v>
      </c>
      <c r="M40" s="120">
        <f ca="1"/>
        <v>0.18</v>
      </c>
      <c r="N40" s="121">
        <f ca="1"/>
        <v>45</v>
      </c>
      <c r="O40" s="123">
        <f ca="1"/>
        <v>45617</v>
      </c>
      <c r="P40" s="123" t="str">
        <f ca="1"/>
        <v>jueves</v>
      </c>
      <c r="Q40" s="124">
        <f ca="1"/>
        <v>45611</v>
      </c>
      <c r="R40" s="124">
        <f ca="1"/>
        <v>45655</v>
      </c>
      <c r="S40" s="90">
        <f ca="1"/>
        <v>31</v>
      </c>
      <c r="T40" s="139">
        <f ca="1"/>
        <v>0.68888888888888888</v>
      </c>
      <c r="U40" s="131">
        <f ca="1"/>
        <v>432</v>
      </c>
      <c r="V40" s="120">
        <f ca="1"/>
        <v>77.759999999999991</v>
      </c>
      <c r="W40" s="140">
        <f ca="1"/>
        <v>6</v>
      </c>
      <c r="X40" s="139">
        <f ca="1"/>
        <v>0.8666666666666667</v>
      </c>
      <c r="Y40" s="141">
        <f ca="1"/>
        <v>0.323905</v>
      </c>
      <c r="Z40" s="141">
        <f ca="1"/>
        <v>0.323905</v>
      </c>
      <c r="AA40" s="142">
        <f ca="1"/>
        <v>25.186852799999997</v>
      </c>
      <c r="AB40" s="138">
        <f ca="1"/>
        <v>7</v>
      </c>
      <c r="AC40" s="103" t="str">
        <f ca="1"/>
        <v>VIGENTE</v>
      </c>
      <c r="AD40" s="150">
        <f ca="1"/>
        <v>7.7759999999999996E-2</v>
      </c>
    </row>
    <row r="41" spans="1:30">
      <c r="A41" s="111" t="str">
        <f ca="1"/>
        <v>MACHACHI</v>
      </c>
      <c r="B41" s="111" t="str">
        <f ca="1"/>
        <v>BEBIDAS LACTEAS</v>
      </c>
      <c r="C41" s="111" t="str">
        <f ca="1"/>
        <v xml:space="preserve">Luis Armendariz                         </v>
      </c>
      <c r="D41" s="111" t="str">
        <f ca="1"/>
        <v>YOGURT FINESSE</v>
      </c>
      <c r="E41" s="111" t="str">
        <f ca="1"/>
        <v>YOGURT FINESSE DESLACT BOTELLA FAMILIAR</v>
      </c>
      <c r="F41" s="120" t="str">
        <f ca="1"/>
        <v>GUAYAQUIL</v>
      </c>
      <c r="G41" s="120">
        <f ca="1"/>
        <v>7711</v>
      </c>
      <c r="H41" s="120">
        <f ca="1"/>
        <v>1001</v>
      </c>
      <c r="I41" s="120" t="str">
        <f ca="1"/>
        <v>11953</v>
      </c>
      <c r="J41" s="120" t="str">
        <f ca="1"/>
        <v>YOG FNSSE FRTROJ BOT 950G</v>
      </c>
      <c r="K41" s="121">
        <f ca="1"/>
        <v>576</v>
      </c>
      <c r="L41" s="122">
        <f ca="1"/>
        <v>1</v>
      </c>
      <c r="M41" s="120">
        <f ca="1"/>
        <v>0.95</v>
      </c>
      <c r="N41" s="121">
        <f ca="1"/>
        <v>45</v>
      </c>
      <c r="O41" s="123">
        <f ca="1"/>
        <v>45617</v>
      </c>
      <c r="P41" s="123" t="str">
        <f ca="1"/>
        <v>jueves</v>
      </c>
      <c r="Q41" s="124">
        <f ca="1"/>
        <v>45617</v>
      </c>
      <c r="R41" s="124">
        <f ca="1"/>
        <v>45661</v>
      </c>
      <c r="S41" s="90">
        <f ca="1"/>
        <v>37</v>
      </c>
      <c r="T41" s="139">
        <f ca="1"/>
        <v>0.82222222222222219</v>
      </c>
      <c r="U41" s="131">
        <f ca="1"/>
        <v>80</v>
      </c>
      <c r="V41" s="120">
        <f ca="1"/>
        <v>76</v>
      </c>
      <c r="W41" s="140">
        <f ca="1"/>
        <v>0</v>
      </c>
      <c r="X41" s="139">
        <f ca="1"/>
        <v>1</v>
      </c>
      <c r="Y41" s="141">
        <f ca="1"/>
        <v>1.38215</v>
      </c>
      <c r="Z41" s="141">
        <f ca="1"/>
        <v>1.38215</v>
      </c>
      <c r="AA41" s="142">
        <f ca="1"/>
        <v>105.04340000000001</v>
      </c>
      <c r="AB41" s="138">
        <f ca="1"/>
        <v>7</v>
      </c>
      <c r="AC41" s="103" t="str">
        <f ca="1"/>
        <v>VIGENTE</v>
      </c>
      <c r="AD41" s="150">
        <f ca="1"/>
        <v>7.5999999999999998E-2</v>
      </c>
    </row>
    <row r="42" spans="1:30">
      <c r="A42" s="111" t="str">
        <f ca="1"/>
        <v>SAN GABRIEL</v>
      </c>
      <c r="B42" s="111" t="str">
        <f ca="1"/>
        <v>QUESOS Y GRASAS</v>
      </c>
      <c r="C42" s="111" t="str">
        <f ca="1"/>
        <v xml:space="preserve">Esteban Montenegro                      </v>
      </c>
      <c r="D42" s="111" t="str">
        <f ca="1"/>
        <v>QUESO SEMIMADURO KIOSKO</v>
      </c>
      <c r="E42" s="111" t="str">
        <f ca="1"/>
        <v>QUESO SEMIMADURO CHEDDAR KIOSKO TAJADO</v>
      </c>
      <c r="F42" s="120" t="str">
        <f ca="1"/>
        <v>GUAYAQUIL</v>
      </c>
      <c r="G42" s="120">
        <f ca="1"/>
        <v>7711</v>
      </c>
      <c r="H42" s="120">
        <f ca="1"/>
        <v>1001</v>
      </c>
      <c r="I42" s="120" t="str">
        <f ca="1"/>
        <v>12036</v>
      </c>
      <c r="J42" s="120" t="str">
        <f ca="1"/>
        <v>Q CHED KIOSKO 10 LONJ 200G</v>
      </c>
      <c r="K42" s="121">
        <f ca="1"/>
        <v>112</v>
      </c>
      <c r="L42" s="122">
        <f ca="1"/>
        <v>1</v>
      </c>
      <c r="M42" s="120">
        <f ca="1"/>
        <v>0.2</v>
      </c>
      <c r="N42" s="121">
        <f ca="1"/>
        <v>90</v>
      </c>
      <c r="O42" s="123">
        <f ca="1"/>
        <v>45604</v>
      </c>
      <c r="P42" s="123" t="str">
        <f ca="1"/>
        <v>viernes</v>
      </c>
      <c r="Q42" s="124">
        <f ca="1"/>
        <v>45594</v>
      </c>
      <c r="R42" s="124">
        <f ca="1"/>
        <v>45683</v>
      </c>
      <c r="S42" s="90">
        <f ca="1"/>
        <v>59</v>
      </c>
      <c r="T42" s="139">
        <f ca="1"/>
        <v>0.65555555555555556</v>
      </c>
      <c r="U42" s="131">
        <f ca="1"/>
        <v>4</v>
      </c>
      <c r="V42" s="120">
        <f ca="1"/>
        <v>0.8</v>
      </c>
      <c r="W42" s="140">
        <f ca="1"/>
        <v>10</v>
      </c>
      <c r="X42" s="139">
        <f ca="1"/>
        <v>0.88888888888888884</v>
      </c>
      <c r="Y42" s="141">
        <f ca="1"/>
        <v>1.6998099999999998</v>
      </c>
      <c r="Z42" s="141">
        <f ca="1"/>
        <v>1.6998099999999998</v>
      </c>
      <c r="AA42" s="142">
        <f ca="1"/>
        <v>1.3598479999999999</v>
      </c>
      <c r="AB42" s="138">
        <f ca="1"/>
        <v>20</v>
      </c>
      <c r="AC42" s="103" t="str">
        <f ca="1"/>
        <v>VIGENTE</v>
      </c>
      <c r="AD42" s="150">
        <f ca="1"/>
        <v>8.0000000000000004E-4</v>
      </c>
    </row>
    <row r="43" spans="1:30">
      <c r="A43" s="111" t="str">
        <f ca="1"/>
        <v>SAN GABRIEL</v>
      </c>
      <c r="B43" s="111" t="str">
        <f ca="1"/>
        <v>QUESOS Y GRASAS</v>
      </c>
      <c r="C43" s="111" t="str">
        <f ca="1"/>
        <v xml:space="preserve">Esteban Montenegro                      </v>
      </c>
      <c r="D43" s="111" t="str">
        <f ca="1"/>
        <v>QUESO SEMIMADURO KIOSKO</v>
      </c>
      <c r="E43" s="111" t="str">
        <f ca="1"/>
        <v>QUESO SEMIMADURO CHEDDAR KIOSKO TAJADO</v>
      </c>
      <c r="F43" s="120" t="str">
        <f ca="1"/>
        <v>GUAYAQUIL</v>
      </c>
      <c r="G43" s="120">
        <f ca="1"/>
        <v>7711</v>
      </c>
      <c r="H43" s="120">
        <f ca="1"/>
        <v>1001</v>
      </c>
      <c r="I43" s="120" t="str">
        <f ca="1"/>
        <v>12036</v>
      </c>
      <c r="J43" s="120" t="str">
        <f ca="1"/>
        <v>Q CHED KIOSKO 10 LONJ 200G</v>
      </c>
      <c r="K43" s="121">
        <f ca="1"/>
        <v>128</v>
      </c>
      <c r="L43" s="122">
        <f ca="1"/>
        <v>1</v>
      </c>
      <c r="M43" s="120">
        <f ca="1"/>
        <v>0.2</v>
      </c>
      <c r="N43" s="121">
        <f ca="1"/>
        <v>90</v>
      </c>
      <c r="O43" s="123">
        <f ca="1"/>
        <v>45604</v>
      </c>
      <c r="P43" s="123" t="str">
        <f ca="1"/>
        <v>viernes</v>
      </c>
      <c r="Q43" s="124">
        <f ca="1"/>
        <v>45601</v>
      </c>
      <c r="R43" s="124">
        <f ca="1"/>
        <v>45690</v>
      </c>
      <c r="S43" s="90">
        <f ca="1"/>
        <v>66</v>
      </c>
      <c r="T43" s="139">
        <f ca="1"/>
        <v>0.73333333333333328</v>
      </c>
      <c r="U43" s="131">
        <f ca="1"/>
        <v>128</v>
      </c>
      <c r="V43" s="120">
        <f ca="1"/>
        <v>25.6</v>
      </c>
      <c r="W43" s="140">
        <f ca="1"/>
        <v>3</v>
      </c>
      <c r="X43" s="139">
        <f ca="1"/>
        <v>0.96666666666666667</v>
      </c>
      <c r="Y43" s="141">
        <f ca="1"/>
        <v>1.6998099999999998</v>
      </c>
      <c r="Z43" s="141">
        <f ca="1"/>
        <v>1.6998099999999998</v>
      </c>
      <c r="AA43" s="142">
        <f ca="1"/>
        <v>43.515135999999998</v>
      </c>
      <c r="AB43" s="138">
        <f ca="1"/>
        <v>20</v>
      </c>
      <c r="AC43" s="103" t="str">
        <f ca="1"/>
        <v>VIGENTE</v>
      </c>
      <c r="AD43" s="150">
        <f ca="1"/>
        <v>2.5600000000000001E-2</v>
      </c>
    </row>
    <row r="44" spans="1:30">
      <c r="A44" s="111" t="str">
        <f ca="1"/>
        <v>SAN GABRIEL</v>
      </c>
      <c r="B44" s="111" t="str">
        <f ca="1"/>
        <v>QUESOS Y GRASAS</v>
      </c>
      <c r="C44" s="111" t="str">
        <f ca="1"/>
        <v xml:space="preserve">Esteban Montenegro                      </v>
      </c>
      <c r="D44" s="111" t="str">
        <f ca="1"/>
        <v>QUESO SEMIMADURO KIOSKO</v>
      </c>
      <c r="E44" s="111" t="str">
        <f ca="1"/>
        <v>QUESO SEMIMADURO CHEDDAR KIOSKO TAJADO</v>
      </c>
      <c r="F44" s="120" t="str">
        <f ca="1"/>
        <v>GUAYAQUIL</v>
      </c>
      <c r="G44" s="120">
        <f ca="1"/>
        <v>7711</v>
      </c>
      <c r="H44" s="120">
        <f ca="1"/>
        <v>1001</v>
      </c>
      <c r="I44" s="120" t="str">
        <f ca="1"/>
        <v>12036</v>
      </c>
      <c r="J44" s="120" t="str">
        <f ca="1"/>
        <v>Q CHED KIOSKO 10 LONJ 200G</v>
      </c>
      <c r="K44" s="121">
        <f ca="1"/>
        <v>120</v>
      </c>
      <c r="L44" s="122">
        <f ca="1"/>
        <v>1</v>
      </c>
      <c r="M44" s="120">
        <f ca="1"/>
        <v>0.2</v>
      </c>
      <c r="N44" s="121">
        <f ca="1"/>
        <v>90</v>
      </c>
      <c r="O44" s="123">
        <f ca="1"/>
        <v>45608</v>
      </c>
      <c r="P44" s="123" t="str">
        <f ca="1"/>
        <v>martes</v>
      </c>
      <c r="Q44" s="124">
        <f ca="1"/>
        <v>45595</v>
      </c>
      <c r="R44" s="124">
        <f ca="1"/>
        <v>45684</v>
      </c>
      <c r="S44" s="90">
        <f ca="1"/>
        <v>60</v>
      </c>
      <c r="T44" s="139">
        <f ca="1"/>
        <v>0.66666666666666663</v>
      </c>
      <c r="U44" s="131">
        <f ca="1"/>
        <v>73</v>
      </c>
      <c r="V44" s="120">
        <f ca="1"/>
        <v>14.600000000000001</v>
      </c>
      <c r="W44" s="140">
        <f ca="1"/>
        <v>13</v>
      </c>
      <c r="X44" s="139">
        <f ca="1"/>
        <v>0.85555555555555562</v>
      </c>
      <c r="Y44" s="141">
        <f ca="1"/>
        <v>1.6998099999999998</v>
      </c>
      <c r="Z44" s="141">
        <f ca="1"/>
        <v>1.6998099999999998</v>
      </c>
      <c r="AA44" s="142">
        <f ca="1"/>
        <v>24.817226000000002</v>
      </c>
      <c r="AB44" s="138">
        <f ca="1"/>
        <v>16</v>
      </c>
      <c r="AC44" s="103" t="str">
        <f ca="1"/>
        <v>VIGENTE</v>
      </c>
      <c r="AD44" s="150">
        <f ca="1"/>
        <v>1.4600000000000002E-2</v>
      </c>
    </row>
    <row r="45" spans="1:30">
      <c r="A45" s="111" t="str">
        <f ca="1"/>
        <v>SAN GABRIEL</v>
      </c>
      <c r="B45" s="111" t="str">
        <f ca="1"/>
        <v>QUESOS Y GRASAS</v>
      </c>
      <c r="C45" s="111" t="str">
        <f ca="1"/>
        <v xml:space="preserve">Esteban Montenegro                      </v>
      </c>
      <c r="D45" s="111" t="str">
        <f ca="1"/>
        <v>QUESO SEMIMADURO KIOSKO</v>
      </c>
      <c r="E45" s="111" t="str">
        <f ca="1"/>
        <v>QUESO SEMIMADURO CHEDDAR KIOSKO TAJADO</v>
      </c>
      <c r="F45" s="120" t="str">
        <f ca="1"/>
        <v>GUAYAQUIL</v>
      </c>
      <c r="G45" s="120">
        <f ca="1"/>
        <v>7711</v>
      </c>
      <c r="H45" s="120">
        <f ca="1"/>
        <v>1001</v>
      </c>
      <c r="I45" s="120" t="str">
        <f ca="1"/>
        <v>12036</v>
      </c>
      <c r="J45" s="120" t="str">
        <f ca="1"/>
        <v>Q CHED KIOSKO 10 LONJ 200G</v>
      </c>
      <c r="K45" s="121">
        <f ca="1"/>
        <v>120</v>
      </c>
      <c r="L45" s="122">
        <f ca="1"/>
        <v>1</v>
      </c>
      <c r="M45" s="120">
        <f ca="1"/>
        <v>0.2</v>
      </c>
      <c r="N45" s="121">
        <f ca="1"/>
        <v>90</v>
      </c>
      <c r="O45" s="123">
        <f ca="1"/>
        <v>45609</v>
      </c>
      <c r="P45" s="123" t="str">
        <f ca="1"/>
        <v>miércoles</v>
      </c>
      <c r="Q45" s="124">
        <f ca="1"/>
        <v>45601</v>
      </c>
      <c r="R45" s="124">
        <f ca="1"/>
        <v>45690</v>
      </c>
      <c r="S45" s="90">
        <f ca="1"/>
        <v>66</v>
      </c>
      <c r="T45" s="139">
        <f ca="1"/>
        <v>0.73333333333333328</v>
      </c>
      <c r="U45" s="131">
        <f ca="1"/>
        <v>120</v>
      </c>
      <c r="V45" s="120">
        <f ca="1"/>
        <v>24</v>
      </c>
      <c r="W45" s="140">
        <f ca="1"/>
        <v>8</v>
      </c>
      <c r="X45" s="139">
        <f ca="1"/>
        <v>0.91111111111111109</v>
      </c>
      <c r="Y45" s="141">
        <f ca="1"/>
        <v>1.6998099999999998</v>
      </c>
      <c r="Z45" s="141">
        <f ca="1"/>
        <v>1.6998099999999998</v>
      </c>
      <c r="AA45" s="142">
        <f ca="1"/>
        <v>40.795439999999999</v>
      </c>
      <c r="AB45" s="138">
        <f ca="1"/>
        <v>15</v>
      </c>
      <c r="AC45" s="103" t="str">
        <f ca="1"/>
        <v>VIGENTE</v>
      </c>
      <c r="AD45" s="150">
        <f ca="1"/>
        <v>2.4E-2</v>
      </c>
    </row>
    <row r="46" spans="1:30">
      <c r="A46" s="111" t="str">
        <f ca="1"/>
        <v>SAN GABRIEL</v>
      </c>
      <c r="B46" s="111" t="str">
        <f ca="1"/>
        <v>QUESOS Y GRASAS</v>
      </c>
      <c r="C46" s="111" t="str">
        <f ca="1"/>
        <v xml:space="preserve">Esteban Montenegro                      </v>
      </c>
      <c r="D46" s="111" t="str">
        <f ca="1"/>
        <v>QUESO SEMIMADURO KIOSKO</v>
      </c>
      <c r="E46" s="111" t="str">
        <f ca="1"/>
        <v>QUESO SEMIMADURO CHEDDAR KIOSKO TAJADO</v>
      </c>
      <c r="F46" s="120" t="str">
        <f ca="1"/>
        <v>GUAYAQUIL</v>
      </c>
      <c r="G46" s="120">
        <f ca="1"/>
        <v>7711</v>
      </c>
      <c r="H46" s="120">
        <f ca="1"/>
        <v>1001</v>
      </c>
      <c r="I46" s="120" t="str">
        <f ca="1"/>
        <v>12036</v>
      </c>
      <c r="J46" s="120" t="str">
        <f ca="1"/>
        <v>Q CHED KIOSKO 10 LONJ 200G</v>
      </c>
      <c r="K46" s="121">
        <f ca="1"/>
        <v>120</v>
      </c>
      <c r="L46" s="122">
        <f ca="1"/>
        <v>1</v>
      </c>
      <c r="M46" s="120">
        <f ca="1"/>
        <v>0.2</v>
      </c>
      <c r="N46" s="121">
        <f ca="1"/>
        <v>90</v>
      </c>
      <c r="O46" s="123">
        <f ca="1"/>
        <v>45611</v>
      </c>
      <c r="P46" s="123" t="str">
        <f ca="1"/>
        <v>viernes</v>
      </c>
      <c r="Q46" s="124">
        <f ca="1"/>
        <v>45604</v>
      </c>
      <c r="R46" s="124">
        <f ca="1"/>
        <v>45693</v>
      </c>
      <c r="S46" s="90">
        <f ca="1"/>
        <v>69</v>
      </c>
      <c r="T46" s="139">
        <f ca="1"/>
        <v>0.76666666666666672</v>
      </c>
      <c r="U46" s="131">
        <f ca="1"/>
        <v>120</v>
      </c>
      <c r="V46" s="120">
        <f ca="1"/>
        <v>24</v>
      </c>
      <c r="W46" s="140">
        <f ca="1"/>
        <v>7</v>
      </c>
      <c r="X46" s="139">
        <f ca="1"/>
        <v>0.92222222222222228</v>
      </c>
      <c r="Y46" s="141">
        <f ca="1"/>
        <v>1.6998099999999998</v>
      </c>
      <c r="Z46" s="141">
        <f ca="1"/>
        <v>1.6998099999999998</v>
      </c>
      <c r="AA46" s="142">
        <f ca="1"/>
        <v>40.795439999999999</v>
      </c>
      <c r="AB46" s="138">
        <f ca="1"/>
        <v>13</v>
      </c>
      <c r="AC46" s="103" t="str">
        <f ca="1"/>
        <v>VIGENTE</v>
      </c>
      <c r="AD46" s="150">
        <f ca="1"/>
        <v>2.4E-2</v>
      </c>
    </row>
    <row r="47" spans="1:30">
      <c r="A47" s="111" t="str">
        <f ca="1"/>
        <v>SAN GABRIEL</v>
      </c>
      <c r="B47" s="111" t="str">
        <f ca="1"/>
        <v>QUESOS Y GRASAS</v>
      </c>
      <c r="C47" s="111" t="str">
        <f ca="1"/>
        <v xml:space="preserve">Esteban Montenegro                      </v>
      </c>
      <c r="D47" s="111" t="str">
        <f ca="1"/>
        <v>QUESO SEMIMADURO KIOSKO</v>
      </c>
      <c r="E47" s="111" t="str">
        <f ca="1"/>
        <v>QUESO SEMIMADURO CHEDDAR KIOSKO TAJADO</v>
      </c>
      <c r="F47" s="120" t="str">
        <f ca="1"/>
        <v>GUAYAQUIL</v>
      </c>
      <c r="G47" s="120">
        <f ca="1"/>
        <v>7711</v>
      </c>
      <c r="H47" s="120">
        <f ca="1"/>
        <v>1001</v>
      </c>
      <c r="I47" s="120" t="str">
        <f ca="1"/>
        <v>12036</v>
      </c>
      <c r="J47" s="120" t="str">
        <f ca="1"/>
        <v>Q CHED KIOSKO 10 LONJ 200G</v>
      </c>
      <c r="K47" s="121">
        <f ca="1"/>
        <v>120</v>
      </c>
      <c r="L47" s="122">
        <f ca="1"/>
        <v>1</v>
      </c>
      <c r="M47" s="120">
        <f ca="1"/>
        <v>0.2</v>
      </c>
      <c r="N47" s="121">
        <f ca="1"/>
        <v>90</v>
      </c>
      <c r="O47" s="123">
        <f ca="1"/>
        <v>45610</v>
      </c>
      <c r="P47" s="123" t="str">
        <f ca="1"/>
        <v>jueves</v>
      </c>
      <c r="Q47" s="124">
        <f ca="1"/>
        <v>45601</v>
      </c>
      <c r="R47" s="124">
        <f ca="1"/>
        <v>45690</v>
      </c>
      <c r="S47" s="90">
        <f ca="1"/>
        <v>66</v>
      </c>
      <c r="T47" s="139">
        <f ca="1"/>
        <v>0.73333333333333328</v>
      </c>
      <c r="U47" s="131">
        <f ca="1"/>
        <v>120</v>
      </c>
      <c r="V47" s="120">
        <f ca="1"/>
        <v>24</v>
      </c>
      <c r="W47" s="140">
        <f ca="1"/>
        <v>9</v>
      </c>
      <c r="X47" s="139">
        <f ca="1"/>
        <v>0.9</v>
      </c>
      <c r="Y47" s="141">
        <f ca="1"/>
        <v>1.6998099999999998</v>
      </c>
      <c r="Z47" s="141">
        <f ca="1"/>
        <v>1.6998099999999998</v>
      </c>
      <c r="AA47" s="142">
        <f ca="1"/>
        <v>40.795439999999999</v>
      </c>
      <c r="AB47" s="138">
        <f ca="1"/>
        <v>14</v>
      </c>
      <c r="AC47" s="103" t="str">
        <f ca="1"/>
        <v>VIGENTE</v>
      </c>
      <c r="AD47" s="150">
        <f ca="1"/>
        <v>2.4E-2</v>
      </c>
    </row>
    <row r="48" spans="1:30">
      <c r="A48" s="111" t="str">
        <f ca="1"/>
        <v>SAN GABRIEL</v>
      </c>
      <c r="B48" s="111" t="str">
        <f ca="1"/>
        <v>QUESOS Y GRASAS</v>
      </c>
      <c r="C48" s="111" t="str">
        <f ca="1"/>
        <v xml:space="preserve">Esteban Montenegro                      </v>
      </c>
      <c r="D48" s="111" t="str">
        <f ca="1"/>
        <v>QUESO SEMIMADURO KIOSKO</v>
      </c>
      <c r="E48" s="111" t="str">
        <f ca="1"/>
        <v>QUESO SEMIMADURO CHEDDAR KIOSKO TAJADO</v>
      </c>
      <c r="F48" s="120" t="str">
        <f ca="1"/>
        <v>GUAYAQUIL</v>
      </c>
      <c r="G48" s="120">
        <f ca="1"/>
        <v>7711</v>
      </c>
      <c r="H48" s="120">
        <f ca="1"/>
        <v>1001</v>
      </c>
      <c r="I48" s="120" t="str">
        <f ca="1"/>
        <v>12036</v>
      </c>
      <c r="J48" s="120" t="str">
        <f ca="1"/>
        <v>Q CHED KIOSKO 10 LONJ 200G</v>
      </c>
      <c r="K48" s="121">
        <f ca="1"/>
        <v>96</v>
      </c>
      <c r="L48" s="122">
        <f ca="1"/>
        <v>1</v>
      </c>
      <c r="M48" s="120">
        <f ca="1"/>
        <v>0.2</v>
      </c>
      <c r="N48" s="121">
        <f ca="1"/>
        <v>90</v>
      </c>
      <c r="O48" s="123">
        <f ca="1"/>
        <v>45615</v>
      </c>
      <c r="P48" s="123" t="str">
        <f ca="1"/>
        <v>martes</v>
      </c>
      <c r="Q48" s="124">
        <f ca="1"/>
        <v>45604</v>
      </c>
      <c r="R48" s="124">
        <f ca="1"/>
        <v>45693</v>
      </c>
      <c r="S48" s="90">
        <f ca="1"/>
        <v>69</v>
      </c>
      <c r="T48" s="139">
        <f ca="1"/>
        <v>0.76666666666666672</v>
      </c>
      <c r="U48" s="131">
        <f ca="1"/>
        <v>96</v>
      </c>
      <c r="V48" s="120">
        <f ca="1"/>
        <v>19.200000000000003</v>
      </c>
      <c r="W48" s="140">
        <f ca="1"/>
        <v>11</v>
      </c>
      <c r="X48" s="139">
        <f ca="1"/>
        <v>0.87777777777777777</v>
      </c>
      <c r="Y48" s="141">
        <f ca="1"/>
        <v>1.6998099999999998</v>
      </c>
      <c r="Z48" s="141">
        <f ca="1"/>
        <v>1.6998099999999998</v>
      </c>
      <c r="AA48" s="142">
        <f ca="1"/>
        <v>32.636352000000002</v>
      </c>
      <c r="AB48" s="138">
        <f ca="1"/>
        <v>9</v>
      </c>
      <c r="AC48" s="103" t="str">
        <f ca="1"/>
        <v>VIGENTE</v>
      </c>
      <c r="AD48" s="150">
        <f ca="1"/>
        <v>1.9200000000000002E-2</v>
      </c>
    </row>
    <row r="49" spans="1:30">
      <c r="A49" s="111" t="str">
        <f ca="1"/>
        <v>SAN GABRIEL</v>
      </c>
      <c r="B49" s="111" t="str">
        <f ca="1"/>
        <v>QUESOS Y GRASAS</v>
      </c>
      <c r="C49" s="111" t="str">
        <f ca="1"/>
        <v xml:space="preserve">Esteban Montenegro                      </v>
      </c>
      <c r="D49" s="111" t="str">
        <f ca="1"/>
        <v>QUESO SEMIMADURO KIOSKO</v>
      </c>
      <c r="E49" s="111" t="str">
        <f ca="1"/>
        <v>QUESO SEMIMADURO CHEDDAR KIOSKO TAJADO</v>
      </c>
      <c r="F49" s="120" t="str">
        <f ca="1"/>
        <v>GUAYAQUIL</v>
      </c>
      <c r="G49" s="120">
        <f ca="1"/>
        <v>7711</v>
      </c>
      <c r="H49" s="120">
        <f ca="1"/>
        <v>1001</v>
      </c>
      <c r="I49" s="120" t="str">
        <f ca="1"/>
        <v>12036</v>
      </c>
      <c r="J49" s="120" t="str">
        <f ca="1"/>
        <v>Q CHED KIOSKO 10 LONJ 200G</v>
      </c>
      <c r="K49" s="121">
        <f ca="1"/>
        <v>24</v>
      </c>
      <c r="L49" s="122">
        <f ca="1"/>
        <v>1</v>
      </c>
      <c r="M49" s="120">
        <f ca="1"/>
        <v>0.2</v>
      </c>
      <c r="N49" s="121">
        <f ca="1"/>
        <v>90</v>
      </c>
      <c r="O49" s="123">
        <f ca="1"/>
        <v>45615</v>
      </c>
      <c r="P49" s="123" t="str">
        <f ca="1"/>
        <v>martes</v>
      </c>
      <c r="Q49" s="124">
        <f ca="1"/>
        <v>45608</v>
      </c>
      <c r="R49" s="124">
        <f ca="1"/>
        <v>45697</v>
      </c>
      <c r="S49" s="90">
        <f ca="1"/>
        <v>73</v>
      </c>
      <c r="T49" s="139">
        <f ca="1"/>
        <v>0.81111111111111112</v>
      </c>
      <c r="U49" s="131">
        <f ca="1"/>
        <v>24</v>
      </c>
      <c r="V49" s="120">
        <f ca="1"/>
        <v>4.8000000000000007</v>
      </c>
      <c r="W49" s="140">
        <f ca="1"/>
        <v>7</v>
      </c>
      <c r="X49" s="139">
        <f ca="1"/>
        <v>0.92222222222222228</v>
      </c>
      <c r="Y49" s="141">
        <f ca="1"/>
        <v>1.6998099999999998</v>
      </c>
      <c r="Z49" s="141">
        <f ca="1"/>
        <v>1.6998099999999998</v>
      </c>
      <c r="AA49" s="142">
        <f ca="1"/>
        <v>8.1590880000000006</v>
      </c>
      <c r="AB49" s="138">
        <f ca="1"/>
        <v>9</v>
      </c>
      <c r="AC49" s="103" t="str">
        <f ca="1"/>
        <v>VIGENTE</v>
      </c>
      <c r="AD49" s="150">
        <f ca="1"/>
        <v>4.8000000000000004E-3</v>
      </c>
    </row>
    <row r="50" spans="1:30">
      <c r="A50" s="111" t="str">
        <f ca="1"/>
        <v>SAN GABRIEL</v>
      </c>
      <c r="B50" s="111" t="str">
        <f ca="1"/>
        <v>QUESOS Y GRASAS</v>
      </c>
      <c r="C50" s="111" t="str">
        <f ca="1"/>
        <v xml:space="preserve">Esteban Montenegro                      </v>
      </c>
      <c r="D50" s="111" t="str">
        <f ca="1"/>
        <v>QUESO SEMIMADURO KIOSKO</v>
      </c>
      <c r="E50" s="111" t="str">
        <f ca="1"/>
        <v>QUESO SEMIMADURO CHEDDAR KIOSKO TAJADO</v>
      </c>
      <c r="F50" s="120" t="str">
        <f ca="1"/>
        <v>GUAYAQUIL</v>
      </c>
      <c r="G50" s="120">
        <f ca="1"/>
        <v>7711</v>
      </c>
      <c r="H50" s="120">
        <f ca="1"/>
        <v>1001</v>
      </c>
      <c r="I50" s="120" t="str">
        <f ca="1"/>
        <v>12036</v>
      </c>
      <c r="J50" s="120" t="str">
        <f ca="1"/>
        <v>Q CHED KIOSKO 10 LONJ 200G</v>
      </c>
      <c r="K50" s="121">
        <f ca="1"/>
        <v>120</v>
      </c>
      <c r="L50" s="122">
        <f ca="1"/>
        <v>1</v>
      </c>
      <c r="M50" s="120">
        <f ca="1"/>
        <v>0.2</v>
      </c>
      <c r="N50" s="121">
        <f ca="1"/>
        <v>90</v>
      </c>
      <c r="O50" s="123">
        <f ca="1"/>
        <v>45617</v>
      </c>
      <c r="P50" s="123" t="str">
        <f ca="1"/>
        <v>jueves</v>
      </c>
      <c r="Q50" s="124">
        <f ca="1"/>
        <v>45608</v>
      </c>
      <c r="R50" s="124">
        <f ca="1"/>
        <v>45697</v>
      </c>
      <c r="S50" s="90">
        <f ca="1"/>
        <v>73</v>
      </c>
      <c r="T50" s="139">
        <f ca="1"/>
        <v>0.81111111111111112</v>
      </c>
      <c r="U50" s="131">
        <f ca="1"/>
        <v>120</v>
      </c>
      <c r="V50" s="120">
        <f ca="1"/>
        <v>24</v>
      </c>
      <c r="W50" s="140">
        <f ca="1"/>
        <v>9</v>
      </c>
      <c r="X50" s="139">
        <f ca="1"/>
        <v>0.9</v>
      </c>
      <c r="Y50" s="141">
        <f ca="1"/>
        <v>1.6998099999999998</v>
      </c>
      <c r="Z50" s="141">
        <f ca="1"/>
        <v>1.6998099999999998</v>
      </c>
      <c r="AA50" s="142">
        <f ca="1"/>
        <v>40.795439999999999</v>
      </c>
      <c r="AB50" s="138">
        <f ca="1"/>
        <v>7</v>
      </c>
      <c r="AC50" s="103" t="str">
        <f ca="1"/>
        <v>VIGENTE</v>
      </c>
      <c r="AD50" s="150">
        <f ca="1"/>
        <v>2.4E-2</v>
      </c>
    </row>
    <row r="51" spans="1:30">
      <c r="A51" s="111" t="str">
        <f ca="1"/>
        <v>MACHACHI</v>
      </c>
      <c r="B51" s="111" t="str">
        <f ca="1"/>
        <v>BEBIDAS LACTEAS</v>
      </c>
      <c r="C51" s="111" t="str">
        <f ca="1"/>
        <v xml:space="preserve">Luis Armendariz                         </v>
      </c>
      <c r="D51" s="111" t="str">
        <f ca="1"/>
        <v>YOGURT KIOSKO</v>
      </c>
      <c r="E51" s="111" t="str">
        <f ca="1"/>
        <v>YOGURT KIOSKO NATURAL BOTELLA FAMILIAR</v>
      </c>
      <c r="F51" s="120" t="str">
        <f ca="1"/>
        <v>GUAYAQUIL</v>
      </c>
      <c r="G51" s="120">
        <f ca="1"/>
        <v>7711</v>
      </c>
      <c r="H51" s="120">
        <f ca="1"/>
        <v>1001</v>
      </c>
      <c r="I51" s="120" t="str">
        <f ca="1"/>
        <v>14644</v>
      </c>
      <c r="J51" s="120" t="str">
        <f ca="1"/>
        <v>YOG NAT KIOSKO BOTELLA 950G</v>
      </c>
      <c r="K51" s="121">
        <f ca="1"/>
        <v>90</v>
      </c>
      <c r="L51" s="122">
        <f ca="1"/>
        <v>1</v>
      </c>
      <c r="M51" s="120">
        <f ca="1"/>
        <v>0.95</v>
      </c>
      <c r="N51" s="121">
        <f ca="1"/>
        <v>45</v>
      </c>
      <c r="O51" s="123">
        <f ca="1"/>
        <v>45611</v>
      </c>
      <c r="P51" s="123" t="str">
        <f ca="1"/>
        <v>viernes</v>
      </c>
      <c r="Q51" s="124">
        <f ca="1"/>
        <v>45601</v>
      </c>
      <c r="R51" s="124">
        <f ca="1"/>
        <v>45645</v>
      </c>
      <c r="S51" s="90">
        <f ca="1"/>
        <v>21</v>
      </c>
      <c r="T51" s="139">
        <f ca="1"/>
        <v>0.46666666666666667</v>
      </c>
      <c r="U51" s="131">
        <f ca="1"/>
        <v>90</v>
      </c>
      <c r="V51" s="120">
        <f ca="1"/>
        <v>85.5</v>
      </c>
      <c r="W51" s="140">
        <f ca="1"/>
        <v>10</v>
      </c>
      <c r="X51" s="139">
        <f ca="1"/>
        <v>0.77777777777777779</v>
      </c>
      <c r="Y51" s="141">
        <f ca="1"/>
        <v>1.062665</v>
      </c>
      <c r="Z51" s="141">
        <f ca="1"/>
        <v>1.062665</v>
      </c>
      <c r="AA51" s="142">
        <f ca="1"/>
        <v>90.857857499999994</v>
      </c>
      <c r="AB51" s="138">
        <f ca="1"/>
        <v>13</v>
      </c>
      <c r="AC51" s="103" t="str">
        <f ca="1"/>
        <v>FECHA CORTA</v>
      </c>
      <c r="AD51" s="150">
        <f ca="1"/>
        <v>8.5500000000000007E-2</v>
      </c>
    </row>
    <row r="52" spans="1:30">
      <c r="A52" s="111" t="str">
        <f ca="1"/>
        <v>MACHACHI</v>
      </c>
      <c r="B52" s="111" t="str">
        <f ca="1"/>
        <v>BEBIDAS LACTEAS</v>
      </c>
      <c r="C52" s="111" t="str">
        <f ca="1"/>
        <v xml:space="preserve">Luis Armendariz                         </v>
      </c>
      <c r="D52" s="111" t="str">
        <f ca="1"/>
        <v>YOGURT KIOSKO</v>
      </c>
      <c r="E52" s="111" t="str">
        <f ca="1"/>
        <v>YOGURT KIOSKO NATURAL BOTELLA FAMILIAR</v>
      </c>
      <c r="F52" s="120" t="str">
        <f ca="1"/>
        <v>GUAYAQUIL</v>
      </c>
      <c r="G52" s="120">
        <f ca="1"/>
        <v>7711</v>
      </c>
      <c r="H52" s="120">
        <f ca="1"/>
        <v>1001</v>
      </c>
      <c r="I52" s="120" t="str">
        <f ca="1"/>
        <v>14644</v>
      </c>
      <c r="J52" s="120" t="str">
        <f ca="1"/>
        <v>YOG NAT KIOSKO BOTELLA 950G</v>
      </c>
      <c r="K52" s="121">
        <f ca="1"/>
        <v>54</v>
      </c>
      <c r="L52" s="122">
        <f ca="1"/>
        <v>1</v>
      </c>
      <c r="M52" s="120">
        <f ca="1"/>
        <v>0.95</v>
      </c>
      <c r="N52" s="121">
        <f ca="1"/>
        <v>45</v>
      </c>
      <c r="O52" s="123">
        <f ca="1"/>
        <v>45610</v>
      </c>
      <c r="P52" s="123" t="str">
        <f ca="1"/>
        <v>jueves</v>
      </c>
      <c r="Q52" s="124">
        <f ca="1"/>
        <v>45601</v>
      </c>
      <c r="R52" s="124">
        <f ca="1"/>
        <v>45645</v>
      </c>
      <c r="S52" s="90">
        <f ca="1"/>
        <v>21</v>
      </c>
      <c r="T52" s="139">
        <f ca="1"/>
        <v>0.46666666666666667</v>
      </c>
      <c r="U52" s="131">
        <f ca="1"/>
        <v>12</v>
      </c>
      <c r="V52" s="120">
        <f ca="1"/>
        <v>11.399999999999999</v>
      </c>
      <c r="W52" s="140">
        <f ca="1"/>
        <v>9</v>
      </c>
      <c r="X52" s="139">
        <f ca="1"/>
        <v>0.8</v>
      </c>
      <c r="Y52" s="141">
        <f ca="1"/>
        <v>1.062665</v>
      </c>
      <c r="Z52" s="141">
        <f ca="1"/>
        <v>1.062665</v>
      </c>
      <c r="AA52" s="142">
        <f ca="1"/>
        <v>12.114380999999998</v>
      </c>
      <c r="AB52" s="138">
        <f ca="1"/>
        <v>14</v>
      </c>
      <c r="AC52" s="103" t="str">
        <f ca="1"/>
        <v>FECHA CORTA</v>
      </c>
      <c r="AD52" s="150">
        <f ca="1"/>
        <v>1.1399999999999999E-2</v>
      </c>
    </row>
    <row r="53" spans="1:30">
      <c r="A53" s="111" t="str">
        <f ca="1"/>
        <v>MACHACHI</v>
      </c>
      <c r="B53" s="111" t="str">
        <f ca="1"/>
        <v>BEBIDAS LACTEAS</v>
      </c>
      <c r="C53" s="111" t="str">
        <f ca="1"/>
        <v xml:space="preserve">Luis Armendariz                         </v>
      </c>
      <c r="D53" s="111" t="str">
        <f ca="1"/>
        <v>YOGURT KIOSKO</v>
      </c>
      <c r="E53" s="111" t="str">
        <f ca="1"/>
        <v>YOGURT KIOSKO NATURAL BOTELLA FAMILIAR</v>
      </c>
      <c r="F53" s="120" t="str">
        <f ca="1"/>
        <v>GUAYAQUIL</v>
      </c>
      <c r="G53" s="120">
        <f ca="1"/>
        <v>7711</v>
      </c>
      <c r="H53" s="120">
        <f ca="1"/>
        <v>1001</v>
      </c>
      <c r="I53" s="120" t="str">
        <f ca="1"/>
        <v>14644</v>
      </c>
      <c r="J53" s="120" t="str">
        <f ca="1"/>
        <v>YOG NAT KIOSKO BOTELLA 950G</v>
      </c>
      <c r="K53" s="121">
        <f ca="1"/>
        <v>18</v>
      </c>
      <c r="L53" s="122">
        <f ca="1"/>
        <v>1</v>
      </c>
      <c r="M53" s="120">
        <f ca="1"/>
        <v>0.95</v>
      </c>
      <c r="N53" s="121">
        <f ca="1"/>
        <v>45</v>
      </c>
      <c r="O53" s="123">
        <f ca="1"/>
        <v>45615</v>
      </c>
      <c r="P53" s="123" t="str">
        <f ca="1"/>
        <v>martes</v>
      </c>
      <c r="Q53" s="124">
        <f ca="1"/>
        <v>45609</v>
      </c>
      <c r="R53" s="124">
        <f ca="1"/>
        <v>45653</v>
      </c>
      <c r="S53" s="90">
        <f ca="1"/>
        <v>29</v>
      </c>
      <c r="T53" s="139">
        <f ca="1"/>
        <v>0.64444444444444449</v>
      </c>
      <c r="U53" s="131">
        <f ca="1"/>
        <v>17</v>
      </c>
      <c r="V53" s="120">
        <f ca="1"/>
        <v>16.149999999999999</v>
      </c>
      <c r="W53" s="140">
        <f ca="1"/>
        <v>6</v>
      </c>
      <c r="X53" s="139">
        <f ca="1"/>
        <v>0.8666666666666667</v>
      </c>
      <c r="Y53" s="141">
        <f ca="1"/>
        <v>1.062665</v>
      </c>
      <c r="Z53" s="141">
        <f ca="1"/>
        <v>1.062665</v>
      </c>
      <c r="AA53" s="142">
        <f ca="1"/>
        <v>17.162039749999998</v>
      </c>
      <c r="AB53" s="138">
        <f ca="1"/>
        <v>9</v>
      </c>
      <c r="AC53" s="103" t="str">
        <f ca="1"/>
        <v>VIGENTE</v>
      </c>
      <c r="AD53" s="150">
        <f ca="1"/>
        <v>1.6149999999999998E-2</v>
      </c>
    </row>
    <row r="54" spans="1:30">
      <c r="A54" s="111" t="str">
        <f ca="1"/>
        <v>MACHACHI</v>
      </c>
      <c r="B54" s="111" t="str">
        <f ca="1"/>
        <v>BEBIDAS LACTEAS</v>
      </c>
      <c r="C54" s="111" t="str">
        <f ca="1"/>
        <v xml:space="preserve">Luis Armendariz                         </v>
      </c>
      <c r="D54" s="111" t="str">
        <f ca="1"/>
        <v>YOGURT KIOSKO</v>
      </c>
      <c r="E54" s="111" t="str">
        <f ca="1"/>
        <v>YOGURT KIOSKO NATURAL BOTELLA FAMILIAR</v>
      </c>
      <c r="F54" s="120" t="str">
        <f ca="1"/>
        <v>GUAYAQUIL</v>
      </c>
      <c r="G54" s="120">
        <f ca="1"/>
        <v>7711</v>
      </c>
      <c r="H54" s="120">
        <f ca="1"/>
        <v>1001</v>
      </c>
      <c r="I54" s="120" t="str">
        <f ca="1"/>
        <v>14644</v>
      </c>
      <c r="J54" s="120" t="str">
        <f ca="1"/>
        <v>YOG NAT KIOSKO BOTELLA 950G</v>
      </c>
      <c r="K54" s="121">
        <f ca="1"/>
        <v>108</v>
      </c>
      <c r="L54" s="122">
        <f ca="1"/>
        <v>1</v>
      </c>
      <c r="M54" s="120">
        <f ca="1"/>
        <v>0.95</v>
      </c>
      <c r="N54" s="121">
        <f ca="1"/>
        <v>45</v>
      </c>
      <c r="O54" s="123">
        <f ca="1"/>
        <v>45616</v>
      </c>
      <c r="P54" s="123" t="str">
        <f ca="1"/>
        <v>miércoles</v>
      </c>
      <c r="Q54" s="124">
        <f ca="1"/>
        <v>45609</v>
      </c>
      <c r="R54" s="124">
        <f ca="1"/>
        <v>45653</v>
      </c>
      <c r="S54" s="90">
        <f ca="1"/>
        <v>29</v>
      </c>
      <c r="T54" s="139">
        <f ca="1"/>
        <v>0.64444444444444449</v>
      </c>
      <c r="U54" s="131">
        <f ca="1"/>
        <v>108</v>
      </c>
      <c r="V54" s="120">
        <f ca="1"/>
        <v>102.6</v>
      </c>
      <c r="W54" s="140">
        <f ca="1"/>
        <v>7</v>
      </c>
      <c r="X54" s="139">
        <f ca="1"/>
        <v>0.84444444444444444</v>
      </c>
      <c r="Y54" s="141">
        <f ca="1"/>
        <v>1.062665</v>
      </c>
      <c r="Z54" s="141">
        <f ca="1"/>
        <v>1.062665</v>
      </c>
      <c r="AA54" s="142">
        <f ca="1"/>
        <v>109.02942899999999</v>
      </c>
      <c r="AB54" s="138">
        <f ca="1"/>
        <v>8</v>
      </c>
      <c r="AC54" s="103" t="str">
        <f ca="1"/>
        <v>VIGENTE</v>
      </c>
      <c r="AD54" s="150">
        <f ca="1"/>
        <v>0.1026</v>
      </c>
    </row>
    <row r="55" spans="1:30">
      <c r="A55" s="111" t="str">
        <f ca="1"/>
        <v>MULTIEMPAQUE_SG</v>
      </c>
      <c r="B55" s="111" t="str">
        <f ca="1"/>
        <v>QUESOS Y GRASAS</v>
      </c>
      <c r="C55" s="111" t="str">
        <f ca="1"/>
        <v xml:space="preserve">Esteban Montenegro                      </v>
      </c>
      <c r="D55" s="111" t="str">
        <f ca="1"/>
        <v>QUESO SEMIMADURO KIOSKO</v>
      </c>
      <c r="E55" s="111" t="str">
        <f ca="1"/>
        <v>QUESO SANDUCHE KIOSKO TAJADO</v>
      </c>
      <c r="F55" s="120" t="str">
        <f ca="1"/>
        <v>GUAYAQUIL</v>
      </c>
      <c r="G55" s="120">
        <f ca="1"/>
        <v>7711</v>
      </c>
      <c r="H55" s="120">
        <f ca="1"/>
        <v>1001</v>
      </c>
      <c r="I55" s="120" t="str">
        <f ca="1"/>
        <v>16078</v>
      </c>
      <c r="J55" s="120" t="str">
        <f ca="1"/>
        <v>PACK Q SAND KIOSKO BLOQ 146G JAM</v>
      </c>
      <c r="K55" s="121">
        <f ca="1"/>
        <v>260</v>
      </c>
      <c r="L55" s="122">
        <f ca="1"/>
        <v>1</v>
      </c>
      <c r="M55" s="120">
        <f ca="1"/>
        <v>0.14599999999999999</v>
      </c>
      <c r="N55" s="121">
        <f ca="1"/>
        <v>45</v>
      </c>
      <c r="O55" s="123">
        <f ca="1"/>
        <v>45603</v>
      </c>
      <c r="P55" s="123" t="str">
        <f ca="1"/>
        <v>jueves</v>
      </c>
      <c r="Q55" s="124">
        <f ca="1"/>
        <v>45591</v>
      </c>
      <c r="R55" s="124">
        <f ca="1"/>
        <v>45635</v>
      </c>
      <c r="S55" s="90">
        <f ca="1"/>
        <v>11</v>
      </c>
      <c r="T55" s="139">
        <f ca="1"/>
        <v>0.24444444444444444</v>
      </c>
      <c r="U55" s="131">
        <f ca="1"/>
        <v>1</v>
      </c>
      <c r="V55" s="120">
        <f ca="1"/>
        <v>0.14599999999999999</v>
      </c>
      <c r="W55" s="140">
        <f ca="1"/>
        <v>12</v>
      </c>
      <c r="X55" s="139">
        <f ca="1"/>
        <v>0.73333333333333339</v>
      </c>
      <c r="Y55" s="141">
        <f ca="1"/>
        <v>1.1321750000000002</v>
      </c>
      <c r="Z55" s="141">
        <f ca="1"/>
        <v>1.1321750000000002</v>
      </c>
      <c r="AA55" s="142">
        <f ca="1"/>
        <v>0.16529755000000002</v>
      </c>
      <c r="AB55" s="138">
        <f ca="1"/>
        <v>21</v>
      </c>
      <c r="AC55" s="103" t="str">
        <f ca="1"/>
        <v>FECHA CORTA</v>
      </c>
      <c r="AD55" s="150">
        <f ca="1"/>
        <v>1.46E-4</v>
      </c>
    </row>
    <row r="56" spans="1:30">
      <c r="A56" s="111" t="str">
        <f ca="1"/>
        <v>MULTIEMPAQUE_SG</v>
      </c>
      <c r="B56" s="111" t="str">
        <f ca="1"/>
        <v>QUESOS Y GRASAS</v>
      </c>
      <c r="C56" s="111" t="str">
        <f ca="1"/>
        <v xml:space="preserve">Esteban Montenegro                      </v>
      </c>
      <c r="D56" s="111" t="str">
        <f ca="1"/>
        <v>QUESO SEMIMADURO KIOSKO</v>
      </c>
      <c r="E56" s="111" t="str">
        <f ca="1"/>
        <v>QUESO SANDUCHE KIOSKO TAJADO</v>
      </c>
      <c r="F56" s="120" t="str">
        <f ca="1"/>
        <v>GUAYAQUIL</v>
      </c>
      <c r="G56" s="120">
        <f ca="1"/>
        <v>7711</v>
      </c>
      <c r="H56" s="120">
        <f ca="1"/>
        <v>1001</v>
      </c>
      <c r="I56" s="120" t="str">
        <f ca="1"/>
        <v>16078</v>
      </c>
      <c r="J56" s="120" t="str">
        <f ca="1"/>
        <v>PACK Q SAND KIOSKO BLOQ 146G JAM</v>
      </c>
      <c r="K56" s="121">
        <f ca="1"/>
        <v>260</v>
      </c>
      <c r="L56" s="122">
        <f ca="1"/>
        <v>1</v>
      </c>
      <c r="M56" s="120">
        <f ca="1"/>
        <v>0.14599999999999999</v>
      </c>
      <c r="N56" s="121">
        <f ca="1"/>
        <v>45</v>
      </c>
      <c r="O56" s="123">
        <f ca="1"/>
        <v>45605</v>
      </c>
      <c r="P56" s="123" t="str">
        <f ca="1"/>
        <v>sábado</v>
      </c>
      <c r="Q56" s="124">
        <f ca="1"/>
        <v>45598</v>
      </c>
      <c r="R56" s="124">
        <f ca="1"/>
        <v>45642</v>
      </c>
      <c r="S56" s="90">
        <f ca="1"/>
        <v>18</v>
      </c>
      <c r="T56" s="139">
        <f ca="1"/>
        <v>0.4</v>
      </c>
      <c r="U56" s="131">
        <f ca="1"/>
        <v>148</v>
      </c>
      <c r="V56" s="120">
        <f ca="1"/>
        <v>21.607999999999997</v>
      </c>
      <c r="W56" s="140">
        <f ca="1"/>
        <v>7</v>
      </c>
      <c r="X56" s="139">
        <f ca="1"/>
        <v>0.84444444444444444</v>
      </c>
      <c r="Y56" s="141">
        <f ca="1"/>
        <v>1.1321750000000002</v>
      </c>
      <c r="Z56" s="141">
        <f ca="1"/>
        <v>1.1321750000000002</v>
      </c>
      <c r="AA56" s="142">
        <f ca="1"/>
        <v>24.464037399999999</v>
      </c>
      <c r="AB56" s="138">
        <f ca="1"/>
        <v>19</v>
      </c>
      <c r="AC56" s="103" t="str">
        <f ca="1"/>
        <v>FECHA CORTA</v>
      </c>
      <c r="AD56" s="150">
        <f ca="1"/>
        <v>2.1607999999999995E-2</v>
      </c>
    </row>
    <row r="57" spans="1:30">
      <c r="A57" s="111" t="str">
        <f ca="1"/>
        <v>MULTIEMPAQUE_SG</v>
      </c>
      <c r="B57" s="111" t="str">
        <f ca="1"/>
        <v>QUESOS Y GRASAS</v>
      </c>
      <c r="C57" s="111" t="str">
        <f ca="1"/>
        <v xml:space="preserve">Esteban Montenegro                      </v>
      </c>
      <c r="D57" s="111" t="str">
        <f ca="1"/>
        <v>QUESO SEMIMADURO KIOSKO</v>
      </c>
      <c r="E57" s="111" t="str">
        <f ca="1"/>
        <v>QUESO SANDUCHE KIOSKO TAJADO</v>
      </c>
      <c r="F57" s="120" t="str">
        <f ca="1"/>
        <v>GUAYAQUIL</v>
      </c>
      <c r="G57" s="120">
        <f ca="1"/>
        <v>7711</v>
      </c>
      <c r="H57" s="120">
        <f ca="1"/>
        <v>1001</v>
      </c>
      <c r="I57" s="120" t="str">
        <f ca="1"/>
        <v>16078</v>
      </c>
      <c r="J57" s="120" t="str">
        <f ca="1"/>
        <v>PACK Q SAND KIOSKO BLOQ 146G JAM</v>
      </c>
      <c r="K57" s="121">
        <f ca="1"/>
        <v>130</v>
      </c>
      <c r="L57" s="122">
        <f ca="1"/>
        <v>1</v>
      </c>
      <c r="M57" s="120">
        <f ca="1"/>
        <v>0.14599999999999999</v>
      </c>
      <c r="N57" s="121">
        <f ca="1"/>
        <v>45</v>
      </c>
      <c r="O57" s="123">
        <f ca="1"/>
        <v>45615</v>
      </c>
      <c r="P57" s="123" t="str">
        <f ca="1"/>
        <v>martes</v>
      </c>
      <c r="Q57" s="124">
        <f ca="1"/>
        <v>45605</v>
      </c>
      <c r="R57" s="124">
        <f ca="1"/>
        <v>45649</v>
      </c>
      <c r="S57" s="90">
        <f ca="1"/>
        <v>25</v>
      </c>
      <c r="T57" s="139">
        <f ca="1"/>
        <v>0.55555555555555558</v>
      </c>
      <c r="U57" s="131">
        <f ca="1"/>
        <v>120</v>
      </c>
      <c r="V57" s="120">
        <f ca="1"/>
        <v>17.52</v>
      </c>
      <c r="W57" s="140">
        <f ca="1"/>
        <v>10</v>
      </c>
      <c r="X57" s="139">
        <f ca="1"/>
        <v>0.77777777777777779</v>
      </c>
      <c r="Y57" s="141">
        <f ca="1"/>
        <v>1.1321750000000002</v>
      </c>
      <c r="Z57" s="141">
        <f ca="1"/>
        <v>1.1321750000000002</v>
      </c>
      <c r="AA57" s="142">
        <f ca="1"/>
        <v>19.835706000000002</v>
      </c>
      <c r="AB57" s="138">
        <f ca="1"/>
        <v>9</v>
      </c>
      <c r="AC57" s="103" t="str">
        <f ca="1"/>
        <v>PROXIMOS FECHA CORTA</v>
      </c>
      <c r="AD57" s="150">
        <f ca="1"/>
        <v>1.7520000000000001E-2</v>
      </c>
    </row>
    <row r="58" spans="1:30">
      <c r="A58" s="111" t="str">
        <f ca="1"/>
        <v>MULTIEMPAQUE_SG</v>
      </c>
      <c r="B58" s="111" t="str">
        <f ca="1"/>
        <v>QUESOS Y GRASAS</v>
      </c>
      <c r="C58" s="111" t="str">
        <f ca="1"/>
        <v xml:space="preserve">Esteban Montenegro                      </v>
      </c>
      <c r="D58" s="111" t="str">
        <f ca="1"/>
        <v>QUESO SEMIMADURO KIOSKO</v>
      </c>
      <c r="E58" s="111" t="str">
        <f ca="1"/>
        <v>QUESO SANDUCHE KIOSKO TAJADO</v>
      </c>
      <c r="F58" s="120" t="str">
        <f ca="1"/>
        <v>GUAYAQUIL</v>
      </c>
      <c r="G58" s="120">
        <f ca="1"/>
        <v>7711</v>
      </c>
      <c r="H58" s="120">
        <f ca="1"/>
        <v>1001</v>
      </c>
      <c r="I58" s="120" t="str">
        <f ca="1"/>
        <v>16078</v>
      </c>
      <c r="J58" s="120" t="str">
        <f ca="1"/>
        <v>PACK Q SAND KIOSKO BLOQ 146G JAM</v>
      </c>
      <c r="K58" s="121">
        <f ca="1"/>
        <v>130</v>
      </c>
      <c r="L58" s="122">
        <f ca="1"/>
        <v>1</v>
      </c>
      <c r="M58" s="120">
        <f ca="1"/>
        <v>0.14599999999999999</v>
      </c>
      <c r="N58" s="121">
        <f ca="1"/>
        <v>45</v>
      </c>
      <c r="O58" s="123">
        <f ca="1"/>
        <v>45616</v>
      </c>
      <c r="P58" s="123" t="str">
        <f ca="1"/>
        <v>miércoles</v>
      </c>
      <c r="Q58" s="124">
        <f ca="1"/>
        <v>45605</v>
      </c>
      <c r="R58" s="124">
        <f ca="1"/>
        <v>45649</v>
      </c>
      <c r="S58" s="90">
        <f ca="1"/>
        <v>25</v>
      </c>
      <c r="T58" s="139">
        <f ca="1"/>
        <v>0.55555555555555558</v>
      </c>
      <c r="U58" s="131">
        <f ca="1"/>
        <v>130</v>
      </c>
      <c r="V58" s="120">
        <f ca="1"/>
        <v>18.98</v>
      </c>
      <c r="W58" s="140">
        <f ca="1"/>
        <v>11</v>
      </c>
      <c r="X58" s="139">
        <f ca="1"/>
        <v>0.75555555555555554</v>
      </c>
      <c r="Y58" s="141">
        <f ca="1"/>
        <v>1.1321750000000002</v>
      </c>
      <c r="Z58" s="141">
        <f ca="1"/>
        <v>1.1321750000000002</v>
      </c>
      <c r="AA58" s="142">
        <f ca="1"/>
        <v>21.488681500000002</v>
      </c>
      <c r="AB58" s="138">
        <f ca="1"/>
        <v>8</v>
      </c>
      <c r="AC58" s="103" t="str">
        <f ca="1"/>
        <v>PROXIMOS FECHA CORTA</v>
      </c>
      <c r="AD58" s="150">
        <f ca="1"/>
        <v>1.898E-2</v>
      </c>
    </row>
    <row r="59" spans="1:30">
      <c r="A59" s="111" t="str">
        <f ca="1"/>
        <v>MULTIEMPAQUE_SG</v>
      </c>
      <c r="B59" s="111" t="str">
        <f ca="1"/>
        <v>QUESOS Y GRASAS</v>
      </c>
      <c r="C59" s="111" t="str">
        <f ca="1"/>
        <v xml:space="preserve">Esteban Montenegro                      </v>
      </c>
      <c r="D59" s="111" t="str">
        <f ca="1"/>
        <v>QUESO SEMIMADURO KIOSKO</v>
      </c>
      <c r="E59" s="111" t="str">
        <f ca="1"/>
        <v>QUESO SANDUCHE KIOSKO TAJADO</v>
      </c>
      <c r="F59" s="120" t="str">
        <f ca="1"/>
        <v>GUAYAQUIL</v>
      </c>
      <c r="G59" s="120">
        <f ca="1"/>
        <v>7711</v>
      </c>
      <c r="H59" s="120">
        <f ca="1"/>
        <v>1001</v>
      </c>
      <c r="I59" s="120" t="str">
        <f ca="1"/>
        <v>16078</v>
      </c>
      <c r="J59" s="120" t="str">
        <f ca="1"/>
        <v>PACK Q SAND KIOSKO BLOQ 146G JAM</v>
      </c>
      <c r="K59" s="121">
        <f ca="1"/>
        <v>130</v>
      </c>
      <c r="L59" s="122">
        <f ca="1"/>
        <v>1</v>
      </c>
      <c r="M59" s="120">
        <f ca="1"/>
        <v>0.14599999999999999</v>
      </c>
      <c r="N59" s="121">
        <f ca="1"/>
        <v>45</v>
      </c>
      <c r="O59" s="123">
        <f ca="1"/>
        <v>45617</v>
      </c>
      <c r="P59" s="123" t="str">
        <f ca="1"/>
        <v>jueves</v>
      </c>
      <c r="Q59" s="124">
        <f ca="1"/>
        <v>45605</v>
      </c>
      <c r="R59" s="124">
        <f ca="1"/>
        <v>45649</v>
      </c>
      <c r="S59" s="90">
        <f ca="1"/>
        <v>25</v>
      </c>
      <c r="T59" s="139">
        <f ca="1"/>
        <v>0.55555555555555558</v>
      </c>
      <c r="U59" s="131">
        <f ca="1"/>
        <v>130</v>
      </c>
      <c r="V59" s="120">
        <f ca="1"/>
        <v>18.98</v>
      </c>
      <c r="W59" s="140">
        <f ca="1"/>
        <v>12</v>
      </c>
      <c r="X59" s="139">
        <f ca="1"/>
        <v>0.73333333333333339</v>
      </c>
      <c r="Y59" s="141">
        <f ca="1"/>
        <v>1.1321750000000002</v>
      </c>
      <c r="Z59" s="141">
        <f ca="1"/>
        <v>1.1321750000000002</v>
      </c>
      <c r="AA59" s="142">
        <f ca="1"/>
        <v>21.488681500000002</v>
      </c>
      <c r="AB59" s="138">
        <f ca="1"/>
        <v>7</v>
      </c>
      <c r="AC59" s="103" t="str">
        <f ca="1"/>
        <v>PROXIMOS FECHA CORTA</v>
      </c>
      <c r="AD59" s="150">
        <f ca="1"/>
        <v>1.898E-2</v>
      </c>
    </row>
    <row r="60" spans="1:30">
      <c r="A60" s="111" t="str">
        <f ca="1"/>
        <v>SAN GABRIEL</v>
      </c>
      <c r="B60" s="111" t="str">
        <f ca="1"/>
        <v>QUESOS Y GRASAS</v>
      </c>
      <c r="C60" s="111" t="str">
        <f ca="1"/>
        <v xml:space="preserve">Esteban Montenegro                      </v>
      </c>
      <c r="D60" s="111" t="str">
        <f ca="1"/>
        <v>QUESO SEMIMADURO KIOSKO</v>
      </c>
      <c r="E60" s="111" t="str">
        <f ca="1"/>
        <v>QUESO SEMIMADURO CHEDDAR KIOSKO TAJADO</v>
      </c>
      <c r="F60" s="120" t="str">
        <f ca="1"/>
        <v>GUAYAQUIL</v>
      </c>
      <c r="G60" s="120">
        <f ca="1"/>
        <v>7711</v>
      </c>
      <c r="H60" s="120">
        <f ca="1"/>
        <v>1001</v>
      </c>
      <c r="I60" s="120" t="str">
        <f ca="1"/>
        <v>16156</v>
      </c>
      <c r="J60" s="120" t="str">
        <f ca="1"/>
        <v>Q CHED KIOSKO 5 LONJ 75G</v>
      </c>
      <c r="K60" s="121">
        <f ca="1"/>
        <v>240</v>
      </c>
      <c r="L60" s="122">
        <f ca="1"/>
        <v>1</v>
      </c>
      <c r="M60" s="120">
        <f ca="1"/>
        <v>7.4999999999999997E-2</v>
      </c>
      <c r="N60" s="121">
        <f ca="1"/>
        <v>90</v>
      </c>
      <c r="O60" s="123">
        <f ca="1"/>
        <v>45609</v>
      </c>
      <c r="P60" s="123" t="str">
        <f ca="1"/>
        <v>miércoles</v>
      </c>
      <c r="Q60" s="124">
        <f ca="1"/>
        <v>45601</v>
      </c>
      <c r="R60" s="124">
        <f ca="1"/>
        <v>45690</v>
      </c>
      <c r="S60" s="90">
        <f ca="1"/>
        <v>66</v>
      </c>
      <c r="T60" s="139">
        <f ca="1"/>
        <v>0.73333333333333328</v>
      </c>
      <c r="U60" s="131">
        <f ca="1"/>
        <v>1</v>
      </c>
      <c r="V60" s="120">
        <f ca="1"/>
        <v>7.4999999999999997E-2</v>
      </c>
      <c r="W60" s="140">
        <f ca="1"/>
        <v>8</v>
      </c>
      <c r="X60" s="139">
        <f ca="1"/>
        <v>0.91111111111111109</v>
      </c>
      <c r="Y60" s="141">
        <f ca="1"/>
        <v>0.65352499999999991</v>
      </c>
      <c r="Z60" s="141">
        <f ca="1"/>
        <v>0.65352499999999991</v>
      </c>
      <c r="AA60" s="142">
        <f ca="1"/>
        <v>4.9014374999999992E-2</v>
      </c>
      <c r="AB60" s="138">
        <f ca="1"/>
        <v>15</v>
      </c>
      <c r="AC60" s="103" t="str">
        <f ca="1"/>
        <v>VIGENTE</v>
      </c>
      <c r="AD60" s="150">
        <f ca="1"/>
        <v>7.4999999999999993E-5</v>
      </c>
    </row>
    <row r="61" spans="1:30">
      <c r="A61" s="111" t="str">
        <f ca="1"/>
        <v>SAN GABRIEL</v>
      </c>
      <c r="B61" s="111" t="str">
        <f ca="1"/>
        <v>QUESOS Y GRASAS</v>
      </c>
      <c r="C61" s="111" t="str">
        <f ca="1"/>
        <v xml:space="preserve">Esteban Montenegro                      </v>
      </c>
      <c r="D61" s="111" t="str">
        <f ca="1"/>
        <v>QUESO SEMIMADURO KIOSKO</v>
      </c>
      <c r="E61" s="111" t="str">
        <f ca="1"/>
        <v>QUESO SEMIMADURO CHEDDAR KIOSKO TAJADO</v>
      </c>
      <c r="F61" s="120" t="str">
        <f ca="1"/>
        <v>GUAYAQUIL</v>
      </c>
      <c r="G61" s="120">
        <f ca="1"/>
        <v>7711</v>
      </c>
      <c r="H61" s="120">
        <f ca="1"/>
        <v>1001</v>
      </c>
      <c r="I61" s="120" t="str">
        <f ca="1"/>
        <v>16156</v>
      </c>
      <c r="J61" s="120" t="str">
        <f ca="1"/>
        <v>Q CHED KIOSKO 5 LONJ 75G</v>
      </c>
      <c r="K61" s="121">
        <f ca="1"/>
        <v>720</v>
      </c>
      <c r="L61" s="122">
        <f ca="1"/>
        <v>1</v>
      </c>
      <c r="M61" s="120">
        <f ca="1"/>
        <v>7.4999999999999997E-2</v>
      </c>
      <c r="N61" s="121">
        <f ca="1"/>
        <v>90</v>
      </c>
      <c r="O61" s="123">
        <f ca="1"/>
        <v>45611</v>
      </c>
      <c r="P61" s="123" t="str">
        <f ca="1"/>
        <v>viernes</v>
      </c>
      <c r="Q61" s="124">
        <f ca="1"/>
        <v>45602</v>
      </c>
      <c r="R61" s="124">
        <f ca="1"/>
        <v>45691</v>
      </c>
      <c r="S61" s="90">
        <f ca="1"/>
        <v>67</v>
      </c>
      <c r="T61" s="139">
        <f ca="1"/>
        <v>0.74444444444444446</v>
      </c>
      <c r="U61" s="131">
        <f ca="1"/>
        <v>158</v>
      </c>
      <c r="V61" s="120">
        <f ca="1"/>
        <v>11.85</v>
      </c>
      <c r="W61" s="140">
        <f ca="1"/>
        <v>9</v>
      </c>
      <c r="X61" s="139">
        <f ca="1"/>
        <v>0.9</v>
      </c>
      <c r="Y61" s="141">
        <f ca="1"/>
        <v>0.65352499999999991</v>
      </c>
      <c r="Z61" s="141">
        <f ca="1"/>
        <v>0.65352499999999991</v>
      </c>
      <c r="AA61" s="142">
        <f ca="1"/>
        <v>7.7442712499999988</v>
      </c>
      <c r="AB61" s="138">
        <f ca="1"/>
        <v>13</v>
      </c>
      <c r="AC61" s="103" t="str">
        <f ca="1"/>
        <v>VIGENTE</v>
      </c>
      <c r="AD61" s="150">
        <f ca="1"/>
        <v>1.1849999999999999E-2</v>
      </c>
    </row>
    <row r="62" spans="1:30">
      <c r="A62" s="111" t="str">
        <f ca="1"/>
        <v>SAN GABRIEL</v>
      </c>
      <c r="B62" s="111" t="str">
        <f ca="1"/>
        <v>QUESOS Y GRASAS</v>
      </c>
      <c r="C62" s="111" t="str">
        <f ca="1"/>
        <v xml:space="preserve">Esteban Montenegro                      </v>
      </c>
      <c r="D62" s="111" t="str">
        <f ca="1"/>
        <v>QUESO SEMIMADURO KIOSKO</v>
      </c>
      <c r="E62" s="111" t="str">
        <f ca="1"/>
        <v>QUESO SEMIMADURO CHEDDAR KIOSKO TAJADO</v>
      </c>
      <c r="F62" s="120" t="str">
        <f ca="1"/>
        <v>GUAYAQUIL</v>
      </c>
      <c r="G62" s="120">
        <f ca="1"/>
        <v>7711</v>
      </c>
      <c r="H62" s="120">
        <f ca="1"/>
        <v>1001</v>
      </c>
      <c r="I62" s="120" t="str">
        <f ca="1"/>
        <v>16156</v>
      </c>
      <c r="J62" s="120" t="str">
        <f ca="1"/>
        <v>Q CHED KIOSKO 5 LONJ 75G</v>
      </c>
      <c r="K62" s="121">
        <f ca="1"/>
        <v>960</v>
      </c>
      <c r="L62" s="122">
        <f ca="1"/>
        <v>1</v>
      </c>
      <c r="M62" s="120">
        <f ca="1"/>
        <v>7.4999999999999997E-2</v>
      </c>
      <c r="N62" s="121">
        <f ca="1"/>
        <v>90</v>
      </c>
      <c r="O62" s="123">
        <f ca="1"/>
        <v>45616</v>
      </c>
      <c r="P62" s="123" t="str">
        <f ca="1"/>
        <v>miércoles</v>
      </c>
      <c r="Q62" s="124">
        <f ca="1"/>
        <v>45610</v>
      </c>
      <c r="R62" s="124">
        <f ca="1"/>
        <v>45699</v>
      </c>
      <c r="S62" s="90">
        <f ca="1"/>
        <v>75</v>
      </c>
      <c r="T62" s="139">
        <f ca="1"/>
        <v>0.83333333333333337</v>
      </c>
      <c r="U62" s="131">
        <f ca="1"/>
        <v>960</v>
      </c>
      <c r="V62" s="120">
        <f ca="1"/>
        <v>72</v>
      </c>
      <c r="W62" s="140">
        <f ca="1"/>
        <v>6</v>
      </c>
      <c r="X62" s="139">
        <f ca="1"/>
        <v>0.93333333333333335</v>
      </c>
      <c r="Y62" s="141">
        <f ca="1"/>
        <v>0.65352499999999991</v>
      </c>
      <c r="Z62" s="141">
        <f ca="1"/>
        <v>0.65352499999999991</v>
      </c>
      <c r="AA62" s="142">
        <f ca="1"/>
        <v>47.053799999999995</v>
      </c>
      <c r="AB62" s="138">
        <f ca="1"/>
        <v>8</v>
      </c>
      <c r="AC62" s="103" t="str">
        <f ca="1"/>
        <v>VIGENTE</v>
      </c>
      <c r="AD62" s="150">
        <f ca="1"/>
        <v>7.1999999999999995E-2</v>
      </c>
    </row>
    <row r="63" spans="1:30">
      <c r="A63" s="111" t="str">
        <f ca="1"/>
        <v>SAN GABRIEL</v>
      </c>
      <c r="B63" s="111" t="str">
        <f ca="1"/>
        <v>QUESOS Y GRASAS</v>
      </c>
      <c r="C63" s="111" t="str">
        <f ca="1"/>
        <v xml:space="preserve">Esteban Montenegro                      </v>
      </c>
      <c r="D63" s="111" t="str">
        <f ca="1"/>
        <v>QUESO SEMIMADURO KIOSKO</v>
      </c>
      <c r="E63" s="111" t="str">
        <f ca="1"/>
        <v>QUESO SEMIMADURO CHEDDAR KIOSKO TAJADO</v>
      </c>
      <c r="F63" s="120" t="str">
        <f ca="1"/>
        <v>GUAYAQUIL</v>
      </c>
      <c r="G63" s="120">
        <f ca="1"/>
        <v>7711</v>
      </c>
      <c r="H63" s="120">
        <f ca="1"/>
        <v>1001</v>
      </c>
      <c r="I63" s="120" t="str">
        <f ca="1"/>
        <v>16156</v>
      </c>
      <c r="J63" s="120" t="str">
        <f ca="1"/>
        <v>Q CHED KIOSKO 5 LONJ 75G</v>
      </c>
      <c r="K63" s="121">
        <f ca="1"/>
        <v>240</v>
      </c>
      <c r="L63" s="122">
        <f ca="1"/>
        <v>1</v>
      </c>
      <c r="M63" s="120">
        <f ca="1"/>
        <v>7.4999999999999997E-2</v>
      </c>
      <c r="N63" s="121">
        <f ca="1"/>
        <v>90</v>
      </c>
      <c r="O63" s="123">
        <f ca="1"/>
        <v>45617</v>
      </c>
      <c r="P63" s="123" t="str">
        <f ca="1"/>
        <v>jueves</v>
      </c>
      <c r="Q63" s="124">
        <f ca="1"/>
        <v>45611</v>
      </c>
      <c r="R63" s="124">
        <f ca="1"/>
        <v>45700</v>
      </c>
      <c r="S63" s="90">
        <f ca="1"/>
        <v>76</v>
      </c>
      <c r="T63" s="139">
        <f ca="1"/>
        <v>0.84444444444444444</v>
      </c>
      <c r="U63" s="131">
        <f ca="1"/>
        <v>240</v>
      </c>
      <c r="V63" s="120">
        <f ca="1"/>
        <v>18</v>
      </c>
      <c r="W63" s="140">
        <f ca="1"/>
        <v>6</v>
      </c>
      <c r="X63" s="139">
        <f ca="1"/>
        <v>0.93333333333333335</v>
      </c>
      <c r="Y63" s="141">
        <f ca="1"/>
        <v>0.65352499999999991</v>
      </c>
      <c r="Z63" s="141">
        <f ca="1"/>
        <v>0.65352499999999991</v>
      </c>
      <c r="AA63" s="142">
        <f ca="1"/>
        <v>11.763449999999999</v>
      </c>
      <c r="AB63" s="138">
        <f ca="1"/>
        <v>7</v>
      </c>
      <c r="AC63" s="103" t="str">
        <f ca="1"/>
        <v>VIGENTE</v>
      </c>
      <c r="AD63" s="150">
        <f ca="1"/>
        <v>1.7999999999999999E-2</v>
      </c>
    </row>
    <row r="64" spans="1:30">
      <c r="A64" s="111" t="str">
        <f ca="1"/>
        <v>SAN GABRIEL</v>
      </c>
      <c r="B64" s="111" t="str">
        <f ca="1"/>
        <v>QUESOS Y GRASAS</v>
      </c>
      <c r="C64" s="111" t="str">
        <f ca="1"/>
        <v xml:space="preserve">Esteban Montenegro                      </v>
      </c>
      <c r="D64" s="111" t="str">
        <f ca="1"/>
        <v>QUESO MOZARELLA KIOSKO</v>
      </c>
      <c r="E64" s="111" t="str">
        <f ca="1"/>
        <v>QUESO MOZARELLA PIZZA KIOSKO TAJADO</v>
      </c>
      <c r="F64" s="120" t="str">
        <f ca="1"/>
        <v>GUAYAQUIL</v>
      </c>
      <c r="G64" s="120">
        <f ca="1"/>
        <v>7711</v>
      </c>
      <c r="H64" s="120">
        <f ca="1"/>
        <v>1001</v>
      </c>
      <c r="I64" s="120" t="str">
        <f ca="1"/>
        <v>16157</v>
      </c>
      <c r="J64" s="120" t="str">
        <f ca="1"/>
        <v>Q MOZZAR KIOSKO 5 LONJ 75G</v>
      </c>
      <c r="K64" s="121">
        <f ca="1"/>
        <v>240</v>
      </c>
      <c r="L64" s="122">
        <f ca="1"/>
        <v>1</v>
      </c>
      <c r="M64" s="120">
        <f ca="1"/>
        <v>7.4999999999999997E-2</v>
      </c>
      <c r="N64" s="121">
        <f ca="1"/>
        <v>30</v>
      </c>
      <c r="O64" s="123">
        <f ca="1"/>
        <v>45611</v>
      </c>
      <c r="P64" s="123" t="str">
        <f ca="1"/>
        <v>viernes</v>
      </c>
      <c r="Q64" s="124">
        <f ca="1"/>
        <v>45609</v>
      </c>
      <c r="R64" s="124">
        <f ca="1"/>
        <v>45638</v>
      </c>
      <c r="S64" s="90">
        <f ca="1"/>
        <v>14</v>
      </c>
      <c r="T64" s="139">
        <f ca="1"/>
        <v>0.46666666666666667</v>
      </c>
      <c r="U64" s="131">
        <f ca="1"/>
        <v>31</v>
      </c>
      <c r="V64" s="120">
        <f ca="1"/>
        <v>2.3249999999999997</v>
      </c>
      <c r="W64" s="140">
        <f ca="1"/>
        <v>2</v>
      </c>
      <c r="X64" s="139">
        <f ca="1"/>
        <v>0.93333333333333335</v>
      </c>
      <c r="Y64" s="141">
        <f ca="1"/>
        <v>0.60747499999999999</v>
      </c>
      <c r="Z64" s="141">
        <f ca="1"/>
        <v>0.60747499999999999</v>
      </c>
      <c r="AA64" s="142">
        <f ca="1"/>
        <v>1.4123793749999998</v>
      </c>
      <c r="AB64" s="138">
        <f ca="1"/>
        <v>13</v>
      </c>
      <c r="AC64" s="103" t="str">
        <f ca="1"/>
        <v>FECHA CORTA</v>
      </c>
      <c r="AD64" s="150">
        <f ca="1"/>
        <v>2.3249999999999998E-3</v>
      </c>
    </row>
    <row r="65" spans="1:30">
      <c r="A65" s="111" t="str">
        <f ca="1"/>
        <v>SAN GABRIEL</v>
      </c>
      <c r="B65" s="111" t="str">
        <f ca="1"/>
        <v>QUESOS Y GRASAS</v>
      </c>
      <c r="C65" s="111" t="str">
        <f ca="1"/>
        <v xml:space="preserve">Esteban Montenegro                      </v>
      </c>
      <c r="D65" s="111" t="str">
        <f ca="1"/>
        <v>QUESO MOZARELLA KIOSKO</v>
      </c>
      <c r="E65" s="111" t="str">
        <f ca="1"/>
        <v>QUESO MOZARELLA PIZZA KIOSKO TAJADO</v>
      </c>
      <c r="F65" s="120" t="str">
        <f ca="1"/>
        <v>GUAYAQUIL</v>
      </c>
      <c r="G65" s="120">
        <f ca="1"/>
        <v>7711</v>
      </c>
      <c r="H65" s="120">
        <f ca="1"/>
        <v>1001</v>
      </c>
      <c r="I65" s="120" t="str">
        <f ca="1"/>
        <v>16157</v>
      </c>
      <c r="J65" s="120" t="str">
        <f ca="1"/>
        <v>Q MOZZAR KIOSKO 5 LONJ 75G</v>
      </c>
      <c r="K65" s="121">
        <f ca="1"/>
        <v>720</v>
      </c>
      <c r="L65" s="122">
        <f ca="1"/>
        <v>1</v>
      </c>
      <c r="M65" s="120">
        <f ca="1"/>
        <v>7.4999999999999997E-2</v>
      </c>
      <c r="N65" s="121">
        <f ca="1"/>
        <v>30</v>
      </c>
      <c r="O65" s="123">
        <f ca="1"/>
        <v>45615</v>
      </c>
      <c r="P65" s="123" t="str">
        <f ca="1"/>
        <v>martes</v>
      </c>
      <c r="Q65" s="124">
        <f ca="1"/>
        <v>45611</v>
      </c>
      <c r="R65" s="124">
        <f ca="1"/>
        <v>45640</v>
      </c>
      <c r="S65" s="90">
        <f ca="1"/>
        <v>16</v>
      </c>
      <c r="T65" s="139">
        <f ca="1"/>
        <v>0.53333333333333333</v>
      </c>
      <c r="U65" s="131">
        <f ca="1"/>
        <v>15</v>
      </c>
      <c r="V65" s="120">
        <f ca="1"/>
        <v>1.125</v>
      </c>
      <c r="W65" s="140">
        <f ca="1"/>
        <v>4</v>
      </c>
      <c r="X65" s="139">
        <f ca="1"/>
        <v>0.8666666666666667</v>
      </c>
      <c r="Y65" s="141">
        <f ca="1"/>
        <v>0.60747499999999999</v>
      </c>
      <c r="Z65" s="141">
        <f ca="1"/>
        <v>0.60747499999999999</v>
      </c>
      <c r="AA65" s="142">
        <f ca="1"/>
        <v>0.68340937499999999</v>
      </c>
      <c r="AB65" s="138">
        <f ca="1"/>
        <v>9</v>
      </c>
      <c r="AC65" s="103" t="str">
        <f ca="1"/>
        <v>FECHA CORTA</v>
      </c>
      <c r="AD65" s="150">
        <f ca="1"/>
        <v>1.1249999999999999E-3</v>
      </c>
    </row>
    <row r="66" spans="1:30">
      <c r="A66" s="111" t="str">
        <f ca="1"/>
        <v>SAN GABRIEL</v>
      </c>
      <c r="B66" s="111" t="str">
        <f ca="1"/>
        <v>QUESOS Y GRASAS</v>
      </c>
      <c r="C66" s="111" t="str">
        <f ca="1"/>
        <v xml:space="preserve">Esteban Montenegro                      </v>
      </c>
      <c r="D66" s="111" t="str">
        <f ca="1"/>
        <v>QUESO MOZARELLA KIOSKO</v>
      </c>
      <c r="E66" s="111" t="str">
        <f ca="1"/>
        <v>QUESO MOZARELLA PIZZA KIOSKO TAJADO</v>
      </c>
      <c r="F66" s="120" t="str">
        <f ca="1"/>
        <v>GUAYAQUIL</v>
      </c>
      <c r="G66" s="120">
        <f ca="1"/>
        <v>7711</v>
      </c>
      <c r="H66" s="120">
        <f ca="1"/>
        <v>1001</v>
      </c>
      <c r="I66" s="120" t="str">
        <f ca="1"/>
        <v>16157</v>
      </c>
      <c r="J66" s="120" t="str">
        <f ca="1"/>
        <v>Q MOZZAR KIOSKO 5 LONJ 75G</v>
      </c>
      <c r="K66" s="121">
        <f ca="1"/>
        <v>480</v>
      </c>
      <c r="L66" s="122">
        <f ca="1"/>
        <v>1</v>
      </c>
      <c r="M66" s="120">
        <f ca="1"/>
        <v>7.4999999999999997E-2</v>
      </c>
      <c r="N66" s="121">
        <f ca="1"/>
        <v>30</v>
      </c>
      <c r="O66" s="123">
        <f ca="1"/>
        <v>45617</v>
      </c>
      <c r="P66" s="123" t="str">
        <f ca="1"/>
        <v>jueves</v>
      </c>
      <c r="Q66" s="124">
        <f ca="1"/>
        <v>45616</v>
      </c>
      <c r="R66" s="124">
        <f ca="1"/>
        <v>45645</v>
      </c>
      <c r="S66" s="90">
        <f ca="1"/>
        <v>21</v>
      </c>
      <c r="T66" s="139">
        <f ca="1"/>
        <v>0.7</v>
      </c>
      <c r="U66" s="131">
        <f ca="1"/>
        <v>480</v>
      </c>
      <c r="V66" s="120">
        <f ca="1"/>
        <v>36</v>
      </c>
      <c r="W66" s="140">
        <f ca="1"/>
        <v>1</v>
      </c>
      <c r="X66" s="139">
        <f ca="1"/>
        <v>0.96666666666666667</v>
      </c>
      <c r="Y66" s="141">
        <f ca="1"/>
        <v>0.60747499999999999</v>
      </c>
      <c r="Z66" s="141">
        <f ca="1"/>
        <v>0.60747499999999999</v>
      </c>
      <c r="AA66" s="142">
        <f ca="1"/>
        <v>21.8691</v>
      </c>
      <c r="AB66" s="138">
        <f ca="1"/>
        <v>7</v>
      </c>
      <c r="AC66" s="103" t="str">
        <f ca="1"/>
        <v>FECHA CORTA</v>
      </c>
      <c r="AD66" s="150">
        <f ca="1"/>
        <v>3.5999999999999997E-2</v>
      </c>
    </row>
    <row r="67" spans="1:30">
      <c r="A67" s="111" t="str">
        <f ca="1"/>
        <v>MACHACHI</v>
      </c>
      <c r="B67" s="111" t="str">
        <f ca="1"/>
        <v>BEBIDAS LACTEAS</v>
      </c>
      <c r="C67" s="111" t="str">
        <f ca="1"/>
        <v xml:space="preserve">Luis Armendariz                         </v>
      </c>
      <c r="D67" s="111" t="str">
        <f ca="1"/>
        <v>YOGURT KIOSKO</v>
      </c>
      <c r="E67" s="111" t="str">
        <f ca="1"/>
        <v>BEBIDA DE YOGURT KIOSKO BOTELLA PERSONAL</v>
      </c>
      <c r="F67" s="120" t="str">
        <f ca="1"/>
        <v>GUAYAQUIL</v>
      </c>
      <c r="G67" s="120">
        <f ca="1"/>
        <v>7711</v>
      </c>
      <c r="H67" s="120">
        <f ca="1"/>
        <v>1001</v>
      </c>
      <c r="I67" s="120" t="str">
        <f ca="1"/>
        <v>16373</v>
      </c>
      <c r="J67" s="120" t="str">
        <f ca="1"/>
        <v>YOG BBLE KIOSKO DZNO 180</v>
      </c>
      <c r="K67" s="121">
        <f ca="1"/>
        <v>108</v>
      </c>
      <c r="L67" s="122">
        <f ca="1"/>
        <v>1</v>
      </c>
      <c r="M67" s="120">
        <f ca="1"/>
        <v>0.18</v>
      </c>
      <c r="N67" s="121">
        <f ca="1"/>
        <v>45</v>
      </c>
      <c r="O67" s="123">
        <f ca="1"/>
        <v>45612</v>
      </c>
      <c r="P67" s="123" t="str">
        <f ca="1"/>
        <v>sábado</v>
      </c>
      <c r="Q67" s="124">
        <f ca="1"/>
        <v>45611</v>
      </c>
      <c r="R67" s="124">
        <f ca="1"/>
        <v>45655</v>
      </c>
      <c r="S67" s="90">
        <f ca="1"/>
        <v>31</v>
      </c>
      <c r="T67" s="139">
        <f ca="1"/>
        <v>0.68888888888888888</v>
      </c>
      <c r="U67" s="131">
        <f ca="1"/>
        <v>16</v>
      </c>
      <c r="V67" s="120">
        <f ca="1"/>
        <v>2.88</v>
      </c>
      <c r="W67" s="140">
        <f ca="1"/>
        <v>1</v>
      </c>
      <c r="X67" s="139">
        <f ca="1"/>
        <v>0.97777777777777775</v>
      </c>
      <c r="Y67" s="141">
        <f ca="1"/>
        <v>0.24857499999999999</v>
      </c>
      <c r="Z67" s="141">
        <f ca="1"/>
        <v>0.24857499999999999</v>
      </c>
      <c r="AA67" s="142">
        <f ca="1"/>
        <v>0.71589599999999998</v>
      </c>
      <c r="AB67" s="138">
        <f ca="1"/>
        <v>12</v>
      </c>
      <c r="AC67" s="103" t="str">
        <f ca="1"/>
        <v>VIGENTE</v>
      </c>
      <c r="AD67" s="150">
        <f ca="1"/>
        <v>2.8799999999999997E-3</v>
      </c>
    </row>
    <row r="68" spans="1:30">
      <c r="A68" s="111" t="str">
        <f ca="1"/>
        <v>MACHACHI</v>
      </c>
      <c r="B68" s="111" t="str">
        <f ca="1"/>
        <v>BEBIDAS LACTEAS</v>
      </c>
      <c r="C68" s="111" t="str">
        <f ca="1"/>
        <v xml:space="preserve">Luis Armendariz                         </v>
      </c>
      <c r="D68" s="111" t="str">
        <f ca="1"/>
        <v>YOGURT KIOSKO</v>
      </c>
      <c r="E68" s="111" t="str">
        <f ca="1"/>
        <v>BEBIDA DE YOGURT KIOSKO BOTELLA PERSONAL</v>
      </c>
      <c r="F68" s="120" t="str">
        <f ca="1"/>
        <v>GUAYAQUIL</v>
      </c>
      <c r="G68" s="120">
        <f ca="1"/>
        <v>7711</v>
      </c>
      <c r="H68" s="120">
        <f ca="1"/>
        <v>1001</v>
      </c>
      <c r="I68" s="120" t="str">
        <f ca="1"/>
        <v>16373</v>
      </c>
      <c r="J68" s="120" t="str">
        <f ca="1"/>
        <v>YOG BBLE KIOSKO DZNO 180</v>
      </c>
      <c r="K68" s="121">
        <f ca="1"/>
        <v>108</v>
      </c>
      <c r="L68" s="122">
        <f ca="1"/>
        <v>1</v>
      </c>
      <c r="M68" s="120">
        <f ca="1"/>
        <v>0.18</v>
      </c>
      <c r="N68" s="121">
        <f ca="1"/>
        <v>45</v>
      </c>
      <c r="O68" s="123">
        <f ca="1"/>
        <v>45616</v>
      </c>
      <c r="P68" s="123" t="str">
        <f ca="1"/>
        <v>miércoles</v>
      </c>
      <c r="Q68" s="124">
        <f ca="1"/>
        <v>45611</v>
      </c>
      <c r="R68" s="124">
        <f ca="1"/>
        <v>45655</v>
      </c>
      <c r="S68" s="90">
        <f ca="1"/>
        <v>31</v>
      </c>
      <c r="T68" s="139">
        <f ca="1"/>
        <v>0.68888888888888888</v>
      </c>
      <c r="U68" s="131">
        <f ca="1"/>
        <v>108</v>
      </c>
      <c r="V68" s="120">
        <f ca="1"/>
        <v>19.439999999999998</v>
      </c>
      <c r="W68" s="140">
        <f ca="1"/>
        <v>5</v>
      </c>
      <c r="X68" s="139">
        <f ca="1"/>
        <v>0.88888888888888884</v>
      </c>
      <c r="Y68" s="141">
        <f ca="1"/>
        <v>0.24857499999999999</v>
      </c>
      <c r="Z68" s="141">
        <f ca="1"/>
        <v>0.24857499999999999</v>
      </c>
      <c r="AA68" s="142">
        <f ca="1"/>
        <v>4.8322979999999989</v>
      </c>
      <c r="AB68" s="138">
        <f ca="1"/>
        <v>8</v>
      </c>
      <c r="AC68" s="103" t="str">
        <f ca="1"/>
        <v>VIGENTE</v>
      </c>
      <c r="AD68" s="150">
        <f ca="1"/>
        <v>1.9439999999999999E-2</v>
      </c>
    </row>
    <row r="69" spans="1:30">
      <c r="A69" s="111" t="str">
        <f ca="1"/>
        <v>MACHACHI</v>
      </c>
      <c r="B69" s="111" t="str">
        <f ca="1"/>
        <v>BEBIDAS LACTEAS</v>
      </c>
      <c r="C69" s="111" t="str">
        <f ca="1"/>
        <v xml:space="preserve">Luis Armendariz                         </v>
      </c>
      <c r="D69" s="111" t="str">
        <f ca="1"/>
        <v>REGENERIS</v>
      </c>
      <c r="E69" s="111" t="str">
        <f ca="1"/>
        <v>REGENERIS BAJO EN GRASA BOTELLA PERSONAL</v>
      </c>
      <c r="F69" s="120" t="str">
        <f ca="1"/>
        <v>GUAYAQUIL</v>
      </c>
      <c r="G69" s="120">
        <f ca="1"/>
        <v>7711</v>
      </c>
      <c r="H69" s="120">
        <f ca="1"/>
        <v>1001</v>
      </c>
      <c r="I69" s="120" t="str">
        <f ca="1"/>
        <v>4010</v>
      </c>
      <c r="J69" s="120" t="str">
        <f ca="1"/>
        <v>RGN LGHT FTLLA BOT 180G</v>
      </c>
      <c r="K69" s="121">
        <f ca="1"/>
        <v>108</v>
      </c>
      <c r="L69" s="122">
        <f ca="1"/>
        <v>1</v>
      </c>
      <c r="M69" s="120">
        <f ca="1"/>
        <v>0.18</v>
      </c>
      <c r="N69" s="121">
        <f ca="1"/>
        <v>45</v>
      </c>
      <c r="O69" s="123">
        <f ca="1"/>
        <v>45610</v>
      </c>
      <c r="P69" s="123" t="str">
        <f ca="1"/>
        <v>jueves</v>
      </c>
      <c r="Q69" s="124">
        <f ca="1"/>
        <v>45602</v>
      </c>
      <c r="R69" s="124">
        <f ca="1"/>
        <v>45646</v>
      </c>
      <c r="S69" s="90">
        <f ca="1"/>
        <v>22</v>
      </c>
      <c r="T69" s="139">
        <f ca="1"/>
        <v>0.48888888888888887</v>
      </c>
      <c r="U69" s="131">
        <f ca="1"/>
        <v>16</v>
      </c>
      <c r="V69" s="120">
        <f ca="1"/>
        <v>2.88</v>
      </c>
      <c r="W69" s="140">
        <f ca="1"/>
        <v>8</v>
      </c>
      <c r="X69" s="139">
        <f ca="1"/>
        <v>0.82222222222222219</v>
      </c>
      <c r="Y69" s="141">
        <f ca="1"/>
        <v>0.28561000000000003</v>
      </c>
      <c r="Z69" s="141">
        <f ca="1"/>
        <v>0.28561000000000003</v>
      </c>
      <c r="AA69" s="142">
        <f ca="1"/>
        <v>0.82255680000000009</v>
      </c>
      <c r="AB69" s="138">
        <f ca="1"/>
        <v>14</v>
      </c>
      <c r="AC69" s="103" t="str">
        <f ca="1"/>
        <v>PROXIMOS FECHA CORTA</v>
      </c>
      <c r="AD69" s="150">
        <f ca="1"/>
        <v>2.8799999999999997E-3</v>
      </c>
    </row>
    <row r="70" spans="1:30">
      <c r="A70" s="111" t="str">
        <f ca="1"/>
        <v>MACHACHI</v>
      </c>
      <c r="B70" s="111" t="str">
        <f ca="1"/>
        <v>BEBIDAS LACTEAS</v>
      </c>
      <c r="C70" s="111" t="str">
        <f ca="1"/>
        <v xml:space="preserve">Luis Armendariz                         </v>
      </c>
      <c r="D70" s="111" t="str">
        <f ca="1"/>
        <v>REGENERIS</v>
      </c>
      <c r="E70" s="111" t="str">
        <f ca="1"/>
        <v>REGENERIS BAJO EN GRASA BOTELLA PERSONAL</v>
      </c>
      <c r="F70" s="120" t="str">
        <f ca="1"/>
        <v>GUAYAQUIL</v>
      </c>
      <c r="G70" s="120">
        <f ca="1"/>
        <v>7711</v>
      </c>
      <c r="H70" s="120">
        <f ca="1"/>
        <v>1001</v>
      </c>
      <c r="I70" s="120" t="str">
        <f ca="1"/>
        <v>4010</v>
      </c>
      <c r="J70" s="120" t="str">
        <f ca="1"/>
        <v>RGN LGHT FTLLA BOT 180G</v>
      </c>
      <c r="K70" s="121">
        <f ca="1"/>
        <v>108</v>
      </c>
      <c r="L70" s="122">
        <f ca="1"/>
        <v>1</v>
      </c>
      <c r="M70" s="120">
        <f ca="1"/>
        <v>0.18</v>
      </c>
      <c r="N70" s="121">
        <f ca="1"/>
        <v>45</v>
      </c>
      <c r="O70" s="123">
        <f ca="1"/>
        <v>45615</v>
      </c>
      <c r="P70" s="123" t="str">
        <f ca="1"/>
        <v>martes</v>
      </c>
      <c r="Q70" s="124">
        <f ca="1"/>
        <v>45610</v>
      </c>
      <c r="R70" s="124">
        <f ca="1"/>
        <v>45654</v>
      </c>
      <c r="S70" s="90">
        <f ca="1"/>
        <v>30</v>
      </c>
      <c r="T70" s="139">
        <f ca="1"/>
        <v>0.66666666666666663</v>
      </c>
      <c r="U70" s="131">
        <f ca="1"/>
        <v>0</v>
      </c>
      <c r="V70" s="120">
        <f ca="1"/>
        <v>0</v>
      </c>
      <c r="W70" s="140">
        <f ca="1"/>
        <v>5</v>
      </c>
      <c r="X70" s="139">
        <f ca="1"/>
        <v>0.88888888888888884</v>
      </c>
      <c r="Y70" s="141">
        <f ca="1"/>
        <v>0.28561000000000003</v>
      </c>
      <c r="Z70" s="141">
        <f ca="1"/>
        <v>0.28561000000000003</v>
      </c>
      <c r="AA70" s="142">
        <f ca="1"/>
        <v>0</v>
      </c>
      <c r="AB70" s="138">
        <f ca="1"/>
        <v>9</v>
      </c>
      <c r="AC70" s="103" t="str">
        <f ca="1"/>
        <v>VIGENTE</v>
      </c>
      <c r="AD70" s="150">
        <f ca="1"/>
        <v>0</v>
      </c>
    </row>
    <row r="71" spans="1:30">
      <c r="A71" s="111" t="str">
        <f ca="1"/>
        <v>MACHACHI</v>
      </c>
      <c r="B71" s="111" t="str">
        <f ca="1"/>
        <v>BEBIDAS LACTEAS</v>
      </c>
      <c r="C71" s="111" t="str">
        <f ca="1"/>
        <v xml:space="preserve">Luis Armendariz                         </v>
      </c>
      <c r="D71" s="111" t="str">
        <f ca="1"/>
        <v>REGENERIS</v>
      </c>
      <c r="E71" s="111" t="str">
        <f ca="1"/>
        <v>REGENERIS BAJO EN GRASA BOTELLA PERSONAL</v>
      </c>
      <c r="F71" s="120" t="str">
        <f ca="1"/>
        <v>GUAYAQUIL</v>
      </c>
      <c r="G71" s="120">
        <f ca="1"/>
        <v>7711</v>
      </c>
      <c r="H71" s="120">
        <f ca="1"/>
        <v>1001</v>
      </c>
      <c r="I71" s="120" t="str">
        <f ca="1"/>
        <v>4010</v>
      </c>
      <c r="J71" s="120" t="str">
        <f ca="1"/>
        <v>RGN LGHT FTLLA BOT 180G</v>
      </c>
      <c r="K71" s="121">
        <f ca="1"/>
        <v>108</v>
      </c>
      <c r="L71" s="122">
        <f ca="1"/>
        <v>1</v>
      </c>
      <c r="M71" s="120">
        <f ca="1"/>
        <v>0.18</v>
      </c>
      <c r="N71" s="121">
        <f ca="1"/>
        <v>45</v>
      </c>
      <c r="O71" s="123">
        <f ca="1"/>
        <v>45617</v>
      </c>
      <c r="P71" s="123" t="str">
        <f ca="1"/>
        <v>jueves</v>
      </c>
      <c r="Q71" s="124">
        <f ca="1"/>
        <v>45610</v>
      </c>
      <c r="R71" s="124">
        <f ca="1"/>
        <v>45654</v>
      </c>
      <c r="S71" s="90">
        <f ca="1"/>
        <v>30</v>
      </c>
      <c r="T71" s="139">
        <f ca="1"/>
        <v>0.66666666666666663</v>
      </c>
      <c r="U71" s="131">
        <f ca="1"/>
        <v>108</v>
      </c>
      <c r="V71" s="120">
        <f ca="1"/>
        <v>19.439999999999998</v>
      </c>
      <c r="W71" s="140">
        <f ca="1"/>
        <v>7</v>
      </c>
      <c r="X71" s="139">
        <f ca="1"/>
        <v>0.84444444444444444</v>
      </c>
      <c r="Y71" s="141">
        <f ca="1"/>
        <v>0.28561000000000003</v>
      </c>
      <c r="Z71" s="141">
        <f ca="1"/>
        <v>0.28561000000000003</v>
      </c>
      <c r="AA71" s="142">
        <f ca="1"/>
        <v>5.5522584000000004</v>
      </c>
      <c r="AB71" s="138">
        <f ca="1"/>
        <v>7</v>
      </c>
      <c r="AC71" s="103" t="str">
        <f ca="1"/>
        <v>VIGENTE</v>
      </c>
      <c r="AD71" s="150">
        <f ca="1"/>
        <v>1.9439999999999999E-2</v>
      </c>
    </row>
    <row r="72" spans="1:30">
      <c r="A72" s="111" t="str">
        <f ca="1"/>
        <v>COLOMBIA</v>
      </c>
      <c r="B72" s="111" t="str">
        <f ca="1"/>
        <v>BEBIDAS LACTEAS</v>
      </c>
      <c r="C72" s="111" t="str">
        <f ca="1"/>
        <v xml:space="preserve">Luis Armendariz                         </v>
      </c>
      <c r="D72" s="111" t="str">
        <f ca="1"/>
        <v>AVENA ALPINA</v>
      </c>
      <c r="E72" s="111" t="str">
        <f ca="1"/>
        <v>AVENA VASO</v>
      </c>
      <c r="F72" s="120" t="str">
        <f ca="1"/>
        <v>GUAYAQUIL</v>
      </c>
      <c r="G72" s="120">
        <f ca="1"/>
        <v>7711</v>
      </c>
      <c r="H72" s="120">
        <f ca="1"/>
        <v>1001</v>
      </c>
      <c r="I72" s="120" t="str">
        <f ca="1"/>
        <v>4450239</v>
      </c>
      <c r="J72" s="120" t="str">
        <f ca="1"/>
        <v>AVENA ORIGINAL VASO 250G ECU</v>
      </c>
      <c r="K72" s="121">
        <f ca="1"/>
        <v>1344</v>
      </c>
      <c r="L72" s="122">
        <f ca="1"/>
        <v>1</v>
      </c>
      <c r="M72" s="120">
        <f ca="1"/>
        <v>0.25</v>
      </c>
      <c r="N72" s="121">
        <f ca="1"/>
        <v>180</v>
      </c>
      <c r="O72" s="123">
        <f ca="1"/>
        <v>45603</v>
      </c>
      <c r="P72" s="123" t="str">
        <f ca="1"/>
        <v>jueves</v>
      </c>
      <c r="Q72" s="124">
        <f ca="1"/>
        <v>45545</v>
      </c>
      <c r="R72" s="124">
        <f ca="1"/>
        <v>45724</v>
      </c>
      <c r="S72" s="90">
        <f ca="1"/>
        <v>100</v>
      </c>
      <c r="T72" s="139">
        <f ca="1"/>
        <v>0.55555555555555558</v>
      </c>
      <c r="U72" s="131">
        <f ca="1"/>
        <v>1110</v>
      </c>
      <c r="V72" s="120">
        <f ca="1"/>
        <v>277.5</v>
      </c>
      <c r="W72" s="140">
        <f ca="1"/>
        <v>58</v>
      </c>
      <c r="X72" s="139">
        <f ca="1"/>
        <v>0.67777777777777781</v>
      </c>
      <c r="Y72" s="141">
        <f ca="1"/>
        <v>0.391795</v>
      </c>
      <c r="Z72" s="141">
        <f ca="1"/>
        <v>0.391795</v>
      </c>
      <c r="AA72" s="142">
        <f ca="1"/>
        <v>108.7231125</v>
      </c>
      <c r="AB72" s="138">
        <f ca="1"/>
        <v>21</v>
      </c>
      <c r="AC72" s="103" t="str">
        <f ca="1"/>
        <v>VIGENTE</v>
      </c>
      <c r="AD72" s="150">
        <f ca="1"/>
        <v>0.27750000000000002</v>
      </c>
    </row>
    <row r="73" spans="1:30">
      <c r="A73" s="111" t="str">
        <f ca="1"/>
        <v>COLOMBIA</v>
      </c>
      <c r="B73" s="111" t="str">
        <f ca="1"/>
        <v>BEBIDAS LACTEAS</v>
      </c>
      <c r="C73" s="111" t="str">
        <f ca="1"/>
        <v xml:space="preserve">Luis Armendariz                         </v>
      </c>
      <c r="D73" s="111" t="str">
        <f ca="1"/>
        <v>AVENA ALPINA</v>
      </c>
      <c r="E73" s="111" t="str">
        <f ca="1"/>
        <v>AVENA VASO</v>
      </c>
      <c r="F73" s="120" t="str">
        <f ca="1"/>
        <v>GUAYAQUIL</v>
      </c>
      <c r="G73" s="120">
        <f ca="1"/>
        <v>7711</v>
      </c>
      <c r="H73" s="120">
        <f ca="1"/>
        <v>1001</v>
      </c>
      <c r="I73" s="120" t="str">
        <f ca="1"/>
        <v>4450239</v>
      </c>
      <c r="J73" s="120" t="str">
        <f ca="1"/>
        <v>AVENA ORIGINAL VASO 250G ECU</v>
      </c>
      <c r="K73" s="121">
        <f ca="1"/>
        <v>2688</v>
      </c>
      <c r="L73" s="122">
        <f ca="1"/>
        <v>1</v>
      </c>
      <c r="M73" s="120">
        <f ca="1"/>
        <v>0.25</v>
      </c>
      <c r="N73" s="121">
        <f ca="1"/>
        <v>180</v>
      </c>
      <c r="O73" s="123">
        <f ca="1"/>
        <v>45608</v>
      </c>
      <c r="P73" s="123" t="str">
        <f ca="1"/>
        <v>martes</v>
      </c>
      <c r="Q73" s="124">
        <f ca="1"/>
        <v>45583</v>
      </c>
      <c r="R73" s="124">
        <f ca="1"/>
        <v>45762</v>
      </c>
      <c r="S73" s="90">
        <f ca="1"/>
        <v>138</v>
      </c>
      <c r="T73" s="139">
        <f ca="1"/>
        <v>0.76666666666666672</v>
      </c>
      <c r="U73" s="131">
        <f ca="1"/>
        <v>2688</v>
      </c>
      <c r="V73" s="120">
        <f ca="1"/>
        <v>672</v>
      </c>
      <c r="W73" s="140">
        <f ca="1"/>
        <v>25</v>
      </c>
      <c r="X73" s="139">
        <f ca="1"/>
        <v>0.86111111111111116</v>
      </c>
      <c r="Y73" s="141">
        <f ca="1"/>
        <v>0.391795</v>
      </c>
      <c r="Z73" s="141">
        <f ca="1"/>
        <v>0.391795</v>
      </c>
      <c r="AA73" s="142">
        <f ca="1"/>
        <v>263.28624000000002</v>
      </c>
      <c r="AB73" s="138">
        <f ca="1"/>
        <v>16</v>
      </c>
      <c r="AC73" s="103" t="str">
        <f ca="1"/>
        <v>VIGENTE</v>
      </c>
      <c r="AD73" s="150">
        <f ca="1"/>
        <v>0.67200000000000004</v>
      </c>
    </row>
    <row r="74" spans="1:30">
      <c r="A74" s="111" t="str">
        <f ca="1"/>
        <v>COLOMBIA</v>
      </c>
      <c r="B74" s="111" t="str">
        <f ca="1"/>
        <v>BEBIDAS LACTEAS</v>
      </c>
      <c r="C74" s="111" t="str">
        <f ca="1"/>
        <v xml:space="preserve">Luis Armendariz                         </v>
      </c>
      <c r="D74" s="111" t="str">
        <f ca="1"/>
        <v>AVENA ALPINA</v>
      </c>
      <c r="E74" s="111" t="str">
        <f ca="1"/>
        <v>AVENA VASO</v>
      </c>
      <c r="F74" s="120" t="str">
        <f ca="1"/>
        <v>GUAYAQUIL</v>
      </c>
      <c r="G74" s="120">
        <f ca="1"/>
        <v>7711</v>
      </c>
      <c r="H74" s="120">
        <f ca="1"/>
        <v>1001</v>
      </c>
      <c r="I74" s="120" t="str">
        <f ca="1"/>
        <v>4450239</v>
      </c>
      <c r="J74" s="120" t="str">
        <f ca="1"/>
        <v>AVENA ORIGINAL VASO 250G ECU</v>
      </c>
      <c r="K74" s="121">
        <f ca="1"/>
        <v>1344</v>
      </c>
      <c r="L74" s="122">
        <f ca="1"/>
        <v>1</v>
      </c>
      <c r="M74" s="120">
        <f ca="1"/>
        <v>0.25</v>
      </c>
      <c r="N74" s="121">
        <f ca="1"/>
        <v>180</v>
      </c>
      <c r="O74" s="123">
        <f ca="1"/>
        <v>45609</v>
      </c>
      <c r="P74" s="123" t="str">
        <f ca="1"/>
        <v>miércoles</v>
      </c>
      <c r="Q74" s="124">
        <f ca="1"/>
        <v>45545</v>
      </c>
      <c r="R74" s="124">
        <f ca="1"/>
        <v>45724</v>
      </c>
      <c r="S74" s="90">
        <f ca="1"/>
        <v>100</v>
      </c>
      <c r="T74" s="139">
        <f ca="1"/>
        <v>0.55555555555555558</v>
      </c>
      <c r="U74" s="131">
        <f ca="1"/>
        <v>1344</v>
      </c>
      <c r="V74" s="120">
        <f ca="1"/>
        <v>336</v>
      </c>
      <c r="W74" s="140">
        <f ca="1"/>
        <v>64</v>
      </c>
      <c r="X74" s="139">
        <f ca="1"/>
        <v>0.64444444444444438</v>
      </c>
      <c r="Y74" s="141">
        <f ca="1"/>
        <v>0.391795</v>
      </c>
      <c r="Z74" s="141">
        <f ca="1"/>
        <v>0.391795</v>
      </c>
      <c r="AA74" s="142">
        <f ca="1"/>
        <v>131.64312000000001</v>
      </c>
      <c r="AB74" s="138">
        <f ca="1"/>
        <v>15</v>
      </c>
      <c r="AC74" s="103" t="str">
        <f ca="1"/>
        <v>VIGENTE</v>
      </c>
      <c r="AD74" s="150">
        <f ca="1"/>
        <v>0.33600000000000002</v>
      </c>
    </row>
    <row r="75" spans="1:30">
      <c r="A75" s="111" t="str">
        <f ca="1"/>
        <v>COLOMBIA</v>
      </c>
      <c r="B75" s="111" t="str">
        <f ca="1"/>
        <v>BEBIDAS LACTEAS</v>
      </c>
      <c r="C75" s="111" t="str">
        <f ca="1"/>
        <v xml:space="preserve">Luis Armendariz                         </v>
      </c>
      <c r="D75" s="111" t="str">
        <f ca="1"/>
        <v>AVENA ALPINA</v>
      </c>
      <c r="E75" s="111" t="str">
        <f ca="1"/>
        <v>AVENA VASO</v>
      </c>
      <c r="F75" s="120" t="str">
        <f ca="1"/>
        <v>GUAYAQUIL</v>
      </c>
      <c r="G75" s="120">
        <f ca="1"/>
        <v>7711</v>
      </c>
      <c r="H75" s="120">
        <f ca="1"/>
        <v>1001</v>
      </c>
      <c r="I75" s="120" t="str">
        <f ca="1"/>
        <v>4450239</v>
      </c>
      <c r="J75" s="120" t="str">
        <f ca="1"/>
        <v>AVENA ORIGINAL VASO 250G ECU</v>
      </c>
      <c r="K75" s="121">
        <f ca="1"/>
        <v>1344</v>
      </c>
      <c r="L75" s="122">
        <f ca="1"/>
        <v>1</v>
      </c>
      <c r="M75" s="120">
        <f ca="1"/>
        <v>0.25</v>
      </c>
      <c r="N75" s="121">
        <f ca="1"/>
        <v>180</v>
      </c>
      <c r="O75" s="123">
        <f ca="1"/>
        <v>45610</v>
      </c>
      <c r="P75" s="123" t="str">
        <f ca="1"/>
        <v>jueves</v>
      </c>
      <c r="Q75" s="124">
        <f ca="1"/>
        <v>45583</v>
      </c>
      <c r="R75" s="124">
        <f ca="1"/>
        <v>45762</v>
      </c>
      <c r="S75" s="90">
        <f ca="1"/>
        <v>138</v>
      </c>
      <c r="T75" s="139">
        <f ca="1"/>
        <v>0.76666666666666672</v>
      </c>
      <c r="U75" s="131">
        <f ca="1"/>
        <v>1344</v>
      </c>
      <c r="V75" s="120">
        <f ca="1"/>
        <v>336</v>
      </c>
      <c r="W75" s="140">
        <f ca="1"/>
        <v>27</v>
      </c>
      <c r="X75" s="139">
        <f ca="1"/>
        <v>0.85</v>
      </c>
      <c r="Y75" s="141">
        <f ca="1"/>
        <v>0.391795</v>
      </c>
      <c r="Z75" s="141">
        <f ca="1"/>
        <v>0.391795</v>
      </c>
      <c r="AA75" s="142">
        <f ca="1"/>
        <v>131.64312000000001</v>
      </c>
      <c r="AB75" s="138">
        <f ca="1"/>
        <v>14</v>
      </c>
      <c r="AC75" s="103" t="str">
        <f ca="1"/>
        <v>VIGENTE</v>
      </c>
      <c r="AD75" s="150">
        <f ca="1"/>
        <v>0.33600000000000002</v>
      </c>
    </row>
    <row r="76" spans="1:30">
      <c r="A76" s="111" t="str">
        <f ca="1"/>
        <v>COLOMBIA</v>
      </c>
      <c r="B76" s="111" t="str">
        <f ca="1"/>
        <v>BEBIDAS LACTEAS</v>
      </c>
      <c r="C76" s="111" t="str">
        <f ca="1"/>
        <v xml:space="preserve">Luis Armendariz                         </v>
      </c>
      <c r="D76" s="111" t="str">
        <f ca="1"/>
        <v>AVENA ALPINA</v>
      </c>
      <c r="E76" s="111" t="str">
        <f ca="1"/>
        <v>AVENA VASO</v>
      </c>
      <c r="F76" s="120" t="str">
        <f ca="1"/>
        <v>GUAYAQUIL</v>
      </c>
      <c r="G76" s="120">
        <f ca="1"/>
        <v>7711</v>
      </c>
      <c r="H76" s="120">
        <f ca="1"/>
        <v>1001</v>
      </c>
      <c r="I76" s="120" t="str">
        <f ca="1"/>
        <v>4450239</v>
      </c>
      <c r="J76" s="120" t="str">
        <f ca="1"/>
        <v>AVENA ORIGINAL VASO 250G ECU</v>
      </c>
      <c r="K76" s="121">
        <f ca="1"/>
        <v>2688</v>
      </c>
      <c r="L76" s="122">
        <f ca="1"/>
        <v>1</v>
      </c>
      <c r="M76" s="120">
        <f ca="1"/>
        <v>0.25</v>
      </c>
      <c r="N76" s="121">
        <f ca="1"/>
        <v>180</v>
      </c>
      <c r="O76" s="123">
        <f ca="1"/>
        <v>45570</v>
      </c>
      <c r="P76" s="123" t="str">
        <f ca="1"/>
        <v>sábado</v>
      </c>
      <c r="Q76" s="124">
        <f ca="1"/>
        <v>45562</v>
      </c>
      <c r="R76" s="124">
        <f ca="1"/>
        <v>45741</v>
      </c>
      <c r="S76" s="90">
        <f ca="1"/>
        <v>117</v>
      </c>
      <c r="T76" s="139">
        <f ca="1"/>
        <v>0.65</v>
      </c>
      <c r="U76" s="131">
        <f ca="1"/>
        <v>3</v>
      </c>
      <c r="V76" s="120">
        <f ca="1"/>
        <v>0.75</v>
      </c>
      <c r="W76" s="140">
        <f ca="1"/>
        <v>8</v>
      </c>
      <c r="X76" s="139">
        <f ca="1"/>
        <v>0.9555555555555556</v>
      </c>
      <c r="Y76" s="141">
        <f ca="1"/>
        <v>0.391795</v>
      </c>
      <c r="Z76" s="141">
        <f ca="1"/>
        <v>0.391795</v>
      </c>
      <c r="AA76" s="142">
        <f ca="1"/>
        <v>0.29384624999999998</v>
      </c>
      <c r="AB76" s="138">
        <f ca="1"/>
        <v>54</v>
      </c>
      <c r="AC76" s="103" t="str">
        <f ca="1"/>
        <v>VIGENTE</v>
      </c>
      <c r="AD76" s="150">
        <f ca="1"/>
        <v>7.5000000000000002E-4</v>
      </c>
    </row>
    <row r="77" spans="1:30">
      <c r="A77" s="111" t="str">
        <f ca="1"/>
        <v>COLOMBIA</v>
      </c>
      <c r="B77" s="111" t="str">
        <f ca="1"/>
        <v>BEBIDAS LACTEAS</v>
      </c>
      <c r="C77" s="111" t="str">
        <f ca="1"/>
        <v xml:space="preserve">Luis Armendariz                         </v>
      </c>
      <c r="D77" s="111" t="str">
        <f ca="1"/>
        <v>AVENA ALPINA</v>
      </c>
      <c r="E77" s="111" t="str">
        <f ca="1"/>
        <v>AVENA VASO</v>
      </c>
      <c r="F77" s="120" t="str">
        <f ca="1"/>
        <v>GUAYAQUIL</v>
      </c>
      <c r="G77" s="120">
        <f ca="1"/>
        <v>7711</v>
      </c>
      <c r="H77" s="120">
        <f ca="1"/>
        <v>1001</v>
      </c>
      <c r="I77" s="120" t="str">
        <f ca="1"/>
        <v>4450239</v>
      </c>
      <c r="J77" s="120" t="str">
        <f ca="1"/>
        <v>AVENA ORIGINAL VASO 250G ECU</v>
      </c>
      <c r="K77" s="121">
        <f ca="1"/>
        <v>0</v>
      </c>
      <c r="L77" s="122">
        <f ca="1"/>
        <v>1</v>
      </c>
      <c r="M77" s="120">
        <f ca="1"/>
        <v>0.25</v>
      </c>
      <c r="N77" s="121">
        <f ca="1"/>
        <v>180</v>
      </c>
      <c r="O77" s="123">
        <f ca="1"/>
        <v>45910</v>
      </c>
      <c r="P77" s="123" t="str">
        <f ca="1"/>
        <v>miércoles</v>
      </c>
      <c r="Q77" s="124">
        <f ca="1"/>
        <v>45910</v>
      </c>
      <c r="R77" s="124">
        <f ca="1"/>
        <v>46089</v>
      </c>
      <c r="S77" s="90">
        <f ca="1"/>
        <v>465</v>
      </c>
      <c r="T77" s="139">
        <f ca="1"/>
        <v>2.5833333333333335</v>
      </c>
      <c r="U77" s="131">
        <f ca="1"/>
        <v>3</v>
      </c>
      <c r="V77" s="120">
        <f ca="1"/>
        <v>0.75</v>
      </c>
      <c r="W77" s="140">
        <f ca="1"/>
        <v>0</v>
      </c>
      <c r="X77" s="139">
        <f ca="1"/>
        <v>1</v>
      </c>
      <c r="Y77" s="141">
        <f ca="1"/>
        <v>0.391795</v>
      </c>
      <c r="Z77" s="141">
        <f ca="1"/>
        <v>0.391795</v>
      </c>
      <c r="AA77" s="142">
        <f ca="1"/>
        <v>0.29384624999999998</v>
      </c>
      <c r="AB77" s="138">
        <f ca="1"/>
        <v>-286</v>
      </c>
      <c r="AC77" s="103" t="str">
        <f ca="1"/>
        <v>VIGENTE</v>
      </c>
      <c r="AD77" s="150">
        <f ca="1"/>
        <v>7.5000000000000002E-4</v>
      </c>
    </row>
    <row r="78" spans="1:30">
      <c r="A78" s="111" t="str">
        <f ca="1"/>
        <v>MACHACHI</v>
      </c>
      <c r="B78" s="111" t="str">
        <f ca="1"/>
        <v>BEBIDAS LACTEAS</v>
      </c>
      <c r="C78" s="111" t="str">
        <f ca="1"/>
        <v xml:space="preserve">Luis Armendariz                         </v>
      </c>
      <c r="D78" s="111" t="str">
        <f ca="1"/>
        <v>KUMIS ALPINA</v>
      </c>
      <c r="E78" s="111" t="str">
        <f ca="1"/>
        <v>KUMIS BOTELLA FAMILIAR</v>
      </c>
      <c r="F78" s="120" t="str">
        <f ca="1"/>
        <v>GUAYAQUIL</v>
      </c>
      <c r="G78" s="120">
        <f ca="1"/>
        <v>7711</v>
      </c>
      <c r="H78" s="120">
        <f ca="1"/>
        <v>1001</v>
      </c>
      <c r="I78" s="120" t="str">
        <f ca="1"/>
        <v>4865</v>
      </c>
      <c r="J78" s="120" t="str">
        <f ca="1"/>
        <v>KUMIS ORIG BOT 1750G</v>
      </c>
      <c r="K78" s="121">
        <f ca="1"/>
        <v>48</v>
      </c>
      <c r="L78" s="122">
        <f ca="1"/>
        <v>1</v>
      </c>
      <c r="M78" s="120">
        <f ca="1"/>
        <v>1.75</v>
      </c>
      <c r="N78" s="121">
        <f ca="1"/>
        <v>45</v>
      </c>
      <c r="O78" s="123">
        <f ca="1"/>
        <v>45609</v>
      </c>
      <c r="P78" s="123" t="str">
        <f ca="1"/>
        <v>miércoles</v>
      </c>
      <c r="Q78" s="124">
        <f ca="1"/>
        <v>45604</v>
      </c>
      <c r="R78" s="124">
        <f ca="1"/>
        <v>45648</v>
      </c>
      <c r="S78" s="90">
        <f ca="1"/>
        <v>24</v>
      </c>
      <c r="T78" s="139">
        <f ca="1"/>
        <v>0.53333333333333333</v>
      </c>
      <c r="U78" s="131">
        <f ca="1"/>
        <v>44</v>
      </c>
      <c r="V78" s="120">
        <f ca="1"/>
        <v>77</v>
      </c>
      <c r="W78" s="140">
        <f ca="1"/>
        <v>5</v>
      </c>
      <c r="X78" s="139">
        <f ca="1"/>
        <v>0.88888888888888884</v>
      </c>
      <c r="Y78" s="141">
        <f ca="1"/>
        <v>1.88428</v>
      </c>
      <c r="Z78" s="141">
        <f ca="1"/>
        <v>1.88428</v>
      </c>
      <c r="AA78" s="142">
        <f ca="1"/>
        <v>145.08956000000001</v>
      </c>
      <c r="AB78" s="138">
        <f ca="1"/>
        <v>15</v>
      </c>
      <c r="AC78" s="103" t="str">
        <f ca="1"/>
        <v>PROXIMOS FECHA CORTA</v>
      </c>
      <c r="AD78" s="150">
        <f ca="1"/>
        <v>7.6999999999999999E-2</v>
      </c>
    </row>
    <row r="79" spans="1:30">
      <c r="A79" s="111" t="str">
        <f ca="1"/>
        <v>MACHACHI</v>
      </c>
      <c r="B79" s="111" t="str">
        <f ca="1"/>
        <v>BEBIDAS LACTEAS</v>
      </c>
      <c r="C79" s="111" t="str">
        <f ca="1"/>
        <v xml:space="preserve">Luis Armendariz                         </v>
      </c>
      <c r="D79" s="111" t="str">
        <f ca="1"/>
        <v>KUMIS ALPINA</v>
      </c>
      <c r="E79" s="111" t="str">
        <f ca="1"/>
        <v>KUMIS BOTELLA FAMILIAR</v>
      </c>
      <c r="F79" s="120" t="str">
        <f ca="1"/>
        <v>GUAYAQUIL</v>
      </c>
      <c r="G79" s="120">
        <f ca="1"/>
        <v>7711</v>
      </c>
      <c r="H79" s="120">
        <f ca="1"/>
        <v>1001</v>
      </c>
      <c r="I79" s="120" t="str">
        <f ca="1"/>
        <v>4865</v>
      </c>
      <c r="J79" s="120" t="str">
        <f ca="1"/>
        <v>KUMIS ORIG BOT 1750G</v>
      </c>
      <c r="K79" s="121">
        <f ca="1"/>
        <v>60</v>
      </c>
      <c r="L79" s="122">
        <f ca="1"/>
        <v>1</v>
      </c>
      <c r="M79" s="120">
        <f ca="1"/>
        <v>1.75</v>
      </c>
      <c r="N79" s="121">
        <f ca="1"/>
        <v>45</v>
      </c>
      <c r="O79" s="123">
        <f ca="1"/>
        <v>45611</v>
      </c>
      <c r="P79" s="123" t="str">
        <f ca="1"/>
        <v>viernes</v>
      </c>
      <c r="Q79" s="124">
        <f ca="1"/>
        <v>45604</v>
      </c>
      <c r="R79" s="124">
        <f ca="1"/>
        <v>45648</v>
      </c>
      <c r="S79" s="90">
        <f ca="1"/>
        <v>24</v>
      </c>
      <c r="T79" s="139">
        <f ca="1"/>
        <v>0.53333333333333333</v>
      </c>
      <c r="U79" s="131">
        <f ca="1"/>
        <v>60</v>
      </c>
      <c r="V79" s="120">
        <f ca="1"/>
        <v>105</v>
      </c>
      <c r="W79" s="140">
        <f ca="1"/>
        <v>7</v>
      </c>
      <c r="X79" s="139">
        <f ca="1"/>
        <v>0.84444444444444444</v>
      </c>
      <c r="Y79" s="141">
        <f ca="1"/>
        <v>1.88428</v>
      </c>
      <c r="Z79" s="141">
        <f ca="1"/>
        <v>1.88428</v>
      </c>
      <c r="AA79" s="142">
        <f ca="1"/>
        <v>197.8494</v>
      </c>
      <c r="AB79" s="138">
        <f ca="1"/>
        <v>13</v>
      </c>
      <c r="AC79" s="103" t="str">
        <f ca="1"/>
        <v>PROXIMOS FECHA CORTA</v>
      </c>
      <c r="AD79" s="150">
        <f ca="1"/>
        <v>0.105</v>
      </c>
    </row>
    <row r="80" spans="1:30">
      <c r="A80" s="111" t="str">
        <f ca="1"/>
        <v>MACHACHI</v>
      </c>
      <c r="B80" s="111" t="str">
        <f ca="1"/>
        <v>BEBIDAS LACTEAS</v>
      </c>
      <c r="C80" s="111" t="str">
        <f ca="1"/>
        <v xml:space="preserve">Luis Armendariz                         </v>
      </c>
      <c r="D80" s="111" t="str">
        <f ca="1"/>
        <v>KUMIS ALPINA</v>
      </c>
      <c r="E80" s="111" t="str">
        <f ca="1"/>
        <v>KUMIS BOTELLA FAMILIAR</v>
      </c>
      <c r="F80" s="120" t="str">
        <f ca="1"/>
        <v>GUAYAQUIL</v>
      </c>
      <c r="G80" s="120">
        <f ca="1"/>
        <v>7711</v>
      </c>
      <c r="H80" s="120">
        <f ca="1"/>
        <v>1001</v>
      </c>
      <c r="I80" s="120" t="str">
        <f ca="1"/>
        <v>4865</v>
      </c>
      <c r="J80" s="120" t="str">
        <f ca="1"/>
        <v>KUMIS ORIG BOT 1750G</v>
      </c>
      <c r="K80" s="121">
        <f ca="1"/>
        <v>12</v>
      </c>
      <c r="L80" s="122">
        <f ca="1"/>
        <v>1</v>
      </c>
      <c r="M80" s="120">
        <f ca="1"/>
        <v>1.75</v>
      </c>
      <c r="N80" s="121">
        <f ca="1"/>
        <v>45</v>
      </c>
      <c r="O80" s="123">
        <f ca="1"/>
        <v>45617</v>
      </c>
      <c r="P80" s="123" t="str">
        <f ca="1"/>
        <v>jueves</v>
      </c>
      <c r="Q80" s="124">
        <f ca="1"/>
        <v>45615</v>
      </c>
      <c r="R80" s="124">
        <f ca="1"/>
        <v>45659</v>
      </c>
      <c r="S80" s="90">
        <f ca="1"/>
        <v>35</v>
      </c>
      <c r="T80" s="139">
        <f ca="1"/>
        <v>0.77777777777777779</v>
      </c>
      <c r="U80" s="131">
        <f ca="1"/>
        <v>12</v>
      </c>
      <c r="V80" s="120">
        <f ca="1"/>
        <v>21</v>
      </c>
      <c r="W80" s="140">
        <f ca="1"/>
        <v>2</v>
      </c>
      <c r="X80" s="139">
        <f ca="1"/>
        <v>0.9555555555555556</v>
      </c>
      <c r="Y80" s="141">
        <f ca="1"/>
        <v>1.88428</v>
      </c>
      <c r="Z80" s="141">
        <f ca="1"/>
        <v>1.88428</v>
      </c>
      <c r="AA80" s="142">
        <f ca="1"/>
        <v>39.569879999999998</v>
      </c>
      <c r="AB80" s="138">
        <f ca="1"/>
        <v>7</v>
      </c>
      <c r="AC80" s="103" t="str">
        <f ca="1"/>
        <v>VIGENTE</v>
      </c>
      <c r="AD80" s="150">
        <f ca="1"/>
        <v>2.1000000000000001E-2</v>
      </c>
    </row>
    <row r="81" spans="1:30">
      <c r="A81" s="111" t="str">
        <f ca="1"/>
        <v>SAN GABRIEL</v>
      </c>
      <c r="B81" s="111" t="str">
        <f ca="1"/>
        <v>QUESOS Y GRASAS</v>
      </c>
      <c r="C81" s="111" t="str">
        <f ca="1"/>
        <v xml:space="preserve">Esteban Montenegro                      </v>
      </c>
      <c r="D81" s="111" t="str">
        <f ca="1"/>
        <v>QUESO SEMIMADURO KIOSKO</v>
      </c>
      <c r="E81" s="111" t="str">
        <f ca="1"/>
        <v>QUESO PARMESANO KIOSKO RALLADO</v>
      </c>
      <c r="F81" s="120" t="str">
        <f ca="1"/>
        <v>GUAYAQUIL</v>
      </c>
      <c r="G81" s="120">
        <f ca="1"/>
        <v>7711</v>
      </c>
      <c r="H81" s="120">
        <f ca="1"/>
        <v>1001</v>
      </c>
      <c r="I81" s="120" t="str">
        <f ca="1"/>
        <v>5510</v>
      </c>
      <c r="J81" s="120" t="str">
        <f ca="1"/>
        <v>Q PARME KIOSKO RALL BOL 40G</v>
      </c>
      <c r="K81" s="121">
        <f ca="1"/>
        <v>750</v>
      </c>
      <c r="L81" s="122">
        <f ca="1"/>
        <v>1</v>
      </c>
      <c r="M81" s="120">
        <f ca="1"/>
        <v>0.04</v>
      </c>
      <c r="N81" s="121">
        <f ca="1"/>
        <v>180</v>
      </c>
      <c r="O81" s="123">
        <f ca="1"/>
        <v>45604</v>
      </c>
      <c r="P81" s="123" t="str">
        <f ca="1"/>
        <v>viernes</v>
      </c>
      <c r="Q81" s="124">
        <f ca="1"/>
        <v>45595</v>
      </c>
      <c r="R81" s="124">
        <f ca="1"/>
        <v>45774</v>
      </c>
      <c r="S81" s="90">
        <f ca="1"/>
        <v>150</v>
      </c>
      <c r="T81" s="139">
        <f ca="1"/>
        <v>0.83333333333333337</v>
      </c>
      <c r="U81" s="131">
        <f ca="1"/>
        <v>17</v>
      </c>
      <c r="V81" s="120">
        <f ca="1"/>
        <v>0.68</v>
      </c>
      <c r="W81" s="140">
        <f ca="1"/>
        <v>9</v>
      </c>
      <c r="X81" s="139">
        <f ca="1"/>
        <v>0.95</v>
      </c>
      <c r="Y81" s="141">
        <f ca="1"/>
        <v>0.47916999999999998</v>
      </c>
      <c r="Z81" s="141">
        <f ca="1"/>
        <v>0.47916999999999998</v>
      </c>
      <c r="AA81" s="142">
        <f ca="1"/>
        <v>0.3258356</v>
      </c>
      <c r="AB81" s="138">
        <f ca="1"/>
        <v>20</v>
      </c>
      <c r="AC81" s="103" t="str">
        <f ca="1"/>
        <v>VIGENTE</v>
      </c>
      <c r="AD81" s="150">
        <f ca="1"/>
        <v>6.8000000000000005E-4</v>
      </c>
    </row>
    <row r="82" spans="1:30">
      <c r="A82" s="111" t="str">
        <f ca="1"/>
        <v>SAN GABRIEL</v>
      </c>
      <c r="B82" s="111" t="str">
        <f ca="1"/>
        <v>QUESOS Y GRASAS</v>
      </c>
      <c r="C82" s="111" t="str">
        <f ca="1"/>
        <v xml:space="preserve">Esteban Montenegro                      </v>
      </c>
      <c r="D82" s="111" t="str">
        <f ca="1"/>
        <v>QUESO SEMIMADURO KIOSKO</v>
      </c>
      <c r="E82" s="111" t="str">
        <f ca="1"/>
        <v>QUESO PARMESANO KIOSKO RALLADO</v>
      </c>
      <c r="F82" s="120" t="str">
        <f ca="1"/>
        <v>GUAYAQUIL</v>
      </c>
      <c r="G82" s="120">
        <f ca="1"/>
        <v>7711</v>
      </c>
      <c r="H82" s="120">
        <f ca="1"/>
        <v>1001</v>
      </c>
      <c r="I82" s="120" t="str">
        <f ca="1"/>
        <v>5510</v>
      </c>
      <c r="J82" s="120" t="str">
        <f ca="1"/>
        <v>Q PARME KIOSKO RALL BOL 40G</v>
      </c>
      <c r="K82" s="121">
        <f ca="1"/>
        <v>1350</v>
      </c>
      <c r="L82" s="122">
        <f ca="1"/>
        <v>1</v>
      </c>
      <c r="M82" s="120">
        <f ca="1"/>
        <v>0.04</v>
      </c>
      <c r="N82" s="121">
        <f ca="1"/>
        <v>180</v>
      </c>
      <c r="O82" s="123">
        <f ca="1"/>
        <v>45608</v>
      </c>
      <c r="P82" s="123" t="str">
        <f ca="1"/>
        <v>martes</v>
      </c>
      <c r="Q82" s="124">
        <f ca="1"/>
        <v>45601</v>
      </c>
      <c r="R82" s="124">
        <f ca="1"/>
        <v>45780</v>
      </c>
      <c r="S82" s="90">
        <f ca="1"/>
        <v>156</v>
      </c>
      <c r="T82" s="139">
        <f ca="1"/>
        <v>0.8666666666666667</v>
      </c>
      <c r="U82" s="131">
        <f ca="1"/>
        <v>1012</v>
      </c>
      <c r="V82" s="120">
        <f ca="1"/>
        <v>40.480000000000004</v>
      </c>
      <c r="W82" s="140">
        <f ca="1"/>
        <v>7</v>
      </c>
      <c r="X82" s="139">
        <f ca="1"/>
        <v>0.96111111111111114</v>
      </c>
      <c r="Y82" s="141">
        <f ca="1"/>
        <v>0.47916999999999998</v>
      </c>
      <c r="Z82" s="141">
        <f ca="1"/>
        <v>0.47916999999999998</v>
      </c>
      <c r="AA82" s="142">
        <f ca="1"/>
        <v>19.3968016</v>
      </c>
      <c r="AB82" s="138">
        <f ca="1"/>
        <v>16</v>
      </c>
      <c r="AC82" s="103" t="str">
        <f ca="1"/>
        <v>VIGENTE</v>
      </c>
      <c r="AD82" s="150">
        <f ca="1"/>
        <v>4.0480000000000002E-2</v>
      </c>
    </row>
    <row r="83" spans="1:30">
      <c r="A83" s="111" t="str">
        <f ca="1"/>
        <v>SAN GABRIEL</v>
      </c>
      <c r="B83" s="111" t="str">
        <f ca="1"/>
        <v>QUESOS Y GRASAS</v>
      </c>
      <c r="C83" s="111" t="str">
        <f ca="1"/>
        <v xml:space="preserve">Esteban Montenegro                      </v>
      </c>
      <c r="D83" s="111" t="str">
        <f ca="1"/>
        <v>QUESO SEMIMADURO KIOSKO</v>
      </c>
      <c r="E83" s="111" t="str">
        <f ca="1"/>
        <v>QUESO PARMESANO KIOSKO RALLADO</v>
      </c>
      <c r="F83" s="120" t="str">
        <f ca="1"/>
        <v>GUAYAQUIL</v>
      </c>
      <c r="G83" s="120">
        <f ca="1"/>
        <v>7711</v>
      </c>
      <c r="H83" s="120">
        <f ca="1"/>
        <v>1001</v>
      </c>
      <c r="I83" s="120" t="str">
        <f ca="1"/>
        <v>5510</v>
      </c>
      <c r="J83" s="120" t="str">
        <f ca="1"/>
        <v>Q PARME KIOSKO RALL BOL 40G</v>
      </c>
      <c r="K83" s="121">
        <f ca="1"/>
        <v>900</v>
      </c>
      <c r="L83" s="122">
        <f ca="1"/>
        <v>1</v>
      </c>
      <c r="M83" s="120">
        <f ca="1"/>
        <v>0.04</v>
      </c>
      <c r="N83" s="121">
        <f ca="1"/>
        <v>180</v>
      </c>
      <c r="O83" s="123">
        <f ca="1"/>
        <v>45609</v>
      </c>
      <c r="P83" s="123" t="str">
        <f ca="1"/>
        <v>miércoles</v>
      </c>
      <c r="Q83" s="124">
        <f ca="1"/>
        <v>45596</v>
      </c>
      <c r="R83" s="124">
        <f ca="1"/>
        <v>45775</v>
      </c>
      <c r="S83" s="90">
        <f ca="1"/>
        <v>151</v>
      </c>
      <c r="T83" s="139">
        <f ca="1"/>
        <v>0.83888888888888891</v>
      </c>
      <c r="U83" s="131">
        <f ca="1"/>
        <v>6</v>
      </c>
      <c r="V83" s="120">
        <f ca="1"/>
        <v>0.24</v>
      </c>
      <c r="W83" s="140">
        <f ca="1"/>
        <v>13</v>
      </c>
      <c r="X83" s="139">
        <f ca="1"/>
        <v>0.92777777777777781</v>
      </c>
      <c r="Y83" s="141">
        <f ca="1"/>
        <v>0.47916999999999998</v>
      </c>
      <c r="Z83" s="141">
        <f ca="1"/>
        <v>0.47916999999999998</v>
      </c>
      <c r="AA83" s="142">
        <f ca="1"/>
        <v>0.11500079999999999</v>
      </c>
      <c r="AB83" s="138">
        <f ca="1"/>
        <v>15</v>
      </c>
      <c r="AC83" s="103" t="str">
        <f ca="1"/>
        <v>VIGENTE</v>
      </c>
      <c r="AD83" s="150">
        <f ca="1"/>
        <v>2.3999999999999998E-4</v>
      </c>
    </row>
    <row r="84" spans="1:30">
      <c r="A84" s="111" t="str">
        <f ca="1"/>
        <v>SAN GABRIEL</v>
      </c>
      <c r="B84" s="111" t="str">
        <f ca="1"/>
        <v>QUESOS Y GRASAS</v>
      </c>
      <c r="C84" s="111" t="str">
        <f ca="1"/>
        <v xml:space="preserve">Esteban Montenegro                      </v>
      </c>
      <c r="D84" s="111" t="str">
        <f ca="1"/>
        <v>QUESO SEMIMADURO KIOSKO</v>
      </c>
      <c r="E84" s="111" t="str">
        <f ca="1"/>
        <v>QUESO PARMESANO KIOSKO RALLADO</v>
      </c>
      <c r="F84" s="120" t="str">
        <f ca="1"/>
        <v>GUAYAQUIL</v>
      </c>
      <c r="G84" s="120">
        <f ca="1"/>
        <v>7711</v>
      </c>
      <c r="H84" s="120">
        <f ca="1"/>
        <v>1001</v>
      </c>
      <c r="I84" s="120" t="str">
        <f ca="1"/>
        <v>5510</v>
      </c>
      <c r="J84" s="120" t="str">
        <f ca="1"/>
        <v>Q PARME KIOSKO RALL BOL 40G</v>
      </c>
      <c r="K84" s="121">
        <f ca="1"/>
        <v>1650</v>
      </c>
      <c r="L84" s="122">
        <f ca="1"/>
        <v>1</v>
      </c>
      <c r="M84" s="120">
        <f ca="1"/>
        <v>0.04</v>
      </c>
      <c r="N84" s="121">
        <f ca="1"/>
        <v>180</v>
      </c>
      <c r="O84" s="123">
        <f ca="1"/>
        <v>45615</v>
      </c>
      <c r="P84" s="123" t="str">
        <f ca="1"/>
        <v>martes</v>
      </c>
      <c r="Q84" s="124">
        <f ca="1"/>
        <v>45608</v>
      </c>
      <c r="R84" s="124">
        <f ca="1"/>
        <v>45787</v>
      </c>
      <c r="S84" s="90">
        <f ca="1"/>
        <v>163</v>
      </c>
      <c r="T84" s="139">
        <f ca="1"/>
        <v>0.90555555555555556</v>
      </c>
      <c r="U84" s="131">
        <f ca="1"/>
        <v>1650</v>
      </c>
      <c r="V84" s="120">
        <f ca="1"/>
        <v>66</v>
      </c>
      <c r="W84" s="140">
        <f ca="1"/>
        <v>7</v>
      </c>
      <c r="X84" s="139">
        <f ca="1"/>
        <v>0.96111111111111114</v>
      </c>
      <c r="Y84" s="141">
        <f ca="1"/>
        <v>0.47916999999999998</v>
      </c>
      <c r="Z84" s="141">
        <f ca="1"/>
        <v>0.47916999999999998</v>
      </c>
      <c r="AA84" s="142">
        <f ca="1"/>
        <v>31.625219999999999</v>
      </c>
      <c r="AB84" s="138">
        <f ca="1"/>
        <v>9</v>
      </c>
      <c r="AC84" s="103" t="str">
        <f ca="1"/>
        <v>VIGENTE</v>
      </c>
      <c r="AD84" s="150">
        <f ca="1"/>
        <v>6.6000000000000003E-2</v>
      </c>
    </row>
    <row r="85" spans="1:30">
      <c r="A85" s="111" t="str">
        <f ca="1"/>
        <v>SAN GABRIEL</v>
      </c>
      <c r="B85" s="111" t="str">
        <f ca="1"/>
        <v>QUESOS Y GRASAS</v>
      </c>
      <c r="C85" s="111" t="str">
        <f ca="1"/>
        <v xml:space="preserve">Esteban Montenegro                      </v>
      </c>
      <c r="D85" s="111" t="str">
        <f ca="1"/>
        <v>QUESO SEMIMADURO KIOSKO</v>
      </c>
      <c r="E85" s="111" t="str">
        <f ca="1"/>
        <v>QUESO PARMESANO KIOSKO RALLADO</v>
      </c>
      <c r="F85" s="120" t="str">
        <f ca="1"/>
        <v>GUAYAQUIL</v>
      </c>
      <c r="G85" s="120">
        <f ca="1"/>
        <v>7711</v>
      </c>
      <c r="H85" s="120">
        <f ca="1"/>
        <v>1001</v>
      </c>
      <c r="I85" s="120" t="str">
        <f ca="1"/>
        <v>5510</v>
      </c>
      <c r="J85" s="120" t="str">
        <f ca="1"/>
        <v>Q PARME KIOSKO RALL BOL 40G</v>
      </c>
      <c r="K85" s="121">
        <f ca="1"/>
        <v>0</v>
      </c>
      <c r="L85" s="122">
        <f ca="1"/>
        <v>1</v>
      </c>
      <c r="M85" s="120">
        <f ca="1"/>
        <v>0.04</v>
      </c>
      <c r="N85" s="121">
        <f ca="1"/>
        <v>180</v>
      </c>
      <c r="O85" s="123">
        <f ca="1"/>
        <v>45623</v>
      </c>
      <c r="P85" s="123" t="str">
        <f ca="1"/>
        <v>miércoles</v>
      </c>
      <c r="Q85" s="124">
        <f ca="1"/>
        <v>45623</v>
      </c>
      <c r="R85" s="124">
        <f ca="1"/>
        <v>45802</v>
      </c>
      <c r="S85" s="90">
        <f ca="1"/>
        <v>178</v>
      </c>
      <c r="T85" s="139">
        <f ca="1"/>
        <v>0.98888888888888893</v>
      </c>
      <c r="U85" s="131">
        <f ca="1"/>
        <v>2119</v>
      </c>
      <c r="V85" s="120">
        <f ca="1"/>
        <v>84.76</v>
      </c>
      <c r="W85" s="140">
        <f ca="1"/>
        <v>0</v>
      </c>
      <c r="X85" s="139">
        <f ca="1"/>
        <v>1</v>
      </c>
      <c r="Y85" s="141">
        <f ca="1"/>
        <v>0.47916999999999998</v>
      </c>
      <c r="Z85" s="141">
        <f ca="1"/>
        <v>0.47916999999999998</v>
      </c>
      <c r="AA85" s="142">
        <f ca="1"/>
        <v>40.614449200000003</v>
      </c>
      <c r="AB85" s="138">
        <f ca="1"/>
        <v>1</v>
      </c>
      <c r="AC85" s="103" t="str">
        <f ca="1"/>
        <v>VIGENTE</v>
      </c>
      <c r="AD85" s="150">
        <f ca="1"/>
        <v>8.4760000000000002E-2</v>
      </c>
    </row>
    <row r="86" spans="1:30">
      <c r="A86" s="111" t="str">
        <f ca="1"/>
        <v>SAN GABRIEL</v>
      </c>
      <c r="B86" s="111" t="str">
        <f ca="1"/>
        <v>QUESOS Y GRASAS</v>
      </c>
      <c r="C86" s="111" t="str">
        <f ca="1"/>
        <v xml:space="preserve">Esteban Montenegro                      </v>
      </c>
      <c r="D86" s="111" t="str">
        <f ca="1"/>
        <v>QUESO SEMIMADURO KIOSKO</v>
      </c>
      <c r="E86" s="111" t="str">
        <f ca="1"/>
        <v>QUESO PARMESANO KIOSKO RALLADO</v>
      </c>
      <c r="F86" s="120" t="str">
        <f ca="1"/>
        <v>GUAYAQUIL</v>
      </c>
      <c r="G86" s="120">
        <f ca="1"/>
        <v>7711</v>
      </c>
      <c r="H86" s="120">
        <f ca="1"/>
        <v>1001</v>
      </c>
      <c r="I86" s="120" t="str">
        <f ca="1"/>
        <v>5510</v>
      </c>
      <c r="J86" s="120" t="str">
        <f ca="1"/>
        <v>Q PARME KIOSKO RALL BOL 40G</v>
      </c>
      <c r="K86" s="121">
        <f ca="1"/>
        <v>450</v>
      </c>
      <c r="L86" s="122">
        <f ca="1"/>
        <v>1</v>
      </c>
      <c r="M86" s="120">
        <f ca="1"/>
        <v>0.04</v>
      </c>
      <c r="N86" s="121">
        <f ca="1"/>
        <v>180</v>
      </c>
      <c r="O86" s="123">
        <f ca="1"/>
        <v>45616</v>
      </c>
      <c r="P86" s="123" t="str">
        <f ca="1"/>
        <v>miércoles</v>
      </c>
      <c r="Q86" s="124">
        <f ca="1"/>
        <v>45610</v>
      </c>
      <c r="R86" s="124">
        <f ca="1"/>
        <v>45789</v>
      </c>
      <c r="S86" s="90">
        <f ca="1"/>
        <v>165</v>
      </c>
      <c r="T86" s="139">
        <f ca="1"/>
        <v>0.91666666666666663</v>
      </c>
      <c r="U86" s="131">
        <f ca="1"/>
        <v>450</v>
      </c>
      <c r="V86" s="120">
        <f ca="1"/>
        <v>18</v>
      </c>
      <c r="W86" s="140">
        <f ca="1"/>
        <v>6</v>
      </c>
      <c r="X86" s="139">
        <f ca="1"/>
        <v>0.96666666666666667</v>
      </c>
      <c r="Y86" s="141">
        <f ca="1"/>
        <v>0.47916999999999998</v>
      </c>
      <c r="Z86" s="141">
        <f ca="1"/>
        <v>0.47916999999999998</v>
      </c>
      <c r="AA86" s="142">
        <f ca="1"/>
        <v>8.6250599999999995</v>
      </c>
      <c r="AB86" s="138">
        <f ca="1"/>
        <v>8</v>
      </c>
      <c r="AC86" s="103" t="str">
        <f ca="1"/>
        <v>VIGENTE</v>
      </c>
      <c r="AD86" s="150">
        <f ca="1"/>
        <v>1.7999999999999999E-2</v>
      </c>
    </row>
    <row r="87" spans="1:30">
      <c r="A87" s="111" t="str">
        <f ca="1"/>
        <v>SAN GABRIEL</v>
      </c>
      <c r="B87" s="111" t="str">
        <f ca="1"/>
        <v>QUESOS Y GRASAS</v>
      </c>
      <c r="C87" s="111" t="str">
        <f ca="1"/>
        <v xml:space="preserve">Esteban Montenegro                      </v>
      </c>
      <c r="D87" s="111" t="str">
        <f ca="1"/>
        <v>QUESO SEMIMADURO KIOSKO</v>
      </c>
      <c r="E87" s="111" t="str">
        <f ca="1"/>
        <v>QUESO PARMESANO KIOSKO RALLADO</v>
      </c>
      <c r="F87" s="120" t="str">
        <f ca="1"/>
        <v>GUAYAQUIL</v>
      </c>
      <c r="G87" s="120">
        <f ca="1"/>
        <v>7711</v>
      </c>
      <c r="H87" s="120">
        <f ca="1"/>
        <v>1001</v>
      </c>
      <c r="I87" s="120" t="str">
        <f ca="1"/>
        <v>5510</v>
      </c>
      <c r="J87" s="120" t="str">
        <f ca="1"/>
        <v>Q PARME KIOSKO RALL BOL 40G</v>
      </c>
      <c r="K87" s="121">
        <f ca="1"/>
        <v>750</v>
      </c>
      <c r="L87" s="122">
        <f ca="1"/>
        <v>1</v>
      </c>
      <c r="M87" s="120">
        <f ca="1"/>
        <v>0.04</v>
      </c>
      <c r="N87" s="121">
        <f ca="1"/>
        <v>180</v>
      </c>
      <c r="O87" s="123">
        <f ca="1"/>
        <v>45617</v>
      </c>
      <c r="P87" s="123" t="str">
        <f ca="1"/>
        <v>jueves</v>
      </c>
      <c r="Q87" s="124">
        <f ca="1"/>
        <v>45610</v>
      </c>
      <c r="R87" s="124">
        <f ca="1"/>
        <v>45789</v>
      </c>
      <c r="S87" s="90">
        <f ca="1"/>
        <v>165</v>
      </c>
      <c r="T87" s="139">
        <f ca="1"/>
        <v>0.91666666666666663</v>
      </c>
      <c r="U87" s="131">
        <f ca="1"/>
        <v>750</v>
      </c>
      <c r="V87" s="120">
        <f ca="1"/>
        <v>30</v>
      </c>
      <c r="W87" s="140">
        <f ca="1"/>
        <v>7</v>
      </c>
      <c r="X87" s="139">
        <f ca="1"/>
        <v>0.96111111111111114</v>
      </c>
      <c r="Y87" s="141">
        <f ca="1"/>
        <v>0.47916999999999998</v>
      </c>
      <c r="Z87" s="141">
        <f ca="1"/>
        <v>0.47916999999999998</v>
      </c>
      <c r="AA87" s="142">
        <f ca="1"/>
        <v>14.3751</v>
      </c>
      <c r="AB87" s="138">
        <f ca="1"/>
        <v>7</v>
      </c>
      <c r="AC87" s="103" t="str">
        <f ca="1"/>
        <v>VIGENTE</v>
      </c>
      <c r="AD87" s="150">
        <f ca="1"/>
        <v>0.03</v>
      </c>
    </row>
    <row r="88" spans="1:30">
      <c r="A88" s="111" t="str">
        <f ca="1"/>
        <v>SAN GABRIEL</v>
      </c>
      <c r="B88" s="111" t="str">
        <f ca="1"/>
        <v>QUESOS Y GRASAS</v>
      </c>
      <c r="C88" s="111" t="str">
        <f ca="1"/>
        <v xml:space="preserve">Esteban Montenegro                      </v>
      </c>
      <c r="D88" s="111" t="str">
        <f ca="1"/>
        <v>QUESO SEMIMADURO KIOSKO</v>
      </c>
      <c r="E88" s="111" t="str">
        <f ca="1"/>
        <v>QUESO PARMESANO KIOSKO RALLADO</v>
      </c>
      <c r="F88" s="120" t="str">
        <f ca="1"/>
        <v>GUAYAQUIL</v>
      </c>
      <c r="G88" s="120">
        <f ca="1"/>
        <v>7711</v>
      </c>
      <c r="H88" s="120">
        <f ca="1"/>
        <v>1001</v>
      </c>
      <c r="I88" s="120" t="str">
        <f ca="1"/>
        <v>5510</v>
      </c>
      <c r="J88" s="120" t="str">
        <f ca="1"/>
        <v>Q PARME KIOSKO RALL BOL 40G</v>
      </c>
      <c r="K88" s="121">
        <f ca="1"/>
        <v>0</v>
      </c>
      <c r="L88" s="122">
        <f ca="1"/>
        <v>1</v>
      </c>
      <c r="M88" s="120">
        <f ca="1"/>
        <v>0.04</v>
      </c>
      <c r="N88" s="121">
        <f ca="1"/>
        <v>180</v>
      </c>
      <c r="O88" s="123">
        <f ca="1"/>
        <v>45961</v>
      </c>
      <c r="P88" s="123" t="str">
        <f ca="1"/>
        <v>viernes</v>
      </c>
      <c r="Q88" s="124">
        <f ca="1"/>
        <v>45961</v>
      </c>
      <c r="R88" s="124">
        <f ca="1"/>
        <v>46140</v>
      </c>
      <c r="S88" s="90">
        <f ca="1"/>
        <v>516</v>
      </c>
      <c r="T88" s="139">
        <f ca="1"/>
        <v>2.8666666666666667</v>
      </c>
      <c r="U88" s="131">
        <f ca="1"/>
        <v>6</v>
      </c>
      <c r="V88" s="120">
        <f ca="1"/>
        <v>0.24</v>
      </c>
      <c r="W88" s="140">
        <f ca="1"/>
        <v>0</v>
      </c>
      <c r="X88" s="139">
        <f ca="1"/>
        <v>1</v>
      </c>
      <c r="Y88" s="141">
        <f ca="1"/>
        <v>0.47916999999999998</v>
      </c>
      <c r="Z88" s="141">
        <f ca="1"/>
        <v>0.47916999999999998</v>
      </c>
      <c r="AA88" s="142">
        <f ca="1"/>
        <v>0.11500079999999999</v>
      </c>
      <c r="AB88" s="138">
        <f ca="1"/>
        <v>-337</v>
      </c>
      <c r="AC88" s="103" t="str">
        <f ca="1"/>
        <v>VIGENTE</v>
      </c>
      <c r="AD88" s="150">
        <f ca="1"/>
        <v>2.3999999999999998E-4</v>
      </c>
    </row>
    <row r="89" spans="1:30">
      <c r="A89" s="111" t="str">
        <f ca="1"/>
        <v>SAN GABRIEL</v>
      </c>
      <c r="B89" s="111" t="str">
        <f ca="1"/>
        <v>QUESOS Y GRASAS</v>
      </c>
      <c r="C89" s="111" t="str">
        <f ca="1"/>
        <v xml:space="preserve">Esteban Montenegro                      </v>
      </c>
      <c r="D89" s="111" t="str">
        <f ca="1"/>
        <v>QUESO SEMIMADURO KIOSKO</v>
      </c>
      <c r="E89" s="111" t="str">
        <f ca="1"/>
        <v>QUESO PARMESANO KIOSKO RALLADO</v>
      </c>
      <c r="F89" s="120" t="str">
        <f ca="1"/>
        <v>GUAYAQUIL</v>
      </c>
      <c r="G89" s="120">
        <f ca="1"/>
        <v>7711</v>
      </c>
      <c r="H89" s="120">
        <f ca="1"/>
        <v>1001</v>
      </c>
      <c r="I89" s="120" t="str">
        <f ca="1"/>
        <v>5513</v>
      </c>
      <c r="J89" s="120" t="str">
        <f ca="1"/>
        <v>Q PARME KIOSKO RALL BOL 500G</v>
      </c>
      <c r="K89" s="121">
        <f ca="1"/>
        <v>140</v>
      </c>
      <c r="L89" s="122">
        <f ca="1"/>
        <v>1</v>
      </c>
      <c r="M89" s="120">
        <f ca="1"/>
        <v>0.5</v>
      </c>
      <c r="N89" s="121">
        <f ca="1"/>
        <v>180</v>
      </c>
      <c r="O89" s="123">
        <f ca="1"/>
        <v>45608</v>
      </c>
      <c r="P89" s="123" t="str">
        <f ca="1"/>
        <v>martes</v>
      </c>
      <c r="Q89" s="124">
        <f ca="1"/>
        <v>45601</v>
      </c>
      <c r="R89" s="124">
        <f ca="1"/>
        <v>45780</v>
      </c>
      <c r="S89" s="90">
        <f ca="1"/>
        <v>156</v>
      </c>
      <c r="T89" s="139">
        <f ca="1"/>
        <v>0.8666666666666667</v>
      </c>
      <c r="U89" s="131">
        <f ca="1"/>
        <v>111</v>
      </c>
      <c r="V89" s="120">
        <f ca="1"/>
        <v>55.5</v>
      </c>
      <c r="W89" s="140">
        <f ca="1"/>
        <v>7</v>
      </c>
      <c r="X89" s="139">
        <f ca="1"/>
        <v>0.96111111111111114</v>
      </c>
      <c r="Y89" s="141">
        <f ca="1"/>
        <v>4.4371550000000006</v>
      </c>
      <c r="Z89" s="141">
        <f ca="1"/>
        <v>4.4371550000000006</v>
      </c>
      <c r="AA89" s="142">
        <f ca="1"/>
        <v>246.26210250000003</v>
      </c>
      <c r="AB89" s="138">
        <f ca="1"/>
        <v>16</v>
      </c>
      <c r="AC89" s="103" t="str">
        <f ca="1"/>
        <v>VIGENTE</v>
      </c>
      <c r="AD89" s="150">
        <f ca="1"/>
        <v>5.5500000000000001E-2</v>
      </c>
    </row>
    <row r="90" spans="1:30">
      <c r="A90" s="111" t="str">
        <f ca="1"/>
        <v>SAN GABRIEL</v>
      </c>
      <c r="B90" s="111" t="str">
        <f ca="1"/>
        <v>QUESOS Y GRASAS</v>
      </c>
      <c r="C90" s="111" t="str">
        <f ca="1"/>
        <v xml:space="preserve">Esteban Montenegro                      </v>
      </c>
      <c r="D90" s="111" t="str">
        <f ca="1"/>
        <v>QUESO SEMIMADURO KIOSKO</v>
      </c>
      <c r="E90" s="111" t="str">
        <f ca="1"/>
        <v>QUESO PARMESANO KIOSKO RALLADO</v>
      </c>
      <c r="F90" s="120" t="str">
        <f ca="1"/>
        <v>GUAYAQUIL</v>
      </c>
      <c r="G90" s="120">
        <f ca="1"/>
        <v>7711</v>
      </c>
      <c r="H90" s="120">
        <f ca="1"/>
        <v>1001</v>
      </c>
      <c r="I90" s="120" t="str">
        <f ca="1"/>
        <v>5513</v>
      </c>
      <c r="J90" s="120" t="str">
        <f ca="1"/>
        <v>Q PARME KIOSKO RALL BOL 500G</v>
      </c>
      <c r="K90" s="121">
        <f ca="1"/>
        <v>120</v>
      </c>
      <c r="L90" s="122">
        <f ca="1"/>
        <v>1</v>
      </c>
      <c r="M90" s="120">
        <f ca="1"/>
        <v>0.5</v>
      </c>
      <c r="N90" s="121">
        <f ca="1"/>
        <v>180</v>
      </c>
      <c r="O90" s="123">
        <f ca="1"/>
        <v>45609</v>
      </c>
      <c r="P90" s="123" t="str">
        <f ca="1"/>
        <v>miércoles</v>
      </c>
      <c r="Q90" s="124">
        <f ca="1"/>
        <v>45601</v>
      </c>
      <c r="R90" s="124">
        <f ca="1"/>
        <v>45780</v>
      </c>
      <c r="S90" s="90">
        <f ca="1"/>
        <v>156</v>
      </c>
      <c r="T90" s="139">
        <f ca="1"/>
        <v>0.8666666666666667</v>
      </c>
      <c r="U90" s="131">
        <f ca="1"/>
        <v>120</v>
      </c>
      <c r="V90" s="120">
        <f ca="1"/>
        <v>60</v>
      </c>
      <c r="W90" s="140">
        <f ca="1"/>
        <v>8</v>
      </c>
      <c r="X90" s="139">
        <f ca="1"/>
        <v>0.9555555555555556</v>
      </c>
      <c r="Y90" s="141">
        <f ca="1"/>
        <v>4.4371550000000006</v>
      </c>
      <c r="Z90" s="141">
        <f ca="1"/>
        <v>4.4371550000000006</v>
      </c>
      <c r="AA90" s="142">
        <f ca="1"/>
        <v>266.22930000000002</v>
      </c>
      <c r="AB90" s="138">
        <f ca="1"/>
        <v>15</v>
      </c>
      <c r="AC90" s="103" t="str">
        <f ca="1"/>
        <v>VIGENTE</v>
      </c>
      <c r="AD90" s="150">
        <f ca="1"/>
        <v>0.06</v>
      </c>
    </row>
    <row r="91" spans="1:30">
      <c r="A91" s="111" t="str">
        <f ca="1"/>
        <v>SAN GABRIEL</v>
      </c>
      <c r="B91" s="111" t="str">
        <f ca="1"/>
        <v>QUESOS Y GRASAS</v>
      </c>
      <c r="C91" s="111" t="str">
        <f ca="1"/>
        <v xml:space="preserve">Esteban Montenegro                      </v>
      </c>
      <c r="D91" s="111" t="str">
        <f ca="1"/>
        <v>QUESO SEMIMADURO KIOSKO</v>
      </c>
      <c r="E91" s="111" t="str">
        <f ca="1"/>
        <v>QUESO PARMESANO KIOSKO RALLADO</v>
      </c>
      <c r="F91" s="120" t="str">
        <f ca="1"/>
        <v>GUAYAQUIL</v>
      </c>
      <c r="G91" s="120">
        <f ca="1"/>
        <v>7711</v>
      </c>
      <c r="H91" s="120">
        <f ca="1"/>
        <v>1001</v>
      </c>
      <c r="I91" s="120" t="str">
        <f ca="1"/>
        <v>5513</v>
      </c>
      <c r="J91" s="120" t="str">
        <f ca="1"/>
        <v>Q PARME KIOSKO RALL BOL 500G</v>
      </c>
      <c r="K91" s="121">
        <f ca="1"/>
        <v>100</v>
      </c>
      <c r="L91" s="122">
        <f ca="1"/>
        <v>1</v>
      </c>
      <c r="M91" s="120">
        <f ca="1"/>
        <v>0.5</v>
      </c>
      <c r="N91" s="121">
        <f ca="1"/>
        <v>180</v>
      </c>
      <c r="O91" s="123">
        <f ca="1"/>
        <v>45611</v>
      </c>
      <c r="P91" s="123" t="str">
        <f ca="1"/>
        <v>viernes</v>
      </c>
      <c r="Q91" s="124">
        <f ca="1"/>
        <v>45608</v>
      </c>
      <c r="R91" s="124">
        <f ca="1"/>
        <v>45787</v>
      </c>
      <c r="S91" s="90">
        <f ca="1"/>
        <v>163</v>
      </c>
      <c r="T91" s="139">
        <f ca="1"/>
        <v>0.90555555555555556</v>
      </c>
      <c r="U91" s="131">
        <f ca="1"/>
        <v>100</v>
      </c>
      <c r="V91" s="120">
        <f ca="1"/>
        <v>50</v>
      </c>
      <c r="W91" s="140">
        <f ca="1"/>
        <v>3</v>
      </c>
      <c r="X91" s="139">
        <f ca="1"/>
        <v>0.98333333333333328</v>
      </c>
      <c r="Y91" s="141">
        <f ca="1"/>
        <v>4.4371550000000006</v>
      </c>
      <c r="Z91" s="141">
        <f ca="1"/>
        <v>4.4371550000000006</v>
      </c>
      <c r="AA91" s="142">
        <f ca="1"/>
        <v>221.85775000000004</v>
      </c>
      <c r="AB91" s="138">
        <f ca="1"/>
        <v>13</v>
      </c>
      <c r="AC91" s="103" t="str">
        <f ca="1"/>
        <v>VIGENTE</v>
      </c>
      <c r="AD91" s="150">
        <f ca="1"/>
        <v>0.05</v>
      </c>
    </row>
    <row r="92" spans="1:30">
      <c r="A92" s="111" t="str">
        <f ca="1"/>
        <v>SAN GABRIEL</v>
      </c>
      <c r="B92" s="111" t="str">
        <f ca="1"/>
        <v>QUESOS Y GRASAS</v>
      </c>
      <c r="C92" s="111" t="str">
        <f ca="1"/>
        <v xml:space="preserve">Esteban Montenegro                      </v>
      </c>
      <c r="D92" s="111" t="str">
        <f ca="1"/>
        <v>QUESO SEMIMADURO KIOSKO</v>
      </c>
      <c r="E92" s="111" t="str">
        <f ca="1"/>
        <v>QUESO PARMESANO KIOSKO RALLADO</v>
      </c>
      <c r="F92" s="120" t="str">
        <f ca="1"/>
        <v>GUAYAQUIL</v>
      </c>
      <c r="G92" s="120">
        <f ca="1"/>
        <v>7711</v>
      </c>
      <c r="H92" s="120">
        <f ca="1"/>
        <v>1001</v>
      </c>
      <c r="I92" s="120" t="str">
        <f ca="1"/>
        <v>5513</v>
      </c>
      <c r="J92" s="120" t="str">
        <f ca="1"/>
        <v>Q PARME KIOSKO RALL BOL 500G</v>
      </c>
      <c r="K92" s="121">
        <f ca="1"/>
        <v>180</v>
      </c>
      <c r="L92" s="122">
        <f ca="1"/>
        <v>1</v>
      </c>
      <c r="M92" s="120">
        <f ca="1"/>
        <v>0.5</v>
      </c>
      <c r="N92" s="121">
        <f ca="1"/>
        <v>180</v>
      </c>
      <c r="O92" s="123">
        <f ca="1"/>
        <v>45610</v>
      </c>
      <c r="P92" s="123" t="str">
        <f ca="1"/>
        <v>jueves</v>
      </c>
      <c r="Q92" s="124">
        <f ca="1"/>
        <v>45602</v>
      </c>
      <c r="R92" s="124">
        <f ca="1"/>
        <v>45781</v>
      </c>
      <c r="S92" s="90">
        <f ca="1"/>
        <v>157</v>
      </c>
      <c r="T92" s="139">
        <f ca="1"/>
        <v>0.87222222222222223</v>
      </c>
      <c r="U92" s="131">
        <f ca="1"/>
        <v>180</v>
      </c>
      <c r="V92" s="120">
        <f ca="1"/>
        <v>90</v>
      </c>
      <c r="W92" s="140">
        <f ca="1"/>
        <v>8</v>
      </c>
      <c r="X92" s="139">
        <f ca="1"/>
        <v>0.9555555555555556</v>
      </c>
      <c r="Y92" s="141">
        <f ca="1"/>
        <v>4.4371550000000006</v>
      </c>
      <c r="Z92" s="141">
        <f ca="1"/>
        <v>4.4371550000000006</v>
      </c>
      <c r="AA92" s="142">
        <f ca="1"/>
        <v>399.34395000000006</v>
      </c>
      <c r="AB92" s="138">
        <f ca="1"/>
        <v>14</v>
      </c>
      <c r="AC92" s="103" t="str">
        <f ca="1"/>
        <v>VIGENTE</v>
      </c>
      <c r="AD92" s="150">
        <f ca="1"/>
        <v>0.09</v>
      </c>
    </row>
    <row r="93" spans="1:30">
      <c r="A93" s="111" t="str">
        <f ca="1"/>
        <v>SAN GABRIEL</v>
      </c>
      <c r="B93" s="111" t="str">
        <f ca="1"/>
        <v>QUESOS Y GRASAS</v>
      </c>
      <c r="C93" s="111" t="str">
        <f ca="1"/>
        <v xml:space="preserve">Esteban Montenegro                      </v>
      </c>
      <c r="D93" s="111" t="str">
        <f ca="1"/>
        <v>QUESO SEMIMADURO KIOSKO</v>
      </c>
      <c r="E93" s="111" t="str">
        <f ca="1"/>
        <v>QUESO PARMESANO KIOSKO RALLADO</v>
      </c>
      <c r="F93" s="120" t="str">
        <f ca="1"/>
        <v>GUAYAQUIL</v>
      </c>
      <c r="G93" s="120">
        <f ca="1"/>
        <v>7711</v>
      </c>
      <c r="H93" s="120">
        <f ca="1"/>
        <v>1001</v>
      </c>
      <c r="I93" s="120" t="str">
        <f ca="1"/>
        <v>5513</v>
      </c>
      <c r="J93" s="120" t="str">
        <f ca="1"/>
        <v>Q PARME KIOSKO RALL BOL 500G</v>
      </c>
      <c r="K93" s="121">
        <f ca="1"/>
        <v>120</v>
      </c>
      <c r="L93" s="122">
        <f ca="1"/>
        <v>1</v>
      </c>
      <c r="M93" s="120">
        <f ca="1"/>
        <v>0.5</v>
      </c>
      <c r="N93" s="121">
        <f ca="1"/>
        <v>180</v>
      </c>
      <c r="O93" s="123">
        <f ca="1"/>
        <v>45615</v>
      </c>
      <c r="P93" s="123" t="str">
        <f ca="1"/>
        <v>martes</v>
      </c>
      <c r="Q93" s="124">
        <f ca="1"/>
        <v>45608</v>
      </c>
      <c r="R93" s="124">
        <f ca="1"/>
        <v>45787</v>
      </c>
      <c r="S93" s="90">
        <f ca="1"/>
        <v>163</v>
      </c>
      <c r="T93" s="139">
        <f ca="1"/>
        <v>0.90555555555555556</v>
      </c>
      <c r="U93" s="131">
        <f ca="1"/>
        <v>120</v>
      </c>
      <c r="V93" s="120">
        <f ca="1"/>
        <v>60</v>
      </c>
      <c r="W93" s="140">
        <f ca="1"/>
        <v>7</v>
      </c>
      <c r="X93" s="139">
        <f ca="1"/>
        <v>0.96111111111111114</v>
      </c>
      <c r="Y93" s="141">
        <f ca="1"/>
        <v>4.4371550000000006</v>
      </c>
      <c r="Z93" s="141">
        <f ca="1"/>
        <v>4.4371550000000006</v>
      </c>
      <c r="AA93" s="142">
        <f ca="1"/>
        <v>266.22930000000002</v>
      </c>
      <c r="AB93" s="138">
        <f ca="1"/>
        <v>9</v>
      </c>
      <c r="AC93" s="103" t="str">
        <f ca="1"/>
        <v>VIGENTE</v>
      </c>
      <c r="AD93" s="150">
        <f ca="1"/>
        <v>0.06</v>
      </c>
    </row>
    <row r="94" spans="1:30">
      <c r="A94" s="111" t="str">
        <f ca="1"/>
        <v>SAN GABRIEL</v>
      </c>
      <c r="B94" s="111" t="str">
        <f ca="1"/>
        <v>QUESOS Y GRASAS</v>
      </c>
      <c r="C94" s="111" t="str">
        <f ca="1"/>
        <v xml:space="preserve">Esteban Montenegro                      </v>
      </c>
      <c r="D94" s="111" t="str">
        <f ca="1"/>
        <v>QUESO SEMIMADURO KIOSKO</v>
      </c>
      <c r="E94" s="111" t="str">
        <f ca="1"/>
        <v>QUESO PARMESANO KIOSKO RALLADO</v>
      </c>
      <c r="F94" s="120" t="str">
        <f ca="1"/>
        <v>GUAYAQUIL</v>
      </c>
      <c r="G94" s="120">
        <f ca="1"/>
        <v>7711</v>
      </c>
      <c r="H94" s="120">
        <f ca="1"/>
        <v>1001</v>
      </c>
      <c r="I94" s="120" t="str">
        <f ca="1"/>
        <v>5513</v>
      </c>
      <c r="J94" s="120" t="str">
        <f ca="1"/>
        <v>Q PARME KIOSKO RALL BOL 500G</v>
      </c>
      <c r="K94" s="121">
        <f ca="1"/>
        <v>100</v>
      </c>
      <c r="L94" s="122">
        <f ca="1"/>
        <v>1</v>
      </c>
      <c r="M94" s="120">
        <f ca="1"/>
        <v>0.5</v>
      </c>
      <c r="N94" s="121">
        <f ca="1"/>
        <v>180</v>
      </c>
      <c r="O94" s="123">
        <f ca="1"/>
        <v>45616</v>
      </c>
      <c r="P94" s="123" t="str">
        <f ca="1"/>
        <v>miércoles</v>
      </c>
      <c r="Q94" s="124">
        <f ca="1"/>
        <v>45609</v>
      </c>
      <c r="R94" s="124">
        <f ca="1"/>
        <v>45788</v>
      </c>
      <c r="S94" s="90">
        <f ca="1"/>
        <v>164</v>
      </c>
      <c r="T94" s="139">
        <f ca="1"/>
        <v>0.91111111111111109</v>
      </c>
      <c r="U94" s="131">
        <f ca="1"/>
        <v>100</v>
      </c>
      <c r="V94" s="120">
        <f ca="1"/>
        <v>50</v>
      </c>
      <c r="W94" s="140">
        <f ca="1"/>
        <v>7</v>
      </c>
      <c r="X94" s="139">
        <f ca="1"/>
        <v>0.96111111111111114</v>
      </c>
      <c r="Y94" s="141">
        <f ca="1"/>
        <v>4.4371550000000006</v>
      </c>
      <c r="Z94" s="141">
        <f ca="1"/>
        <v>4.4371550000000006</v>
      </c>
      <c r="AA94" s="142">
        <f ca="1"/>
        <v>221.85775000000004</v>
      </c>
      <c r="AB94" s="138">
        <f ca="1"/>
        <v>8</v>
      </c>
      <c r="AC94" s="103" t="str">
        <f ca="1"/>
        <v>VIGENTE</v>
      </c>
      <c r="AD94" s="150">
        <f ca="1"/>
        <v>0.05</v>
      </c>
    </row>
    <row r="95" spans="1:30">
      <c r="A95" s="111" t="str">
        <f ca="1"/>
        <v>SAN GABRIEL</v>
      </c>
      <c r="B95" s="111" t="str">
        <f ca="1"/>
        <v>QUESOS Y GRASAS</v>
      </c>
      <c r="C95" s="111" t="str">
        <f ca="1"/>
        <v xml:space="preserve">Esteban Montenegro                      </v>
      </c>
      <c r="D95" s="111" t="str">
        <f ca="1"/>
        <v>QUESO SEMIMADURO KIOSKO</v>
      </c>
      <c r="E95" s="111" t="str">
        <f ca="1"/>
        <v>QUESO PARMESANO KIOSKO RALLADO</v>
      </c>
      <c r="F95" s="120" t="str">
        <f ca="1"/>
        <v>GUAYAQUIL</v>
      </c>
      <c r="G95" s="120">
        <f ca="1"/>
        <v>7711</v>
      </c>
      <c r="H95" s="120">
        <f ca="1"/>
        <v>1001</v>
      </c>
      <c r="I95" s="120" t="str">
        <f ca="1"/>
        <v>5513</v>
      </c>
      <c r="J95" s="120" t="str">
        <f ca="1"/>
        <v>Q PARME KIOSKO RALL BOL 500G</v>
      </c>
      <c r="K95" s="121">
        <f ca="1"/>
        <v>100</v>
      </c>
      <c r="L95" s="122">
        <f ca="1"/>
        <v>1</v>
      </c>
      <c r="M95" s="120">
        <f ca="1"/>
        <v>0.5</v>
      </c>
      <c r="N95" s="121">
        <f ca="1"/>
        <v>180</v>
      </c>
      <c r="O95" s="123">
        <f ca="1"/>
        <v>45617</v>
      </c>
      <c r="P95" s="123" t="str">
        <f ca="1"/>
        <v>jueves</v>
      </c>
      <c r="Q95" s="124">
        <f ca="1"/>
        <v>45610</v>
      </c>
      <c r="R95" s="124">
        <f ca="1"/>
        <v>45789</v>
      </c>
      <c r="S95" s="90">
        <f ca="1"/>
        <v>165</v>
      </c>
      <c r="T95" s="139">
        <f ca="1"/>
        <v>0.91666666666666663</v>
      </c>
      <c r="U95" s="131">
        <f ca="1"/>
        <v>100</v>
      </c>
      <c r="V95" s="120">
        <f ca="1"/>
        <v>50</v>
      </c>
      <c r="W95" s="140">
        <f ca="1"/>
        <v>7</v>
      </c>
      <c r="X95" s="139">
        <f ca="1"/>
        <v>0.96111111111111114</v>
      </c>
      <c r="Y95" s="141">
        <f ca="1"/>
        <v>4.4371550000000006</v>
      </c>
      <c r="Z95" s="141">
        <f ca="1"/>
        <v>4.4371550000000006</v>
      </c>
      <c r="AA95" s="142">
        <f ca="1"/>
        <v>221.85775000000004</v>
      </c>
      <c r="AB95" s="138">
        <f ca="1"/>
        <v>7</v>
      </c>
      <c r="AC95" s="103" t="str">
        <f ca="1"/>
        <v>VIGENTE</v>
      </c>
      <c r="AD95" s="150">
        <f ca="1"/>
        <v>0.05</v>
      </c>
    </row>
    <row r="96" spans="1:30">
      <c r="A96" s="111" t="str">
        <f ca="1"/>
        <v>MACHACHI</v>
      </c>
      <c r="B96" s="111" t="str">
        <f ca="1"/>
        <v>BEBIDAS LACTEAS</v>
      </c>
      <c r="C96" s="111" t="str">
        <f ca="1"/>
        <v xml:space="preserve">Luis Armendariz                         </v>
      </c>
      <c r="D96" s="111" t="str">
        <f ca="1"/>
        <v>BON YURT</v>
      </c>
      <c r="E96" s="111" t="str">
        <f ca="1"/>
        <v>BON YURT REGULAR</v>
      </c>
      <c r="F96" s="120" t="str">
        <f ca="1"/>
        <v>GUAYAQUIL</v>
      </c>
      <c r="G96" s="120">
        <f ca="1"/>
        <v>7711</v>
      </c>
      <c r="H96" s="120">
        <f ca="1"/>
        <v>1001</v>
      </c>
      <c r="I96" s="120" t="str">
        <f ca="1"/>
        <v>5523</v>
      </c>
      <c r="J96" s="120" t="str">
        <f ca="1"/>
        <v>BY BLCK VASO 165G</v>
      </c>
      <c r="K96" s="121">
        <f ca="1"/>
        <v>780</v>
      </c>
      <c r="L96" s="122">
        <f ca="1"/>
        <v>1</v>
      </c>
      <c r="M96" s="120">
        <f ca="1"/>
        <v>0.16500000000000001</v>
      </c>
      <c r="N96" s="121">
        <f ca="1"/>
        <v>45</v>
      </c>
      <c r="O96" s="123">
        <f ca="1"/>
        <v>45609</v>
      </c>
      <c r="P96" s="123" t="str">
        <f ca="1"/>
        <v>miércoles</v>
      </c>
      <c r="Q96" s="124">
        <f ca="1"/>
        <v>45601</v>
      </c>
      <c r="R96" s="124">
        <f ca="1"/>
        <v>45645</v>
      </c>
      <c r="S96" s="90">
        <f ca="1"/>
        <v>21</v>
      </c>
      <c r="T96" s="139">
        <f ca="1"/>
        <v>0.46666666666666667</v>
      </c>
      <c r="U96" s="131">
        <f ca="1"/>
        <v>500</v>
      </c>
      <c r="V96" s="120">
        <f ca="1"/>
        <v>82.5</v>
      </c>
      <c r="W96" s="140">
        <f ca="1"/>
        <v>8</v>
      </c>
      <c r="X96" s="139">
        <f ca="1"/>
        <v>0.82222222222222219</v>
      </c>
      <c r="Y96" s="141">
        <f ca="1"/>
        <v>0.32339499999999999</v>
      </c>
      <c r="Z96" s="141">
        <f ca="1"/>
        <v>0.32339499999999999</v>
      </c>
      <c r="AA96" s="142">
        <f ca="1"/>
        <v>26.680087499999999</v>
      </c>
      <c r="AB96" s="138">
        <f ca="1"/>
        <v>15</v>
      </c>
      <c r="AC96" s="103" t="str">
        <f ca="1"/>
        <v>FECHA CORTA</v>
      </c>
      <c r="AD96" s="150">
        <f ca="1"/>
        <v>8.2500000000000004E-2</v>
      </c>
    </row>
    <row r="97" spans="1:30">
      <c r="A97" s="111" t="str">
        <f ca="1"/>
        <v>MACHACHI</v>
      </c>
      <c r="B97" s="111" t="str">
        <f ca="1"/>
        <v>BEBIDAS LACTEAS</v>
      </c>
      <c r="C97" s="111" t="str">
        <f ca="1"/>
        <v xml:space="preserve">Luis Armendariz                         </v>
      </c>
      <c r="D97" s="111" t="str">
        <f ca="1"/>
        <v>BON YURT</v>
      </c>
      <c r="E97" s="111" t="str">
        <f ca="1"/>
        <v>BON YURT REGULAR</v>
      </c>
      <c r="F97" s="120" t="str">
        <f ca="1"/>
        <v>GUAYAQUIL</v>
      </c>
      <c r="G97" s="120">
        <f ca="1"/>
        <v>7711</v>
      </c>
      <c r="H97" s="120">
        <f ca="1"/>
        <v>1001</v>
      </c>
      <c r="I97" s="120" t="str">
        <f ca="1"/>
        <v>5523</v>
      </c>
      <c r="J97" s="120" t="str">
        <f ca="1"/>
        <v>BY BLCK VASO 165G</v>
      </c>
      <c r="K97" s="121">
        <f ca="1"/>
        <v>1800</v>
      </c>
      <c r="L97" s="122">
        <f ca="1"/>
        <v>1</v>
      </c>
      <c r="M97" s="120">
        <f ca="1"/>
        <v>0.16500000000000001</v>
      </c>
      <c r="N97" s="121">
        <f ca="1"/>
        <v>45</v>
      </c>
      <c r="O97" s="123">
        <f ca="1"/>
        <v>45611</v>
      </c>
      <c r="P97" s="123" t="str">
        <f ca="1"/>
        <v>viernes</v>
      </c>
      <c r="Q97" s="124">
        <f ca="1"/>
        <v>45604</v>
      </c>
      <c r="R97" s="124">
        <f ca="1"/>
        <v>45648</v>
      </c>
      <c r="S97" s="90">
        <f ca="1"/>
        <v>24</v>
      </c>
      <c r="T97" s="139">
        <f ca="1"/>
        <v>0.53333333333333333</v>
      </c>
      <c r="U97" s="131">
        <f ca="1"/>
        <v>684</v>
      </c>
      <c r="V97" s="120">
        <f ca="1"/>
        <v>112.86</v>
      </c>
      <c r="W97" s="140">
        <f ca="1"/>
        <v>7</v>
      </c>
      <c r="X97" s="139">
        <f ca="1"/>
        <v>0.84444444444444444</v>
      </c>
      <c r="Y97" s="141">
        <f ca="1"/>
        <v>0.32339499999999999</v>
      </c>
      <c r="Z97" s="141">
        <f ca="1"/>
        <v>0.32339499999999999</v>
      </c>
      <c r="AA97" s="142">
        <f ca="1"/>
        <v>36.498359700000002</v>
      </c>
      <c r="AB97" s="138">
        <f ca="1"/>
        <v>13</v>
      </c>
      <c r="AC97" s="103" t="str">
        <f ca="1"/>
        <v>PROXIMOS FECHA CORTA</v>
      </c>
      <c r="AD97" s="150">
        <f ca="1"/>
        <v>0.11286</v>
      </c>
    </row>
    <row r="98" spans="1:30">
      <c r="A98" s="111" t="str">
        <f ca="1"/>
        <v>MACHACHI</v>
      </c>
      <c r="B98" s="111" t="str">
        <f ca="1"/>
        <v>BEBIDAS LACTEAS</v>
      </c>
      <c r="C98" s="111" t="str">
        <f ca="1"/>
        <v xml:space="preserve">Luis Armendariz                         </v>
      </c>
      <c r="D98" s="111" t="str">
        <f ca="1"/>
        <v>BON YURT</v>
      </c>
      <c r="E98" s="111" t="str">
        <f ca="1"/>
        <v>BON YURT REGULAR</v>
      </c>
      <c r="F98" s="120" t="str">
        <f ca="1"/>
        <v>GUAYAQUIL</v>
      </c>
      <c r="G98" s="120">
        <f ca="1"/>
        <v>7711</v>
      </c>
      <c r="H98" s="120">
        <f ca="1"/>
        <v>1001</v>
      </c>
      <c r="I98" s="120" t="str">
        <f ca="1"/>
        <v>5523</v>
      </c>
      <c r="J98" s="120" t="str">
        <f ca="1"/>
        <v>BY BLCK VASO 165G</v>
      </c>
      <c r="K98" s="121">
        <f ca="1"/>
        <v>1200</v>
      </c>
      <c r="L98" s="122">
        <f ca="1"/>
        <v>1</v>
      </c>
      <c r="M98" s="120">
        <f ca="1"/>
        <v>0.16500000000000001</v>
      </c>
      <c r="N98" s="121">
        <f ca="1"/>
        <v>45</v>
      </c>
      <c r="O98" s="123">
        <f ca="1"/>
        <v>45610</v>
      </c>
      <c r="P98" s="123" t="str">
        <f ca="1"/>
        <v>jueves</v>
      </c>
      <c r="Q98" s="124">
        <f ca="1"/>
        <v>45601</v>
      </c>
      <c r="R98" s="124">
        <f ca="1"/>
        <v>45645</v>
      </c>
      <c r="S98" s="90">
        <f ca="1"/>
        <v>21</v>
      </c>
      <c r="T98" s="139">
        <f ca="1"/>
        <v>0.46666666666666667</v>
      </c>
      <c r="U98" s="131">
        <f ca="1"/>
        <v>1200</v>
      </c>
      <c r="V98" s="120">
        <f ca="1"/>
        <v>198</v>
      </c>
      <c r="W98" s="140">
        <f ca="1"/>
        <v>9</v>
      </c>
      <c r="X98" s="139">
        <f ca="1"/>
        <v>0.8</v>
      </c>
      <c r="Y98" s="141">
        <f ca="1"/>
        <v>0.32339499999999999</v>
      </c>
      <c r="Z98" s="141">
        <f ca="1"/>
        <v>0.32339499999999999</v>
      </c>
      <c r="AA98" s="142">
        <f ca="1"/>
        <v>64.032209999999992</v>
      </c>
      <c r="AB98" s="138">
        <f ca="1"/>
        <v>14</v>
      </c>
      <c r="AC98" s="103" t="str">
        <f ca="1"/>
        <v>FECHA CORTA</v>
      </c>
      <c r="AD98" s="150">
        <f ca="1"/>
        <v>0.19800000000000001</v>
      </c>
    </row>
    <row r="99" spans="1:30">
      <c r="A99" s="111" t="str">
        <f ca="1"/>
        <v>MACHACHI</v>
      </c>
      <c r="B99" s="111" t="str">
        <f ca="1"/>
        <v>BEBIDAS LACTEAS</v>
      </c>
      <c r="C99" s="111" t="str">
        <f ca="1"/>
        <v xml:space="preserve">Luis Armendariz                         </v>
      </c>
      <c r="D99" s="111" t="str">
        <f ca="1"/>
        <v>BON YURT</v>
      </c>
      <c r="E99" s="111" t="str">
        <f ca="1"/>
        <v>BON YURT REGULAR</v>
      </c>
      <c r="F99" s="120" t="str">
        <f ca="1"/>
        <v>GUAYAQUIL</v>
      </c>
      <c r="G99" s="120">
        <f ca="1"/>
        <v>7711</v>
      </c>
      <c r="H99" s="120">
        <f ca="1"/>
        <v>1001</v>
      </c>
      <c r="I99" s="120" t="str">
        <f ca="1"/>
        <v>5523</v>
      </c>
      <c r="J99" s="120" t="str">
        <f ca="1"/>
        <v>BY BLCK VASO 165G</v>
      </c>
      <c r="K99" s="121">
        <f ca="1"/>
        <v>780</v>
      </c>
      <c r="L99" s="122">
        <f ca="1"/>
        <v>1</v>
      </c>
      <c r="M99" s="120">
        <f ca="1"/>
        <v>0.16500000000000001</v>
      </c>
      <c r="N99" s="121">
        <f ca="1"/>
        <v>45</v>
      </c>
      <c r="O99" s="123">
        <f ca="1"/>
        <v>45615</v>
      </c>
      <c r="P99" s="123" t="str">
        <f ca="1"/>
        <v>martes</v>
      </c>
      <c r="Q99" s="124">
        <f ca="1"/>
        <v>45608</v>
      </c>
      <c r="R99" s="124">
        <f ca="1"/>
        <v>45652</v>
      </c>
      <c r="S99" s="90">
        <f ca="1"/>
        <v>28</v>
      </c>
      <c r="T99" s="139">
        <f ca="1"/>
        <v>0.62222222222222223</v>
      </c>
      <c r="U99" s="131">
        <f ca="1"/>
        <v>1380</v>
      </c>
      <c r="V99" s="120">
        <f ca="1"/>
        <v>227.70000000000002</v>
      </c>
      <c r="W99" s="140">
        <f ca="1"/>
        <v>7</v>
      </c>
      <c r="X99" s="139">
        <f ca="1"/>
        <v>0.84444444444444444</v>
      </c>
      <c r="Y99" s="141">
        <f ca="1"/>
        <v>0.32339499999999999</v>
      </c>
      <c r="Z99" s="141">
        <f ca="1"/>
        <v>0.32339499999999999</v>
      </c>
      <c r="AA99" s="142">
        <f ca="1"/>
        <v>73.637041500000009</v>
      </c>
      <c r="AB99" s="138">
        <f ca="1"/>
        <v>9</v>
      </c>
      <c r="AC99" s="103" t="str">
        <f ca="1"/>
        <v>VIGENTE</v>
      </c>
      <c r="AD99" s="150">
        <f ca="1"/>
        <v>0.22770000000000001</v>
      </c>
    </row>
    <row r="100" spans="1:30">
      <c r="A100" s="111" t="str">
        <f ca="1"/>
        <v>MACHACHI</v>
      </c>
      <c r="B100" s="111" t="str">
        <f ca="1"/>
        <v>BEBIDAS LACTEAS</v>
      </c>
      <c r="C100" s="111" t="str">
        <f ca="1"/>
        <v xml:space="preserve">Luis Armendariz                         </v>
      </c>
      <c r="D100" s="111" t="str">
        <f ca="1"/>
        <v>BON YURT</v>
      </c>
      <c r="E100" s="111" t="str">
        <f ca="1"/>
        <v>BON YURT REGULAR</v>
      </c>
      <c r="F100" s="120" t="str">
        <f ca="1"/>
        <v>GUAYAQUIL</v>
      </c>
      <c r="G100" s="120">
        <f ca="1"/>
        <v>7711</v>
      </c>
      <c r="H100" s="120">
        <f ca="1"/>
        <v>1001</v>
      </c>
      <c r="I100" s="120" t="str">
        <f ca="1"/>
        <v>5523</v>
      </c>
      <c r="J100" s="120" t="str">
        <f ca="1"/>
        <v>BY BLCK VASO 165G</v>
      </c>
      <c r="K100" s="121">
        <f ca="1"/>
        <v>660</v>
      </c>
      <c r="L100" s="122">
        <f ca="1"/>
        <v>1</v>
      </c>
      <c r="M100" s="120">
        <f ca="1"/>
        <v>0.16500000000000001</v>
      </c>
      <c r="N100" s="121">
        <f ca="1"/>
        <v>45</v>
      </c>
      <c r="O100" s="123">
        <f ca="1"/>
        <v>45616</v>
      </c>
      <c r="P100" s="123" t="str">
        <f ca="1"/>
        <v>miércoles</v>
      </c>
      <c r="Q100" s="124">
        <f ca="1"/>
        <v>45612</v>
      </c>
      <c r="R100" s="124">
        <f ca="1"/>
        <v>45656</v>
      </c>
      <c r="S100" s="90">
        <f ca="1"/>
        <v>32</v>
      </c>
      <c r="T100" s="139">
        <f ca="1"/>
        <v>0.71111111111111114</v>
      </c>
      <c r="U100" s="131">
        <f ca="1"/>
        <v>0</v>
      </c>
      <c r="V100" s="120">
        <f ca="1"/>
        <v>0</v>
      </c>
      <c r="W100" s="140">
        <f ca="1"/>
        <v>4</v>
      </c>
      <c r="X100" s="139">
        <f ca="1"/>
        <v>0.91111111111111109</v>
      </c>
      <c r="Y100" s="141">
        <f ca="1"/>
        <v>0.32339499999999999</v>
      </c>
      <c r="Z100" s="141">
        <f ca="1"/>
        <v>0.32339499999999999</v>
      </c>
      <c r="AA100" s="142">
        <f ca="1"/>
        <v>0</v>
      </c>
      <c r="AB100" s="138">
        <f ca="1"/>
        <v>8</v>
      </c>
      <c r="AC100" s="103" t="str">
        <f ca="1"/>
        <v>VIGENTE</v>
      </c>
      <c r="AD100" s="150">
        <f ca="1"/>
        <v>0</v>
      </c>
    </row>
    <row r="101" spans="1:30">
      <c r="A101" s="111" t="str">
        <f ca="1"/>
        <v>MACHACHI</v>
      </c>
      <c r="B101" s="111" t="str">
        <f ca="1"/>
        <v>BEBIDAS LACTEAS</v>
      </c>
      <c r="C101" s="111" t="str">
        <f ca="1"/>
        <v xml:space="preserve">Luis Armendariz                         </v>
      </c>
      <c r="D101" s="111" t="str">
        <f ca="1"/>
        <v>BON YURT</v>
      </c>
      <c r="E101" s="111" t="str">
        <f ca="1"/>
        <v>BON YURT REGULAR</v>
      </c>
      <c r="F101" s="120" t="str">
        <f ca="1"/>
        <v>GUAYAQUIL</v>
      </c>
      <c r="G101" s="120">
        <f ca="1"/>
        <v>7711</v>
      </c>
      <c r="H101" s="120">
        <f ca="1"/>
        <v>1001</v>
      </c>
      <c r="I101" s="120" t="str">
        <f ca="1"/>
        <v>5523</v>
      </c>
      <c r="J101" s="120" t="str">
        <f ca="1"/>
        <v>BY BLCK VASO 165G</v>
      </c>
      <c r="K101" s="121">
        <f ca="1"/>
        <v>1200</v>
      </c>
      <c r="L101" s="122">
        <f ca="1"/>
        <v>1</v>
      </c>
      <c r="M101" s="120">
        <f ca="1"/>
        <v>0.16500000000000001</v>
      </c>
      <c r="N101" s="121">
        <f ca="1"/>
        <v>45</v>
      </c>
      <c r="O101" s="123">
        <f ca="1"/>
        <v>45617</v>
      </c>
      <c r="P101" s="123" t="str">
        <f ca="1"/>
        <v>jueves</v>
      </c>
      <c r="Q101" s="124">
        <f ca="1"/>
        <v>45612</v>
      </c>
      <c r="R101" s="124">
        <f ca="1"/>
        <v>45656</v>
      </c>
      <c r="S101" s="90">
        <f ca="1"/>
        <v>32</v>
      </c>
      <c r="T101" s="139">
        <f ca="1"/>
        <v>0.71111111111111114</v>
      </c>
      <c r="U101" s="131">
        <f ca="1"/>
        <v>1200</v>
      </c>
      <c r="V101" s="120">
        <f ca="1"/>
        <v>198</v>
      </c>
      <c r="W101" s="140">
        <f ca="1"/>
        <v>5</v>
      </c>
      <c r="X101" s="139">
        <f ca="1"/>
        <v>0.88888888888888884</v>
      </c>
      <c r="Y101" s="141">
        <f ca="1"/>
        <v>0.32339499999999999</v>
      </c>
      <c r="Z101" s="141">
        <f ca="1"/>
        <v>0.32339499999999999</v>
      </c>
      <c r="AA101" s="142">
        <f ca="1"/>
        <v>64.032209999999992</v>
      </c>
      <c r="AB101" s="138">
        <f ca="1"/>
        <v>7</v>
      </c>
      <c r="AC101" s="103" t="str">
        <f ca="1"/>
        <v>VIGENTE</v>
      </c>
      <c r="AD101" s="150">
        <f ca="1"/>
        <v>0.19800000000000001</v>
      </c>
    </row>
    <row r="102" spans="1:30">
      <c r="A102" s="111" t="str">
        <f ca="1"/>
        <v>SAN GABRIEL</v>
      </c>
      <c r="B102" s="111" t="str">
        <f ca="1"/>
        <v>QUESOS Y GRASAS</v>
      </c>
      <c r="C102" s="111" t="str">
        <f ca="1"/>
        <v xml:space="preserve">Esteban Montenegro                      </v>
      </c>
      <c r="D102" s="111" t="str">
        <f ca="1"/>
        <v>QUESO SEMIMADURO KIOSKO</v>
      </c>
      <c r="E102" s="111" t="str">
        <f ca="1"/>
        <v>QUESO PARMESANO KIOSKO BLOQUE</v>
      </c>
      <c r="F102" s="120" t="str">
        <f ca="1"/>
        <v>GUAYAQUIL</v>
      </c>
      <c r="G102" s="120">
        <f ca="1"/>
        <v>7711</v>
      </c>
      <c r="H102" s="120">
        <f ca="1"/>
        <v>1001</v>
      </c>
      <c r="I102" s="120" t="str">
        <f ca="1"/>
        <v>5546</v>
      </c>
      <c r="J102" s="120" t="str">
        <f ca="1"/>
        <v>Q PARME KIOSKO CUNA AL PESO</v>
      </c>
      <c r="K102" s="121">
        <f ca="1"/>
        <v>20</v>
      </c>
      <c r="L102" s="122">
        <f ca="1"/>
        <v>2.4</v>
      </c>
      <c r="M102" s="120">
        <f ca="1"/>
        <v>1</v>
      </c>
      <c r="N102" s="121">
        <f ca="1"/>
        <v>90</v>
      </c>
      <c r="O102" s="123">
        <f ca="1"/>
        <v>45609</v>
      </c>
      <c r="P102" s="123" t="str">
        <f ca="1"/>
        <v>miércoles</v>
      </c>
      <c r="Q102" s="124">
        <f ca="1"/>
        <v>45608</v>
      </c>
      <c r="R102" s="124">
        <f ca="1"/>
        <v>45697</v>
      </c>
      <c r="S102" s="90">
        <f ca="1"/>
        <v>73</v>
      </c>
      <c r="T102" s="139">
        <f ca="1"/>
        <v>0.81111111111111112</v>
      </c>
      <c r="U102" s="131">
        <f ca="1"/>
        <v>14</v>
      </c>
      <c r="V102" s="120">
        <f ca="1"/>
        <v>33.6</v>
      </c>
      <c r="W102" s="140">
        <f ca="1"/>
        <v>1</v>
      </c>
      <c r="X102" s="139">
        <f ca="1"/>
        <v>0.98888888888888893</v>
      </c>
      <c r="Y102" s="141">
        <f ca="1"/>
        <v>7.9599600000000006</v>
      </c>
      <c r="Z102" s="141">
        <f ca="1"/>
        <v>19.103904</v>
      </c>
      <c r="AA102" s="142">
        <f ca="1"/>
        <v>641.89117440000007</v>
      </c>
      <c r="AB102" s="138">
        <f ca="1"/>
        <v>15</v>
      </c>
      <c r="AC102" s="103" t="str">
        <f ca="1"/>
        <v>VIGENTE</v>
      </c>
      <c r="AD102" s="150">
        <f ca="1"/>
        <v>3.3600000000000005E-2</v>
      </c>
    </row>
    <row r="103" spans="1:30">
      <c r="A103" s="111" t="str">
        <f ca="1"/>
        <v>SAN GABRIEL</v>
      </c>
      <c r="B103" s="111" t="str">
        <f ca="1"/>
        <v>QUESOS Y GRASAS</v>
      </c>
      <c r="C103" s="111" t="str">
        <f ca="1"/>
        <v xml:space="preserve">Esteban Montenegro                      </v>
      </c>
      <c r="D103" s="111" t="str">
        <f ca="1"/>
        <v>QUESO SEMIMADURO KIOSKO</v>
      </c>
      <c r="E103" s="111" t="str">
        <f ca="1"/>
        <v>QUESO PARMESANO KIOSKO BLOQUE</v>
      </c>
      <c r="F103" s="120" t="str">
        <f ca="1"/>
        <v>GUAYAQUIL</v>
      </c>
      <c r="G103" s="120">
        <f ca="1"/>
        <v>7711</v>
      </c>
      <c r="H103" s="120">
        <f ca="1"/>
        <v>1001</v>
      </c>
      <c r="I103" s="120" t="str">
        <f ca="1"/>
        <v>5546</v>
      </c>
      <c r="J103" s="120" t="str">
        <f ca="1"/>
        <v>Q PARME KIOSKO CUNA AL PESO</v>
      </c>
      <c r="K103" s="121">
        <f ca="1"/>
        <v>4</v>
      </c>
      <c r="L103" s="122">
        <f ca="1"/>
        <v>2.4</v>
      </c>
      <c r="M103" s="120">
        <f ca="1"/>
        <v>1</v>
      </c>
      <c r="N103" s="121">
        <f ca="1"/>
        <v>90</v>
      </c>
      <c r="O103" s="123">
        <f ca="1"/>
        <v>45610</v>
      </c>
      <c r="P103" s="123" t="str">
        <f ca="1"/>
        <v>jueves</v>
      </c>
      <c r="Q103" s="124">
        <f ca="1"/>
        <v>45609</v>
      </c>
      <c r="R103" s="124">
        <f ca="1"/>
        <v>45698</v>
      </c>
      <c r="S103" s="90">
        <f ca="1"/>
        <v>74</v>
      </c>
      <c r="T103" s="139">
        <f ca="1"/>
        <v>0.82222222222222219</v>
      </c>
      <c r="U103" s="131">
        <f ca="1"/>
        <v>4</v>
      </c>
      <c r="V103" s="120">
        <f ca="1"/>
        <v>9.6</v>
      </c>
      <c r="W103" s="140">
        <f ca="1"/>
        <v>1</v>
      </c>
      <c r="X103" s="139">
        <f ca="1"/>
        <v>0.98888888888888893</v>
      </c>
      <c r="Y103" s="141">
        <f ca="1"/>
        <v>7.9599600000000006</v>
      </c>
      <c r="Z103" s="141">
        <f ca="1"/>
        <v>19.103904</v>
      </c>
      <c r="AA103" s="142">
        <f ca="1"/>
        <v>183.39747839999998</v>
      </c>
      <c r="AB103" s="138">
        <f ca="1"/>
        <v>14</v>
      </c>
      <c r="AC103" s="103" t="str">
        <f ca="1"/>
        <v>VIGENTE</v>
      </c>
      <c r="AD103" s="150">
        <f ca="1"/>
        <v>9.5999999999999992E-3</v>
      </c>
    </row>
    <row r="104" spans="1:30">
      <c r="A104" s="111" t="str">
        <f ca="1"/>
        <v>SAN GABRIEL</v>
      </c>
      <c r="B104" s="111" t="str">
        <f ca="1"/>
        <v>QUESOS Y GRASAS</v>
      </c>
      <c r="C104" s="111" t="str">
        <f ca="1"/>
        <v xml:space="preserve">Esteban Montenegro                      </v>
      </c>
      <c r="D104" s="111" t="str">
        <f ca="1"/>
        <v>QUESO SEMIMADURO KIOSKO</v>
      </c>
      <c r="E104" s="111" t="str">
        <f ca="1"/>
        <v>QUESO PARMESANO KIOSKO BLOQUE</v>
      </c>
      <c r="F104" s="120" t="str">
        <f ca="1"/>
        <v>GUAYAQUIL</v>
      </c>
      <c r="G104" s="120">
        <f ca="1"/>
        <v>7711</v>
      </c>
      <c r="H104" s="120">
        <f ca="1"/>
        <v>1001</v>
      </c>
      <c r="I104" s="120" t="str">
        <f ca="1"/>
        <v>5546</v>
      </c>
      <c r="J104" s="120" t="str">
        <f ca="1"/>
        <v>Q PARME KIOSKO CUNA AL PESO</v>
      </c>
      <c r="K104" s="121">
        <f ca="1"/>
        <v>4</v>
      </c>
      <c r="L104" s="122">
        <f ca="1"/>
        <v>2.4</v>
      </c>
      <c r="M104" s="120">
        <f ca="1"/>
        <v>1</v>
      </c>
      <c r="N104" s="121">
        <f ca="1"/>
        <v>90</v>
      </c>
      <c r="O104" s="123">
        <f ca="1"/>
        <v>45616</v>
      </c>
      <c r="P104" s="123" t="str">
        <f ca="1"/>
        <v>miércoles</v>
      </c>
      <c r="Q104" s="124">
        <f ca="1"/>
        <v>45615</v>
      </c>
      <c r="R104" s="124">
        <f ca="1"/>
        <v>45704</v>
      </c>
      <c r="S104" s="90">
        <f ca="1"/>
        <v>80</v>
      </c>
      <c r="T104" s="139">
        <f ca="1"/>
        <v>0.88888888888888884</v>
      </c>
      <c r="U104" s="131">
        <f ca="1"/>
        <v>4</v>
      </c>
      <c r="V104" s="120">
        <f ca="1"/>
        <v>9.6</v>
      </c>
      <c r="W104" s="140">
        <f ca="1"/>
        <v>1</v>
      </c>
      <c r="X104" s="139">
        <f ca="1"/>
        <v>0.98888888888888893</v>
      </c>
      <c r="Y104" s="141">
        <f ca="1"/>
        <v>7.9599600000000006</v>
      </c>
      <c r="Z104" s="141">
        <f ca="1"/>
        <v>19.103904</v>
      </c>
      <c r="AA104" s="142">
        <f ca="1"/>
        <v>183.39747839999998</v>
      </c>
      <c r="AB104" s="138">
        <f ca="1"/>
        <v>8</v>
      </c>
      <c r="AC104" s="103" t="str">
        <f ca="1"/>
        <v>VIGENTE</v>
      </c>
      <c r="AD104" s="150">
        <f ca="1"/>
        <v>9.5999999999999992E-3</v>
      </c>
    </row>
    <row r="105" spans="1:30">
      <c r="A105" s="111" t="str">
        <f ca="1"/>
        <v>SAN GABRIEL</v>
      </c>
      <c r="B105" s="111" t="str">
        <f ca="1"/>
        <v>POSTRES</v>
      </c>
      <c r="C105" s="111" t="str">
        <f ca="1"/>
        <v xml:space="preserve">Luis Armendariz                         </v>
      </c>
      <c r="D105" s="111" t="str">
        <f ca="1"/>
        <v>DULCE LECHE KIOSCO</v>
      </c>
      <c r="E105" s="111" t="str">
        <f ca="1"/>
        <v>DULCE DE LECHE KIOSCO FAMILIAR</v>
      </c>
      <c r="F105" s="120" t="str">
        <f ca="1"/>
        <v>GUAYAQUIL</v>
      </c>
      <c r="G105" s="120">
        <f ca="1"/>
        <v>7711</v>
      </c>
      <c r="H105" s="120">
        <f ca="1"/>
        <v>1001</v>
      </c>
      <c r="I105" s="120" t="str">
        <f ca="1"/>
        <v>5709</v>
      </c>
      <c r="J105" s="120" t="str">
        <f ca="1"/>
        <v>DULCE LCH KIOSKO VASO 500G</v>
      </c>
      <c r="K105" s="121">
        <f ca="1"/>
        <v>0</v>
      </c>
      <c r="L105" s="122">
        <f ca="1"/>
        <v>1</v>
      </c>
      <c r="M105" s="120">
        <f ca="1"/>
        <v>0.5</v>
      </c>
      <c r="N105" s="121">
        <f ca="1"/>
        <v>180</v>
      </c>
      <c r="O105" s="123">
        <f ca="1"/>
        <v>45595</v>
      </c>
      <c r="P105" s="123" t="str">
        <f ca="1"/>
        <v>miércoles</v>
      </c>
      <c r="Q105" s="124">
        <f ca="1"/>
        <v>45460</v>
      </c>
      <c r="R105" s="124">
        <f ca="1"/>
        <v>45639</v>
      </c>
      <c r="S105" s="90">
        <f ca="1"/>
        <v>15</v>
      </c>
      <c r="T105" s="139">
        <f ca="1"/>
        <v>8.3333333333333329E-2</v>
      </c>
      <c r="U105" s="131">
        <f ca="1"/>
        <v>16</v>
      </c>
      <c r="V105" s="120">
        <f ca="1"/>
        <v>8</v>
      </c>
      <c r="W105" s="140">
        <f ca="1"/>
        <v>135</v>
      </c>
      <c r="X105" s="139">
        <f ca="1"/>
        <v>0.25</v>
      </c>
      <c r="Y105" s="141">
        <f ca="1"/>
        <v>1.3121100000000001</v>
      </c>
      <c r="Z105" s="141">
        <f ca="1"/>
        <v>1.3121100000000001</v>
      </c>
      <c r="AA105" s="142">
        <f ca="1"/>
        <v>10.496880000000001</v>
      </c>
      <c r="AB105" s="138">
        <f ca="1"/>
        <v>29</v>
      </c>
      <c r="AC105" s="103" t="str">
        <f ca="1"/>
        <v>FECHA CORTA</v>
      </c>
      <c r="AD105" s="150">
        <f ca="1"/>
        <v>8.0000000000000002E-3</v>
      </c>
    </row>
    <row r="106" spans="1:30">
      <c r="A106" s="111" t="str">
        <f ca="1"/>
        <v>SAN GABRIEL</v>
      </c>
      <c r="B106" s="111" t="str">
        <f ca="1"/>
        <v>POSTRES</v>
      </c>
      <c r="C106" s="111" t="str">
        <f ca="1"/>
        <v xml:space="preserve">Luis Armendariz                         </v>
      </c>
      <c r="D106" s="111" t="str">
        <f ca="1"/>
        <v>DULCE LECHE KIOSCO</v>
      </c>
      <c r="E106" s="111" t="str">
        <f ca="1"/>
        <v>DULCE DE LECHE KIOSCO FAMILIAR</v>
      </c>
      <c r="F106" s="120" t="str">
        <f ca="1"/>
        <v>GUAYAQUIL</v>
      </c>
      <c r="G106" s="120">
        <f ca="1"/>
        <v>7711</v>
      </c>
      <c r="H106" s="120">
        <f ca="1"/>
        <v>1001</v>
      </c>
      <c r="I106" s="120" t="str">
        <f ca="1"/>
        <v>5709</v>
      </c>
      <c r="J106" s="120" t="str">
        <f ca="1"/>
        <v>DULCE LCH KIOSKO VASO 500G</v>
      </c>
      <c r="K106" s="121">
        <f ca="1"/>
        <v>72</v>
      </c>
      <c r="L106" s="122">
        <f ca="1"/>
        <v>1</v>
      </c>
      <c r="M106" s="120">
        <f ca="1"/>
        <v>0.5</v>
      </c>
      <c r="N106" s="121">
        <f ca="1"/>
        <v>180</v>
      </c>
      <c r="O106" s="123">
        <f ca="1"/>
        <v>45611</v>
      </c>
      <c r="P106" s="123" t="str">
        <f ca="1"/>
        <v>viernes</v>
      </c>
      <c r="Q106" s="124">
        <f ca="1"/>
        <v>45596</v>
      </c>
      <c r="R106" s="124">
        <f ca="1"/>
        <v>45775</v>
      </c>
      <c r="S106" s="90">
        <f ca="1"/>
        <v>151</v>
      </c>
      <c r="T106" s="139">
        <f ca="1"/>
        <v>0.83888888888888891</v>
      </c>
      <c r="U106" s="131">
        <f ca="1"/>
        <v>72</v>
      </c>
      <c r="V106" s="120">
        <f ca="1"/>
        <v>36</v>
      </c>
      <c r="W106" s="140">
        <f ca="1"/>
        <v>15</v>
      </c>
      <c r="X106" s="139">
        <f ca="1"/>
        <v>0.91666666666666663</v>
      </c>
      <c r="Y106" s="141">
        <f ca="1"/>
        <v>1.3121100000000001</v>
      </c>
      <c r="Z106" s="141">
        <f ca="1"/>
        <v>1.3121100000000001</v>
      </c>
      <c r="AA106" s="142">
        <f ca="1"/>
        <v>47.235960000000006</v>
      </c>
      <c r="AB106" s="138">
        <f ca="1"/>
        <v>13</v>
      </c>
      <c r="AC106" s="103" t="str">
        <f ca="1"/>
        <v>VIGENTE</v>
      </c>
      <c r="AD106" s="150">
        <f ca="1"/>
        <v>3.5999999999999997E-2</v>
      </c>
    </row>
    <row r="107" spans="1:30">
      <c r="A107" s="111" t="str">
        <f ca="1"/>
        <v>SAN GABRIEL</v>
      </c>
      <c r="B107" s="111" t="str">
        <f ca="1"/>
        <v>POSTRES</v>
      </c>
      <c r="C107" s="111" t="str">
        <f ca="1"/>
        <v xml:space="preserve">Luis Armendariz                         </v>
      </c>
      <c r="D107" s="111" t="str">
        <f ca="1"/>
        <v>DULCE LECHE KIOSCO</v>
      </c>
      <c r="E107" s="111" t="str">
        <f ca="1"/>
        <v>DULCE DE LECHE KIOSCO FAMILIAR</v>
      </c>
      <c r="F107" s="120" t="str">
        <f ca="1"/>
        <v>GUAYAQUIL</v>
      </c>
      <c r="G107" s="120">
        <f ca="1"/>
        <v>7711</v>
      </c>
      <c r="H107" s="120">
        <f ca="1"/>
        <v>1001</v>
      </c>
      <c r="I107" s="120" t="str">
        <f ca="1"/>
        <v>5709</v>
      </c>
      <c r="J107" s="120" t="str">
        <f ca="1"/>
        <v>DULCE LCH KIOSKO VASO 500G</v>
      </c>
      <c r="K107" s="121">
        <f ca="1"/>
        <v>180</v>
      </c>
      <c r="L107" s="122">
        <f ca="1"/>
        <v>1</v>
      </c>
      <c r="M107" s="120">
        <f ca="1"/>
        <v>0.5</v>
      </c>
      <c r="N107" s="121">
        <f ca="1"/>
        <v>180</v>
      </c>
      <c r="O107" s="123">
        <f ca="1"/>
        <v>45610</v>
      </c>
      <c r="P107" s="123" t="str">
        <f ca="1"/>
        <v>jueves</v>
      </c>
      <c r="Q107" s="124">
        <f ca="1"/>
        <v>45596</v>
      </c>
      <c r="R107" s="124">
        <f ca="1"/>
        <v>45775</v>
      </c>
      <c r="S107" s="90">
        <f ca="1"/>
        <v>151</v>
      </c>
      <c r="T107" s="139">
        <f ca="1"/>
        <v>0.83888888888888891</v>
      </c>
      <c r="U107" s="131">
        <f ca="1"/>
        <v>164</v>
      </c>
      <c r="V107" s="120">
        <f ca="1"/>
        <v>82</v>
      </c>
      <c r="W107" s="140">
        <f ca="1"/>
        <v>14</v>
      </c>
      <c r="X107" s="139">
        <f ca="1"/>
        <v>0.92222222222222228</v>
      </c>
      <c r="Y107" s="141">
        <f ca="1"/>
        <v>1.3121100000000001</v>
      </c>
      <c r="Z107" s="141">
        <f ca="1"/>
        <v>1.3121100000000001</v>
      </c>
      <c r="AA107" s="142">
        <f ca="1"/>
        <v>107.59302000000001</v>
      </c>
      <c r="AB107" s="138">
        <f ca="1"/>
        <v>14</v>
      </c>
      <c r="AC107" s="103" t="str">
        <f ca="1"/>
        <v>VIGENTE</v>
      </c>
      <c r="AD107" s="150">
        <f ca="1"/>
        <v>8.2000000000000003E-2</v>
      </c>
    </row>
    <row r="108" spans="1:30">
      <c r="A108" s="111" t="str">
        <f ca="1"/>
        <v>SAN GABRIEL</v>
      </c>
      <c r="B108" s="111" t="str">
        <f ca="1"/>
        <v>POSTRES</v>
      </c>
      <c r="C108" s="111" t="str">
        <f ca="1"/>
        <v xml:space="preserve">Luis Armendariz                         </v>
      </c>
      <c r="D108" s="111" t="str">
        <f ca="1"/>
        <v>DULCE LECHE KIOSCO</v>
      </c>
      <c r="E108" s="111" t="str">
        <f ca="1"/>
        <v>DULCE DE LECHE KIOSCO FAMILIAR</v>
      </c>
      <c r="F108" s="120" t="str">
        <f ca="1"/>
        <v>GUAYAQUIL</v>
      </c>
      <c r="G108" s="120">
        <f ca="1"/>
        <v>7711</v>
      </c>
      <c r="H108" s="120">
        <f ca="1"/>
        <v>1001</v>
      </c>
      <c r="I108" s="120" t="str">
        <f ca="1"/>
        <v>5709</v>
      </c>
      <c r="J108" s="120" t="str">
        <f ca="1"/>
        <v>DULCE LCH KIOSKO VASO 500G</v>
      </c>
      <c r="K108" s="121">
        <f ca="1"/>
        <v>252</v>
      </c>
      <c r="L108" s="122">
        <f ca="1"/>
        <v>1</v>
      </c>
      <c r="M108" s="120">
        <f ca="1"/>
        <v>0.5</v>
      </c>
      <c r="N108" s="121">
        <f ca="1"/>
        <v>180</v>
      </c>
      <c r="O108" s="123">
        <f ca="1"/>
        <v>45615</v>
      </c>
      <c r="P108" s="123" t="str">
        <f ca="1"/>
        <v>martes</v>
      </c>
      <c r="Q108" s="124">
        <f ca="1"/>
        <v>45596</v>
      </c>
      <c r="R108" s="124">
        <f ca="1"/>
        <v>45775</v>
      </c>
      <c r="S108" s="90">
        <f ca="1"/>
        <v>151</v>
      </c>
      <c r="T108" s="139">
        <f ca="1"/>
        <v>0.83888888888888891</v>
      </c>
      <c r="U108" s="131">
        <f ca="1"/>
        <v>252</v>
      </c>
      <c r="V108" s="120">
        <f ca="1"/>
        <v>126</v>
      </c>
      <c r="W108" s="140">
        <f ca="1"/>
        <v>19</v>
      </c>
      <c r="X108" s="139">
        <f ca="1"/>
        <v>0.89444444444444449</v>
      </c>
      <c r="Y108" s="141">
        <f ca="1"/>
        <v>1.3121100000000001</v>
      </c>
      <c r="Z108" s="141">
        <f ca="1"/>
        <v>1.3121100000000001</v>
      </c>
      <c r="AA108" s="142">
        <f ca="1"/>
        <v>165.32586000000001</v>
      </c>
      <c r="AB108" s="138">
        <f ca="1"/>
        <v>9</v>
      </c>
      <c r="AC108" s="103" t="str">
        <f ca="1"/>
        <v>VIGENTE</v>
      </c>
      <c r="AD108" s="150">
        <f ca="1"/>
        <v>0.126</v>
      </c>
    </row>
    <row r="109" spans="1:30">
      <c r="A109" s="111" t="str">
        <f ca="1"/>
        <v>SAN GABRIEL</v>
      </c>
      <c r="B109" s="111" t="str">
        <f ca="1"/>
        <v>POSTRES</v>
      </c>
      <c r="C109" s="111" t="str">
        <f ca="1"/>
        <v xml:space="preserve">Luis Armendariz                         </v>
      </c>
      <c r="D109" s="111" t="str">
        <f ca="1"/>
        <v>DULCE LECHE KIOSCO</v>
      </c>
      <c r="E109" s="111" t="str">
        <f ca="1"/>
        <v>DULCE DE LECHE KIOSCO FAMILIAR</v>
      </c>
      <c r="F109" s="120" t="str">
        <f ca="1"/>
        <v>GUAYAQUIL</v>
      </c>
      <c r="G109" s="120">
        <f ca="1"/>
        <v>7711</v>
      </c>
      <c r="H109" s="120">
        <f ca="1"/>
        <v>1001</v>
      </c>
      <c r="I109" s="120" t="str">
        <f ca="1"/>
        <v>5709</v>
      </c>
      <c r="J109" s="120" t="str">
        <f ca="1"/>
        <v>DULCE LCH KIOSKO VASO 500G</v>
      </c>
      <c r="K109" s="121">
        <f ca="1"/>
        <v>108</v>
      </c>
      <c r="L109" s="122">
        <f ca="1"/>
        <v>1</v>
      </c>
      <c r="M109" s="120">
        <f ca="1"/>
        <v>0.5</v>
      </c>
      <c r="N109" s="121">
        <f ca="1"/>
        <v>180</v>
      </c>
      <c r="O109" s="123">
        <f ca="1"/>
        <v>45615</v>
      </c>
      <c r="P109" s="123" t="str">
        <f ca="1"/>
        <v>martes</v>
      </c>
      <c r="Q109" s="124">
        <f ca="1"/>
        <v>45611</v>
      </c>
      <c r="R109" s="124">
        <f ca="1"/>
        <v>45790</v>
      </c>
      <c r="S109" s="90">
        <f ca="1"/>
        <v>166</v>
      </c>
      <c r="T109" s="139">
        <f ca="1"/>
        <v>0.92222222222222228</v>
      </c>
      <c r="U109" s="131">
        <f ca="1"/>
        <v>108</v>
      </c>
      <c r="V109" s="120">
        <f ca="1"/>
        <v>54</v>
      </c>
      <c r="W109" s="140">
        <f ca="1"/>
        <v>4</v>
      </c>
      <c r="X109" s="139">
        <f ca="1"/>
        <v>0.97777777777777775</v>
      </c>
      <c r="Y109" s="141">
        <f ca="1"/>
        <v>1.3121100000000001</v>
      </c>
      <c r="Z109" s="141">
        <f ca="1"/>
        <v>1.3121100000000001</v>
      </c>
      <c r="AA109" s="142">
        <f ca="1"/>
        <v>70.853940000000009</v>
      </c>
      <c r="AB109" s="138">
        <f ca="1"/>
        <v>9</v>
      </c>
      <c r="AC109" s="103" t="str">
        <f ca="1"/>
        <v>VIGENTE</v>
      </c>
      <c r="AD109" s="150">
        <f ca="1"/>
        <v>5.3999999999999999E-2</v>
      </c>
    </row>
    <row r="110" spans="1:30">
      <c r="A110" s="111" t="str">
        <f ca="1"/>
        <v>SAN GABRIEL</v>
      </c>
      <c r="B110" s="111" t="str">
        <f ca="1"/>
        <v>POSTRES</v>
      </c>
      <c r="C110" s="111" t="str">
        <f ca="1"/>
        <v xml:space="preserve">Luis Armendariz                         </v>
      </c>
      <c r="D110" s="111" t="str">
        <f ca="1"/>
        <v>DULCE LECHE KIOSCO</v>
      </c>
      <c r="E110" s="111" t="str">
        <f ca="1"/>
        <v>DULCE DE LECHE KIOSCO FAMILIAR</v>
      </c>
      <c r="F110" s="120" t="str">
        <f ca="1"/>
        <v>GUAYAQUIL</v>
      </c>
      <c r="G110" s="120">
        <f ca="1"/>
        <v>7711</v>
      </c>
      <c r="H110" s="120">
        <f ca="1"/>
        <v>1001</v>
      </c>
      <c r="I110" s="120" t="str">
        <f ca="1"/>
        <v>5709</v>
      </c>
      <c r="J110" s="120" t="str">
        <f ca="1"/>
        <v>DULCE LCH KIOSKO VASO 500G</v>
      </c>
      <c r="K110" s="121">
        <f ca="1"/>
        <v>1008</v>
      </c>
      <c r="L110" s="122">
        <f ca="1"/>
        <v>1</v>
      </c>
      <c r="M110" s="120">
        <f ca="1"/>
        <v>0.5</v>
      </c>
      <c r="N110" s="121">
        <f ca="1"/>
        <v>180</v>
      </c>
      <c r="O110" s="123">
        <f ca="1"/>
        <v>45616</v>
      </c>
      <c r="P110" s="123" t="str">
        <f ca="1"/>
        <v>miércoles</v>
      </c>
      <c r="Q110" s="124">
        <f ca="1"/>
        <v>45611</v>
      </c>
      <c r="R110" s="124">
        <f ca="1"/>
        <v>45790</v>
      </c>
      <c r="S110" s="90">
        <f ca="1"/>
        <v>166</v>
      </c>
      <c r="T110" s="139">
        <f ca="1"/>
        <v>0.92222222222222228</v>
      </c>
      <c r="U110" s="131">
        <f ca="1"/>
        <v>1008</v>
      </c>
      <c r="V110" s="120">
        <f ca="1"/>
        <v>504</v>
      </c>
      <c r="W110" s="140">
        <f ca="1"/>
        <v>5</v>
      </c>
      <c r="X110" s="139">
        <f ca="1"/>
        <v>0.97222222222222221</v>
      </c>
      <c r="Y110" s="141">
        <f ca="1"/>
        <v>1.3121100000000001</v>
      </c>
      <c r="Z110" s="141">
        <f ca="1"/>
        <v>1.3121100000000001</v>
      </c>
      <c r="AA110" s="142">
        <f ca="1"/>
        <v>661.30344000000002</v>
      </c>
      <c r="AB110" s="138">
        <f ca="1"/>
        <v>8</v>
      </c>
      <c r="AC110" s="103" t="str">
        <f ca="1"/>
        <v>VIGENTE</v>
      </c>
      <c r="AD110" s="150">
        <f ca="1"/>
        <v>0.504</v>
      </c>
    </row>
    <row r="111" spans="1:30">
      <c r="A111" s="111" t="str">
        <f ca="1"/>
        <v>SAN GABRIEL</v>
      </c>
      <c r="B111" s="111" t="str">
        <f ca="1"/>
        <v>QUESOS Y GRASAS</v>
      </c>
      <c r="C111" s="111" t="str">
        <f ca="1"/>
        <v xml:space="preserve">Esteban Montenegro                      </v>
      </c>
      <c r="D111" s="111" t="str">
        <f ca="1"/>
        <v>QUESO MOZARELLA KIOSKO</v>
      </c>
      <c r="E111" s="111" t="str">
        <f ca="1"/>
        <v>QUESO MOZARELLA KIOSKO BLOQUE</v>
      </c>
      <c r="F111" s="120" t="str">
        <f ca="1"/>
        <v>GUAYAQUIL</v>
      </c>
      <c r="G111" s="120">
        <f ca="1"/>
        <v>7711</v>
      </c>
      <c r="H111" s="120">
        <f ca="1"/>
        <v>1001</v>
      </c>
      <c r="I111" s="120" t="str">
        <f ca="1"/>
        <v>5729</v>
      </c>
      <c r="J111" s="120" t="str">
        <f ca="1"/>
        <v>Q MOZAR KIOSKO BLOQ 200G</v>
      </c>
      <c r="K111" s="121">
        <f ca="1"/>
        <v>720</v>
      </c>
      <c r="L111" s="122">
        <f ca="1"/>
        <v>1</v>
      </c>
      <c r="M111" s="120">
        <f ca="1"/>
        <v>0.2</v>
      </c>
      <c r="N111" s="121">
        <f ca="1"/>
        <v>40</v>
      </c>
      <c r="O111" s="123">
        <f ca="1"/>
        <v>45611</v>
      </c>
      <c r="P111" s="123" t="str">
        <f ca="1"/>
        <v>viernes</v>
      </c>
      <c r="Q111" s="124">
        <f ca="1"/>
        <v>45609</v>
      </c>
      <c r="R111" s="124">
        <f ca="1"/>
        <v>45648</v>
      </c>
      <c r="S111" s="90">
        <f ca="1"/>
        <v>24</v>
      </c>
      <c r="T111" s="139">
        <f ca="1"/>
        <v>0.6</v>
      </c>
      <c r="U111" s="131">
        <f ca="1"/>
        <v>13</v>
      </c>
      <c r="V111" s="120">
        <f ca="1"/>
        <v>2.6</v>
      </c>
      <c r="W111" s="140">
        <f ca="1"/>
        <v>2</v>
      </c>
      <c r="X111" s="139">
        <f ca="1"/>
        <v>0.95</v>
      </c>
      <c r="Y111" s="141">
        <f ca="1"/>
        <v>0.94696000000000002</v>
      </c>
      <c r="Z111" s="141">
        <f ca="1"/>
        <v>0.94696000000000002</v>
      </c>
      <c r="AA111" s="142">
        <f ca="1"/>
        <v>2.4620960000000003</v>
      </c>
      <c r="AB111" s="138">
        <f ca="1"/>
        <v>13</v>
      </c>
      <c r="AC111" s="103" t="str">
        <f ca="1"/>
        <v>PROXIMOS FECHA CORTA</v>
      </c>
      <c r="AD111" s="150">
        <f ca="1"/>
        <v>2.5999999999999999E-3</v>
      </c>
    </row>
    <row r="112" spans="1:30">
      <c r="A112" s="111" t="str">
        <f ca="1"/>
        <v>SAN GABRIEL</v>
      </c>
      <c r="B112" s="111" t="str">
        <f ca="1"/>
        <v>QUESOS Y GRASAS</v>
      </c>
      <c r="C112" s="111" t="str">
        <f ca="1"/>
        <v xml:space="preserve">Esteban Montenegro                      </v>
      </c>
      <c r="D112" s="111" t="str">
        <f ca="1"/>
        <v>QUESO MOZARELLA KIOSKO</v>
      </c>
      <c r="E112" s="111" t="str">
        <f ca="1"/>
        <v>QUESO MOZARELLA KIOSKO BLOQUE</v>
      </c>
      <c r="F112" s="120" t="str">
        <f ca="1"/>
        <v>GUAYAQUIL</v>
      </c>
      <c r="G112" s="120">
        <f ca="1"/>
        <v>7711</v>
      </c>
      <c r="H112" s="120">
        <f ca="1"/>
        <v>1001</v>
      </c>
      <c r="I112" s="120" t="str">
        <f ca="1"/>
        <v>5729</v>
      </c>
      <c r="J112" s="120" t="str">
        <f ca="1"/>
        <v>Q MOZAR KIOSKO BLOQ 200G</v>
      </c>
      <c r="K112" s="121">
        <f ca="1"/>
        <v>3120</v>
      </c>
      <c r="L112" s="122">
        <f ca="1"/>
        <v>1</v>
      </c>
      <c r="M112" s="120">
        <f ca="1"/>
        <v>0.2</v>
      </c>
      <c r="N112" s="121">
        <f ca="1"/>
        <v>40</v>
      </c>
      <c r="O112" s="123">
        <f ca="1"/>
        <v>45615</v>
      </c>
      <c r="P112" s="123" t="str">
        <f ca="1"/>
        <v>martes</v>
      </c>
      <c r="Q112" s="124">
        <f ca="1"/>
        <v>45610</v>
      </c>
      <c r="R112" s="124">
        <f ca="1"/>
        <v>45649</v>
      </c>
      <c r="S112" s="90">
        <f ca="1"/>
        <v>25</v>
      </c>
      <c r="T112" s="139">
        <f ca="1"/>
        <v>0.625</v>
      </c>
      <c r="U112" s="131">
        <f ca="1"/>
        <v>2586</v>
      </c>
      <c r="V112" s="120">
        <f ca="1"/>
        <v>517.20000000000005</v>
      </c>
      <c r="W112" s="140">
        <f ca="1"/>
        <v>5</v>
      </c>
      <c r="X112" s="139">
        <f ca="1"/>
        <v>0.875</v>
      </c>
      <c r="Y112" s="141">
        <f ca="1"/>
        <v>0.94696000000000002</v>
      </c>
      <c r="Z112" s="141">
        <f ca="1"/>
        <v>0.94696000000000002</v>
      </c>
      <c r="AA112" s="142">
        <f ca="1"/>
        <v>489.76771200000007</v>
      </c>
      <c r="AB112" s="138">
        <f ca="1"/>
        <v>9</v>
      </c>
      <c r="AC112" s="103" t="str">
        <f ca="1"/>
        <v>PROXIMOS FECHA CORTA</v>
      </c>
      <c r="AD112" s="150">
        <f ca="1"/>
        <v>0.51719999999999999</v>
      </c>
    </row>
    <row r="113" spans="1:30">
      <c r="A113" s="111" t="str">
        <f ca="1"/>
        <v>SAN GABRIEL</v>
      </c>
      <c r="B113" s="111" t="str">
        <f ca="1"/>
        <v>QUESOS Y GRASAS</v>
      </c>
      <c r="C113" s="111" t="str">
        <f ca="1"/>
        <v xml:space="preserve">Esteban Montenegro                      </v>
      </c>
      <c r="D113" s="111" t="str">
        <f ca="1"/>
        <v>QUESO MOZARELLA KIOSKO</v>
      </c>
      <c r="E113" s="111" t="str">
        <f ca="1"/>
        <v>QUESO MOZARELLA KIOSKO BLOQUE</v>
      </c>
      <c r="F113" s="120" t="str">
        <f ca="1"/>
        <v>GUAYAQUIL</v>
      </c>
      <c r="G113" s="120">
        <f ca="1"/>
        <v>7711</v>
      </c>
      <c r="H113" s="120">
        <f ca="1"/>
        <v>1001</v>
      </c>
      <c r="I113" s="120" t="str">
        <f ca="1"/>
        <v>5729</v>
      </c>
      <c r="J113" s="120" t="str">
        <f ca="1"/>
        <v>Q MOZAR KIOSKO BLOQ 200G</v>
      </c>
      <c r="K113" s="121">
        <f ca="1"/>
        <v>360</v>
      </c>
      <c r="L113" s="122">
        <f ca="1"/>
        <v>1</v>
      </c>
      <c r="M113" s="120">
        <f ca="1"/>
        <v>0.2</v>
      </c>
      <c r="N113" s="121">
        <f ca="1"/>
        <v>40</v>
      </c>
      <c r="O113" s="123">
        <f ca="1"/>
        <v>45616</v>
      </c>
      <c r="P113" s="123" t="str">
        <f ca="1"/>
        <v>miércoles</v>
      </c>
      <c r="Q113" s="124">
        <f ca="1"/>
        <v>45612</v>
      </c>
      <c r="R113" s="124">
        <f ca="1"/>
        <v>45651</v>
      </c>
      <c r="S113" s="90">
        <f ca="1"/>
        <v>27</v>
      </c>
      <c r="T113" s="139">
        <f ca="1"/>
        <v>0.67500000000000004</v>
      </c>
      <c r="U113" s="131">
        <f ca="1"/>
        <v>360</v>
      </c>
      <c r="V113" s="120">
        <f ca="1"/>
        <v>72</v>
      </c>
      <c r="W113" s="140">
        <f ca="1"/>
        <v>4</v>
      </c>
      <c r="X113" s="139">
        <f ca="1"/>
        <v>0.9</v>
      </c>
      <c r="Y113" s="141">
        <f ca="1"/>
        <v>0.94696000000000002</v>
      </c>
      <c r="Z113" s="141">
        <f ca="1"/>
        <v>0.94696000000000002</v>
      </c>
      <c r="AA113" s="142">
        <f ca="1"/>
        <v>68.181120000000007</v>
      </c>
      <c r="AB113" s="138">
        <f ca="1"/>
        <v>8</v>
      </c>
      <c r="AC113" s="103" t="str">
        <f ca="1"/>
        <v>VIGENTE</v>
      </c>
      <c r="AD113" s="150">
        <f ca="1"/>
        <v>7.1999999999999995E-2</v>
      </c>
    </row>
    <row r="114" spans="1:30">
      <c r="A114" s="111" t="str">
        <f ca="1"/>
        <v>SAN GABRIEL</v>
      </c>
      <c r="B114" s="111" t="str">
        <f ca="1"/>
        <v>QUESOS Y GRASAS</v>
      </c>
      <c r="C114" s="111" t="str">
        <f ca="1"/>
        <v xml:space="preserve">Esteban Montenegro                      </v>
      </c>
      <c r="D114" s="111" t="str">
        <f ca="1"/>
        <v>QUESO MOZARELLA KIOSKO</v>
      </c>
      <c r="E114" s="111" t="str">
        <f ca="1"/>
        <v>QUESO MOZARELLA KIOSKO BLOQUE</v>
      </c>
      <c r="F114" s="120" t="str">
        <f ca="1"/>
        <v>GUAYAQUIL</v>
      </c>
      <c r="G114" s="120">
        <f ca="1"/>
        <v>7711</v>
      </c>
      <c r="H114" s="120">
        <f ca="1"/>
        <v>1001</v>
      </c>
      <c r="I114" s="120" t="str">
        <f ca="1"/>
        <v>5729</v>
      </c>
      <c r="J114" s="120" t="str">
        <f ca="1"/>
        <v>Q MOZAR KIOSKO BLOQ 200G</v>
      </c>
      <c r="K114" s="121">
        <f ca="1"/>
        <v>840</v>
      </c>
      <c r="L114" s="122">
        <f ca="1"/>
        <v>1</v>
      </c>
      <c r="M114" s="120">
        <f ca="1"/>
        <v>0.2</v>
      </c>
      <c r="N114" s="121">
        <f ca="1"/>
        <v>40</v>
      </c>
      <c r="O114" s="123">
        <f ca="1"/>
        <v>45616</v>
      </c>
      <c r="P114" s="123" t="str">
        <f ca="1"/>
        <v>miércoles</v>
      </c>
      <c r="Q114" s="124">
        <f ca="1"/>
        <v>45611</v>
      </c>
      <c r="R114" s="124">
        <f ca="1"/>
        <v>45650</v>
      </c>
      <c r="S114" s="90">
        <f ca="1"/>
        <v>26</v>
      </c>
      <c r="T114" s="139">
        <f ca="1"/>
        <v>0.65</v>
      </c>
      <c r="U114" s="131">
        <f ca="1"/>
        <v>840</v>
      </c>
      <c r="V114" s="120">
        <f ca="1"/>
        <v>168</v>
      </c>
      <c r="W114" s="140">
        <f ca="1"/>
        <v>5</v>
      </c>
      <c r="X114" s="139">
        <f ca="1"/>
        <v>0.875</v>
      </c>
      <c r="Y114" s="141">
        <f ca="1"/>
        <v>0.94696000000000002</v>
      </c>
      <c r="Z114" s="141">
        <f ca="1"/>
        <v>0.94696000000000002</v>
      </c>
      <c r="AA114" s="142">
        <f ca="1"/>
        <v>159.08928</v>
      </c>
      <c r="AB114" s="138">
        <f ca="1"/>
        <v>8</v>
      </c>
      <c r="AC114" s="103" t="str">
        <f ca="1"/>
        <v>PROXIMOS FECHA CORTA</v>
      </c>
      <c r="AD114" s="150">
        <f ca="1"/>
        <v>0.16800000000000001</v>
      </c>
    </row>
    <row r="115" spans="1:30">
      <c r="A115" s="111" t="str">
        <f ca="1"/>
        <v>SAN GABRIEL</v>
      </c>
      <c r="B115" s="111" t="str">
        <f ca="1"/>
        <v>QUESOS Y GRASAS</v>
      </c>
      <c r="C115" s="111" t="str">
        <f ca="1"/>
        <v xml:space="preserve">Esteban Montenegro                      </v>
      </c>
      <c r="D115" s="111" t="str">
        <f ca="1"/>
        <v>QUESO MOZARELLA KIOSKO</v>
      </c>
      <c r="E115" s="111" t="str">
        <f ca="1"/>
        <v>QUESO MOZARELLA KIOSKO BLOQUE</v>
      </c>
      <c r="F115" s="120" t="str">
        <f ca="1"/>
        <v>GUAYAQUIL</v>
      </c>
      <c r="G115" s="120">
        <f ca="1"/>
        <v>7711</v>
      </c>
      <c r="H115" s="120">
        <f ca="1"/>
        <v>1001</v>
      </c>
      <c r="I115" s="120" t="str">
        <f ca="1"/>
        <v>5729</v>
      </c>
      <c r="J115" s="120" t="str">
        <f ca="1"/>
        <v>Q MOZAR KIOSKO BLOQ 200G</v>
      </c>
      <c r="K115" s="121">
        <f ca="1"/>
        <v>1560</v>
      </c>
      <c r="L115" s="122">
        <f ca="1"/>
        <v>1</v>
      </c>
      <c r="M115" s="120">
        <f ca="1"/>
        <v>0.2</v>
      </c>
      <c r="N115" s="121">
        <f ca="1"/>
        <v>40</v>
      </c>
      <c r="O115" s="123">
        <f ca="1"/>
        <v>45617</v>
      </c>
      <c r="P115" s="123" t="str">
        <f ca="1"/>
        <v>jueves</v>
      </c>
      <c r="Q115" s="124">
        <f ca="1"/>
        <v>45612</v>
      </c>
      <c r="R115" s="124">
        <f ca="1"/>
        <v>45651</v>
      </c>
      <c r="S115" s="90">
        <f ca="1"/>
        <v>27</v>
      </c>
      <c r="T115" s="139">
        <f ca="1"/>
        <v>0.67500000000000004</v>
      </c>
      <c r="U115" s="131">
        <f ca="1"/>
        <v>1560</v>
      </c>
      <c r="V115" s="120">
        <f ca="1"/>
        <v>312</v>
      </c>
      <c r="W115" s="140">
        <f ca="1"/>
        <v>5</v>
      </c>
      <c r="X115" s="139">
        <f ca="1"/>
        <v>0.875</v>
      </c>
      <c r="Y115" s="141">
        <f ca="1"/>
        <v>0.94696000000000002</v>
      </c>
      <c r="Z115" s="141">
        <f ca="1"/>
        <v>0.94696000000000002</v>
      </c>
      <c r="AA115" s="142">
        <f ca="1"/>
        <v>295.45152000000002</v>
      </c>
      <c r="AB115" s="138">
        <f ca="1"/>
        <v>7</v>
      </c>
      <c r="AC115" s="103" t="str">
        <f ca="1"/>
        <v>VIGENTE</v>
      </c>
      <c r="AD115" s="150">
        <f ca="1"/>
        <v>0.312</v>
      </c>
    </row>
    <row r="116" spans="1:30">
      <c r="A116" s="111" t="str">
        <f ca="1"/>
        <v>SAN GABRIEL</v>
      </c>
      <c r="B116" s="111" t="str">
        <f ca="1"/>
        <v>QUESOS Y GRASAS</v>
      </c>
      <c r="C116" s="111" t="str">
        <f ca="1"/>
        <v xml:space="preserve">Esteban Montenegro                      </v>
      </c>
      <c r="D116" s="111" t="str">
        <f ca="1"/>
        <v>QUESO MOZARELLA KIOSKO</v>
      </c>
      <c r="E116" s="111" t="str">
        <f ca="1"/>
        <v>QUESO MOZARELLA KIOSKO BLOQUE</v>
      </c>
      <c r="F116" s="120" t="str">
        <f ca="1"/>
        <v>GUAYAQUIL</v>
      </c>
      <c r="G116" s="120">
        <f ca="1"/>
        <v>7711</v>
      </c>
      <c r="H116" s="120">
        <f ca="1"/>
        <v>1001</v>
      </c>
      <c r="I116" s="120" t="str">
        <f ca="1"/>
        <v>5730</v>
      </c>
      <c r="J116" s="120" t="str">
        <f ca="1"/>
        <v>Q MOZAR KIOSKO BLOQ 350G</v>
      </c>
      <c r="K116" s="121">
        <f ca="1"/>
        <v>630</v>
      </c>
      <c r="L116" s="122">
        <f ca="1"/>
        <v>1</v>
      </c>
      <c r="M116" s="120">
        <f ca="1"/>
        <v>0.35</v>
      </c>
      <c r="N116" s="121">
        <f ca="1"/>
        <v>40</v>
      </c>
      <c r="O116" s="123">
        <f ca="1"/>
        <v>45604</v>
      </c>
      <c r="P116" s="123" t="str">
        <f ca="1"/>
        <v>viernes</v>
      </c>
      <c r="Q116" s="124">
        <f ca="1"/>
        <v>45602</v>
      </c>
      <c r="R116" s="124">
        <f ca="1"/>
        <v>45641</v>
      </c>
      <c r="S116" s="90">
        <f ca="1"/>
        <v>17</v>
      </c>
      <c r="T116" s="139">
        <f ca="1"/>
        <v>0.42499999999999999</v>
      </c>
      <c r="U116" s="131">
        <f ca="1"/>
        <v>1</v>
      </c>
      <c r="V116" s="120">
        <f ca="1"/>
        <v>0.35</v>
      </c>
      <c r="W116" s="140">
        <f ca="1"/>
        <v>2</v>
      </c>
      <c r="X116" s="139">
        <f ca="1"/>
        <v>0.95</v>
      </c>
      <c r="Y116" s="141">
        <f ca="1"/>
        <v>1.6586400000000001</v>
      </c>
      <c r="Z116" s="141">
        <f ca="1"/>
        <v>1.6586400000000001</v>
      </c>
      <c r="AA116" s="142">
        <f ca="1"/>
        <v>0.58052400000000004</v>
      </c>
      <c r="AB116" s="138">
        <f ca="1"/>
        <v>20</v>
      </c>
      <c r="AC116" s="103" t="str">
        <f ca="1"/>
        <v>FECHA CORTA</v>
      </c>
      <c r="AD116" s="150">
        <f ca="1"/>
        <v>3.5E-4</v>
      </c>
    </row>
    <row r="117" spans="1:30">
      <c r="A117" s="111" t="str">
        <f ca="1"/>
        <v>SAN GABRIEL</v>
      </c>
      <c r="B117" s="111" t="str">
        <f ca="1"/>
        <v>QUESOS Y GRASAS</v>
      </c>
      <c r="C117" s="111" t="str">
        <f ca="1"/>
        <v xml:space="preserve">Esteban Montenegro                      </v>
      </c>
      <c r="D117" s="111" t="str">
        <f ca="1"/>
        <v>QUESO MOZARELLA KIOSKO</v>
      </c>
      <c r="E117" s="111" t="str">
        <f ca="1"/>
        <v>QUESO MOZARELLA KIOSKO BLOQUE</v>
      </c>
      <c r="F117" s="120" t="str">
        <f ca="1"/>
        <v>GUAYAQUIL</v>
      </c>
      <c r="G117" s="120">
        <f ca="1"/>
        <v>7711</v>
      </c>
      <c r="H117" s="120">
        <f ca="1"/>
        <v>1001</v>
      </c>
      <c r="I117" s="120" t="str">
        <f ca="1"/>
        <v>5730</v>
      </c>
      <c r="J117" s="120" t="str">
        <f ca="1"/>
        <v>Q MOZAR KIOSKO BLOQ 350G</v>
      </c>
      <c r="K117" s="121">
        <f ca="1"/>
        <v>315</v>
      </c>
      <c r="L117" s="122">
        <f ca="1"/>
        <v>1</v>
      </c>
      <c r="M117" s="120">
        <f ca="1"/>
        <v>0.35</v>
      </c>
      <c r="N117" s="121">
        <f ca="1"/>
        <v>40</v>
      </c>
      <c r="O117" s="123">
        <f ca="1"/>
        <v>45611</v>
      </c>
      <c r="P117" s="123" t="str">
        <f ca="1"/>
        <v>viernes</v>
      </c>
      <c r="Q117" s="124">
        <f ca="1"/>
        <v>45608</v>
      </c>
      <c r="R117" s="124">
        <f ca="1"/>
        <v>45647</v>
      </c>
      <c r="S117" s="90">
        <f ca="1"/>
        <v>23</v>
      </c>
      <c r="T117" s="139">
        <f ca="1"/>
        <v>0.57499999999999996</v>
      </c>
      <c r="U117" s="131">
        <f ca="1"/>
        <v>315</v>
      </c>
      <c r="V117" s="120">
        <f ca="1"/>
        <v>110.25</v>
      </c>
      <c r="W117" s="140">
        <f ca="1"/>
        <v>3</v>
      </c>
      <c r="X117" s="139">
        <f ca="1"/>
        <v>0.92500000000000004</v>
      </c>
      <c r="Y117" s="141">
        <f ca="1"/>
        <v>1.6586400000000001</v>
      </c>
      <c r="Z117" s="141">
        <f ca="1"/>
        <v>1.6586400000000001</v>
      </c>
      <c r="AA117" s="142">
        <f ca="1"/>
        <v>182.86506</v>
      </c>
      <c r="AB117" s="138">
        <f ca="1"/>
        <v>13</v>
      </c>
      <c r="AC117" s="103" t="str">
        <f ca="1"/>
        <v>PROXIMOS FECHA CORTA</v>
      </c>
      <c r="AD117" s="150">
        <f ca="1"/>
        <v>0.11025</v>
      </c>
    </row>
    <row r="118" spans="1:30">
      <c r="A118" s="111" t="str">
        <f ca="1"/>
        <v>SAN GABRIEL</v>
      </c>
      <c r="B118" s="111" t="str">
        <f ca="1"/>
        <v>QUESOS Y GRASAS</v>
      </c>
      <c r="C118" s="111" t="str">
        <f ca="1"/>
        <v xml:space="preserve">Esteban Montenegro                      </v>
      </c>
      <c r="D118" s="111" t="str">
        <f ca="1"/>
        <v>QUESO MOZARELLA KIOSKO</v>
      </c>
      <c r="E118" s="111" t="str">
        <f ca="1"/>
        <v>QUESO MOZARELLA KIOSKO BLOQUE</v>
      </c>
      <c r="F118" s="120" t="str">
        <f ca="1"/>
        <v>GUAYAQUIL</v>
      </c>
      <c r="G118" s="120">
        <f ca="1"/>
        <v>7711</v>
      </c>
      <c r="H118" s="120">
        <f ca="1"/>
        <v>1001</v>
      </c>
      <c r="I118" s="120" t="str">
        <f ca="1"/>
        <v>5730</v>
      </c>
      <c r="J118" s="120" t="str">
        <f ca="1"/>
        <v>Q MOZAR KIOSKO BLOQ 350G</v>
      </c>
      <c r="K118" s="121">
        <f ca="1"/>
        <v>180</v>
      </c>
      <c r="L118" s="122">
        <f ca="1"/>
        <v>1</v>
      </c>
      <c r="M118" s="120">
        <f ca="1"/>
        <v>0.35</v>
      </c>
      <c r="N118" s="121">
        <f ca="1"/>
        <v>40</v>
      </c>
      <c r="O118" s="123">
        <f ca="1"/>
        <v>45610</v>
      </c>
      <c r="P118" s="123" t="str">
        <f ca="1"/>
        <v>jueves</v>
      </c>
      <c r="Q118" s="124">
        <f ca="1"/>
        <v>45608</v>
      </c>
      <c r="R118" s="124">
        <f ca="1"/>
        <v>45647</v>
      </c>
      <c r="S118" s="90">
        <f ca="1"/>
        <v>23</v>
      </c>
      <c r="T118" s="139">
        <f ca="1"/>
        <v>0.57499999999999996</v>
      </c>
      <c r="U118" s="131">
        <f ca="1"/>
        <v>122</v>
      </c>
      <c r="V118" s="120">
        <f ca="1"/>
        <v>42.699999999999996</v>
      </c>
      <c r="W118" s="140">
        <f ca="1"/>
        <v>2</v>
      </c>
      <c r="X118" s="139">
        <f ca="1"/>
        <v>0.95</v>
      </c>
      <c r="Y118" s="141">
        <f ca="1"/>
        <v>1.6586400000000001</v>
      </c>
      <c r="Z118" s="141">
        <f ca="1"/>
        <v>1.6586400000000001</v>
      </c>
      <c r="AA118" s="142">
        <f ca="1"/>
        <v>70.823927999999995</v>
      </c>
      <c r="AB118" s="138">
        <f ca="1"/>
        <v>14</v>
      </c>
      <c r="AC118" s="103" t="str">
        <f ca="1"/>
        <v>PROXIMOS FECHA CORTA</v>
      </c>
      <c r="AD118" s="150">
        <f ca="1"/>
        <v>4.2699999999999995E-2</v>
      </c>
    </row>
    <row r="119" spans="1:30">
      <c r="A119" s="111" t="str">
        <f ca="1"/>
        <v>SAN GABRIEL</v>
      </c>
      <c r="B119" s="111" t="str">
        <f ca="1"/>
        <v>QUESOS Y GRASAS</v>
      </c>
      <c r="C119" s="111" t="str">
        <f ca="1"/>
        <v xml:space="preserve">Esteban Montenegro                      </v>
      </c>
      <c r="D119" s="111" t="str">
        <f ca="1"/>
        <v>QUESO MOZARELLA KIOSKO</v>
      </c>
      <c r="E119" s="111" t="str">
        <f ca="1"/>
        <v>QUESO MOZARELLA KIOSKO BLOQUE</v>
      </c>
      <c r="F119" s="120" t="str">
        <f ca="1"/>
        <v>GUAYAQUIL</v>
      </c>
      <c r="G119" s="120">
        <f ca="1"/>
        <v>7711</v>
      </c>
      <c r="H119" s="120">
        <f ca="1"/>
        <v>1001</v>
      </c>
      <c r="I119" s="120" t="str">
        <f ca="1"/>
        <v>5730</v>
      </c>
      <c r="J119" s="120" t="str">
        <f ca="1"/>
        <v>Q MOZAR KIOSKO BLOQ 350G</v>
      </c>
      <c r="K119" s="121">
        <f ca="1"/>
        <v>90</v>
      </c>
      <c r="L119" s="122">
        <f ca="1"/>
        <v>1</v>
      </c>
      <c r="M119" s="120">
        <f ca="1"/>
        <v>0.35</v>
      </c>
      <c r="N119" s="121">
        <f ca="1"/>
        <v>40</v>
      </c>
      <c r="O119" s="123">
        <f ca="1"/>
        <v>45610</v>
      </c>
      <c r="P119" s="123" t="str">
        <f ca="1"/>
        <v>jueves</v>
      </c>
      <c r="Q119" s="124">
        <f ca="1"/>
        <v>45605</v>
      </c>
      <c r="R119" s="124">
        <f ca="1"/>
        <v>45644</v>
      </c>
      <c r="S119" s="90">
        <f ca="1"/>
        <v>20</v>
      </c>
      <c r="T119" s="139">
        <f ca="1"/>
        <v>0.5</v>
      </c>
      <c r="U119" s="131">
        <f ca="1"/>
        <v>10</v>
      </c>
      <c r="V119" s="120">
        <f ca="1"/>
        <v>3.5</v>
      </c>
      <c r="W119" s="140">
        <f ca="1"/>
        <v>5</v>
      </c>
      <c r="X119" s="139">
        <f ca="1"/>
        <v>0.875</v>
      </c>
      <c r="Y119" s="141">
        <f ca="1"/>
        <v>1.6586400000000001</v>
      </c>
      <c r="Z119" s="141">
        <f ca="1"/>
        <v>1.6586400000000001</v>
      </c>
      <c r="AA119" s="142">
        <f ca="1"/>
        <v>5.8052400000000004</v>
      </c>
      <c r="AB119" s="138">
        <f ca="1"/>
        <v>14</v>
      </c>
      <c r="AC119" s="103" t="str">
        <f ca="1"/>
        <v>FECHA CORTA</v>
      </c>
      <c r="AD119" s="150">
        <f ca="1"/>
        <v>3.5000000000000001E-3</v>
      </c>
    </row>
    <row r="120" spans="1:30">
      <c r="A120" s="111" t="str">
        <f ca="1"/>
        <v>SAN GABRIEL</v>
      </c>
      <c r="B120" s="111" t="str">
        <f ca="1"/>
        <v>QUESOS Y GRASAS</v>
      </c>
      <c r="C120" s="111" t="str">
        <f ca="1"/>
        <v xml:space="preserve">Esteban Montenegro                      </v>
      </c>
      <c r="D120" s="111" t="str">
        <f ca="1"/>
        <v>QUESO MOZARELLA KIOSKO</v>
      </c>
      <c r="E120" s="111" t="str">
        <f ca="1"/>
        <v>QUESO MOZARELLA KIOSKO BLOQUE</v>
      </c>
      <c r="F120" s="120" t="str">
        <f ca="1"/>
        <v>GUAYAQUIL</v>
      </c>
      <c r="G120" s="120">
        <f ca="1"/>
        <v>7711</v>
      </c>
      <c r="H120" s="120">
        <f ca="1"/>
        <v>1001</v>
      </c>
      <c r="I120" s="120" t="str">
        <f ca="1"/>
        <v>5730</v>
      </c>
      <c r="J120" s="120" t="str">
        <f ca="1"/>
        <v>Q MOZAR KIOSKO BLOQ 350G</v>
      </c>
      <c r="K120" s="121">
        <f ca="1"/>
        <v>495</v>
      </c>
      <c r="L120" s="122">
        <f ca="1"/>
        <v>1</v>
      </c>
      <c r="M120" s="120">
        <f ca="1"/>
        <v>0.35</v>
      </c>
      <c r="N120" s="121">
        <f ca="1"/>
        <v>40</v>
      </c>
      <c r="O120" s="123">
        <f ca="1"/>
        <v>45615</v>
      </c>
      <c r="P120" s="123" t="str">
        <f ca="1"/>
        <v>martes</v>
      </c>
      <c r="Q120" s="124">
        <f ca="1"/>
        <v>45611</v>
      </c>
      <c r="R120" s="124">
        <f ca="1"/>
        <v>45650</v>
      </c>
      <c r="S120" s="90">
        <f ca="1"/>
        <v>26</v>
      </c>
      <c r="T120" s="139">
        <f ca="1"/>
        <v>0.65</v>
      </c>
      <c r="U120" s="131">
        <f ca="1"/>
        <v>495</v>
      </c>
      <c r="V120" s="120">
        <f ca="1"/>
        <v>173.25</v>
      </c>
      <c r="W120" s="140">
        <f ca="1"/>
        <v>4</v>
      </c>
      <c r="X120" s="139">
        <f ca="1"/>
        <v>0.9</v>
      </c>
      <c r="Y120" s="141">
        <f ca="1"/>
        <v>1.6586400000000001</v>
      </c>
      <c r="Z120" s="141">
        <f ca="1"/>
        <v>1.6586400000000001</v>
      </c>
      <c r="AA120" s="142">
        <f ca="1"/>
        <v>287.35938000000004</v>
      </c>
      <c r="AB120" s="138">
        <f ca="1"/>
        <v>9</v>
      </c>
      <c r="AC120" s="103" t="str">
        <f ca="1"/>
        <v>PROXIMOS FECHA CORTA</v>
      </c>
      <c r="AD120" s="150">
        <f ca="1"/>
        <v>0.17324999999999999</v>
      </c>
    </row>
    <row r="121" spans="1:30">
      <c r="A121" s="111" t="str">
        <f ca="1"/>
        <v>SAN GABRIEL</v>
      </c>
      <c r="B121" s="111" t="str">
        <f ca="1"/>
        <v>QUESOS Y GRASAS</v>
      </c>
      <c r="C121" s="111" t="str">
        <f ca="1"/>
        <v xml:space="preserve">Esteban Montenegro                      </v>
      </c>
      <c r="D121" s="111" t="str">
        <f ca="1"/>
        <v>QUESO MOZARELLA KIOSKO</v>
      </c>
      <c r="E121" s="111" t="str">
        <f ca="1"/>
        <v>QUESO MOZARELLA KIOSKO BLOQUE</v>
      </c>
      <c r="F121" s="120" t="str">
        <f ca="1"/>
        <v>GUAYAQUIL</v>
      </c>
      <c r="G121" s="120">
        <f ca="1"/>
        <v>7711</v>
      </c>
      <c r="H121" s="120">
        <f ca="1"/>
        <v>1001</v>
      </c>
      <c r="I121" s="120" t="str">
        <f ca="1"/>
        <v>5730</v>
      </c>
      <c r="J121" s="120" t="str">
        <f ca="1"/>
        <v>Q MOZAR KIOSKO BLOQ 350G</v>
      </c>
      <c r="K121" s="121">
        <f ca="1"/>
        <v>180</v>
      </c>
      <c r="L121" s="122">
        <f ca="1"/>
        <v>1</v>
      </c>
      <c r="M121" s="120">
        <f ca="1"/>
        <v>0.35</v>
      </c>
      <c r="N121" s="121">
        <f ca="1"/>
        <v>40</v>
      </c>
      <c r="O121" s="123">
        <f ca="1"/>
        <v>45616</v>
      </c>
      <c r="P121" s="123" t="str">
        <f ca="1"/>
        <v>miércoles</v>
      </c>
      <c r="Q121" s="124">
        <f ca="1"/>
        <v>45611</v>
      </c>
      <c r="R121" s="124">
        <f ca="1"/>
        <v>45650</v>
      </c>
      <c r="S121" s="90">
        <f ca="1"/>
        <v>26</v>
      </c>
      <c r="T121" s="139">
        <f ca="1"/>
        <v>0.65</v>
      </c>
      <c r="U121" s="131">
        <f ca="1"/>
        <v>180</v>
      </c>
      <c r="V121" s="120">
        <f ca="1"/>
        <v>62.999999999999993</v>
      </c>
      <c r="W121" s="140">
        <f ca="1"/>
        <v>5</v>
      </c>
      <c r="X121" s="139">
        <f ca="1"/>
        <v>0.875</v>
      </c>
      <c r="Y121" s="141">
        <f ca="1"/>
        <v>1.6586400000000001</v>
      </c>
      <c r="Z121" s="141">
        <f ca="1"/>
        <v>1.6586400000000001</v>
      </c>
      <c r="AA121" s="142">
        <f ca="1"/>
        <v>104.49432</v>
      </c>
      <c r="AB121" s="138">
        <f ca="1"/>
        <v>8</v>
      </c>
      <c r="AC121" s="103" t="str">
        <f ca="1"/>
        <v>PROXIMOS FECHA CORTA</v>
      </c>
      <c r="AD121" s="150">
        <f ca="1"/>
        <v>6.2999999999999987E-2</v>
      </c>
    </row>
    <row r="122" spans="1:30">
      <c r="A122" s="111" t="str">
        <f ca="1"/>
        <v>SAN GABRIEL</v>
      </c>
      <c r="B122" s="111" t="str">
        <f ca="1"/>
        <v>QUESOS Y GRASAS</v>
      </c>
      <c r="C122" s="111" t="str">
        <f ca="1"/>
        <v xml:space="preserve">Esteban Montenegro                      </v>
      </c>
      <c r="D122" s="111" t="str">
        <f ca="1"/>
        <v>QUESO MOZARELLA KIOSKO</v>
      </c>
      <c r="E122" s="111" t="str">
        <f ca="1"/>
        <v>QUESO MOZARELLA KIOSKO BLOQUE</v>
      </c>
      <c r="F122" s="120" t="str">
        <f ca="1"/>
        <v>GUAYAQUIL</v>
      </c>
      <c r="G122" s="120">
        <f ca="1"/>
        <v>7711</v>
      </c>
      <c r="H122" s="120">
        <f ca="1"/>
        <v>1001</v>
      </c>
      <c r="I122" s="120" t="str">
        <f ca="1"/>
        <v>5730</v>
      </c>
      <c r="J122" s="120" t="str">
        <f ca="1"/>
        <v>Q MOZAR KIOSKO BLOQ 350G</v>
      </c>
      <c r="K122" s="121">
        <f ca="1"/>
        <v>225</v>
      </c>
      <c r="L122" s="122">
        <f ca="1"/>
        <v>1</v>
      </c>
      <c r="M122" s="120">
        <f ca="1"/>
        <v>0.35</v>
      </c>
      <c r="N122" s="121">
        <f ca="1"/>
        <v>40</v>
      </c>
      <c r="O122" s="123">
        <f ca="1"/>
        <v>45617</v>
      </c>
      <c r="P122" s="123" t="str">
        <f ca="1"/>
        <v>jueves</v>
      </c>
      <c r="Q122" s="124">
        <f ca="1"/>
        <v>45615</v>
      </c>
      <c r="R122" s="124">
        <f ca="1"/>
        <v>45654</v>
      </c>
      <c r="S122" s="90">
        <f ca="1"/>
        <v>30</v>
      </c>
      <c r="T122" s="139">
        <f ca="1"/>
        <v>0.75</v>
      </c>
      <c r="U122" s="131">
        <f ca="1"/>
        <v>225</v>
      </c>
      <c r="V122" s="120">
        <f ca="1"/>
        <v>78.75</v>
      </c>
      <c r="W122" s="140">
        <f ca="1"/>
        <v>2</v>
      </c>
      <c r="X122" s="139">
        <f ca="1"/>
        <v>0.95</v>
      </c>
      <c r="Y122" s="141">
        <f ca="1"/>
        <v>1.6586400000000001</v>
      </c>
      <c r="Z122" s="141">
        <f ca="1"/>
        <v>1.6586400000000001</v>
      </c>
      <c r="AA122" s="142">
        <f ca="1"/>
        <v>130.61790000000002</v>
      </c>
      <c r="AB122" s="138">
        <f ca="1"/>
        <v>7</v>
      </c>
      <c r="AC122" s="103" t="str">
        <f ca="1"/>
        <v>VIGENTE</v>
      </c>
      <c r="AD122" s="150">
        <f ca="1"/>
        <v>7.8750000000000001E-2</v>
      </c>
    </row>
    <row r="123" spans="1:30">
      <c r="A123" s="111" t="str">
        <f ca="1"/>
        <v>SAN GABRIEL</v>
      </c>
      <c r="B123" s="111" t="str">
        <f ca="1"/>
        <v>QUESOS Y GRASAS</v>
      </c>
      <c r="C123" s="111" t="str">
        <f ca="1"/>
        <v xml:space="preserve">Esteban Montenegro                      </v>
      </c>
      <c r="D123" s="111" t="str">
        <f ca="1"/>
        <v>QUESO MOZARELLA KIOSKO</v>
      </c>
      <c r="E123" s="111" t="str">
        <f ca="1"/>
        <v>QUESO MOZARELLA KIOSKO BLOQUE</v>
      </c>
      <c r="F123" s="120" t="str">
        <f ca="1"/>
        <v>GUAYAQUIL</v>
      </c>
      <c r="G123" s="120">
        <f ca="1"/>
        <v>7711</v>
      </c>
      <c r="H123" s="120">
        <f ca="1"/>
        <v>1001</v>
      </c>
      <c r="I123" s="120" t="str">
        <f ca="1"/>
        <v>5731</v>
      </c>
      <c r="J123" s="120" t="str">
        <f ca="1"/>
        <v>Q MOZAR KIOSKO BLOQ 500G</v>
      </c>
      <c r="K123" s="121">
        <f ca="1"/>
        <v>405</v>
      </c>
      <c r="L123" s="122">
        <f ca="1"/>
        <v>1</v>
      </c>
      <c r="M123" s="120">
        <f ca="1"/>
        <v>0.5</v>
      </c>
      <c r="N123" s="121">
        <f ca="1"/>
        <v>40</v>
      </c>
      <c r="O123" s="123">
        <f ca="1"/>
        <v>45611</v>
      </c>
      <c r="P123" s="123" t="str">
        <f ca="1"/>
        <v>viernes</v>
      </c>
      <c r="Q123" s="124">
        <f ca="1"/>
        <v>45609</v>
      </c>
      <c r="R123" s="124">
        <f ca="1"/>
        <v>45648</v>
      </c>
      <c r="S123" s="90">
        <f ca="1"/>
        <v>24</v>
      </c>
      <c r="T123" s="139">
        <f ca="1"/>
        <v>0.6</v>
      </c>
      <c r="U123" s="131">
        <f ca="1"/>
        <v>1</v>
      </c>
      <c r="V123" s="120">
        <f ca="1"/>
        <v>0.5</v>
      </c>
      <c r="W123" s="140">
        <f ca="1"/>
        <v>2</v>
      </c>
      <c r="X123" s="139">
        <f ca="1"/>
        <v>0.95</v>
      </c>
      <c r="Y123" s="141">
        <f ca="1"/>
        <v>2.3418549999999998</v>
      </c>
      <c r="Z123" s="141">
        <f ca="1"/>
        <v>2.3418549999999998</v>
      </c>
      <c r="AA123" s="142">
        <f ca="1"/>
        <v>1.1709274999999999</v>
      </c>
      <c r="AB123" s="138">
        <f ca="1"/>
        <v>13</v>
      </c>
      <c r="AC123" s="103" t="str">
        <f ca="1"/>
        <v>PROXIMOS FECHA CORTA</v>
      </c>
      <c r="AD123" s="150">
        <f ca="1"/>
        <v>5.0000000000000001E-4</v>
      </c>
    </row>
    <row r="124" spans="1:30">
      <c r="A124" s="111" t="str">
        <f ca="1"/>
        <v>SAN GABRIEL</v>
      </c>
      <c r="B124" s="111" t="str">
        <f ca="1"/>
        <v>QUESOS Y GRASAS</v>
      </c>
      <c r="C124" s="111" t="str">
        <f ca="1"/>
        <v xml:space="preserve">Esteban Montenegro                      </v>
      </c>
      <c r="D124" s="111" t="str">
        <f ca="1"/>
        <v>QUESO MOZARELLA KIOSKO</v>
      </c>
      <c r="E124" s="111" t="str">
        <f ca="1"/>
        <v>QUESO MOZARELLA KIOSKO BLOQUE</v>
      </c>
      <c r="F124" s="120" t="str">
        <f ca="1"/>
        <v>GUAYAQUIL</v>
      </c>
      <c r="G124" s="120">
        <f ca="1"/>
        <v>7711</v>
      </c>
      <c r="H124" s="120">
        <f ca="1"/>
        <v>1001</v>
      </c>
      <c r="I124" s="120" t="str">
        <f ca="1"/>
        <v>5731</v>
      </c>
      <c r="J124" s="120" t="str">
        <f ca="1"/>
        <v>Q MOZAR KIOSKO BLOQ 500G</v>
      </c>
      <c r="K124" s="121">
        <f ca="1"/>
        <v>630</v>
      </c>
      <c r="L124" s="122">
        <f ca="1"/>
        <v>1</v>
      </c>
      <c r="M124" s="120">
        <f ca="1"/>
        <v>0.5</v>
      </c>
      <c r="N124" s="121">
        <f ca="1"/>
        <v>40</v>
      </c>
      <c r="O124" s="123">
        <f ca="1"/>
        <v>45611</v>
      </c>
      <c r="P124" s="123" t="str">
        <f ca="1"/>
        <v>viernes</v>
      </c>
      <c r="Q124" s="124">
        <f ca="1"/>
        <v>45610</v>
      </c>
      <c r="R124" s="124">
        <f ca="1"/>
        <v>45649</v>
      </c>
      <c r="S124" s="90">
        <f ca="1"/>
        <v>25</v>
      </c>
      <c r="T124" s="139">
        <f ca="1"/>
        <v>0.625</v>
      </c>
      <c r="U124" s="131">
        <f ca="1"/>
        <v>572</v>
      </c>
      <c r="V124" s="120">
        <f ca="1"/>
        <v>286</v>
      </c>
      <c r="W124" s="140">
        <f ca="1"/>
        <v>1</v>
      </c>
      <c r="X124" s="139">
        <f ca="1"/>
        <v>0.97499999999999998</v>
      </c>
      <c r="Y124" s="141">
        <f ca="1"/>
        <v>2.3418549999999998</v>
      </c>
      <c r="Z124" s="141">
        <f ca="1"/>
        <v>2.3418549999999998</v>
      </c>
      <c r="AA124" s="142">
        <f ca="1"/>
        <v>669.77052999999989</v>
      </c>
      <c r="AB124" s="138">
        <f ca="1"/>
        <v>13</v>
      </c>
      <c r="AC124" s="103" t="str">
        <f ca="1"/>
        <v>PROXIMOS FECHA CORTA</v>
      </c>
      <c r="AD124" s="150">
        <f ca="1"/>
        <v>0.28599999999999998</v>
      </c>
    </row>
    <row r="125" spans="1:30">
      <c r="A125" s="111" t="str">
        <f ca="1"/>
        <v>SAN GABRIEL</v>
      </c>
      <c r="B125" s="111" t="str">
        <f ca="1"/>
        <v>QUESOS Y GRASAS</v>
      </c>
      <c r="C125" s="111" t="str">
        <f ca="1"/>
        <v xml:space="preserve">Esteban Montenegro                      </v>
      </c>
      <c r="D125" s="111" t="str">
        <f ca="1"/>
        <v>QUESO MOZARELLA KIOSKO</v>
      </c>
      <c r="E125" s="111" t="str">
        <f ca="1"/>
        <v>QUESO MOZARELLA KIOSKO BLOQUE</v>
      </c>
      <c r="F125" s="120" t="str">
        <f ca="1"/>
        <v>GUAYAQUIL</v>
      </c>
      <c r="G125" s="120">
        <f ca="1"/>
        <v>7711</v>
      </c>
      <c r="H125" s="120">
        <f ca="1"/>
        <v>1001</v>
      </c>
      <c r="I125" s="120" t="str">
        <f ca="1"/>
        <v>5731</v>
      </c>
      <c r="J125" s="120" t="str">
        <f ca="1"/>
        <v>Q MOZAR KIOSKO BLOQ 500G</v>
      </c>
      <c r="K125" s="121">
        <f ca="1"/>
        <v>1260</v>
      </c>
      <c r="L125" s="122">
        <f ca="1"/>
        <v>1</v>
      </c>
      <c r="M125" s="120">
        <f ca="1"/>
        <v>0.5</v>
      </c>
      <c r="N125" s="121">
        <f ca="1"/>
        <v>40</v>
      </c>
      <c r="O125" s="123">
        <f ca="1"/>
        <v>45615</v>
      </c>
      <c r="P125" s="123" t="str">
        <f ca="1"/>
        <v>martes</v>
      </c>
      <c r="Q125" s="124">
        <f ca="1"/>
        <v>45610</v>
      </c>
      <c r="R125" s="124">
        <f ca="1"/>
        <v>45649</v>
      </c>
      <c r="S125" s="90">
        <f ca="1"/>
        <v>25</v>
      </c>
      <c r="T125" s="139">
        <f ca="1"/>
        <v>0.625</v>
      </c>
      <c r="U125" s="131">
        <f ca="1"/>
        <v>1260</v>
      </c>
      <c r="V125" s="120">
        <f ca="1"/>
        <v>630</v>
      </c>
      <c r="W125" s="140">
        <f ca="1"/>
        <v>5</v>
      </c>
      <c r="X125" s="139">
        <f ca="1"/>
        <v>0.875</v>
      </c>
      <c r="Y125" s="141">
        <f ca="1"/>
        <v>2.3418549999999998</v>
      </c>
      <c r="Z125" s="141">
        <f ca="1"/>
        <v>2.3418549999999998</v>
      </c>
      <c r="AA125" s="142">
        <f ca="1"/>
        <v>1475.3686499999999</v>
      </c>
      <c r="AB125" s="138">
        <f ca="1"/>
        <v>9</v>
      </c>
      <c r="AC125" s="103" t="str">
        <f ca="1"/>
        <v>PROXIMOS FECHA CORTA</v>
      </c>
      <c r="AD125" s="150">
        <f ca="1"/>
        <v>0.63</v>
      </c>
    </row>
    <row r="126" spans="1:30">
      <c r="A126" s="111" t="str">
        <f ca="1"/>
        <v>SAN GABRIEL</v>
      </c>
      <c r="B126" s="111" t="str">
        <f ca="1"/>
        <v>QUESOS Y GRASAS</v>
      </c>
      <c r="C126" s="111" t="str">
        <f ca="1"/>
        <v xml:space="preserve">Esteban Montenegro                      </v>
      </c>
      <c r="D126" s="111" t="str">
        <f ca="1"/>
        <v>QUESO MOZARELLA KIOSKO</v>
      </c>
      <c r="E126" s="111" t="str">
        <f ca="1"/>
        <v>QUESO MOZARELLA KIOSKO BLOQUE</v>
      </c>
      <c r="F126" s="120" t="str">
        <f ca="1"/>
        <v>GUAYAQUIL</v>
      </c>
      <c r="G126" s="120">
        <f ca="1"/>
        <v>7711</v>
      </c>
      <c r="H126" s="120">
        <f ca="1"/>
        <v>1001</v>
      </c>
      <c r="I126" s="120" t="str">
        <f ca="1"/>
        <v>5731</v>
      </c>
      <c r="J126" s="120" t="str">
        <f ca="1"/>
        <v>Q MOZAR KIOSKO BLOQ 500G</v>
      </c>
      <c r="K126" s="121">
        <f ca="1"/>
        <v>630</v>
      </c>
      <c r="L126" s="122">
        <f ca="1"/>
        <v>1</v>
      </c>
      <c r="M126" s="120">
        <f ca="1"/>
        <v>0.5</v>
      </c>
      <c r="N126" s="121">
        <f ca="1"/>
        <v>40</v>
      </c>
      <c r="O126" s="123">
        <f ca="1"/>
        <v>45616</v>
      </c>
      <c r="P126" s="123" t="str">
        <f ca="1"/>
        <v>miércoles</v>
      </c>
      <c r="Q126" s="124">
        <f ca="1"/>
        <v>45611</v>
      </c>
      <c r="R126" s="124">
        <f ca="1"/>
        <v>45650</v>
      </c>
      <c r="S126" s="90">
        <f ca="1"/>
        <v>26</v>
      </c>
      <c r="T126" s="139">
        <f ca="1"/>
        <v>0.65</v>
      </c>
      <c r="U126" s="131">
        <f ca="1"/>
        <v>630</v>
      </c>
      <c r="V126" s="120">
        <f ca="1"/>
        <v>315</v>
      </c>
      <c r="W126" s="140">
        <f ca="1"/>
        <v>5</v>
      </c>
      <c r="X126" s="139">
        <f ca="1"/>
        <v>0.875</v>
      </c>
      <c r="Y126" s="141">
        <f ca="1"/>
        <v>2.3418549999999998</v>
      </c>
      <c r="Z126" s="141">
        <f ca="1"/>
        <v>2.3418549999999998</v>
      </c>
      <c r="AA126" s="142">
        <f ca="1"/>
        <v>737.68432499999994</v>
      </c>
      <c r="AB126" s="138">
        <f ca="1"/>
        <v>8</v>
      </c>
      <c r="AC126" s="103" t="str">
        <f ca="1"/>
        <v>PROXIMOS FECHA CORTA</v>
      </c>
      <c r="AD126" s="150">
        <f ca="1"/>
        <v>0.315</v>
      </c>
    </row>
    <row r="127" spans="1:30">
      <c r="A127" s="111" t="str">
        <f ca="1"/>
        <v>SAN GABRIEL</v>
      </c>
      <c r="B127" s="111" t="str">
        <f ca="1"/>
        <v>QUESOS Y GRASAS</v>
      </c>
      <c r="C127" s="111" t="str">
        <f ca="1"/>
        <v xml:space="preserve">Esteban Montenegro                      </v>
      </c>
      <c r="D127" s="111" t="str">
        <f ca="1"/>
        <v>QUESO MOZARELLA KIOSKO</v>
      </c>
      <c r="E127" s="111" t="str">
        <f ca="1"/>
        <v>QUESO MOZARELLA KIOSKO BLOQUE</v>
      </c>
      <c r="F127" s="120" t="str">
        <f ca="1"/>
        <v>GUAYAQUIL</v>
      </c>
      <c r="G127" s="120">
        <f ca="1"/>
        <v>7711</v>
      </c>
      <c r="H127" s="120">
        <f ca="1"/>
        <v>1001</v>
      </c>
      <c r="I127" s="120" t="str">
        <f ca="1"/>
        <v>5731</v>
      </c>
      <c r="J127" s="120" t="str">
        <f ca="1"/>
        <v>Q MOZAR KIOSKO BLOQ 500G</v>
      </c>
      <c r="K127" s="121">
        <f ca="1"/>
        <v>855</v>
      </c>
      <c r="L127" s="122">
        <f ca="1"/>
        <v>1</v>
      </c>
      <c r="M127" s="120">
        <f ca="1"/>
        <v>0.5</v>
      </c>
      <c r="N127" s="121">
        <f ca="1"/>
        <v>40</v>
      </c>
      <c r="O127" s="123">
        <f ca="1"/>
        <v>45617</v>
      </c>
      <c r="P127" s="123" t="str">
        <f ca="1"/>
        <v>jueves</v>
      </c>
      <c r="Q127" s="124">
        <f ca="1"/>
        <v>45612</v>
      </c>
      <c r="R127" s="124">
        <f ca="1"/>
        <v>45651</v>
      </c>
      <c r="S127" s="90">
        <f ca="1"/>
        <v>27</v>
      </c>
      <c r="T127" s="139">
        <f ca="1"/>
        <v>0.67500000000000004</v>
      </c>
      <c r="U127" s="131">
        <f ca="1"/>
        <v>855</v>
      </c>
      <c r="V127" s="120">
        <f ca="1"/>
        <v>427.5</v>
      </c>
      <c r="W127" s="140">
        <f ca="1"/>
        <v>5</v>
      </c>
      <c r="X127" s="139">
        <f ca="1"/>
        <v>0.875</v>
      </c>
      <c r="Y127" s="141">
        <f ca="1"/>
        <v>2.3418549999999998</v>
      </c>
      <c r="Z127" s="141">
        <f ca="1"/>
        <v>2.3418549999999998</v>
      </c>
      <c r="AA127" s="142">
        <f ca="1"/>
        <v>1001.1430124999999</v>
      </c>
      <c r="AB127" s="138">
        <f ca="1"/>
        <v>7</v>
      </c>
      <c r="AC127" s="103" t="str">
        <f ca="1"/>
        <v>VIGENTE</v>
      </c>
      <c r="AD127" s="150">
        <f ca="1"/>
        <v>0.42749999999999999</v>
      </c>
    </row>
    <row r="128" spans="1:30">
      <c r="A128" s="111" t="str">
        <f ca="1"/>
        <v>SAN GABRIEL</v>
      </c>
      <c r="B128" s="111" t="str">
        <f ca="1"/>
        <v>QUESOS Y GRASAS</v>
      </c>
      <c r="C128" s="111" t="str">
        <f ca="1"/>
        <v xml:space="preserve">Esteban Montenegro                      </v>
      </c>
      <c r="D128" s="111" t="str">
        <f ca="1"/>
        <v>QUESO MOZARELLA KIOSKO</v>
      </c>
      <c r="E128" s="111" t="str">
        <f ca="1"/>
        <v>QUESO MOZARELLA KIOSKO BLOQUE</v>
      </c>
      <c r="F128" s="120" t="str">
        <f ca="1"/>
        <v>GUAYAQUIL</v>
      </c>
      <c r="G128" s="120">
        <f ca="1"/>
        <v>7711</v>
      </c>
      <c r="H128" s="120">
        <f ca="1"/>
        <v>1001</v>
      </c>
      <c r="I128" s="120" t="str">
        <f ca="1"/>
        <v>5733</v>
      </c>
      <c r="J128" s="120" t="str">
        <f ca="1"/>
        <v>Q MOZAR KIOSKO BLOQ 900G</v>
      </c>
      <c r="K128" s="121">
        <f ca="1"/>
        <v>714</v>
      </c>
      <c r="L128" s="122">
        <f ca="1"/>
        <v>1</v>
      </c>
      <c r="M128" s="120">
        <f ca="1"/>
        <v>0.9</v>
      </c>
      <c r="N128" s="121">
        <f ca="1"/>
        <v>40</v>
      </c>
      <c r="O128" s="123">
        <f ca="1"/>
        <v>45611</v>
      </c>
      <c r="P128" s="123" t="str">
        <f ca="1"/>
        <v>viernes</v>
      </c>
      <c r="Q128" s="124">
        <f ca="1"/>
        <v>45610</v>
      </c>
      <c r="R128" s="124">
        <f ca="1"/>
        <v>45649</v>
      </c>
      <c r="S128" s="90">
        <f ca="1"/>
        <v>25</v>
      </c>
      <c r="T128" s="139">
        <f ca="1"/>
        <v>0.625</v>
      </c>
      <c r="U128" s="131">
        <f ca="1"/>
        <v>110</v>
      </c>
      <c r="V128" s="120">
        <f ca="1"/>
        <v>99</v>
      </c>
      <c r="W128" s="140">
        <f ca="1"/>
        <v>1</v>
      </c>
      <c r="X128" s="139">
        <f ca="1"/>
        <v>0.97499999999999998</v>
      </c>
      <c r="Y128" s="141">
        <f ca="1"/>
        <v>4.1744400000000006</v>
      </c>
      <c r="Z128" s="141">
        <f ca="1"/>
        <v>4.1744400000000006</v>
      </c>
      <c r="AA128" s="142">
        <f ca="1"/>
        <v>413.26956000000007</v>
      </c>
      <c r="AB128" s="138">
        <f ca="1"/>
        <v>13</v>
      </c>
      <c r="AC128" s="103" t="str">
        <f ca="1"/>
        <v>PROXIMOS FECHA CORTA</v>
      </c>
      <c r="AD128" s="150">
        <f ca="1"/>
        <v>9.9000000000000005E-2</v>
      </c>
    </row>
    <row r="129" spans="1:30">
      <c r="A129" s="111" t="str">
        <f ca="1"/>
        <v>SAN GABRIEL</v>
      </c>
      <c r="B129" s="111" t="str">
        <f ca="1"/>
        <v>QUESOS Y GRASAS</v>
      </c>
      <c r="C129" s="111" t="str">
        <f ca="1"/>
        <v xml:space="preserve">Esteban Montenegro                      </v>
      </c>
      <c r="D129" s="111" t="str">
        <f ca="1"/>
        <v>QUESO MOZARELLA KIOSKO</v>
      </c>
      <c r="E129" s="111" t="str">
        <f ca="1"/>
        <v>QUESO MOZARELLA KIOSKO BLOQUE</v>
      </c>
      <c r="F129" s="120" t="str">
        <f ca="1"/>
        <v>GUAYAQUIL</v>
      </c>
      <c r="G129" s="120">
        <f ca="1"/>
        <v>7711</v>
      </c>
      <c r="H129" s="120">
        <f ca="1"/>
        <v>1001</v>
      </c>
      <c r="I129" s="120" t="str">
        <f ca="1"/>
        <v>5733</v>
      </c>
      <c r="J129" s="120" t="str">
        <f ca="1"/>
        <v>Q MOZAR KIOSKO BLOQ 900G</v>
      </c>
      <c r="K129" s="121">
        <f ca="1"/>
        <v>84</v>
      </c>
      <c r="L129" s="122">
        <f ca="1"/>
        <v>1</v>
      </c>
      <c r="M129" s="120">
        <f ca="1"/>
        <v>0.9</v>
      </c>
      <c r="N129" s="121">
        <f ca="1"/>
        <v>40</v>
      </c>
      <c r="O129" s="123">
        <f ca="1"/>
        <v>45615</v>
      </c>
      <c r="P129" s="123" t="str">
        <f ca="1"/>
        <v>martes</v>
      </c>
      <c r="Q129" s="124">
        <f ca="1"/>
        <v>45612</v>
      </c>
      <c r="R129" s="124">
        <f ca="1"/>
        <v>45651</v>
      </c>
      <c r="S129" s="90">
        <f ca="1"/>
        <v>27</v>
      </c>
      <c r="T129" s="139">
        <f ca="1"/>
        <v>0.67500000000000004</v>
      </c>
      <c r="U129" s="131">
        <f ca="1"/>
        <v>84</v>
      </c>
      <c r="V129" s="120">
        <f ca="1"/>
        <v>75.600000000000009</v>
      </c>
      <c r="W129" s="140">
        <f ca="1"/>
        <v>3</v>
      </c>
      <c r="X129" s="139">
        <f ca="1"/>
        <v>0.92500000000000004</v>
      </c>
      <c r="Y129" s="141">
        <f ca="1"/>
        <v>4.1744400000000006</v>
      </c>
      <c r="Z129" s="141">
        <f ca="1"/>
        <v>4.1744400000000006</v>
      </c>
      <c r="AA129" s="142">
        <f ca="1"/>
        <v>315.58766400000007</v>
      </c>
      <c r="AB129" s="138">
        <f ca="1"/>
        <v>9</v>
      </c>
      <c r="AC129" s="103" t="str">
        <f ca="1"/>
        <v>VIGENTE</v>
      </c>
      <c r="AD129" s="150">
        <f ca="1"/>
        <v>7.5600000000000014E-2</v>
      </c>
    </row>
    <row r="130" spans="1:30">
      <c r="A130" s="111" t="str">
        <f ca="1"/>
        <v>SAN GABRIEL</v>
      </c>
      <c r="B130" s="111" t="str">
        <f ca="1"/>
        <v>QUESOS Y GRASAS</v>
      </c>
      <c r="C130" s="111" t="str">
        <f ca="1"/>
        <v xml:space="preserve">Esteban Montenegro                      </v>
      </c>
      <c r="D130" s="111" t="str">
        <f ca="1"/>
        <v>QUESO MOZARELLA KIOSKO</v>
      </c>
      <c r="E130" s="111" t="str">
        <f ca="1"/>
        <v>QUESO MOZARELLA KIOSKO BLOQUE</v>
      </c>
      <c r="F130" s="120" t="str">
        <f ca="1"/>
        <v>GUAYAQUIL</v>
      </c>
      <c r="G130" s="120">
        <f ca="1"/>
        <v>7711</v>
      </c>
      <c r="H130" s="120">
        <f ca="1"/>
        <v>1001</v>
      </c>
      <c r="I130" s="120" t="str">
        <f ca="1"/>
        <v>5733</v>
      </c>
      <c r="J130" s="120" t="str">
        <f ca="1"/>
        <v>Q MOZAR KIOSKO BLOQ 900G</v>
      </c>
      <c r="K130" s="121">
        <f ca="1"/>
        <v>882</v>
      </c>
      <c r="L130" s="122">
        <f ca="1"/>
        <v>1</v>
      </c>
      <c r="M130" s="120">
        <f ca="1"/>
        <v>0.9</v>
      </c>
      <c r="N130" s="121">
        <f ca="1"/>
        <v>40</v>
      </c>
      <c r="O130" s="123">
        <f ca="1"/>
        <v>45615</v>
      </c>
      <c r="P130" s="123" t="str">
        <f ca="1"/>
        <v>martes</v>
      </c>
      <c r="Q130" s="124">
        <f ca="1"/>
        <v>45611</v>
      </c>
      <c r="R130" s="124">
        <f ca="1"/>
        <v>45650</v>
      </c>
      <c r="S130" s="90">
        <f ca="1"/>
        <v>26</v>
      </c>
      <c r="T130" s="139">
        <f ca="1"/>
        <v>0.65</v>
      </c>
      <c r="U130" s="131">
        <f ca="1"/>
        <v>882</v>
      </c>
      <c r="V130" s="120">
        <f ca="1"/>
        <v>793.80000000000007</v>
      </c>
      <c r="W130" s="140">
        <f ca="1"/>
        <v>4</v>
      </c>
      <c r="X130" s="139">
        <f ca="1"/>
        <v>0.9</v>
      </c>
      <c r="Y130" s="141">
        <f ca="1"/>
        <v>4.1744400000000006</v>
      </c>
      <c r="Z130" s="141">
        <f ca="1"/>
        <v>4.1744400000000006</v>
      </c>
      <c r="AA130" s="142">
        <f ca="1"/>
        <v>3313.6704720000007</v>
      </c>
      <c r="AB130" s="138">
        <f ca="1"/>
        <v>9</v>
      </c>
      <c r="AC130" s="103" t="str">
        <f ca="1"/>
        <v>PROXIMOS FECHA CORTA</v>
      </c>
      <c r="AD130" s="150">
        <f ca="1"/>
        <v>0.79380000000000006</v>
      </c>
    </row>
    <row r="131" spans="1:30">
      <c r="A131" s="111" t="str">
        <f ca="1"/>
        <v>SAN GABRIEL</v>
      </c>
      <c r="B131" s="111" t="str">
        <f ca="1"/>
        <v>QUESOS Y GRASAS</v>
      </c>
      <c r="C131" s="111" t="str">
        <f ca="1"/>
        <v xml:space="preserve">Esteban Montenegro                      </v>
      </c>
      <c r="D131" s="111" t="str">
        <f ca="1"/>
        <v>QUESO MOZARELLA KIOSKO</v>
      </c>
      <c r="E131" s="111" t="str">
        <f ca="1"/>
        <v>QUESO MOZARELLA KIOSKO BLOQUE</v>
      </c>
      <c r="F131" s="120" t="str">
        <f ca="1"/>
        <v>GUAYAQUIL</v>
      </c>
      <c r="G131" s="120">
        <f ca="1"/>
        <v>7711</v>
      </c>
      <c r="H131" s="120">
        <f ca="1"/>
        <v>1001</v>
      </c>
      <c r="I131" s="120" t="str">
        <f ca="1"/>
        <v>5733</v>
      </c>
      <c r="J131" s="120" t="str">
        <f ca="1"/>
        <v>Q MOZAR KIOSKO BLOQ 900G</v>
      </c>
      <c r="K131" s="121">
        <f ca="1"/>
        <v>546</v>
      </c>
      <c r="L131" s="122">
        <f ca="1"/>
        <v>1</v>
      </c>
      <c r="M131" s="120">
        <f ca="1"/>
        <v>0.9</v>
      </c>
      <c r="N131" s="121">
        <f ca="1"/>
        <v>40</v>
      </c>
      <c r="O131" s="123">
        <f ca="1"/>
        <v>45616</v>
      </c>
      <c r="P131" s="123" t="str">
        <f ca="1"/>
        <v>miércoles</v>
      </c>
      <c r="Q131" s="124">
        <f ca="1"/>
        <v>45612</v>
      </c>
      <c r="R131" s="124">
        <f ca="1"/>
        <v>45651</v>
      </c>
      <c r="S131" s="90">
        <f ca="1"/>
        <v>27</v>
      </c>
      <c r="T131" s="139">
        <f ca="1"/>
        <v>0.67500000000000004</v>
      </c>
      <c r="U131" s="131">
        <f ca="1"/>
        <v>546</v>
      </c>
      <c r="V131" s="120">
        <f ca="1"/>
        <v>491.40000000000003</v>
      </c>
      <c r="W131" s="140">
        <f ca="1"/>
        <v>4</v>
      </c>
      <c r="X131" s="139">
        <f ca="1"/>
        <v>0.9</v>
      </c>
      <c r="Y131" s="141">
        <f ca="1"/>
        <v>4.1744400000000006</v>
      </c>
      <c r="Z131" s="141">
        <f ca="1"/>
        <v>4.1744400000000006</v>
      </c>
      <c r="AA131" s="142">
        <f ca="1"/>
        <v>2051.3198160000006</v>
      </c>
      <c r="AB131" s="138">
        <f ca="1"/>
        <v>8</v>
      </c>
      <c r="AC131" s="103" t="str">
        <f ca="1"/>
        <v>VIGENTE</v>
      </c>
      <c r="AD131" s="150">
        <f ca="1"/>
        <v>0.49140000000000006</v>
      </c>
    </row>
    <row r="132" spans="1:30">
      <c r="A132" s="111" t="str">
        <f ca="1"/>
        <v>SAN GABRIEL</v>
      </c>
      <c r="B132" s="111" t="str">
        <f ca="1"/>
        <v>QUESOS Y GRASAS</v>
      </c>
      <c r="C132" s="111" t="str">
        <f ca="1"/>
        <v xml:space="preserve">Esteban Montenegro                      </v>
      </c>
      <c r="D132" s="111" t="str">
        <f ca="1"/>
        <v>QUESO MOZARELLA KIOSKO</v>
      </c>
      <c r="E132" s="111" t="str">
        <f ca="1"/>
        <v>QUESO MOZARELLA KIOSKO BLOQUE</v>
      </c>
      <c r="F132" s="120" t="str">
        <f ca="1"/>
        <v>GUAYAQUIL</v>
      </c>
      <c r="G132" s="120">
        <f ca="1"/>
        <v>7711</v>
      </c>
      <c r="H132" s="120">
        <f ca="1"/>
        <v>1001</v>
      </c>
      <c r="I132" s="120" t="str">
        <f ca="1"/>
        <v>5733</v>
      </c>
      <c r="J132" s="120" t="str">
        <f ca="1"/>
        <v>Q MOZAR KIOSKO BLOQ 900G</v>
      </c>
      <c r="K132" s="121">
        <f ca="1"/>
        <v>630</v>
      </c>
      <c r="L132" s="122">
        <f ca="1"/>
        <v>1</v>
      </c>
      <c r="M132" s="120">
        <f ca="1"/>
        <v>0.9</v>
      </c>
      <c r="N132" s="121">
        <f ca="1"/>
        <v>40</v>
      </c>
      <c r="O132" s="123">
        <f ca="1"/>
        <v>45617</v>
      </c>
      <c r="P132" s="123" t="str">
        <f ca="1"/>
        <v>jueves</v>
      </c>
      <c r="Q132" s="124">
        <f ca="1"/>
        <v>45615</v>
      </c>
      <c r="R132" s="124">
        <f ca="1"/>
        <v>45654</v>
      </c>
      <c r="S132" s="90">
        <f ca="1"/>
        <v>30</v>
      </c>
      <c r="T132" s="139">
        <f ca="1"/>
        <v>0.75</v>
      </c>
      <c r="U132" s="131">
        <f ca="1"/>
        <v>630</v>
      </c>
      <c r="V132" s="120">
        <f ca="1"/>
        <v>567</v>
      </c>
      <c r="W132" s="140">
        <f ca="1"/>
        <v>2</v>
      </c>
      <c r="X132" s="139">
        <f ca="1"/>
        <v>0.95</v>
      </c>
      <c r="Y132" s="141">
        <f ca="1"/>
        <v>4.1744400000000006</v>
      </c>
      <c r="Z132" s="141">
        <f ca="1"/>
        <v>4.1744400000000006</v>
      </c>
      <c r="AA132" s="142">
        <f ca="1"/>
        <v>2366.9074800000003</v>
      </c>
      <c r="AB132" s="138">
        <f ca="1"/>
        <v>7</v>
      </c>
      <c r="AC132" s="103" t="str">
        <f ca="1"/>
        <v>VIGENTE</v>
      </c>
      <c r="AD132" s="150">
        <f ca="1"/>
        <v>0.56699999999999995</v>
      </c>
    </row>
    <row r="133" spans="1:30">
      <c r="A133" s="111" t="str">
        <f ca="1"/>
        <v>SAN GABRIEL</v>
      </c>
      <c r="B133" s="111" t="str">
        <f ca="1"/>
        <v>QUESOS Y GRASAS</v>
      </c>
      <c r="C133" s="111" t="str">
        <f ca="1"/>
        <v xml:space="preserve">Esteban Montenegro                      </v>
      </c>
      <c r="D133" s="111" t="str">
        <f ca="1"/>
        <v>QUESO MOZARELLA KIOSKO</v>
      </c>
      <c r="E133" s="111" t="str">
        <f ca="1"/>
        <v>QUESO MOZARELLA LIGHT KIOSKO BLOQUE</v>
      </c>
      <c r="F133" s="120" t="str">
        <f ca="1"/>
        <v>GUAYAQUIL</v>
      </c>
      <c r="G133" s="120">
        <f ca="1"/>
        <v>7711</v>
      </c>
      <c r="H133" s="120">
        <f ca="1"/>
        <v>1001</v>
      </c>
      <c r="I133" s="120" t="str">
        <f ca="1"/>
        <v>5736</v>
      </c>
      <c r="J133" s="120" t="str">
        <f ca="1"/>
        <v>Q MOZAR LGHT KIOSKO BLOQ 500G</v>
      </c>
      <c r="K133" s="121">
        <f ca="1"/>
        <v>450</v>
      </c>
      <c r="L133" s="122">
        <f ca="1"/>
        <v>1</v>
      </c>
      <c r="M133" s="120">
        <f ca="1"/>
        <v>0.5</v>
      </c>
      <c r="N133" s="121">
        <f ca="1"/>
        <v>40</v>
      </c>
      <c r="O133" s="123">
        <f ca="1"/>
        <v>45615</v>
      </c>
      <c r="P133" s="123" t="str">
        <f ca="1"/>
        <v>martes</v>
      </c>
      <c r="Q133" s="124">
        <f ca="1"/>
        <v>45611</v>
      </c>
      <c r="R133" s="124">
        <f ca="1"/>
        <v>45650</v>
      </c>
      <c r="S133" s="90">
        <f ca="1"/>
        <v>26</v>
      </c>
      <c r="T133" s="139">
        <f ca="1"/>
        <v>0.65</v>
      </c>
      <c r="U133" s="131">
        <f ca="1"/>
        <v>318</v>
      </c>
      <c r="V133" s="120">
        <f ca="1"/>
        <v>159</v>
      </c>
      <c r="W133" s="140">
        <f ca="1"/>
        <v>4</v>
      </c>
      <c r="X133" s="139">
        <f ca="1"/>
        <v>0.9</v>
      </c>
      <c r="Y133" s="141">
        <f ca="1"/>
        <v>2.755735</v>
      </c>
      <c r="Z133" s="141">
        <f ca="1"/>
        <v>2.755735</v>
      </c>
      <c r="AA133" s="142">
        <f ca="1"/>
        <v>438.16186500000003</v>
      </c>
      <c r="AB133" s="138">
        <f ca="1"/>
        <v>9</v>
      </c>
      <c r="AC133" s="103" t="str">
        <f ca="1"/>
        <v>PROXIMOS FECHA CORTA</v>
      </c>
      <c r="AD133" s="150">
        <f ca="1"/>
        <v>0.159</v>
      </c>
    </row>
    <row r="134" spans="1:30">
      <c r="A134" s="111" t="str">
        <f ca="1"/>
        <v>SAN GABRIEL</v>
      </c>
      <c r="B134" s="111" t="str">
        <f ca="1"/>
        <v>QUESOS Y GRASAS</v>
      </c>
      <c r="C134" s="111" t="str">
        <f ca="1"/>
        <v xml:space="preserve">Esteban Montenegro                      </v>
      </c>
      <c r="D134" s="111" t="str">
        <f ca="1"/>
        <v>QUESO MOZARELLA KIOSKO</v>
      </c>
      <c r="E134" s="111" t="str">
        <f ca="1"/>
        <v>QUESO MOZARELLA LIGHT KIOSKO BLOQUE</v>
      </c>
      <c r="F134" s="120" t="str">
        <f ca="1"/>
        <v>GUAYAQUIL</v>
      </c>
      <c r="G134" s="120">
        <f ca="1"/>
        <v>7711</v>
      </c>
      <c r="H134" s="120">
        <f ca="1"/>
        <v>1001</v>
      </c>
      <c r="I134" s="120" t="str">
        <f ca="1"/>
        <v>5736</v>
      </c>
      <c r="J134" s="120" t="str">
        <f ca="1"/>
        <v>Q MOZAR LGHT KIOSKO BLOQ 500G</v>
      </c>
      <c r="K134" s="121">
        <f ca="1"/>
        <v>135</v>
      </c>
      <c r="L134" s="122">
        <f ca="1"/>
        <v>1</v>
      </c>
      <c r="M134" s="120">
        <f ca="1"/>
        <v>0.5</v>
      </c>
      <c r="N134" s="121">
        <f ca="1"/>
        <v>40</v>
      </c>
      <c r="O134" s="123">
        <f ca="1"/>
        <v>45616</v>
      </c>
      <c r="P134" s="123" t="str">
        <f ca="1"/>
        <v>miércoles</v>
      </c>
      <c r="Q134" s="124">
        <f ca="1"/>
        <v>45612</v>
      </c>
      <c r="R134" s="124">
        <f ca="1"/>
        <v>45651</v>
      </c>
      <c r="S134" s="90">
        <f ca="1"/>
        <v>27</v>
      </c>
      <c r="T134" s="139">
        <f ca="1"/>
        <v>0.67500000000000004</v>
      </c>
      <c r="U134" s="131">
        <f ca="1"/>
        <v>135</v>
      </c>
      <c r="V134" s="120">
        <f ca="1"/>
        <v>67.5</v>
      </c>
      <c r="W134" s="140">
        <f ca="1"/>
        <v>4</v>
      </c>
      <c r="X134" s="139">
        <f ca="1"/>
        <v>0.9</v>
      </c>
      <c r="Y134" s="141">
        <f ca="1"/>
        <v>2.755735</v>
      </c>
      <c r="Z134" s="141">
        <f ca="1"/>
        <v>2.755735</v>
      </c>
      <c r="AA134" s="142">
        <f ca="1"/>
        <v>186.0121125</v>
      </c>
      <c r="AB134" s="138">
        <f ca="1"/>
        <v>8</v>
      </c>
      <c r="AC134" s="103" t="str">
        <f ca="1"/>
        <v>VIGENTE</v>
      </c>
      <c r="AD134" s="150">
        <f ca="1"/>
        <v>6.7500000000000004E-2</v>
      </c>
    </row>
    <row r="135" spans="1:30">
      <c r="A135" s="111" t="str">
        <f ca="1"/>
        <v>SAN GABRIEL</v>
      </c>
      <c r="B135" s="111" t="str">
        <f ca="1"/>
        <v>QUESOS Y GRASAS</v>
      </c>
      <c r="C135" s="111" t="str">
        <f ca="1"/>
        <v xml:space="preserve">Esteban Montenegro                      </v>
      </c>
      <c r="D135" s="111" t="str">
        <f ca="1"/>
        <v>QUESO MOZARELLA KIOSKO</v>
      </c>
      <c r="E135" s="111" t="str">
        <f ca="1"/>
        <v>QUESO MOZARELLA LIGHT KIOSKO BLOQUE</v>
      </c>
      <c r="F135" s="120" t="str">
        <f ca="1"/>
        <v>GUAYAQUIL</v>
      </c>
      <c r="G135" s="120">
        <f ca="1"/>
        <v>7711</v>
      </c>
      <c r="H135" s="120">
        <f ca="1"/>
        <v>1001</v>
      </c>
      <c r="I135" s="120" t="str">
        <f ca="1"/>
        <v>5736</v>
      </c>
      <c r="J135" s="120" t="str">
        <f ca="1"/>
        <v>Q MOZAR LGHT KIOSKO BLOQ 500G</v>
      </c>
      <c r="K135" s="121">
        <f ca="1"/>
        <v>270</v>
      </c>
      <c r="L135" s="122">
        <f ca="1"/>
        <v>1</v>
      </c>
      <c r="M135" s="120">
        <f ca="1"/>
        <v>0.5</v>
      </c>
      <c r="N135" s="121">
        <f ca="1"/>
        <v>40</v>
      </c>
      <c r="O135" s="123">
        <f ca="1"/>
        <v>45617</v>
      </c>
      <c r="P135" s="123" t="str">
        <f ca="1"/>
        <v>jueves</v>
      </c>
      <c r="Q135" s="124">
        <f ca="1"/>
        <v>45612</v>
      </c>
      <c r="R135" s="124">
        <f ca="1"/>
        <v>45651</v>
      </c>
      <c r="S135" s="90">
        <f ca="1"/>
        <v>27</v>
      </c>
      <c r="T135" s="139">
        <f ca="1"/>
        <v>0.67500000000000004</v>
      </c>
      <c r="U135" s="131">
        <f ca="1"/>
        <v>270</v>
      </c>
      <c r="V135" s="120">
        <f ca="1"/>
        <v>135</v>
      </c>
      <c r="W135" s="140">
        <f ca="1"/>
        <v>5</v>
      </c>
      <c r="X135" s="139">
        <f ca="1"/>
        <v>0.875</v>
      </c>
      <c r="Y135" s="141">
        <f ca="1"/>
        <v>2.755735</v>
      </c>
      <c r="Z135" s="141">
        <f ca="1"/>
        <v>2.755735</v>
      </c>
      <c r="AA135" s="142">
        <f ca="1"/>
        <v>372.024225</v>
      </c>
      <c r="AB135" s="138">
        <f ca="1"/>
        <v>7</v>
      </c>
      <c r="AC135" s="103" t="str">
        <f ca="1"/>
        <v>VIGENTE</v>
      </c>
      <c r="AD135" s="150">
        <f ca="1"/>
        <v>0.13500000000000001</v>
      </c>
    </row>
    <row r="136" spans="1:30">
      <c r="A136" s="111" t="str">
        <f ca="1"/>
        <v>SAN GABRIEL</v>
      </c>
      <c r="B136" s="111" t="str">
        <f ca="1"/>
        <v>QUESOS Y GRASAS</v>
      </c>
      <c r="C136" s="111" t="str">
        <f ca="1"/>
        <v xml:space="preserve">Esteban Montenegro                      </v>
      </c>
      <c r="D136" s="111" t="str">
        <f ca="1"/>
        <v>QUESO SEMIMADURO KIOSKO</v>
      </c>
      <c r="E136" s="111" t="str">
        <f ca="1"/>
        <v>QUESO GOUDA KIOSKO BLOQUE</v>
      </c>
      <c r="F136" s="120" t="str">
        <f ca="1"/>
        <v>GUAYAQUIL</v>
      </c>
      <c r="G136" s="120">
        <f ca="1"/>
        <v>7711</v>
      </c>
      <c r="H136" s="120">
        <f ca="1"/>
        <v>1001</v>
      </c>
      <c r="I136" s="120" t="str">
        <f ca="1"/>
        <v>5753</v>
      </c>
      <c r="J136" s="120" t="str">
        <f ca="1"/>
        <v>Q GOUDA KIOSKO BLOQ 350G</v>
      </c>
      <c r="K136" s="121">
        <f ca="1"/>
        <v>108</v>
      </c>
      <c r="L136" s="122">
        <f ca="1"/>
        <v>1</v>
      </c>
      <c r="M136" s="120">
        <f ca="1"/>
        <v>0.35</v>
      </c>
      <c r="N136" s="121">
        <f ca="1"/>
        <v>60</v>
      </c>
      <c r="O136" s="123">
        <f ca="1"/>
        <v>45611</v>
      </c>
      <c r="P136" s="123" t="str">
        <f ca="1"/>
        <v>viernes</v>
      </c>
      <c r="Q136" s="124">
        <f ca="1"/>
        <v>45609</v>
      </c>
      <c r="R136" s="124">
        <f ca="1"/>
        <v>45668</v>
      </c>
      <c r="S136" s="90">
        <f ca="1"/>
        <v>44</v>
      </c>
      <c r="T136" s="139">
        <f ca="1"/>
        <v>0.73333333333333328</v>
      </c>
      <c r="U136" s="131">
        <f ca="1"/>
        <v>17</v>
      </c>
      <c r="V136" s="120">
        <f ca="1"/>
        <v>5.9499999999999993</v>
      </c>
      <c r="W136" s="140">
        <f ca="1"/>
        <v>2</v>
      </c>
      <c r="X136" s="139">
        <f ca="1"/>
        <v>0.96666666666666667</v>
      </c>
      <c r="Y136" s="141">
        <f ca="1"/>
        <v>2.4922949999999999</v>
      </c>
      <c r="Z136" s="141">
        <f ca="1"/>
        <v>2.4922949999999999</v>
      </c>
      <c r="AA136" s="142">
        <f ca="1"/>
        <v>14.829155249999998</v>
      </c>
      <c r="AB136" s="138">
        <f ca="1"/>
        <v>13</v>
      </c>
      <c r="AC136" s="103" t="str">
        <f ca="1"/>
        <v>VIGENTE</v>
      </c>
      <c r="AD136" s="150">
        <f ca="1"/>
        <v>5.9499999999999996E-3</v>
      </c>
    </row>
    <row r="137" spans="1:30">
      <c r="A137" s="111" t="str">
        <f ca="1"/>
        <v>SAN GABRIEL</v>
      </c>
      <c r="B137" s="111" t="str">
        <f ca="1"/>
        <v>QUESOS Y GRASAS</v>
      </c>
      <c r="C137" s="111" t="str">
        <f ca="1"/>
        <v xml:space="preserve">Esteban Montenegro                      </v>
      </c>
      <c r="D137" s="111" t="str">
        <f ca="1"/>
        <v>QUESO SEMIMADURO KIOSKO</v>
      </c>
      <c r="E137" s="111" t="str">
        <f ca="1"/>
        <v>QUESO GOUDA KIOSKO BLOQUE</v>
      </c>
      <c r="F137" s="120" t="str">
        <f ca="1"/>
        <v>GUAYAQUIL</v>
      </c>
      <c r="G137" s="120">
        <f ca="1"/>
        <v>7711</v>
      </c>
      <c r="H137" s="120">
        <f ca="1"/>
        <v>1001</v>
      </c>
      <c r="I137" s="120" t="str">
        <f ca="1"/>
        <v>5753</v>
      </c>
      <c r="J137" s="120" t="str">
        <f ca="1"/>
        <v>Q GOUDA KIOSKO BLOQ 350G</v>
      </c>
      <c r="K137" s="121">
        <f ca="1"/>
        <v>288</v>
      </c>
      <c r="L137" s="122">
        <f ca="1"/>
        <v>1</v>
      </c>
      <c r="M137" s="120">
        <f ca="1"/>
        <v>0.35</v>
      </c>
      <c r="N137" s="121">
        <f ca="1"/>
        <v>60</v>
      </c>
      <c r="O137" s="123">
        <f ca="1"/>
        <v>45615</v>
      </c>
      <c r="P137" s="123" t="str">
        <f ca="1"/>
        <v>martes</v>
      </c>
      <c r="Q137" s="124">
        <f ca="1"/>
        <v>45610</v>
      </c>
      <c r="R137" s="124">
        <f ca="1"/>
        <v>45669</v>
      </c>
      <c r="S137" s="90">
        <f ca="1"/>
        <v>45</v>
      </c>
      <c r="T137" s="139">
        <f ca="1"/>
        <v>0.75</v>
      </c>
      <c r="U137" s="131">
        <f ca="1"/>
        <v>288</v>
      </c>
      <c r="V137" s="120">
        <f ca="1"/>
        <v>100.8</v>
      </c>
      <c r="W137" s="140">
        <f ca="1"/>
        <v>5</v>
      </c>
      <c r="X137" s="139">
        <f ca="1"/>
        <v>0.91666666666666663</v>
      </c>
      <c r="Y137" s="141">
        <f ca="1"/>
        <v>2.4922949999999999</v>
      </c>
      <c r="Z137" s="141">
        <f ca="1"/>
        <v>2.4922949999999999</v>
      </c>
      <c r="AA137" s="142">
        <f ca="1"/>
        <v>251.22333599999999</v>
      </c>
      <c r="AB137" s="138">
        <f ca="1"/>
        <v>9</v>
      </c>
      <c r="AC137" s="103" t="str">
        <f ca="1"/>
        <v>VIGENTE</v>
      </c>
      <c r="AD137" s="150">
        <f ca="1"/>
        <v>0.1008</v>
      </c>
    </row>
    <row r="138" spans="1:30">
      <c r="A138" s="111" t="str">
        <f ca="1"/>
        <v>SAN GABRIEL</v>
      </c>
      <c r="B138" s="111" t="str">
        <f ca="1"/>
        <v>QUESOS Y GRASAS</v>
      </c>
      <c r="C138" s="111" t="str">
        <f ca="1"/>
        <v xml:space="preserve">Esteban Montenegro                      </v>
      </c>
      <c r="D138" s="111" t="str">
        <f ca="1"/>
        <v>QUESO SEMIMADURO KIOSKO</v>
      </c>
      <c r="E138" s="111" t="str">
        <f ca="1"/>
        <v>QUESO GOUDA KIOSKO BLOQUE</v>
      </c>
      <c r="F138" s="120" t="str">
        <f ca="1"/>
        <v>GUAYAQUIL</v>
      </c>
      <c r="G138" s="120">
        <f ca="1"/>
        <v>7711</v>
      </c>
      <c r="H138" s="120">
        <f ca="1"/>
        <v>1001</v>
      </c>
      <c r="I138" s="120" t="str">
        <f ca="1"/>
        <v>5753</v>
      </c>
      <c r="J138" s="120" t="str">
        <f ca="1"/>
        <v>Q GOUDA KIOSKO BLOQ 350G</v>
      </c>
      <c r="K138" s="121">
        <f ca="1"/>
        <v>36</v>
      </c>
      <c r="L138" s="122">
        <f ca="1"/>
        <v>1</v>
      </c>
      <c r="M138" s="120">
        <f ca="1"/>
        <v>0.35</v>
      </c>
      <c r="N138" s="121">
        <f ca="1"/>
        <v>60</v>
      </c>
      <c r="O138" s="123">
        <f ca="1"/>
        <v>45616</v>
      </c>
      <c r="P138" s="123" t="str">
        <f ca="1"/>
        <v>miércoles</v>
      </c>
      <c r="Q138" s="124">
        <f ca="1"/>
        <v>45610</v>
      </c>
      <c r="R138" s="124">
        <f ca="1"/>
        <v>45669</v>
      </c>
      <c r="S138" s="90">
        <f ca="1"/>
        <v>45</v>
      </c>
      <c r="T138" s="139">
        <f ca="1"/>
        <v>0.75</v>
      </c>
      <c r="U138" s="131">
        <f ca="1"/>
        <v>36</v>
      </c>
      <c r="V138" s="120">
        <f ca="1"/>
        <v>12.6</v>
      </c>
      <c r="W138" s="140">
        <f ca="1"/>
        <v>6</v>
      </c>
      <c r="X138" s="139">
        <f ca="1"/>
        <v>0.9</v>
      </c>
      <c r="Y138" s="141">
        <f ca="1"/>
        <v>2.4922949999999999</v>
      </c>
      <c r="Z138" s="141">
        <f ca="1"/>
        <v>2.4922949999999999</v>
      </c>
      <c r="AA138" s="142">
        <f ca="1"/>
        <v>31.402916999999999</v>
      </c>
      <c r="AB138" s="138">
        <f ca="1"/>
        <v>8</v>
      </c>
      <c r="AC138" s="103" t="str">
        <f ca="1"/>
        <v>VIGENTE</v>
      </c>
      <c r="AD138" s="150">
        <f ca="1"/>
        <v>1.26E-2</v>
      </c>
    </row>
    <row r="139" spans="1:30">
      <c r="A139" s="111" t="str">
        <f ca="1"/>
        <v>SAN GABRIEL</v>
      </c>
      <c r="B139" s="111" t="str">
        <f ca="1"/>
        <v>QUESOS Y GRASAS</v>
      </c>
      <c r="C139" s="111" t="str">
        <f ca="1"/>
        <v xml:space="preserve">Esteban Montenegro                      </v>
      </c>
      <c r="D139" s="111" t="str">
        <f ca="1"/>
        <v>QUESO SEMIMADURO KIOSKO</v>
      </c>
      <c r="E139" s="111" t="str">
        <f ca="1"/>
        <v>QUESO GOUDA KIOSKO BLOQUE</v>
      </c>
      <c r="F139" s="120" t="str">
        <f ca="1"/>
        <v>GUAYAQUIL</v>
      </c>
      <c r="G139" s="120">
        <f ca="1"/>
        <v>7711</v>
      </c>
      <c r="H139" s="120">
        <f ca="1"/>
        <v>1001</v>
      </c>
      <c r="I139" s="120" t="str">
        <f ca="1"/>
        <v>5753</v>
      </c>
      <c r="J139" s="120" t="str">
        <f ca="1"/>
        <v>Q GOUDA KIOSKO BLOQ 350G</v>
      </c>
      <c r="K139" s="121">
        <f ca="1"/>
        <v>144</v>
      </c>
      <c r="L139" s="122">
        <f ca="1"/>
        <v>1</v>
      </c>
      <c r="M139" s="120">
        <f ca="1"/>
        <v>0.35</v>
      </c>
      <c r="N139" s="121">
        <f ca="1"/>
        <v>60</v>
      </c>
      <c r="O139" s="123">
        <f ca="1"/>
        <v>45617</v>
      </c>
      <c r="P139" s="123" t="str">
        <f ca="1"/>
        <v>jueves</v>
      </c>
      <c r="Q139" s="124">
        <f ca="1"/>
        <v>45610</v>
      </c>
      <c r="R139" s="124">
        <f ca="1"/>
        <v>45669</v>
      </c>
      <c r="S139" s="90">
        <f ca="1"/>
        <v>45</v>
      </c>
      <c r="T139" s="139">
        <f ca="1"/>
        <v>0.75</v>
      </c>
      <c r="U139" s="131">
        <f ca="1"/>
        <v>144</v>
      </c>
      <c r="V139" s="120">
        <f ca="1"/>
        <v>50.4</v>
      </c>
      <c r="W139" s="140">
        <f ca="1"/>
        <v>7</v>
      </c>
      <c r="X139" s="139">
        <f ca="1"/>
        <v>0.8833333333333333</v>
      </c>
      <c r="Y139" s="141">
        <f ca="1"/>
        <v>2.4922949999999999</v>
      </c>
      <c r="Z139" s="141">
        <f ca="1"/>
        <v>2.4922949999999999</v>
      </c>
      <c r="AA139" s="142">
        <f ca="1"/>
        <v>125.61166799999999</v>
      </c>
      <c r="AB139" s="138">
        <f ca="1"/>
        <v>7</v>
      </c>
      <c r="AC139" s="103" t="str">
        <f ca="1"/>
        <v>VIGENTE</v>
      </c>
      <c r="AD139" s="150">
        <f ca="1"/>
        <v>5.04E-2</v>
      </c>
    </row>
    <row r="140" spans="1:30">
      <c r="A140" s="111" t="str">
        <f ca="1"/>
        <v>SAN GABRIEL</v>
      </c>
      <c r="B140" s="111" t="str">
        <f ca="1"/>
        <v>QUESOS Y GRASAS</v>
      </c>
      <c r="C140" s="111" t="str">
        <f ca="1"/>
        <v xml:space="preserve">Esteban Montenegro                      </v>
      </c>
      <c r="D140" s="111" t="str">
        <f ca="1"/>
        <v>QUESO SEMIMADURO KIOSKO</v>
      </c>
      <c r="E140" s="111" t="str">
        <f ca="1"/>
        <v>QUESO HOLANDES KIOSKO BLOQUE</v>
      </c>
      <c r="F140" s="120" t="str">
        <f ca="1"/>
        <v>GUAYAQUIL</v>
      </c>
      <c r="G140" s="120">
        <f ca="1"/>
        <v>7711</v>
      </c>
      <c r="H140" s="120">
        <f ca="1"/>
        <v>1001</v>
      </c>
      <c r="I140" s="120" t="str">
        <f ca="1"/>
        <v>5758</v>
      </c>
      <c r="J140" s="120" t="str">
        <f ca="1"/>
        <v>Q HOLAN KIOSKO AL PESO</v>
      </c>
      <c r="K140" s="121">
        <f ca="1"/>
        <v>40</v>
      </c>
      <c r="L140" s="122">
        <f ca="1"/>
        <v>2.7</v>
      </c>
      <c r="M140" s="120">
        <f ca="1"/>
        <v>1</v>
      </c>
      <c r="N140" s="121">
        <f ca="1"/>
        <v>90</v>
      </c>
      <c r="O140" s="123">
        <f ca="1"/>
        <v>45611</v>
      </c>
      <c r="P140" s="123" t="str">
        <f ca="1"/>
        <v>viernes</v>
      </c>
      <c r="Q140" s="124">
        <f ca="1"/>
        <v>45604</v>
      </c>
      <c r="R140" s="124">
        <f ca="1"/>
        <v>45693</v>
      </c>
      <c r="S140" s="90">
        <f ca="1"/>
        <v>69</v>
      </c>
      <c r="T140" s="139">
        <f ca="1"/>
        <v>0.76666666666666672</v>
      </c>
      <c r="U140" s="131">
        <f ca="1"/>
        <v>32</v>
      </c>
      <c r="V140" s="120">
        <f ca="1"/>
        <v>86.4</v>
      </c>
      <c r="W140" s="140">
        <f ca="1"/>
        <v>7</v>
      </c>
      <c r="X140" s="139">
        <f ca="1"/>
        <v>0.92222222222222228</v>
      </c>
      <c r="Y140" s="141">
        <f ca="1"/>
        <v>6.1996750000000009</v>
      </c>
      <c r="Z140" s="141">
        <f ca="1"/>
        <v>16.739122500000004</v>
      </c>
      <c r="AA140" s="142">
        <f ca="1"/>
        <v>1446.2601840000004</v>
      </c>
      <c r="AB140" s="138">
        <f ca="1"/>
        <v>13</v>
      </c>
      <c r="AC140" s="103" t="str">
        <f ca="1"/>
        <v>VIGENTE</v>
      </c>
      <c r="AD140" s="150">
        <f ca="1"/>
        <v>8.6400000000000005E-2</v>
      </c>
    </row>
    <row r="141" spans="1:30">
      <c r="A141" s="111" t="str">
        <f ca="1"/>
        <v>SAN GABRIEL</v>
      </c>
      <c r="B141" s="111" t="str">
        <f ca="1"/>
        <v>QUESOS Y GRASAS</v>
      </c>
      <c r="C141" s="111" t="str">
        <f ca="1"/>
        <v xml:space="preserve">Esteban Montenegro                      </v>
      </c>
      <c r="D141" s="111" t="str">
        <f ca="1"/>
        <v>QUESO SEMIMADURO KIOSKO</v>
      </c>
      <c r="E141" s="111" t="str">
        <f ca="1"/>
        <v>QUESO HOLANDES KIOSKO BLOQUE</v>
      </c>
      <c r="F141" s="120" t="str">
        <f ca="1"/>
        <v>GUAYAQUIL</v>
      </c>
      <c r="G141" s="120">
        <f ca="1"/>
        <v>7711</v>
      </c>
      <c r="H141" s="120">
        <f ca="1"/>
        <v>1001</v>
      </c>
      <c r="I141" s="120" t="str">
        <f ca="1"/>
        <v>5758</v>
      </c>
      <c r="J141" s="120" t="str">
        <f ca="1"/>
        <v>Q HOLAN KIOSKO AL PESO</v>
      </c>
      <c r="K141" s="121">
        <f ca="1"/>
        <v>55</v>
      </c>
      <c r="L141" s="122">
        <f ca="1"/>
        <v>2.7</v>
      </c>
      <c r="M141" s="120">
        <f ca="1"/>
        <v>1</v>
      </c>
      <c r="N141" s="121">
        <f ca="1"/>
        <v>90</v>
      </c>
      <c r="O141" s="123">
        <f ca="1"/>
        <v>45616</v>
      </c>
      <c r="P141" s="123" t="str">
        <f ca="1"/>
        <v>miércoles</v>
      </c>
      <c r="Q141" s="124">
        <f ca="1"/>
        <v>45604</v>
      </c>
      <c r="R141" s="124">
        <f ca="1"/>
        <v>45693</v>
      </c>
      <c r="S141" s="90">
        <f ca="1"/>
        <v>69</v>
      </c>
      <c r="T141" s="139">
        <f ca="1"/>
        <v>0.76666666666666672</v>
      </c>
      <c r="U141" s="131">
        <f ca="1"/>
        <v>55</v>
      </c>
      <c r="V141" s="120">
        <f ca="1"/>
        <v>148.5</v>
      </c>
      <c r="W141" s="140">
        <f ca="1"/>
        <v>12</v>
      </c>
      <c r="X141" s="139">
        <f ca="1"/>
        <v>0.8666666666666667</v>
      </c>
      <c r="Y141" s="141">
        <f ca="1"/>
        <v>6.1996750000000009</v>
      </c>
      <c r="Z141" s="141">
        <f ca="1"/>
        <v>16.739122500000004</v>
      </c>
      <c r="AA141" s="142">
        <f ca="1"/>
        <v>2485.7596912500007</v>
      </c>
      <c r="AB141" s="138">
        <f ca="1"/>
        <v>8</v>
      </c>
      <c r="AC141" s="103" t="str">
        <f ca="1"/>
        <v>VIGENTE</v>
      </c>
      <c r="AD141" s="150">
        <f ca="1"/>
        <v>0.14849999999999999</v>
      </c>
    </row>
    <row r="142" spans="1:30">
      <c r="A142" s="111" t="str">
        <f ca="1"/>
        <v>SAN GABRIEL</v>
      </c>
      <c r="B142" s="111" t="str">
        <f ca="1"/>
        <v>QUESOS Y GRASAS</v>
      </c>
      <c r="C142" s="111" t="str">
        <f ca="1"/>
        <v xml:space="preserve">Esteban Montenegro                      </v>
      </c>
      <c r="D142" s="111" t="str">
        <f ca="1"/>
        <v>QUESO SEMIMADURO KIOSKO</v>
      </c>
      <c r="E142" s="111" t="str">
        <f ca="1"/>
        <v>QUESO HOLANDES KIOSKO BLOQUE</v>
      </c>
      <c r="F142" s="120" t="str">
        <f ca="1"/>
        <v>GUAYAQUIL</v>
      </c>
      <c r="G142" s="120">
        <f ca="1"/>
        <v>7711</v>
      </c>
      <c r="H142" s="120">
        <f ca="1"/>
        <v>1001</v>
      </c>
      <c r="I142" s="120" t="str">
        <f ca="1"/>
        <v>5758</v>
      </c>
      <c r="J142" s="120" t="str">
        <f ca="1"/>
        <v>Q HOLAN KIOSKO AL PESO</v>
      </c>
      <c r="K142" s="121">
        <f ca="1"/>
        <v>31</v>
      </c>
      <c r="L142" s="122">
        <f ca="1"/>
        <v>2.7</v>
      </c>
      <c r="M142" s="120">
        <f ca="1"/>
        <v>1</v>
      </c>
      <c r="N142" s="121">
        <f ca="1"/>
        <v>90</v>
      </c>
      <c r="O142" s="123">
        <f ca="1"/>
        <v>45617</v>
      </c>
      <c r="P142" s="123" t="str">
        <f ca="1"/>
        <v>jueves</v>
      </c>
      <c r="Q142" s="124">
        <f ca="1"/>
        <v>45610</v>
      </c>
      <c r="R142" s="124">
        <f ca="1"/>
        <v>45699</v>
      </c>
      <c r="S142" s="90">
        <f ca="1"/>
        <v>75</v>
      </c>
      <c r="T142" s="139">
        <f ca="1"/>
        <v>0.83333333333333337</v>
      </c>
      <c r="U142" s="131">
        <f ca="1"/>
        <v>31</v>
      </c>
      <c r="V142" s="120">
        <f ca="1"/>
        <v>83.7</v>
      </c>
      <c r="W142" s="140">
        <f ca="1"/>
        <v>7</v>
      </c>
      <c r="X142" s="139">
        <f ca="1"/>
        <v>0.92222222222222228</v>
      </c>
      <c r="Y142" s="141">
        <f ca="1"/>
        <v>6.1996750000000009</v>
      </c>
      <c r="Z142" s="141">
        <f ca="1"/>
        <v>16.739122500000004</v>
      </c>
      <c r="AA142" s="142">
        <f ca="1"/>
        <v>1401.0645532500005</v>
      </c>
      <c r="AB142" s="138">
        <f ca="1"/>
        <v>7</v>
      </c>
      <c r="AC142" s="103" t="str">
        <f ca="1"/>
        <v>VIGENTE</v>
      </c>
      <c r="AD142" s="150">
        <f ca="1"/>
        <v>8.3699999999999997E-2</v>
      </c>
    </row>
    <row r="143" spans="1:30">
      <c r="A143" s="111" t="str">
        <f ca="1"/>
        <v>SAN GABRIEL</v>
      </c>
      <c r="B143" s="111" t="str">
        <f ca="1"/>
        <v>QUESOS Y GRASAS</v>
      </c>
      <c r="C143" s="111" t="str">
        <f ca="1"/>
        <v xml:space="preserve">Esteban Montenegro                      </v>
      </c>
      <c r="D143" s="111" t="str">
        <f ca="1"/>
        <v>QUESO SEMIMADURO KIOSKO</v>
      </c>
      <c r="E143" s="111" t="str">
        <f ca="1"/>
        <v>QUESO HOLANDES KIOSKO TAJADO</v>
      </c>
      <c r="F143" s="120" t="str">
        <f ca="1"/>
        <v>GUAYAQUIL</v>
      </c>
      <c r="G143" s="120">
        <f ca="1"/>
        <v>7711</v>
      </c>
      <c r="H143" s="120">
        <f ca="1"/>
        <v>1001</v>
      </c>
      <c r="I143" s="120" t="str">
        <f ca="1"/>
        <v>5759</v>
      </c>
      <c r="J143" s="120" t="str">
        <f ca="1"/>
        <v>Q HOLAN KIOSKO 20 LONJ 300G</v>
      </c>
      <c r="K143" s="121">
        <f ca="1"/>
        <v>75</v>
      </c>
      <c r="L143" s="122">
        <f ca="1"/>
        <v>1</v>
      </c>
      <c r="M143" s="120">
        <f ca="1"/>
        <v>0.3</v>
      </c>
      <c r="N143" s="121">
        <f ca="1"/>
        <v>90</v>
      </c>
      <c r="O143" s="123">
        <f ca="1"/>
        <v>45608</v>
      </c>
      <c r="P143" s="123" t="str">
        <f ca="1"/>
        <v>martes</v>
      </c>
      <c r="Q143" s="124">
        <f ca="1"/>
        <v>45596</v>
      </c>
      <c r="R143" s="124">
        <f ca="1"/>
        <v>45685</v>
      </c>
      <c r="S143" s="90">
        <f ca="1"/>
        <v>61</v>
      </c>
      <c r="T143" s="139">
        <f ca="1"/>
        <v>0.67777777777777781</v>
      </c>
      <c r="U143" s="131">
        <f ca="1"/>
        <v>32</v>
      </c>
      <c r="V143" s="120">
        <f ca="1"/>
        <v>9.6</v>
      </c>
      <c r="W143" s="140">
        <f ca="1"/>
        <v>12</v>
      </c>
      <c r="X143" s="139">
        <f ca="1"/>
        <v>0.8666666666666667</v>
      </c>
      <c r="Y143" s="141">
        <f ca="1"/>
        <v>2.4232300000000002</v>
      </c>
      <c r="Z143" s="141">
        <f ca="1"/>
        <v>2.4232300000000002</v>
      </c>
      <c r="AA143" s="142">
        <f ca="1"/>
        <v>23.263008000000003</v>
      </c>
      <c r="AB143" s="138">
        <f ca="1"/>
        <v>16</v>
      </c>
      <c r="AC143" s="103" t="str">
        <f ca="1"/>
        <v>VIGENTE</v>
      </c>
      <c r="AD143" s="150">
        <f ca="1"/>
        <v>9.5999999999999992E-3</v>
      </c>
    </row>
    <row r="144" spans="1:30">
      <c r="A144" s="111" t="str">
        <f ca="1"/>
        <v>SAN GABRIEL</v>
      </c>
      <c r="B144" s="111" t="str">
        <f ca="1"/>
        <v>QUESOS Y GRASAS</v>
      </c>
      <c r="C144" s="111" t="str">
        <f ca="1"/>
        <v xml:space="preserve">Esteban Montenegro                      </v>
      </c>
      <c r="D144" s="111" t="str">
        <f ca="1"/>
        <v>QUESO SEMIMADURO KIOSKO</v>
      </c>
      <c r="E144" s="111" t="str">
        <f ca="1"/>
        <v>QUESO HOLANDES KIOSKO TAJADO</v>
      </c>
      <c r="F144" s="120" t="str">
        <f ca="1"/>
        <v>GUAYAQUIL</v>
      </c>
      <c r="G144" s="120">
        <f ca="1"/>
        <v>7711</v>
      </c>
      <c r="H144" s="120">
        <f ca="1"/>
        <v>1001</v>
      </c>
      <c r="I144" s="120" t="str">
        <f ca="1"/>
        <v>5759</v>
      </c>
      <c r="J144" s="120" t="str">
        <f ca="1"/>
        <v>Q HOLAN KIOSKO 20 LONJ 300G</v>
      </c>
      <c r="K144" s="121">
        <f ca="1"/>
        <v>75</v>
      </c>
      <c r="L144" s="122">
        <f ca="1"/>
        <v>1</v>
      </c>
      <c r="M144" s="120">
        <f ca="1"/>
        <v>0.3</v>
      </c>
      <c r="N144" s="121">
        <f ca="1"/>
        <v>90</v>
      </c>
      <c r="O144" s="123">
        <f ca="1"/>
        <v>45609</v>
      </c>
      <c r="P144" s="123" t="str">
        <f ca="1"/>
        <v>miércoles</v>
      </c>
      <c r="Q144" s="124">
        <f ca="1"/>
        <v>45602</v>
      </c>
      <c r="R144" s="124">
        <f ca="1"/>
        <v>45691</v>
      </c>
      <c r="S144" s="90">
        <f ca="1"/>
        <v>67</v>
      </c>
      <c r="T144" s="139">
        <f ca="1"/>
        <v>0.74444444444444446</v>
      </c>
      <c r="U144" s="131">
        <f ca="1"/>
        <v>75</v>
      </c>
      <c r="V144" s="120">
        <f ca="1"/>
        <v>22.5</v>
      </c>
      <c r="W144" s="140">
        <f ca="1"/>
        <v>7</v>
      </c>
      <c r="X144" s="139">
        <f ca="1"/>
        <v>0.92222222222222228</v>
      </c>
      <c r="Y144" s="141">
        <f ca="1"/>
        <v>2.4232300000000002</v>
      </c>
      <c r="Z144" s="141">
        <f ca="1"/>
        <v>2.4232300000000002</v>
      </c>
      <c r="AA144" s="142">
        <f ca="1"/>
        <v>54.522675000000007</v>
      </c>
      <c r="AB144" s="138">
        <f ca="1"/>
        <v>15</v>
      </c>
      <c r="AC144" s="103" t="str">
        <f ca="1"/>
        <v>VIGENTE</v>
      </c>
      <c r="AD144" s="150">
        <f ca="1"/>
        <v>2.2499999999999999E-2</v>
      </c>
    </row>
    <row r="145" spans="1:30">
      <c r="A145" s="111" t="str">
        <f ca="1"/>
        <v>SAN GABRIEL</v>
      </c>
      <c r="B145" s="111" t="str">
        <f ca="1"/>
        <v>QUESOS Y GRASAS</v>
      </c>
      <c r="C145" s="111" t="str">
        <f ca="1"/>
        <v xml:space="preserve">Esteban Montenegro                      </v>
      </c>
      <c r="D145" s="111" t="str">
        <f ca="1"/>
        <v>QUESO SEMIMADURO KIOSKO</v>
      </c>
      <c r="E145" s="111" t="str">
        <f ca="1"/>
        <v>QUESO HOLANDES KIOSKO TAJADO</v>
      </c>
      <c r="F145" s="120" t="str">
        <f ca="1"/>
        <v>GUAYAQUIL</v>
      </c>
      <c r="G145" s="120">
        <f ca="1"/>
        <v>7711</v>
      </c>
      <c r="H145" s="120">
        <f ca="1"/>
        <v>1001</v>
      </c>
      <c r="I145" s="120" t="str">
        <f ca="1"/>
        <v>5759</v>
      </c>
      <c r="J145" s="120" t="str">
        <f ca="1"/>
        <v>Q HOLAN KIOSKO 20 LONJ 300G</v>
      </c>
      <c r="K145" s="121">
        <f ca="1"/>
        <v>75</v>
      </c>
      <c r="L145" s="122">
        <f ca="1"/>
        <v>1</v>
      </c>
      <c r="M145" s="120">
        <f ca="1"/>
        <v>0.3</v>
      </c>
      <c r="N145" s="121">
        <f ca="1"/>
        <v>90</v>
      </c>
      <c r="O145" s="123">
        <f ca="1"/>
        <v>45616</v>
      </c>
      <c r="P145" s="123" t="str">
        <f ca="1"/>
        <v>miércoles</v>
      </c>
      <c r="Q145" s="124">
        <f ca="1"/>
        <v>45610</v>
      </c>
      <c r="R145" s="124">
        <f ca="1"/>
        <v>45699</v>
      </c>
      <c r="S145" s="90">
        <f ca="1"/>
        <v>75</v>
      </c>
      <c r="T145" s="139">
        <f ca="1"/>
        <v>0.83333333333333337</v>
      </c>
      <c r="U145" s="131">
        <f ca="1"/>
        <v>75</v>
      </c>
      <c r="V145" s="120">
        <f ca="1"/>
        <v>22.5</v>
      </c>
      <c r="W145" s="140">
        <f ca="1"/>
        <v>6</v>
      </c>
      <c r="X145" s="139">
        <f ca="1"/>
        <v>0.93333333333333335</v>
      </c>
      <c r="Y145" s="141">
        <f ca="1"/>
        <v>2.4232300000000002</v>
      </c>
      <c r="Z145" s="141">
        <f ca="1"/>
        <v>2.4232300000000002</v>
      </c>
      <c r="AA145" s="142">
        <f ca="1"/>
        <v>54.522675000000007</v>
      </c>
      <c r="AB145" s="138">
        <f ca="1"/>
        <v>8</v>
      </c>
      <c r="AC145" s="103" t="str">
        <f ca="1"/>
        <v>VIGENTE</v>
      </c>
      <c r="AD145" s="150">
        <f ca="1"/>
        <v>2.2499999999999999E-2</v>
      </c>
    </row>
    <row r="146" spans="1:30">
      <c r="A146" s="111" t="str">
        <f ca="1"/>
        <v>SAN GABRIEL</v>
      </c>
      <c r="B146" s="111" t="str">
        <f ca="1"/>
        <v>QUESOS Y GRASAS</v>
      </c>
      <c r="C146" s="111" t="str">
        <f ca="1"/>
        <v xml:space="preserve">Esteban Montenegro                      </v>
      </c>
      <c r="D146" s="111" t="str">
        <f ca="1"/>
        <v>QUESO SEMIMADURO KIOSKO</v>
      </c>
      <c r="E146" s="111" t="str">
        <f ca="1"/>
        <v>QUESO HOLANDES KIOSKO TAJADO</v>
      </c>
      <c r="F146" s="120" t="str">
        <f ca="1"/>
        <v>GUAYAQUIL</v>
      </c>
      <c r="G146" s="120">
        <f ca="1"/>
        <v>7711</v>
      </c>
      <c r="H146" s="120">
        <f ca="1"/>
        <v>1001</v>
      </c>
      <c r="I146" s="120" t="str">
        <f ca="1"/>
        <v>5759</v>
      </c>
      <c r="J146" s="120" t="str">
        <f ca="1"/>
        <v>Q HOLAN KIOSKO 20 LONJ 300G</v>
      </c>
      <c r="K146" s="121">
        <f ca="1"/>
        <v>75</v>
      </c>
      <c r="L146" s="122">
        <f ca="1"/>
        <v>1</v>
      </c>
      <c r="M146" s="120">
        <f ca="1"/>
        <v>0.3</v>
      </c>
      <c r="N146" s="121">
        <f ca="1"/>
        <v>90</v>
      </c>
      <c r="O146" s="123">
        <f ca="1"/>
        <v>45617</v>
      </c>
      <c r="P146" s="123" t="str">
        <f ca="1"/>
        <v>jueves</v>
      </c>
      <c r="Q146" s="124">
        <f ca="1"/>
        <v>45610</v>
      </c>
      <c r="R146" s="124">
        <f ca="1"/>
        <v>45699</v>
      </c>
      <c r="S146" s="90">
        <f ca="1"/>
        <v>75</v>
      </c>
      <c r="T146" s="139">
        <f ca="1"/>
        <v>0.83333333333333337</v>
      </c>
      <c r="U146" s="131">
        <f ca="1"/>
        <v>75</v>
      </c>
      <c r="V146" s="120">
        <f ca="1"/>
        <v>22.5</v>
      </c>
      <c r="W146" s="140">
        <f ca="1"/>
        <v>7</v>
      </c>
      <c r="X146" s="139">
        <f ca="1"/>
        <v>0.92222222222222228</v>
      </c>
      <c r="Y146" s="141">
        <f ca="1"/>
        <v>2.4232300000000002</v>
      </c>
      <c r="Z146" s="141">
        <f ca="1"/>
        <v>2.4232300000000002</v>
      </c>
      <c r="AA146" s="142">
        <f ca="1"/>
        <v>54.522675000000007</v>
      </c>
      <c r="AB146" s="138">
        <f ca="1"/>
        <v>7</v>
      </c>
      <c r="AC146" s="103" t="str">
        <f ca="1"/>
        <v>VIGENTE</v>
      </c>
      <c r="AD146" s="150">
        <f ca="1"/>
        <v>2.2499999999999999E-2</v>
      </c>
    </row>
    <row r="147" spans="1:30">
      <c r="A147" s="111" t="str">
        <f ca="1"/>
        <v>SAN GABRIEL</v>
      </c>
      <c r="B147" s="111" t="str">
        <f ca="1"/>
        <v>QUESOS Y GRASAS</v>
      </c>
      <c r="C147" s="111" t="str">
        <f ca="1"/>
        <v xml:space="preserve">Esteban Montenegro                      </v>
      </c>
      <c r="D147" s="111" t="str">
        <f ca="1"/>
        <v>QUESO SEMIMADURO KIOSKO</v>
      </c>
      <c r="E147" s="111" t="str">
        <f ca="1"/>
        <v>QUESO HOLANDES KIOSKO TAJADO</v>
      </c>
      <c r="F147" s="120" t="str">
        <f ca="1"/>
        <v>GUAYAQUIL</v>
      </c>
      <c r="G147" s="120">
        <f ca="1"/>
        <v>7711</v>
      </c>
      <c r="H147" s="120">
        <f ca="1"/>
        <v>1001</v>
      </c>
      <c r="I147" s="120" t="str">
        <f ca="1"/>
        <v>5760</v>
      </c>
      <c r="J147" s="120" t="str">
        <f ca="1"/>
        <v>Q HOLAN KIOSKO 10 LONJ 150G</v>
      </c>
      <c r="K147" s="121">
        <f ca="1"/>
        <v>150</v>
      </c>
      <c r="L147" s="122">
        <f ca="1"/>
        <v>1</v>
      </c>
      <c r="M147" s="120">
        <f ca="1"/>
        <v>0.15</v>
      </c>
      <c r="N147" s="121">
        <f ca="1"/>
        <v>90</v>
      </c>
      <c r="O147" s="123">
        <f ca="1"/>
        <v>45609</v>
      </c>
      <c r="P147" s="123" t="str">
        <f ca="1"/>
        <v>miércoles</v>
      </c>
      <c r="Q147" s="124">
        <f ca="1"/>
        <v>45608</v>
      </c>
      <c r="R147" s="124">
        <f ca="1"/>
        <v>45697</v>
      </c>
      <c r="S147" s="90">
        <f ca="1"/>
        <v>73</v>
      </c>
      <c r="T147" s="139">
        <f ca="1"/>
        <v>0.81111111111111112</v>
      </c>
      <c r="U147" s="131">
        <f ca="1"/>
        <v>83</v>
      </c>
      <c r="V147" s="120">
        <f ca="1"/>
        <v>12.45</v>
      </c>
      <c r="W147" s="140">
        <f ca="1"/>
        <v>1</v>
      </c>
      <c r="X147" s="139">
        <f ca="1"/>
        <v>0.98888888888888893</v>
      </c>
      <c r="Y147" s="141">
        <f ca="1"/>
        <v>1.229355</v>
      </c>
      <c r="Z147" s="141">
        <f ca="1"/>
        <v>1.229355</v>
      </c>
      <c r="AA147" s="142">
        <f ca="1"/>
        <v>15.305469749999999</v>
      </c>
      <c r="AB147" s="138">
        <f ca="1"/>
        <v>15</v>
      </c>
      <c r="AC147" s="103" t="str">
        <f ca="1"/>
        <v>VIGENTE</v>
      </c>
      <c r="AD147" s="150">
        <f ca="1"/>
        <v>1.2449999999999999E-2</v>
      </c>
    </row>
    <row r="148" spans="1:30">
      <c r="A148" s="111" t="str">
        <f ca="1"/>
        <v>SAN GABRIEL</v>
      </c>
      <c r="B148" s="111" t="str">
        <f ca="1"/>
        <v>QUESOS Y GRASAS</v>
      </c>
      <c r="C148" s="111" t="str">
        <f ca="1"/>
        <v xml:space="preserve">Esteban Montenegro                      </v>
      </c>
      <c r="D148" s="111" t="str">
        <f ca="1"/>
        <v>QUESO SEMIMADURO KIOSKO</v>
      </c>
      <c r="E148" s="111" t="str">
        <f ca="1"/>
        <v>QUESO HOLANDES KIOSKO TAJADO</v>
      </c>
      <c r="F148" s="120" t="str">
        <f ca="1"/>
        <v>GUAYAQUIL</v>
      </c>
      <c r="G148" s="120">
        <f ca="1"/>
        <v>7711</v>
      </c>
      <c r="H148" s="120">
        <f ca="1"/>
        <v>1001</v>
      </c>
      <c r="I148" s="120" t="str">
        <f ca="1"/>
        <v>5760</v>
      </c>
      <c r="J148" s="120" t="str">
        <f ca="1"/>
        <v>Q HOLAN KIOSKO 10 LONJ 150G</v>
      </c>
      <c r="K148" s="121">
        <f ca="1"/>
        <v>150</v>
      </c>
      <c r="L148" s="122">
        <f ca="1"/>
        <v>1</v>
      </c>
      <c r="M148" s="120">
        <f ca="1"/>
        <v>0.15</v>
      </c>
      <c r="N148" s="121">
        <f ca="1"/>
        <v>90</v>
      </c>
      <c r="O148" s="123">
        <f ca="1"/>
        <v>45611</v>
      </c>
      <c r="P148" s="123" t="str">
        <f ca="1"/>
        <v>viernes</v>
      </c>
      <c r="Q148" s="124">
        <f ca="1"/>
        <v>45608</v>
      </c>
      <c r="R148" s="124">
        <f ca="1"/>
        <v>45697</v>
      </c>
      <c r="S148" s="90">
        <f ca="1"/>
        <v>73</v>
      </c>
      <c r="T148" s="139">
        <f ca="1"/>
        <v>0.81111111111111112</v>
      </c>
      <c r="U148" s="131">
        <f ca="1"/>
        <v>150</v>
      </c>
      <c r="V148" s="120">
        <f ca="1"/>
        <v>22.5</v>
      </c>
      <c r="W148" s="140">
        <f ca="1"/>
        <v>3</v>
      </c>
      <c r="X148" s="139">
        <f ca="1"/>
        <v>0.96666666666666667</v>
      </c>
      <c r="Y148" s="141">
        <f ca="1"/>
        <v>1.229355</v>
      </c>
      <c r="Z148" s="141">
        <f ca="1"/>
        <v>1.229355</v>
      </c>
      <c r="AA148" s="142">
        <f ca="1"/>
        <v>27.660487499999999</v>
      </c>
      <c r="AB148" s="138">
        <f ca="1"/>
        <v>13</v>
      </c>
      <c r="AC148" s="103" t="str">
        <f ca="1"/>
        <v>VIGENTE</v>
      </c>
      <c r="AD148" s="150">
        <f ca="1"/>
        <v>2.2499999999999999E-2</v>
      </c>
    </row>
    <row r="149" spans="1:30">
      <c r="A149" s="111" t="str">
        <f ca="1"/>
        <v>SAN GABRIEL</v>
      </c>
      <c r="B149" s="111" t="str">
        <f ca="1"/>
        <v>QUESOS Y GRASAS</v>
      </c>
      <c r="C149" s="111" t="str">
        <f ca="1"/>
        <v xml:space="preserve">Esteban Montenegro                      </v>
      </c>
      <c r="D149" s="111" t="str">
        <f ca="1"/>
        <v>QUESO SEMIMADURO KIOSKO</v>
      </c>
      <c r="E149" s="111" t="str">
        <f ca="1"/>
        <v>QUESO HOLANDES KIOSKO TAJADO</v>
      </c>
      <c r="F149" s="120" t="str">
        <f ca="1"/>
        <v>GUAYAQUIL</v>
      </c>
      <c r="G149" s="120">
        <f ca="1"/>
        <v>7711</v>
      </c>
      <c r="H149" s="120">
        <f ca="1"/>
        <v>1001</v>
      </c>
      <c r="I149" s="120" t="str">
        <f ca="1"/>
        <v>5760</v>
      </c>
      <c r="J149" s="120" t="str">
        <f ca="1"/>
        <v>Q HOLAN KIOSKO 10 LONJ 150G</v>
      </c>
      <c r="K149" s="121">
        <f ca="1"/>
        <v>150</v>
      </c>
      <c r="L149" s="122">
        <f ca="1"/>
        <v>1</v>
      </c>
      <c r="M149" s="120">
        <f ca="1"/>
        <v>0.15</v>
      </c>
      <c r="N149" s="121">
        <f ca="1"/>
        <v>90</v>
      </c>
      <c r="O149" s="123">
        <f ca="1"/>
        <v>45617</v>
      </c>
      <c r="P149" s="123" t="str">
        <f ca="1"/>
        <v>jueves</v>
      </c>
      <c r="Q149" s="124">
        <f ca="1"/>
        <v>45611</v>
      </c>
      <c r="R149" s="124">
        <f ca="1"/>
        <v>45700</v>
      </c>
      <c r="S149" s="90">
        <f ca="1"/>
        <v>76</v>
      </c>
      <c r="T149" s="139">
        <f ca="1"/>
        <v>0.84444444444444444</v>
      </c>
      <c r="U149" s="131">
        <f ca="1"/>
        <v>150</v>
      </c>
      <c r="V149" s="120">
        <f ca="1"/>
        <v>22.5</v>
      </c>
      <c r="W149" s="140">
        <f ca="1"/>
        <v>6</v>
      </c>
      <c r="X149" s="139">
        <f ca="1"/>
        <v>0.93333333333333335</v>
      </c>
      <c r="Y149" s="141">
        <f ca="1"/>
        <v>1.229355</v>
      </c>
      <c r="Z149" s="141">
        <f ca="1"/>
        <v>1.229355</v>
      </c>
      <c r="AA149" s="142">
        <f ca="1"/>
        <v>27.660487499999999</v>
      </c>
      <c r="AB149" s="138">
        <f ca="1"/>
        <v>7</v>
      </c>
      <c r="AC149" s="103" t="str">
        <f ca="1"/>
        <v>VIGENTE</v>
      </c>
      <c r="AD149" s="150">
        <f ca="1"/>
        <v>2.2499999999999999E-2</v>
      </c>
    </row>
    <row r="150" spans="1:30">
      <c r="A150" s="111" t="str">
        <f ca="1"/>
        <v>SAN GABRIEL</v>
      </c>
      <c r="B150" s="111" t="str">
        <f ca="1"/>
        <v>QUESOS Y GRASAS</v>
      </c>
      <c r="C150" s="111" t="str">
        <f ca="1"/>
        <v xml:space="preserve">Esteban Montenegro                      </v>
      </c>
      <c r="D150" s="111" t="str">
        <f ca="1"/>
        <v>QUESO SEMIMADURO KIOSKO</v>
      </c>
      <c r="E150" s="111" t="str">
        <f ca="1"/>
        <v>QUESO JAVIERINO KIOSKO BLOQUE</v>
      </c>
      <c r="F150" s="120" t="str">
        <f ca="1"/>
        <v>GUAYAQUIL</v>
      </c>
      <c r="G150" s="120">
        <f ca="1"/>
        <v>7711</v>
      </c>
      <c r="H150" s="120">
        <f ca="1"/>
        <v>1001</v>
      </c>
      <c r="I150" s="120" t="str">
        <f ca="1"/>
        <v>5764</v>
      </c>
      <c r="J150" s="120" t="str">
        <f ca="1"/>
        <v>Q JAVIER KIOSKO AL PESO</v>
      </c>
      <c r="K150" s="121">
        <f ca="1"/>
        <v>40</v>
      </c>
      <c r="L150" s="122">
        <f ca="1"/>
        <v>2.7</v>
      </c>
      <c r="M150" s="120">
        <f ca="1"/>
        <v>1</v>
      </c>
      <c r="N150" s="121">
        <f ca="1"/>
        <v>90</v>
      </c>
      <c r="O150" s="123">
        <f ca="1"/>
        <v>45611</v>
      </c>
      <c r="P150" s="123" t="str">
        <f ca="1"/>
        <v>viernes</v>
      </c>
      <c r="Q150" s="124">
        <f ca="1"/>
        <v>45608</v>
      </c>
      <c r="R150" s="124">
        <f ca="1"/>
        <v>45697</v>
      </c>
      <c r="S150" s="90">
        <f ca="1"/>
        <v>73</v>
      </c>
      <c r="T150" s="139">
        <f ca="1"/>
        <v>0.81111111111111112</v>
      </c>
      <c r="U150" s="131">
        <f ca="1"/>
        <v>34</v>
      </c>
      <c r="V150" s="120">
        <f ca="1"/>
        <v>91.800000000000011</v>
      </c>
      <c r="W150" s="140">
        <f ca="1"/>
        <v>3</v>
      </c>
      <c r="X150" s="139">
        <f ca="1"/>
        <v>0.96666666666666667</v>
      </c>
      <c r="Y150" s="141">
        <f ca="1"/>
        <v>6.2949450000000002</v>
      </c>
      <c r="Z150" s="141">
        <f ca="1"/>
        <v>16.996351500000003</v>
      </c>
      <c r="AA150" s="142">
        <f ca="1"/>
        <v>1560.2650677000004</v>
      </c>
      <c r="AB150" s="138">
        <f ca="1"/>
        <v>13</v>
      </c>
      <c r="AC150" s="103" t="str">
        <f ca="1"/>
        <v>VIGENTE</v>
      </c>
      <c r="AD150" s="150">
        <f ca="1"/>
        <v>9.1800000000000007E-2</v>
      </c>
    </row>
    <row r="151" spans="1:30">
      <c r="A151" s="111" t="str">
        <f ca="1"/>
        <v>SAN GABRIEL</v>
      </c>
      <c r="B151" s="111" t="str">
        <f ca="1"/>
        <v>QUESOS Y GRASAS</v>
      </c>
      <c r="C151" s="111" t="str">
        <f ca="1"/>
        <v xml:space="preserve">Esteban Montenegro                      </v>
      </c>
      <c r="D151" s="111" t="str">
        <f ca="1"/>
        <v>QUESO SEMIMADURO KIOSKO</v>
      </c>
      <c r="E151" s="111" t="str">
        <f ca="1"/>
        <v>QUESO JAVIERINO KIOSKO BLOQUE</v>
      </c>
      <c r="F151" s="120" t="str">
        <f ca="1"/>
        <v>GUAYAQUIL</v>
      </c>
      <c r="G151" s="120">
        <f ca="1"/>
        <v>7711</v>
      </c>
      <c r="H151" s="120">
        <f ca="1"/>
        <v>1001</v>
      </c>
      <c r="I151" s="120" t="str">
        <f ca="1"/>
        <v>5764</v>
      </c>
      <c r="J151" s="120" t="str">
        <f ca="1"/>
        <v>Q JAVIER KIOSKO AL PESO</v>
      </c>
      <c r="K151" s="121">
        <f ca="1"/>
        <v>45</v>
      </c>
      <c r="L151" s="122">
        <f ca="1"/>
        <v>2.7</v>
      </c>
      <c r="M151" s="120">
        <f ca="1"/>
        <v>1</v>
      </c>
      <c r="N151" s="121">
        <f ca="1"/>
        <v>90</v>
      </c>
      <c r="O151" s="123">
        <f ca="1"/>
        <v>45615</v>
      </c>
      <c r="P151" s="123" t="str">
        <f ca="1"/>
        <v>martes</v>
      </c>
      <c r="Q151" s="124">
        <f ca="1"/>
        <v>45608</v>
      </c>
      <c r="R151" s="124">
        <f ca="1"/>
        <v>45697</v>
      </c>
      <c r="S151" s="90">
        <f ca="1"/>
        <v>73</v>
      </c>
      <c r="T151" s="139">
        <f ca="1"/>
        <v>0.81111111111111112</v>
      </c>
      <c r="U151" s="131">
        <f ca="1"/>
        <v>45</v>
      </c>
      <c r="V151" s="120">
        <f ca="1"/>
        <v>121.50000000000001</v>
      </c>
      <c r="W151" s="140">
        <f ca="1"/>
        <v>7</v>
      </c>
      <c r="X151" s="139">
        <f ca="1"/>
        <v>0.92222222222222228</v>
      </c>
      <c r="Y151" s="141">
        <f ca="1"/>
        <v>6.2949450000000002</v>
      </c>
      <c r="Z151" s="141">
        <f ca="1"/>
        <v>16.996351500000003</v>
      </c>
      <c r="AA151" s="142">
        <f ca="1"/>
        <v>2065.0567072500007</v>
      </c>
      <c r="AB151" s="138">
        <f ca="1"/>
        <v>9</v>
      </c>
      <c r="AC151" s="103" t="str">
        <f ca="1"/>
        <v>VIGENTE</v>
      </c>
      <c r="AD151" s="150">
        <f ca="1"/>
        <v>0.12150000000000001</v>
      </c>
    </row>
    <row r="152" spans="1:30">
      <c r="A152" s="111" t="str">
        <f ca="1"/>
        <v>SAN GABRIEL</v>
      </c>
      <c r="B152" s="111" t="str">
        <f ca="1"/>
        <v>QUESOS Y GRASAS</v>
      </c>
      <c r="C152" s="111" t="str">
        <f ca="1"/>
        <v xml:space="preserve">Esteban Montenegro                      </v>
      </c>
      <c r="D152" s="111" t="str">
        <f ca="1"/>
        <v>QUESO SEMIMADURO KIOSKO</v>
      </c>
      <c r="E152" s="111" t="str">
        <f ca="1"/>
        <v>QUESO JAVIERINO KIOSKO BLOQUE</v>
      </c>
      <c r="F152" s="120" t="str">
        <f ca="1"/>
        <v>GUAYAQUIL</v>
      </c>
      <c r="G152" s="120">
        <f ca="1"/>
        <v>7711</v>
      </c>
      <c r="H152" s="120">
        <f ca="1"/>
        <v>1001</v>
      </c>
      <c r="I152" s="120" t="str">
        <f ca="1"/>
        <v>5764</v>
      </c>
      <c r="J152" s="120" t="str">
        <f ca="1"/>
        <v>Q JAVIER KIOSKO AL PESO</v>
      </c>
      <c r="K152" s="121">
        <f ca="1"/>
        <v>50</v>
      </c>
      <c r="L152" s="122">
        <f ca="1"/>
        <v>2.7</v>
      </c>
      <c r="M152" s="120">
        <f ca="1"/>
        <v>1</v>
      </c>
      <c r="N152" s="121">
        <f ca="1"/>
        <v>90</v>
      </c>
      <c r="O152" s="123">
        <f ca="1"/>
        <v>45617</v>
      </c>
      <c r="P152" s="123" t="str">
        <f ca="1"/>
        <v>jueves</v>
      </c>
      <c r="Q152" s="124">
        <f ca="1"/>
        <v>45608</v>
      </c>
      <c r="R152" s="124">
        <f ca="1"/>
        <v>45697</v>
      </c>
      <c r="S152" s="90">
        <f ca="1"/>
        <v>73</v>
      </c>
      <c r="T152" s="139">
        <f ca="1"/>
        <v>0.81111111111111112</v>
      </c>
      <c r="U152" s="131">
        <f ca="1"/>
        <v>50</v>
      </c>
      <c r="V152" s="120">
        <f ca="1"/>
        <v>135</v>
      </c>
      <c r="W152" s="140">
        <f ca="1"/>
        <v>9</v>
      </c>
      <c r="X152" s="139">
        <f ca="1"/>
        <v>0.9</v>
      </c>
      <c r="Y152" s="141">
        <f ca="1"/>
        <v>6.2949450000000002</v>
      </c>
      <c r="Z152" s="141">
        <f ca="1"/>
        <v>16.996351500000003</v>
      </c>
      <c r="AA152" s="142">
        <f ca="1"/>
        <v>2294.5074525000005</v>
      </c>
      <c r="AB152" s="138">
        <f ca="1"/>
        <v>7</v>
      </c>
      <c r="AC152" s="103" t="str">
        <f ca="1"/>
        <v>VIGENTE</v>
      </c>
      <c r="AD152" s="150">
        <f ca="1"/>
        <v>0.13500000000000001</v>
      </c>
    </row>
    <row r="153" spans="1:30">
      <c r="A153" s="111" t="str">
        <f ca="1"/>
        <v>SAN GABRIEL</v>
      </c>
      <c r="B153" s="111" t="str">
        <f ca="1"/>
        <v>QUESOS Y GRASAS</v>
      </c>
      <c r="C153" s="111" t="str">
        <f ca="1"/>
        <v xml:space="preserve">Esteban Montenegro                      </v>
      </c>
      <c r="D153" s="111" t="str">
        <f ca="1"/>
        <v>QUESO SEMIMADURO KIOSKO</v>
      </c>
      <c r="E153" s="111" t="str">
        <f ca="1"/>
        <v>QUESO JAVIERINO KIOSKO TAJADO</v>
      </c>
      <c r="F153" s="120" t="str">
        <f ca="1"/>
        <v>GUAYAQUIL</v>
      </c>
      <c r="G153" s="120">
        <f ca="1"/>
        <v>7711</v>
      </c>
      <c r="H153" s="120">
        <f ca="1"/>
        <v>1001</v>
      </c>
      <c r="I153" s="120" t="str">
        <f ca="1"/>
        <v>5766</v>
      </c>
      <c r="J153" s="120" t="str">
        <f ca="1"/>
        <v>Q JAVIER KIOSKO 10 LONJ 150G</v>
      </c>
      <c r="K153" s="121">
        <f ca="1"/>
        <v>150</v>
      </c>
      <c r="L153" s="122">
        <f ca="1"/>
        <v>1</v>
      </c>
      <c r="M153" s="120">
        <f ca="1"/>
        <v>0.15</v>
      </c>
      <c r="N153" s="121">
        <f ca="1"/>
        <v>90</v>
      </c>
      <c r="O153" s="123">
        <f ca="1"/>
        <v>45611</v>
      </c>
      <c r="P153" s="123" t="str">
        <f ca="1"/>
        <v>viernes</v>
      </c>
      <c r="Q153" s="124">
        <f ca="1"/>
        <v>45604</v>
      </c>
      <c r="R153" s="124">
        <f ca="1"/>
        <v>45693</v>
      </c>
      <c r="S153" s="90">
        <f ca="1"/>
        <v>69</v>
      </c>
      <c r="T153" s="139">
        <f ca="1"/>
        <v>0.76666666666666672</v>
      </c>
      <c r="U153" s="131">
        <f ca="1"/>
        <v>150</v>
      </c>
      <c r="V153" s="120">
        <f ca="1"/>
        <v>22.5</v>
      </c>
      <c r="W153" s="140">
        <f ca="1"/>
        <v>7</v>
      </c>
      <c r="X153" s="139">
        <f ca="1"/>
        <v>0.92222222222222228</v>
      </c>
      <c r="Y153" s="141">
        <f ca="1"/>
        <v>1.2392050000000001</v>
      </c>
      <c r="Z153" s="141">
        <f ca="1"/>
        <v>1.2392050000000001</v>
      </c>
      <c r="AA153" s="142">
        <f ca="1"/>
        <v>27.882112500000002</v>
      </c>
      <c r="AB153" s="138">
        <f ca="1"/>
        <v>13</v>
      </c>
      <c r="AC153" s="103" t="str">
        <f ca="1"/>
        <v>VIGENTE</v>
      </c>
      <c r="AD153" s="150">
        <f ca="1"/>
        <v>2.2499999999999999E-2</v>
      </c>
    </row>
    <row r="154" spans="1:30">
      <c r="A154" s="111" t="str">
        <f ca="1"/>
        <v>SAN GABRIEL</v>
      </c>
      <c r="B154" s="111" t="str">
        <f ca="1"/>
        <v>QUESOS Y GRASAS</v>
      </c>
      <c r="C154" s="111" t="str">
        <f ca="1"/>
        <v xml:space="preserve">Esteban Montenegro                      </v>
      </c>
      <c r="D154" s="111" t="str">
        <f ca="1"/>
        <v>QUESO SEMIMADURO KIOSKO</v>
      </c>
      <c r="E154" s="111" t="str">
        <f ca="1"/>
        <v>QUESO JAVIERINO KIOSKO TAJADO</v>
      </c>
      <c r="F154" s="120" t="str">
        <f ca="1"/>
        <v>GUAYAQUIL</v>
      </c>
      <c r="G154" s="120">
        <f ca="1"/>
        <v>7711</v>
      </c>
      <c r="H154" s="120">
        <f ca="1"/>
        <v>1001</v>
      </c>
      <c r="I154" s="120" t="str">
        <f ca="1"/>
        <v>5766</v>
      </c>
      <c r="J154" s="120" t="str">
        <f ca="1"/>
        <v>Q JAVIER KIOSKO 10 LONJ 150G</v>
      </c>
      <c r="K154" s="121">
        <f ca="1"/>
        <v>150</v>
      </c>
      <c r="L154" s="122">
        <f ca="1"/>
        <v>1</v>
      </c>
      <c r="M154" s="120">
        <f ca="1"/>
        <v>0.15</v>
      </c>
      <c r="N154" s="121">
        <f ca="1"/>
        <v>90</v>
      </c>
      <c r="O154" s="123">
        <f ca="1"/>
        <v>45610</v>
      </c>
      <c r="P154" s="123" t="str">
        <f ca="1"/>
        <v>jueves</v>
      </c>
      <c r="Q154" s="124">
        <f ca="1"/>
        <v>45604</v>
      </c>
      <c r="R154" s="124">
        <f ca="1"/>
        <v>45693</v>
      </c>
      <c r="S154" s="90">
        <f ca="1"/>
        <v>69</v>
      </c>
      <c r="T154" s="139">
        <f ca="1"/>
        <v>0.76666666666666672</v>
      </c>
      <c r="U154" s="131">
        <f ca="1"/>
        <v>89</v>
      </c>
      <c r="V154" s="120">
        <f ca="1"/>
        <v>13.35</v>
      </c>
      <c r="W154" s="140">
        <f ca="1"/>
        <v>6</v>
      </c>
      <c r="X154" s="139">
        <f ca="1"/>
        <v>0.93333333333333335</v>
      </c>
      <c r="Y154" s="141">
        <f ca="1"/>
        <v>1.2392050000000001</v>
      </c>
      <c r="Z154" s="141">
        <f ca="1"/>
        <v>1.2392050000000001</v>
      </c>
      <c r="AA154" s="142">
        <f ca="1"/>
        <v>16.54338675</v>
      </c>
      <c r="AB154" s="138">
        <f ca="1"/>
        <v>14</v>
      </c>
      <c r="AC154" s="103" t="str">
        <f ca="1"/>
        <v>VIGENTE</v>
      </c>
      <c r="AD154" s="150">
        <f ca="1"/>
        <v>1.3349999999999999E-2</v>
      </c>
    </row>
    <row r="155" spans="1:30">
      <c r="A155" s="111" t="str">
        <f ca="1"/>
        <v>SAN GABRIEL</v>
      </c>
      <c r="B155" s="111" t="str">
        <f ca="1"/>
        <v>QUESOS Y GRASAS</v>
      </c>
      <c r="C155" s="111" t="str">
        <f ca="1"/>
        <v xml:space="preserve">Esteban Montenegro                      </v>
      </c>
      <c r="D155" s="111" t="str">
        <f ca="1"/>
        <v>QUESO SEMIMADURO KIOSKO</v>
      </c>
      <c r="E155" s="111" t="str">
        <f ca="1"/>
        <v>QUESO JAVIERINO KIOSKO TAJADO</v>
      </c>
      <c r="F155" s="120" t="str">
        <f ca="1"/>
        <v>GUAYAQUIL</v>
      </c>
      <c r="G155" s="120">
        <f ca="1"/>
        <v>7711</v>
      </c>
      <c r="H155" s="120">
        <f ca="1"/>
        <v>1001</v>
      </c>
      <c r="I155" s="120" t="str">
        <f ca="1"/>
        <v>5766</v>
      </c>
      <c r="J155" s="120" t="str">
        <f ca="1"/>
        <v>Q JAVIER KIOSKO 10 LONJ 150G</v>
      </c>
      <c r="K155" s="121">
        <f ca="1"/>
        <v>150</v>
      </c>
      <c r="L155" s="122">
        <f ca="1"/>
        <v>1</v>
      </c>
      <c r="M155" s="120">
        <f ca="1"/>
        <v>0.15</v>
      </c>
      <c r="N155" s="121">
        <f ca="1"/>
        <v>90</v>
      </c>
      <c r="O155" s="123">
        <f ca="1"/>
        <v>45617</v>
      </c>
      <c r="P155" s="123" t="str">
        <f ca="1"/>
        <v>jueves</v>
      </c>
      <c r="Q155" s="124">
        <f ca="1"/>
        <v>45604</v>
      </c>
      <c r="R155" s="124">
        <f ca="1"/>
        <v>45693</v>
      </c>
      <c r="S155" s="90">
        <f ca="1"/>
        <v>69</v>
      </c>
      <c r="T155" s="139">
        <f ca="1"/>
        <v>0.76666666666666672</v>
      </c>
      <c r="U155" s="131">
        <f ca="1"/>
        <v>150</v>
      </c>
      <c r="V155" s="120">
        <f ca="1"/>
        <v>22.5</v>
      </c>
      <c r="W155" s="140">
        <f ca="1"/>
        <v>13</v>
      </c>
      <c r="X155" s="139">
        <f ca="1"/>
        <v>0.85555555555555562</v>
      </c>
      <c r="Y155" s="141">
        <f ca="1"/>
        <v>1.2392050000000001</v>
      </c>
      <c r="Z155" s="141">
        <f ca="1"/>
        <v>1.2392050000000001</v>
      </c>
      <c r="AA155" s="142">
        <f ca="1"/>
        <v>27.882112500000002</v>
      </c>
      <c r="AB155" s="138">
        <f ca="1"/>
        <v>7</v>
      </c>
      <c r="AC155" s="103" t="str">
        <f ca="1"/>
        <v>VIGENTE</v>
      </c>
      <c r="AD155" s="150">
        <f ca="1"/>
        <v>2.2499999999999999E-2</v>
      </c>
    </row>
    <row r="156" spans="1:30">
      <c r="A156" s="111" t="str">
        <f ca="1"/>
        <v>SAN GABRIEL</v>
      </c>
      <c r="B156" s="111" t="str">
        <f ca="1"/>
        <v>QUESOS Y GRASAS</v>
      </c>
      <c r="C156" s="111" t="str">
        <f ca="1"/>
        <v xml:space="preserve">Esteban Montenegro                      </v>
      </c>
      <c r="D156" s="111" t="str">
        <f ca="1"/>
        <v>QUESO SEMIMADURO KIOSKO</v>
      </c>
      <c r="E156" s="111" t="str">
        <f ca="1"/>
        <v>QUESO JAVIERINO KIOSKO TAJADO</v>
      </c>
      <c r="F156" s="120" t="str">
        <f ca="1"/>
        <v>GUAYAQUIL</v>
      </c>
      <c r="G156" s="120">
        <f ca="1"/>
        <v>7711</v>
      </c>
      <c r="H156" s="120">
        <f ca="1"/>
        <v>1001</v>
      </c>
      <c r="I156" s="120" t="str">
        <f ca="1"/>
        <v>5767</v>
      </c>
      <c r="J156" s="120" t="str">
        <f ca="1"/>
        <v>Q JAVIER KIOSKO LONJ AL PESO</v>
      </c>
      <c r="K156" s="121">
        <f ca="1"/>
        <v>50</v>
      </c>
      <c r="L156" s="122">
        <f ca="1"/>
        <v>2.5</v>
      </c>
      <c r="M156" s="120">
        <f ca="1"/>
        <v>1</v>
      </c>
      <c r="N156" s="121">
        <f ca="1"/>
        <v>90</v>
      </c>
      <c r="O156" s="123">
        <f ca="1"/>
        <v>45611</v>
      </c>
      <c r="P156" s="123" t="str">
        <f ca="1"/>
        <v>viernes</v>
      </c>
      <c r="Q156" s="124">
        <f ca="1"/>
        <v>45609</v>
      </c>
      <c r="R156" s="124">
        <f ca="1"/>
        <v>45698</v>
      </c>
      <c r="S156" s="90">
        <f ca="1"/>
        <v>74</v>
      </c>
      <c r="T156" s="139">
        <f ca="1"/>
        <v>0.82222222222222219</v>
      </c>
      <c r="U156" s="131">
        <f ca="1"/>
        <v>50</v>
      </c>
      <c r="V156" s="120">
        <f ca="1"/>
        <v>125</v>
      </c>
      <c r="W156" s="140">
        <f ca="1"/>
        <v>2</v>
      </c>
      <c r="X156" s="139">
        <f ca="1"/>
        <v>0.97777777777777775</v>
      </c>
      <c r="Y156" s="141">
        <f ca="1"/>
        <v>7.5779500000000004</v>
      </c>
      <c r="Z156" s="141">
        <f ca="1"/>
        <v>18.944875</v>
      </c>
      <c r="AA156" s="142">
        <f ca="1"/>
        <v>2368.109375</v>
      </c>
      <c r="AB156" s="138">
        <f ca="1"/>
        <v>13</v>
      </c>
      <c r="AC156" s="103" t="str">
        <f ca="1"/>
        <v>VIGENTE</v>
      </c>
      <c r="AD156" s="150">
        <f ca="1"/>
        <v>0.125</v>
      </c>
    </row>
    <row r="157" spans="1:30">
      <c r="A157" s="111" t="str">
        <f ca="1"/>
        <v>SAN GABRIEL</v>
      </c>
      <c r="B157" s="111" t="str">
        <f ca="1"/>
        <v>QUESOS Y GRASAS</v>
      </c>
      <c r="C157" s="111" t="str">
        <f ca="1"/>
        <v xml:space="preserve">Esteban Montenegro                      </v>
      </c>
      <c r="D157" s="111" t="str">
        <f ca="1"/>
        <v>QUESO SEMIMADURO KIOSKO</v>
      </c>
      <c r="E157" s="111" t="str">
        <f ca="1"/>
        <v>QUESO JAVIERINO KIOSKO TAJADO</v>
      </c>
      <c r="F157" s="120" t="str">
        <f ca="1"/>
        <v>GUAYAQUIL</v>
      </c>
      <c r="G157" s="120">
        <f ca="1"/>
        <v>7711</v>
      </c>
      <c r="H157" s="120">
        <f ca="1"/>
        <v>1001</v>
      </c>
      <c r="I157" s="120" t="str">
        <f ca="1"/>
        <v>5767</v>
      </c>
      <c r="J157" s="120" t="str">
        <f ca="1"/>
        <v>Q JAVIER KIOSKO LONJ AL PESO</v>
      </c>
      <c r="K157" s="121">
        <f ca="1"/>
        <v>60</v>
      </c>
      <c r="L157" s="122">
        <f ca="1"/>
        <v>2.5</v>
      </c>
      <c r="M157" s="120">
        <f ca="1"/>
        <v>1</v>
      </c>
      <c r="N157" s="121">
        <f ca="1"/>
        <v>90</v>
      </c>
      <c r="O157" s="123">
        <f ca="1"/>
        <v>45610</v>
      </c>
      <c r="P157" s="123" t="str">
        <f ca="1"/>
        <v>jueves</v>
      </c>
      <c r="Q157" s="124">
        <f ca="1"/>
        <v>45608</v>
      </c>
      <c r="R157" s="124">
        <f ca="1"/>
        <v>45697</v>
      </c>
      <c r="S157" s="90">
        <f ca="1"/>
        <v>73</v>
      </c>
      <c r="T157" s="139">
        <f ca="1"/>
        <v>0.81111111111111112</v>
      </c>
      <c r="U157" s="131">
        <f ca="1"/>
        <v>13</v>
      </c>
      <c r="V157" s="120">
        <f ca="1"/>
        <v>32.5</v>
      </c>
      <c r="W157" s="140">
        <f ca="1"/>
        <v>2</v>
      </c>
      <c r="X157" s="139">
        <f ca="1"/>
        <v>0.97777777777777775</v>
      </c>
      <c r="Y157" s="141">
        <f ca="1"/>
        <v>7.5779500000000004</v>
      </c>
      <c r="Z157" s="141">
        <f ca="1"/>
        <v>18.944875</v>
      </c>
      <c r="AA157" s="142">
        <f ca="1"/>
        <v>615.70843749999995</v>
      </c>
      <c r="AB157" s="138">
        <f ca="1"/>
        <v>14</v>
      </c>
      <c r="AC157" s="103" t="str">
        <f ca="1"/>
        <v>VIGENTE</v>
      </c>
      <c r="AD157" s="150">
        <f ca="1"/>
        <v>3.2500000000000001E-2</v>
      </c>
    </row>
    <row r="158" spans="1:30">
      <c r="A158" s="111" t="str">
        <f ca="1"/>
        <v>SAN GABRIEL</v>
      </c>
      <c r="B158" s="111" t="str">
        <f ca="1"/>
        <v>QUESOS Y GRASAS</v>
      </c>
      <c r="C158" s="111" t="str">
        <f ca="1"/>
        <v xml:space="preserve">Esteban Montenegro                      </v>
      </c>
      <c r="D158" s="111" t="str">
        <f ca="1"/>
        <v>QUESO SEMIMADURO KIOSKO</v>
      </c>
      <c r="E158" s="111" t="str">
        <f ca="1"/>
        <v>QUESO JAVIERINO KIOSKO TAJADO</v>
      </c>
      <c r="F158" s="120" t="str">
        <f ca="1"/>
        <v>GUAYAQUIL</v>
      </c>
      <c r="G158" s="120">
        <f ca="1"/>
        <v>7711</v>
      </c>
      <c r="H158" s="120">
        <f ca="1"/>
        <v>1001</v>
      </c>
      <c r="I158" s="120" t="str">
        <f ca="1"/>
        <v>5767</v>
      </c>
      <c r="J158" s="120" t="str">
        <f ca="1"/>
        <v>Q JAVIER KIOSKO LONJ AL PESO</v>
      </c>
      <c r="K158" s="121">
        <f ca="1"/>
        <v>40</v>
      </c>
      <c r="L158" s="122">
        <f ca="1"/>
        <v>2.5</v>
      </c>
      <c r="M158" s="120">
        <f ca="1"/>
        <v>1</v>
      </c>
      <c r="N158" s="121">
        <f ca="1"/>
        <v>90</v>
      </c>
      <c r="O158" s="123">
        <f ca="1"/>
        <v>45615</v>
      </c>
      <c r="P158" s="123" t="str">
        <f ca="1"/>
        <v>martes</v>
      </c>
      <c r="Q158" s="124">
        <f ca="1"/>
        <v>45611</v>
      </c>
      <c r="R158" s="124">
        <f ca="1"/>
        <v>45700</v>
      </c>
      <c r="S158" s="90">
        <f ca="1"/>
        <v>76</v>
      </c>
      <c r="T158" s="139">
        <f ca="1"/>
        <v>0.84444444444444444</v>
      </c>
      <c r="U158" s="131">
        <f ca="1"/>
        <v>40</v>
      </c>
      <c r="V158" s="120">
        <f ca="1"/>
        <v>100</v>
      </c>
      <c r="W158" s="140">
        <f ca="1"/>
        <v>4</v>
      </c>
      <c r="X158" s="139">
        <f ca="1"/>
        <v>0.9555555555555556</v>
      </c>
      <c r="Y158" s="141">
        <f ca="1"/>
        <v>7.5779500000000004</v>
      </c>
      <c r="Z158" s="141">
        <f ca="1"/>
        <v>18.944875</v>
      </c>
      <c r="AA158" s="142">
        <f ca="1"/>
        <v>1894.4875</v>
      </c>
      <c r="AB158" s="138">
        <f ca="1"/>
        <v>9</v>
      </c>
      <c r="AC158" s="103" t="str">
        <f ca="1"/>
        <v>VIGENTE</v>
      </c>
      <c r="AD158" s="150">
        <f ca="1"/>
        <v>0.1</v>
      </c>
    </row>
    <row r="159" spans="1:30">
      <c r="A159" s="111" t="str">
        <f ca="1"/>
        <v>SAN GABRIEL</v>
      </c>
      <c r="B159" s="111" t="str">
        <f ca="1"/>
        <v>QUESOS Y GRASAS</v>
      </c>
      <c r="C159" s="111" t="str">
        <f ca="1"/>
        <v xml:space="preserve">Esteban Montenegro                      </v>
      </c>
      <c r="D159" s="111" t="str">
        <f ca="1"/>
        <v>QUESO SEMIMADURO KIOSKO</v>
      </c>
      <c r="E159" s="111" t="str">
        <f ca="1"/>
        <v>QUESO JAVIERINO KIOSKO TAJADO</v>
      </c>
      <c r="F159" s="120" t="str">
        <f ca="1"/>
        <v>GUAYAQUIL</v>
      </c>
      <c r="G159" s="120">
        <f ca="1"/>
        <v>7711</v>
      </c>
      <c r="H159" s="120">
        <f ca="1"/>
        <v>1001</v>
      </c>
      <c r="I159" s="120" t="str">
        <f ca="1"/>
        <v>5767</v>
      </c>
      <c r="J159" s="120" t="str">
        <f ca="1"/>
        <v>Q JAVIER KIOSKO LONJ AL PESO</v>
      </c>
      <c r="K159" s="121">
        <f ca="1"/>
        <v>20</v>
      </c>
      <c r="L159" s="122">
        <f ca="1"/>
        <v>2.5</v>
      </c>
      <c r="M159" s="120">
        <f ca="1"/>
        <v>1</v>
      </c>
      <c r="N159" s="121">
        <f ca="1"/>
        <v>90</v>
      </c>
      <c r="O159" s="123">
        <f ca="1"/>
        <v>45616</v>
      </c>
      <c r="P159" s="123" t="str">
        <f ca="1"/>
        <v>miércoles</v>
      </c>
      <c r="Q159" s="124">
        <f ca="1"/>
        <v>45611</v>
      </c>
      <c r="R159" s="124">
        <f ca="1"/>
        <v>45700</v>
      </c>
      <c r="S159" s="90">
        <f ca="1"/>
        <v>76</v>
      </c>
      <c r="T159" s="139">
        <f ca="1"/>
        <v>0.84444444444444444</v>
      </c>
      <c r="U159" s="131">
        <f ca="1"/>
        <v>20</v>
      </c>
      <c r="V159" s="120">
        <f ca="1"/>
        <v>50</v>
      </c>
      <c r="W159" s="140">
        <f ca="1"/>
        <v>5</v>
      </c>
      <c r="X159" s="139">
        <f ca="1"/>
        <v>0.94444444444444442</v>
      </c>
      <c r="Y159" s="141">
        <f ca="1"/>
        <v>7.5779500000000004</v>
      </c>
      <c r="Z159" s="141">
        <f ca="1"/>
        <v>18.944875</v>
      </c>
      <c r="AA159" s="142">
        <f ca="1"/>
        <v>947.24374999999998</v>
      </c>
      <c r="AB159" s="138">
        <f ca="1"/>
        <v>8</v>
      </c>
      <c r="AC159" s="103" t="str">
        <f ca="1"/>
        <v>VIGENTE</v>
      </c>
      <c r="AD159" s="150">
        <f ca="1"/>
        <v>0.05</v>
      </c>
    </row>
    <row r="160" spans="1:30">
      <c r="A160" s="111" t="str">
        <f ca="1"/>
        <v>SAN GABRIEL</v>
      </c>
      <c r="B160" s="111" t="str">
        <f ca="1"/>
        <v>QUESOS Y GRASAS</v>
      </c>
      <c r="C160" s="111" t="str">
        <f ca="1"/>
        <v xml:space="preserve">Esteban Montenegro                      </v>
      </c>
      <c r="D160" s="111" t="str">
        <f ca="1"/>
        <v>QUESO SEMIMADURO KIOSKO</v>
      </c>
      <c r="E160" s="111" t="str">
        <f ca="1"/>
        <v>QUESO JAVIERINO KIOSKO TAJADO</v>
      </c>
      <c r="F160" s="120" t="str">
        <f ca="1"/>
        <v>GUAYAQUIL</v>
      </c>
      <c r="G160" s="120">
        <f ca="1"/>
        <v>7711</v>
      </c>
      <c r="H160" s="120">
        <f ca="1"/>
        <v>1001</v>
      </c>
      <c r="I160" s="120" t="str">
        <f ca="1"/>
        <v>5767</v>
      </c>
      <c r="J160" s="120" t="str">
        <f ca="1"/>
        <v>Q JAVIER KIOSKO LONJ AL PESO</v>
      </c>
      <c r="K160" s="121">
        <f ca="1"/>
        <v>40</v>
      </c>
      <c r="L160" s="122">
        <f ca="1"/>
        <v>2.5</v>
      </c>
      <c r="M160" s="120">
        <f ca="1"/>
        <v>1</v>
      </c>
      <c r="N160" s="121">
        <f ca="1"/>
        <v>90</v>
      </c>
      <c r="O160" s="123">
        <f ca="1"/>
        <v>45617</v>
      </c>
      <c r="P160" s="123" t="str">
        <f ca="1"/>
        <v>jueves</v>
      </c>
      <c r="Q160" s="124">
        <f ca="1"/>
        <v>45616</v>
      </c>
      <c r="R160" s="124">
        <f ca="1"/>
        <v>45705</v>
      </c>
      <c r="S160" s="90">
        <f ca="1"/>
        <v>81</v>
      </c>
      <c r="T160" s="139">
        <f ca="1"/>
        <v>0.9</v>
      </c>
      <c r="U160" s="131">
        <f ca="1"/>
        <v>40</v>
      </c>
      <c r="V160" s="120">
        <f ca="1"/>
        <v>100</v>
      </c>
      <c r="W160" s="140">
        <f ca="1"/>
        <v>1</v>
      </c>
      <c r="X160" s="139">
        <f ca="1"/>
        <v>0.98888888888888893</v>
      </c>
      <c r="Y160" s="141">
        <f ca="1"/>
        <v>7.5779500000000004</v>
      </c>
      <c r="Z160" s="141">
        <f ca="1"/>
        <v>18.944875</v>
      </c>
      <c r="AA160" s="142">
        <f ca="1"/>
        <v>1894.4875</v>
      </c>
      <c r="AB160" s="138">
        <f ca="1"/>
        <v>7</v>
      </c>
      <c r="AC160" s="103" t="str">
        <f ca="1"/>
        <v>VIGENTE</v>
      </c>
      <c r="AD160" s="150">
        <f ca="1"/>
        <v>0.1</v>
      </c>
    </row>
    <row r="161" spans="1:30">
      <c r="A161" s="111" t="str">
        <f ca="1"/>
        <v>SAN GABRIEL</v>
      </c>
      <c r="B161" s="111" t="str">
        <f ca="1"/>
        <v>QUESOS Y GRASAS</v>
      </c>
      <c r="C161" s="111" t="str">
        <f ca="1"/>
        <v xml:space="preserve">Esteban Montenegro                      </v>
      </c>
      <c r="D161" s="111" t="str">
        <f ca="1"/>
        <v>QUESO SEMIMADURO KIOSKO</v>
      </c>
      <c r="E161" s="111" t="str">
        <f ca="1"/>
        <v>QUESO JAVIERINO KIOSKO TAJADO</v>
      </c>
      <c r="F161" s="120" t="str">
        <f ca="1"/>
        <v>GUAYAQUIL</v>
      </c>
      <c r="G161" s="120">
        <f ca="1"/>
        <v>7711</v>
      </c>
      <c r="H161" s="120">
        <f ca="1"/>
        <v>1001</v>
      </c>
      <c r="I161" s="120" t="str">
        <f ca="1"/>
        <v>5767</v>
      </c>
      <c r="J161" s="120" t="str">
        <f ca="1"/>
        <v>Q JAVIER KIOSKO LONJ AL PESO</v>
      </c>
      <c r="K161" s="121">
        <f ca="1"/>
        <v>60</v>
      </c>
      <c r="L161" s="122">
        <f ca="1"/>
        <v>2.5</v>
      </c>
      <c r="M161" s="120">
        <f ca="1"/>
        <v>1</v>
      </c>
      <c r="N161" s="121">
        <f ca="1"/>
        <v>90</v>
      </c>
      <c r="O161" s="123">
        <f ca="1"/>
        <v>45617</v>
      </c>
      <c r="P161" s="123" t="str">
        <f ca="1"/>
        <v>jueves</v>
      </c>
      <c r="Q161" s="124">
        <f ca="1"/>
        <v>45611</v>
      </c>
      <c r="R161" s="124">
        <f ca="1"/>
        <v>45700</v>
      </c>
      <c r="S161" s="90">
        <f ca="1"/>
        <v>76</v>
      </c>
      <c r="T161" s="139">
        <f ca="1"/>
        <v>0.84444444444444444</v>
      </c>
      <c r="U161" s="131">
        <f ca="1"/>
        <v>60</v>
      </c>
      <c r="V161" s="120">
        <f ca="1"/>
        <v>150</v>
      </c>
      <c r="W161" s="140">
        <f ca="1"/>
        <v>6</v>
      </c>
      <c r="X161" s="139">
        <f ca="1"/>
        <v>0.93333333333333335</v>
      </c>
      <c r="Y161" s="141">
        <f ca="1"/>
        <v>7.5779500000000004</v>
      </c>
      <c r="Z161" s="141">
        <f ca="1"/>
        <v>18.944875</v>
      </c>
      <c r="AA161" s="142">
        <f ca="1"/>
        <v>2841.7312499999998</v>
      </c>
      <c r="AB161" s="138">
        <f ca="1"/>
        <v>7</v>
      </c>
      <c r="AC161" s="103" t="str">
        <f ca="1"/>
        <v>VIGENTE</v>
      </c>
      <c r="AD161" s="150">
        <f ca="1"/>
        <v>0.15</v>
      </c>
    </row>
    <row r="162" spans="1:30">
      <c r="A162" s="111" t="str">
        <f ca="1"/>
        <v>SAN GABRIEL</v>
      </c>
      <c r="B162" s="111" t="str">
        <f ca="1"/>
        <v>QUESOS Y GRASAS</v>
      </c>
      <c r="C162" s="111" t="str">
        <f ca="1"/>
        <v xml:space="preserve">Esteban Montenegro                      </v>
      </c>
      <c r="D162" s="111" t="str">
        <f ca="1"/>
        <v>QUESO SEMIMADURO KIOSKO</v>
      </c>
      <c r="E162" s="111" t="str">
        <f ca="1"/>
        <v>QUESO SEMIMADURO KIOSKO MIX CUBOS</v>
      </c>
      <c r="F162" s="120" t="str">
        <f ca="1"/>
        <v>GUAYAQUIL</v>
      </c>
      <c r="G162" s="120">
        <f ca="1"/>
        <v>7711</v>
      </c>
      <c r="H162" s="120">
        <f ca="1"/>
        <v>1001</v>
      </c>
      <c r="I162" s="120" t="str">
        <f ca="1"/>
        <v>5769</v>
      </c>
      <c r="J162" s="120" t="str">
        <f ca="1"/>
        <v>Q MIX ESPECIAL KIOSKO CUBO BOL 350G</v>
      </c>
      <c r="K162" s="121">
        <f ca="1"/>
        <v>30</v>
      </c>
      <c r="L162" s="122">
        <f ca="1"/>
        <v>1</v>
      </c>
      <c r="M162" s="120">
        <f ca="1"/>
        <v>0.35</v>
      </c>
      <c r="N162" s="121">
        <f ca="1"/>
        <v>60</v>
      </c>
      <c r="O162" s="123">
        <f ca="1"/>
        <v>45609</v>
      </c>
      <c r="P162" s="123" t="str">
        <f ca="1"/>
        <v>miércoles</v>
      </c>
      <c r="Q162" s="124">
        <f ca="1"/>
        <v>45603</v>
      </c>
      <c r="R162" s="124">
        <f ca="1"/>
        <v>45662</v>
      </c>
      <c r="S162" s="90">
        <f ca="1"/>
        <v>38</v>
      </c>
      <c r="T162" s="139">
        <f ca="1"/>
        <v>0.6333333333333333</v>
      </c>
      <c r="U162" s="131">
        <f ca="1"/>
        <v>1</v>
      </c>
      <c r="V162" s="120">
        <f ca="1"/>
        <v>0.35</v>
      </c>
      <c r="W162" s="140">
        <f ca="1"/>
        <v>6</v>
      </c>
      <c r="X162" s="139">
        <f ca="1"/>
        <v>0.9</v>
      </c>
      <c r="Y162" s="141">
        <f ca="1"/>
        <v>2.20255</v>
      </c>
      <c r="Z162" s="141">
        <f ca="1"/>
        <v>2.20255</v>
      </c>
      <c r="AA162" s="142">
        <f ca="1"/>
        <v>0.77089249999999998</v>
      </c>
      <c r="AB162" s="138">
        <f ca="1"/>
        <v>15</v>
      </c>
      <c r="AC162" s="103" t="str">
        <f ca="1"/>
        <v>VIGENTE</v>
      </c>
      <c r="AD162" s="150">
        <f ca="1"/>
        <v>3.5E-4</v>
      </c>
    </row>
    <row r="163" spans="1:30">
      <c r="A163" s="111" t="str">
        <f ca="1"/>
        <v>SAN GABRIEL</v>
      </c>
      <c r="B163" s="111" t="str">
        <f ca="1"/>
        <v>QUESOS Y GRASAS</v>
      </c>
      <c r="C163" s="111" t="str">
        <f ca="1"/>
        <v xml:space="preserve">Esteban Montenegro                      </v>
      </c>
      <c r="D163" s="111" t="str">
        <f ca="1"/>
        <v>QUESO SEMIMADURO KIOSKO</v>
      </c>
      <c r="E163" s="111" t="str">
        <f ca="1"/>
        <v>QUESO SEMIMADURO KIOSKO MIX CUBOS</v>
      </c>
      <c r="F163" s="120" t="str">
        <f ca="1"/>
        <v>GUAYAQUIL</v>
      </c>
      <c r="G163" s="120">
        <f ca="1"/>
        <v>7711</v>
      </c>
      <c r="H163" s="120">
        <f ca="1"/>
        <v>1001</v>
      </c>
      <c r="I163" s="120" t="str">
        <f ca="1"/>
        <v>5769</v>
      </c>
      <c r="J163" s="120" t="str">
        <f ca="1"/>
        <v>Q MIX ESPECIAL KIOSKO CUBO BOL 350G</v>
      </c>
      <c r="K163" s="121">
        <f ca="1"/>
        <v>210</v>
      </c>
      <c r="L163" s="122">
        <f ca="1"/>
        <v>1</v>
      </c>
      <c r="M163" s="120">
        <f ca="1"/>
        <v>0.35</v>
      </c>
      <c r="N163" s="121">
        <f ca="1"/>
        <v>60</v>
      </c>
      <c r="O163" s="123">
        <f ca="1"/>
        <v>45611</v>
      </c>
      <c r="P163" s="123" t="str">
        <f ca="1"/>
        <v>viernes</v>
      </c>
      <c r="Q163" s="124">
        <f ca="1"/>
        <v>45608</v>
      </c>
      <c r="R163" s="124">
        <f ca="1"/>
        <v>45667</v>
      </c>
      <c r="S163" s="90">
        <f ca="1"/>
        <v>43</v>
      </c>
      <c r="T163" s="139">
        <f ca="1"/>
        <v>0.71666666666666667</v>
      </c>
      <c r="U163" s="131">
        <f ca="1"/>
        <v>210</v>
      </c>
      <c r="V163" s="120">
        <f ca="1"/>
        <v>73.5</v>
      </c>
      <c r="W163" s="140">
        <f ca="1"/>
        <v>3</v>
      </c>
      <c r="X163" s="139">
        <f ca="1"/>
        <v>0.95</v>
      </c>
      <c r="Y163" s="141">
        <f ca="1"/>
        <v>2.20255</v>
      </c>
      <c r="Z163" s="141">
        <f ca="1"/>
        <v>2.20255</v>
      </c>
      <c r="AA163" s="142">
        <f ca="1"/>
        <v>161.88742500000001</v>
      </c>
      <c r="AB163" s="138">
        <f ca="1"/>
        <v>13</v>
      </c>
      <c r="AC163" s="103" t="str">
        <f ca="1"/>
        <v>VIGENTE</v>
      </c>
      <c r="AD163" s="150">
        <f ca="1"/>
        <v>7.3499999999999996E-2</v>
      </c>
    </row>
    <row r="164" spans="1:30">
      <c r="A164" s="111" t="str">
        <f ca="1"/>
        <v>SAN GABRIEL</v>
      </c>
      <c r="B164" s="111" t="str">
        <f ca="1"/>
        <v>QUESOS Y GRASAS</v>
      </c>
      <c r="C164" s="111" t="str">
        <f ca="1"/>
        <v xml:space="preserve">Esteban Montenegro                      </v>
      </c>
      <c r="D164" s="111" t="str">
        <f ca="1"/>
        <v>QUESO SEMIMADURO KIOSKO</v>
      </c>
      <c r="E164" s="111" t="str">
        <f ca="1"/>
        <v>QUESO SEMIMADURO KIOSKO MIX CUBOS</v>
      </c>
      <c r="F164" s="120" t="str">
        <f ca="1"/>
        <v>GUAYAQUIL</v>
      </c>
      <c r="G164" s="120">
        <f ca="1"/>
        <v>7711</v>
      </c>
      <c r="H164" s="120">
        <f ca="1"/>
        <v>1001</v>
      </c>
      <c r="I164" s="120" t="str">
        <f ca="1"/>
        <v>5769</v>
      </c>
      <c r="J164" s="120" t="str">
        <f ca="1"/>
        <v>Q MIX ESPECIAL KIOSKO CUBO BOL 350G</v>
      </c>
      <c r="K164" s="121">
        <f ca="1"/>
        <v>90</v>
      </c>
      <c r="L164" s="122">
        <f ca="1"/>
        <v>1</v>
      </c>
      <c r="M164" s="120">
        <f ca="1"/>
        <v>0.35</v>
      </c>
      <c r="N164" s="121">
        <f ca="1"/>
        <v>60</v>
      </c>
      <c r="O164" s="123">
        <f ca="1"/>
        <v>45610</v>
      </c>
      <c r="P164" s="123" t="str">
        <f ca="1"/>
        <v>jueves</v>
      </c>
      <c r="Q164" s="124">
        <f ca="1"/>
        <v>45608</v>
      </c>
      <c r="R164" s="124">
        <f ca="1"/>
        <v>45667</v>
      </c>
      <c r="S164" s="90">
        <f ca="1"/>
        <v>43</v>
      </c>
      <c r="T164" s="139">
        <f ca="1"/>
        <v>0.71666666666666667</v>
      </c>
      <c r="U164" s="131">
        <f ca="1"/>
        <v>53</v>
      </c>
      <c r="V164" s="120">
        <f ca="1"/>
        <v>18.549999999999997</v>
      </c>
      <c r="W164" s="140">
        <f ca="1"/>
        <v>2</v>
      </c>
      <c r="X164" s="139">
        <f ca="1"/>
        <v>0.96666666666666667</v>
      </c>
      <c r="Y164" s="141">
        <f ca="1"/>
        <v>2.20255</v>
      </c>
      <c r="Z164" s="141">
        <f ca="1"/>
        <v>2.20255</v>
      </c>
      <c r="AA164" s="142">
        <f ca="1"/>
        <v>40.857302499999996</v>
      </c>
      <c r="AB164" s="138">
        <f ca="1"/>
        <v>14</v>
      </c>
      <c r="AC164" s="103" t="str">
        <f ca="1"/>
        <v>VIGENTE</v>
      </c>
      <c r="AD164" s="150">
        <f ca="1"/>
        <v>1.8549999999999997E-2</v>
      </c>
    </row>
    <row r="165" spans="1:30">
      <c r="A165" s="111" t="str">
        <f ca="1"/>
        <v>SAN GABRIEL</v>
      </c>
      <c r="B165" s="111" t="str">
        <f ca="1"/>
        <v>QUESOS Y GRASAS</v>
      </c>
      <c r="C165" s="111" t="str">
        <f ca="1"/>
        <v xml:space="preserve">Esteban Montenegro                      </v>
      </c>
      <c r="D165" s="111" t="str">
        <f ca="1"/>
        <v>QUESO SEMIMADURO KIOSKO</v>
      </c>
      <c r="E165" s="111" t="str">
        <f ca="1"/>
        <v>QUESO SEMIMADURO KIOSKO MIX CUBOS</v>
      </c>
      <c r="F165" s="120" t="str">
        <f ca="1"/>
        <v>GUAYAQUIL</v>
      </c>
      <c r="G165" s="120">
        <f ca="1"/>
        <v>7711</v>
      </c>
      <c r="H165" s="120">
        <f ca="1"/>
        <v>1001</v>
      </c>
      <c r="I165" s="120" t="str">
        <f ca="1"/>
        <v>5769</v>
      </c>
      <c r="J165" s="120" t="str">
        <f ca="1"/>
        <v>Q MIX ESPECIAL KIOSKO CUBO BOL 350G</v>
      </c>
      <c r="K165" s="121">
        <f ca="1"/>
        <v>120</v>
      </c>
      <c r="L165" s="122">
        <f ca="1"/>
        <v>1</v>
      </c>
      <c r="M165" s="120">
        <f ca="1"/>
        <v>0.35</v>
      </c>
      <c r="N165" s="121">
        <f ca="1"/>
        <v>60</v>
      </c>
      <c r="O165" s="123">
        <f ca="1"/>
        <v>45615</v>
      </c>
      <c r="P165" s="123" t="str">
        <f ca="1"/>
        <v>martes</v>
      </c>
      <c r="Q165" s="124">
        <f ca="1"/>
        <v>45609</v>
      </c>
      <c r="R165" s="124">
        <f ca="1"/>
        <v>45668</v>
      </c>
      <c r="S165" s="90">
        <f ca="1"/>
        <v>44</v>
      </c>
      <c r="T165" s="139">
        <f ca="1"/>
        <v>0.73333333333333328</v>
      </c>
      <c r="U165" s="131">
        <f ca="1"/>
        <v>120</v>
      </c>
      <c r="V165" s="120">
        <f ca="1"/>
        <v>42</v>
      </c>
      <c r="W165" s="140">
        <f ca="1"/>
        <v>6</v>
      </c>
      <c r="X165" s="139">
        <f ca="1"/>
        <v>0.9</v>
      </c>
      <c r="Y165" s="141">
        <f ca="1"/>
        <v>2.20255</v>
      </c>
      <c r="Z165" s="141">
        <f ca="1"/>
        <v>2.20255</v>
      </c>
      <c r="AA165" s="142">
        <f ca="1"/>
        <v>92.507099999999994</v>
      </c>
      <c r="AB165" s="138">
        <f ca="1"/>
        <v>9</v>
      </c>
      <c r="AC165" s="103" t="str">
        <f ca="1"/>
        <v>VIGENTE</v>
      </c>
      <c r="AD165" s="150">
        <f ca="1"/>
        <v>4.2000000000000003E-2</v>
      </c>
    </row>
    <row r="166" spans="1:30">
      <c r="A166" s="111" t="str">
        <f ca="1"/>
        <v>SAN GABRIEL</v>
      </c>
      <c r="B166" s="111" t="str">
        <f ca="1"/>
        <v>QUESOS Y GRASAS</v>
      </c>
      <c r="C166" s="111" t="str">
        <f ca="1"/>
        <v xml:space="preserve">Esteban Montenegro                      </v>
      </c>
      <c r="D166" s="111" t="str">
        <f ca="1"/>
        <v>QUESO SEMIMADURO KIOSKO</v>
      </c>
      <c r="E166" s="111" t="str">
        <f ca="1"/>
        <v>QUESO SEMIMADURO KIOSKO MIX CUBOS</v>
      </c>
      <c r="F166" s="120" t="str">
        <f ca="1"/>
        <v>GUAYAQUIL</v>
      </c>
      <c r="G166" s="120">
        <f ca="1"/>
        <v>7711</v>
      </c>
      <c r="H166" s="120">
        <f ca="1"/>
        <v>1001</v>
      </c>
      <c r="I166" s="120" t="str">
        <f ca="1"/>
        <v>5769</v>
      </c>
      <c r="J166" s="120" t="str">
        <f ca="1"/>
        <v>Q MIX ESPECIAL KIOSKO CUBO BOL 350G</v>
      </c>
      <c r="K166" s="121">
        <f ca="1"/>
        <v>30</v>
      </c>
      <c r="L166" s="122">
        <f ca="1"/>
        <v>1</v>
      </c>
      <c r="M166" s="120">
        <f ca="1"/>
        <v>0.35</v>
      </c>
      <c r="N166" s="121">
        <f ca="1"/>
        <v>60</v>
      </c>
      <c r="O166" s="123">
        <f ca="1"/>
        <v>45616</v>
      </c>
      <c r="P166" s="123" t="str">
        <f ca="1"/>
        <v>miércoles</v>
      </c>
      <c r="Q166" s="124">
        <f ca="1"/>
        <v>45611</v>
      </c>
      <c r="R166" s="124">
        <f ca="1"/>
        <v>45670</v>
      </c>
      <c r="S166" s="90">
        <f ca="1"/>
        <v>46</v>
      </c>
      <c r="T166" s="139">
        <f ca="1"/>
        <v>0.76666666666666672</v>
      </c>
      <c r="U166" s="131">
        <f ca="1"/>
        <v>30</v>
      </c>
      <c r="V166" s="120">
        <f ca="1"/>
        <v>10.5</v>
      </c>
      <c r="W166" s="140">
        <f ca="1"/>
        <v>5</v>
      </c>
      <c r="X166" s="139">
        <f ca="1"/>
        <v>0.91666666666666663</v>
      </c>
      <c r="Y166" s="141">
        <f ca="1"/>
        <v>2.20255</v>
      </c>
      <c r="Z166" s="141">
        <f ca="1"/>
        <v>2.20255</v>
      </c>
      <c r="AA166" s="142">
        <f ca="1"/>
        <v>23.126774999999999</v>
      </c>
      <c r="AB166" s="138">
        <f ca="1"/>
        <v>8</v>
      </c>
      <c r="AC166" s="103" t="str">
        <f ca="1"/>
        <v>VIGENTE</v>
      </c>
      <c r="AD166" s="150">
        <f ca="1"/>
        <v>1.0500000000000001E-2</v>
      </c>
    </row>
    <row r="167" spans="1:30">
      <c r="A167" s="111" t="str">
        <f ca="1"/>
        <v>SAN GABRIEL</v>
      </c>
      <c r="B167" s="111" t="str">
        <f ca="1"/>
        <v>QUESOS Y GRASAS</v>
      </c>
      <c r="C167" s="111" t="str">
        <f ca="1"/>
        <v xml:space="preserve">Esteban Montenegro                      </v>
      </c>
      <c r="D167" s="111" t="str">
        <f ca="1"/>
        <v>QUESO SEMIMADURO KIOSKO</v>
      </c>
      <c r="E167" s="111" t="str">
        <f ca="1"/>
        <v>QUESO SEMIMADURO KIOSKO MIX CUBOS</v>
      </c>
      <c r="F167" s="120" t="str">
        <f ca="1"/>
        <v>GUAYAQUIL</v>
      </c>
      <c r="G167" s="120">
        <f ca="1"/>
        <v>7711</v>
      </c>
      <c r="H167" s="120">
        <f ca="1"/>
        <v>1001</v>
      </c>
      <c r="I167" s="120" t="str">
        <f ca="1"/>
        <v>5769</v>
      </c>
      <c r="J167" s="120" t="str">
        <f ca="1"/>
        <v>Q MIX ESPECIAL KIOSKO CUBO BOL 350G</v>
      </c>
      <c r="K167" s="121">
        <f ca="1"/>
        <v>60</v>
      </c>
      <c r="L167" s="122">
        <f ca="1"/>
        <v>1</v>
      </c>
      <c r="M167" s="120">
        <f ca="1"/>
        <v>0.35</v>
      </c>
      <c r="N167" s="121">
        <f ca="1"/>
        <v>60</v>
      </c>
      <c r="O167" s="123">
        <f ca="1"/>
        <v>45616</v>
      </c>
      <c r="P167" s="123" t="str">
        <f ca="1"/>
        <v>miércoles</v>
      </c>
      <c r="Q167" s="124">
        <f ca="1"/>
        <v>45609</v>
      </c>
      <c r="R167" s="124">
        <f ca="1"/>
        <v>45668</v>
      </c>
      <c r="S167" s="90">
        <f ca="1"/>
        <v>44</v>
      </c>
      <c r="T167" s="139">
        <f ca="1"/>
        <v>0.73333333333333328</v>
      </c>
      <c r="U167" s="131">
        <f ca="1"/>
        <v>60</v>
      </c>
      <c r="V167" s="120">
        <f ca="1"/>
        <v>21</v>
      </c>
      <c r="W167" s="140">
        <f ca="1"/>
        <v>7</v>
      </c>
      <c r="X167" s="139">
        <f ca="1"/>
        <v>0.8833333333333333</v>
      </c>
      <c r="Y167" s="141">
        <f ca="1"/>
        <v>2.20255</v>
      </c>
      <c r="Z167" s="141">
        <f ca="1"/>
        <v>2.20255</v>
      </c>
      <c r="AA167" s="142">
        <f ca="1"/>
        <v>46.253549999999997</v>
      </c>
      <c r="AB167" s="138">
        <f ca="1"/>
        <v>8</v>
      </c>
      <c r="AC167" s="103" t="str">
        <f ca="1"/>
        <v>VIGENTE</v>
      </c>
      <c r="AD167" s="150">
        <f ca="1"/>
        <v>2.1000000000000001E-2</v>
      </c>
    </row>
    <row r="168" spans="1:30">
      <c r="A168" s="111" t="str">
        <f ca="1"/>
        <v>SAN GABRIEL</v>
      </c>
      <c r="B168" s="111" t="str">
        <f ca="1"/>
        <v>QUESOS Y GRASAS</v>
      </c>
      <c r="C168" s="111" t="str">
        <f ca="1"/>
        <v xml:space="preserve">Esteban Montenegro                      </v>
      </c>
      <c r="D168" s="111" t="str">
        <f ca="1"/>
        <v>QUESO SEMIMADURO KIOSKO</v>
      </c>
      <c r="E168" s="111" t="str">
        <f ca="1"/>
        <v>QUESO SEMIMADURO KIOSKO MIX CUBOS</v>
      </c>
      <c r="F168" s="120" t="str">
        <f ca="1"/>
        <v>GUAYAQUIL</v>
      </c>
      <c r="G168" s="120">
        <f ca="1"/>
        <v>7711</v>
      </c>
      <c r="H168" s="120">
        <f ca="1"/>
        <v>1001</v>
      </c>
      <c r="I168" s="120" t="str">
        <f ca="1"/>
        <v>5769</v>
      </c>
      <c r="J168" s="120" t="str">
        <f ca="1"/>
        <v>Q MIX ESPECIAL KIOSKO CUBO BOL 350G</v>
      </c>
      <c r="K168" s="121">
        <f ca="1"/>
        <v>90</v>
      </c>
      <c r="L168" s="122">
        <f ca="1"/>
        <v>1</v>
      </c>
      <c r="M168" s="120">
        <f ca="1"/>
        <v>0.35</v>
      </c>
      <c r="N168" s="121">
        <f ca="1"/>
        <v>60</v>
      </c>
      <c r="O168" s="123">
        <f ca="1"/>
        <v>45617</v>
      </c>
      <c r="P168" s="123" t="str">
        <f ca="1"/>
        <v>jueves</v>
      </c>
      <c r="Q168" s="124">
        <f ca="1"/>
        <v>45611</v>
      </c>
      <c r="R168" s="124">
        <f ca="1"/>
        <v>45670</v>
      </c>
      <c r="S168" s="90">
        <f ca="1"/>
        <v>46</v>
      </c>
      <c r="T168" s="139">
        <f ca="1"/>
        <v>0.76666666666666672</v>
      </c>
      <c r="U168" s="131">
        <f ca="1"/>
        <v>90</v>
      </c>
      <c r="V168" s="120">
        <f ca="1"/>
        <v>31.499999999999996</v>
      </c>
      <c r="W168" s="140">
        <f ca="1"/>
        <v>6</v>
      </c>
      <c r="X168" s="139">
        <f ca="1"/>
        <v>0.9</v>
      </c>
      <c r="Y168" s="141">
        <f ca="1"/>
        <v>2.20255</v>
      </c>
      <c r="Z168" s="141">
        <f ca="1"/>
        <v>2.20255</v>
      </c>
      <c r="AA168" s="142">
        <f ca="1"/>
        <v>69.380324999999999</v>
      </c>
      <c r="AB168" s="138">
        <f ca="1"/>
        <v>7</v>
      </c>
      <c r="AC168" s="103" t="str">
        <f ca="1"/>
        <v>VIGENTE</v>
      </c>
      <c r="AD168" s="150">
        <f ca="1"/>
        <v>3.1499999999999993E-2</v>
      </c>
    </row>
    <row r="169" spans="1:30">
      <c r="A169" s="111" t="str">
        <f ca="1"/>
        <v>SAN GABRIEL</v>
      </c>
      <c r="B169" s="111" t="str">
        <f ca="1"/>
        <v>QUESOS Y GRASAS</v>
      </c>
      <c r="C169" s="111" t="str">
        <f ca="1"/>
        <v xml:space="preserve">Esteban Montenegro                      </v>
      </c>
      <c r="D169" s="111" t="str">
        <f ca="1"/>
        <v>QUESO SEMIMADURO KIOSKO</v>
      </c>
      <c r="E169" s="111" t="str">
        <f ca="1"/>
        <v>QUESO PROVOLONE KIOSKO BLOQUE</v>
      </c>
      <c r="F169" s="120" t="str">
        <f ca="1"/>
        <v>GUAYAQUIL</v>
      </c>
      <c r="G169" s="120">
        <f ca="1"/>
        <v>7711</v>
      </c>
      <c r="H169" s="120">
        <f ca="1"/>
        <v>1001</v>
      </c>
      <c r="I169" s="120" t="str">
        <f ca="1"/>
        <v>5772</v>
      </c>
      <c r="J169" s="120" t="str">
        <f ca="1"/>
        <v>Q PROVO AHUM KIOSKO AL PESO</v>
      </c>
      <c r="K169" s="121">
        <f ca="1"/>
        <v>80</v>
      </c>
      <c r="L169" s="122">
        <f ca="1"/>
        <v>1.4</v>
      </c>
      <c r="M169" s="120">
        <f ca="1"/>
        <v>1</v>
      </c>
      <c r="N169" s="121">
        <f ca="1"/>
        <v>60</v>
      </c>
      <c r="O169" s="123">
        <f ca="1"/>
        <v>45596</v>
      </c>
      <c r="P169" s="123" t="str">
        <f ca="1"/>
        <v>jueves</v>
      </c>
      <c r="Q169" s="124">
        <f ca="1"/>
        <v>45595</v>
      </c>
      <c r="R169" s="124">
        <f ca="1"/>
        <v>45654</v>
      </c>
      <c r="S169" s="90">
        <f ca="1"/>
        <v>30</v>
      </c>
      <c r="T169" s="139">
        <f ca="1"/>
        <v>0.5</v>
      </c>
      <c r="U169" s="131">
        <f ca="1"/>
        <v>21</v>
      </c>
      <c r="V169" s="120">
        <f ca="1"/>
        <v>29.4</v>
      </c>
      <c r="W169" s="140">
        <f ca="1"/>
        <v>1</v>
      </c>
      <c r="X169" s="139">
        <f ca="1"/>
        <v>0.98333333333333328</v>
      </c>
      <c r="Y169" s="141">
        <f ca="1"/>
        <v>6.2104049999999997</v>
      </c>
      <c r="Z169" s="141">
        <f ca="1"/>
        <v>8.6945669999999993</v>
      </c>
      <c r="AA169" s="142">
        <f ca="1"/>
        <v>255.62026979999996</v>
      </c>
      <c r="AB169" s="138">
        <f ca="1"/>
        <v>28</v>
      </c>
      <c r="AC169" s="103" t="str">
        <f ca="1"/>
        <v>VIGENTE</v>
      </c>
      <c r="AD169" s="150">
        <f ca="1"/>
        <v>2.9399999999999999E-2</v>
      </c>
    </row>
    <row r="170" spans="1:30">
      <c r="A170" s="111" t="str">
        <f ca="1"/>
        <v>SAN GABRIEL</v>
      </c>
      <c r="B170" s="111" t="str">
        <f ca="1"/>
        <v>QUESOS Y GRASAS</v>
      </c>
      <c r="C170" s="111" t="str">
        <f ca="1"/>
        <v xml:space="preserve">Esteban Montenegro                      </v>
      </c>
      <c r="D170" s="111" t="str">
        <f ca="1"/>
        <v>QUESO SEMIMADURO KIOSKO</v>
      </c>
      <c r="E170" s="111" t="str">
        <f ca="1"/>
        <v>QUESO PROVOLONE KIOSKO BLOQUE</v>
      </c>
      <c r="F170" s="120" t="str">
        <f ca="1"/>
        <v>GUAYAQUIL</v>
      </c>
      <c r="G170" s="120">
        <f ca="1"/>
        <v>7711</v>
      </c>
      <c r="H170" s="120">
        <f ca="1"/>
        <v>1001</v>
      </c>
      <c r="I170" s="120" t="str">
        <f ca="1"/>
        <v>5772</v>
      </c>
      <c r="J170" s="120" t="str">
        <f ca="1"/>
        <v>Q PROVO AHUM KIOSKO AL PESO</v>
      </c>
      <c r="K170" s="121">
        <f ca="1"/>
        <v>26</v>
      </c>
      <c r="L170" s="122">
        <f ca="1"/>
        <v>1.4</v>
      </c>
      <c r="M170" s="120">
        <f ca="1"/>
        <v>1</v>
      </c>
      <c r="N170" s="121">
        <f ca="1"/>
        <v>60</v>
      </c>
      <c r="O170" s="123">
        <f ca="1"/>
        <v>45609</v>
      </c>
      <c r="P170" s="123" t="str">
        <f ca="1"/>
        <v>miércoles</v>
      </c>
      <c r="Q170" s="124">
        <f ca="1"/>
        <v>45608</v>
      </c>
      <c r="R170" s="124">
        <f ca="1"/>
        <v>45667</v>
      </c>
      <c r="S170" s="90">
        <f ca="1"/>
        <v>43</v>
      </c>
      <c r="T170" s="139">
        <f ca="1"/>
        <v>0.71666666666666667</v>
      </c>
      <c r="U170" s="131">
        <f ca="1"/>
        <v>26</v>
      </c>
      <c r="V170" s="120">
        <f ca="1"/>
        <v>36.4</v>
      </c>
      <c r="W170" s="140">
        <f ca="1"/>
        <v>1</v>
      </c>
      <c r="X170" s="139">
        <f ca="1"/>
        <v>0.98333333333333328</v>
      </c>
      <c r="Y170" s="141">
        <f ca="1"/>
        <v>6.2104049999999997</v>
      </c>
      <c r="Z170" s="141">
        <f ca="1"/>
        <v>8.6945669999999993</v>
      </c>
      <c r="AA170" s="142">
        <f ca="1"/>
        <v>316.48223879999995</v>
      </c>
      <c r="AB170" s="138">
        <f ca="1"/>
        <v>15</v>
      </c>
      <c r="AC170" s="103" t="str">
        <f ca="1"/>
        <v>VIGENTE</v>
      </c>
      <c r="AD170" s="150">
        <f ca="1"/>
        <v>3.6400000000000002E-2</v>
      </c>
    </row>
    <row r="171" spans="1:30">
      <c r="A171" s="111" t="str">
        <f ca="1"/>
        <v>SAN GABRIEL</v>
      </c>
      <c r="B171" s="111" t="str">
        <f ca="1"/>
        <v>QUESOS Y GRASAS</v>
      </c>
      <c r="C171" s="111" t="str">
        <f ca="1"/>
        <v xml:space="preserve">Esteban Montenegro                      </v>
      </c>
      <c r="D171" s="111" t="str">
        <f ca="1"/>
        <v>QUESO SEMIMADURO KIOSKO</v>
      </c>
      <c r="E171" s="111" t="str">
        <f ca="1"/>
        <v>QUESO PROVOLONE KIOSKO BLOQUE</v>
      </c>
      <c r="F171" s="120" t="str">
        <f ca="1"/>
        <v>GUAYAQUIL</v>
      </c>
      <c r="G171" s="120">
        <f ca="1"/>
        <v>7711</v>
      </c>
      <c r="H171" s="120">
        <f ca="1"/>
        <v>1001</v>
      </c>
      <c r="I171" s="120" t="str">
        <f ca="1"/>
        <v>5772</v>
      </c>
      <c r="J171" s="120" t="str">
        <f ca="1"/>
        <v>Q PROVO AHUM KIOSKO AL PESO</v>
      </c>
      <c r="K171" s="121">
        <f ca="1"/>
        <v>26</v>
      </c>
      <c r="L171" s="122">
        <f ca="1"/>
        <v>1.4</v>
      </c>
      <c r="M171" s="120">
        <f ca="1"/>
        <v>1</v>
      </c>
      <c r="N171" s="121">
        <f ca="1"/>
        <v>60</v>
      </c>
      <c r="O171" s="123">
        <f ca="1"/>
        <v>45611</v>
      </c>
      <c r="P171" s="123" t="str">
        <f ca="1"/>
        <v>viernes</v>
      </c>
      <c r="Q171" s="124">
        <f ca="1"/>
        <v>45610</v>
      </c>
      <c r="R171" s="124">
        <f ca="1"/>
        <v>45669</v>
      </c>
      <c r="S171" s="90">
        <f ca="1"/>
        <v>45</v>
      </c>
      <c r="T171" s="139">
        <f ca="1"/>
        <v>0.75</v>
      </c>
      <c r="U171" s="131">
        <f ca="1"/>
        <v>26</v>
      </c>
      <c r="V171" s="120">
        <f ca="1"/>
        <v>36.4</v>
      </c>
      <c r="W171" s="140">
        <f ca="1"/>
        <v>1</v>
      </c>
      <c r="X171" s="139">
        <f ca="1"/>
        <v>0.98333333333333328</v>
      </c>
      <c r="Y171" s="141">
        <f ca="1"/>
        <v>6.2104049999999997</v>
      </c>
      <c r="Z171" s="141">
        <f ca="1"/>
        <v>8.6945669999999993</v>
      </c>
      <c r="AA171" s="142">
        <f ca="1"/>
        <v>316.48223879999995</v>
      </c>
      <c r="AB171" s="138">
        <f ca="1"/>
        <v>13</v>
      </c>
      <c r="AC171" s="103" t="str">
        <f ca="1"/>
        <v>VIGENTE</v>
      </c>
      <c r="AD171" s="150">
        <f ca="1"/>
        <v>3.6400000000000002E-2</v>
      </c>
    </row>
    <row r="172" spans="1:30">
      <c r="A172" s="111" t="str">
        <f ca="1"/>
        <v>SAN GABRIEL</v>
      </c>
      <c r="B172" s="111" t="str">
        <f ca="1"/>
        <v>QUESOS Y GRASAS</v>
      </c>
      <c r="C172" s="111" t="str">
        <f ca="1"/>
        <v xml:space="preserve">Esteban Montenegro                      </v>
      </c>
      <c r="D172" s="111" t="str">
        <f ca="1"/>
        <v>QUESO SEMIMADURO KIOSKO</v>
      </c>
      <c r="E172" s="111" t="str">
        <f ca="1"/>
        <v>QUESO SANDUCHE KIOSKO TAJADO</v>
      </c>
      <c r="F172" s="120" t="str">
        <f ca="1"/>
        <v>GUAYAQUIL</v>
      </c>
      <c r="G172" s="120">
        <f ca="1"/>
        <v>7711</v>
      </c>
      <c r="H172" s="120">
        <f ca="1"/>
        <v>1001</v>
      </c>
      <c r="I172" s="120" t="str">
        <f ca="1"/>
        <v>5777</v>
      </c>
      <c r="J172" s="120" t="str">
        <f ca="1"/>
        <v>Q SANDU KIOSKO 10 LONJ 150G</v>
      </c>
      <c r="K172" s="121">
        <f ca="1"/>
        <v>300</v>
      </c>
      <c r="L172" s="122">
        <f ca="1"/>
        <v>1</v>
      </c>
      <c r="M172" s="120">
        <f ca="1"/>
        <v>0.15</v>
      </c>
      <c r="N172" s="121">
        <f ca="1"/>
        <v>90</v>
      </c>
      <c r="O172" s="123">
        <f ca="1"/>
        <v>45608</v>
      </c>
      <c r="P172" s="123" t="str">
        <f ca="1"/>
        <v>martes</v>
      </c>
      <c r="Q172" s="124">
        <f ca="1"/>
        <v>45601</v>
      </c>
      <c r="R172" s="124">
        <f ca="1"/>
        <v>45690</v>
      </c>
      <c r="S172" s="90">
        <f ca="1"/>
        <v>66</v>
      </c>
      <c r="T172" s="139">
        <f ca="1"/>
        <v>0.73333333333333328</v>
      </c>
      <c r="U172" s="131">
        <f ca="1"/>
        <v>167</v>
      </c>
      <c r="V172" s="120">
        <f ca="1"/>
        <v>25.05</v>
      </c>
      <c r="W172" s="140">
        <f ca="1"/>
        <v>7</v>
      </c>
      <c r="X172" s="139">
        <f ca="1"/>
        <v>0.92222222222222228</v>
      </c>
      <c r="Y172" s="141">
        <f ca="1"/>
        <v>1.186285</v>
      </c>
      <c r="Z172" s="141">
        <f ca="1"/>
        <v>1.186285</v>
      </c>
      <c r="AA172" s="142">
        <f ca="1"/>
        <v>29.716439250000001</v>
      </c>
      <c r="AB172" s="138">
        <f ca="1"/>
        <v>16</v>
      </c>
      <c r="AC172" s="103" t="str">
        <f ca="1"/>
        <v>VIGENTE</v>
      </c>
      <c r="AD172" s="150">
        <f ca="1"/>
        <v>2.5049999999999999E-2</v>
      </c>
    </row>
    <row r="173" spans="1:30">
      <c r="A173" s="111" t="str">
        <f ca="1"/>
        <v>SAN GABRIEL</v>
      </c>
      <c r="B173" s="111" t="str">
        <f ca="1"/>
        <v>QUESOS Y GRASAS</v>
      </c>
      <c r="C173" s="111" t="str">
        <f ca="1"/>
        <v xml:space="preserve">Esteban Montenegro                      </v>
      </c>
      <c r="D173" s="111" t="str">
        <f ca="1"/>
        <v>QUESO SEMIMADURO KIOSKO</v>
      </c>
      <c r="E173" s="111" t="str">
        <f ca="1"/>
        <v>QUESO SANDUCHE KIOSKO TAJADO</v>
      </c>
      <c r="F173" s="120" t="str">
        <f ca="1"/>
        <v>GUAYAQUIL</v>
      </c>
      <c r="G173" s="120">
        <f ca="1"/>
        <v>7711</v>
      </c>
      <c r="H173" s="120">
        <f ca="1"/>
        <v>1001</v>
      </c>
      <c r="I173" s="120" t="str">
        <f ca="1"/>
        <v>5777</v>
      </c>
      <c r="J173" s="120" t="str">
        <f ca="1"/>
        <v>Q SANDU KIOSKO 10 LONJ 150G</v>
      </c>
      <c r="K173" s="121">
        <f ca="1"/>
        <v>150</v>
      </c>
      <c r="L173" s="122">
        <f ca="1"/>
        <v>1</v>
      </c>
      <c r="M173" s="120">
        <f ca="1"/>
        <v>0.15</v>
      </c>
      <c r="N173" s="121">
        <f ca="1"/>
        <v>90</v>
      </c>
      <c r="O173" s="123">
        <f ca="1"/>
        <v>45610</v>
      </c>
      <c r="P173" s="123" t="str">
        <f ca="1"/>
        <v>jueves</v>
      </c>
      <c r="Q173" s="124">
        <f ca="1"/>
        <v>45609</v>
      </c>
      <c r="R173" s="124">
        <f ca="1"/>
        <v>45698</v>
      </c>
      <c r="S173" s="90">
        <f ca="1"/>
        <v>74</v>
      </c>
      <c r="T173" s="139">
        <f ca="1"/>
        <v>0.82222222222222219</v>
      </c>
      <c r="U173" s="131">
        <f ca="1"/>
        <v>150</v>
      </c>
      <c r="V173" s="120">
        <f ca="1"/>
        <v>22.5</v>
      </c>
      <c r="W173" s="140">
        <f ca="1"/>
        <v>1</v>
      </c>
      <c r="X173" s="139">
        <f ca="1"/>
        <v>0.98888888888888893</v>
      </c>
      <c r="Y173" s="141">
        <f ca="1"/>
        <v>1.186285</v>
      </c>
      <c r="Z173" s="141">
        <f ca="1"/>
        <v>1.186285</v>
      </c>
      <c r="AA173" s="142">
        <f ca="1"/>
        <v>26.691412500000002</v>
      </c>
      <c r="AB173" s="138">
        <f ca="1"/>
        <v>14</v>
      </c>
      <c r="AC173" s="103" t="str">
        <f ca="1"/>
        <v>VIGENTE</v>
      </c>
      <c r="AD173" s="150">
        <f ca="1"/>
        <v>2.2499999999999999E-2</v>
      </c>
    </row>
    <row r="174" spans="1:30">
      <c r="A174" s="111" t="str">
        <f ca="1"/>
        <v>SAN GABRIEL</v>
      </c>
      <c r="B174" s="111" t="str">
        <f ca="1"/>
        <v>QUESOS Y GRASAS</v>
      </c>
      <c r="C174" s="111" t="str">
        <f ca="1"/>
        <v xml:space="preserve">Esteban Montenegro                      </v>
      </c>
      <c r="D174" s="111" t="str">
        <f ca="1"/>
        <v>QUESO SEMIMADURO KIOSKO</v>
      </c>
      <c r="E174" s="111" t="str">
        <f ca="1"/>
        <v>QUESO SANDUCHE KIOSKO TAJADO</v>
      </c>
      <c r="F174" s="120" t="str">
        <f ca="1"/>
        <v>GUAYAQUIL</v>
      </c>
      <c r="G174" s="120">
        <f ca="1"/>
        <v>7711</v>
      </c>
      <c r="H174" s="120">
        <f ca="1"/>
        <v>1001</v>
      </c>
      <c r="I174" s="120" t="str">
        <f ca="1"/>
        <v>5777</v>
      </c>
      <c r="J174" s="120" t="str">
        <f ca="1"/>
        <v>Q SANDU KIOSKO 10 LONJ 150G</v>
      </c>
      <c r="K174" s="121">
        <f ca="1"/>
        <v>150</v>
      </c>
      <c r="L174" s="122">
        <f ca="1"/>
        <v>1</v>
      </c>
      <c r="M174" s="120">
        <f ca="1"/>
        <v>0.15</v>
      </c>
      <c r="N174" s="121">
        <f ca="1"/>
        <v>90</v>
      </c>
      <c r="O174" s="123">
        <f ca="1"/>
        <v>45615</v>
      </c>
      <c r="P174" s="123" t="str">
        <f ca="1"/>
        <v>martes</v>
      </c>
      <c r="Q174" s="124">
        <f ca="1"/>
        <v>45609</v>
      </c>
      <c r="R174" s="124">
        <f ca="1"/>
        <v>45698</v>
      </c>
      <c r="S174" s="90">
        <f ca="1"/>
        <v>74</v>
      </c>
      <c r="T174" s="139">
        <f ca="1"/>
        <v>0.82222222222222219</v>
      </c>
      <c r="U174" s="131">
        <f ca="1"/>
        <v>150</v>
      </c>
      <c r="V174" s="120">
        <f ca="1"/>
        <v>22.5</v>
      </c>
      <c r="W174" s="140">
        <f ca="1"/>
        <v>6</v>
      </c>
      <c r="X174" s="139">
        <f ca="1"/>
        <v>0.93333333333333335</v>
      </c>
      <c r="Y174" s="141">
        <f ca="1"/>
        <v>1.186285</v>
      </c>
      <c r="Z174" s="141">
        <f ca="1"/>
        <v>1.186285</v>
      </c>
      <c r="AA174" s="142">
        <f ca="1"/>
        <v>26.691412500000002</v>
      </c>
      <c r="AB174" s="138">
        <f ca="1"/>
        <v>9</v>
      </c>
      <c r="AC174" s="103" t="str">
        <f ca="1"/>
        <v>VIGENTE</v>
      </c>
      <c r="AD174" s="150">
        <f ca="1"/>
        <v>2.2499999999999999E-2</v>
      </c>
    </row>
    <row r="175" spans="1:30">
      <c r="A175" s="111" t="str">
        <f ca="1"/>
        <v>SAN GABRIEL</v>
      </c>
      <c r="B175" s="111" t="str">
        <f ca="1"/>
        <v>QUESOS Y GRASAS</v>
      </c>
      <c r="C175" s="111" t="str">
        <f ca="1"/>
        <v xml:space="preserve">Esteban Montenegro                      </v>
      </c>
      <c r="D175" s="111" t="str">
        <f ca="1"/>
        <v>QUESO SEMIMADURO KIOSKO</v>
      </c>
      <c r="E175" s="111" t="str">
        <f ca="1"/>
        <v>QUESO SANDUCHE KIOSKO TAJADO</v>
      </c>
      <c r="F175" s="120" t="str">
        <f ca="1"/>
        <v>GUAYAQUIL</v>
      </c>
      <c r="G175" s="120">
        <f ca="1"/>
        <v>7711</v>
      </c>
      <c r="H175" s="120">
        <f ca="1"/>
        <v>1001</v>
      </c>
      <c r="I175" s="120" t="str">
        <f ca="1"/>
        <v>5777</v>
      </c>
      <c r="J175" s="120" t="str">
        <f ca="1"/>
        <v>Q SANDU KIOSKO 10 LONJ 150G</v>
      </c>
      <c r="K175" s="121">
        <f ca="1"/>
        <v>150</v>
      </c>
      <c r="L175" s="122">
        <f ca="1"/>
        <v>1</v>
      </c>
      <c r="M175" s="120">
        <f ca="1"/>
        <v>0.15</v>
      </c>
      <c r="N175" s="121">
        <f ca="1"/>
        <v>90</v>
      </c>
      <c r="O175" s="123">
        <f ca="1"/>
        <v>45617</v>
      </c>
      <c r="P175" s="123" t="str">
        <f ca="1"/>
        <v>jueves</v>
      </c>
      <c r="Q175" s="124">
        <f ca="1"/>
        <v>45616</v>
      </c>
      <c r="R175" s="124">
        <f ca="1"/>
        <v>45705</v>
      </c>
      <c r="S175" s="90">
        <f ca="1"/>
        <v>81</v>
      </c>
      <c r="T175" s="139">
        <f ca="1"/>
        <v>0.9</v>
      </c>
      <c r="U175" s="131">
        <f ca="1"/>
        <v>150</v>
      </c>
      <c r="V175" s="120">
        <f ca="1"/>
        <v>22.5</v>
      </c>
      <c r="W175" s="140">
        <f ca="1"/>
        <v>1</v>
      </c>
      <c r="X175" s="139">
        <f ca="1"/>
        <v>0.98888888888888893</v>
      </c>
      <c r="Y175" s="141">
        <f ca="1"/>
        <v>1.186285</v>
      </c>
      <c r="Z175" s="141">
        <f ca="1"/>
        <v>1.186285</v>
      </c>
      <c r="AA175" s="142">
        <f ca="1"/>
        <v>26.691412500000002</v>
      </c>
      <c r="AB175" s="138">
        <f ca="1"/>
        <v>7</v>
      </c>
      <c r="AC175" s="103" t="str">
        <f ca="1"/>
        <v>VIGENTE</v>
      </c>
      <c r="AD175" s="150">
        <f ca="1"/>
        <v>2.2499999999999999E-2</v>
      </c>
    </row>
    <row r="176" spans="1:30">
      <c r="A176" s="111" t="str">
        <f ca="1"/>
        <v>MACHACHI</v>
      </c>
      <c r="B176" s="111" t="str">
        <f ca="1"/>
        <v>BEBIDAS LACTEAS</v>
      </c>
      <c r="C176" s="111" t="str">
        <f ca="1"/>
        <v xml:space="preserve">Luis Armendariz                         </v>
      </c>
      <c r="D176" s="111" t="str">
        <f ca="1"/>
        <v>YOGURT KIOSKO</v>
      </c>
      <c r="E176" s="111" t="str">
        <f ca="1"/>
        <v>BEBIDA DE YOGURT KIOSKO BOTELLA PERSONAL</v>
      </c>
      <c r="F176" s="120" t="str">
        <f ca="1"/>
        <v>GUAYAQUIL</v>
      </c>
      <c r="G176" s="120">
        <f ca="1"/>
        <v>7711</v>
      </c>
      <c r="H176" s="120">
        <f ca="1"/>
        <v>1001</v>
      </c>
      <c r="I176" s="120" t="str">
        <f ca="1"/>
        <v>10986</v>
      </c>
      <c r="J176" s="120" t="str">
        <f ca="1"/>
        <v>YOG BBLE KID KK DZNO BOT 120G</v>
      </c>
      <c r="K176" s="121">
        <f ca="1"/>
        <v>1274</v>
      </c>
      <c r="L176" s="122">
        <f ca="1"/>
        <v>1</v>
      </c>
      <c r="M176" s="120">
        <f ca="1"/>
        <v>0.12</v>
      </c>
      <c r="N176" s="121">
        <f ca="1"/>
        <v>45</v>
      </c>
      <c r="O176" s="123">
        <f ca="1"/>
        <v>45605</v>
      </c>
      <c r="P176" s="123" t="str">
        <f ca="1"/>
        <v>sábado</v>
      </c>
      <c r="Q176" s="124">
        <f ca="1"/>
        <v>45597</v>
      </c>
      <c r="R176" s="124">
        <f ca="1"/>
        <v>45641</v>
      </c>
      <c r="S176" s="90">
        <f ca="1"/>
        <v>17</v>
      </c>
      <c r="T176" s="139">
        <f ca="1"/>
        <v>0.37777777777777777</v>
      </c>
      <c r="U176" s="131">
        <f ca="1"/>
        <v>105</v>
      </c>
      <c r="V176" s="120">
        <f ca="1"/>
        <v>12.6</v>
      </c>
      <c r="W176" s="140">
        <f ca="1"/>
        <v>8</v>
      </c>
      <c r="X176" s="139">
        <f ca="1"/>
        <v>0.82222222222222219</v>
      </c>
      <c r="Y176" s="141">
        <f ca="1"/>
        <v>0.26012000000000002</v>
      </c>
      <c r="Z176" s="141">
        <f ca="1"/>
        <v>0.26012000000000002</v>
      </c>
      <c r="AA176" s="142">
        <f ca="1"/>
        <v>3.2775120000000002</v>
      </c>
      <c r="AB176" s="138">
        <f ca="1"/>
        <v>19</v>
      </c>
      <c r="AC176" s="103" t="str">
        <f ca="1"/>
        <v>FECHA CORTA</v>
      </c>
      <c r="AD176" s="150">
        <f ca="1"/>
        <v>1.26E-2</v>
      </c>
    </row>
    <row r="177" spans="1:30">
      <c r="A177" s="111" t="str">
        <f ca="1"/>
        <v>MACHACHI</v>
      </c>
      <c r="B177" s="111" t="str">
        <f ca="1"/>
        <v>BEBIDAS LACTEAS</v>
      </c>
      <c r="C177" s="111" t="str">
        <f ca="1"/>
        <v xml:space="preserve">Luis Armendariz                         </v>
      </c>
      <c r="D177" s="111" t="str">
        <f ca="1"/>
        <v>YOGURT KIOSKO</v>
      </c>
      <c r="E177" s="111" t="str">
        <f ca="1"/>
        <v>BEBIDA DE YOGURT KIOSKO BOTELLA PERSONAL</v>
      </c>
      <c r="F177" s="120" t="str">
        <f ca="1"/>
        <v>GUAYAQUIL</v>
      </c>
      <c r="G177" s="120">
        <f ca="1"/>
        <v>7711</v>
      </c>
      <c r="H177" s="120">
        <f ca="1"/>
        <v>1001</v>
      </c>
      <c r="I177" s="120" t="str">
        <f ca="1"/>
        <v>10986</v>
      </c>
      <c r="J177" s="120" t="str">
        <f ca="1"/>
        <v>YOG BBLE KID KK DZNO BOT 120G</v>
      </c>
      <c r="K177" s="121">
        <f ca="1"/>
        <v>728</v>
      </c>
      <c r="L177" s="122">
        <f ca="1"/>
        <v>1</v>
      </c>
      <c r="M177" s="120">
        <f ca="1"/>
        <v>0.12</v>
      </c>
      <c r="N177" s="121">
        <f ca="1"/>
        <v>45</v>
      </c>
      <c r="O177" s="123">
        <f ca="1"/>
        <v>45616</v>
      </c>
      <c r="P177" s="123" t="str">
        <f ca="1"/>
        <v>miércoles</v>
      </c>
      <c r="Q177" s="124">
        <f ca="1"/>
        <v>45610</v>
      </c>
      <c r="R177" s="124">
        <f ca="1"/>
        <v>45654</v>
      </c>
      <c r="S177" s="90">
        <f ca="1"/>
        <v>30</v>
      </c>
      <c r="T177" s="139">
        <f ca="1"/>
        <v>0.66666666666666663</v>
      </c>
      <c r="U177" s="131">
        <f ca="1"/>
        <v>685</v>
      </c>
      <c r="V177" s="120">
        <f ca="1"/>
        <v>82.2</v>
      </c>
      <c r="W177" s="140">
        <f ca="1"/>
        <v>6</v>
      </c>
      <c r="X177" s="139">
        <f ca="1"/>
        <v>0.8666666666666667</v>
      </c>
      <c r="Y177" s="141">
        <f ca="1"/>
        <v>0.26012000000000002</v>
      </c>
      <c r="Z177" s="141">
        <f ca="1"/>
        <v>0.26012000000000002</v>
      </c>
      <c r="AA177" s="142">
        <f ca="1"/>
        <v>21.381864000000004</v>
      </c>
      <c r="AB177" s="138">
        <f ca="1"/>
        <v>8</v>
      </c>
      <c r="AC177" s="103" t="str">
        <f ca="1"/>
        <v>VIGENTE</v>
      </c>
      <c r="AD177" s="150">
        <f ca="1"/>
        <v>8.2200000000000009E-2</v>
      </c>
    </row>
    <row r="178" spans="1:30">
      <c r="A178" s="111" t="str">
        <f ca="1"/>
        <v>SAN GABRIEL</v>
      </c>
      <c r="B178" s="111" t="str">
        <f ca="1"/>
        <v>QUESOS Y GRASAS</v>
      </c>
      <c r="C178" s="111" t="str">
        <f ca="1"/>
        <v xml:space="preserve">Esteban Montenegro                      </v>
      </c>
      <c r="D178" s="111" t="str">
        <f ca="1"/>
        <v>QUESO SEMIMADURO KIOSKO</v>
      </c>
      <c r="E178" s="111" t="str">
        <f ca="1"/>
        <v>QUESO AMERICANO KIOSKO TAJADO</v>
      </c>
      <c r="F178" s="120" t="str">
        <f ca="1"/>
        <v>GUAYAQUIL</v>
      </c>
      <c r="G178" s="120">
        <f ca="1"/>
        <v>7711</v>
      </c>
      <c r="H178" s="120">
        <f ca="1"/>
        <v>1001</v>
      </c>
      <c r="I178" s="120" t="str">
        <f ca="1"/>
        <v>5717</v>
      </c>
      <c r="J178" s="120" t="str">
        <f ca="1"/>
        <v>Q AMERIC KIOSKO 20 LONJ 300G</v>
      </c>
      <c r="K178" s="121">
        <f ca="1"/>
        <v>30</v>
      </c>
      <c r="L178" s="122">
        <f ca="1"/>
        <v>1</v>
      </c>
      <c r="M178" s="120">
        <f ca="1"/>
        <v>0.3</v>
      </c>
      <c r="N178" s="121">
        <f ca="1"/>
        <v>60</v>
      </c>
      <c r="O178" s="123">
        <f ca="1"/>
        <v>45611</v>
      </c>
      <c r="P178" s="123" t="str">
        <f ca="1"/>
        <v>viernes</v>
      </c>
      <c r="Q178" s="124">
        <f ca="1"/>
        <v>45602</v>
      </c>
      <c r="R178" s="124">
        <f ca="1"/>
        <v>45661</v>
      </c>
      <c r="S178" s="90">
        <f ca="1"/>
        <v>37</v>
      </c>
      <c r="T178" s="139">
        <f ca="1"/>
        <v>0.6166666666666667</v>
      </c>
      <c r="U178" s="131">
        <f ca="1"/>
        <v>29</v>
      </c>
      <c r="V178" s="120">
        <f ca="1"/>
        <v>8.6999999999999993</v>
      </c>
      <c r="W178" s="140">
        <f ca="1"/>
        <v>9</v>
      </c>
      <c r="X178" s="139">
        <f ca="1"/>
        <v>0.85</v>
      </c>
      <c r="Y178" s="141">
        <f ca="1"/>
        <v>1.9980950000000002</v>
      </c>
      <c r="Z178" s="141">
        <f ca="1"/>
        <v>1.9980950000000002</v>
      </c>
      <c r="AA178" s="142">
        <f ca="1"/>
        <v>17.383426499999999</v>
      </c>
      <c r="AB178" s="138">
        <f ca="1"/>
        <v>13</v>
      </c>
      <c r="AC178" s="103" t="str">
        <f ca="1"/>
        <v>VIGENTE</v>
      </c>
      <c r="AD178" s="150">
        <f ca="1"/>
        <v>8.6999999999999994E-3</v>
      </c>
    </row>
    <row r="179" spans="1:30">
      <c r="A179" s="111" t="str">
        <f ca="1"/>
        <v>MACHACHI</v>
      </c>
      <c r="B179" s="111" t="str">
        <f ca="1"/>
        <v>BEBIDAS LACTEAS</v>
      </c>
      <c r="C179" s="111" t="str">
        <f ca="1"/>
        <v xml:space="preserve">Luis Armendariz                         </v>
      </c>
      <c r="D179" s="111" t="str">
        <f ca="1"/>
        <v>YOGURT KIOSKO</v>
      </c>
      <c r="E179" s="111" t="str">
        <f ca="1"/>
        <v>BEBIDA DE YOGURT KIOSKO BOTELLA FAMILIAR</v>
      </c>
      <c r="F179" s="120" t="str">
        <f ca="1"/>
        <v>GUAYAQUIL</v>
      </c>
      <c r="G179" s="120">
        <f ca="1"/>
        <v>7711</v>
      </c>
      <c r="H179" s="120">
        <f ca="1"/>
        <v>1001</v>
      </c>
      <c r="I179" s="120" t="str">
        <f ca="1"/>
        <v>11107</v>
      </c>
      <c r="J179" s="120" t="str">
        <f ca="1"/>
        <v>YOG BBLE KIOSKO DZNO BOT 950G</v>
      </c>
      <c r="K179" s="121">
        <f ca="1"/>
        <v>18</v>
      </c>
      <c r="L179" s="122">
        <f ca="1"/>
        <v>1</v>
      </c>
      <c r="M179" s="120">
        <f ca="1"/>
        <v>0.95</v>
      </c>
      <c r="N179" s="121">
        <f ca="1"/>
        <v>45</v>
      </c>
      <c r="O179" s="123">
        <f ca="1"/>
        <v>45605</v>
      </c>
      <c r="P179" s="123" t="str">
        <f ca="1"/>
        <v>sábado</v>
      </c>
      <c r="Q179" s="124">
        <f ca="1"/>
        <v>45596</v>
      </c>
      <c r="R179" s="124">
        <f ca="1"/>
        <v>45640</v>
      </c>
      <c r="S179" s="90">
        <f ca="1"/>
        <v>16</v>
      </c>
      <c r="T179" s="139">
        <f ca="1"/>
        <v>0.35555555555555557</v>
      </c>
      <c r="U179" s="131">
        <f ca="1"/>
        <v>7</v>
      </c>
      <c r="V179" s="120">
        <f ca="1"/>
        <v>6.6499999999999995</v>
      </c>
      <c r="W179" s="140">
        <f ca="1"/>
        <v>9</v>
      </c>
      <c r="X179" s="139">
        <f ca="1"/>
        <v>0.8</v>
      </c>
      <c r="Y179" s="141">
        <f ca="1"/>
        <v>1.055175</v>
      </c>
      <c r="Z179" s="141">
        <f ca="1"/>
        <v>1.055175</v>
      </c>
      <c r="AA179" s="142">
        <f ca="1"/>
        <v>7.0169137499999996</v>
      </c>
      <c r="AB179" s="138">
        <f ca="1"/>
        <v>19</v>
      </c>
      <c r="AC179" s="103" t="str">
        <f ca="1"/>
        <v>FECHA CORTA</v>
      </c>
      <c r="AD179" s="150">
        <f ca="1"/>
        <v>6.6499999999999997E-3</v>
      </c>
    </row>
    <row r="180" spans="1:30">
      <c r="A180" s="111" t="str">
        <f ca="1"/>
        <v>MACHACHI</v>
      </c>
      <c r="B180" s="111" t="str">
        <f ca="1"/>
        <v>BEBIDAS LACTEAS</v>
      </c>
      <c r="C180" s="111" t="str">
        <f ca="1"/>
        <v xml:space="preserve">Luis Armendariz                         </v>
      </c>
      <c r="D180" s="111" t="str">
        <f ca="1"/>
        <v>YOGURT KIOSKO</v>
      </c>
      <c r="E180" s="111" t="str">
        <f ca="1"/>
        <v>BEBIDA DE YOGURT KIOSKO BOTELLA FAMILIAR</v>
      </c>
      <c r="F180" s="120" t="str">
        <f ca="1"/>
        <v>GUAYAQUIL</v>
      </c>
      <c r="G180" s="120">
        <f ca="1"/>
        <v>7711</v>
      </c>
      <c r="H180" s="120">
        <f ca="1"/>
        <v>1001</v>
      </c>
      <c r="I180" s="120" t="str">
        <f ca="1"/>
        <v>11107</v>
      </c>
      <c r="J180" s="120" t="str">
        <f ca="1"/>
        <v>YOG BBLE KIOSKO DZNO BOT 950G</v>
      </c>
      <c r="K180" s="121">
        <f ca="1"/>
        <v>18</v>
      </c>
      <c r="L180" s="122">
        <f ca="1"/>
        <v>1</v>
      </c>
      <c r="M180" s="120">
        <f ca="1"/>
        <v>0.95</v>
      </c>
      <c r="N180" s="121">
        <f ca="1"/>
        <v>45</v>
      </c>
      <c r="O180" s="123">
        <f ca="1"/>
        <v>45612</v>
      </c>
      <c r="P180" s="123" t="str">
        <f ca="1"/>
        <v>sábado</v>
      </c>
      <c r="Q180" s="124">
        <f ca="1"/>
        <v>45604</v>
      </c>
      <c r="R180" s="124">
        <f ca="1"/>
        <v>45648</v>
      </c>
      <c r="S180" s="90">
        <f ca="1"/>
        <v>24</v>
      </c>
      <c r="T180" s="139">
        <f ca="1"/>
        <v>0.53333333333333333</v>
      </c>
      <c r="U180" s="131">
        <f ca="1"/>
        <v>18</v>
      </c>
      <c r="V180" s="120">
        <f ca="1"/>
        <v>17.099999999999998</v>
      </c>
      <c r="W180" s="140">
        <f ca="1"/>
        <v>8</v>
      </c>
      <c r="X180" s="139">
        <f ca="1"/>
        <v>0.82222222222222219</v>
      </c>
      <c r="Y180" s="141">
        <f ca="1"/>
        <v>1.055175</v>
      </c>
      <c r="Z180" s="141">
        <f ca="1"/>
        <v>1.055175</v>
      </c>
      <c r="AA180" s="142">
        <f ca="1"/>
        <v>18.043492499999996</v>
      </c>
      <c r="AB180" s="138">
        <f ca="1"/>
        <v>12</v>
      </c>
      <c r="AC180" s="103" t="str">
        <f ca="1"/>
        <v>PROXIMOS FECHA CORTA</v>
      </c>
      <c r="AD180" s="150">
        <f ca="1"/>
        <v>1.7099999999999997E-2</v>
      </c>
    </row>
    <row r="181" spans="1:30">
      <c r="A181" s="111" t="str">
        <f ca="1"/>
        <v>MACHACHI</v>
      </c>
      <c r="B181" s="111" t="str">
        <f ca="1"/>
        <v>BEBIDAS LACTEAS</v>
      </c>
      <c r="C181" s="111" t="str">
        <f ca="1"/>
        <v xml:space="preserve">Luis Armendariz                         </v>
      </c>
      <c r="D181" s="111" t="str">
        <f ca="1"/>
        <v>YOGURT KIOSKO</v>
      </c>
      <c r="E181" s="111" t="str">
        <f ca="1"/>
        <v>BEBIDA DE YOGURT KIOSKO BOTELLA FAMILIAR</v>
      </c>
      <c r="F181" s="120" t="str">
        <f ca="1"/>
        <v>GUAYAQUIL</v>
      </c>
      <c r="G181" s="120">
        <f ca="1"/>
        <v>7711</v>
      </c>
      <c r="H181" s="120">
        <f ca="1"/>
        <v>1001</v>
      </c>
      <c r="I181" s="120" t="str">
        <f ca="1"/>
        <v>11107</v>
      </c>
      <c r="J181" s="120" t="str">
        <f ca="1"/>
        <v>YOG BBLE KIOSKO DZNO BOT 950G</v>
      </c>
      <c r="K181" s="121">
        <f ca="1"/>
        <v>18</v>
      </c>
      <c r="L181" s="122">
        <f ca="1"/>
        <v>1</v>
      </c>
      <c r="M181" s="120">
        <f ca="1"/>
        <v>0.95</v>
      </c>
      <c r="N181" s="121">
        <f ca="1"/>
        <v>45</v>
      </c>
      <c r="O181" s="123">
        <f ca="1"/>
        <v>45610</v>
      </c>
      <c r="P181" s="123" t="str">
        <f ca="1"/>
        <v>jueves</v>
      </c>
      <c r="Q181" s="124">
        <f ca="1"/>
        <v>45604</v>
      </c>
      <c r="R181" s="124">
        <f ca="1"/>
        <v>45648</v>
      </c>
      <c r="S181" s="90">
        <f ca="1"/>
        <v>24</v>
      </c>
      <c r="T181" s="139">
        <f ca="1"/>
        <v>0.53333333333333333</v>
      </c>
      <c r="U181" s="131">
        <f ca="1"/>
        <v>8</v>
      </c>
      <c r="V181" s="120">
        <f ca="1"/>
        <v>7.6</v>
      </c>
      <c r="W181" s="140">
        <f ca="1"/>
        <v>6</v>
      </c>
      <c r="X181" s="139">
        <f ca="1"/>
        <v>0.8666666666666667</v>
      </c>
      <c r="Y181" s="141">
        <f ca="1"/>
        <v>1.055175</v>
      </c>
      <c r="Z181" s="141">
        <f ca="1"/>
        <v>1.055175</v>
      </c>
      <c r="AA181" s="142">
        <f ca="1"/>
        <v>8.0193300000000001</v>
      </c>
      <c r="AB181" s="138">
        <f ca="1"/>
        <v>14</v>
      </c>
      <c r="AC181" s="103" t="str">
        <f ca="1"/>
        <v>PROXIMOS FECHA CORTA</v>
      </c>
      <c r="AD181" s="150">
        <f ca="1"/>
        <v>7.6E-3</v>
      </c>
    </row>
    <row r="182" spans="1:30">
      <c r="A182" s="111" t="str">
        <f ca="1"/>
        <v>MACHACHI</v>
      </c>
      <c r="B182" s="111" t="str">
        <f ca="1"/>
        <v>BEBIDAS LACTEAS</v>
      </c>
      <c r="C182" s="111" t="str">
        <f ca="1"/>
        <v xml:space="preserve">Luis Armendariz                         </v>
      </c>
      <c r="D182" s="111" t="str">
        <f ca="1"/>
        <v>YOGURT KIOSKO</v>
      </c>
      <c r="E182" s="111" t="str">
        <f ca="1"/>
        <v>BEBIDA DE YOGURT KIOSKO BOTELLA FAMILIAR</v>
      </c>
      <c r="F182" s="120" t="str">
        <f ca="1"/>
        <v>GUAYAQUIL</v>
      </c>
      <c r="G182" s="120">
        <f ca="1"/>
        <v>7711</v>
      </c>
      <c r="H182" s="120">
        <f ca="1"/>
        <v>1001</v>
      </c>
      <c r="I182" s="120" t="str">
        <f ca="1"/>
        <v>11107</v>
      </c>
      <c r="J182" s="120" t="str">
        <f ca="1"/>
        <v>YOG BBLE KIOSKO DZNO BOT 950G</v>
      </c>
      <c r="K182" s="121">
        <f ca="1"/>
        <v>36</v>
      </c>
      <c r="L182" s="122">
        <f ca="1"/>
        <v>1</v>
      </c>
      <c r="M182" s="120">
        <f ca="1"/>
        <v>0.95</v>
      </c>
      <c r="N182" s="121">
        <f ca="1"/>
        <v>45</v>
      </c>
      <c r="O182" s="123">
        <f ca="1"/>
        <v>45615</v>
      </c>
      <c r="P182" s="123" t="str">
        <f ca="1"/>
        <v>martes</v>
      </c>
      <c r="Q182" s="124">
        <f ca="1"/>
        <v>45611</v>
      </c>
      <c r="R182" s="124">
        <f ca="1"/>
        <v>45655</v>
      </c>
      <c r="S182" s="90">
        <f ca="1"/>
        <v>31</v>
      </c>
      <c r="T182" s="139">
        <f ca="1"/>
        <v>0.68888888888888888</v>
      </c>
      <c r="U182" s="131">
        <f ca="1"/>
        <v>18</v>
      </c>
      <c r="V182" s="120">
        <f ca="1"/>
        <v>17.099999999999998</v>
      </c>
      <c r="W182" s="140">
        <f ca="1"/>
        <v>4</v>
      </c>
      <c r="X182" s="139">
        <f ca="1"/>
        <v>0.91111111111111109</v>
      </c>
      <c r="Y182" s="141">
        <f ca="1"/>
        <v>1.055175</v>
      </c>
      <c r="Z182" s="141">
        <f ca="1"/>
        <v>1.055175</v>
      </c>
      <c r="AA182" s="142">
        <f ca="1"/>
        <v>18.043492499999996</v>
      </c>
      <c r="AB182" s="138">
        <f ca="1"/>
        <v>9</v>
      </c>
      <c r="AC182" s="103" t="str">
        <f ca="1"/>
        <v>VIGENTE</v>
      </c>
      <c r="AD182" s="150">
        <f ca="1"/>
        <v>1.7099999999999997E-2</v>
      </c>
    </row>
    <row r="183" spans="1:30">
      <c r="A183" s="111" t="str">
        <f ca="1"/>
        <v>MACHACHI</v>
      </c>
      <c r="B183" s="111" t="str">
        <f ca="1"/>
        <v>BEBIDAS LACTEAS</v>
      </c>
      <c r="C183" s="111" t="str">
        <f ca="1"/>
        <v xml:space="preserve">Luis Armendariz                         </v>
      </c>
      <c r="D183" s="111" t="str">
        <f ca="1"/>
        <v>YOGURT KIOSKO</v>
      </c>
      <c r="E183" s="111" t="str">
        <f ca="1"/>
        <v>BEBIDA DE YOGURT KIOSKO BOTELLA FAMILIAR</v>
      </c>
      <c r="F183" s="120" t="str">
        <f ca="1"/>
        <v>GUAYAQUIL</v>
      </c>
      <c r="G183" s="120">
        <f ca="1"/>
        <v>7711</v>
      </c>
      <c r="H183" s="120">
        <f ca="1"/>
        <v>1001</v>
      </c>
      <c r="I183" s="120" t="str">
        <f ca="1"/>
        <v>11107</v>
      </c>
      <c r="J183" s="120" t="str">
        <f ca="1"/>
        <v>YOG BBLE KIOSKO DZNO BOT 950G</v>
      </c>
      <c r="K183" s="121">
        <f ca="1"/>
        <v>36</v>
      </c>
      <c r="L183" s="122">
        <f ca="1"/>
        <v>1</v>
      </c>
      <c r="M183" s="120">
        <f ca="1"/>
        <v>0.95</v>
      </c>
      <c r="N183" s="121">
        <f ca="1"/>
        <v>45</v>
      </c>
      <c r="O183" s="123">
        <f ca="1"/>
        <v>45616</v>
      </c>
      <c r="P183" s="123" t="str">
        <f ca="1"/>
        <v>miércoles</v>
      </c>
      <c r="Q183" s="124">
        <f ca="1"/>
        <v>45611</v>
      </c>
      <c r="R183" s="124">
        <f ca="1"/>
        <v>45655</v>
      </c>
      <c r="S183" s="90">
        <f ca="1"/>
        <v>31</v>
      </c>
      <c r="T183" s="139">
        <f ca="1"/>
        <v>0.68888888888888888</v>
      </c>
      <c r="U183" s="131">
        <f ca="1"/>
        <v>36</v>
      </c>
      <c r="V183" s="120">
        <f ca="1"/>
        <v>34.199999999999996</v>
      </c>
      <c r="W183" s="140">
        <f ca="1"/>
        <v>5</v>
      </c>
      <c r="X183" s="139">
        <f ca="1"/>
        <v>0.88888888888888884</v>
      </c>
      <c r="Y183" s="141">
        <f ca="1"/>
        <v>1.055175</v>
      </c>
      <c r="Z183" s="141">
        <f ca="1"/>
        <v>1.055175</v>
      </c>
      <c r="AA183" s="142">
        <f ca="1"/>
        <v>36.086984999999991</v>
      </c>
      <c r="AB183" s="138">
        <f ca="1"/>
        <v>8</v>
      </c>
      <c r="AC183" s="103" t="str">
        <f ca="1"/>
        <v>VIGENTE</v>
      </c>
      <c r="AD183" s="150">
        <f ca="1"/>
        <v>3.4199999999999994E-2</v>
      </c>
    </row>
    <row r="184" spans="1:30">
      <c r="A184" s="111" t="str">
        <f ca="1"/>
        <v>MACHACHI</v>
      </c>
      <c r="B184" s="111" t="str">
        <f ca="1"/>
        <v>BEBIDAS LACTEAS</v>
      </c>
      <c r="C184" s="111" t="str">
        <f ca="1"/>
        <v xml:space="preserve">Luis Armendariz                         </v>
      </c>
      <c r="D184" s="111" t="str">
        <f ca="1"/>
        <v>YOGURT KIOSKO</v>
      </c>
      <c r="E184" s="111" t="str">
        <f ca="1"/>
        <v>BEBIDA DE YOGURT KIOSKO BOTELLA FAMILIAR</v>
      </c>
      <c r="F184" s="120" t="str">
        <f ca="1"/>
        <v>GUAYAQUIL</v>
      </c>
      <c r="G184" s="120">
        <f ca="1"/>
        <v>7711</v>
      </c>
      <c r="H184" s="120">
        <f ca="1"/>
        <v>1001</v>
      </c>
      <c r="I184" s="120" t="str">
        <f ca="1"/>
        <v>11107</v>
      </c>
      <c r="J184" s="120" t="str">
        <f ca="1"/>
        <v>YOG BBLE KIOSKO DZNO BOT 950G</v>
      </c>
      <c r="K184" s="121">
        <f ca="1"/>
        <v>18</v>
      </c>
      <c r="L184" s="122">
        <f ca="1"/>
        <v>1</v>
      </c>
      <c r="M184" s="120">
        <f ca="1"/>
        <v>0.95</v>
      </c>
      <c r="N184" s="121">
        <f ca="1"/>
        <v>45</v>
      </c>
      <c r="O184" s="123">
        <f ca="1"/>
        <v>45617</v>
      </c>
      <c r="P184" s="123" t="str">
        <f ca="1"/>
        <v>jueves</v>
      </c>
      <c r="Q184" s="124">
        <f ca="1"/>
        <v>45611</v>
      </c>
      <c r="R184" s="124">
        <f ca="1"/>
        <v>45655</v>
      </c>
      <c r="S184" s="90">
        <f ca="1"/>
        <v>31</v>
      </c>
      <c r="T184" s="139">
        <f ca="1"/>
        <v>0.68888888888888888</v>
      </c>
      <c r="U184" s="131">
        <f ca="1"/>
        <v>18</v>
      </c>
      <c r="V184" s="120">
        <f ca="1"/>
        <v>17.099999999999998</v>
      </c>
      <c r="W184" s="140">
        <f ca="1"/>
        <v>6</v>
      </c>
      <c r="X184" s="139">
        <f ca="1"/>
        <v>0.8666666666666667</v>
      </c>
      <c r="Y184" s="141">
        <f ca="1"/>
        <v>1.055175</v>
      </c>
      <c r="Z184" s="141">
        <f ca="1"/>
        <v>1.055175</v>
      </c>
      <c r="AA184" s="142">
        <f ca="1"/>
        <v>18.043492499999996</v>
      </c>
      <c r="AB184" s="138">
        <f ca="1"/>
        <v>7</v>
      </c>
      <c r="AC184" s="103" t="str">
        <f ca="1"/>
        <v>VIGENTE</v>
      </c>
      <c r="AD184" s="150">
        <f ca="1"/>
        <v>1.7099999999999997E-2</v>
      </c>
    </row>
    <row r="185" spans="1:30">
      <c r="A185" s="111" t="str">
        <f ca="1"/>
        <v>MACHACHI</v>
      </c>
      <c r="B185" s="111" t="str">
        <f ca="1"/>
        <v>BEBIDAS LACTEAS</v>
      </c>
      <c r="C185" s="111" t="str">
        <f ca="1"/>
        <v xml:space="preserve">Luis Armendariz                         </v>
      </c>
      <c r="D185" s="111" t="str">
        <f ca="1"/>
        <v>YOGURT KIOSKO</v>
      </c>
      <c r="E185" s="111" t="str">
        <f ca="1"/>
        <v>GRIEGO SABORIZADO</v>
      </c>
      <c r="F185" s="120" t="str">
        <f ca="1"/>
        <v>GUAYAQUIL</v>
      </c>
      <c r="G185" s="120">
        <f ca="1"/>
        <v>7711</v>
      </c>
      <c r="H185" s="120">
        <f ca="1"/>
        <v>1001</v>
      </c>
      <c r="I185" s="120" t="str">
        <f ca="1"/>
        <v>16510</v>
      </c>
      <c r="J185" s="120" t="str">
        <f ca="1"/>
        <v>GRIEG KIOSKO FRUT ROJ 120</v>
      </c>
      <c r="K185" s="121">
        <f ca="1"/>
        <v>360</v>
      </c>
      <c r="L185" s="122">
        <f ca="1"/>
        <v>1</v>
      </c>
      <c r="M185" s="120">
        <f ca="1"/>
        <v>0.12</v>
      </c>
      <c r="N185" s="121">
        <f ca="1"/>
        <v>45</v>
      </c>
      <c r="O185" s="123">
        <f ca="1"/>
        <v>45612</v>
      </c>
      <c r="P185" s="123" t="str">
        <f ca="1"/>
        <v>sábado</v>
      </c>
      <c r="Q185" s="124">
        <f ca="1"/>
        <v>45611</v>
      </c>
      <c r="R185" s="124">
        <f ca="1"/>
        <v>45655</v>
      </c>
      <c r="S185" s="90">
        <f ca="1"/>
        <v>31</v>
      </c>
      <c r="T185" s="139">
        <f ca="1"/>
        <v>0.68888888888888888</v>
      </c>
      <c r="U185" s="131">
        <f ca="1"/>
        <v>116</v>
      </c>
      <c r="V185" s="120">
        <f ca="1"/>
        <v>13.92</v>
      </c>
      <c r="W185" s="140">
        <f ca="1"/>
        <v>1</v>
      </c>
      <c r="X185" s="139">
        <f ca="1"/>
        <v>0.97777777777777775</v>
      </c>
      <c r="Y185" s="141">
        <f ca="1"/>
        <v>0.37374000000000002</v>
      </c>
      <c r="Z185" s="141">
        <f ca="1"/>
        <v>0.37374000000000002</v>
      </c>
      <c r="AA185" s="142">
        <f ca="1"/>
        <v>5.2024607999999999</v>
      </c>
      <c r="AB185" s="138">
        <f ca="1"/>
        <v>12</v>
      </c>
      <c r="AC185" s="103" t="str">
        <f ca="1"/>
        <v>VIGENTE</v>
      </c>
      <c r="AD185" s="150">
        <f ca="1"/>
        <v>1.392E-2</v>
      </c>
    </row>
    <row r="186" spans="1:30">
      <c r="A186" s="111" t="str">
        <f ca="1"/>
        <v>MACHACHI</v>
      </c>
      <c r="B186" s="111" t="str">
        <f ca="1"/>
        <v>BEBIDAS LACTEAS</v>
      </c>
      <c r="C186" s="111" t="str">
        <f ca="1"/>
        <v xml:space="preserve">Luis Armendariz                         </v>
      </c>
      <c r="D186" s="111" t="str">
        <f ca="1"/>
        <v>YOGURT KIOSKO</v>
      </c>
      <c r="E186" s="111" t="str">
        <f ca="1"/>
        <v>GRIEGO SABORIZADO</v>
      </c>
      <c r="F186" s="120" t="str">
        <f ca="1"/>
        <v>GUAYAQUIL</v>
      </c>
      <c r="G186" s="120">
        <f ca="1"/>
        <v>7711</v>
      </c>
      <c r="H186" s="120">
        <f ca="1"/>
        <v>1001</v>
      </c>
      <c r="I186" s="120" t="str">
        <f ca="1"/>
        <v>16512</v>
      </c>
      <c r="J186" s="120" t="str">
        <f ca="1"/>
        <v>GRIEG KIOSKO MOR Y ARAND 400</v>
      </c>
      <c r="K186" s="121">
        <f ca="1"/>
        <v>80</v>
      </c>
      <c r="L186" s="122">
        <f ca="1"/>
        <v>1</v>
      </c>
      <c r="M186" s="120">
        <f ca="1"/>
        <v>0.4</v>
      </c>
      <c r="N186" s="121">
        <f ca="1"/>
        <v>45</v>
      </c>
      <c r="O186" s="123">
        <f ca="1"/>
        <v>45612</v>
      </c>
      <c r="P186" s="123" t="str">
        <f ca="1"/>
        <v>sábado</v>
      </c>
      <c r="Q186" s="124">
        <f ca="1"/>
        <v>45611</v>
      </c>
      <c r="R186" s="124">
        <f ca="1"/>
        <v>45655</v>
      </c>
      <c r="S186" s="90">
        <f ca="1"/>
        <v>31</v>
      </c>
      <c r="T186" s="139">
        <f ca="1"/>
        <v>0.68888888888888888</v>
      </c>
      <c r="U186" s="131">
        <f ca="1"/>
        <v>80</v>
      </c>
      <c r="V186" s="120">
        <f ca="1"/>
        <v>32</v>
      </c>
      <c r="W186" s="140">
        <f ca="1"/>
        <v>1</v>
      </c>
      <c r="X186" s="139">
        <f ca="1"/>
        <v>0.97777777777777775</v>
      </c>
      <c r="Y186" s="141">
        <f ca="1"/>
        <v>1.0693199999999998</v>
      </c>
      <c r="Z186" s="141">
        <f ca="1"/>
        <v>1.0693199999999998</v>
      </c>
      <c r="AA186" s="142">
        <f ca="1"/>
        <v>34.218239999999994</v>
      </c>
      <c r="AB186" s="138">
        <f ca="1"/>
        <v>12</v>
      </c>
      <c r="AC186" s="103" t="str">
        <f ca="1"/>
        <v>VIGENTE</v>
      </c>
      <c r="AD186" s="150">
        <f ca="1"/>
        <v>3.2000000000000001E-2</v>
      </c>
    </row>
    <row r="187" spans="1:30">
      <c r="A187" s="111" t="str">
        <f ca="1"/>
        <v>MACHACHI</v>
      </c>
      <c r="B187" s="111" t="str">
        <f ca="1"/>
        <v>BEBIDAS LACTEAS</v>
      </c>
      <c r="C187" s="111" t="str">
        <f ca="1"/>
        <v xml:space="preserve">Luis Armendariz                         </v>
      </c>
      <c r="D187" s="111" t="str">
        <f ca="1"/>
        <v>YOGURT KIOSKO</v>
      </c>
      <c r="E187" s="111" t="str">
        <f ca="1"/>
        <v>GRIEGO SABORIZADO</v>
      </c>
      <c r="F187" s="120" t="str">
        <f ca="1"/>
        <v>GUAYAQUIL</v>
      </c>
      <c r="G187" s="120">
        <f ca="1"/>
        <v>7711</v>
      </c>
      <c r="H187" s="120">
        <f ca="1"/>
        <v>1001</v>
      </c>
      <c r="I187" s="120" t="str">
        <f ca="1"/>
        <v>16512</v>
      </c>
      <c r="J187" s="120" t="str">
        <f ca="1"/>
        <v>GRIEG KIOSKO MOR Y ARAND 400</v>
      </c>
      <c r="K187" s="121">
        <f ca="1"/>
        <v>40</v>
      </c>
      <c r="L187" s="122">
        <f ca="1"/>
        <v>1</v>
      </c>
      <c r="M187" s="120">
        <f ca="1"/>
        <v>0.4</v>
      </c>
      <c r="N187" s="121">
        <f ca="1"/>
        <v>45</v>
      </c>
      <c r="O187" s="123">
        <f ca="1"/>
        <v>45611</v>
      </c>
      <c r="P187" s="123" t="str">
        <f ca="1"/>
        <v>viernes</v>
      </c>
      <c r="Q187" s="124">
        <f ca="1"/>
        <v>45611</v>
      </c>
      <c r="R187" s="124">
        <f ca="1"/>
        <v>45655</v>
      </c>
      <c r="S187" s="90">
        <f ca="1"/>
        <v>31</v>
      </c>
      <c r="T187" s="139">
        <f ca="1"/>
        <v>0.68888888888888888</v>
      </c>
      <c r="U187" s="131">
        <f ca="1"/>
        <v>35</v>
      </c>
      <c r="V187" s="120">
        <f ca="1"/>
        <v>14</v>
      </c>
      <c r="W187" s="140">
        <f ca="1"/>
        <v>0</v>
      </c>
      <c r="X187" s="139">
        <f ca="1"/>
        <v>1</v>
      </c>
      <c r="Y187" s="141">
        <f ca="1"/>
        <v>1.0693199999999998</v>
      </c>
      <c r="Z187" s="141">
        <f ca="1"/>
        <v>1.0693199999999998</v>
      </c>
      <c r="AA187" s="142">
        <f ca="1"/>
        <v>14.970479999999998</v>
      </c>
      <c r="AB187" s="138">
        <f ca="1"/>
        <v>13</v>
      </c>
      <c r="AC187" s="103" t="str">
        <f ca="1"/>
        <v>VIGENTE</v>
      </c>
      <c r="AD187" s="150">
        <f ca="1"/>
        <v>1.4E-2</v>
      </c>
    </row>
    <row r="188" spans="1:30">
      <c r="A188" s="111" t="str">
        <f ca="1"/>
        <v>MACHACHI</v>
      </c>
      <c r="B188" s="111" t="str">
        <f ca="1"/>
        <v>BEBIDAS LACTEAS</v>
      </c>
      <c r="C188" s="111" t="str">
        <f ca="1"/>
        <v xml:space="preserve">Luis Armendariz                         </v>
      </c>
      <c r="D188" s="111" t="str">
        <f ca="1"/>
        <v>YOGURT FINESSE</v>
      </c>
      <c r="E188" s="111" t="str">
        <f ca="1"/>
        <v>YOGURT FINESSE DESLACT BOTELLA PERSONAL</v>
      </c>
      <c r="F188" s="120" t="str">
        <f ca="1"/>
        <v>GUAYAQUIL</v>
      </c>
      <c r="G188" s="120">
        <f ca="1"/>
        <v>7711</v>
      </c>
      <c r="H188" s="120">
        <f ca="1"/>
        <v>1001</v>
      </c>
      <c r="I188" s="120" t="str">
        <f ca="1"/>
        <v>16366</v>
      </c>
      <c r="J188" s="120" t="str">
        <f ca="1"/>
        <v>YOG FNSSE VAINILLA 180</v>
      </c>
      <c r="K188" s="121">
        <f ca="1"/>
        <v>216</v>
      </c>
      <c r="L188" s="122">
        <f ca="1"/>
        <v>1</v>
      </c>
      <c r="M188" s="120">
        <f ca="1"/>
        <v>0.18</v>
      </c>
      <c r="N188" s="121">
        <f ca="1"/>
        <v>45</v>
      </c>
      <c r="O188" s="123">
        <f ca="1"/>
        <v>45601</v>
      </c>
      <c r="P188" s="123" t="str">
        <f ca="1"/>
        <v>martes</v>
      </c>
      <c r="Q188" s="124">
        <f ca="1"/>
        <v>45590</v>
      </c>
      <c r="R188" s="124">
        <f ca="1"/>
        <v>45634</v>
      </c>
      <c r="S188" s="90">
        <f ca="1"/>
        <v>10</v>
      </c>
      <c r="T188" s="139">
        <f ca="1"/>
        <v>0.22222222222222221</v>
      </c>
      <c r="U188" s="131">
        <f ca="1"/>
        <v>70</v>
      </c>
      <c r="V188" s="120">
        <f ca="1"/>
        <v>12.6</v>
      </c>
      <c r="W188" s="140">
        <f ca="1"/>
        <v>11</v>
      </c>
      <c r="X188" s="139">
        <f ca="1"/>
        <v>0.75555555555555554</v>
      </c>
      <c r="Y188" s="141">
        <f ca="1"/>
        <v>0.286325</v>
      </c>
      <c r="Z188" s="141">
        <f ca="1"/>
        <v>0.286325</v>
      </c>
      <c r="AA188" s="142">
        <f ca="1"/>
        <v>3.6076949999999997</v>
      </c>
      <c r="AB188" s="138">
        <f ca="1"/>
        <v>23</v>
      </c>
      <c r="AC188" s="103" t="str">
        <f ca="1"/>
        <v>FECHA CORTA</v>
      </c>
      <c r="AD188" s="150">
        <f ca="1"/>
        <v>1.26E-2</v>
      </c>
    </row>
    <row r="189" spans="1:30">
      <c r="A189" s="111" t="str">
        <f ca="1"/>
        <v>MACHACHI</v>
      </c>
      <c r="B189" s="111" t="str">
        <f ca="1"/>
        <v>BEBIDAS LACTEAS</v>
      </c>
      <c r="C189" s="111" t="str">
        <f ca="1"/>
        <v xml:space="preserve">Luis Armendariz                         </v>
      </c>
      <c r="D189" s="111" t="str">
        <f ca="1"/>
        <v>YOGURT FINESSE</v>
      </c>
      <c r="E189" s="111" t="str">
        <f ca="1"/>
        <v>YOGURT FINESSE DESLACT BOTELLA PERSONAL</v>
      </c>
      <c r="F189" s="120" t="str">
        <f ca="1"/>
        <v>GUAYAQUIL</v>
      </c>
      <c r="G189" s="120">
        <f ca="1"/>
        <v>7711</v>
      </c>
      <c r="H189" s="120">
        <f ca="1"/>
        <v>1001</v>
      </c>
      <c r="I189" s="120" t="str">
        <f ca="1"/>
        <v>16366</v>
      </c>
      <c r="J189" s="120" t="str">
        <f ca="1"/>
        <v>YOG FNSSE VAINILLA 180</v>
      </c>
      <c r="K189" s="121">
        <f ca="1"/>
        <v>108</v>
      </c>
      <c r="L189" s="122">
        <f ca="1"/>
        <v>1</v>
      </c>
      <c r="M189" s="120">
        <f ca="1"/>
        <v>0.18</v>
      </c>
      <c r="N189" s="121">
        <f ca="1"/>
        <v>45</v>
      </c>
      <c r="O189" s="123">
        <f ca="1"/>
        <v>45612</v>
      </c>
      <c r="P189" s="123" t="str">
        <f ca="1"/>
        <v>sábado</v>
      </c>
      <c r="Q189" s="124">
        <f ca="1"/>
        <v>45604</v>
      </c>
      <c r="R189" s="124">
        <f ca="1"/>
        <v>45648</v>
      </c>
      <c r="S189" s="90">
        <f ca="1"/>
        <v>24</v>
      </c>
      <c r="T189" s="139">
        <f ca="1"/>
        <v>0.53333333333333333</v>
      </c>
      <c r="U189" s="131">
        <f ca="1"/>
        <v>98</v>
      </c>
      <c r="V189" s="120">
        <f ca="1"/>
        <v>17.64</v>
      </c>
      <c r="W189" s="140">
        <f ca="1"/>
        <v>8</v>
      </c>
      <c r="X189" s="139">
        <f ca="1"/>
        <v>0.82222222222222219</v>
      </c>
      <c r="Y189" s="141">
        <f ca="1"/>
        <v>0.286325</v>
      </c>
      <c r="Z189" s="141">
        <f ca="1"/>
        <v>0.286325</v>
      </c>
      <c r="AA189" s="142">
        <f ca="1"/>
        <v>5.0507730000000004</v>
      </c>
      <c r="AB189" s="138">
        <f ca="1"/>
        <v>12</v>
      </c>
      <c r="AC189" s="103" t="str">
        <f ca="1"/>
        <v>PROXIMOS FECHA CORTA</v>
      </c>
      <c r="AD189" s="150">
        <f ca="1"/>
        <v>1.7639999999999999E-2</v>
      </c>
    </row>
    <row r="190" spans="1:30">
      <c r="A190" s="111" t="str">
        <f ca="1"/>
        <v>MACHACHI</v>
      </c>
      <c r="B190" s="111" t="str">
        <f ca="1"/>
        <v>BEBIDAS LACTEAS</v>
      </c>
      <c r="C190" s="111" t="str">
        <f ca="1"/>
        <v xml:space="preserve">Luis Armendariz                         </v>
      </c>
      <c r="D190" s="111" t="str">
        <f ca="1"/>
        <v>YOGURT FINESSE</v>
      </c>
      <c r="E190" s="111" t="str">
        <f ca="1"/>
        <v>YOGURT FINESSE DESLACT BOTELLA PERSONAL</v>
      </c>
      <c r="F190" s="120" t="str">
        <f ca="1"/>
        <v>GUAYAQUIL</v>
      </c>
      <c r="G190" s="120">
        <f ca="1"/>
        <v>7711</v>
      </c>
      <c r="H190" s="120">
        <f ca="1"/>
        <v>1001</v>
      </c>
      <c r="I190" s="120" t="str">
        <f ca="1"/>
        <v>16366</v>
      </c>
      <c r="J190" s="120" t="str">
        <f ca="1"/>
        <v>YOG FNSSE VAINILLA 180</v>
      </c>
      <c r="K190" s="121">
        <f ca="1"/>
        <v>216</v>
      </c>
      <c r="L190" s="122">
        <f ca="1"/>
        <v>1</v>
      </c>
      <c r="M190" s="120">
        <f ca="1"/>
        <v>0.18</v>
      </c>
      <c r="N190" s="121">
        <f ca="1"/>
        <v>45</v>
      </c>
      <c r="O190" s="123">
        <f ca="1"/>
        <v>45616</v>
      </c>
      <c r="P190" s="123" t="str">
        <f ca="1"/>
        <v>miércoles</v>
      </c>
      <c r="Q190" s="124">
        <f ca="1"/>
        <v>45611</v>
      </c>
      <c r="R190" s="124">
        <f ca="1"/>
        <v>45655</v>
      </c>
      <c r="S190" s="90">
        <f ca="1"/>
        <v>31</v>
      </c>
      <c r="T190" s="139">
        <f ca="1"/>
        <v>0.68888888888888888</v>
      </c>
      <c r="U190" s="131">
        <f ca="1"/>
        <v>108</v>
      </c>
      <c r="V190" s="120">
        <f ca="1"/>
        <v>19.439999999999998</v>
      </c>
      <c r="W190" s="140">
        <f ca="1"/>
        <v>5</v>
      </c>
      <c r="X190" s="139">
        <f ca="1"/>
        <v>0.88888888888888884</v>
      </c>
      <c r="Y190" s="141">
        <f ca="1"/>
        <v>0.286325</v>
      </c>
      <c r="Z190" s="141">
        <f ca="1"/>
        <v>0.286325</v>
      </c>
      <c r="AA190" s="142">
        <f ca="1"/>
        <v>5.5661579999999997</v>
      </c>
      <c r="AB190" s="138">
        <f ca="1"/>
        <v>8</v>
      </c>
      <c r="AC190" s="103" t="str">
        <f ca="1"/>
        <v>VIGENTE</v>
      </c>
      <c r="AD190" s="150">
        <f ca="1"/>
        <v>1.9439999999999999E-2</v>
      </c>
    </row>
    <row r="191" spans="1:30">
      <c r="A191" s="111" t="str">
        <f ca="1"/>
        <v>MACHACHI</v>
      </c>
      <c r="B191" s="111" t="str">
        <f ca="1"/>
        <v>BEBIDAS LACTEAS</v>
      </c>
      <c r="C191" s="111" t="str">
        <f ca="1"/>
        <v xml:space="preserve">Luis Armendariz                         </v>
      </c>
      <c r="D191" s="111" t="str">
        <f ca="1"/>
        <v>YOGURT FINESSE</v>
      </c>
      <c r="E191" s="111" t="str">
        <f ca="1"/>
        <v>YOGURT FINESSE DESLACT BOTELLA PERSONAL</v>
      </c>
      <c r="F191" s="120" t="str">
        <f ca="1"/>
        <v>GUAYAQUIL</v>
      </c>
      <c r="G191" s="120">
        <f ca="1"/>
        <v>7711</v>
      </c>
      <c r="H191" s="120">
        <f ca="1"/>
        <v>1001</v>
      </c>
      <c r="I191" s="120" t="str">
        <f ca="1"/>
        <v>16366</v>
      </c>
      <c r="J191" s="120" t="str">
        <f ca="1"/>
        <v>YOG FNSSE VAINILLA 180</v>
      </c>
      <c r="K191" s="121">
        <f ca="1"/>
        <v>108</v>
      </c>
      <c r="L191" s="122">
        <f ca="1"/>
        <v>1</v>
      </c>
      <c r="M191" s="120">
        <f ca="1"/>
        <v>0.18</v>
      </c>
      <c r="N191" s="121">
        <f ca="1"/>
        <v>45</v>
      </c>
      <c r="O191" s="123">
        <f ca="1"/>
        <v>45617</v>
      </c>
      <c r="P191" s="123" t="str">
        <f ca="1"/>
        <v>jueves</v>
      </c>
      <c r="Q191" s="124">
        <f ca="1"/>
        <v>45611</v>
      </c>
      <c r="R191" s="124">
        <f ca="1"/>
        <v>45655</v>
      </c>
      <c r="S191" s="90">
        <f ca="1"/>
        <v>31</v>
      </c>
      <c r="T191" s="139">
        <f ca="1"/>
        <v>0.68888888888888888</v>
      </c>
      <c r="U191" s="131">
        <f ca="1"/>
        <v>108</v>
      </c>
      <c r="V191" s="120">
        <f ca="1"/>
        <v>19.439999999999998</v>
      </c>
      <c r="W191" s="140">
        <f ca="1"/>
        <v>6</v>
      </c>
      <c r="X191" s="139">
        <f ca="1"/>
        <v>0.8666666666666667</v>
      </c>
      <c r="Y191" s="141">
        <f ca="1"/>
        <v>0.286325</v>
      </c>
      <c r="Z191" s="141">
        <f ca="1"/>
        <v>0.286325</v>
      </c>
      <c r="AA191" s="142">
        <f ca="1"/>
        <v>5.5661579999999997</v>
      </c>
      <c r="AB191" s="138">
        <f ca="1"/>
        <v>7</v>
      </c>
      <c r="AC191" s="103" t="str">
        <f ca="1"/>
        <v>VIGENTE</v>
      </c>
      <c r="AD191" s="150">
        <f ca="1"/>
        <v>1.9439999999999999E-2</v>
      </c>
    </row>
    <row r="192" spans="1:30">
      <c r="A192" s="111" t="str">
        <f ca="1"/>
        <v>SAN GABRIEL</v>
      </c>
      <c r="B192" s="111" t="str">
        <f ca="1"/>
        <v>QUESOS Y GRASAS</v>
      </c>
      <c r="C192" s="111" t="str">
        <f ca="1"/>
        <v xml:space="preserve">Esteban Montenegro                      </v>
      </c>
      <c r="D192" s="111" t="str">
        <f ca="1"/>
        <v>QUESO SEMIMADURO KIOSKO</v>
      </c>
      <c r="E192" s="111" t="str">
        <f ca="1"/>
        <v>QUESO PROVOLONE KIOSKO TAJADO</v>
      </c>
      <c r="F192" s="120" t="str">
        <f ca="1"/>
        <v>GUAYAQUIL</v>
      </c>
      <c r="G192" s="120">
        <f ca="1"/>
        <v>7711</v>
      </c>
      <c r="H192" s="120">
        <f ca="1"/>
        <v>1001</v>
      </c>
      <c r="I192" s="120" t="str">
        <f ca="1"/>
        <v>12320</v>
      </c>
      <c r="J192" s="120" t="str">
        <f ca="1"/>
        <v>Q PROVO AHUM KIOSKO LONJ 1KG</v>
      </c>
      <c r="K192" s="121">
        <f ca="1"/>
        <v>13</v>
      </c>
      <c r="L192" s="122">
        <f ca="1"/>
        <v>1</v>
      </c>
      <c r="M192" s="120">
        <f ca="1"/>
        <v>1</v>
      </c>
      <c r="N192" s="121">
        <f ca="1"/>
        <v>60</v>
      </c>
      <c r="O192" s="123">
        <f ca="1"/>
        <v>45611</v>
      </c>
      <c r="P192" s="123" t="str">
        <f ca="1"/>
        <v>viernes</v>
      </c>
      <c r="Q192" s="124">
        <f ca="1"/>
        <v>45591</v>
      </c>
      <c r="R192" s="124">
        <f ca="1"/>
        <v>45650</v>
      </c>
      <c r="S192" s="90">
        <f ca="1"/>
        <v>26</v>
      </c>
      <c r="T192" s="139">
        <f ca="1"/>
        <v>0.43333333333333335</v>
      </c>
      <c r="U192" s="131">
        <f ca="1"/>
        <v>11</v>
      </c>
      <c r="V192" s="120">
        <f ca="1"/>
        <v>11</v>
      </c>
      <c r="W192" s="140">
        <f ca="1"/>
        <v>20</v>
      </c>
      <c r="X192" s="139">
        <f ca="1"/>
        <v>0.66666666666666674</v>
      </c>
      <c r="Y192" s="141">
        <f ca="1"/>
        <v>7.6642950000000001</v>
      </c>
      <c r="Z192" s="141">
        <f ca="1"/>
        <v>7.6642950000000001</v>
      </c>
      <c r="AA192" s="142">
        <f ca="1"/>
        <v>84.307244999999995</v>
      </c>
      <c r="AB192" s="138">
        <f ca="1"/>
        <v>13</v>
      </c>
      <c r="AC192" s="103" t="str">
        <f ca="1"/>
        <v>PROXIMOS FECHA CORTA</v>
      </c>
      <c r="AD192" s="150">
        <f ca="1"/>
        <v>1.0999999999999999E-2</v>
      </c>
    </row>
    <row r="193" spans="1:30">
      <c r="A193" s="111" t="str">
        <f ca="1"/>
        <v>SAN GABRIEL</v>
      </c>
      <c r="B193" s="111" t="str">
        <f ca="1"/>
        <v>QUESOS Y GRASAS</v>
      </c>
      <c r="C193" s="111" t="str">
        <f ca="1"/>
        <v xml:space="preserve">Esteban Montenegro                      </v>
      </c>
      <c r="D193" s="111" t="str">
        <f ca="1"/>
        <v>QUESO SEMIMADURO KIOSKO</v>
      </c>
      <c r="E193" s="111" t="str">
        <f ca="1"/>
        <v>QUESO PROVOLONE KIOSKO TAJADO</v>
      </c>
      <c r="F193" s="120" t="str">
        <f ca="1"/>
        <v>GUAYAQUIL</v>
      </c>
      <c r="G193" s="120">
        <f ca="1"/>
        <v>7711</v>
      </c>
      <c r="H193" s="120">
        <f ca="1"/>
        <v>1001</v>
      </c>
      <c r="I193" s="120" t="str">
        <f ca="1"/>
        <v>12320</v>
      </c>
      <c r="J193" s="120" t="str">
        <f ca="1"/>
        <v>Q PROVO AHUM KIOSKO LONJ 1KG</v>
      </c>
      <c r="K193" s="121">
        <f ca="1"/>
        <v>17</v>
      </c>
      <c r="L193" s="122">
        <f ca="1"/>
        <v>1</v>
      </c>
      <c r="M193" s="120">
        <f ca="1"/>
        <v>1</v>
      </c>
      <c r="N193" s="121">
        <f ca="1"/>
        <v>60</v>
      </c>
      <c r="O193" s="123">
        <f ca="1"/>
        <v>45611</v>
      </c>
      <c r="P193" s="123" t="str">
        <f ca="1"/>
        <v>viernes</v>
      </c>
      <c r="Q193" s="124">
        <f ca="1"/>
        <v>45609</v>
      </c>
      <c r="R193" s="124">
        <f ca="1"/>
        <v>45668</v>
      </c>
      <c r="S193" s="90">
        <f ca="1"/>
        <v>44</v>
      </c>
      <c r="T193" s="139">
        <f ca="1"/>
        <v>0.73333333333333328</v>
      </c>
      <c r="U193" s="131">
        <f ca="1"/>
        <v>7</v>
      </c>
      <c r="V193" s="120">
        <f ca="1"/>
        <v>7</v>
      </c>
      <c r="W193" s="140">
        <f ca="1"/>
        <v>2</v>
      </c>
      <c r="X193" s="139">
        <f ca="1"/>
        <v>0.96666666666666667</v>
      </c>
      <c r="Y193" s="141">
        <f ca="1"/>
        <v>7.6642950000000001</v>
      </c>
      <c r="Z193" s="141">
        <f ca="1"/>
        <v>7.6642950000000001</v>
      </c>
      <c r="AA193" s="142">
        <f ca="1"/>
        <v>53.650064999999998</v>
      </c>
      <c r="AB193" s="138">
        <f ca="1"/>
        <v>13</v>
      </c>
      <c r="AC193" s="103" t="str">
        <f ca="1"/>
        <v>VIGENTE</v>
      </c>
      <c r="AD193" s="150">
        <f ca="1"/>
        <v>7.0000000000000001E-3</v>
      </c>
    </row>
    <row r="194" spans="1:30">
      <c r="A194" s="111" t="str">
        <f ca="1"/>
        <v>SAN GABRIEL</v>
      </c>
      <c r="B194" s="111" t="str">
        <f ca="1"/>
        <v>QUESOS Y GRASAS</v>
      </c>
      <c r="C194" s="111" t="str">
        <f ca="1"/>
        <v xml:space="preserve">Esteban Montenegro                      </v>
      </c>
      <c r="D194" s="111" t="str">
        <f ca="1"/>
        <v>QUESO SEMIMADURO KIOSKO</v>
      </c>
      <c r="E194" s="111" t="str">
        <f ca="1"/>
        <v>QUESO PROVOLONE KIOSKO TAJADO</v>
      </c>
      <c r="F194" s="120" t="str">
        <f ca="1"/>
        <v>GUAYAQUIL</v>
      </c>
      <c r="G194" s="120">
        <f ca="1"/>
        <v>7711</v>
      </c>
      <c r="H194" s="120">
        <f ca="1"/>
        <v>1001</v>
      </c>
      <c r="I194" s="120" t="str">
        <f ca="1"/>
        <v>12320</v>
      </c>
      <c r="J194" s="120" t="str">
        <f ca="1"/>
        <v>Q PROVO AHUM KIOSKO LONJ 1KG</v>
      </c>
      <c r="K194" s="121">
        <f ca="1"/>
        <v>23</v>
      </c>
      <c r="L194" s="122">
        <f ca="1"/>
        <v>1</v>
      </c>
      <c r="M194" s="120">
        <f ca="1"/>
        <v>1</v>
      </c>
      <c r="N194" s="121">
        <f ca="1"/>
        <v>60</v>
      </c>
      <c r="O194" s="123">
        <f ca="1"/>
        <v>45616</v>
      </c>
      <c r="P194" s="123" t="str">
        <f ca="1"/>
        <v>miércoles</v>
      </c>
      <c r="Q194" s="124">
        <f ca="1"/>
        <v>45609</v>
      </c>
      <c r="R194" s="124">
        <f ca="1"/>
        <v>45668</v>
      </c>
      <c r="S194" s="90">
        <f ca="1"/>
        <v>44</v>
      </c>
      <c r="T194" s="139">
        <f ca="1"/>
        <v>0.73333333333333328</v>
      </c>
      <c r="U194" s="131">
        <f ca="1"/>
        <v>23</v>
      </c>
      <c r="V194" s="120">
        <f ca="1"/>
        <v>23</v>
      </c>
      <c r="W194" s="140">
        <f ca="1"/>
        <v>7</v>
      </c>
      <c r="X194" s="139">
        <f ca="1"/>
        <v>0.8833333333333333</v>
      </c>
      <c r="Y194" s="141">
        <f ca="1"/>
        <v>7.6642950000000001</v>
      </c>
      <c r="Z194" s="141">
        <f ca="1"/>
        <v>7.6642950000000001</v>
      </c>
      <c r="AA194" s="142">
        <f ca="1"/>
        <v>176.278785</v>
      </c>
      <c r="AB194" s="138">
        <f ca="1"/>
        <v>8</v>
      </c>
      <c r="AC194" s="103" t="str">
        <f ca="1"/>
        <v>VIGENTE</v>
      </c>
      <c r="AD194" s="150">
        <f ca="1"/>
        <v>2.3E-2</v>
      </c>
    </row>
    <row r="195" spans="1:30">
      <c r="A195" s="111" t="str">
        <f ca="1"/>
        <v>SAN GABRIEL</v>
      </c>
      <c r="B195" s="111" t="str">
        <f ca="1"/>
        <v>QUESOS Y GRASAS</v>
      </c>
      <c r="C195" s="111" t="str">
        <f ca="1"/>
        <v xml:space="preserve">Esteban Montenegro                      </v>
      </c>
      <c r="D195" s="111" t="str">
        <f ca="1"/>
        <v>QUESO SEMIMADURO KIOSKO</v>
      </c>
      <c r="E195" s="111" t="str">
        <f ca="1"/>
        <v>QUESO SANDUCHE KIOSKO TAJADO</v>
      </c>
      <c r="F195" s="120" t="str">
        <f ca="1"/>
        <v>GUAYAQUIL</v>
      </c>
      <c r="G195" s="120">
        <f ca="1"/>
        <v>7711</v>
      </c>
      <c r="H195" s="120">
        <f ca="1"/>
        <v>1001</v>
      </c>
      <c r="I195" s="120" t="str">
        <f ca="1"/>
        <v>5778</v>
      </c>
      <c r="J195" s="120" t="str">
        <f ca="1"/>
        <v>Q SANDU KIOSKO 20 LONJ 300G</v>
      </c>
      <c r="K195" s="121">
        <f ca="1"/>
        <v>75</v>
      </c>
      <c r="L195" s="122">
        <f ca="1"/>
        <v>1</v>
      </c>
      <c r="M195" s="120">
        <f ca="1"/>
        <v>0.3</v>
      </c>
      <c r="N195" s="121">
        <f ca="1"/>
        <v>90</v>
      </c>
      <c r="O195" s="123">
        <f ca="1"/>
        <v>45611</v>
      </c>
      <c r="P195" s="123" t="str">
        <f ca="1"/>
        <v>viernes</v>
      </c>
      <c r="Q195" s="124">
        <f ca="1"/>
        <v>45602</v>
      </c>
      <c r="R195" s="124">
        <f ca="1"/>
        <v>45691</v>
      </c>
      <c r="S195" s="90">
        <f ca="1"/>
        <v>67</v>
      </c>
      <c r="T195" s="139">
        <f ca="1"/>
        <v>0.74444444444444446</v>
      </c>
      <c r="U195" s="131">
        <f ca="1"/>
        <v>37</v>
      </c>
      <c r="V195" s="120">
        <f ca="1"/>
        <v>11.1</v>
      </c>
      <c r="W195" s="140">
        <f ca="1"/>
        <v>9</v>
      </c>
      <c r="X195" s="139">
        <f ca="1"/>
        <v>0.9</v>
      </c>
      <c r="Y195" s="141">
        <f ca="1"/>
        <v>2.3314949999999999</v>
      </c>
      <c r="Z195" s="141">
        <f ca="1"/>
        <v>2.3314949999999999</v>
      </c>
      <c r="AA195" s="142">
        <f ca="1"/>
        <v>25.879594499999996</v>
      </c>
      <c r="AB195" s="138">
        <f ca="1"/>
        <v>13</v>
      </c>
      <c r="AC195" s="103" t="str">
        <f ca="1"/>
        <v>VIGENTE</v>
      </c>
      <c r="AD195" s="150">
        <f ca="1"/>
        <v>1.11E-2</v>
      </c>
    </row>
    <row r="196" spans="1:30">
      <c r="A196" s="111" t="str">
        <f ca="1"/>
        <v>SAN GABRIEL</v>
      </c>
      <c r="B196" s="111" t="str">
        <f ca="1"/>
        <v>QUESOS Y GRASAS</v>
      </c>
      <c r="C196" s="111" t="str">
        <f ca="1"/>
        <v xml:space="preserve">Esteban Montenegro                      </v>
      </c>
      <c r="D196" s="111" t="str">
        <f ca="1"/>
        <v>QUESO SEMIMADURO KIOSKO</v>
      </c>
      <c r="E196" s="111" t="str">
        <f ca="1"/>
        <v>QUESO SANDUCHE KIOSKO TAJADO</v>
      </c>
      <c r="F196" s="120" t="str">
        <f ca="1"/>
        <v>GUAYAQUIL</v>
      </c>
      <c r="G196" s="120">
        <f ca="1"/>
        <v>7711</v>
      </c>
      <c r="H196" s="120">
        <f ca="1"/>
        <v>1001</v>
      </c>
      <c r="I196" s="120" t="str">
        <f ca="1"/>
        <v>5778</v>
      </c>
      <c r="J196" s="120" t="str">
        <f ca="1"/>
        <v>Q SANDU KIOSKO 20 LONJ 300G</v>
      </c>
      <c r="K196" s="121">
        <f ca="1"/>
        <v>75</v>
      </c>
      <c r="L196" s="122">
        <f ca="1"/>
        <v>1</v>
      </c>
      <c r="M196" s="120">
        <f ca="1"/>
        <v>0.3</v>
      </c>
      <c r="N196" s="121">
        <f ca="1"/>
        <v>90</v>
      </c>
      <c r="O196" s="123">
        <f ca="1"/>
        <v>45615</v>
      </c>
      <c r="P196" s="123" t="str">
        <f ca="1"/>
        <v>martes</v>
      </c>
      <c r="Q196" s="124">
        <f ca="1"/>
        <v>45602</v>
      </c>
      <c r="R196" s="124">
        <f ca="1"/>
        <v>45691</v>
      </c>
      <c r="S196" s="90">
        <f ca="1"/>
        <v>67</v>
      </c>
      <c r="T196" s="139">
        <f ca="1"/>
        <v>0.74444444444444446</v>
      </c>
      <c r="U196" s="131">
        <f ca="1"/>
        <v>75</v>
      </c>
      <c r="V196" s="120">
        <f ca="1"/>
        <v>22.5</v>
      </c>
      <c r="W196" s="140">
        <f ca="1"/>
        <v>13</v>
      </c>
      <c r="X196" s="139">
        <f ca="1"/>
        <v>0.85555555555555562</v>
      </c>
      <c r="Y196" s="141">
        <f ca="1"/>
        <v>2.3314949999999999</v>
      </c>
      <c r="Z196" s="141">
        <f ca="1"/>
        <v>2.3314949999999999</v>
      </c>
      <c r="AA196" s="142">
        <f ca="1"/>
        <v>52.458637499999995</v>
      </c>
      <c r="AB196" s="138">
        <f ca="1"/>
        <v>9</v>
      </c>
      <c r="AC196" s="103" t="str">
        <f ca="1"/>
        <v>VIGENTE</v>
      </c>
      <c r="AD196" s="150">
        <f ca="1"/>
        <v>2.2499999999999999E-2</v>
      </c>
    </row>
    <row r="197" spans="1:30">
      <c r="A197" s="111" t="str">
        <f ca="1"/>
        <v>MULTIEMPAQUE_SG</v>
      </c>
      <c r="B197" s="111" t="str">
        <f ca="1"/>
        <v>POSTRES</v>
      </c>
      <c r="C197" s="111" t="str">
        <f ca="1"/>
        <v xml:space="preserve">Luis Armendariz                         </v>
      </c>
      <c r="D197" s="111" t="str">
        <f ca="1"/>
        <v>AREQUIPE ALPINA</v>
      </c>
      <c r="E197" s="111" t="str">
        <f ca="1"/>
        <v>AREQUIPE ALPINA</v>
      </c>
      <c r="F197" s="120" t="str">
        <f ca="1"/>
        <v>GUAYAQUIL</v>
      </c>
      <c r="G197" s="120">
        <f ca="1"/>
        <v>7711</v>
      </c>
      <c r="H197" s="120">
        <f ca="1"/>
        <v>1001</v>
      </c>
      <c r="I197" s="120" t="str">
        <f ca="1"/>
        <v>8206</v>
      </c>
      <c r="J197" s="120" t="str">
        <f ca="1"/>
        <v>MPLX6 AREQUIPE VASO 50G</v>
      </c>
      <c r="K197" s="121">
        <f ca="1"/>
        <v>360</v>
      </c>
      <c r="L197" s="122">
        <f ca="1"/>
        <v>1</v>
      </c>
      <c r="M197" s="120">
        <f ca="1"/>
        <v>0.3</v>
      </c>
      <c r="N197" s="121">
        <f ca="1"/>
        <v>180</v>
      </c>
      <c r="O197" s="123">
        <f ca="1"/>
        <v>45608</v>
      </c>
      <c r="P197" s="123" t="str">
        <f ca="1"/>
        <v>martes</v>
      </c>
      <c r="Q197" s="124">
        <f ca="1"/>
        <v>45602</v>
      </c>
      <c r="R197" s="124">
        <f ca="1"/>
        <v>45781</v>
      </c>
      <c r="S197" s="90">
        <f ca="1"/>
        <v>157</v>
      </c>
      <c r="T197" s="139">
        <f ca="1"/>
        <v>0.87222222222222223</v>
      </c>
      <c r="U197" s="131">
        <f ca="1"/>
        <v>267</v>
      </c>
      <c r="V197" s="120">
        <f ca="1"/>
        <v>80.099999999999994</v>
      </c>
      <c r="W197" s="140">
        <f ca="1"/>
        <v>6</v>
      </c>
      <c r="X197" s="139">
        <f ca="1"/>
        <v>0.96666666666666667</v>
      </c>
      <c r="Y197" s="141">
        <f ca="1"/>
        <v>1.2875100000000002</v>
      </c>
      <c r="Z197" s="141">
        <f ca="1"/>
        <v>1.2875100000000002</v>
      </c>
      <c r="AA197" s="142">
        <f ca="1"/>
        <v>103.12955100000001</v>
      </c>
      <c r="AB197" s="138">
        <f ca="1"/>
        <v>16</v>
      </c>
      <c r="AC197" s="103" t="str">
        <f ca="1"/>
        <v>VIGENTE</v>
      </c>
      <c r="AD197" s="150">
        <f ca="1"/>
        <v>8.0099999999999991E-2</v>
      </c>
    </row>
    <row r="198" spans="1:30">
      <c r="A198" s="111" t="str">
        <f ca="1"/>
        <v>MULTIEMPAQUE_SG</v>
      </c>
      <c r="B198" s="111" t="str">
        <f ca="1"/>
        <v>POSTRES</v>
      </c>
      <c r="C198" s="111" t="str">
        <f ca="1"/>
        <v xml:space="preserve">Luis Armendariz                         </v>
      </c>
      <c r="D198" s="111" t="str">
        <f ca="1"/>
        <v>AREQUIPE ALPINA</v>
      </c>
      <c r="E198" s="111" t="str">
        <f ca="1"/>
        <v>AREQUIPE ALPINA</v>
      </c>
      <c r="F198" s="120" t="str">
        <f ca="1"/>
        <v>GUAYAQUIL</v>
      </c>
      <c r="G198" s="120">
        <f ca="1"/>
        <v>7711</v>
      </c>
      <c r="H198" s="120">
        <f ca="1"/>
        <v>1001</v>
      </c>
      <c r="I198" s="120" t="str">
        <f ca="1"/>
        <v>8206</v>
      </c>
      <c r="J198" s="120" t="str">
        <f ca="1"/>
        <v>MPLX6 AREQUIPE VASO 50G</v>
      </c>
      <c r="K198" s="121">
        <f ca="1"/>
        <v>90</v>
      </c>
      <c r="L198" s="122">
        <f ca="1"/>
        <v>1</v>
      </c>
      <c r="M198" s="120">
        <f ca="1"/>
        <v>0.3</v>
      </c>
      <c r="N198" s="121">
        <f ca="1"/>
        <v>180</v>
      </c>
      <c r="O198" s="123">
        <f ca="1"/>
        <v>45611</v>
      </c>
      <c r="P198" s="123" t="str">
        <f ca="1"/>
        <v>viernes</v>
      </c>
      <c r="Q198" s="124">
        <f ca="1"/>
        <v>45603</v>
      </c>
      <c r="R198" s="124">
        <f ca="1"/>
        <v>45782</v>
      </c>
      <c r="S198" s="90">
        <f ca="1"/>
        <v>158</v>
      </c>
      <c r="T198" s="139">
        <f ca="1"/>
        <v>0.87777777777777777</v>
      </c>
      <c r="U198" s="131">
        <f ca="1"/>
        <v>90</v>
      </c>
      <c r="V198" s="120">
        <f ca="1"/>
        <v>27</v>
      </c>
      <c r="W198" s="140">
        <f ca="1"/>
        <v>8</v>
      </c>
      <c r="X198" s="139">
        <f ca="1"/>
        <v>0.9555555555555556</v>
      </c>
      <c r="Y198" s="141">
        <f ca="1"/>
        <v>1.2875100000000002</v>
      </c>
      <c r="Z198" s="141">
        <f ca="1"/>
        <v>1.2875100000000002</v>
      </c>
      <c r="AA198" s="142">
        <f ca="1"/>
        <v>34.762770000000003</v>
      </c>
      <c r="AB198" s="138">
        <f ca="1"/>
        <v>13</v>
      </c>
      <c r="AC198" s="103" t="str">
        <f ca="1"/>
        <v>VIGENTE</v>
      </c>
      <c r="AD198" s="150">
        <f ca="1"/>
        <v>2.7E-2</v>
      </c>
    </row>
    <row r="199" spans="1:30">
      <c r="A199" s="111" t="str">
        <f ca="1"/>
        <v>MULTIEMPAQUE_SG</v>
      </c>
      <c r="B199" s="111" t="str">
        <f ca="1"/>
        <v>POSTRES</v>
      </c>
      <c r="C199" s="111" t="str">
        <f ca="1"/>
        <v xml:space="preserve">Luis Armendariz                         </v>
      </c>
      <c r="D199" s="111" t="str">
        <f ca="1"/>
        <v>AREQUIPE ALPINA</v>
      </c>
      <c r="E199" s="111" t="str">
        <f ca="1"/>
        <v>AREQUIPE ALPINA</v>
      </c>
      <c r="F199" s="120" t="str">
        <f ca="1"/>
        <v>GUAYAQUIL</v>
      </c>
      <c r="G199" s="120">
        <f ca="1"/>
        <v>7711</v>
      </c>
      <c r="H199" s="120">
        <f ca="1"/>
        <v>1001</v>
      </c>
      <c r="I199" s="120" t="str">
        <f ca="1"/>
        <v>8206</v>
      </c>
      <c r="J199" s="120" t="str">
        <f ca="1"/>
        <v>MPLX6 AREQUIPE VASO 50G</v>
      </c>
      <c r="K199" s="121">
        <f ca="1"/>
        <v>180</v>
      </c>
      <c r="L199" s="122">
        <f ca="1"/>
        <v>1</v>
      </c>
      <c r="M199" s="120">
        <f ca="1"/>
        <v>0.3</v>
      </c>
      <c r="N199" s="121">
        <f ca="1"/>
        <v>180</v>
      </c>
      <c r="O199" s="123">
        <f ca="1"/>
        <v>45610</v>
      </c>
      <c r="P199" s="123" t="str">
        <f ca="1"/>
        <v>jueves</v>
      </c>
      <c r="Q199" s="124">
        <f ca="1"/>
        <v>45603</v>
      </c>
      <c r="R199" s="124">
        <f ca="1"/>
        <v>45782</v>
      </c>
      <c r="S199" s="90">
        <f ca="1"/>
        <v>158</v>
      </c>
      <c r="T199" s="139">
        <f ca="1"/>
        <v>0.87777777777777777</v>
      </c>
      <c r="U199" s="131">
        <f ca="1"/>
        <v>184</v>
      </c>
      <c r="V199" s="120">
        <f ca="1"/>
        <v>55.199999999999996</v>
      </c>
      <c r="W199" s="140">
        <f ca="1"/>
        <v>7</v>
      </c>
      <c r="X199" s="139">
        <f ca="1"/>
        <v>0.96111111111111114</v>
      </c>
      <c r="Y199" s="141">
        <f ca="1"/>
        <v>1.2875100000000002</v>
      </c>
      <c r="Z199" s="141">
        <f ca="1"/>
        <v>1.2875100000000002</v>
      </c>
      <c r="AA199" s="142">
        <f ca="1"/>
        <v>71.070552000000006</v>
      </c>
      <c r="AB199" s="138">
        <f ca="1"/>
        <v>14</v>
      </c>
      <c r="AC199" s="103" t="str">
        <f ca="1"/>
        <v>VIGENTE</v>
      </c>
      <c r="AD199" s="150">
        <f ca="1"/>
        <v>5.5199999999999999E-2</v>
      </c>
    </row>
    <row r="200" spans="1:30">
      <c r="A200" s="111" t="str">
        <f ca="1"/>
        <v>MULTIEMPAQUE_SG</v>
      </c>
      <c r="B200" s="111" t="str">
        <f ca="1"/>
        <v>POSTRES</v>
      </c>
      <c r="C200" s="111" t="str">
        <f ca="1"/>
        <v xml:space="preserve">Luis Armendariz                         </v>
      </c>
      <c r="D200" s="111" t="str">
        <f ca="1"/>
        <v>AREQUIPE ALPINA</v>
      </c>
      <c r="E200" s="111" t="str">
        <f ca="1"/>
        <v>AREQUIPE ALPINA</v>
      </c>
      <c r="F200" s="120" t="str">
        <f ca="1"/>
        <v>GUAYAQUIL</v>
      </c>
      <c r="G200" s="120">
        <f ca="1"/>
        <v>7711</v>
      </c>
      <c r="H200" s="120">
        <f ca="1"/>
        <v>1001</v>
      </c>
      <c r="I200" s="120" t="str">
        <f ca="1"/>
        <v>8206</v>
      </c>
      <c r="J200" s="120" t="str">
        <f ca="1"/>
        <v>MPLX6 AREQUIPE VASO 50G</v>
      </c>
      <c r="K200" s="121">
        <f ca="1"/>
        <v>225</v>
      </c>
      <c r="L200" s="122">
        <f ca="1"/>
        <v>1</v>
      </c>
      <c r="M200" s="120">
        <f ca="1"/>
        <v>0.3</v>
      </c>
      <c r="N200" s="121">
        <f ca="1"/>
        <v>180</v>
      </c>
      <c r="O200" s="123">
        <f ca="1"/>
        <v>45615</v>
      </c>
      <c r="P200" s="123" t="str">
        <f ca="1"/>
        <v>martes</v>
      </c>
      <c r="Q200" s="124">
        <f ca="1"/>
        <v>45603</v>
      </c>
      <c r="R200" s="124">
        <f ca="1"/>
        <v>45782</v>
      </c>
      <c r="S200" s="90">
        <f ca="1"/>
        <v>158</v>
      </c>
      <c r="T200" s="139">
        <f ca="1"/>
        <v>0.87777777777777777</v>
      </c>
      <c r="U200" s="131">
        <f ca="1"/>
        <v>225</v>
      </c>
      <c r="V200" s="120">
        <f ca="1"/>
        <v>67.5</v>
      </c>
      <c r="W200" s="140">
        <f ca="1"/>
        <v>12</v>
      </c>
      <c r="X200" s="139">
        <f ca="1"/>
        <v>0.93333333333333335</v>
      </c>
      <c r="Y200" s="141">
        <f ca="1"/>
        <v>1.2875100000000002</v>
      </c>
      <c r="Z200" s="141">
        <f ca="1"/>
        <v>1.2875100000000002</v>
      </c>
      <c r="AA200" s="142">
        <f ca="1"/>
        <v>86.906925000000015</v>
      </c>
      <c r="AB200" s="138">
        <f ca="1"/>
        <v>9</v>
      </c>
      <c r="AC200" s="103" t="str">
        <f ca="1"/>
        <v>VIGENTE</v>
      </c>
      <c r="AD200" s="150">
        <f ca="1"/>
        <v>6.7500000000000004E-2</v>
      </c>
    </row>
    <row r="201" spans="1:30">
      <c r="A201" s="111" t="str">
        <f ca="1"/>
        <v>MULTIEMPAQUE_SG</v>
      </c>
      <c r="B201" s="111" t="str">
        <f ca="1"/>
        <v>POSTRES</v>
      </c>
      <c r="C201" s="111" t="str">
        <f ca="1"/>
        <v xml:space="preserve">Luis Armendariz                         </v>
      </c>
      <c r="D201" s="111" t="str">
        <f ca="1"/>
        <v>AREQUIPE ALPINA</v>
      </c>
      <c r="E201" s="111" t="str">
        <f ca="1"/>
        <v>AREQUIPE ALPINA</v>
      </c>
      <c r="F201" s="120" t="str">
        <f ca="1"/>
        <v>GUAYAQUIL</v>
      </c>
      <c r="G201" s="120">
        <f ca="1"/>
        <v>7711</v>
      </c>
      <c r="H201" s="120">
        <f ca="1"/>
        <v>1001</v>
      </c>
      <c r="I201" s="120" t="str">
        <f ca="1"/>
        <v>8206</v>
      </c>
      <c r="J201" s="120" t="str">
        <f ca="1"/>
        <v>MPLX6 AREQUIPE VASO 50G</v>
      </c>
      <c r="K201" s="121">
        <f ca="1"/>
        <v>90</v>
      </c>
      <c r="L201" s="122">
        <f ca="1"/>
        <v>1</v>
      </c>
      <c r="M201" s="120">
        <f ca="1"/>
        <v>0.3</v>
      </c>
      <c r="N201" s="121">
        <f ca="1"/>
        <v>180</v>
      </c>
      <c r="O201" s="123">
        <f ca="1"/>
        <v>45616</v>
      </c>
      <c r="P201" s="123" t="str">
        <f ca="1"/>
        <v>miércoles</v>
      </c>
      <c r="Q201" s="124">
        <f ca="1"/>
        <v>45608</v>
      </c>
      <c r="R201" s="124">
        <f ca="1"/>
        <v>45787</v>
      </c>
      <c r="S201" s="90">
        <f ca="1"/>
        <v>163</v>
      </c>
      <c r="T201" s="139">
        <f ca="1"/>
        <v>0.90555555555555556</v>
      </c>
      <c r="U201" s="131">
        <f ca="1"/>
        <v>91</v>
      </c>
      <c r="V201" s="120">
        <f ca="1"/>
        <v>27.3</v>
      </c>
      <c r="W201" s="140">
        <f ca="1"/>
        <v>8</v>
      </c>
      <c r="X201" s="139">
        <f ca="1"/>
        <v>0.9555555555555556</v>
      </c>
      <c r="Y201" s="141">
        <f ca="1"/>
        <v>1.2875100000000002</v>
      </c>
      <c r="Z201" s="141">
        <f ca="1"/>
        <v>1.2875100000000002</v>
      </c>
      <c r="AA201" s="142">
        <f ca="1"/>
        <v>35.149023000000007</v>
      </c>
      <c r="AB201" s="138">
        <f ca="1"/>
        <v>8</v>
      </c>
      <c r="AC201" s="103" t="str">
        <f ca="1"/>
        <v>VIGENTE</v>
      </c>
      <c r="AD201" s="150">
        <f ca="1"/>
        <v>2.7300000000000001E-2</v>
      </c>
    </row>
    <row r="202" spans="1:30">
      <c r="A202" s="111" t="str">
        <f ca="1"/>
        <v>SAN GABRIEL</v>
      </c>
      <c r="B202" s="111" t="str">
        <f ca="1"/>
        <v>POSTRES</v>
      </c>
      <c r="C202" s="111" t="str">
        <f ca="1"/>
        <v xml:space="preserve">Luis Armendariz                         </v>
      </c>
      <c r="D202" s="111" t="str">
        <f ca="1"/>
        <v>AREQUIPE ALPINA</v>
      </c>
      <c r="E202" s="111" t="str">
        <f ca="1"/>
        <v>AREQUIPE ALPINA FAMILIAR</v>
      </c>
      <c r="F202" s="120" t="str">
        <f ca="1"/>
        <v>GUAYAQUIL</v>
      </c>
      <c r="G202" s="120">
        <f ca="1"/>
        <v>7711</v>
      </c>
      <c r="H202" s="120">
        <f ca="1"/>
        <v>1001</v>
      </c>
      <c r="I202" s="120" t="str">
        <f ca="1"/>
        <v>8208</v>
      </c>
      <c r="J202" s="120" t="str">
        <f ca="1"/>
        <v>AREQUIPE GAR 4.6KG</v>
      </c>
      <c r="K202" s="121">
        <f ca="1"/>
        <v>72</v>
      </c>
      <c r="L202" s="122">
        <f ca="1"/>
        <v>1</v>
      </c>
      <c r="M202" s="120">
        <f ca="1"/>
        <v>4.5999999999999996</v>
      </c>
      <c r="N202" s="121">
        <f ca="1"/>
        <v>90</v>
      </c>
      <c r="O202" s="123">
        <f ca="1"/>
        <v>45611</v>
      </c>
      <c r="P202" s="123" t="str">
        <f ca="1"/>
        <v>viernes</v>
      </c>
      <c r="Q202" s="124">
        <f ca="1"/>
        <v>45609</v>
      </c>
      <c r="R202" s="124">
        <f ca="1"/>
        <v>45698</v>
      </c>
      <c r="S202" s="90">
        <f ca="1"/>
        <v>74</v>
      </c>
      <c r="T202" s="139">
        <f ca="1"/>
        <v>0.82222222222222219</v>
      </c>
      <c r="U202" s="131">
        <f ca="1"/>
        <v>72</v>
      </c>
      <c r="V202" s="120">
        <f ca="1"/>
        <v>331.2</v>
      </c>
      <c r="W202" s="140">
        <f ca="1"/>
        <v>2</v>
      </c>
      <c r="X202" s="139">
        <f ca="1"/>
        <v>0.97777777777777775</v>
      </c>
      <c r="Y202" s="141">
        <f ca="1"/>
        <v>12.450799999999999</v>
      </c>
      <c r="Z202" s="141">
        <f ca="1"/>
        <v>12.450799999999999</v>
      </c>
      <c r="AA202" s="142">
        <f ca="1"/>
        <v>4123.70496</v>
      </c>
      <c r="AB202" s="138">
        <f ca="1"/>
        <v>13</v>
      </c>
      <c r="AC202" s="103" t="str">
        <f ca="1"/>
        <v>VIGENTE</v>
      </c>
      <c r="AD202" s="150">
        <f ca="1"/>
        <v>0.33119999999999999</v>
      </c>
    </row>
    <row r="203" spans="1:30">
      <c r="A203" s="111" t="str">
        <f ca="1"/>
        <v>SAN GABRIEL</v>
      </c>
      <c r="B203" s="111" t="str">
        <f ca="1"/>
        <v>POSTRES</v>
      </c>
      <c r="C203" s="111" t="str">
        <f ca="1"/>
        <v xml:space="preserve">Luis Armendariz                         </v>
      </c>
      <c r="D203" s="111" t="str">
        <f ca="1"/>
        <v>AREQUIPE ALPINA</v>
      </c>
      <c r="E203" s="111" t="str">
        <f ca="1"/>
        <v>AREQUIPE ALPINA FAMILIAR</v>
      </c>
      <c r="F203" s="120" t="str">
        <f ca="1"/>
        <v>GUAYAQUIL</v>
      </c>
      <c r="G203" s="120">
        <f ca="1"/>
        <v>7711</v>
      </c>
      <c r="H203" s="120">
        <f ca="1"/>
        <v>1001</v>
      </c>
      <c r="I203" s="120" t="str">
        <f ca="1"/>
        <v>8208</v>
      </c>
      <c r="J203" s="120" t="str">
        <f ca="1"/>
        <v>AREQUIPE GAR 4.6KG</v>
      </c>
      <c r="K203" s="121">
        <f ca="1"/>
        <v>90</v>
      </c>
      <c r="L203" s="122">
        <f ca="1"/>
        <v>1</v>
      </c>
      <c r="M203" s="120">
        <f ca="1"/>
        <v>4.5999999999999996</v>
      </c>
      <c r="N203" s="121">
        <f ca="1"/>
        <v>90</v>
      </c>
      <c r="O203" s="123">
        <f ca="1"/>
        <v>45610</v>
      </c>
      <c r="P203" s="123" t="str">
        <f ca="1"/>
        <v>jueves</v>
      </c>
      <c r="Q203" s="124">
        <f ca="1"/>
        <v>45609</v>
      </c>
      <c r="R203" s="124">
        <f ca="1"/>
        <v>45698</v>
      </c>
      <c r="S203" s="90">
        <f ca="1"/>
        <v>74</v>
      </c>
      <c r="T203" s="139">
        <f ca="1"/>
        <v>0.82222222222222219</v>
      </c>
      <c r="U203" s="131">
        <f ca="1"/>
        <v>20</v>
      </c>
      <c r="V203" s="120">
        <f ca="1"/>
        <v>92</v>
      </c>
      <c r="W203" s="140">
        <f ca="1"/>
        <v>1</v>
      </c>
      <c r="X203" s="139">
        <f ca="1"/>
        <v>0.98888888888888893</v>
      </c>
      <c r="Y203" s="141">
        <f ca="1"/>
        <v>12.450799999999999</v>
      </c>
      <c r="Z203" s="141">
        <f ca="1"/>
        <v>12.450799999999999</v>
      </c>
      <c r="AA203" s="142">
        <f ca="1"/>
        <v>1145.4736</v>
      </c>
      <c r="AB203" s="138">
        <f ca="1"/>
        <v>14</v>
      </c>
      <c r="AC203" s="103" t="str">
        <f ca="1"/>
        <v>VIGENTE</v>
      </c>
      <c r="AD203" s="150">
        <f ca="1"/>
        <v>9.1999999999999998E-2</v>
      </c>
    </row>
    <row r="204" spans="1:30">
      <c r="A204" s="111" t="str">
        <f ca="1"/>
        <v>SAN GABRIEL</v>
      </c>
      <c r="B204" s="111" t="str">
        <f ca="1"/>
        <v>POSTRES</v>
      </c>
      <c r="C204" s="111" t="str">
        <f ca="1"/>
        <v xml:space="preserve">Luis Armendariz                         </v>
      </c>
      <c r="D204" s="111" t="str">
        <f ca="1"/>
        <v>AREQUIPE ALPINA</v>
      </c>
      <c r="E204" s="111" t="str">
        <f ca="1"/>
        <v>AREQUIPE ALPINA FAMILIAR</v>
      </c>
      <c r="F204" s="120" t="str">
        <f ca="1"/>
        <v>GUAYAQUIL</v>
      </c>
      <c r="G204" s="120">
        <f ca="1"/>
        <v>7711</v>
      </c>
      <c r="H204" s="120">
        <f ca="1"/>
        <v>1001</v>
      </c>
      <c r="I204" s="120" t="str">
        <f ca="1"/>
        <v>8208</v>
      </c>
      <c r="J204" s="120" t="str">
        <f ca="1"/>
        <v>AREQUIPE GAR 4.6KG</v>
      </c>
      <c r="K204" s="121">
        <f ca="1"/>
        <v>0</v>
      </c>
      <c r="L204" s="122">
        <f ca="1"/>
        <v>1</v>
      </c>
      <c r="M204" s="120">
        <f ca="1"/>
        <v>4.5999999999999996</v>
      </c>
      <c r="N204" s="121">
        <f ca="1"/>
        <v>90</v>
      </c>
      <c r="O204" s="123">
        <f ca="1"/>
        <v>45610</v>
      </c>
      <c r="P204" s="123" t="str">
        <f ca="1"/>
        <v>jueves</v>
      </c>
      <c r="Q204" s="124">
        <f ca="1"/>
        <v>45610</v>
      </c>
      <c r="R204" s="124">
        <f ca="1"/>
        <v>45699</v>
      </c>
      <c r="S204" s="90">
        <f ca="1"/>
        <v>75</v>
      </c>
      <c r="T204" s="139">
        <f ca="1"/>
        <v>0.83333333333333337</v>
      </c>
      <c r="U204" s="131">
        <f ca="1"/>
        <v>1</v>
      </c>
      <c r="V204" s="120">
        <f ca="1"/>
        <v>4.5999999999999996</v>
      </c>
      <c r="W204" s="140">
        <f ca="1"/>
        <v>0</v>
      </c>
      <c r="X204" s="139">
        <f ca="1"/>
        <v>1</v>
      </c>
      <c r="Y204" s="141">
        <f ca="1"/>
        <v>12.450799999999999</v>
      </c>
      <c r="Z204" s="141">
        <f ca="1"/>
        <v>12.450799999999999</v>
      </c>
      <c r="AA204" s="142">
        <f ca="1"/>
        <v>57.273679999999992</v>
      </c>
      <c r="AB204" s="138">
        <f ca="1"/>
        <v>14</v>
      </c>
      <c r="AC204" s="103" t="str">
        <f ca="1"/>
        <v>VIGENTE</v>
      </c>
      <c r="AD204" s="150">
        <f ca="1"/>
        <v>4.5999999999999999E-3</v>
      </c>
    </row>
    <row r="205" spans="1:30">
      <c r="A205" s="111" t="str">
        <f ca="1"/>
        <v>SAN GABRIEL</v>
      </c>
      <c r="B205" s="111" t="str">
        <f ca="1"/>
        <v>POSTRES</v>
      </c>
      <c r="C205" s="111" t="str">
        <f ca="1"/>
        <v xml:space="preserve">Luis Armendariz                         </v>
      </c>
      <c r="D205" s="111" t="str">
        <f ca="1"/>
        <v>AREQUIPE ALPINA</v>
      </c>
      <c r="E205" s="111" t="str">
        <f ca="1"/>
        <v>AREQUIPE ALPINA FAMILIAR</v>
      </c>
      <c r="F205" s="120" t="str">
        <f ca="1"/>
        <v>GUAYAQUIL</v>
      </c>
      <c r="G205" s="120">
        <f ca="1"/>
        <v>7711</v>
      </c>
      <c r="H205" s="120">
        <f ca="1"/>
        <v>1001</v>
      </c>
      <c r="I205" s="120" t="str">
        <f ca="1"/>
        <v>8208</v>
      </c>
      <c r="J205" s="120" t="str">
        <f ca="1"/>
        <v>AREQUIPE GAR 4.6KG</v>
      </c>
      <c r="K205" s="121">
        <f ca="1"/>
        <v>24</v>
      </c>
      <c r="L205" s="122">
        <f ca="1"/>
        <v>1</v>
      </c>
      <c r="M205" s="120">
        <f ca="1"/>
        <v>4.5999999999999996</v>
      </c>
      <c r="N205" s="121">
        <f ca="1"/>
        <v>90</v>
      </c>
      <c r="O205" s="123">
        <f ca="1"/>
        <v>45615</v>
      </c>
      <c r="P205" s="123" t="str">
        <f ca="1"/>
        <v>martes</v>
      </c>
      <c r="Q205" s="124">
        <f ca="1"/>
        <v>45609</v>
      </c>
      <c r="R205" s="124">
        <f ca="1"/>
        <v>45698</v>
      </c>
      <c r="S205" s="90">
        <f ca="1"/>
        <v>74</v>
      </c>
      <c r="T205" s="139">
        <f ca="1"/>
        <v>0.82222222222222219</v>
      </c>
      <c r="U205" s="131">
        <f ca="1"/>
        <v>24</v>
      </c>
      <c r="V205" s="120">
        <f ca="1"/>
        <v>110.39999999999999</v>
      </c>
      <c r="W205" s="140">
        <f ca="1"/>
        <v>6</v>
      </c>
      <c r="X205" s="139">
        <f ca="1"/>
        <v>0.93333333333333335</v>
      </c>
      <c r="Y205" s="141">
        <f ca="1"/>
        <v>12.450799999999999</v>
      </c>
      <c r="Z205" s="141">
        <f ca="1"/>
        <v>12.450799999999999</v>
      </c>
      <c r="AA205" s="142">
        <f ca="1"/>
        <v>1374.5683199999999</v>
      </c>
      <c r="AB205" s="138">
        <f ca="1"/>
        <v>9</v>
      </c>
      <c r="AC205" s="103" t="str">
        <f ca="1"/>
        <v>VIGENTE</v>
      </c>
      <c r="AD205" s="150">
        <f ca="1"/>
        <v>0.1104</v>
      </c>
    </row>
    <row r="206" spans="1:30">
      <c r="A206" s="111" t="str">
        <f ca="1"/>
        <v>SAN GABRIEL</v>
      </c>
      <c r="B206" s="111" t="str">
        <f ca="1"/>
        <v>POSTRES</v>
      </c>
      <c r="C206" s="111" t="str">
        <f ca="1"/>
        <v xml:space="preserve">Luis Armendariz                         </v>
      </c>
      <c r="D206" s="111" t="str">
        <f ca="1"/>
        <v>AREQUIPE ALPINA</v>
      </c>
      <c r="E206" s="111" t="str">
        <f ca="1"/>
        <v>AREQUIPE ALPINA FAMILIAR</v>
      </c>
      <c r="F206" s="120" t="str">
        <f ca="1"/>
        <v>GUAYAQUIL</v>
      </c>
      <c r="G206" s="120">
        <f ca="1"/>
        <v>7711</v>
      </c>
      <c r="H206" s="120">
        <f ca="1"/>
        <v>1001</v>
      </c>
      <c r="I206" s="120" t="str">
        <f ca="1"/>
        <v>8208</v>
      </c>
      <c r="J206" s="120" t="str">
        <f ca="1"/>
        <v>AREQUIPE GAR 4.6KG</v>
      </c>
      <c r="K206" s="121">
        <f ca="1"/>
        <v>12</v>
      </c>
      <c r="L206" s="122">
        <f ca="1"/>
        <v>1</v>
      </c>
      <c r="M206" s="120">
        <f ca="1"/>
        <v>4.5999999999999996</v>
      </c>
      <c r="N206" s="121">
        <f ca="1"/>
        <v>90</v>
      </c>
      <c r="O206" s="123">
        <f ca="1"/>
        <v>45616</v>
      </c>
      <c r="P206" s="123" t="str">
        <f ca="1"/>
        <v>miércoles</v>
      </c>
      <c r="Q206" s="124">
        <f ca="1"/>
        <v>45612</v>
      </c>
      <c r="R206" s="124">
        <f ca="1"/>
        <v>45701</v>
      </c>
      <c r="S206" s="90">
        <f ca="1"/>
        <v>77</v>
      </c>
      <c r="T206" s="139">
        <f ca="1"/>
        <v>0.85555555555555551</v>
      </c>
      <c r="U206" s="131">
        <f ca="1"/>
        <v>12</v>
      </c>
      <c r="V206" s="120">
        <f ca="1"/>
        <v>55.199999999999996</v>
      </c>
      <c r="W206" s="140">
        <f ca="1"/>
        <v>4</v>
      </c>
      <c r="X206" s="139">
        <f ca="1"/>
        <v>0.9555555555555556</v>
      </c>
      <c r="Y206" s="141">
        <f ca="1"/>
        <v>12.450799999999999</v>
      </c>
      <c r="Z206" s="141">
        <f ca="1"/>
        <v>12.450799999999999</v>
      </c>
      <c r="AA206" s="142">
        <f ca="1"/>
        <v>687.28415999999993</v>
      </c>
      <c r="AB206" s="138">
        <f ca="1"/>
        <v>8</v>
      </c>
      <c r="AC206" s="103" t="str">
        <f ca="1"/>
        <v>VIGENTE</v>
      </c>
      <c r="AD206" s="150">
        <f ca="1"/>
        <v>5.5199999999999999E-2</v>
      </c>
    </row>
    <row r="207" spans="1:30">
      <c r="A207" s="111" t="str">
        <f ca="1"/>
        <v>SAN GABRIEL</v>
      </c>
      <c r="B207" s="111" t="str">
        <f ca="1"/>
        <v>POSTRES</v>
      </c>
      <c r="C207" s="111" t="str">
        <f ca="1"/>
        <v xml:space="preserve">Luis Armendariz                         </v>
      </c>
      <c r="D207" s="111" t="str">
        <f ca="1"/>
        <v>AREQUIPE ALPINA</v>
      </c>
      <c r="E207" s="111" t="str">
        <f ca="1"/>
        <v>AREQUIPE ALPINA FAMILIAR</v>
      </c>
      <c r="F207" s="120" t="str">
        <f ca="1"/>
        <v>GUAYAQUIL</v>
      </c>
      <c r="G207" s="120">
        <f ca="1"/>
        <v>7711</v>
      </c>
      <c r="H207" s="120">
        <f ca="1"/>
        <v>1001</v>
      </c>
      <c r="I207" s="120" t="str">
        <f ca="1"/>
        <v>8208</v>
      </c>
      <c r="J207" s="120" t="str">
        <f ca="1"/>
        <v>AREQUIPE GAR 4.6KG</v>
      </c>
      <c r="K207" s="121">
        <f ca="1"/>
        <v>24</v>
      </c>
      <c r="L207" s="122">
        <f ca="1"/>
        <v>1</v>
      </c>
      <c r="M207" s="120">
        <f ca="1"/>
        <v>4.5999999999999996</v>
      </c>
      <c r="N207" s="121">
        <f ca="1"/>
        <v>90</v>
      </c>
      <c r="O207" s="123">
        <f ca="1"/>
        <v>45617</v>
      </c>
      <c r="P207" s="123" t="str">
        <f ca="1"/>
        <v>jueves</v>
      </c>
      <c r="Q207" s="124">
        <f ca="1"/>
        <v>45612</v>
      </c>
      <c r="R207" s="124">
        <f ca="1"/>
        <v>45701</v>
      </c>
      <c r="S207" s="90">
        <f ca="1"/>
        <v>77</v>
      </c>
      <c r="T207" s="139">
        <f ca="1"/>
        <v>0.85555555555555551</v>
      </c>
      <c r="U207" s="131">
        <f ca="1"/>
        <v>24</v>
      </c>
      <c r="V207" s="120">
        <f ca="1"/>
        <v>110.39999999999999</v>
      </c>
      <c r="W207" s="140">
        <f ca="1"/>
        <v>5</v>
      </c>
      <c r="X207" s="139">
        <f ca="1"/>
        <v>0.94444444444444442</v>
      </c>
      <c r="Y207" s="141">
        <f ca="1"/>
        <v>12.450799999999999</v>
      </c>
      <c r="Z207" s="141">
        <f ca="1"/>
        <v>12.450799999999999</v>
      </c>
      <c r="AA207" s="142">
        <f ca="1"/>
        <v>1374.5683199999999</v>
      </c>
      <c r="AB207" s="138">
        <f ca="1"/>
        <v>7</v>
      </c>
      <c r="AC207" s="103" t="str">
        <f ca="1"/>
        <v>VIGENTE</v>
      </c>
      <c r="AD207" s="150">
        <f ca="1"/>
        <v>0.1104</v>
      </c>
    </row>
    <row r="208" spans="1:30">
      <c r="A208" s="111" t="str">
        <f ca="1"/>
        <v>SAN GABRIEL</v>
      </c>
      <c r="B208" s="111" t="str">
        <f ca="1"/>
        <v>POSTRES</v>
      </c>
      <c r="C208" s="111" t="str">
        <f ca="1"/>
        <v xml:space="preserve">Luis Armendariz                         </v>
      </c>
      <c r="D208" s="111" t="str">
        <f ca="1"/>
        <v>AREQUIPE ALPINA</v>
      </c>
      <c r="E208" s="111" t="str">
        <f ca="1"/>
        <v>AREQUIPE ALPINA</v>
      </c>
      <c r="F208" s="120" t="str">
        <f ca="1"/>
        <v>GUAYAQUIL</v>
      </c>
      <c r="G208" s="120">
        <f ca="1"/>
        <v>7711</v>
      </c>
      <c r="H208" s="120">
        <f ca="1"/>
        <v>1001</v>
      </c>
      <c r="I208" s="120" t="str">
        <f ca="1"/>
        <v>8261</v>
      </c>
      <c r="J208" s="120" t="str">
        <f ca="1"/>
        <v>AREQUIPE VASO 500G ECU</v>
      </c>
      <c r="K208" s="121">
        <f ca="1"/>
        <v>972</v>
      </c>
      <c r="L208" s="122">
        <f ca="1"/>
        <v>1</v>
      </c>
      <c r="M208" s="120">
        <f ca="1"/>
        <v>0.5</v>
      </c>
      <c r="N208" s="121">
        <f ca="1"/>
        <v>180</v>
      </c>
      <c r="O208" s="123">
        <f ca="1"/>
        <v>45596</v>
      </c>
      <c r="P208" s="123" t="str">
        <f ca="1"/>
        <v>jueves</v>
      </c>
      <c r="Q208" s="124">
        <f ca="1"/>
        <v>45595</v>
      </c>
      <c r="R208" s="124">
        <f ca="1"/>
        <v>45774</v>
      </c>
      <c r="S208" s="90">
        <f ca="1"/>
        <v>150</v>
      </c>
      <c r="T208" s="139">
        <f ca="1"/>
        <v>0.83333333333333337</v>
      </c>
      <c r="U208" s="131">
        <f ca="1"/>
        <v>36</v>
      </c>
      <c r="V208" s="120">
        <f ca="1"/>
        <v>18</v>
      </c>
      <c r="W208" s="140">
        <f ca="1"/>
        <v>1</v>
      </c>
      <c r="X208" s="139">
        <f ca="1"/>
        <v>0.99444444444444446</v>
      </c>
      <c r="Y208" s="141">
        <f ca="1"/>
        <v>1.477565</v>
      </c>
      <c r="Z208" s="141">
        <f ca="1"/>
        <v>1.477565</v>
      </c>
      <c r="AA208" s="142">
        <f ca="1"/>
        <v>26.596170000000001</v>
      </c>
      <c r="AB208" s="138">
        <f ca="1"/>
        <v>28</v>
      </c>
      <c r="AC208" s="103" t="str">
        <f ca="1"/>
        <v>VIGENTE</v>
      </c>
      <c r="AD208" s="150">
        <f ca="1"/>
        <v>1.7999999999999999E-2</v>
      </c>
    </row>
    <row r="209" spans="1:30">
      <c r="A209" s="111" t="str">
        <f ca="1"/>
        <v>SAN GABRIEL</v>
      </c>
      <c r="B209" s="111" t="str">
        <f ca="1"/>
        <v>POSTRES</v>
      </c>
      <c r="C209" s="111" t="str">
        <f ca="1"/>
        <v xml:space="preserve">Luis Armendariz                         </v>
      </c>
      <c r="D209" s="111" t="str">
        <f ca="1"/>
        <v>AREQUIPE ALPINA</v>
      </c>
      <c r="E209" s="111" t="str">
        <f ca="1"/>
        <v>AREQUIPE ALPINA</v>
      </c>
      <c r="F209" s="120" t="str">
        <f ca="1"/>
        <v>GUAYAQUIL</v>
      </c>
      <c r="G209" s="120">
        <f ca="1"/>
        <v>7711</v>
      </c>
      <c r="H209" s="120">
        <f ca="1"/>
        <v>1001</v>
      </c>
      <c r="I209" s="120" t="str">
        <f ca="1"/>
        <v>8261</v>
      </c>
      <c r="J209" s="120" t="str">
        <f ca="1"/>
        <v>AREQUIPE VASO 500G ECU</v>
      </c>
      <c r="K209" s="121">
        <f ca="1"/>
        <v>504</v>
      </c>
      <c r="L209" s="122">
        <f ca="1"/>
        <v>1</v>
      </c>
      <c r="M209" s="120">
        <f ca="1"/>
        <v>0.5</v>
      </c>
      <c r="N209" s="121">
        <f ca="1"/>
        <v>180</v>
      </c>
      <c r="O209" s="123">
        <f ca="1"/>
        <v>45609</v>
      </c>
      <c r="P209" s="123" t="str">
        <f ca="1"/>
        <v>miércoles</v>
      </c>
      <c r="Q209" s="124">
        <f ca="1"/>
        <v>45608</v>
      </c>
      <c r="R209" s="124">
        <f ca="1"/>
        <v>45787</v>
      </c>
      <c r="S209" s="90">
        <f ca="1"/>
        <v>163</v>
      </c>
      <c r="T209" s="139">
        <f ca="1"/>
        <v>0.90555555555555556</v>
      </c>
      <c r="U209" s="131">
        <f ca="1"/>
        <v>165</v>
      </c>
      <c r="V209" s="120">
        <f ca="1"/>
        <v>82.5</v>
      </c>
      <c r="W209" s="140">
        <f ca="1"/>
        <v>1</v>
      </c>
      <c r="X209" s="139">
        <f ca="1"/>
        <v>0.99444444444444446</v>
      </c>
      <c r="Y209" s="141">
        <f ca="1"/>
        <v>1.477565</v>
      </c>
      <c r="Z209" s="141">
        <f ca="1"/>
        <v>1.477565</v>
      </c>
      <c r="AA209" s="142">
        <f ca="1"/>
        <v>121.8991125</v>
      </c>
      <c r="AB209" s="138">
        <f ca="1"/>
        <v>15</v>
      </c>
      <c r="AC209" s="103" t="str">
        <f ca="1"/>
        <v>VIGENTE</v>
      </c>
      <c r="AD209" s="150">
        <f ca="1"/>
        <v>8.2500000000000004E-2</v>
      </c>
    </row>
    <row r="210" spans="1:30">
      <c r="A210" s="111" t="str">
        <f ca="1"/>
        <v>SAN GABRIEL</v>
      </c>
      <c r="B210" s="111" t="str">
        <f ca="1"/>
        <v>POSTRES</v>
      </c>
      <c r="C210" s="111" t="str">
        <f ca="1"/>
        <v xml:space="preserve">Luis Armendariz                         </v>
      </c>
      <c r="D210" s="111" t="str">
        <f ca="1"/>
        <v>AREQUIPE ALPINA</v>
      </c>
      <c r="E210" s="111" t="str">
        <f ca="1"/>
        <v>AREQUIPE ALPINA</v>
      </c>
      <c r="F210" s="120" t="str">
        <f ca="1"/>
        <v>GUAYAQUIL</v>
      </c>
      <c r="G210" s="120">
        <f ca="1"/>
        <v>7711</v>
      </c>
      <c r="H210" s="120">
        <f ca="1"/>
        <v>1001</v>
      </c>
      <c r="I210" s="120" t="str">
        <f ca="1"/>
        <v>8261</v>
      </c>
      <c r="J210" s="120" t="str">
        <f ca="1"/>
        <v>AREQUIPE VASO 500G ECU</v>
      </c>
      <c r="K210" s="121">
        <f ca="1"/>
        <v>396</v>
      </c>
      <c r="L210" s="122">
        <f ca="1"/>
        <v>1</v>
      </c>
      <c r="M210" s="120">
        <f ca="1"/>
        <v>0.5</v>
      </c>
      <c r="N210" s="121">
        <f ca="1"/>
        <v>180</v>
      </c>
      <c r="O210" s="123">
        <f ca="1"/>
        <v>45611</v>
      </c>
      <c r="P210" s="123" t="str">
        <f ca="1"/>
        <v>viernes</v>
      </c>
      <c r="Q210" s="124">
        <f ca="1"/>
        <v>45610</v>
      </c>
      <c r="R210" s="124">
        <f ca="1"/>
        <v>45789</v>
      </c>
      <c r="S210" s="90">
        <f ca="1"/>
        <v>165</v>
      </c>
      <c r="T210" s="139">
        <f ca="1"/>
        <v>0.91666666666666663</v>
      </c>
      <c r="U210" s="131">
        <f ca="1"/>
        <v>396</v>
      </c>
      <c r="V210" s="120">
        <f ca="1"/>
        <v>198</v>
      </c>
      <c r="W210" s="140">
        <f ca="1"/>
        <v>1</v>
      </c>
      <c r="X210" s="139">
        <f ca="1"/>
        <v>0.99444444444444446</v>
      </c>
      <c r="Y210" s="141">
        <f ca="1"/>
        <v>1.477565</v>
      </c>
      <c r="Z210" s="141">
        <f ca="1"/>
        <v>1.477565</v>
      </c>
      <c r="AA210" s="142">
        <f ca="1"/>
        <v>292.55786999999998</v>
      </c>
      <c r="AB210" s="138">
        <f ca="1"/>
        <v>13</v>
      </c>
      <c r="AC210" s="103" t="str">
        <f ca="1"/>
        <v>VIGENTE</v>
      </c>
      <c r="AD210" s="150">
        <f ca="1"/>
        <v>0.19800000000000001</v>
      </c>
    </row>
    <row r="211" spans="1:30">
      <c r="A211" s="111" t="str">
        <f ca="1"/>
        <v>SAN GABRIEL</v>
      </c>
      <c r="B211" s="111" t="str">
        <f ca="1"/>
        <v>POSTRES</v>
      </c>
      <c r="C211" s="111" t="str">
        <f ca="1"/>
        <v xml:space="preserve">Luis Armendariz                         </v>
      </c>
      <c r="D211" s="111" t="str">
        <f ca="1"/>
        <v>AREQUIPE ALPINA</v>
      </c>
      <c r="E211" s="111" t="str">
        <f ca="1"/>
        <v>AREQUIPE ALPINA</v>
      </c>
      <c r="F211" s="120" t="str">
        <f ca="1"/>
        <v>GUAYAQUIL</v>
      </c>
      <c r="G211" s="120">
        <f ca="1"/>
        <v>7711</v>
      </c>
      <c r="H211" s="120">
        <f ca="1"/>
        <v>1001</v>
      </c>
      <c r="I211" s="120" t="str">
        <f ca="1"/>
        <v>8261</v>
      </c>
      <c r="J211" s="120" t="str">
        <f ca="1"/>
        <v>AREQUIPE VASO 500G ECU</v>
      </c>
      <c r="K211" s="121">
        <f ca="1"/>
        <v>828</v>
      </c>
      <c r="L211" s="122">
        <f ca="1"/>
        <v>1</v>
      </c>
      <c r="M211" s="120">
        <f ca="1"/>
        <v>0.5</v>
      </c>
      <c r="N211" s="121">
        <f ca="1"/>
        <v>180</v>
      </c>
      <c r="O211" s="123">
        <f ca="1"/>
        <v>45616</v>
      </c>
      <c r="P211" s="123" t="str">
        <f ca="1"/>
        <v>miércoles</v>
      </c>
      <c r="Q211" s="124">
        <f ca="1"/>
        <v>45608</v>
      </c>
      <c r="R211" s="124">
        <f ca="1"/>
        <v>45787</v>
      </c>
      <c r="S211" s="90">
        <f ca="1"/>
        <v>163</v>
      </c>
      <c r="T211" s="139">
        <f ca="1"/>
        <v>0.90555555555555556</v>
      </c>
      <c r="U211" s="131">
        <f ca="1"/>
        <v>828</v>
      </c>
      <c r="V211" s="120">
        <f ca="1"/>
        <v>414</v>
      </c>
      <c r="W211" s="140">
        <f ca="1"/>
        <v>8</v>
      </c>
      <c r="X211" s="139">
        <f ca="1"/>
        <v>0.9555555555555556</v>
      </c>
      <c r="Y211" s="141">
        <f ca="1"/>
        <v>1.477565</v>
      </c>
      <c r="Z211" s="141">
        <f ca="1"/>
        <v>1.477565</v>
      </c>
      <c r="AA211" s="142">
        <f ca="1"/>
        <v>611.71190999999999</v>
      </c>
      <c r="AB211" s="138">
        <f ca="1"/>
        <v>8</v>
      </c>
      <c r="AC211" s="103" t="str">
        <f ca="1"/>
        <v>VIGENTE</v>
      </c>
      <c r="AD211" s="150">
        <f ca="1"/>
        <v>0.41399999999999998</v>
      </c>
    </row>
    <row r="212" spans="1:30">
      <c r="A212" s="111" t="str">
        <f ca="1"/>
        <v>SAN GABRIEL</v>
      </c>
      <c r="B212" s="111" t="str">
        <f ca="1"/>
        <v>POSTRES</v>
      </c>
      <c r="C212" s="111" t="str">
        <f ca="1"/>
        <v xml:space="preserve">Luis Armendariz                         </v>
      </c>
      <c r="D212" s="111" t="str">
        <f ca="1"/>
        <v>AREQUIPE ALPINA</v>
      </c>
      <c r="E212" s="111" t="str">
        <f ca="1"/>
        <v>AREQUIPE ALPINA</v>
      </c>
      <c r="F212" s="120" t="str">
        <f ca="1"/>
        <v>GUAYAQUIL</v>
      </c>
      <c r="G212" s="120">
        <f ca="1"/>
        <v>7711</v>
      </c>
      <c r="H212" s="120">
        <f ca="1"/>
        <v>1001</v>
      </c>
      <c r="I212" s="120" t="str">
        <f ca="1"/>
        <v>8261</v>
      </c>
      <c r="J212" s="120" t="str">
        <f ca="1"/>
        <v>AREQUIPE VASO 500G ECU</v>
      </c>
      <c r="K212" s="121">
        <f ca="1"/>
        <v>180</v>
      </c>
      <c r="L212" s="122">
        <f ca="1"/>
        <v>1</v>
      </c>
      <c r="M212" s="120">
        <f ca="1"/>
        <v>0.5</v>
      </c>
      <c r="N212" s="121">
        <f ca="1"/>
        <v>180</v>
      </c>
      <c r="O212" s="123">
        <f ca="1"/>
        <v>45617</v>
      </c>
      <c r="P212" s="123" t="str">
        <f ca="1"/>
        <v>jueves</v>
      </c>
      <c r="Q212" s="124">
        <f ca="1"/>
        <v>45615</v>
      </c>
      <c r="R212" s="124">
        <f ca="1"/>
        <v>45794</v>
      </c>
      <c r="S212" s="90">
        <f ca="1"/>
        <v>170</v>
      </c>
      <c r="T212" s="139">
        <f ca="1"/>
        <v>0.94444444444444442</v>
      </c>
      <c r="U212" s="131">
        <f ca="1"/>
        <v>180</v>
      </c>
      <c r="V212" s="120">
        <f ca="1"/>
        <v>90</v>
      </c>
      <c r="W212" s="140">
        <f ca="1"/>
        <v>2</v>
      </c>
      <c r="X212" s="139">
        <f ca="1"/>
        <v>0.98888888888888893</v>
      </c>
      <c r="Y212" s="141">
        <f ca="1"/>
        <v>1.477565</v>
      </c>
      <c r="Z212" s="141">
        <f ca="1"/>
        <v>1.477565</v>
      </c>
      <c r="AA212" s="142">
        <f ca="1"/>
        <v>132.98085</v>
      </c>
      <c r="AB212" s="138">
        <f ca="1"/>
        <v>7</v>
      </c>
      <c r="AC212" s="103" t="str">
        <f ca="1"/>
        <v>VIGENTE</v>
      </c>
      <c r="AD212" s="150">
        <f ca="1"/>
        <v>0.09</v>
      </c>
    </row>
    <row r="213" spans="1:30">
      <c r="A213" s="111" t="str">
        <f ca="1"/>
        <v>MACHACHI</v>
      </c>
      <c r="B213" s="111" t="str">
        <f ca="1"/>
        <v>BEBIDAS LACTEAS</v>
      </c>
      <c r="C213" s="111" t="str">
        <f ca="1"/>
        <v xml:space="preserve">Luis Armendariz                         </v>
      </c>
      <c r="D213" s="111" t="str">
        <f ca="1"/>
        <v>BON YURT</v>
      </c>
      <c r="E213" s="111" t="str">
        <f ca="1"/>
        <v>BON YURT REGULAR</v>
      </c>
      <c r="F213" s="120" t="str">
        <f ca="1"/>
        <v>GUAYAQUIL</v>
      </c>
      <c r="G213" s="120">
        <f ca="1"/>
        <v>7711</v>
      </c>
      <c r="H213" s="120">
        <f ca="1"/>
        <v>1001</v>
      </c>
      <c r="I213" s="120" t="str">
        <f ca="1"/>
        <v>8654</v>
      </c>
      <c r="J213" s="120" t="str">
        <f ca="1"/>
        <v>BONYURT FRUTILLA ZUCARITAS</v>
      </c>
      <c r="K213" s="121">
        <f ca="1"/>
        <v>120</v>
      </c>
      <c r="L213" s="122">
        <f ca="1"/>
        <v>1</v>
      </c>
      <c r="M213" s="120">
        <f ca="1"/>
        <v>0.16300000000000001</v>
      </c>
      <c r="N213" s="121">
        <f ca="1"/>
        <v>45</v>
      </c>
      <c r="O213" s="123">
        <f ca="1"/>
        <v>45611</v>
      </c>
      <c r="P213" s="123" t="str">
        <f ca="1"/>
        <v>viernes</v>
      </c>
      <c r="Q213" s="124">
        <f ca="1"/>
        <v>45605</v>
      </c>
      <c r="R213" s="124">
        <f ca="1"/>
        <v>45649</v>
      </c>
      <c r="S213" s="90">
        <f ca="1"/>
        <v>25</v>
      </c>
      <c r="T213" s="139">
        <f ca="1"/>
        <v>0.55555555555555558</v>
      </c>
      <c r="U213" s="131">
        <f ca="1"/>
        <v>120</v>
      </c>
      <c r="V213" s="120">
        <f ca="1"/>
        <v>19.560000000000002</v>
      </c>
      <c r="W213" s="140">
        <f ca="1"/>
        <v>6</v>
      </c>
      <c r="X213" s="139">
        <f ca="1"/>
        <v>0.8666666666666667</v>
      </c>
      <c r="Y213" s="141">
        <f ca="1"/>
        <v>0.298205</v>
      </c>
      <c r="Z213" s="141">
        <f ca="1"/>
        <v>0.298205</v>
      </c>
      <c r="AA213" s="142">
        <f ca="1"/>
        <v>5.8328898000000002</v>
      </c>
      <c r="AB213" s="138">
        <f ca="1"/>
        <v>13</v>
      </c>
      <c r="AC213" s="103" t="str">
        <f ca="1"/>
        <v>PROXIMOS FECHA CORTA</v>
      </c>
      <c r="AD213" s="150">
        <f ca="1"/>
        <v>1.9560000000000001E-2</v>
      </c>
    </row>
    <row r="214" spans="1:30">
      <c r="A214" s="111" t="str">
        <f ca="1"/>
        <v>MACHACHI</v>
      </c>
      <c r="B214" s="111" t="str">
        <f ca="1"/>
        <v>BEBIDAS LACTEAS</v>
      </c>
      <c r="C214" s="111" t="str">
        <f ca="1"/>
        <v xml:space="preserve">Luis Armendariz                         </v>
      </c>
      <c r="D214" s="111" t="str">
        <f ca="1"/>
        <v>BON YURT</v>
      </c>
      <c r="E214" s="111" t="str">
        <f ca="1"/>
        <v>BON YURT REGULAR</v>
      </c>
      <c r="F214" s="120" t="str">
        <f ca="1"/>
        <v>GUAYAQUIL</v>
      </c>
      <c r="G214" s="120">
        <f ca="1"/>
        <v>7711</v>
      </c>
      <c r="H214" s="120">
        <f ca="1"/>
        <v>1001</v>
      </c>
      <c r="I214" s="120" t="str">
        <f ca="1"/>
        <v>8654</v>
      </c>
      <c r="J214" s="120" t="str">
        <f ca="1"/>
        <v>BONYURT FRUTILLA ZUCARITAS</v>
      </c>
      <c r="K214" s="121">
        <f ca="1"/>
        <v>120</v>
      </c>
      <c r="L214" s="122">
        <f ca="1"/>
        <v>1</v>
      </c>
      <c r="M214" s="120">
        <f ca="1"/>
        <v>0.16300000000000001</v>
      </c>
      <c r="N214" s="121">
        <f ca="1"/>
        <v>45</v>
      </c>
      <c r="O214" s="123">
        <f ca="1"/>
        <v>45610</v>
      </c>
      <c r="P214" s="123" t="str">
        <f ca="1"/>
        <v>jueves</v>
      </c>
      <c r="Q214" s="124">
        <f ca="1"/>
        <v>45605</v>
      </c>
      <c r="R214" s="124">
        <f ca="1"/>
        <v>45649</v>
      </c>
      <c r="S214" s="90">
        <f ca="1"/>
        <v>25</v>
      </c>
      <c r="T214" s="139">
        <f ca="1"/>
        <v>0.55555555555555558</v>
      </c>
      <c r="U214" s="131">
        <f ca="1"/>
        <v>47</v>
      </c>
      <c r="V214" s="120">
        <f ca="1"/>
        <v>7.6610000000000005</v>
      </c>
      <c r="W214" s="140">
        <f ca="1"/>
        <v>5</v>
      </c>
      <c r="X214" s="139">
        <f ca="1"/>
        <v>0.88888888888888884</v>
      </c>
      <c r="Y214" s="141">
        <f ca="1"/>
        <v>0.298205</v>
      </c>
      <c r="Z214" s="141">
        <f ca="1"/>
        <v>0.298205</v>
      </c>
      <c r="AA214" s="142">
        <f ca="1"/>
        <v>2.2845485050000001</v>
      </c>
      <c r="AB214" s="138">
        <f ca="1"/>
        <v>14</v>
      </c>
      <c r="AC214" s="103" t="str">
        <f ca="1"/>
        <v>PROXIMOS FECHA CORTA</v>
      </c>
      <c r="AD214" s="150">
        <f ca="1"/>
        <v>7.6610000000000003E-3</v>
      </c>
    </row>
    <row r="215" spans="1:30">
      <c r="A215" s="111" t="str">
        <f ca="1"/>
        <v>MACHACHI</v>
      </c>
      <c r="B215" s="111" t="str">
        <f ca="1"/>
        <v>BEBIDAS LACTEAS</v>
      </c>
      <c r="C215" s="111" t="str">
        <f ca="1"/>
        <v xml:space="preserve">Luis Armendariz                         </v>
      </c>
      <c r="D215" s="111" t="str">
        <f ca="1"/>
        <v>BON YURT</v>
      </c>
      <c r="E215" s="111" t="str">
        <f ca="1"/>
        <v>BON YURT REGULAR</v>
      </c>
      <c r="F215" s="120" t="str">
        <f ca="1"/>
        <v>GUAYAQUIL</v>
      </c>
      <c r="G215" s="120">
        <f ca="1"/>
        <v>7711</v>
      </c>
      <c r="H215" s="120">
        <f ca="1"/>
        <v>1001</v>
      </c>
      <c r="I215" s="120" t="str">
        <f ca="1"/>
        <v>8654</v>
      </c>
      <c r="J215" s="120" t="str">
        <f ca="1"/>
        <v>BONYURT FRUTILLA ZUCARITAS</v>
      </c>
      <c r="K215" s="121">
        <f ca="1"/>
        <v>120</v>
      </c>
      <c r="L215" s="122">
        <f ca="1"/>
        <v>1</v>
      </c>
      <c r="M215" s="120">
        <f ca="1"/>
        <v>0.16300000000000001</v>
      </c>
      <c r="N215" s="121">
        <f ca="1"/>
        <v>45</v>
      </c>
      <c r="O215" s="123">
        <f ca="1"/>
        <v>45615</v>
      </c>
      <c r="P215" s="123" t="str">
        <f ca="1"/>
        <v>martes</v>
      </c>
      <c r="Q215" s="124">
        <f ca="1"/>
        <v>45605</v>
      </c>
      <c r="R215" s="124">
        <f ca="1"/>
        <v>45649</v>
      </c>
      <c r="S215" s="90">
        <f ca="1"/>
        <v>25</v>
      </c>
      <c r="T215" s="139">
        <f ca="1"/>
        <v>0.55555555555555558</v>
      </c>
      <c r="U215" s="131">
        <f ca="1"/>
        <v>120</v>
      </c>
      <c r="V215" s="120">
        <f ca="1"/>
        <v>19.560000000000002</v>
      </c>
      <c r="W215" s="140">
        <f ca="1"/>
        <v>10</v>
      </c>
      <c r="X215" s="139">
        <f ca="1"/>
        <v>0.77777777777777779</v>
      </c>
      <c r="Y215" s="141">
        <f ca="1"/>
        <v>0.298205</v>
      </c>
      <c r="Z215" s="141">
        <f ca="1"/>
        <v>0.298205</v>
      </c>
      <c r="AA215" s="142">
        <f ca="1"/>
        <v>5.8328898000000002</v>
      </c>
      <c r="AB215" s="138">
        <f ca="1"/>
        <v>9</v>
      </c>
      <c r="AC215" s="103" t="str">
        <f ca="1"/>
        <v>PROXIMOS FECHA CORTA</v>
      </c>
      <c r="AD215" s="150">
        <f ca="1"/>
        <v>1.9560000000000001E-2</v>
      </c>
    </row>
    <row r="216" spans="1:30">
      <c r="A216" s="111" t="str">
        <f ca="1"/>
        <v>MACHACHI</v>
      </c>
      <c r="B216" s="111" t="str">
        <f ca="1"/>
        <v>BEBIDAS LACTEAS</v>
      </c>
      <c r="C216" s="111" t="str">
        <f ca="1"/>
        <v xml:space="preserve">Luis Armendariz                         </v>
      </c>
      <c r="D216" s="111" t="str">
        <f ca="1"/>
        <v>BON YURT</v>
      </c>
      <c r="E216" s="111" t="str">
        <f ca="1"/>
        <v>BON YURT REGULAR</v>
      </c>
      <c r="F216" s="120" t="str">
        <f ca="1"/>
        <v>GUAYAQUIL</v>
      </c>
      <c r="G216" s="120">
        <f ca="1"/>
        <v>7711</v>
      </c>
      <c r="H216" s="120">
        <f ca="1"/>
        <v>1001</v>
      </c>
      <c r="I216" s="120" t="str">
        <f ca="1"/>
        <v>8654</v>
      </c>
      <c r="J216" s="120" t="str">
        <f ca="1"/>
        <v>BONYURT FRUTILLA ZUCARITAS</v>
      </c>
      <c r="K216" s="121">
        <f ca="1"/>
        <v>120</v>
      </c>
      <c r="L216" s="122">
        <f ca="1"/>
        <v>1</v>
      </c>
      <c r="M216" s="120">
        <f ca="1"/>
        <v>0.16300000000000001</v>
      </c>
      <c r="N216" s="121">
        <f ca="1"/>
        <v>45</v>
      </c>
      <c r="O216" s="123">
        <f ca="1"/>
        <v>45616</v>
      </c>
      <c r="P216" s="123" t="str">
        <f ca="1"/>
        <v>miércoles</v>
      </c>
      <c r="Q216" s="124">
        <f ca="1"/>
        <v>45612</v>
      </c>
      <c r="R216" s="124">
        <f ca="1"/>
        <v>45656</v>
      </c>
      <c r="S216" s="90">
        <f ca="1"/>
        <v>32</v>
      </c>
      <c r="T216" s="139">
        <f ca="1"/>
        <v>0.71111111111111114</v>
      </c>
      <c r="U216" s="131">
        <f ca="1"/>
        <v>0</v>
      </c>
      <c r="V216" s="120">
        <f ca="1"/>
        <v>0</v>
      </c>
      <c r="W216" s="140">
        <f ca="1"/>
        <v>4</v>
      </c>
      <c r="X216" s="139">
        <f ca="1"/>
        <v>0.91111111111111109</v>
      </c>
      <c r="Y216" s="141">
        <f ca="1"/>
        <v>0.298205</v>
      </c>
      <c r="Z216" s="141">
        <f ca="1"/>
        <v>0.298205</v>
      </c>
      <c r="AA216" s="142">
        <f ca="1"/>
        <v>0</v>
      </c>
      <c r="AB216" s="138">
        <f ca="1"/>
        <v>8</v>
      </c>
      <c r="AC216" s="103" t="str">
        <f ca="1"/>
        <v>VIGENTE</v>
      </c>
      <c r="AD216" s="150">
        <f ca="1"/>
        <v>0</v>
      </c>
    </row>
    <row r="217" spans="1:30">
      <c r="A217" s="111" t="str">
        <f ca="1"/>
        <v>MACHACHI</v>
      </c>
      <c r="B217" s="111" t="str">
        <f ca="1"/>
        <v>BEBIDAS LACTEAS</v>
      </c>
      <c r="C217" s="111" t="str">
        <f ca="1"/>
        <v xml:space="preserve">Luis Armendariz                         </v>
      </c>
      <c r="D217" s="111" t="str">
        <f ca="1"/>
        <v>BON YURT</v>
      </c>
      <c r="E217" s="111" t="str">
        <f ca="1"/>
        <v>BON YURT REGULAR</v>
      </c>
      <c r="F217" s="120" t="str">
        <f ca="1"/>
        <v>GUAYAQUIL</v>
      </c>
      <c r="G217" s="120">
        <f ca="1"/>
        <v>7711</v>
      </c>
      <c r="H217" s="120">
        <f ca="1"/>
        <v>1001</v>
      </c>
      <c r="I217" s="120" t="str">
        <f ca="1"/>
        <v>8654</v>
      </c>
      <c r="J217" s="120" t="str">
        <f ca="1"/>
        <v>BONYURT FRUTILLA ZUCARITAS</v>
      </c>
      <c r="K217" s="121">
        <f ca="1"/>
        <v>120</v>
      </c>
      <c r="L217" s="122">
        <f ca="1"/>
        <v>1</v>
      </c>
      <c r="M217" s="120">
        <f ca="1"/>
        <v>0.16300000000000001</v>
      </c>
      <c r="N217" s="121">
        <f ca="1"/>
        <v>45</v>
      </c>
      <c r="O217" s="123">
        <f ca="1"/>
        <v>45617</v>
      </c>
      <c r="P217" s="123" t="str">
        <f ca="1"/>
        <v>jueves</v>
      </c>
      <c r="Q217" s="124">
        <f ca="1"/>
        <v>45612</v>
      </c>
      <c r="R217" s="124">
        <f ca="1"/>
        <v>45656</v>
      </c>
      <c r="S217" s="90">
        <f ca="1"/>
        <v>32</v>
      </c>
      <c r="T217" s="139">
        <f ca="1"/>
        <v>0.71111111111111114</v>
      </c>
      <c r="U217" s="131">
        <f ca="1"/>
        <v>120</v>
      </c>
      <c r="V217" s="120">
        <f ca="1"/>
        <v>19.560000000000002</v>
      </c>
      <c r="W217" s="140">
        <f ca="1"/>
        <v>5</v>
      </c>
      <c r="X217" s="139">
        <f ca="1"/>
        <v>0.88888888888888884</v>
      </c>
      <c r="Y217" s="141">
        <f ca="1"/>
        <v>0.298205</v>
      </c>
      <c r="Z217" s="141">
        <f ca="1"/>
        <v>0.298205</v>
      </c>
      <c r="AA217" s="142">
        <f ca="1"/>
        <v>5.8328898000000002</v>
      </c>
      <c r="AB217" s="138">
        <f ca="1"/>
        <v>7</v>
      </c>
      <c r="AC217" s="103" t="str">
        <f ca="1"/>
        <v>VIGENTE</v>
      </c>
      <c r="AD217" s="150">
        <f ca="1"/>
        <v>1.9560000000000001E-2</v>
      </c>
    </row>
    <row r="218" spans="1:30">
      <c r="A218" s="111" t="str">
        <f ca="1"/>
        <v>MACHACHI</v>
      </c>
      <c r="B218" s="111" t="str">
        <f ca="1"/>
        <v>BEBIDAS LACTEAS</v>
      </c>
      <c r="C218" s="111" t="str">
        <f ca="1"/>
        <v xml:space="preserve">Luis Armendariz                         </v>
      </c>
      <c r="D218" s="111" t="str">
        <f ca="1"/>
        <v>BON YURT</v>
      </c>
      <c r="E218" s="111" t="str">
        <f ca="1"/>
        <v>BON YURT REGULAR</v>
      </c>
      <c r="F218" s="120" t="str">
        <f ca="1"/>
        <v>GUAYAQUIL</v>
      </c>
      <c r="G218" s="120">
        <f ca="1"/>
        <v>7711</v>
      </c>
      <c r="H218" s="120">
        <f ca="1"/>
        <v>1001</v>
      </c>
      <c r="I218" s="120" t="str">
        <f ca="1"/>
        <v>8655</v>
      </c>
      <c r="J218" s="120" t="str">
        <f ca="1"/>
        <v>BY ZUC VASO 170G ECU</v>
      </c>
      <c r="K218" s="121">
        <f ca="1"/>
        <v>60</v>
      </c>
      <c r="L218" s="122">
        <f ca="1"/>
        <v>1</v>
      </c>
      <c r="M218" s="120">
        <f ca="1"/>
        <v>0.16200000000000001</v>
      </c>
      <c r="N218" s="121">
        <f ca="1"/>
        <v>45</v>
      </c>
      <c r="O218" s="123">
        <f ca="1"/>
        <v>45608</v>
      </c>
      <c r="P218" s="123" t="str">
        <f ca="1"/>
        <v>martes</v>
      </c>
      <c r="Q218" s="124">
        <f ca="1"/>
        <v>45605</v>
      </c>
      <c r="R218" s="124">
        <f ca="1"/>
        <v>45649</v>
      </c>
      <c r="S218" s="90">
        <f ca="1"/>
        <v>25</v>
      </c>
      <c r="T218" s="139">
        <f ca="1"/>
        <v>0.55555555555555558</v>
      </c>
      <c r="U218" s="131">
        <f ca="1"/>
        <v>20</v>
      </c>
      <c r="V218" s="120">
        <f ca="1"/>
        <v>3.24</v>
      </c>
      <c r="W218" s="140">
        <f ca="1"/>
        <v>3</v>
      </c>
      <c r="X218" s="139">
        <f ca="1"/>
        <v>0.93333333333333335</v>
      </c>
      <c r="Y218" s="141">
        <f ca="1"/>
        <v>0.27881999999999996</v>
      </c>
      <c r="Z218" s="141">
        <f ca="1"/>
        <v>0.27881999999999996</v>
      </c>
      <c r="AA218" s="142">
        <f ca="1"/>
        <v>0.90337679999999987</v>
      </c>
      <c r="AB218" s="138">
        <f ca="1"/>
        <v>16</v>
      </c>
      <c r="AC218" s="103" t="str">
        <f ca="1"/>
        <v>PROXIMOS FECHA CORTA</v>
      </c>
      <c r="AD218" s="150">
        <f ca="1"/>
        <v>3.2400000000000003E-3</v>
      </c>
    </row>
    <row r="219" spans="1:30">
      <c r="A219" s="111" t="str">
        <f ca="1"/>
        <v>MACHACHI</v>
      </c>
      <c r="B219" s="111" t="str">
        <f ca="1"/>
        <v>BEBIDAS LACTEAS</v>
      </c>
      <c r="C219" s="111" t="str">
        <f ca="1"/>
        <v xml:space="preserve">Luis Armendariz                         </v>
      </c>
      <c r="D219" s="111" t="str">
        <f ca="1"/>
        <v>BON YURT</v>
      </c>
      <c r="E219" s="111" t="str">
        <f ca="1"/>
        <v>BON YURT REGULAR</v>
      </c>
      <c r="F219" s="120" t="str">
        <f ca="1"/>
        <v>GUAYAQUIL</v>
      </c>
      <c r="G219" s="120">
        <f ca="1"/>
        <v>7711</v>
      </c>
      <c r="H219" s="120">
        <f ca="1"/>
        <v>1001</v>
      </c>
      <c r="I219" s="120" t="str">
        <f ca="1"/>
        <v>8655</v>
      </c>
      <c r="J219" s="120" t="str">
        <f ca="1"/>
        <v>BY ZUC VASO 170G ECU</v>
      </c>
      <c r="K219" s="121">
        <f ca="1"/>
        <v>60</v>
      </c>
      <c r="L219" s="122">
        <f ca="1"/>
        <v>1</v>
      </c>
      <c r="M219" s="120">
        <f ca="1"/>
        <v>0.16200000000000001</v>
      </c>
      <c r="N219" s="121">
        <f ca="1"/>
        <v>45</v>
      </c>
      <c r="O219" s="123">
        <f ca="1"/>
        <v>45610</v>
      </c>
      <c r="P219" s="123" t="str">
        <f ca="1"/>
        <v>jueves</v>
      </c>
      <c r="Q219" s="124">
        <f ca="1"/>
        <v>45605</v>
      </c>
      <c r="R219" s="124">
        <f ca="1"/>
        <v>45649</v>
      </c>
      <c r="S219" s="90">
        <f ca="1"/>
        <v>25</v>
      </c>
      <c r="T219" s="139">
        <f ca="1"/>
        <v>0.55555555555555558</v>
      </c>
      <c r="U219" s="131">
        <f ca="1"/>
        <v>60</v>
      </c>
      <c r="V219" s="120">
        <f ca="1"/>
        <v>9.7200000000000006</v>
      </c>
      <c r="W219" s="140">
        <f ca="1"/>
        <v>5</v>
      </c>
      <c r="X219" s="139">
        <f ca="1"/>
        <v>0.88888888888888884</v>
      </c>
      <c r="Y219" s="141">
        <f ca="1"/>
        <v>0.27881999999999996</v>
      </c>
      <c r="Z219" s="141">
        <f ca="1"/>
        <v>0.27881999999999996</v>
      </c>
      <c r="AA219" s="142">
        <f ca="1"/>
        <v>2.7101303999999997</v>
      </c>
      <c r="AB219" s="138">
        <f ca="1"/>
        <v>14</v>
      </c>
      <c r="AC219" s="103" t="str">
        <f ca="1"/>
        <v>PROXIMOS FECHA CORTA</v>
      </c>
      <c r="AD219" s="150">
        <f ca="1"/>
        <v>9.7200000000000012E-3</v>
      </c>
    </row>
    <row r="220" spans="1:30">
      <c r="A220" s="111" t="str">
        <f ca="1"/>
        <v>MACHACHI</v>
      </c>
      <c r="B220" s="111" t="str">
        <f ca="1"/>
        <v>BEBIDAS LACTEAS</v>
      </c>
      <c r="C220" s="111" t="str">
        <f ca="1"/>
        <v xml:space="preserve">Luis Armendariz                         </v>
      </c>
      <c r="D220" s="111" t="str">
        <f ca="1"/>
        <v>BON YURT</v>
      </c>
      <c r="E220" s="111" t="str">
        <f ca="1"/>
        <v>BON YURT REGULAR</v>
      </c>
      <c r="F220" s="120" t="str">
        <f ca="1"/>
        <v>GUAYAQUIL</v>
      </c>
      <c r="G220" s="120">
        <f ca="1"/>
        <v>7711</v>
      </c>
      <c r="H220" s="120">
        <f ca="1"/>
        <v>1001</v>
      </c>
      <c r="I220" s="120" t="str">
        <f ca="1"/>
        <v>8655</v>
      </c>
      <c r="J220" s="120" t="str">
        <f ca="1"/>
        <v>BY ZUC VASO 170G ECU</v>
      </c>
      <c r="K220" s="121">
        <f ca="1"/>
        <v>60</v>
      </c>
      <c r="L220" s="122">
        <f ca="1"/>
        <v>1</v>
      </c>
      <c r="M220" s="120">
        <f ca="1"/>
        <v>0.16200000000000001</v>
      </c>
      <c r="N220" s="121">
        <f ca="1"/>
        <v>45</v>
      </c>
      <c r="O220" s="123">
        <f ca="1"/>
        <v>45615</v>
      </c>
      <c r="P220" s="123" t="str">
        <f ca="1"/>
        <v>martes</v>
      </c>
      <c r="Q220" s="124">
        <f ca="1"/>
        <v>45611</v>
      </c>
      <c r="R220" s="124">
        <f ca="1"/>
        <v>45655</v>
      </c>
      <c r="S220" s="90">
        <f ca="1"/>
        <v>31</v>
      </c>
      <c r="T220" s="139">
        <f ca="1"/>
        <v>0.68888888888888888</v>
      </c>
      <c r="U220" s="131">
        <f ca="1"/>
        <v>0</v>
      </c>
      <c r="V220" s="120">
        <f ca="1"/>
        <v>0</v>
      </c>
      <c r="W220" s="140">
        <f ca="1"/>
        <v>4</v>
      </c>
      <c r="X220" s="139">
        <f ca="1"/>
        <v>0.91111111111111109</v>
      </c>
      <c r="Y220" s="141">
        <f ca="1"/>
        <v>0.27881999999999996</v>
      </c>
      <c r="Z220" s="141">
        <f ca="1"/>
        <v>0.27881999999999996</v>
      </c>
      <c r="AA220" s="142">
        <f ca="1"/>
        <v>0</v>
      </c>
      <c r="AB220" s="138">
        <f ca="1"/>
        <v>9</v>
      </c>
      <c r="AC220" s="103" t="str">
        <f ca="1"/>
        <v>VIGENTE</v>
      </c>
      <c r="AD220" s="150">
        <f ca="1"/>
        <v>0</v>
      </c>
    </row>
    <row r="221" spans="1:30">
      <c r="A221" s="111" t="str">
        <f ca="1"/>
        <v>MACHACHI</v>
      </c>
      <c r="B221" s="111" t="str">
        <f ca="1"/>
        <v>BEBIDAS LACTEAS</v>
      </c>
      <c r="C221" s="111" t="str">
        <f ca="1"/>
        <v xml:space="preserve">Luis Armendariz                         </v>
      </c>
      <c r="D221" s="111" t="str">
        <f ca="1"/>
        <v>BON YURT</v>
      </c>
      <c r="E221" s="111" t="str">
        <f ca="1"/>
        <v>BON YURT REGULAR</v>
      </c>
      <c r="F221" s="120" t="str">
        <f ca="1"/>
        <v>GUAYAQUIL</v>
      </c>
      <c r="G221" s="120">
        <f ca="1"/>
        <v>7711</v>
      </c>
      <c r="H221" s="120">
        <f ca="1"/>
        <v>1001</v>
      </c>
      <c r="I221" s="120" t="str">
        <f ca="1"/>
        <v>8655</v>
      </c>
      <c r="J221" s="120" t="str">
        <f ca="1"/>
        <v>BY ZUC VASO 170G ECU</v>
      </c>
      <c r="K221" s="121">
        <f ca="1"/>
        <v>60</v>
      </c>
      <c r="L221" s="122">
        <f ca="1"/>
        <v>1</v>
      </c>
      <c r="M221" s="120">
        <f ca="1"/>
        <v>0.16200000000000001</v>
      </c>
      <c r="N221" s="121">
        <f ca="1"/>
        <v>45</v>
      </c>
      <c r="O221" s="123">
        <f ca="1"/>
        <v>45617</v>
      </c>
      <c r="P221" s="123" t="str">
        <f ca="1"/>
        <v>jueves</v>
      </c>
      <c r="Q221" s="124">
        <f ca="1"/>
        <v>45611</v>
      </c>
      <c r="R221" s="124">
        <f ca="1"/>
        <v>45655</v>
      </c>
      <c r="S221" s="90">
        <f ca="1"/>
        <v>31</v>
      </c>
      <c r="T221" s="139">
        <f ca="1"/>
        <v>0.68888888888888888</v>
      </c>
      <c r="U221" s="131">
        <f ca="1"/>
        <v>60</v>
      </c>
      <c r="V221" s="120">
        <f ca="1"/>
        <v>9.7200000000000006</v>
      </c>
      <c r="W221" s="140">
        <f ca="1"/>
        <v>6</v>
      </c>
      <c r="X221" s="139">
        <f ca="1"/>
        <v>0.8666666666666667</v>
      </c>
      <c r="Y221" s="141">
        <f ca="1"/>
        <v>0.27881999999999996</v>
      </c>
      <c r="Z221" s="141">
        <f ca="1"/>
        <v>0.27881999999999996</v>
      </c>
      <c r="AA221" s="142">
        <f ca="1"/>
        <v>2.7101303999999997</v>
      </c>
      <c r="AB221" s="138">
        <f ca="1"/>
        <v>7</v>
      </c>
      <c r="AC221" s="103" t="str">
        <f ca="1"/>
        <v>VIGENTE</v>
      </c>
      <c r="AD221" s="150">
        <f ca="1"/>
        <v>9.7200000000000012E-3</v>
      </c>
    </row>
    <row r="222" spans="1:30">
      <c r="A222" s="111" t="str">
        <f ca="1"/>
        <v>MACHACHI</v>
      </c>
      <c r="B222" s="111" t="str">
        <f ca="1"/>
        <v>BEBIDAS LACTEAS</v>
      </c>
      <c r="C222" s="111" t="str">
        <f ca="1"/>
        <v xml:space="preserve">Luis Armendariz                         </v>
      </c>
      <c r="D222" s="111" t="str">
        <f ca="1"/>
        <v>BON YURT</v>
      </c>
      <c r="E222" s="111" t="str">
        <f ca="1"/>
        <v>BON YURT REGULAR</v>
      </c>
      <c r="F222" s="120" t="str">
        <f ca="1"/>
        <v>GUAYAQUIL</v>
      </c>
      <c r="G222" s="120">
        <f ca="1"/>
        <v>7711</v>
      </c>
      <c r="H222" s="120">
        <f ca="1"/>
        <v>1001</v>
      </c>
      <c r="I222" s="120" t="str">
        <f ca="1"/>
        <v>8656</v>
      </c>
      <c r="J222" s="120" t="str">
        <f ca="1"/>
        <v>BY FROOT LOOPS VASO 154 G</v>
      </c>
      <c r="K222" s="121">
        <f ca="1"/>
        <v>240</v>
      </c>
      <c r="L222" s="122">
        <f ca="1"/>
        <v>1</v>
      </c>
      <c r="M222" s="120">
        <f ca="1"/>
        <v>0.154</v>
      </c>
      <c r="N222" s="121">
        <f ca="1"/>
        <v>45</v>
      </c>
      <c r="O222" s="123">
        <f ca="1"/>
        <v>45604</v>
      </c>
      <c r="P222" s="123" t="str">
        <f ca="1"/>
        <v>viernes</v>
      </c>
      <c r="Q222" s="124">
        <f ca="1"/>
        <v>45594</v>
      </c>
      <c r="R222" s="124">
        <f ca="1"/>
        <v>45638</v>
      </c>
      <c r="S222" s="90">
        <f ca="1"/>
        <v>14</v>
      </c>
      <c r="T222" s="139">
        <f ca="1"/>
        <v>0.31111111111111112</v>
      </c>
      <c r="U222" s="131">
        <f ca="1"/>
        <v>3</v>
      </c>
      <c r="V222" s="120">
        <f ca="1"/>
        <v>0.46199999999999997</v>
      </c>
      <c r="W222" s="140">
        <f ca="1"/>
        <v>10</v>
      </c>
      <c r="X222" s="139">
        <f ca="1"/>
        <v>0.77777777777777779</v>
      </c>
      <c r="Y222" s="141">
        <f ca="1"/>
        <v>0.295705</v>
      </c>
      <c r="Z222" s="141">
        <f ca="1"/>
        <v>0.295705</v>
      </c>
      <c r="AA222" s="142">
        <f ca="1"/>
        <v>0.13661571</v>
      </c>
      <c r="AB222" s="138">
        <f ca="1"/>
        <v>20</v>
      </c>
      <c r="AC222" s="103" t="str">
        <f ca="1"/>
        <v>FECHA CORTA</v>
      </c>
      <c r="AD222" s="150">
        <f ca="1"/>
        <v>4.6199999999999995E-4</v>
      </c>
    </row>
    <row r="223" spans="1:30">
      <c r="A223" s="111" t="str">
        <f ca="1"/>
        <v>MACHACHI</v>
      </c>
      <c r="B223" s="111" t="str">
        <f ca="1"/>
        <v>BEBIDAS LACTEAS</v>
      </c>
      <c r="C223" s="111" t="str">
        <f ca="1"/>
        <v xml:space="preserve">Luis Armendariz                         </v>
      </c>
      <c r="D223" s="111" t="str">
        <f ca="1"/>
        <v>BON YURT</v>
      </c>
      <c r="E223" s="111" t="str">
        <f ca="1"/>
        <v>BON YURT REGULAR</v>
      </c>
      <c r="F223" s="120" t="str">
        <f ca="1"/>
        <v>GUAYAQUIL</v>
      </c>
      <c r="G223" s="120">
        <f ca="1"/>
        <v>7711</v>
      </c>
      <c r="H223" s="120">
        <f ca="1"/>
        <v>1001</v>
      </c>
      <c r="I223" s="120" t="str">
        <f ca="1"/>
        <v>8656</v>
      </c>
      <c r="J223" s="120" t="str">
        <f ca="1"/>
        <v>BY FROOT LOOPS VASO 154 G</v>
      </c>
      <c r="K223" s="121">
        <f ca="1"/>
        <v>300</v>
      </c>
      <c r="L223" s="122">
        <f ca="1"/>
        <v>1</v>
      </c>
      <c r="M223" s="120">
        <f ca="1"/>
        <v>0.154</v>
      </c>
      <c r="N223" s="121">
        <f ca="1"/>
        <v>45</v>
      </c>
      <c r="O223" s="123">
        <f ca="1"/>
        <v>45609</v>
      </c>
      <c r="P223" s="123" t="str">
        <f ca="1"/>
        <v>miércoles</v>
      </c>
      <c r="Q223" s="124">
        <f ca="1"/>
        <v>45601</v>
      </c>
      <c r="R223" s="124">
        <f ca="1"/>
        <v>45645</v>
      </c>
      <c r="S223" s="90">
        <f ca="1"/>
        <v>21</v>
      </c>
      <c r="T223" s="139">
        <f ca="1"/>
        <v>0.46666666666666667</v>
      </c>
      <c r="U223" s="131">
        <f ca="1"/>
        <v>26</v>
      </c>
      <c r="V223" s="120">
        <f ca="1"/>
        <v>4.0039999999999996</v>
      </c>
      <c r="W223" s="140">
        <f ca="1"/>
        <v>8</v>
      </c>
      <c r="X223" s="139">
        <f ca="1"/>
        <v>0.82222222222222219</v>
      </c>
      <c r="Y223" s="141">
        <f ca="1"/>
        <v>0.295705</v>
      </c>
      <c r="Z223" s="141">
        <f ca="1"/>
        <v>0.295705</v>
      </c>
      <c r="AA223" s="142">
        <f ca="1"/>
        <v>1.1840028199999999</v>
      </c>
      <c r="AB223" s="138">
        <f ca="1"/>
        <v>15</v>
      </c>
      <c r="AC223" s="103" t="str">
        <f ca="1"/>
        <v>FECHA CORTA</v>
      </c>
      <c r="AD223" s="150">
        <f ca="1"/>
        <v>4.0039999999999997E-3</v>
      </c>
    </row>
    <row r="224" spans="1:30">
      <c r="A224" s="111" t="str">
        <f ca="1"/>
        <v>MACHACHI</v>
      </c>
      <c r="B224" s="111" t="str">
        <f ca="1"/>
        <v>BEBIDAS LACTEAS</v>
      </c>
      <c r="C224" s="111" t="str">
        <f ca="1"/>
        <v xml:space="preserve">Luis Armendariz                         </v>
      </c>
      <c r="D224" s="111" t="str">
        <f ca="1"/>
        <v>BON YURT</v>
      </c>
      <c r="E224" s="111" t="str">
        <f ca="1"/>
        <v>BON YURT REGULAR</v>
      </c>
      <c r="F224" s="120" t="str">
        <f ca="1"/>
        <v>GUAYAQUIL</v>
      </c>
      <c r="G224" s="120">
        <f ca="1"/>
        <v>7711</v>
      </c>
      <c r="H224" s="120">
        <f ca="1"/>
        <v>1001</v>
      </c>
      <c r="I224" s="120" t="str">
        <f ca="1"/>
        <v>8656</v>
      </c>
      <c r="J224" s="120" t="str">
        <f ca="1"/>
        <v>BY FROOT LOOPS VASO 154 G</v>
      </c>
      <c r="K224" s="121">
        <f ca="1"/>
        <v>480</v>
      </c>
      <c r="L224" s="122">
        <f ca="1"/>
        <v>1</v>
      </c>
      <c r="M224" s="120">
        <f ca="1"/>
        <v>0.154</v>
      </c>
      <c r="N224" s="121">
        <f ca="1"/>
        <v>45</v>
      </c>
      <c r="O224" s="123">
        <f ca="1"/>
        <v>45612</v>
      </c>
      <c r="P224" s="123" t="str">
        <f ca="1"/>
        <v>sábado</v>
      </c>
      <c r="Q224" s="124">
        <f ca="1"/>
        <v>45608</v>
      </c>
      <c r="R224" s="124">
        <f ca="1"/>
        <v>45652</v>
      </c>
      <c r="S224" s="90">
        <f ca="1"/>
        <v>28</v>
      </c>
      <c r="T224" s="139">
        <f ca="1"/>
        <v>0.62222222222222223</v>
      </c>
      <c r="U224" s="131">
        <f ca="1"/>
        <v>480</v>
      </c>
      <c r="V224" s="120">
        <f ca="1"/>
        <v>73.92</v>
      </c>
      <c r="W224" s="140">
        <f ca="1"/>
        <v>4</v>
      </c>
      <c r="X224" s="139">
        <f ca="1"/>
        <v>0.91111111111111109</v>
      </c>
      <c r="Y224" s="141">
        <f ca="1"/>
        <v>0.295705</v>
      </c>
      <c r="Z224" s="141">
        <f ca="1"/>
        <v>0.295705</v>
      </c>
      <c r="AA224" s="142">
        <f ca="1"/>
        <v>21.858513599999998</v>
      </c>
      <c r="AB224" s="138">
        <f ca="1"/>
        <v>12</v>
      </c>
      <c r="AC224" s="103" t="str">
        <f ca="1"/>
        <v>VIGENTE</v>
      </c>
      <c r="AD224" s="150">
        <f ca="1"/>
        <v>7.392E-2</v>
      </c>
    </row>
    <row r="225" spans="1:30">
      <c r="A225" s="111" t="str">
        <f ca="1"/>
        <v>MACHACHI</v>
      </c>
      <c r="B225" s="111" t="str">
        <f ca="1"/>
        <v>BEBIDAS LACTEAS</v>
      </c>
      <c r="C225" s="111" t="str">
        <f ca="1"/>
        <v xml:space="preserve">Luis Armendariz                         </v>
      </c>
      <c r="D225" s="111" t="str">
        <f ca="1"/>
        <v>BON YURT</v>
      </c>
      <c r="E225" s="111" t="str">
        <f ca="1"/>
        <v>BON YURT REGULAR</v>
      </c>
      <c r="F225" s="120" t="str">
        <f ca="1"/>
        <v>GUAYAQUIL</v>
      </c>
      <c r="G225" s="120">
        <f ca="1"/>
        <v>7711</v>
      </c>
      <c r="H225" s="120">
        <f ca="1"/>
        <v>1001</v>
      </c>
      <c r="I225" s="120" t="str">
        <f ca="1"/>
        <v>8656</v>
      </c>
      <c r="J225" s="120" t="str">
        <f ca="1"/>
        <v>BY FROOT LOOPS VASO 154 G</v>
      </c>
      <c r="K225" s="121">
        <f ca="1"/>
        <v>360</v>
      </c>
      <c r="L225" s="122">
        <f ca="1"/>
        <v>1</v>
      </c>
      <c r="M225" s="120">
        <f ca="1"/>
        <v>0.154</v>
      </c>
      <c r="N225" s="121">
        <f ca="1"/>
        <v>45</v>
      </c>
      <c r="O225" s="123">
        <f ca="1"/>
        <v>45611</v>
      </c>
      <c r="P225" s="123" t="str">
        <f ca="1"/>
        <v>viernes</v>
      </c>
      <c r="Q225" s="124">
        <f ca="1"/>
        <v>45605</v>
      </c>
      <c r="R225" s="124">
        <f ca="1"/>
        <v>45649</v>
      </c>
      <c r="S225" s="90">
        <f ca="1"/>
        <v>25</v>
      </c>
      <c r="T225" s="139">
        <f ca="1"/>
        <v>0.55555555555555558</v>
      </c>
      <c r="U225" s="131">
        <f ca="1"/>
        <v>110</v>
      </c>
      <c r="V225" s="120">
        <f ca="1"/>
        <v>16.940000000000001</v>
      </c>
      <c r="W225" s="140">
        <f ca="1"/>
        <v>6</v>
      </c>
      <c r="X225" s="139">
        <f ca="1"/>
        <v>0.8666666666666667</v>
      </c>
      <c r="Y225" s="141">
        <f ca="1"/>
        <v>0.295705</v>
      </c>
      <c r="Z225" s="141">
        <f ca="1"/>
        <v>0.295705</v>
      </c>
      <c r="AA225" s="142">
        <f ca="1"/>
        <v>5.0092427000000006</v>
      </c>
      <c r="AB225" s="138">
        <f ca="1"/>
        <v>13</v>
      </c>
      <c r="AC225" s="103" t="str">
        <f ca="1"/>
        <v>PROXIMOS FECHA CORTA</v>
      </c>
      <c r="AD225" s="150">
        <f ca="1"/>
        <v>1.694E-2</v>
      </c>
    </row>
    <row r="226" spans="1:30">
      <c r="A226" s="111" t="str">
        <f ca="1"/>
        <v>MACHACHI</v>
      </c>
      <c r="B226" s="111" t="str">
        <f ca="1"/>
        <v>BEBIDAS LACTEAS</v>
      </c>
      <c r="C226" s="111" t="str">
        <f ca="1"/>
        <v xml:space="preserve">Luis Armendariz                         </v>
      </c>
      <c r="D226" s="111" t="str">
        <f ca="1"/>
        <v>BON YURT</v>
      </c>
      <c r="E226" s="111" t="str">
        <f ca="1"/>
        <v>BON YURT REGULAR</v>
      </c>
      <c r="F226" s="120" t="str">
        <f ca="1"/>
        <v>GUAYAQUIL</v>
      </c>
      <c r="G226" s="120">
        <f ca="1"/>
        <v>7711</v>
      </c>
      <c r="H226" s="120">
        <f ca="1"/>
        <v>1001</v>
      </c>
      <c r="I226" s="120" t="str">
        <f ca="1"/>
        <v>8656</v>
      </c>
      <c r="J226" s="120" t="str">
        <f ca="1"/>
        <v>BY FROOT LOOPS VASO 154 G</v>
      </c>
      <c r="K226" s="121">
        <f ca="1"/>
        <v>240</v>
      </c>
      <c r="L226" s="122">
        <f ca="1"/>
        <v>1</v>
      </c>
      <c r="M226" s="120">
        <f ca="1"/>
        <v>0.154</v>
      </c>
      <c r="N226" s="121">
        <f ca="1"/>
        <v>45</v>
      </c>
      <c r="O226" s="123">
        <f ca="1"/>
        <v>45610</v>
      </c>
      <c r="P226" s="123" t="str">
        <f ca="1"/>
        <v>jueves</v>
      </c>
      <c r="Q226" s="124">
        <f ca="1"/>
        <v>45601</v>
      </c>
      <c r="R226" s="124">
        <f ca="1"/>
        <v>45645</v>
      </c>
      <c r="S226" s="90">
        <f ca="1"/>
        <v>21</v>
      </c>
      <c r="T226" s="139">
        <f ca="1"/>
        <v>0.46666666666666667</v>
      </c>
      <c r="U226" s="131">
        <f ca="1"/>
        <v>240</v>
      </c>
      <c r="V226" s="120">
        <f ca="1"/>
        <v>36.96</v>
      </c>
      <c r="W226" s="140">
        <f ca="1"/>
        <v>9</v>
      </c>
      <c r="X226" s="139">
        <f ca="1"/>
        <v>0.8</v>
      </c>
      <c r="Y226" s="141">
        <f ca="1"/>
        <v>0.295705</v>
      </c>
      <c r="Z226" s="141">
        <f ca="1"/>
        <v>0.295705</v>
      </c>
      <c r="AA226" s="142">
        <f ca="1"/>
        <v>10.929256799999999</v>
      </c>
      <c r="AB226" s="138">
        <f ca="1"/>
        <v>14</v>
      </c>
      <c r="AC226" s="103" t="str">
        <f ca="1"/>
        <v>FECHA CORTA</v>
      </c>
      <c r="AD226" s="150">
        <f ca="1"/>
        <v>3.696E-2</v>
      </c>
    </row>
    <row r="227" spans="1:30">
      <c r="A227" s="111" t="str">
        <f ca="1"/>
        <v>MACHACHI</v>
      </c>
      <c r="B227" s="111" t="str">
        <f ca="1"/>
        <v>BEBIDAS LACTEAS</v>
      </c>
      <c r="C227" s="111" t="str">
        <f ca="1"/>
        <v xml:space="preserve">Luis Armendariz                         </v>
      </c>
      <c r="D227" s="111" t="str">
        <f ca="1"/>
        <v>BON YURT</v>
      </c>
      <c r="E227" s="111" t="str">
        <f ca="1"/>
        <v>BON YURT REGULAR</v>
      </c>
      <c r="F227" s="120" t="str">
        <f ca="1"/>
        <v>GUAYAQUIL</v>
      </c>
      <c r="G227" s="120">
        <f ca="1"/>
        <v>7711</v>
      </c>
      <c r="H227" s="120">
        <f ca="1"/>
        <v>1001</v>
      </c>
      <c r="I227" s="120" t="str">
        <f ca="1"/>
        <v>8656</v>
      </c>
      <c r="J227" s="120" t="str">
        <f ca="1"/>
        <v>BY FROOT LOOPS VASO 154 G</v>
      </c>
      <c r="K227" s="121">
        <f ca="1"/>
        <v>300</v>
      </c>
      <c r="L227" s="122">
        <f ca="1"/>
        <v>1</v>
      </c>
      <c r="M227" s="120">
        <f ca="1"/>
        <v>0.154</v>
      </c>
      <c r="N227" s="121">
        <f ca="1"/>
        <v>45</v>
      </c>
      <c r="O227" s="123">
        <f ca="1"/>
        <v>45615</v>
      </c>
      <c r="P227" s="123" t="str">
        <f ca="1"/>
        <v>martes</v>
      </c>
      <c r="Q227" s="124">
        <f ca="1"/>
        <v>45608</v>
      </c>
      <c r="R227" s="124">
        <f ca="1"/>
        <v>45652</v>
      </c>
      <c r="S227" s="90">
        <f ca="1"/>
        <v>28</v>
      </c>
      <c r="T227" s="139">
        <f ca="1"/>
        <v>0.62222222222222223</v>
      </c>
      <c r="U227" s="131">
        <f ca="1"/>
        <v>300</v>
      </c>
      <c r="V227" s="120">
        <f ca="1"/>
        <v>46.2</v>
      </c>
      <c r="W227" s="140">
        <f ca="1"/>
        <v>7</v>
      </c>
      <c r="X227" s="139">
        <f ca="1"/>
        <v>0.84444444444444444</v>
      </c>
      <c r="Y227" s="141">
        <f ca="1"/>
        <v>0.295705</v>
      </c>
      <c r="Z227" s="141">
        <f ca="1"/>
        <v>0.295705</v>
      </c>
      <c r="AA227" s="142">
        <f ca="1"/>
        <v>13.661571</v>
      </c>
      <c r="AB227" s="138">
        <f ca="1"/>
        <v>9</v>
      </c>
      <c r="AC227" s="103" t="str">
        <f ca="1"/>
        <v>VIGENTE</v>
      </c>
      <c r="AD227" s="150">
        <f ca="1"/>
        <v>4.6200000000000005E-2</v>
      </c>
    </row>
    <row r="228" spans="1:30">
      <c r="A228" s="111" t="str">
        <f ca="1"/>
        <v>MACHACHI</v>
      </c>
      <c r="B228" s="111" t="str">
        <f ca="1"/>
        <v>BEBIDAS LACTEAS</v>
      </c>
      <c r="C228" s="111" t="str">
        <f ca="1"/>
        <v xml:space="preserve">Luis Armendariz                         </v>
      </c>
      <c r="D228" s="111" t="str">
        <f ca="1"/>
        <v>BON YURT</v>
      </c>
      <c r="E228" s="111" t="str">
        <f ca="1"/>
        <v>BON YURT REGULAR</v>
      </c>
      <c r="F228" s="120" t="str">
        <f ca="1"/>
        <v>GUAYAQUIL</v>
      </c>
      <c r="G228" s="120">
        <f ca="1"/>
        <v>7711</v>
      </c>
      <c r="H228" s="120">
        <f ca="1"/>
        <v>1001</v>
      </c>
      <c r="I228" s="120" t="str">
        <f ca="1"/>
        <v>8656</v>
      </c>
      <c r="J228" s="120" t="str">
        <f ca="1"/>
        <v>BY FROOT LOOPS VASO 154 G</v>
      </c>
      <c r="K228" s="121">
        <f ca="1"/>
        <v>420</v>
      </c>
      <c r="L228" s="122">
        <f ca="1"/>
        <v>1</v>
      </c>
      <c r="M228" s="120">
        <f ca="1"/>
        <v>0.154</v>
      </c>
      <c r="N228" s="121">
        <f ca="1"/>
        <v>45</v>
      </c>
      <c r="O228" s="123">
        <f ca="1"/>
        <v>45616</v>
      </c>
      <c r="P228" s="123" t="str">
        <f ca="1"/>
        <v>miércoles</v>
      </c>
      <c r="Q228" s="124">
        <f ca="1"/>
        <v>45611</v>
      </c>
      <c r="R228" s="124">
        <f ca="1"/>
        <v>45655</v>
      </c>
      <c r="S228" s="90">
        <f ca="1"/>
        <v>31</v>
      </c>
      <c r="T228" s="139">
        <f ca="1"/>
        <v>0.68888888888888888</v>
      </c>
      <c r="U228" s="131">
        <f ca="1"/>
        <v>120</v>
      </c>
      <c r="V228" s="120">
        <f ca="1"/>
        <v>18.48</v>
      </c>
      <c r="W228" s="140">
        <f ca="1"/>
        <v>5</v>
      </c>
      <c r="X228" s="139">
        <f ca="1"/>
        <v>0.88888888888888884</v>
      </c>
      <c r="Y228" s="141">
        <f ca="1"/>
        <v>0.295705</v>
      </c>
      <c r="Z228" s="141">
        <f ca="1"/>
        <v>0.295705</v>
      </c>
      <c r="AA228" s="142">
        <f ca="1"/>
        <v>5.4646283999999996</v>
      </c>
      <c r="AB228" s="138">
        <f ca="1"/>
        <v>8</v>
      </c>
      <c r="AC228" s="103" t="str">
        <f ca="1"/>
        <v>VIGENTE</v>
      </c>
      <c r="AD228" s="150">
        <f ca="1"/>
        <v>1.848E-2</v>
      </c>
    </row>
    <row r="229" spans="1:30">
      <c r="A229" s="111" t="str">
        <f ca="1"/>
        <v>MACHACHI</v>
      </c>
      <c r="B229" s="111" t="str">
        <f ca="1"/>
        <v>BEBIDAS LACTEAS</v>
      </c>
      <c r="C229" s="111" t="str">
        <f ca="1"/>
        <v xml:space="preserve">Luis Armendariz                         </v>
      </c>
      <c r="D229" s="111" t="str">
        <f ca="1"/>
        <v>BON YURT</v>
      </c>
      <c r="E229" s="111" t="str">
        <f ca="1"/>
        <v>BON YURT REGULAR</v>
      </c>
      <c r="F229" s="120" t="str">
        <f ca="1"/>
        <v>GUAYAQUIL</v>
      </c>
      <c r="G229" s="120">
        <f ca="1"/>
        <v>7711</v>
      </c>
      <c r="H229" s="120">
        <f ca="1"/>
        <v>1001</v>
      </c>
      <c r="I229" s="120" t="str">
        <f ca="1"/>
        <v>8656</v>
      </c>
      <c r="J229" s="120" t="str">
        <f ca="1"/>
        <v>BY FROOT LOOPS VASO 154 G</v>
      </c>
      <c r="K229" s="121">
        <f ca="1"/>
        <v>300</v>
      </c>
      <c r="L229" s="122">
        <f ca="1"/>
        <v>1</v>
      </c>
      <c r="M229" s="120">
        <f ca="1"/>
        <v>0.154</v>
      </c>
      <c r="N229" s="121">
        <f ca="1"/>
        <v>45</v>
      </c>
      <c r="O229" s="123">
        <f ca="1"/>
        <v>45617</v>
      </c>
      <c r="P229" s="123" t="str">
        <f ca="1"/>
        <v>jueves</v>
      </c>
      <c r="Q229" s="124">
        <f ca="1"/>
        <v>45611</v>
      </c>
      <c r="R229" s="124">
        <f ca="1"/>
        <v>45655</v>
      </c>
      <c r="S229" s="90">
        <f ca="1"/>
        <v>31</v>
      </c>
      <c r="T229" s="139">
        <f ca="1"/>
        <v>0.68888888888888888</v>
      </c>
      <c r="U229" s="131">
        <f ca="1"/>
        <v>300</v>
      </c>
      <c r="V229" s="120">
        <f ca="1"/>
        <v>46.2</v>
      </c>
      <c r="W229" s="140">
        <f ca="1"/>
        <v>6</v>
      </c>
      <c r="X229" s="139">
        <f ca="1"/>
        <v>0.8666666666666667</v>
      </c>
      <c r="Y229" s="141">
        <f ca="1"/>
        <v>0.295705</v>
      </c>
      <c r="Z229" s="141">
        <f ca="1"/>
        <v>0.295705</v>
      </c>
      <c r="AA229" s="142">
        <f ca="1"/>
        <v>13.661571</v>
      </c>
      <c r="AB229" s="138">
        <f ca="1"/>
        <v>7</v>
      </c>
      <c r="AC229" s="103" t="str">
        <f ca="1"/>
        <v>VIGENTE</v>
      </c>
      <c r="AD229" s="150">
        <f ca="1"/>
        <v>4.6200000000000005E-2</v>
      </c>
    </row>
    <row r="230" spans="1:30">
      <c r="A230" s="111" t="str">
        <f ca="1"/>
        <v>SAN GABRIEL</v>
      </c>
      <c r="B230" s="111" t="str">
        <f ca="1"/>
        <v>QUESOS Y GRASAS</v>
      </c>
      <c r="C230" s="111" t="str">
        <f ca="1"/>
        <v xml:space="preserve">Esteban Montenegro                      </v>
      </c>
      <c r="D230" s="111" t="str">
        <f ca="1"/>
        <v>QUESO SEMIMADURO KIOSKO</v>
      </c>
      <c r="E230" s="111" t="str">
        <f ca="1"/>
        <v>QUESO HOLANDES KIOSKO BLOQUE</v>
      </c>
      <c r="F230" s="120" t="str">
        <f ca="1"/>
        <v>GUAYAQUIL</v>
      </c>
      <c r="G230" s="120">
        <f ca="1"/>
        <v>7711</v>
      </c>
      <c r="H230" s="120">
        <f ca="1"/>
        <v>1001</v>
      </c>
      <c r="I230" s="120" t="str">
        <f ca="1"/>
        <v>16233</v>
      </c>
      <c r="J230" s="120" t="str">
        <f ca="1"/>
        <v>Q HOLAN KIOSKO BLOQ 400G</v>
      </c>
      <c r="K230" s="121">
        <f ca="1"/>
        <v>36</v>
      </c>
      <c r="L230" s="122">
        <f ca="1"/>
        <v>1</v>
      </c>
      <c r="M230" s="120">
        <f ca="1"/>
        <v>0.4</v>
      </c>
      <c r="N230" s="121">
        <f ca="1"/>
        <v>60</v>
      </c>
      <c r="O230" s="123">
        <f ca="1"/>
        <v>45582</v>
      </c>
      <c r="P230" s="123" t="str">
        <f ca="1"/>
        <v>jueves</v>
      </c>
      <c r="Q230" s="124">
        <f ca="1"/>
        <v>45575</v>
      </c>
      <c r="R230" s="124">
        <f ca="1"/>
        <v>45634</v>
      </c>
      <c r="S230" s="90">
        <f ca="1"/>
        <v>10</v>
      </c>
      <c r="T230" s="139">
        <f ca="1"/>
        <v>0.16666666666666666</v>
      </c>
      <c r="U230" s="131">
        <f ca="1"/>
        <v>35</v>
      </c>
      <c r="V230" s="120">
        <f ca="1"/>
        <v>14</v>
      </c>
      <c r="W230" s="140">
        <f ca="1"/>
        <v>7</v>
      </c>
      <c r="X230" s="139">
        <f ca="1"/>
        <v>0.8833333333333333</v>
      </c>
      <c r="Y230" s="141">
        <f ca="1"/>
        <v>2.599545</v>
      </c>
      <c r="Z230" s="141">
        <f ca="1"/>
        <v>2.599545</v>
      </c>
      <c r="AA230" s="142">
        <f ca="1"/>
        <v>36.393630000000002</v>
      </c>
      <c r="AB230" s="138">
        <f ca="1"/>
        <v>42</v>
      </c>
      <c r="AC230" s="103" t="str">
        <f ca="1"/>
        <v>FECHA CORTA</v>
      </c>
      <c r="AD230" s="150">
        <f ca="1"/>
        <v>1.4E-2</v>
      </c>
    </row>
    <row r="231" spans="1:30">
      <c r="A231" s="111" t="str">
        <f ca="1"/>
        <v>SAN GABRIEL</v>
      </c>
      <c r="B231" s="111" t="str">
        <f ca="1"/>
        <v>QUESOS Y GRASAS</v>
      </c>
      <c r="C231" s="111" t="str">
        <f ca="1"/>
        <v xml:space="preserve">Esteban Montenegro                      </v>
      </c>
      <c r="D231" s="111" t="str">
        <f ca="1"/>
        <v>QUESO SEMIMADURO KIOSKO</v>
      </c>
      <c r="E231" s="111" t="str">
        <f ca="1"/>
        <v>QUESO HOLANDES KIOSKO BLOQUE</v>
      </c>
      <c r="F231" s="120" t="str">
        <f ca="1"/>
        <v>GUAYAQUIL</v>
      </c>
      <c r="G231" s="120">
        <f ca="1"/>
        <v>7711</v>
      </c>
      <c r="H231" s="120">
        <f ca="1"/>
        <v>1001</v>
      </c>
      <c r="I231" s="120" t="str">
        <f ca="1"/>
        <v>16233</v>
      </c>
      <c r="J231" s="120" t="str">
        <f ca="1"/>
        <v>Q HOLAN KIOSKO BLOQ 400G</v>
      </c>
      <c r="K231" s="121">
        <f ca="1"/>
        <v>36</v>
      </c>
      <c r="L231" s="122">
        <f ca="1"/>
        <v>1</v>
      </c>
      <c r="M231" s="120">
        <f ca="1"/>
        <v>0.4</v>
      </c>
      <c r="N231" s="121">
        <f ca="1"/>
        <v>60</v>
      </c>
      <c r="O231" s="123">
        <f ca="1"/>
        <v>45604</v>
      </c>
      <c r="P231" s="123" t="str">
        <f ca="1"/>
        <v>viernes</v>
      </c>
      <c r="Q231" s="124">
        <f ca="1"/>
        <v>45596</v>
      </c>
      <c r="R231" s="124">
        <f ca="1"/>
        <v>45655</v>
      </c>
      <c r="S231" s="90">
        <f ca="1"/>
        <v>31</v>
      </c>
      <c r="T231" s="139">
        <f ca="1"/>
        <v>0.51666666666666672</v>
      </c>
      <c r="U231" s="131">
        <f ca="1"/>
        <v>36</v>
      </c>
      <c r="V231" s="120">
        <f ca="1"/>
        <v>14.4</v>
      </c>
      <c r="W231" s="140">
        <f ca="1"/>
        <v>8</v>
      </c>
      <c r="X231" s="139">
        <f ca="1"/>
        <v>0.8666666666666667</v>
      </c>
      <c r="Y231" s="141">
        <f ca="1"/>
        <v>2.599545</v>
      </c>
      <c r="Z231" s="141">
        <f ca="1"/>
        <v>2.599545</v>
      </c>
      <c r="AA231" s="142">
        <f ca="1"/>
        <v>37.433447999999999</v>
      </c>
      <c r="AB231" s="138">
        <f ca="1"/>
        <v>20</v>
      </c>
      <c r="AC231" s="103" t="str">
        <f ca="1"/>
        <v>VIGENTE</v>
      </c>
      <c r="AD231" s="150">
        <f ca="1"/>
        <v>1.44E-2</v>
      </c>
    </row>
    <row r="232" spans="1:30">
      <c r="A232" s="111" t="str">
        <f ca="1"/>
        <v>SAN GABRIEL</v>
      </c>
      <c r="B232" s="111" t="str">
        <f ca="1"/>
        <v>QUESOS Y GRASAS</v>
      </c>
      <c r="C232" s="111" t="str">
        <f ca="1"/>
        <v xml:space="preserve">Esteban Montenegro                      </v>
      </c>
      <c r="D232" s="111" t="str">
        <f ca="1"/>
        <v>QUESO SEMIMADURO KIOSKO</v>
      </c>
      <c r="E232" s="111" t="str">
        <f ca="1"/>
        <v>QUESO HOLANDES KIOSKO BLOQUE</v>
      </c>
      <c r="F232" s="120" t="str">
        <f ca="1"/>
        <v>GUAYAQUIL</v>
      </c>
      <c r="G232" s="120">
        <f ca="1"/>
        <v>7711</v>
      </c>
      <c r="H232" s="120">
        <f ca="1"/>
        <v>1001</v>
      </c>
      <c r="I232" s="120" t="str">
        <f ca="1"/>
        <v>16233</v>
      </c>
      <c r="J232" s="120" t="str">
        <f ca="1"/>
        <v>Q HOLAN KIOSKO BLOQ 400G</v>
      </c>
      <c r="K232" s="121">
        <f ca="1"/>
        <v>10</v>
      </c>
      <c r="L232" s="122">
        <f ca="1"/>
        <v>1</v>
      </c>
      <c r="M232" s="120">
        <f ca="1"/>
        <v>0.4</v>
      </c>
      <c r="N232" s="121">
        <f ca="1"/>
        <v>60</v>
      </c>
      <c r="O232" s="123">
        <f ca="1"/>
        <v>45617</v>
      </c>
      <c r="P232" s="123" t="str">
        <f ca="1"/>
        <v>jueves</v>
      </c>
      <c r="Q232" s="124">
        <f ca="1"/>
        <v>45611</v>
      </c>
      <c r="R232" s="124">
        <f ca="1"/>
        <v>45670</v>
      </c>
      <c r="S232" s="90">
        <f ca="1"/>
        <v>46</v>
      </c>
      <c r="T232" s="139">
        <f ca="1"/>
        <v>0.76666666666666672</v>
      </c>
      <c r="U232" s="131">
        <f ca="1"/>
        <v>10</v>
      </c>
      <c r="V232" s="120">
        <f ca="1"/>
        <v>4</v>
      </c>
      <c r="W232" s="140">
        <f ca="1"/>
        <v>6</v>
      </c>
      <c r="X232" s="139">
        <f ca="1"/>
        <v>0.9</v>
      </c>
      <c r="Y232" s="141">
        <f ca="1"/>
        <v>2.599545</v>
      </c>
      <c r="Z232" s="141">
        <f ca="1"/>
        <v>2.599545</v>
      </c>
      <c r="AA232" s="142">
        <f ca="1"/>
        <v>10.39818</v>
      </c>
      <c r="AB232" s="138">
        <f ca="1"/>
        <v>7</v>
      </c>
      <c r="AC232" s="103" t="str">
        <f ca="1"/>
        <v>VIGENTE</v>
      </c>
      <c r="AD232" s="150">
        <f ca="1"/>
        <v>4.0000000000000001E-3</v>
      </c>
    </row>
    <row r="233" spans="1:30">
      <c r="A233" s="111" t="str">
        <f ca="1"/>
        <v>SAN GABRIEL</v>
      </c>
      <c r="B233" s="111" t="str">
        <f ca="1"/>
        <v>QUESOS Y GRASAS</v>
      </c>
      <c r="C233" s="111" t="str">
        <f ca="1"/>
        <v xml:space="preserve">Esteban Montenegro                      </v>
      </c>
      <c r="D233" s="111" t="str">
        <f ca="1"/>
        <v>QUESO SEMIMADURO KIOSKO</v>
      </c>
      <c r="E233" s="111" t="str">
        <f ca="1"/>
        <v>QUESO SEMIMADURO CHEDDAR KIOSKO BLOQUE</v>
      </c>
      <c r="F233" s="120" t="str">
        <f ca="1"/>
        <v>GUAYAQUIL</v>
      </c>
      <c r="G233" s="120">
        <f ca="1"/>
        <v>7711</v>
      </c>
      <c r="H233" s="120">
        <f ca="1"/>
        <v>1001</v>
      </c>
      <c r="I233" s="120" t="str">
        <f ca="1"/>
        <v>16235</v>
      </c>
      <c r="J233" s="120" t="str">
        <f ca="1"/>
        <v>Q CHEDDAR KIOSKO BLOQ 400G</v>
      </c>
      <c r="K233" s="121">
        <f ca="1"/>
        <v>36</v>
      </c>
      <c r="L233" s="122">
        <f ca="1"/>
        <v>1</v>
      </c>
      <c r="M233" s="120">
        <f ca="1"/>
        <v>0.4</v>
      </c>
      <c r="N233" s="121">
        <f ca="1"/>
        <v>60</v>
      </c>
      <c r="O233" s="123">
        <f ca="1"/>
        <v>45611</v>
      </c>
      <c r="P233" s="123" t="str">
        <f ca="1"/>
        <v>viernes</v>
      </c>
      <c r="Q233" s="124">
        <f ca="1"/>
        <v>45634</v>
      </c>
      <c r="R233" s="124">
        <f ca="1"/>
        <v>45693</v>
      </c>
      <c r="S233" s="90">
        <f ca="1"/>
        <v>69</v>
      </c>
      <c r="T233" s="139">
        <f ca="1"/>
        <v>1.1499999999999999</v>
      </c>
      <c r="U233" s="131">
        <f ca="1"/>
        <v>34</v>
      </c>
      <c r="V233" s="120">
        <f ca="1"/>
        <v>13.600000000000001</v>
      </c>
      <c r="W233" s="140">
        <f ca="1"/>
        <v>-23</v>
      </c>
      <c r="X233" s="139">
        <f ca="1"/>
        <v>1.3833333333333333</v>
      </c>
      <c r="Y233" s="141">
        <f ca="1"/>
        <v>3.5996300000000003</v>
      </c>
      <c r="Z233" s="141">
        <f ca="1"/>
        <v>3.5996300000000003</v>
      </c>
      <c r="AA233" s="142">
        <f ca="1"/>
        <v>48.954968000000008</v>
      </c>
      <c r="AB233" s="138">
        <f ca="1"/>
        <v>13</v>
      </c>
      <c r="AC233" s="103" t="str">
        <f ca="1"/>
        <v>VIGENTE</v>
      </c>
      <c r="AD233" s="150">
        <f ca="1"/>
        <v>1.3600000000000001E-2</v>
      </c>
    </row>
    <row r="234" spans="1:30">
      <c r="A234" s="111" t="str">
        <f ca="1"/>
        <v>SAN GABRIEL</v>
      </c>
      <c r="B234" s="111" t="str">
        <f ca="1"/>
        <v>QUESOS Y GRASAS</v>
      </c>
      <c r="C234" s="111" t="str">
        <f ca="1"/>
        <v xml:space="preserve">Esteban Montenegro                      </v>
      </c>
      <c r="D234" s="111" t="str">
        <f ca="1"/>
        <v>QUESO SEMIMADURO KIOSKO</v>
      </c>
      <c r="E234" s="111" t="str">
        <f ca="1"/>
        <v>QUESO SEMIMADURO CHEDDAR KIOSKO BLOQUE</v>
      </c>
      <c r="F234" s="120" t="str">
        <f ca="1"/>
        <v>GUAYAQUIL</v>
      </c>
      <c r="G234" s="120">
        <f ca="1"/>
        <v>7711</v>
      </c>
      <c r="H234" s="120">
        <f ca="1"/>
        <v>1001</v>
      </c>
      <c r="I234" s="120" t="str">
        <f ca="1"/>
        <v>16235</v>
      </c>
      <c r="J234" s="120" t="str">
        <f ca="1"/>
        <v>Q CHEDDAR KIOSKO BLOQ 400G</v>
      </c>
      <c r="K234" s="121">
        <f ca="1"/>
        <v>20</v>
      </c>
      <c r="L234" s="122">
        <f ca="1"/>
        <v>1</v>
      </c>
      <c r="M234" s="120">
        <f ca="1"/>
        <v>0.4</v>
      </c>
      <c r="N234" s="121">
        <f ca="1"/>
        <v>60</v>
      </c>
      <c r="O234" s="123">
        <f ca="1"/>
        <v>45617</v>
      </c>
      <c r="P234" s="123" t="str">
        <f ca="1"/>
        <v>jueves</v>
      </c>
      <c r="Q234" s="124">
        <f ca="1"/>
        <v>45640</v>
      </c>
      <c r="R234" s="124">
        <f ca="1"/>
        <v>45699</v>
      </c>
      <c r="S234" s="90">
        <f ca="1"/>
        <v>75</v>
      </c>
      <c r="T234" s="139">
        <f ca="1"/>
        <v>1.25</v>
      </c>
      <c r="U234" s="131">
        <f ca="1"/>
        <v>20</v>
      </c>
      <c r="V234" s="120">
        <f ca="1"/>
        <v>8</v>
      </c>
      <c r="W234" s="140">
        <f ca="1"/>
        <v>-23</v>
      </c>
      <c r="X234" s="139">
        <f ca="1"/>
        <v>1.3833333333333333</v>
      </c>
      <c r="Y234" s="141">
        <f ca="1"/>
        <v>3.5996300000000003</v>
      </c>
      <c r="Z234" s="141">
        <f ca="1"/>
        <v>3.5996300000000003</v>
      </c>
      <c r="AA234" s="142">
        <f ca="1"/>
        <v>28.797040000000003</v>
      </c>
      <c r="AB234" s="138">
        <f ca="1"/>
        <v>7</v>
      </c>
      <c r="AC234" s="103" t="str">
        <f ca="1"/>
        <v>VIGENTE</v>
      </c>
      <c r="AD234" s="150">
        <f ca="1"/>
        <v>8.0000000000000002E-3</v>
      </c>
    </row>
    <row r="235" spans="1:30">
      <c r="A235" s="111" t="str">
        <f ca="1"/>
        <v>SAN GABRIEL</v>
      </c>
      <c r="B235" s="111" t="str">
        <f ca="1"/>
        <v>QUESOS Y GRASAS</v>
      </c>
      <c r="C235" s="111" t="str">
        <f ca="1"/>
        <v xml:space="preserve">Esteban Montenegro                      </v>
      </c>
      <c r="D235" s="111" t="str">
        <f ca="1"/>
        <v>QUESO SEMIMADURO KIOSKO</v>
      </c>
      <c r="E235" s="111" t="str">
        <f ca="1"/>
        <v>QUESO PARMESANO KIOSKO BLOQUE</v>
      </c>
      <c r="F235" s="120" t="str">
        <f ca="1"/>
        <v>GUAYAQUIL</v>
      </c>
      <c r="G235" s="120">
        <f ca="1"/>
        <v>7711</v>
      </c>
      <c r="H235" s="120">
        <f ca="1"/>
        <v>1001</v>
      </c>
      <c r="I235" s="120" t="str">
        <f ca="1"/>
        <v>12096</v>
      </c>
      <c r="J235" s="120" t="str">
        <f ca="1"/>
        <v>Q PARME KIOSKO CUNA 300G</v>
      </c>
      <c r="K235" s="121">
        <f ca="1"/>
        <v>30</v>
      </c>
      <c r="L235" s="122">
        <f ca="1"/>
        <v>1</v>
      </c>
      <c r="M235" s="120">
        <f ca="1"/>
        <v>0.3</v>
      </c>
      <c r="N235" s="121">
        <f ca="1"/>
        <v>90</v>
      </c>
      <c r="O235" s="123">
        <f ca="1"/>
        <v>45591</v>
      </c>
      <c r="P235" s="123" t="str">
        <f ca="1"/>
        <v>sábado</v>
      </c>
      <c r="Q235" s="124">
        <f ca="1"/>
        <v>45556</v>
      </c>
      <c r="R235" s="124">
        <f ca="1"/>
        <v>45645</v>
      </c>
      <c r="S235" s="90">
        <f ca="1"/>
        <v>21</v>
      </c>
      <c r="T235" s="139">
        <f ca="1"/>
        <v>0.23333333333333334</v>
      </c>
      <c r="U235" s="131">
        <f ca="1"/>
        <v>5</v>
      </c>
      <c r="V235" s="120">
        <f ca="1"/>
        <v>1.5</v>
      </c>
      <c r="W235" s="140">
        <f ca="1"/>
        <v>35</v>
      </c>
      <c r="X235" s="139">
        <f ca="1"/>
        <v>0.61111111111111116</v>
      </c>
      <c r="Y235" s="141">
        <f ca="1"/>
        <v>2.93831</v>
      </c>
      <c r="Z235" s="141">
        <f ca="1"/>
        <v>2.93831</v>
      </c>
      <c r="AA235" s="142">
        <f ca="1"/>
        <v>4.4074650000000002</v>
      </c>
      <c r="AB235" s="138">
        <f ca="1"/>
        <v>33</v>
      </c>
      <c r="AC235" s="103" t="str">
        <f ca="1"/>
        <v>FECHA CORTA</v>
      </c>
      <c r="AD235" s="150">
        <f ca="1"/>
        <v>1.5E-3</v>
      </c>
    </row>
    <row r="236" spans="1:30">
      <c r="A236" s="111" t="str">
        <f ca="1"/>
        <v>SAN GABRIEL</v>
      </c>
      <c r="B236" s="111" t="str">
        <f ca="1"/>
        <v>QUESOS Y GRASAS</v>
      </c>
      <c r="C236" s="111" t="str">
        <f ca="1"/>
        <v xml:space="preserve">Esteban Montenegro                      </v>
      </c>
      <c r="D236" s="111" t="str">
        <f ca="1"/>
        <v>QUESO SEMIMADURO KIOSKO</v>
      </c>
      <c r="E236" s="111" t="str">
        <f ca="1"/>
        <v>QUESO PARMESANO KIOSKO BLOQUE</v>
      </c>
      <c r="F236" s="120" t="str">
        <f ca="1"/>
        <v>GUAYAQUIL</v>
      </c>
      <c r="G236" s="120">
        <f ca="1"/>
        <v>7711</v>
      </c>
      <c r="H236" s="120">
        <f ca="1"/>
        <v>1001</v>
      </c>
      <c r="I236" s="120" t="str">
        <f ca="1"/>
        <v>12096</v>
      </c>
      <c r="J236" s="120" t="str">
        <f ca="1"/>
        <v>Q PARME KIOSKO CUNA 300G</v>
      </c>
      <c r="K236" s="121">
        <f ca="1"/>
        <v>10</v>
      </c>
      <c r="L236" s="122">
        <f ca="1"/>
        <v>1</v>
      </c>
      <c r="M236" s="120">
        <f ca="1"/>
        <v>0.3</v>
      </c>
      <c r="N236" s="121">
        <f ca="1"/>
        <v>90</v>
      </c>
      <c r="O236" s="123">
        <f ca="1"/>
        <v>45603</v>
      </c>
      <c r="P236" s="123" t="str">
        <f ca="1"/>
        <v>jueves</v>
      </c>
      <c r="Q236" s="124">
        <f ca="1"/>
        <v>45590</v>
      </c>
      <c r="R236" s="124">
        <f ca="1"/>
        <v>45679</v>
      </c>
      <c r="S236" s="90">
        <f ca="1"/>
        <v>55</v>
      </c>
      <c r="T236" s="139">
        <f ca="1"/>
        <v>0.61111111111111116</v>
      </c>
      <c r="U236" s="131">
        <f ca="1"/>
        <v>7</v>
      </c>
      <c r="V236" s="120">
        <f ca="1"/>
        <v>2.1</v>
      </c>
      <c r="W236" s="140">
        <f ca="1"/>
        <v>13</v>
      </c>
      <c r="X236" s="139">
        <f ca="1"/>
        <v>0.85555555555555562</v>
      </c>
      <c r="Y236" s="141">
        <f ca="1"/>
        <v>2.93831</v>
      </c>
      <c r="Z236" s="141">
        <f ca="1"/>
        <v>2.93831</v>
      </c>
      <c r="AA236" s="142">
        <f ca="1"/>
        <v>6.1704509999999999</v>
      </c>
      <c r="AB236" s="138">
        <f ca="1"/>
        <v>21</v>
      </c>
      <c r="AC236" s="103" t="str">
        <f ca="1"/>
        <v>VIGENTE</v>
      </c>
      <c r="AD236" s="150">
        <f ca="1"/>
        <v>2.1000000000000003E-3</v>
      </c>
    </row>
    <row r="237" spans="1:30">
      <c r="A237" s="111" t="str">
        <f ca="1"/>
        <v>SAN GABRIEL</v>
      </c>
      <c r="B237" s="111" t="str">
        <f ca="1"/>
        <v>QUESOS Y GRASAS</v>
      </c>
      <c r="C237" s="111" t="str">
        <f ca="1"/>
        <v xml:space="preserve">Esteban Montenegro                      </v>
      </c>
      <c r="D237" s="111" t="str">
        <f ca="1"/>
        <v>QUESO SEMIMADURO KIOSKO</v>
      </c>
      <c r="E237" s="111" t="str">
        <f ca="1"/>
        <v>QUESO PARMESANO KIOSKO BLOQUE</v>
      </c>
      <c r="F237" s="120" t="str">
        <f ca="1"/>
        <v>GUAYAQUIL</v>
      </c>
      <c r="G237" s="120">
        <f ca="1"/>
        <v>7711</v>
      </c>
      <c r="H237" s="120">
        <f ca="1"/>
        <v>1001</v>
      </c>
      <c r="I237" s="120" t="str">
        <f ca="1"/>
        <v>12096</v>
      </c>
      <c r="J237" s="120" t="str">
        <f ca="1"/>
        <v>Q PARME KIOSKO CUNA 300G</v>
      </c>
      <c r="K237" s="121">
        <f ca="1"/>
        <v>10</v>
      </c>
      <c r="L237" s="122">
        <f ca="1"/>
        <v>1</v>
      </c>
      <c r="M237" s="120">
        <f ca="1"/>
        <v>0.3</v>
      </c>
      <c r="N237" s="121">
        <f ca="1"/>
        <v>90</v>
      </c>
      <c r="O237" s="123">
        <f ca="1"/>
        <v>45604</v>
      </c>
      <c r="P237" s="123" t="str">
        <f ca="1"/>
        <v>viernes</v>
      </c>
      <c r="Q237" s="124">
        <f ca="1"/>
        <v>45590</v>
      </c>
      <c r="R237" s="124">
        <f ca="1"/>
        <v>45679</v>
      </c>
      <c r="S237" s="90">
        <f ca="1"/>
        <v>55</v>
      </c>
      <c r="T237" s="139">
        <f ca="1"/>
        <v>0.61111111111111116</v>
      </c>
      <c r="U237" s="131">
        <f ca="1"/>
        <v>10</v>
      </c>
      <c r="V237" s="120">
        <f ca="1"/>
        <v>3</v>
      </c>
      <c r="W237" s="140">
        <f ca="1"/>
        <v>14</v>
      </c>
      <c r="X237" s="139">
        <f ca="1"/>
        <v>0.84444444444444444</v>
      </c>
      <c r="Y237" s="141">
        <f ca="1"/>
        <v>2.93831</v>
      </c>
      <c r="Z237" s="141">
        <f ca="1"/>
        <v>2.93831</v>
      </c>
      <c r="AA237" s="142">
        <f ca="1"/>
        <v>8.8149300000000004</v>
      </c>
      <c r="AB237" s="138">
        <f ca="1"/>
        <v>20</v>
      </c>
      <c r="AC237" s="103" t="str">
        <f ca="1"/>
        <v>VIGENTE</v>
      </c>
      <c r="AD237" s="150">
        <f ca="1"/>
        <v>3.0000000000000001E-3</v>
      </c>
    </row>
    <row r="238" spans="1:30">
      <c r="A238" s="111" t="str">
        <f ca="1"/>
        <v>SAN GABRIEL</v>
      </c>
      <c r="B238" s="111" t="str">
        <f ca="1"/>
        <v>QUESOS Y GRASAS</v>
      </c>
      <c r="C238" s="111" t="str">
        <f ca="1"/>
        <v xml:space="preserve">Esteban Montenegro                      </v>
      </c>
      <c r="D238" s="111" t="str">
        <f ca="1"/>
        <v>QUESO SEMIMADURO KIOSKO</v>
      </c>
      <c r="E238" s="111" t="str">
        <f ca="1"/>
        <v>QUESO PARMESANO KIOSKO BLOQUE</v>
      </c>
      <c r="F238" s="120" t="str">
        <f ca="1"/>
        <v>GUAYAQUIL</v>
      </c>
      <c r="G238" s="120">
        <f ca="1"/>
        <v>7711</v>
      </c>
      <c r="H238" s="120">
        <f ca="1"/>
        <v>1001</v>
      </c>
      <c r="I238" s="120" t="str">
        <f ca="1"/>
        <v>12096</v>
      </c>
      <c r="J238" s="120" t="str">
        <f ca="1"/>
        <v>Q PARME KIOSKO CUNA 300G</v>
      </c>
      <c r="K238" s="121">
        <f ca="1"/>
        <v>20</v>
      </c>
      <c r="L238" s="122">
        <f ca="1"/>
        <v>1</v>
      </c>
      <c r="M238" s="120">
        <f ca="1"/>
        <v>0.3</v>
      </c>
      <c r="N238" s="121">
        <f ca="1"/>
        <v>90</v>
      </c>
      <c r="O238" s="123">
        <f ca="1"/>
        <v>45610</v>
      </c>
      <c r="P238" s="123" t="str">
        <f ca="1"/>
        <v>jueves</v>
      </c>
      <c r="Q238" s="124">
        <f ca="1"/>
        <v>45590</v>
      </c>
      <c r="R238" s="124">
        <f ca="1"/>
        <v>45679</v>
      </c>
      <c r="S238" s="90">
        <f ca="1"/>
        <v>55</v>
      </c>
      <c r="T238" s="139">
        <f ca="1"/>
        <v>0.61111111111111116</v>
      </c>
      <c r="U238" s="131">
        <f ca="1"/>
        <v>20</v>
      </c>
      <c r="V238" s="120">
        <f ca="1"/>
        <v>6</v>
      </c>
      <c r="W238" s="140">
        <f ca="1"/>
        <v>20</v>
      </c>
      <c r="X238" s="139">
        <f ca="1"/>
        <v>0.77777777777777779</v>
      </c>
      <c r="Y238" s="141">
        <f ca="1"/>
        <v>2.93831</v>
      </c>
      <c r="Z238" s="141">
        <f ca="1"/>
        <v>2.93831</v>
      </c>
      <c r="AA238" s="142">
        <f ca="1"/>
        <v>17.629860000000001</v>
      </c>
      <c r="AB238" s="138">
        <f ca="1"/>
        <v>14</v>
      </c>
      <c r="AC238" s="103" t="str">
        <f ca="1"/>
        <v>VIGENTE</v>
      </c>
      <c r="AD238" s="150">
        <f ca="1"/>
        <v>6.0000000000000001E-3</v>
      </c>
    </row>
    <row r="239" spans="1:30">
      <c r="A239" s="111" t="str">
        <f ca="1"/>
        <v>MACHACHI</v>
      </c>
      <c r="B239" s="111" t="str">
        <f ca="1"/>
        <v>BEBIDAS LACTEAS</v>
      </c>
      <c r="C239" s="111" t="str">
        <f ca="1"/>
        <v xml:space="preserve">Luis Armendariz                         </v>
      </c>
      <c r="D239" s="111" t="str">
        <f ca="1"/>
        <v>YOGURT KIOSKO</v>
      </c>
      <c r="E239" s="111" t="str">
        <f ca="1"/>
        <v>BEBIDA DE YOGURT KIOSKO BOTELLA FAMILIAR</v>
      </c>
      <c r="F239" s="120" t="str">
        <f ca="1"/>
        <v>GUAYAQUIL</v>
      </c>
      <c r="G239" s="120">
        <f ca="1"/>
        <v>7711</v>
      </c>
      <c r="H239" s="120">
        <f ca="1"/>
        <v>1001</v>
      </c>
      <c r="I239" s="120" t="str">
        <f ca="1"/>
        <v>11105</v>
      </c>
      <c r="J239" s="120" t="str">
        <f ca="1"/>
        <v>YOG BBLE KIOSKO FTLLA BOT 950G</v>
      </c>
      <c r="K239" s="121">
        <f ca="1"/>
        <v>36</v>
      </c>
      <c r="L239" s="122">
        <f ca="1"/>
        <v>1</v>
      </c>
      <c r="M239" s="120">
        <f ca="1"/>
        <v>0.95</v>
      </c>
      <c r="N239" s="121">
        <f ca="1"/>
        <v>45</v>
      </c>
      <c r="O239" s="123">
        <f ca="1"/>
        <v>45612</v>
      </c>
      <c r="P239" s="123" t="str">
        <f ca="1"/>
        <v>sábado</v>
      </c>
      <c r="Q239" s="124">
        <f ca="1"/>
        <v>45604</v>
      </c>
      <c r="R239" s="124">
        <f ca="1"/>
        <v>45648</v>
      </c>
      <c r="S239" s="90">
        <f ca="1"/>
        <v>24</v>
      </c>
      <c r="T239" s="139">
        <f ca="1"/>
        <v>0.53333333333333333</v>
      </c>
      <c r="U239" s="131">
        <f ca="1"/>
        <v>36</v>
      </c>
      <c r="V239" s="120">
        <f ca="1"/>
        <v>34.199999999999996</v>
      </c>
      <c r="W239" s="140">
        <f ca="1"/>
        <v>8</v>
      </c>
      <c r="X239" s="139">
        <f ca="1"/>
        <v>0.82222222222222219</v>
      </c>
      <c r="Y239" s="141">
        <f ca="1"/>
        <v>1.0303550000000001</v>
      </c>
      <c r="Z239" s="141">
        <f ca="1"/>
        <v>1.0303550000000001</v>
      </c>
      <c r="AA239" s="142">
        <f ca="1"/>
        <v>35.238140999999999</v>
      </c>
      <c r="AB239" s="138">
        <f ca="1"/>
        <v>12</v>
      </c>
      <c r="AC239" s="103" t="str">
        <f ca="1"/>
        <v>PROXIMOS FECHA CORTA</v>
      </c>
      <c r="AD239" s="150">
        <f ca="1"/>
        <v>3.4199999999999994E-2</v>
      </c>
    </row>
    <row r="240" spans="1:30">
      <c r="A240" s="111" t="str">
        <f ca="1"/>
        <v>MACHACHI</v>
      </c>
      <c r="B240" s="111" t="str">
        <f ca="1"/>
        <v>BEBIDAS LACTEAS</v>
      </c>
      <c r="C240" s="111" t="str">
        <f ca="1"/>
        <v xml:space="preserve">Luis Armendariz                         </v>
      </c>
      <c r="D240" s="111" t="str">
        <f ca="1"/>
        <v>YOGURT KIOSKO</v>
      </c>
      <c r="E240" s="111" t="str">
        <f ca="1"/>
        <v>BEBIDA DE YOGURT KIOSKO BOTELLA FAMILIAR</v>
      </c>
      <c r="F240" s="120" t="str">
        <f ca="1"/>
        <v>GUAYAQUIL</v>
      </c>
      <c r="G240" s="120">
        <f ca="1"/>
        <v>7711</v>
      </c>
      <c r="H240" s="120">
        <f ca="1"/>
        <v>1001</v>
      </c>
      <c r="I240" s="120" t="str">
        <f ca="1"/>
        <v>11105</v>
      </c>
      <c r="J240" s="120" t="str">
        <f ca="1"/>
        <v>YOG BBLE KIOSKO FTLLA BOT 950G</v>
      </c>
      <c r="K240" s="121">
        <f ca="1"/>
        <v>18</v>
      </c>
      <c r="L240" s="122">
        <f ca="1"/>
        <v>1</v>
      </c>
      <c r="M240" s="120">
        <f ca="1"/>
        <v>0.95</v>
      </c>
      <c r="N240" s="121">
        <f ca="1"/>
        <v>45</v>
      </c>
      <c r="O240" s="123">
        <f ca="1"/>
        <v>45611</v>
      </c>
      <c r="P240" s="123" t="str">
        <f ca="1"/>
        <v>viernes</v>
      </c>
      <c r="Q240" s="124">
        <f ca="1"/>
        <v>45604</v>
      </c>
      <c r="R240" s="124">
        <f ca="1"/>
        <v>45648</v>
      </c>
      <c r="S240" s="90">
        <f ca="1"/>
        <v>24</v>
      </c>
      <c r="T240" s="139">
        <f ca="1"/>
        <v>0.53333333333333333</v>
      </c>
      <c r="U240" s="131">
        <f ca="1"/>
        <v>8</v>
      </c>
      <c r="V240" s="120">
        <f ca="1"/>
        <v>7.6</v>
      </c>
      <c r="W240" s="140">
        <f ca="1"/>
        <v>7</v>
      </c>
      <c r="X240" s="139">
        <f ca="1"/>
        <v>0.84444444444444444</v>
      </c>
      <c r="Y240" s="141">
        <f ca="1"/>
        <v>1.0303550000000001</v>
      </c>
      <c r="Z240" s="141">
        <f ca="1"/>
        <v>1.0303550000000001</v>
      </c>
      <c r="AA240" s="142">
        <f ca="1"/>
        <v>7.8306980000000008</v>
      </c>
      <c r="AB240" s="138">
        <f ca="1"/>
        <v>13</v>
      </c>
      <c r="AC240" s="103" t="str">
        <f ca="1"/>
        <v>PROXIMOS FECHA CORTA</v>
      </c>
      <c r="AD240" s="150">
        <f ca="1"/>
        <v>7.6E-3</v>
      </c>
    </row>
    <row r="241" spans="1:30">
      <c r="A241" s="111" t="str">
        <f ca="1"/>
        <v>MACHACHI</v>
      </c>
      <c r="B241" s="111" t="str">
        <f ca="1"/>
        <v>BEBIDAS LACTEAS</v>
      </c>
      <c r="C241" s="111" t="str">
        <f ca="1"/>
        <v xml:space="preserve">Luis Armendariz                         </v>
      </c>
      <c r="D241" s="111" t="str">
        <f ca="1"/>
        <v>YOGURT KIOSKO</v>
      </c>
      <c r="E241" s="111" t="str">
        <f ca="1"/>
        <v>BEBIDA DE YOGURT KIOSKO BOTELLA FAMILIAR</v>
      </c>
      <c r="F241" s="120" t="str">
        <f ca="1"/>
        <v>GUAYAQUIL</v>
      </c>
      <c r="G241" s="120">
        <f ca="1"/>
        <v>7711</v>
      </c>
      <c r="H241" s="120">
        <f ca="1"/>
        <v>1001</v>
      </c>
      <c r="I241" s="120" t="str">
        <f ca="1"/>
        <v>11105</v>
      </c>
      <c r="J241" s="120" t="str">
        <f ca="1"/>
        <v>YOG BBLE KIOSKO FTLLA BOT 950G</v>
      </c>
      <c r="K241" s="121">
        <f ca="1"/>
        <v>36</v>
      </c>
      <c r="L241" s="122">
        <f ca="1"/>
        <v>1</v>
      </c>
      <c r="M241" s="120">
        <f ca="1"/>
        <v>0.95</v>
      </c>
      <c r="N241" s="121">
        <f ca="1"/>
        <v>45</v>
      </c>
      <c r="O241" s="123">
        <f ca="1"/>
        <v>45615</v>
      </c>
      <c r="P241" s="123" t="str">
        <f ca="1"/>
        <v>martes</v>
      </c>
      <c r="Q241" s="124">
        <f ca="1"/>
        <v>45611</v>
      </c>
      <c r="R241" s="124">
        <f ca="1"/>
        <v>45655</v>
      </c>
      <c r="S241" s="90">
        <f ca="1"/>
        <v>31</v>
      </c>
      <c r="T241" s="139">
        <f ca="1"/>
        <v>0.68888888888888888</v>
      </c>
      <c r="U241" s="131">
        <f ca="1"/>
        <v>18</v>
      </c>
      <c r="V241" s="120">
        <f ca="1"/>
        <v>17.099999999999998</v>
      </c>
      <c r="W241" s="140">
        <f ca="1"/>
        <v>4</v>
      </c>
      <c r="X241" s="139">
        <f ca="1"/>
        <v>0.91111111111111109</v>
      </c>
      <c r="Y241" s="141">
        <f ca="1"/>
        <v>1.0303550000000001</v>
      </c>
      <c r="Z241" s="141">
        <f ca="1"/>
        <v>1.0303550000000001</v>
      </c>
      <c r="AA241" s="142">
        <f ca="1"/>
        <v>17.619070499999999</v>
      </c>
      <c r="AB241" s="138">
        <f ca="1"/>
        <v>9</v>
      </c>
      <c r="AC241" s="103" t="str">
        <f ca="1"/>
        <v>VIGENTE</v>
      </c>
      <c r="AD241" s="150">
        <f ca="1"/>
        <v>1.7099999999999997E-2</v>
      </c>
    </row>
    <row r="242" spans="1:30">
      <c r="A242" s="111" t="str">
        <f ca="1"/>
        <v>MACHACHI</v>
      </c>
      <c r="B242" s="111" t="str">
        <f ca="1"/>
        <v>BEBIDAS LACTEAS</v>
      </c>
      <c r="C242" s="111" t="str">
        <f ca="1"/>
        <v xml:space="preserve">Luis Armendariz                         </v>
      </c>
      <c r="D242" s="111" t="str">
        <f ca="1"/>
        <v>YOGURT KIOSKO</v>
      </c>
      <c r="E242" s="111" t="str">
        <f ca="1"/>
        <v>BEBIDA DE YOGURT KIOSKO BOTELLA FAMILIAR</v>
      </c>
      <c r="F242" s="120" t="str">
        <f ca="1"/>
        <v>GUAYAQUIL</v>
      </c>
      <c r="G242" s="120">
        <f ca="1"/>
        <v>7711</v>
      </c>
      <c r="H242" s="120">
        <f ca="1"/>
        <v>1001</v>
      </c>
      <c r="I242" s="120" t="str">
        <f ca="1"/>
        <v>11105</v>
      </c>
      <c r="J242" s="120" t="str">
        <f ca="1"/>
        <v>YOG BBLE KIOSKO FTLLA BOT 950G</v>
      </c>
      <c r="K242" s="121">
        <f ca="1"/>
        <v>72</v>
      </c>
      <c r="L242" s="122">
        <f ca="1"/>
        <v>1</v>
      </c>
      <c r="M242" s="120">
        <f ca="1"/>
        <v>0.95</v>
      </c>
      <c r="N242" s="121">
        <f ca="1"/>
        <v>45</v>
      </c>
      <c r="O242" s="123">
        <f ca="1"/>
        <v>45616</v>
      </c>
      <c r="P242" s="123" t="str">
        <f ca="1"/>
        <v>miércoles</v>
      </c>
      <c r="Q242" s="124">
        <f ca="1"/>
        <v>45611</v>
      </c>
      <c r="R242" s="124">
        <f ca="1"/>
        <v>45655</v>
      </c>
      <c r="S242" s="90">
        <f ca="1"/>
        <v>31</v>
      </c>
      <c r="T242" s="139">
        <f ca="1"/>
        <v>0.68888888888888888</v>
      </c>
      <c r="U242" s="131">
        <f ca="1"/>
        <v>72</v>
      </c>
      <c r="V242" s="120">
        <f ca="1"/>
        <v>68.399999999999991</v>
      </c>
      <c r="W242" s="140">
        <f ca="1"/>
        <v>5</v>
      </c>
      <c r="X242" s="139">
        <f ca="1"/>
        <v>0.88888888888888884</v>
      </c>
      <c r="Y242" s="141">
        <f ca="1"/>
        <v>1.0303550000000001</v>
      </c>
      <c r="Z242" s="141">
        <f ca="1"/>
        <v>1.0303550000000001</v>
      </c>
      <c r="AA242" s="142">
        <f ca="1"/>
        <v>70.476281999999998</v>
      </c>
      <c r="AB242" s="138">
        <f ca="1"/>
        <v>8</v>
      </c>
      <c r="AC242" s="103" t="str">
        <f ca="1"/>
        <v>VIGENTE</v>
      </c>
      <c r="AD242" s="150">
        <f ca="1"/>
        <v>6.8399999999999989E-2</v>
      </c>
    </row>
    <row r="243" spans="1:30">
      <c r="A243" s="111" t="str">
        <f ca="1"/>
        <v>MACHACHI</v>
      </c>
      <c r="B243" s="111" t="str">
        <f ca="1"/>
        <v>BEBIDAS LACTEAS</v>
      </c>
      <c r="C243" s="111" t="str">
        <f ca="1"/>
        <v xml:space="preserve">Luis Armendariz                         </v>
      </c>
      <c r="D243" s="111" t="str">
        <f ca="1"/>
        <v>YOGURT KIOSKO</v>
      </c>
      <c r="E243" s="111" t="str">
        <f ca="1"/>
        <v>BEBIDA DE YOGURT KIOSKO BOTELLA FAMILIAR</v>
      </c>
      <c r="F243" s="120" t="str">
        <f ca="1"/>
        <v>GUAYAQUIL</v>
      </c>
      <c r="G243" s="120">
        <f ca="1"/>
        <v>7711</v>
      </c>
      <c r="H243" s="120">
        <f ca="1"/>
        <v>1001</v>
      </c>
      <c r="I243" s="120" t="str">
        <f ca="1"/>
        <v>11105</v>
      </c>
      <c r="J243" s="120" t="str">
        <f ca="1"/>
        <v>YOG BBLE KIOSKO FTLLA BOT 950G</v>
      </c>
      <c r="K243" s="121">
        <f ca="1"/>
        <v>18</v>
      </c>
      <c r="L243" s="122">
        <f ca="1"/>
        <v>1</v>
      </c>
      <c r="M243" s="120">
        <f ca="1"/>
        <v>0.95</v>
      </c>
      <c r="N243" s="121">
        <f ca="1"/>
        <v>45</v>
      </c>
      <c r="O243" s="123">
        <f ca="1"/>
        <v>45617</v>
      </c>
      <c r="P243" s="123" t="str">
        <f ca="1"/>
        <v>jueves</v>
      </c>
      <c r="Q243" s="124">
        <f ca="1"/>
        <v>45611</v>
      </c>
      <c r="R243" s="124">
        <f ca="1"/>
        <v>45655</v>
      </c>
      <c r="S243" s="90">
        <f ca="1"/>
        <v>31</v>
      </c>
      <c r="T243" s="139">
        <f ca="1"/>
        <v>0.68888888888888888</v>
      </c>
      <c r="U243" s="131">
        <f ca="1"/>
        <v>18</v>
      </c>
      <c r="V243" s="120">
        <f ca="1"/>
        <v>17.099999999999998</v>
      </c>
      <c r="W243" s="140">
        <f ca="1"/>
        <v>6</v>
      </c>
      <c r="X243" s="139">
        <f ca="1"/>
        <v>0.8666666666666667</v>
      </c>
      <c r="Y243" s="141">
        <f ca="1"/>
        <v>1.0303550000000001</v>
      </c>
      <c r="Z243" s="141">
        <f ca="1"/>
        <v>1.0303550000000001</v>
      </c>
      <c r="AA243" s="142">
        <f ca="1"/>
        <v>17.619070499999999</v>
      </c>
      <c r="AB243" s="138">
        <f ca="1"/>
        <v>7</v>
      </c>
      <c r="AC243" s="103" t="str">
        <f ca="1"/>
        <v>VIGENTE</v>
      </c>
      <c r="AD243" s="150">
        <f ca="1"/>
        <v>1.7099999999999997E-2</v>
      </c>
    </row>
    <row r="244" spans="1:30">
      <c r="A244" s="111" t="str">
        <f ca="1"/>
        <v>MACHACHI</v>
      </c>
      <c r="B244" s="111" t="str">
        <f ca="1"/>
        <v>BEBIDAS LACTEAS</v>
      </c>
      <c r="C244" s="111" t="str">
        <f ca="1"/>
        <v xml:space="preserve">Luis Armendariz                         </v>
      </c>
      <c r="D244" s="111" t="str">
        <f ca="1"/>
        <v>YOGURT KIOSKO</v>
      </c>
      <c r="E244" s="111" t="str">
        <f ca="1"/>
        <v>BEBIDA DE YOGURT KIOSKO BOTELLA PERSONAL</v>
      </c>
      <c r="F244" s="120" t="str">
        <f ca="1"/>
        <v>GUAYAQUIL</v>
      </c>
      <c r="G244" s="120">
        <f ca="1"/>
        <v>7711</v>
      </c>
      <c r="H244" s="120">
        <f ca="1"/>
        <v>1001</v>
      </c>
      <c r="I244" s="120" t="str">
        <f ca="1"/>
        <v>11177</v>
      </c>
      <c r="J244" s="120" t="str">
        <f ca="1"/>
        <v>YOG BBLE KID KK DZNO BOT 180G</v>
      </c>
      <c r="K244" s="121">
        <f ca="1"/>
        <v>756</v>
      </c>
      <c r="L244" s="122">
        <f ca="1"/>
        <v>1</v>
      </c>
      <c r="M244" s="120">
        <f ca="1"/>
        <v>0.18</v>
      </c>
      <c r="N244" s="121">
        <f ca="1"/>
        <v>45</v>
      </c>
      <c r="O244" s="123">
        <f ca="1"/>
        <v>45608</v>
      </c>
      <c r="P244" s="123" t="str">
        <f ca="1"/>
        <v>martes</v>
      </c>
      <c r="Q244" s="124">
        <f ca="1"/>
        <v>45602</v>
      </c>
      <c r="R244" s="124">
        <f ca="1"/>
        <v>45646</v>
      </c>
      <c r="S244" s="90">
        <f ca="1"/>
        <v>22</v>
      </c>
      <c r="T244" s="139">
        <f ca="1"/>
        <v>0.48888888888888887</v>
      </c>
      <c r="U244" s="131">
        <f ca="1"/>
        <v>4</v>
      </c>
      <c r="V244" s="120">
        <f ca="1"/>
        <v>0.72</v>
      </c>
      <c r="W244" s="140">
        <f ca="1"/>
        <v>6</v>
      </c>
      <c r="X244" s="139">
        <f ca="1"/>
        <v>0.8666666666666667</v>
      </c>
      <c r="Y244" s="141">
        <f ca="1"/>
        <v>0.32987</v>
      </c>
      <c r="Z244" s="141">
        <f ca="1"/>
        <v>0.32987</v>
      </c>
      <c r="AA244" s="142">
        <f ca="1"/>
        <v>0.23750639999999998</v>
      </c>
      <c r="AB244" s="138">
        <f ca="1"/>
        <v>16</v>
      </c>
      <c r="AC244" s="103" t="str">
        <f ca="1"/>
        <v>PROXIMOS FECHA CORTA</v>
      </c>
      <c r="AD244" s="150">
        <f ca="1"/>
        <v>7.1999999999999994E-4</v>
      </c>
    </row>
    <row r="245" spans="1:30">
      <c r="A245" s="111" t="str">
        <f ca="1"/>
        <v>MACHACHI</v>
      </c>
      <c r="B245" s="111" t="str">
        <f ca="1"/>
        <v>BEBIDAS LACTEAS</v>
      </c>
      <c r="C245" s="111" t="str">
        <f ca="1"/>
        <v xml:space="preserve">Luis Armendariz                         </v>
      </c>
      <c r="D245" s="111" t="str">
        <f ca="1"/>
        <v>YOGURT KIOSKO</v>
      </c>
      <c r="E245" s="111" t="str">
        <f ca="1"/>
        <v>BEBIDA DE YOGURT KIOSKO BOTELLA PERSONAL</v>
      </c>
      <c r="F245" s="120" t="str">
        <f ca="1"/>
        <v>GUAYAQUIL</v>
      </c>
      <c r="G245" s="120">
        <f ca="1"/>
        <v>7711</v>
      </c>
      <c r="H245" s="120">
        <f ca="1"/>
        <v>1001</v>
      </c>
      <c r="I245" s="120" t="str">
        <f ca="1"/>
        <v>11177</v>
      </c>
      <c r="J245" s="120" t="str">
        <f ca="1"/>
        <v>YOG BBLE KID KK DZNO BOT 180G</v>
      </c>
      <c r="K245" s="121">
        <f ca="1"/>
        <v>216</v>
      </c>
      <c r="L245" s="122">
        <f ca="1"/>
        <v>1</v>
      </c>
      <c r="M245" s="120">
        <f ca="1"/>
        <v>0.18</v>
      </c>
      <c r="N245" s="121">
        <f ca="1"/>
        <v>45</v>
      </c>
      <c r="O245" s="123">
        <f ca="1"/>
        <v>45612</v>
      </c>
      <c r="P245" s="123" t="str">
        <f ca="1"/>
        <v>sábado</v>
      </c>
      <c r="Q245" s="124">
        <f ca="1"/>
        <v>45609</v>
      </c>
      <c r="R245" s="124">
        <f ca="1"/>
        <v>45653</v>
      </c>
      <c r="S245" s="90">
        <f ca="1"/>
        <v>29</v>
      </c>
      <c r="T245" s="139">
        <f ca="1"/>
        <v>0.64444444444444449</v>
      </c>
      <c r="U245" s="131">
        <f ca="1"/>
        <v>216</v>
      </c>
      <c r="V245" s="120">
        <f ca="1"/>
        <v>38.879999999999995</v>
      </c>
      <c r="W245" s="140">
        <f ca="1"/>
        <v>3</v>
      </c>
      <c r="X245" s="139">
        <f ca="1"/>
        <v>0.93333333333333335</v>
      </c>
      <c r="Y245" s="141">
        <f ca="1"/>
        <v>0.32987</v>
      </c>
      <c r="Z245" s="141">
        <f ca="1"/>
        <v>0.32987</v>
      </c>
      <c r="AA245" s="142">
        <f ca="1"/>
        <v>12.825345599999999</v>
      </c>
      <c r="AB245" s="138">
        <f ca="1"/>
        <v>12</v>
      </c>
      <c r="AC245" s="103" t="str">
        <f ca="1"/>
        <v>VIGENTE</v>
      </c>
      <c r="AD245" s="150">
        <f ca="1"/>
        <v>3.8879999999999998E-2</v>
      </c>
    </row>
    <row r="246" spans="1:30">
      <c r="A246" s="111" t="str">
        <f ca="1"/>
        <v>MACHACHI</v>
      </c>
      <c r="B246" s="111" t="str">
        <f ca="1"/>
        <v>BEBIDAS LACTEAS</v>
      </c>
      <c r="C246" s="111" t="str">
        <f ca="1"/>
        <v xml:space="preserve">Luis Armendariz                         </v>
      </c>
      <c r="D246" s="111" t="str">
        <f ca="1"/>
        <v>YOGURT KIOSKO</v>
      </c>
      <c r="E246" s="111" t="str">
        <f ca="1"/>
        <v>BEBIDA DE YOGURT KIOSKO BOTELLA PERSONAL</v>
      </c>
      <c r="F246" s="120" t="str">
        <f ca="1"/>
        <v>GUAYAQUIL</v>
      </c>
      <c r="G246" s="120">
        <f ca="1"/>
        <v>7711</v>
      </c>
      <c r="H246" s="120">
        <f ca="1"/>
        <v>1001</v>
      </c>
      <c r="I246" s="120" t="str">
        <f ca="1"/>
        <v>11177</v>
      </c>
      <c r="J246" s="120" t="str">
        <f ca="1"/>
        <v>YOG BBLE KID KK DZNO BOT 180G</v>
      </c>
      <c r="K246" s="121">
        <f ca="1"/>
        <v>108</v>
      </c>
      <c r="L246" s="122">
        <f ca="1"/>
        <v>1</v>
      </c>
      <c r="M246" s="120">
        <f ca="1"/>
        <v>0.18</v>
      </c>
      <c r="N246" s="121">
        <f ca="1"/>
        <v>45</v>
      </c>
      <c r="O246" s="123">
        <f ca="1"/>
        <v>45611</v>
      </c>
      <c r="P246" s="123" t="str">
        <f ca="1"/>
        <v>viernes</v>
      </c>
      <c r="Q246" s="124">
        <f ca="1"/>
        <v>45609</v>
      </c>
      <c r="R246" s="124">
        <f ca="1"/>
        <v>45653</v>
      </c>
      <c r="S246" s="90">
        <f ca="1"/>
        <v>29</v>
      </c>
      <c r="T246" s="139">
        <f ca="1"/>
        <v>0.64444444444444449</v>
      </c>
      <c r="U246" s="131">
        <f ca="1"/>
        <v>107</v>
      </c>
      <c r="V246" s="120">
        <f ca="1"/>
        <v>19.259999999999998</v>
      </c>
      <c r="W246" s="140">
        <f ca="1"/>
        <v>2</v>
      </c>
      <c r="X246" s="139">
        <f ca="1"/>
        <v>0.9555555555555556</v>
      </c>
      <c r="Y246" s="141">
        <f ca="1"/>
        <v>0.32987</v>
      </c>
      <c r="Z246" s="141">
        <f ca="1"/>
        <v>0.32987</v>
      </c>
      <c r="AA246" s="142">
        <f ca="1"/>
        <v>6.3532961999999991</v>
      </c>
      <c r="AB246" s="138">
        <f ca="1"/>
        <v>13</v>
      </c>
      <c r="AC246" s="103" t="str">
        <f ca="1"/>
        <v>VIGENTE</v>
      </c>
      <c r="AD246" s="150">
        <f ca="1"/>
        <v>1.9259999999999999E-2</v>
      </c>
    </row>
    <row r="247" spans="1:30">
      <c r="A247" s="111" t="str">
        <f ca="1"/>
        <v>MACHACHI</v>
      </c>
      <c r="B247" s="111" t="str">
        <f ca="1"/>
        <v>BEBIDAS LACTEAS</v>
      </c>
      <c r="C247" s="111" t="str">
        <f ca="1"/>
        <v xml:space="preserve">Luis Armendariz                         </v>
      </c>
      <c r="D247" s="111" t="str">
        <f ca="1"/>
        <v>YOGURT KIOSKO</v>
      </c>
      <c r="E247" s="111" t="str">
        <f ca="1"/>
        <v>BEBIDA DE YOGURT KIOSKO BOTELLA PERSONAL</v>
      </c>
      <c r="F247" s="120" t="str">
        <f ca="1"/>
        <v>GUAYAQUIL</v>
      </c>
      <c r="G247" s="120">
        <f ca="1"/>
        <v>7711</v>
      </c>
      <c r="H247" s="120">
        <f ca="1"/>
        <v>1001</v>
      </c>
      <c r="I247" s="120" t="str">
        <f ca="1"/>
        <v>11177</v>
      </c>
      <c r="J247" s="120" t="str">
        <f ca="1"/>
        <v>YOG BBLE KID KK DZNO BOT 180G</v>
      </c>
      <c r="K247" s="121">
        <f ca="1"/>
        <v>216</v>
      </c>
      <c r="L247" s="122">
        <f ca="1"/>
        <v>1</v>
      </c>
      <c r="M247" s="120">
        <f ca="1"/>
        <v>0.18</v>
      </c>
      <c r="N247" s="121">
        <f ca="1"/>
        <v>45</v>
      </c>
      <c r="O247" s="123">
        <f ca="1"/>
        <v>45615</v>
      </c>
      <c r="P247" s="123" t="str">
        <f ca="1"/>
        <v>martes</v>
      </c>
      <c r="Q247" s="124">
        <f ca="1"/>
        <v>45609</v>
      </c>
      <c r="R247" s="124">
        <f ca="1"/>
        <v>45653</v>
      </c>
      <c r="S247" s="90">
        <f ca="1"/>
        <v>29</v>
      </c>
      <c r="T247" s="139">
        <f ca="1"/>
        <v>0.64444444444444449</v>
      </c>
      <c r="U247" s="131">
        <f ca="1"/>
        <v>216</v>
      </c>
      <c r="V247" s="120">
        <f ca="1"/>
        <v>38.879999999999995</v>
      </c>
      <c r="W247" s="140">
        <f ca="1"/>
        <v>6</v>
      </c>
      <c r="X247" s="139">
        <f ca="1"/>
        <v>0.8666666666666667</v>
      </c>
      <c r="Y247" s="141">
        <f ca="1"/>
        <v>0.32987</v>
      </c>
      <c r="Z247" s="141">
        <f ca="1"/>
        <v>0.32987</v>
      </c>
      <c r="AA247" s="142">
        <f ca="1"/>
        <v>12.825345599999999</v>
      </c>
      <c r="AB247" s="138">
        <f ca="1"/>
        <v>9</v>
      </c>
      <c r="AC247" s="103" t="str">
        <f ca="1"/>
        <v>VIGENTE</v>
      </c>
      <c r="AD247" s="150">
        <f ca="1"/>
        <v>3.8879999999999998E-2</v>
      </c>
    </row>
    <row r="248" spans="1:30">
      <c r="A248" s="111" t="str">
        <f ca="1"/>
        <v>MACHACHI</v>
      </c>
      <c r="B248" s="111" t="str">
        <f ca="1"/>
        <v>BEBIDAS LACTEAS</v>
      </c>
      <c r="C248" s="111" t="str">
        <f ca="1"/>
        <v xml:space="preserve">Luis Armendariz                         </v>
      </c>
      <c r="D248" s="111" t="str">
        <f ca="1"/>
        <v>YOGURT KIOSKO</v>
      </c>
      <c r="E248" s="111" t="str">
        <f ca="1"/>
        <v>BEBIDA DE YOGURT KIOSKO BOTELLA PERSONAL</v>
      </c>
      <c r="F248" s="120" t="str">
        <f ca="1"/>
        <v>GUAYAQUIL</v>
      </c>
      <c r="G248" s="120">
        <f ca="1"/>
        <v>7711</v>
      </c>
      <c r="H248" s="120">
        <f ca="1"/>
        <v>1001</v>
      </c>
      <c r="I248" s="120" t="str">
        <f ca="1"/>
        <v>11177</v>
      </c>
      <c r="J248" s="120" t="str">
        <f ca="1"/>
        <v>YOG BBLE KID KK DZNO BOT 180G</v>
      </c>
      <c r="K248" s="121">
        <f ca="1"/>
        <v>108</v>
      </c>
      <c r="L248" s="122">
        <f ca="1"/>
        <v>1</v>
      </c>
      <c r="M248" s="120">
        <f ca="1"/>
        <v>0.18</v>
      </c>
      <c r="N248" s="121">
        <f ca="1"/>
        <v>45</v>
      </c>
      <c r="O248" s="123">
        <f ca="1"/>
        <v>45616</v>
      </c>
      <c r="P248" s="123" t="str">
        <f ca="1"/>
        <v>miércoles</v>
      </c>
      <c r="Q248" s="124">
        <f ca="1"/>
        <v>45609</v>
      </c>
      <c r="R248" s="124">
        <f ca="1"/>
        <v>45653</v>
      </c>
      <c r="S248" s="90">
        <f ca="1"/>
        <v>29</v>
      </c>
      <c r="T248" s="139">
        <f ca="1"/>
        <v>0.64444444444444449</v>
      </c>
      <c r="U248" s="131">
        <f ca="1"/>
        <v>108</v>
      </c>
      <c r="V248" s="120">
        <f ca="1"/>
        <v>19.439999999999998</v>
      </c>
      <c r="W248" s="140">
        <f ca="1"/>
        <v>7</v>
      </c>
      <c r="X248" s="139">
        <f ca="1"/>
        <v>0.84444444444444444</v>
      </c>
      <c r="Y248" s="141">
        <f ca="1"/>
        <v>0.32987</v>
      </c>
      <c r="Z248" s="141">
        <f ca="1"/>
        <v>0.32987</v>
      </c>
      <c r="AA248" s="142">
        <f ca="1"/>
        <v>6.4126727999999993</v>
      </c>
      <c r="AB248" s="138">
        <f ca="1"/>
        <v>8</v>
      </c>
      <c r="AC248" s="103" t="str">
        <f ca="1"/>
        <v>VIGENTE</v>
      </c>
      <c r="AD248" s="150">
        <f ca="1"/>
        <v>1.9439999999999999E-2</v>
      </c>
    </row>
    <row r="249" spans="1:30">
      <c r="A249" s="111" t="str">
        <f ca="1"/>
        <v>SAN GABRIEL</v>
      </c>
      <c r="B249" s="111" t="str">
        <f ca="1"/>
        <v>POSTRES</v>
      </c>
      <c r="C249" s="111" t="str">
        <f ca="1"/>
        <v xml:space="preserve">Luis Armendariz                         </v>
      </c>
      <c r="D249" s="111" t="str">
        <f ca="1"/>
        <v>AREQUIPE ALPINA</v>
      </c>
      <c r="E249" s="111" t="str">
        <f ca="1"/>
        <v>AREQUIPE ALPINA</v>
      </c>
      <c r="F249" s="120" t="str">
        <f ca="1"/>
        <v>GUAYAQUIL</v>
      </c>
      <c r="G249" s="120">
        <f ca="1"/>
        <v>7711</v>
      </c>
      <c r="H249" s="120">
        <f ca="1"/>
        <v>1001</v>
      </c>
      <c r="I249" s="120" t="str">
        <f ca="1"/>
        <v>8414</v>
      </c>
      <c r="J249" s="120" t="str">
        <f ca="1"/>
        <v>AREQUIPE VASO 50G ECU</v>
      </c>
      <c r="K249" s="121">
        <f ca="1"/>
        <v>300</v>
      </c>
      <c r="L249" s="122">
        <f ca="1"/>
        <v>1</v>
      </c>
      <c r="M249" s="120">
        <f ca="1"/>
        <v>0.05</v>
      </c>
      <c r="N249" s="121">
        <f ca="1"/>
        <v>180</v>
      </c>
      <c r="O249" s="123">
        <f ca="1"/>
        <v>45597</v>
      </c>
      <c r="P249" s="123" t="str">
        <f ca="1"/>
        <v>viernes</v>
      </c>
      <c r="Q249" s="124">
        <f ca="1"/>
        <v>45595</v>
      </c>
      <c r="R249" s="124">
        <f ca="1"/>
        <v>45774</v>
      </c>
      <c r="S249" s="90">
        <f ca="1"/>
        <v>150</v>
      </c>
      <c r="T249" s="139">
        <f ca="1"/>
        <v>0.83333333333333337</v>
      </c>
      <c r="U249" s="131">
        <f ca="1"/>
        <v>92</v>
      </c>
      <c r="V249" s="120">
        <f ca="1"/>
        <v>4.6000000000000005</v>
      </c>
      <c r="W249" s="140">
        <f ca="1"/>
        <v>2</v>
      </c>
      <c r="X249" s="139">
        <f ca="1"/>
        <v>0.98888888888888893</v>
      </c>
      <c r="Y249" s="141">
        <f ca="1"/>
        <v>0.18558999999999998</v>
      </c>
      <c r="Z249" s="141">
        <f ca="1"/>
        <v>0.18558999999999998</v>
      </c>
      <c r="AA249" s="142">
        <f ca="1"/>
        <v>0.85371399999999997</v>
      </c>
      <c r="AB249" s="138">
        <f ca="1"/>
        <v>27</v>
      </c>
      <c r="AC249" s="103" t="str">
        <f ca="1"/>
        <v>VIGENTE</v>
      </c>
      <c r="AD249" s="150">
        <f ca="1"/>
        <v>4.6000000000000008E-3</v>
      </c>
    </row>
    <row r="250" spans="1:30">
      <c r="A250" s="111" t="str">
        <f ca="1"/>
        <v>MACHACHI</v>
      </c>
      <c r="B250" s="111" t="str">
        <f ca="1"/>
        <v>BEBIDAS LACTEAS</v>
      </c>
      <c r="C250" s="111" t="str">
        <f ca="1"/>
        <v xml:space="preserve">Luis Armendariz                         </v>
      </c>
      <c r="D250" s="111" t="str">
        <f ca="1"/>
        <v>YOGURT KIOSKO</v>
      </c>
      <c r="E250" s="111" t="str">
        <f ca="1"/>
        <v>BEBIDA DE YOGURT KIOSKO BOTELLA PERSONAL</v>
      </c>
      <c r="F250" s="120" t="str">
        <f ca="1"/>
        <v>GUAYAQUIL</v>
      </c>
      <c r="G250" s="120">
        <f ca="1"/>
        <v>7711</v>
      </c>
      <c r="H250" s="120">
        <f ca="1"/>
        <v>1001</v>
      </c>
      <c r="I250" s="120" t="str">
        <f ca="1"/>
        <v>14607</v>
      </c>
      <c r="J250" s="120" t="str">
        <f ca="1"/>
        <v>YOG BBLE KID KK MORA BOT 180G</v>
      </c>
      <c r="K250" s="121">
        <f ca="1"/>
        <v>432</v>
      </c>
      <c r="L250" s="122">
        <f ca="1"/>
        <v>1</v>
      </c>
      <c r="M250" s="120">
        <f ca="1"/>
        <v>0.18</v>
      </c>
      <c r="N250" s="121">
        <f ca="1"/>
        <v>45</v>
      </c>
      <c r="O250" s="123">
        <f ca="1"/>
        <v>45601</v>
      </c>
      <c r="P250" s="123" t="str">
        <f ca="1"/>
        <v>martes</v>
      </c>
      <c r="Q250" s="124">
        <f ca="1"/>
        <v>45590</v>
      </c>
      <c r="R250" s="124">
        <f ca="1"/>
        <v>45634</v>
      </c>
      <c r="S250" s="90">
        <f ca="1"/>
        <v>10</v>
      </c>
      <c r="T250" s="139">
        <f ca="1"/>
        <v>0.22222222222222221</v>
      </c>
      <c r="U250" s="131">
        <f ca="1"/>
        <v>153</v>
      </c>
      <c r="V250" s="120">
        <f ca="1"/>
        <v>27.54</v>
      </c>
      <c r="W250" s="140">
        <f ca="1"/>
        <v>11</v>
      </c>
      <c r="X250" s="139">
        <f ca="1"/>
        <v>0.75555555555555554</v>
      </c>
      <c r="Y250" s="141">
        <f ca="1"/>
        <v>0.32335000000000003</v>
      </c>
      <c r="Z250" s="141">
        <f ca="1"/>
        <v>0.32335000000000003</v>
      </c>
      <c r="AA250" s="142">
        <f ca="1"/>
        <v>8.9050589999999996</v>
      </c>
      <c r="AB250" s="138">
        <f ca="1"/>
        <v>23</v>
      </c>
      <c r="AC250" s="103" t="str">
        <f ca="1"/>
        <v>FECHA CORTA</v>
      </c>
      <c r="AD250" s="150">
        <f ca="1"/>
        <v>2.7539999999999999E-2</v>
      </c>
    </row>
    <row r="251" spans="1:30">
      <c r="A251" s="111" t="str">
        <f ca="1"/>
        <v>MACHACHI</v>
      </c>
      <c r="B251" s="111" t="str">
        <f ca="1"/>
        <v>BEBIDAS LACTEAS</v>
      </c>
      <c r="C251" s="111" t="str">
        <f ca="1"/>
        <v xml:space="preserve">Luis Armendariz                         </v>
      </c>
      <c r="D251" s="111" t="str">
        <f ca="1"/>
        <v>YOGURT KIOSKO</v>
      </c>
      <c r="E251" s="111" t="str">
        <f ca="1"/>
        <v>BEBIDA DE YOGURT KIOSKO BOTELLA PERSONAL</v>
      </c>
      <c r="F251" s="120" t="str">
        <f ca="1"/>
        <v>GUAYAQUIL</v>
      </c>
      <c r="G251" s="120">
        <f ca="1"/>
        <v>7711</v>
      </c>
      <c r="H251" s="120">
        <f ca="1"/>
        <v>1001</v>
      </c>
      <c r="I251" s="120" t="str">
        <f ca="1"/>
        <v>14607</v>
      </c>
      <c r="J251" s="120" t="str">
        <f ca="1"/>
        <v>YOG BBLE KID KK MORA BOT 180G</v>
      </c>
      <c r="K251" s="121">
        <f ca="1"/>
        <v>432</v>
      </c>
      <c r="L251" s="122">
        <f ca="1"/>
        <v>1</v>
      </c>
      <c r="M251" s="120">
        <f ca="1"/>
        <v>0.18</v>
      </c>
      <c r="N251" s="121">
        <f ca="1"/>
        <v>45</v>
      </c>
      <c r="O251" s="123">
        <f ca="1"/>
        <v>45611</v>
      </c>
      <c r="P251" s="123" t="str">
        <f ca="1"/>
        <v>viernes</v>
      </c>
      <c r="Q251" s="124">
        <f ca="1"/>
        <v>45604</v>
      </c>
      <c r="R251" s="124">
        <f ca="1"/>
        <v>45648</v>
      </c>
      <c r="S251" s="90">
        <f ca="1"/>
        <v>24</v>
      </c>
      <c r="T251" s="139">
        <f ca="1"/>
        <v>0.53333333333333333</v>
      </c>
      <c r="U251" s="131">
        <f ca="1"/>
        <v>1</v>
      </c>
      <c r="V251" s="120">
        <f ca="1"/>
        <v>0.18</v>
      </c>
      <c r="W251" s="140">
        <f ca="1"/>
        <v>7</v>
      </c>
      <c r="X251" s="139">
        <f ca="1"/>
        <v>0.84444444444444444</v>
      </c>
      <c r="Y251" s="141">
        <f ca="1"/>
        <v>0.32335000000000003</v>
      </c>
      <c r="Z251" s="141">
        <f ca="1"/>
        <v>0.32335000000000003</v>
      </c>
      <c r="AA251" s="142">
        <f ca="1"/>
        <v>5.8203000000000005E-2</v>
      </c>
      <c r="AB251" s="138">
        <f ca="1"/>
        <v>13</v>
      </c>
      <c r="AC251" s="103" t="str">
        <f ca="1"/>
        <v>PROXIMOS FECHA CORTA</v>
      </c>
      <c r="AD251" s="150">
        <f ca="1"/>
        <v>1.7999999999999998E-4</v>
      </c>
    </row>
    <row r="252" spans="1:30">
      <c r="A252" s="111" t="str">
        <f ca="1"/>
        <v>MACHACHI</v>
      </c>
      <c r="B252" s="111" t="str">
        <f ca="1"/>
        <v>BEBIDAS LACTEAS</v>
      </c>
      <c r="C252" s="111" t="str">
        <f ca="1"/>
        <v xml:space="preserve">Luis Armendariz                         </v>
      </c>
      <c r="D252" s="111" t="str">
        <f ca="1"/>
        <v>YOGURT KIOSKO</v>
      </c>
      <c r="E252" s="111" t="str">
        <f ca="1"/>
        <v>BEBIDA DE YOGURT KIOSKO BOTELLA PERSONAL</v>
      </c>
      <c r="F252" s="120" t="str">
        <f ca="1"/>
        <v>GUAYAQUIL</v>
      </c>
      <c r="G252" s="120">
        <f ca="1"/>
        <v>7711</v>
      </c>
      <c r="H252" s="120">
        <f ca="1"/>
        <v>1001</v>
      </c>
      <c r="I252" s="120" t="str">
        <f ca="1"/>
        <v>14607</v>
      </c>
      <c r="J252" s="120" t="str">
        <f ca="1"/>
        <v>YOG BBLE KID KK MORA BOT 180G</v>
      </c>
      <c r="K252" s="121">
        <f ca="1"/>
        <v>648</v>
      </c>
      <c r="L252" s="122">
        <f ca="1"/>
        <v>1</v>
      </c>
      <c r="M252" s="120">
        <f ca="1"/>
        <v>0.18</v>
      </c>
      <c r="N252" s="121">
        <f ca="1"/>
        <v>45</v>
      </c>
      <c r="O252" s="123">
        <f ca="1"/>
        <v>45617</v>
      </c>
      <c r="P252" s="123" t="str">
        <f ca="1"/>
        <v>jueves</v>
      </c>
      <c r="Q252" s="124">
        <f ca="1"/>
        <v>45609</v>
      </c>
      <c r="R252" s="124">
        <f ca="1"/>
        <v>45653</v>
      </c>
      <c r="S252" s="90">
        <f ca="1"/>
        <v>29</v>
      </c>
      <c r="T252" s="139">
        <f ca="1"/>
        <v>0.64444444444444449</v>
      </c>
      <c r="U252" s="131">
        <f ca="1"/>
        <v>542</v>
      </c>
      <c r="V252" s="120">
        <f ca="1"/>
        <v>97.56</v>
      </c>
      <c r="W252" s="140">
        <f ca="1"/>
        <v>8</v>
      </c>
      <c r="X252" s="139">
        <f ca="1"/>
        <v>0.82222222222222219</v>
      </c>
      <c r="Y252" s="141">
        <f ca="1"/>
        <v>0.32335000000000003</v>
      </c>
      <c r="Z252" s="141">
        <f ca="1"/>
        <v>0.32335000000000003</v>
      </c>
      <c r="AA252" s="142">
        <f ca="1"/>
        <v>31.546026000000005</v>
      </c>
      <c r="AB252" s="138">
        <f ca="1"/>
        <v>7</v>
      </c>
      <c r="AC252" s="103" t="str">
        <f ca="1"/>
        <v>VIGENTE</v>
      </c>
      <c r="AD252" s="150">
        <f ca="1"/>
        <v>9.7560000000000008E-2</v>
      </c>
    </row>
    <row r="253" spans="1:30">
      <c r="A253" s="111" t="str">
        <f ca="1"/>
        <v>SAN GABRIEL</v>
      </c>
      <c r="B253" s="111" t="str">
        <f ca="1"/>
        <v>QUESOS Y GRASAS</v>
      </c>
      <c r="C253" s="111" t="str">
        <f ca="1"/>
        <v xml:space="preserve">Esteban Montenegro                      </v>
      </c>
      <c r="D253" s="111" t="str">
        <f ca="1"/>
        <v>QUESO FUNDIDO</v>
      </c>
      <c r="E253" s="111" t="str">
        <f ca="1"/>
        <v>QUESO FUNDIDO</v>
      </c>
      <c r="F253" s="120" t="str">
        <f ca="1"/>
        <v>GUAYAQUIL</v>
      </c>
      <c r="G253" s="120">
        <f ca="1"/>
        <v>7711</v>
      </c>
      <c r="H253" s="120">
        <f ca="1"/>
        <v>1001</v>
      </c>
      <c r="I253" s="120" t="str">
        <f ca="1"/>
        <v>16408</v>
      </c>
      <c r="J253" s="120" t="str">
        <f ca="1"/>
        <v>Q ESPAR MOZZ KIOSKO DOYP 200G</v>
      </c>
      <c r="K253" s="121">
        <f ca="1"/>
        <v>210</v>
      </c>
      <c r="L253" s="122">
        <f ca="1"/>
        <v>1</v>
      </c>
      <c r="M253" s="120">
        <f ca="1"/>
        <v>0.2</v>
      </c>
      <c r="N253" s="121">
        <f ca="1"/>
        <v>90</v>
      </c>
      <c r="O253" s="123">
        <f ca="1"/>
        <v>45611</v>
      </c>
      <c r="P253" s="123" t="str">
        <f ca="1"/>
        <v>viernes</v>
      </c>
      <c r="Q253" s="124">
        <f ca="1"/>
        <v>45603</v>
      </c>
      <c r="R253" s="124">
        <f ca="1"/>
        <v>45692</v>
      </c>
      <c r="S253" s="90">
        <f ca="1"/>
        <v>68</v>
      </c>
      <c r="T253" s="139">
        <f ca="1"/>
        <v>0.75555555555555554</v>
      </c>
      <c r="U253" s="131">
        <f ca="1"/>
        <v>198</v>
      </c>
      <c r="V253" s="120">
        <f ca="1"/>
        <v>39.6</v>
      </c>
      <c r="W253" s="140">
        <f ca="1"/>
        <v>8</v>
      </c>
      <c r="X253" s="139">
        <f ca="1"/>
        <v>0.91111111111111109</v>
      </c>
      <c r="Y253" s="141">
        <f ca="1"/>
        <v>0.37625999999999998</v>
      </c>
      <c r="Z253" s="141">
        <f ca="1"/>
        <v>0.37625999999999998</v>
      </c>
      <c r="AA253" s="142">
        <f ca="1"/>
        <v>14.899896</v>
      </c>
      <c r="AB253" s="138">
        <f ca="1"/>
        <v>13</v>
      </c>
      <c r="AC253" s="103" t="str">
        <f ca="1"/>
        <v>VIGENTE</v>
      </c>
      <c r="AD253" s="150">
        <f ca="1"/>
        <v>3.9600000000000003E-2</v>
      </c>
    </row>
    <row r="254" spans="1:30">
      <c r="A254" s="111" t="str">
        <f ca="1"/>
        <v>SAN GABRIEL</v>
      </c>
      <c r="B254" s="111" t="str">
        <f ca="1"/>
        <v>QUESOS Y GRASAS</v>
      </c>
      <c r="C254" s="111" t="str">
        <f ca="1"/>
        <v xml:space="preserve">Esteban Montenegro                      </v>
      </c>
      <c r="D254" s="111" t="str">
        <f ca="1"/>
        <v>QUESO FUNDIDO</v>
      </c>
      <c r="E254" s="111" t="str">
        <f ca="1"/>
        <v>QUESO FUNDIDO</v>
      </c>
      <c r="F254" s="120" t="str">
        <f ca="1"/>
        <v>GUAYAQUIL</v>
      </c>
      <c r="G254" s="120">
        <f ca="1"/>
        <v>7711</v>
      </c>
      <c r="H254" s="120">
        <f ca="1"/>
        <v>1001</v>
      </c>
      <c r="I254" s="120" t="str">
        <f ca="1"/>
        <v>16408</v>
      </c>
      <c r="J254" s="120" t="str">
        <f ca="1"/>
        <v>Q ESPAR MOZZ KIOSKO DOYP 200G</v>
      </c>
      <c r="K254" s="121">
        <f ca="1"/>
        <v>70</v>
      </c>
      <c r="L254" s="122">
        <f ca="1"/>
        <v>1</v>
      </c>
      <c r="M254" s="120">
        <f ca="1"/>
        <v>0.2</v>
      </c>
      <c r="N254" s="121">
        <f ca="1"/>
        <v>90</v>
      </c>
      <c r="O254" s="123">
        <f ca="1"/>
        <v>45610</v>
      </c>
      <c r="P254" s="123" t="str">
        <f ca="1"/>
        <v>jueves</v>
      </c>
      <c r="Q254" s="124">
        <f ca="1"/>
        <v>45589</v>
      </c>
      <c r="R254" s="124">
        <f ca="1"/>
        <v>45678</v>
      </c>
      <c r="S254" s="90">
        <f ca="1"/>
        <v>54</v>
      </c>
      <c r="T254" s="139">
        <f ca="1"/>
        <v>0.6</v>
      </c>
      <c r="U254" s="131">
        <f ca="1"/>
        <v>58</v>
      </c>
      <c r="V254" s="120">
        <f ca="1"/>
        <v>11.600000000000001</v>
      </c>
      <c r="W254" s="140">
        <f ca="1"/>
        <v>21</v>
      </c>
      <c r="X254" s="139">
        <f ca="1"/>
        <v>0.76666666666666661</v>
      </c>
      <c r="Y254" s="141">
        <f ca="1"/>
        <v>0.37625999999999998</v>
      </c>
      <c r="Z254" s="141">
        <f ca="1"/>
        <v>0.37625999999999998</v>
      </c>
      <c r="AA254" s="142">
        <f ca="1"/>
        <v>4.3646160000000007</v>
      </c>
      <c r="AB254" s="138">
        <f ca="1"/>
        <v>14</v>
      </c>
      <c r="AC254" s="103" t="str">
        <f ca="1"/>
        <v>VIGENTE</v>
      </c>
      <c r="AD254" s="150">
        <f ca="1"/>
        <v>1.1600000000000001E-2</v>
      </c>
    </row>
    <row r="255" spans="1:30">
      <c r="A255" s="111" t="str">
        <f ca="1"/>
        <v>SAN GABRIEL</v>
      </c>
      <c r="B255" s="111" t="str">
        <f ca="1"/>
        <v>QUESOS Y GRASAS</v>
      </c>
      <c r="C255" s="111" t="str">
        <f ca="1"/>
        <v xml:space="preserve">Esteban Montenegro                      </v>
      </c>
      <c r="D255" s="111" t="str">
        <f ca="1"/>
        <v>QUESO FUNDIDO</v>
      </c>
      <c r="E255" s="111" t="str">
        <f ca="1"/>
        <v>QUESO FUNDIDO</v>
      </c>
      <c r="F255" s="120" t="str">
        <f ca="1"/>
        <v>GUAYAQUIL</v>
      </c>
      <c r="G255" s="120">
        <f ca="1"/>
        <v>7711</v>
      </c>
      <c r="H255" s="120">
        <f ca="1"/>
        <v>1001</v>
      </c>
      <c r="I255" s="120" t="str">
        <f ca="1"/>
        <v>16408</v>
      </c>
      <c r="J255" s="120" t="str">
        <f ca="1"/>
        <v>Q ESPAR MOZZ KIOSKO DOYP 200G</v>
      </c>
      <c r="K255" s="121">
        <f ca="1"/>
        <v>70</v>
      </c>
      <c r="L255" s="122">
        <f ca="1"/>
        <v>1</v>
      </c>
      <c r="M255" s="120">
        <f ca="1"/>
        <v>0.2</v>
      </c>
      <c r="N255" s="121">
        <f ca="1"/>
        <v>90</v>
      </c>
      <c r="O255" s="123">
        <f ca="1"/>
        <v>45615</v>
      </c>
      <c r="P255" s="123" t="str">
        <f ca="1"/>
        <v>martes</v>
      </c>
      <c r="Q255" s="124">
        <f ca="1"/>
        <v>45603</v>
      </c>
      <c r="R255" s="124">
        <f ca="1"/>
        <v>45692</v>
      </c>
      <c r="S255" s="90">
        <f ca="1"/>
        <v>68</v>
      </c>
      <c r="T255" s="139">
        <f ca="1"/>
        <v>0.75555555555555554</v>
      </c>
      <c r="U255" s="131">
        <f ca="1"/>
        <v>70</v>
      </c>
      <c r="V255" s="120">
        <f ca="1"/>
        <v>14</v>
      </c>
      <c r="W255" s="140">
        <f ca="1"/>
        <v>12</v>
      </c>
      <c r="X255" s="139">
        <f ca="1"/>
        <v>0.8666666666666667</v>
      </c>
      <c r="Y255" s="141">
        <f ca="1"/>
        <v>0.37625999999999998</v>
      </c>
      <c r="Z255" s="141">
        <f ca="1"/>
        <v>0.37625999999999998</v>
      </c>
      <c r="AA255" s="142">
        <f ca="1"/>
        <v>5.2676400000000001</v>
      </c>
      <c r="AB255" s="138">
        <f ca="1"/>
        <v>9</v>
      </c>
      <c r="AC255" s="103" t="str">
        <f ca="1"/>
        <v>VIGENTE</v>
      </c>
      <c r="AD255" s="150">
        <f ca="1"/>
        <v>1.4E-2</v>
      </c>
    </row>
    <row r="256" spans="1:30">
      <c r="A256" s="111" t="str">
        <f ca="1"/>
        <v>SAN GABRIEL</v>
      </c>
      <c r="B256" s="111" t="str">
        <f ca="1"/>
        <v>QUESOS Y GRASAS</v>
      </c>
      <c r="C256" s="111" t="str">
        <f ca="1"/>
        <v xml:space="preserve">Esteban Montenegro                      </v>
      </c>
      <c r="D256" s="111" t="str">
        <f ca="1"/>
        <v>QUESO FUNDIDO</v>
      </c>
      <c r="E256" s="111" t="str">
        <f ca="1"/>
        <v>QUESO FUNDIDO</v>
      </c>
      <c r="F256" s="120" t="str">
        <f ca="1"/>
        <v>GUAYAQUIL</v>
      </c>
      <c r="G256" s="120">
        <f ca="1"/>
        <v>7711</v>
      </c>
      <c r="H256" s="120">
        <f ca="1"/>
        <v>1001</v>
      </c>
      <c r="I256" s="120" t="str">
        <f ca="1"/>
        <v>16408</v>
      </c>
      <c r="J256" s="120" t="str">
        <f ca="1"/>
        <v>Q ESPAR MOZZ KIOSKO DOYP 200G</v>
      </c>
      <c r="K256" s="121">
        <f ca="1"/>
        <v>70</v>
      </c>
      <c r="L256" s="122">
        <f ca="1"/>
        <v>1</v>
      </c>
      <c r="M256" s="120">
        <f ca="1"/>
        <v>0.2</v>
      </c>
      <c r="N256" s="121">
        <f ca="1"/>
        <v>90</v>
      </c>
      <c r="O256" s="123">
        <f ca="1"/>
        <v>45616</v>
      </c>
      <c r="P256" s="123" t="str">
        <f ca="1"/>
        <v>miércoles</v>
      </c>
      <c r="Q256" s="124">
        <f ca="1"/>
        <v>45603</v>
      </c>
      <c r="R256" s="124">
        <f ca="1"/>
        <v>45692</v>
      </c>
      <c r="S256" s="90">
        <f ca="1"/>
        <v>68</v>
      </c>
      <c r="T256" s="139">
        <f ca="1"/>
        <v>0.75555555555555554</v>
      </c>
      <c r="U256" s="131">
        <f ca="1"/>
        <v>70</v>
      </c>
      <c r="V256" s="120">
        <f ca="1"/>
        <v>14</v>
      </c>
      <c r="W256" s="140">
        <f ca="1"/>
        <v>13</v>
      </c>
      <c r="X256" s="139">
        <f ca="1"/>
        <v>0.85555555555555562</v>
      </c>
      <c r="Y256" s="141">
        <f ca="1"/>
        <v>0.37625999999999998</v>
      </c>
      <c r="Z256" s="141">
        <f ca="1"/>
        <v>0.37625999999999998</v>
      </c>
      <c r="AA256" s="142">
        <f ca="1"/>
        <v>5.2676400000000001</v>
      </c>
      <c r="AB256" s="138">
        <f ca="1"/>
        <v>8</v>
      </c>
      <c r="AC256" s="103" t="str">
        <f ca="1"/>
        <v>VIGENTE</v>
      </c>
      <c r="AD256" s="150">
        <f ca="1"/>
        <v>1.4E-2</v>
      </c>
    </row>
    <row r="257" spans="1:30">
      <c r="A257" s="111" t="str">
        <f ca="1"/>
        <v>SAN GABRIEL</v>
      </c>
      <c r="B257" s="111" t="str">
        <f ca="1"/>
        <v>QUESOS Y GRASAS</v>
      </c>
      <c r="C257" s="111" t="str">
        <f ca="1"/>
        <v xml:space="preserve">Esteban Montenegro                      </v>
      </c>
      <c r="D257" s="111" t="str">
        <f ca="1"/>
        <v>QUESO SEMIMADURO KIOSKO</v>
      </c>
      <c r="E257" s="111" t="str">
        <f ca="1"/>
        <v>QUESO JAVIERINO KIOSKO TAJADO</v>
      </c>
      <c r="F257" s="120" t="str">
        <f ca="1"/>
        <v>GUAYAQUIL</v>
      </c>
      <c r="G257" s="120">
        <f ca="1"/>
        <v>7711</v>
      </c>
      <c r="H257" s="120">
        <f ca="1"/>
        <v>1001</v>
      </c>
      <c r="I257" s="120" t="str">
        <f ca="1"/>
        <v>5765</v>
      </c>
      <c r="J257" s="120" t="str">
        <f ca="1"/>
        <v>Q JAVIER KIOSKO 20 LONJ 300G</v>
      </c>
      <c r="K257" s="121">
        <f ca="1"/>
        <v>2080</v>
      </c>
      <c r="L257" s="122">
        <f ca="1"/>
        <v>1</v>
      </c>
      <c r="M257" s="120">
        <f ca="1"/>
        <v>0.3</v>
      </c>
      <c r="N257" s="121">
        <f ca="1"/>
        <v>90</v>
      </c>
      <c r="O257" s="123">
        <f ca="1"/>
        <v>45616</v>
      </c>
      <c r="P257" s="123" t="str">
        <f ca="1"/>
        <v>miércoles</v>
      </c>
      <c r="Q257" s="124">
        <f ca="1"/>
        <v>45615</v>
      </c>
      <c r="R257" s="124">
        <f ca="1"/>
        <v>45704</v>
      </c>
      <c r="S257" s="90">
        <f ca="1"/>
        <v>80</v>
      </c>
      <c r="T257" s="139">
        <f ca="1"/>
        <v>0.88888888888888884</v>
      </c>
      <c r="U257" s="131">
        <f ca="1"/>
        <v>1122</v>
      </c>
      <c r="V257" s="120">
        <f ca="1"/>
        <v>336.59999999999997</v>
      </c>
      <c r="W257" s="140">
        <f ca="1"/>
        <v>1</v>
      </c>
      <c r="X257" s="139">
        <f ca="1"/>
        <v>0.98888888888888893</v>
      </c>
      <c r="Y257" s="141">
        <f ca="1"/>
        <v>2.4084500000000002</v>
      </c>
      <c r="Z257" s="141">
        <f ca="1"/>
        <v>2.4084500000000002</v>
      </c>
      <c r="AA257" s="142">
        <f ca="1"/>
        <v>810.68426999999997</v>
      </c>
      <c r="AB257" s="138">
        <f ca="1"/>
        <v>8</v>
      </c>
      <c r="AC257" s="103" t="str">
        <f ca="1"/>
        <v>VIGENTE</v>
      </c>
      <c r="AD257" s="150">
        <f ca="1"/>
        <v>0.33659999999999995</v>
      </c>
    </row>
    <row r="258" spans="1:30">
      <c r="A258" s="111" t="str">
        <f ca="1"/>
        <v>SAN GABRIEL</v>
      </c>
      <c r="B258" s="111" t="str">
        <f ca="1"/>
        <v>QUESOS Y GRASAS</v>
      </c>
      <c r="C258" s="111" t="str">
        <f ca="1"/>
        <v xml:space="preserve">Esteban Montenegro                      </v>
      </c>
      <c r="D258" s="111" t="str">
        <f ca="1"/>
        <v>QUESO SEMIMADURO KIOSKO</v>
      </c>
      <c r="E258" s="111" t="str">
        <f ca="1"/>
        <v>QUESO JAVIERINO KIOSKO TAJADO</v>
      </c>
      <c r="F258" s="120" t="str">
        <f ca="1"/>
        <v>GUAYAQUIL</v>
      </c>
      <c r="G258" s="120">
        <f ca="1"/>
        <v>7711</v>
      </c>
      <c r="H258" s="120">
        <f ca="1"/>
        <v>1001</v>
      </c>
      <c r="I258" s="120" t="str">
        <f ca="1"/>
        <v>5765</v>
      </c>
      <c r="J258" s="120" t="str">
        <f ca="1"/>
        <v>Q JAVIER KIOSKO 20 LONJ 300G</v>
      </c>
      <c r="K258" s="121">
        <f ca="1"/>
        <v>75</v>
      </c>
      <c r="L258" s="122">
        <f ca="1"/>
        <v>1</v>
      </c>
      <c r="M258" s="120">
        <f ca="1"/>
        <v>0.3</v>
      </c>
      <c r="N258" s="121">
        <f ca="1"/>
        <v>90</v>
      </c>
      <c r="O258" s="123">
        <f ca="1"/>
        <v>45617</v>
      </c>
      <c r="P258" s="123" t="str">
        <f ca="1"/>
        <v>jueves</v>
      </c>
      <c r="Q258" s="124">
        <f ca="1"/>
        <v>45615</v>
      </c>
      <c r="R258" s="124">
        <f ca="1"/>
        <v>45704</v>
      </c>
      <c r="S258" s="90">
        <f ca="1"/>
        <v>80</v>
      </c>
      <c r="T258" s="139">
        <f ca="1"/>
        <v>0.88888888888888884</v>
      </c>
      <c r="U258" s="131">
        <f ca="1"/>
        <v>75</v>
      </c>
      <c r="V258" s="120">
        <f ca="1"/>
        <v>22.5</v>
      </c>
      <c r="W258" s="140">
        <f ca="1"/>
        <v>2</v>
      </c>
      <c r="X258" s="139">
        <f ca="1"/>
        <v>0.97777777777777775</v>
      </c>
      <c r="Y258" s="141">
        <f ca="1"/>
        <v>2.4084500000000002</v>
      </c>
      <c r="Z258" s="141">
        <f ca="1"/>
        <v>2.4084500000000002</v>
      </c>
      <c r="AA258" s="142">
        <f ca="1"/>
        <v>54.190125000000002</v>
      </c>
      <c r="AB258" s="138">
        <f ca="1"/>
        <v>7</v>
      </c>
      <c r="AC258" s="103" t="str">
        <f ca="1"/>
        <v>VIGENTE</v>
      </c>
      <c r="AD258" s="150">
        <f ca="1"/>
        <v>2.2499999999999999E-2</v>
      </c>
    </row>
    <row r="259" spans="1:30">
      <c r="A259" s="111" t="str">
        <f ca="1"/>
        <v>SAN GABRIEL</v>
      </c>
      <c r="B259" s="111" t="str">
        <f ca="1"/>
        <v>QUESOS Y GRASAS</v>
      </c>
      <c r="C259" s="111" t="str">
        <f ca="1"/>
        <v xml:space="preserve">Esteban Montenegro                      </v>
      </c>
      <c r="D259" s="111" t="str">
        <f ca="1"/>
        <v>QUESO SEMIMADURO KIOSKO</v>
      </c>
      <c r="E259" s="111" t="str">
        <f ca="1"/>
        <v>QUESO SEMIMADURO HIERBAS KIOSKO BLOQUE</v>
      </c>
      <c r="F259" s="120" t="str">
        <f ca="1"/>
        <v>GUAYAQUIL</v>
      </c>
      <c r="G259" s="120">
        <f ca="1"/>
        <v>7711</v>
      </c>
      <c r="H259" s="120">
        <f ca="1"/>
        <v>1001</v>
      </c>
      <c r="I259" s="120" t="str">
        <f ca="1"/>
        <v>5755</v>
      </c>
      <c r="J259" s="120" t="str">
        <f ca="1"/>
        <v>Q HIERBAS KIOSKO AL PESO</v>
      </c>
      <c r="K259" s="121">
        <f ca="1"/>
        <v>10</v>
      </c>
      <c r="L259" s="122">
        <f ca="1"/>
        <v>2.7</v>
      </c>
      <c r="M259" s="120">
        <f ca="1"/>
        <v>1</v>
      </c>
      <c r="N259" s="121">
        <f ca="1"/>
        <v>90</v>
      </c>
      <c r="O259" s="123">
        <f ca="1"/>
        <v>45610</v>
      </c>
      <c r="P259" s="123" t="str">
        <f ca="1"/>
        <v>jueves</v>
      </c>
      <c r="Q259" s="124">
        <f ca="1"/>
        <v>45609</v>
      </c>
      <c r="R259" s="124">
        <f ca="1"/>
        <v>45698</v>
      </c>
      <c r="S259" s="90">
        <f ca="1"/>
        <v>74</v>
      </c>
      <c r="T259" s="139">
        <f ca="1"/>
        <v>0.82222222222222219</v>
      </c>
      <c r="U259" s="131">
        <f ca="1"/>
        <v>8</v>
      </c>
      <c r="V259" s="120">
        <f ca="1"/>
        <v>21.6</v>
      </c>
      <c r="W259" s="140">
        <f ca="1"/>
        <v>1</v>
      </c>
      <c r="X259" s="139">
        <f ca="1"/>
        <v>0.98888888888888893</v>
      </c>
      <c r="Y259" s="141">
        <f ca="1"/>
        <v>7.1118300000000003</v>
      </c>
      <c r="Z259" s="141">
        <f ca="1"/>
        <v>19.201941000000001</v>
      </c>
      <c r="AA259" s="142">
        <f ca="1"/>
        <v>414.76192560000004</v>
      </c>
      <c r="AB259" s="138">
        <f ca="1"/>
        <v>14</v>
      </c>
      <c r="AC259" s="103" t="str">
        <f ca="1"/>
        <v>VIGENTE</v>
      </c>
      <c r="AD259" s="150">
        <f ca="1"/>
        <v>2.1600000000000001E-2</v>
      </c>
    </row>
    <row r="260" spans="1:30">
      <c r="A260" s="111" t="str">
        <f ca="1"/>
        <v>SAN GABRIEL</v>
      </c>
      <c r="B260" s="111" t="str">
        <f ca="1"/>
        <v>QUESOS Y GRASAS</v>
      </c>
      <c r="C260" s="111" t="str">
        <f ca="1"/>
        <v xml:space="preserve">Esteban Montenegro                      </v>
      </c>
      <c r="D260" s="111" t="str">
        <f ca="1"/>
        <v>QUESO SEMIMADURO KIOSKO</v>
      </c>
      <c r="E260" s="111" t="str">
        <f ca="1"/>
        <v>QUESO SEMIMADURO HIERBAS KIOSKO BLOQUE</v>
      </c>
      <c r="F260" s="120" t="str">
        <f ca="1"/>
        <v>GUAYAQUIL</v>
      </c>
      <c r="G260" s="120">
        <f ca="1"/>
        <v>7711</v>
      </c>
      <c r="H260" s="120">
        <f ca="1"/>
        <v>1001</v>
      </c>
      <c r="I260" s="120" t="str">
        <f ca="1"/>
        <v>5755</v>
      </c>
      <c r="J260" s="120" t="str">
        <f ca="1"/>
        <v>Q HIERBAS KIOSKO AL PESO</v>
      </c>
      <c r="K260" s="121">
        <f ca="1"/>
        <v>10</v>
      </c>
      <c r="L260" s="122">
        <f ca="1"/>
        <v>2.7</v>
      </c>
      <c r="M260" s="120">
        <f ca="1"/>
        <v>1</v>
      </c>
      <c r="N260" s="121">
        <f ca="1"/>
        <v>90</v>
      </c>
      <c r="O260" s="123">
        <f ca="1"/>
        <v>45616</v>
      </c>
      <c r="P260" s="123" t="str">
        <f ca="1"/>
        <v>miércoles</v>
      </c>
      <c r="Q260" s="124">
        <f ca="1"/>
        <v>45609</v>
      </c>
      <c r="R260" s="124">
        <f ca="1"/>
        <v>45698</v>
      </c>
      <c r="S260" s="90">
        <f ca="1"/>
        <v>74</v>
      </c>
      <c r="T260" s="139">
        <f ca="1"/>
        <v>0.82222222222222219</v>
      </c>
      <c r="U260" s="131">
        <f ca="1"/>
        <v>10</v>
      </c>
      <c r="V260" s="120">
        <f ca="1"/>
        <v>27</v>
      </c>
      <c r="W260" s="140">
        <f ca="1"/>
        <v>7</v>
      </c>
      <c r="X260" s="139">
        <f ca="1"/>
        <v>0.92222222222222228</v>
      </c>
      <c r="Y260" s="141">
        <f ca="1"/>
        <v>7.1118300000000003</v>
      </c>
      <c r="Z260" s="141">
        <f ca="1"/>
        <v>19.201941000000001</v>
      </c>
      <c r="AA260" s="142">
        <f ca="1"/>
        <v>518.45240699999999</v>
      </c>
      <c r="AB260" s="138">
        <f ca="1"/>
        <v>8</v>
      </c>
      <c r="AC260" s="103" t="str">
        <f ca="1"/>
        <v>VIGENTE</v>
      </c>
      <c r="AD260" s="150">
        <f ca="1"/>
        <v>2.7E-2</v>
      </c>
    </row>
    <row r="261" spans="1:30">
      <c r="A261" s="111" t="str">
        <f ca="1"/>
        <v>SAN GABRIEL</v>
      </c>
      <c r="B261" s="111" t="str">
        <f ca="1"/>
        <v>QUESOS Y GRASAS</v>
      </c>
      <c r="C261" s="111" t="str">
        <f ca="1"/>
        <v xml:space="preserve">Esteban Montenegro                      </v>
      </c>
      <c r="D261" s="111" t="str">
        <f ca="1"/>
        <v>QUESO SEMIMADURO KIOSKO</v>
      </c>
      <c r="E261" s="111" t="str">
        <f ca="1"/>
        <v>QUESO SEMIMADURO HIERBAS KIOSKO BLOQUE</v>
      </c>
      <c r="F261" s="120" t="str">
        <f ca="1"/>
        <v>GUAYAQUIL</v>
      </c>
      <c r="G261" s="120">
        <f ca="1"/>
        <v>7711</v>
      </c>
      <c r="H261" s="120">
        <f ca="1"/>
        <v>1001</v>
      </c>
      <c r="I261" s="120" t="str">
        <f ca="1"/>
        <v>5755</v>
      </c>
      <c r="J261" s="120" t="str">
        <f ca="1"/>
        <v>Q HIERBAS KIOSKO AL PESO</v>
      </c>
      <c r="K261" s="121">
        <f ca="1"/>
        <v>10</v>
      </c>
      <c r="L261" s="122">
        <f ca="1"/>
        <v>2.7</v>
      </c>
      <c r="M261" s="120">
        <f ca="1"/>
        <v>1</v>
      </c>
      <c r="N261" s="121">
        <f ca="1"/>
        <v>90</v>
      </c>
      <c r="O261" s="123">
        <f ca="1"/>
        <v>45617</v>
      </c>
      <c r="P261" s="123" t="str">
        <f ca="1"/>
        <v>jueves</v>
      </c>
      <c r="Q261" s="124">
        <f ca="1"/>
        <v>45609</v>
      </c>
      <c r="R261" s="124">
        <f ca="1"/>
        <v>45698</v>
      </c>
      <c r="S261" s="90">
        <f ca="1"/>
        <v>74</v>
      </c>
      <c r="T261" s="139">
        <f ca="1"/>
        <v>0.82222222222222219</v>
      </c>
      <c r="U261" s="131">
        <f ca="1"/>
        <v>10</v>
      </c>
      <c r="V261" s="120">
        <f ca="1"/>
        <v>27</v>
      </c>
      <c r="W261" s="140">
        <f ca="1"/>
        <v>8</v>
      </c>
      <c r="X261" s="139">
        <f ca="1"/>
        <v>0.91111111111111109</v>
      </c>
      <c r="Y261" s="141">
        <f ca="1"/>
        <v>7.1118300000000003</v>
      </c>
      <c r="Z261" s="141">
        <f ca="1"/>
        <v>19.201941000000001</v>
      </c>
      <c r="AA261" s="142">
        <f ca="1"/>
        <v>518.45240699999999</v>
      </c>
      <c r="AB261" s="138">
        <f ca="1"/>
        <v>7</v>
      </c>
      <c r="AC261" s="103" t="str">
        <f ca="1"/>
        <v>VIGENTE</v>
      </c>
      <c r="AD261" s="150">
        <f ca="1"/>
        <v>2.7E-2</v>
      </c>
    </row>
    <row r="262" spans="1:30">
      <c r="A262" s="111" t="str">
        <f ca="1"/>
        <v>SAN GABRIEL</v>
      </c>
      <c r="B262" s="111" t="str">
        <f ca="1"/>
        <v>POSTRES</v>
      </c>
      <c r="C262" s="111" t="str">
        <f ca="1"/>
        <v xml:space="preserve">Luis Armendariz                         </v>
      </c>
      <c r="D262" s="111" t="str">
        <f ca="1"/>
        <v>DULCE LECHE KIOSCO</v>
      </c>
      <c r="E262" s="111" t="str">
        <f ca="1"/>
        <v>DULCE DE LECHE KIOSCO FAMILIAR</v>
      </c>
      <c r="F262" s="120" t="str">
        <f ca="1"/>
        <v>GUAYAQUIL</v>
      </c>
      <c r="G262" s="120">
        <f ca="1"/>
        <v>7711</v>
      </c>
      <c r="H262" s="120">
        <f ca="1"/>
        <v>1001</v>
      </c>
      <c r="I262" s="120" t="str">
        <f ca="1"/>
        <v>5706</v>
      </c>
      <c r="J262" s="120" t="str">
        <f ca="1"/>
        <v>DULCE LCH KIOSKO VASO 250G</v>
      </c>
      <c r="K262" s="121">
        <f ca="1"/>
        <v>324</v>
      </c>
      <c r="L262" s="122">
        <f ca="1"/>
        <v>1</v>
      </c>
      <c r="M262" s="120">
        <f ca="1"/>
        <v>0.25</v>
      </c>
      <c r="N262" s="121">
        <f ca="1"/>
        <v>180</v>
      </c>
      <c r="O262" s="123">
        <f ca="1"/>
        <v>45609</v>
      </c>
      <c r="P262" s="123" t="str">
        <f ca="1"/>
        <v>miércoles</v>
      </c>
      <c r="Q262" s="124">
        <f ca="1"/>
        <v>45604</v>
      </c>
      <c r="R262" s="124">
        <f ca="1"/>
        <v>45783</v>
      </c>
      <c r="S262" s="90">
        <f ca="1"/>
        <v>159</v>
      </c>
      <c r="T262" s="139">
        <f ca="1"/>
        <v>0.8833333333333333</v>
      </c>
      <c r="U262" s="131">
        <f ca="1"/>
        <v>1</v>
      </c>
      <c r="V262" s="120">
        <f ca="1"/>
        <v>0.25</v>
      </c>
      <c r="W262" s="140">
        <f ca="1"/>
        <v>5</v>
      </c>
      <c r="X262" s="139">
        <f ca="1"/>
        <v>0.97222222222222221</v>
      </c>
      <c r="Y262" s="141">
        <f ca="1"/>
        <v>0.69541500000000001</v>
      </c>
      <c r="Z262" s="141">
        <f ca="1"/>
        <v>0.69541500000000001</v>
      </c>
      <c r="AA262" s="142">
        <f ca="1"/>
        <v>0.17385375</v>
      </c>
      <c r="AB262" s="138">
        <f ca="1"/>
        <v>15</v>
      </c>
      <c r="AC262" s="103" t="str">
        <f ca="1"/>
        <v>VIGENTE</v>
      </c>
      <c r="AD262" s="150">
        <f ca="1"/>
        <v>2.5000000000000001E-4</v>
      </c>
    </row>
    <row r="263" spans="1:30">
      <c r="A263" s="111" t="str">
        <f ca="1"/>
        <v>SAN GABRIEL</v>
      </c>
      <c r="B263" s="111" t="str">
        <f ca="1"/>
        <v>POSTRES</v>
      </c>
      <c r="C263" s="111" t="str">
        <f ca="1"/>
        <v xml:space="preserve">Luis Armendariz                         </v>
      </c>
      <c r="D263" s="111" t="str">
        <f ca="1"/>
        <v>DULCE LECHE KIOSCO</v>
      </c>
      <c r="E263" s="111" t="str">
        <f ca="1"/>
        <v>DULCE DE LECHE KIOSCO FAMILIAR</v>
      </c>
      <c r="F263" s="120" t="str">
        <f ca="1"/>
        <v>GUAYAQUIL</v>
      </c>
      <c r="G263" s="120">
        <f ca="1"/>
        <v>7711</v>
      </c>
      <c r="H263" s="120">
        <f ca="1"/>
        <v>1001</v>
      </c>
      <c r="I263" s="120" t="str">
        <f ca="1"/>
        <v>5706</v>
      </c>
      <c r="J263" s="120" t="str">
        <f ca="1"/>
        <v>DULCE LCH KIOSKO VASO 250G</v>
      </c>
      <c r="K263" s="121">
        <f ca="1"/>
        <v>324</v>
      </c>
      <c r="L263" s="122">
        <f ca="1"/>
        <v>1</v>
      </c>
      <c r="M263" s="120">
        <f ca="1"/>
        <v>0.25</v>
      </c>
      <c r="N263" s="121">
        <f ca="1"/>
        <v>180</v>
      </c>
      <c r="O263" s="123">
        <f ca="1"/>
        <v>45615</v>
      </c>
      <c r="P263" s="123" t="str">
        <f ca="1"/>
        <v>martes</v>
      </c>
      <c r="Q263" s="124">
        <f ca="1"/>
        <v>45604</v>
      </c>
      <c r="R263" s="124">
        <f ca="1"/>
        <v>45783</v>
      </c>
      <c r="S263" s="90">
        <f ca="1"/>
        <v>159</v>
      </c>
      <c r="T263" s="139">
        <f ca="1"/>
        <v>0.8833333333333333</v>
      </c>
      <c r="U263" s="131">
        <f ca="1"/>
        <v>324</v>
      </c>
      <c r="V263" s="120">
        <f ca="1"/>
        <v>81</v>
      </c>
      <c r="W263" s="140">
        <f ca="1"/>
        <v>11</v>
      </c>
      <c r="X263" s="139">
        <f ca="1"/>
        <v>0.93888888888888888</v>
      </c>
      <c r="Y263" s="141">
        <f ca="1"/>
        <v>0.69541500000000001</v>
      </c>
      <c r="Z263" s="141">
        <f ca="1"/>
        <v>0.69541500000000001</v>
      </c>
      <c r="AA263" s="142">
        <f ca="1"/>
        <v>56.328614999999999</v>
      </c>
      <c r="AB263" s="138">
        <f ca="1"/>
        <v>9</v>
      </c>
      <c r="AC263" s="103" t="str">
        <f ca="1"/>
        <v>VIGENTE</v>
      </c>
      <c r="AD263" s="150">
        <f ca="1"/>
        <v>8.1000000000000003E-2</v>
      </c>
    </row>
    <row r="264" spans="1:30">
      <c r="A264" s="111" t="str">
        <f ca="1"/>
        <v>SAN GABRIEL</v>
      </c>
      <c r="B264" s="111" t="str">
        <f ca="1"/>
        <v>POSTRES</v>
      </c>
      <c r="C264" s="111" t="str">
        <f ca="1"/>
        <v xml:space="preserve">Luis Armendariz                         </v>
      </c>
      <c r="D264" s="111" t="str">
        <f ca="1"/>
        <v>DULCE LECHE KIOSCO</v>
      </c>
      <c r="E264" s="111" t="str">
        <f ca="1"/>
        <v>DULCE DE LECHE KIOSCO FAMILIAR</v>
      </c>
      <c r="F264" s="120" t="str">
        <f ca="1"/>
        <v>GUAYAQUIL</v>
      </c>
      <c r="G264" s="120">
        <f ca="1"/>
        <v>7711</v>
      </c>
      <c r="H264" s="120">
        <f ca="1"/>
        <v>1001</v>
      </c>
      <c r="I264" s="120" t="str">
        <f ca="1"/>
        <v>5706</v>
      </c>
      <c r="J264" s="120" t="str">
        <f ca="1"/>
        <v>DULCE LCH KIOSKO VASO 250G</v>
      </c>
      <c r="K264" s="121">
        <f ca="1"/>
        <v>2052</v>
      </c>
      <c r="L264" s="122">
        <f ca="1"/>
        <v>1</v>
      </c>
      <c r="M264" s="120">
        <f ca="1"/>
        <v>0.25</v>
      </c>
      <c r="N264" s="121">
        <f ca="1"/>
        <v>180</v>
      </c>
      <c r="O264" s="123">
        <f ca="1"/>
        <v>45615</v>
      </c>
      <c r="P264" s="123" t="str">
        <f ca="1"/>
        <v>martes</v>
      </c>
      <c r="Q264" s="124">
        <f ca="1"/>
        <v>45589</v>
      </c>
      <c r="R264" s="124">
        <f ca="1"/>
        <v>45768</v>
      </c>
      <c r="S264" s="90">
        <f ca="1"/>
        <v>144</v>
      </c>
      <c r="T264" s="139">
        <f ca="1"/>
        <v>0.8</v>
      </c>
      <c r="U264" s="131">
        <f ca="1"/>
        <v>1369</v>
      </c>
      <c r="V264" s="120">
        <f ca="1"/>
        <v>342.25</v>
      </c>
      <c r="W264" s="140">
        <f ca="1"/>
        <v>26</v>
      </c>
      <c r="X264" s="139">
        <f ca="1"/>
        <v>0.85555555555555562</v>
      </c>
      <c r="Y264" s="141">
        <f ca="1"/>
        <v>0.69541500000000001</v>
      </c>
      <c r="Z264" s="141">
        <f ca="1"/>
        <v>0.69541500000000001</v>
      </c>
      <c r="AA264" s="142">
        <f ca="1"/>
        <v>238.00578375000001</v>
      </c>
      <c r="AB264" s="138">
        <f ca="1"/>
        <v>9</v>
      </c>
      <c r="AC264" s="103" t="str">
        <f ca="1"/>
        <v>VIGENTE</v>
      </c>
      <c r="AD264" s="150">
        <f ca="1"/>
        <v>0.34225</v>
      </c>
    </row>
    <row r="265" spans="1:30">
      <c r="A265" s="111" t="str">
        <f ca="1"/>
        <v>SAN GABRIEL</v>
      </c>
      <c r="B265" s="111" t="str">
        <f ca="1"/>
        <v>POSTRES</v>
      </c>
      <c r="C265" s="111" t="str">
        <f ca="1"/>
        <v xml:space="preserve">Luis Armendariz                         </v>
      </c>
      <c r="D265" s="111" t="str">
        <f ca="1"/>
        <v>DULCE LECHE KIOSCO</v>
      </c>
      <c r="E265" s="111" t="str">
        <f ca="1"/>
        <v>DULCE DE LECHE KIOSCO FAMILIAR</v>
      </c>
      <c r="F265" s="120" t="str">
        <f ca="1"/>
        <v>GUAYAQUIL</v>
      </c>
      <c r="G265" s="120">
        <f ca="1"/>
        <v>7711</v>
      </c>
      <c r="H265" s="120">
        <f ca="1"/>
        <v>1001</v>
      </c>
      <c r="I265" s="120" t="str">
        <f ca="1"/>
        <v>5706</v>
      </c>
      <c r="J265" s="120" t="str">
        <f ca="1"/>
        <v>DULCE LCH KIOSKO VASO 250G</v>
      </c>
      <c r="K265" s="121">
        <f ca="1"/>
        <v>4212</v>
      </c>
      <c r="L265" s="122">
        <f ca="1"/>
        <v>1</v>
      </c>
      <c r="M265" s="120">
        <f ca="1"/>
        <v>0.25</v>
      </c>
      <c r="N265" s="121">
        <f ca="1"/>
        <v>180</v>
      </c>
      <c r="O265" s="123">
        <f ca="1"/>
        <v>45617</v>
      </c>
      <c r="P265" s="123" t="str">
        <f ca="1"/>
        <v>jueves</v>
      </c>
      <c r="Q265" s="124">
        <f ca="1"/>
        <v>45616</v>
      </c>
      <c r="R265" s="124">
        <f ca="1"/>
        <v>45795</v>
      </c>
      <c r="S265" s="90">
        <f ca="1"/>
        <v>171</v>
      </c>
      <c r="T265" s="139">
        <f ca="1"/>
        <v>0.95</v>
      </c>
      <c r="U265" s="131">
        <f ca="1"/>
        <v>4212</v>
      </c>
      <c r="V265" s="120">
        <f ca="1"/>
        <v>1053</v>
      </c>
      <c r="W265" s="140">
        <f ca="1"/>
        <v>1</v>
      </c>
      <c r="X265" s="139">
        <f ca="1"/>
        <v>0.99444444444444446</v>
      </c>
      <c r="Y265" s="141">
        <f ca="1"/>
        <v>0.69541500000000001</v>
      </c>
      <c r="Z265" s="141">
        <f ca="1"/>
        <v>0.69541500000000001</v>
      </c>
      <c r="AA265" s="142">
        <f ca="1"/>
        <v>732.27199500000006</v>
      </c>
      <c r="AB265" s="138">
        <f ca="1"/>
        <v>7</v>
      </c>
      <c r="AC265" s="103" t="str">
        <f ca="1"/>
        <v>VIGENTE</v>
      </c>
      <c r="AD265" s="150">
        <f ca="1"/>
        <v>1.0529999999999999</v>
      </c>
    </row>
    <row r="266" spans="1:30">
      <c r="A266" s="111" t="str">
        <f ca="1"/>
        <v>SAN GABRIEL</v>
      </c>
      <c r="B266" s="111" t="str">
        <f ca="1"/>
        <v>POSTRES</v>
      </c>
      <c r="C266" s="111" t="str">
        <f ca="1"/>
        <v xml:space="preserve">Luis Armendariz                         </v>
      </c>
      <c r="D266" s="111" t="str">
        <f ca="1"/>
        <v>AREQUIPE ALPINA</v>
      </c>
      <c r="E266" s="111" t="str">
        <f ca="1"/>
        <v>AREQUIPE ALPINA</v>
      </c>
      <c r="F266" s="120" t="str">
        <f ca="1"/>
        <v>GUAYAQUIL</v>
      </c>
      <c r="G266" s="120">
        <f ca="1"/>
        <v>7711</v>
      </c>
      <c r="H266" s="120">
        <f ca="1"/>
        <v>1001</v>
      </c>
      <c r="I266" s="120" t="str">
        <f ca="1"/>
        <v>8260</v>
      </c>
      <c r="J266" s="120" t="str">
        <f ca="1"/>
        <v>AREQUIPE VASO 250G ECU</v>
      </c>
      <c r="K266" s="121">
        <f ca="1"/>
        <v>0</v>
      </c>
      <c r="L266" s="122">
        <f ca="1"/>
        <v>1</v>
      </c>
      <c r="M266" s="120">
        <f ca="1"/>
        <v>0.25</v>
      </c>
      <c r="N266" s="121">
        <f ca="1"/>
        <v>180</v>
      </c>
      <c r="O266" s="123">
        <f ca="1"/>
        <v>45580</v>
      </c>
      <c r="P266" s="123" t="str">
        <f ca="1"/>
        <v>martes</v>
      </c>
      <c r="Q266" s="124">
        <f ca="1"/>
        <v>45580</v>
      </c>
      <c r="R266" s="124">
        <f ca="1"/>
        <v>45759</v>
      </c>
      <c r="S266" s="90">
        <f ca="1"/>
        <v>135</v>
      </c>
      <c r="T266" s="139">
        <f ca="1"/>
        <v>0.75</v>
      </c>
      <c r="U266" s="131">
        <f ca="1"/>
        <v>7</v>
      </c>
      <c r="V266" s="120">
        <f ca="1"/>
        <v>1.75</v>
      </c>
      <c r="W266" s="140">
        <f ca="1"/>
        <v>0</v>
      </c>
      <c r="X266" s="139">
        <f ca="1"/>
        <v>1</v>
      </c>
      <c r="Y266" s="141">
        <f ca="1"/>
        <v>0.78529499999999997</v>
      </c>
      <c r="Z266" s="141">
        <f ca="1"/>
        <v>0.78529499999999997</v>
      </c>
      <c r="AA266" s="142">
        <f ca="1"/>
        <v>1.37426625</v>
      </c>
      <c r="AB266" s="138">
        <f ca="1"/>
        <v>44</v>
      </c>
      <c r="AC266" s="103" t="str">
        <f ca="1"/>
        <v>VIGENTE</v>
      </c>
      <c r="AD266" s="150">
        <f ca="1"/>
        <v>1.75E-3</v>
      </c>
    </row>
    <row r="267" spans="1:30">
      <c r="A267" s="111" t="str">
        <f ca="1"/>
        <v>SAN GABRIEL</v>
      </c>
      <c r="B267" s="111" t="str">
        <f ca="1"/>
        <v>POSTRES</v>
      </c>
      <c r="C267" s="111" t="str">
        <f ca="1"/>
        <v xml:space="preserve">Luis Armendariz                         </v>
      </c>
      <c r="D267" s="111" t="str">
        <f ca="1"/>
        <v>AREQUIPE ALPINA</v>
      </c>
      <c r="E267" s="111" t="str">
        <f ca="1"/>
        <v>AREQUIPE ALPINA</v>
      </c>
      <c r="F267" s="120" t="str">
        <f ca="1"/>
        <v>GUAYAQUIL</v>
      </c>
      <c r="G267" s="120">
        <f ca="1"/>
        <v>7711</v>
      </c>
      <c r="H267" s="120">
        <f ca="1"/>
        <v>1001</v>
      </c>
      <c r="I267" s="120" t="str">
        <f ca="1"/>
        <v>8260</v>
      </c>
      <c r="J267" s="120" t="str">
        <f ca="1"/>
        <v>AREQUIPE VASO 250G ECU</v>
      </c>
      <c r="K267" s="121">
        <f ca="1"/>
        <v>324</v>
      </c>
      <c r="L267" s="122">
        <f ca="1"/>
        <v>1</v>
      </c>
      <c r="M267" s="120">
        <f ca="1"/>
        <v>0.25</v>
      </c>
      <c r="N267" s="121">
        <f ca="1"/>
        <v>180</v>
      </c>
      <c r="O267" s="123">
        <f ca="1"/>
        <v>45589</v>
      </c>
      <c r="P267" s="123" t="str">
        <f ca="1"/>
        <v>jueves</v>
      </c>
      <c r="Q267" s="124">
        <f ca="1"/>
        <v>45583</v>
      </c>
      <c r="R267" s="124">
        <f ca="1"/>
        <v>45762</v>
      </c>
      <c r="S267" s="90">
        <f ca="1"/>
        <v>138</v>
      </c>
      <c r="T267" s="139">
        <f ca="1"/>
        <v>0.76666666666666672</v>
      </c>
      <c r="U267" s="131">
        <f ca="1"/>
        <v>146</v>
      </c>
      <c r="V267" s="120">
        <f ca="1"/>
        <v>36.5</v>
      </c>
      <c r="W267" s="140">
        <f ca="1"/>
        <v>6</v>
      </c>
      <c r="X267" s="139">
        <f ca="1"/>
        <v>0.96666666666666667</v>
      </c>
      <c r="Y267" s="141">
        <f ca="1"/>
        <v>0.78529499999999997</v>
      </c>
      <c r="Z267" s="141">
        <f ca="1"/>
        <v>0.78529499999999997</v>
      </c>
      <c r="AA267" s="142">
        <f ca="1"/>
        <v>28.6632675</v>
      </c>
      <c r="AB267" s="138">
        <f ca="1"/>
        <v>35</v>
      </c>
      <c r="AC267" s="103" t="str">
        <f ca="1"/>
        <v>VIGENTE</v>
      </c>
      <c r="AD267" s="150">
        <f ca="1"/>
        <v>3.6499999999999998E-2</v>
      </c>
    </row>
    <row r="268" spans="1:30">
      <c r="A268" s="111" t="str">
        <f ca="1"/>
        <v>SAN GABRIEL</v>
      </c>
      <c r="B268" s="111" t="str">
        <f ca="1"/>
        <v>POSTRES</v>
      </c>
      <c r="C268" s="111" t="str">
        <f ca="1"/>
        <v xml:space="preserve">Luis Armendariz                         </v>
      </c>
      <c r="D268" s="111" t="str">
        <f ca="1"/>
        <v>AREQUIPE ALPINA</v>
      </c>
      <c r="E268" s="111" t="str">
        <f ca="1"/>
        <v>AREQUIPE ALPINA</v>
      </c>
      <c r="F268" s="120" t="str">
        <f ca="1"/>
        <v>GUAYAQUIL</v>
      </c>
      <c r="G268" s="120">
        <f ca="1"/>
        <v>7711</v>
      </c>
      <c r="H268" s="120">
        <f ca="1"/>
        <v>1001</v>
      </c>
      <c r="I268" s="120" t="str">
        <f ca="1"/>
        <v>8260</v>
      </c>
      <c r="J268" s="120" t="str">
        <f ca="1"/>
        <v>AREQUIPE VASO 250G ECU</v>
      </c>
      <c r="K268" s="121">
        <f ca="1"/>
        <v>972</v>
      </c>
      <c r="L268" s="122">
        <f ca="1"/>
        <v>1</v>
      </c>
      <c r="M268" s="120">
        <f ca="1"/>
        <v>0.25</v>
      </c>
      <c r="N268" s="121">
        <f ca="1"/>
        <v>180</v>
      </c>
      <c r="O268" s="123">
        <f ca="1"/>
        <v>45591</v>
      </c>
      <c r="P268" s="123" t="str">
        <f ca="1"/>
        <v>sábado</v>
      </c>
      <c r="Q268" s="124">
        <f ca="1"/>
        <v>45588</v>
      </c>
      <c r="R268" s="124">
        <f ca="1"/>
        <v>45767</v>
      </c>
      <c r="S268" s="90">
        <f ca="1"/>
        <v>143</v>
      </c>
      <c r="T268" s="139">
        <f ca="1"/>
        <v>0.7944444444444444</v>
      </c>
      <c r="U268" s="131">
        <f ca="1"/>
        <v>3</v>
      </c>
      <c r="V268" s="120">
        <f ca="1"/>
        <v>0.75</v>
      </c>
      <c r="W268" s="140">
        <f ca="1"/>
        <v>3</v>
      </c>
      <c r="X268" s="139">
        <f ca="1"/>
        <v>0.98333333333333328</v>
      </c>
      <c r="Y268" s="141">
        <f ca="1"/>
        <v>0.78529499999999997</v>
      </c>
      <c r="Z268" s="141">
        <f ca="1"/>
        <v>0.78529499999999997</v>
      </c>
      <c r="AA268" s="142">
        <f ca="1"/>
        <v>0.58897124999999995</v>
      </c>
      <c r="AB268" s="138">
        <f ca="1"/>
        <v>33</v>
      </c>
      <c r="AC268" s="103" t="str">
        <f ca="1"/>
        <v>VIGENTE</v>
      </c>
      <c r="AD268" s="150">
        <f ca="1"/>
        <v>7.5000000000000002E-4</v>
      </c>
    </row>
    <row r="269" spans="1:30">
      <c r="A269" s="111" t="str">
        <f ca="1"/>
        <v>SAN GABRIEL</v>
      </c>
      <c r="B269" s="111" t="str">
        <f ca="1"/>
        <v>POSTRES</v>
      </c>
      <c r="C269" s="111" t="str">
        <f ca="1"/>
        <v xml:space="preserve">Luis Armendariz                         </v>
      </c>
      <c r="D269" s="111" t="str">
        <f ca="1"/>
        <v>AREQUIPE ALPINA</v>
      </c>
      <c r="E269" s="111" t="str">
        <f ca="1"/>
        <v>AREQUIPE ALPINA</v>
      </c>
      <c r="F269" s="120" t="str">
        <f ca="1"/>
        <v>GUAYAQUIL</v>
      </c>
      <c r="G269" s="120">
        <f ca="1"/>
        <v>7711</v>
      </c>
      <c r="H269" s="120">
        <f ca="1"/>
        <v>1001</v>
      </c>
      <c r="I269" s="120" t="str">
        <f ca="1"/>
        <v>8260</v>
      </c>
      <c r="J269" s="120" t="str">
        <f ca="1"/>
        <v>AREQUIPE VASO 250G ECU</v>
      </c>
      <c r="K269" s="121">
        <f ca="1"/>
        <v>1512</v>
      </c>
      <c r="L269" s="122">
        <f ca="1"/>
        <v>1</v>
      </c>
      <c r="M269" s="120">
        <f ca="1"/>
        <v>0.25</v>
      </c>
      <c r="N269" s="121">
        <f ca="1"/>
        <v>180</v>
      </c>
      <c r="O269" s="123">
        <f ca="1"/>
        <v>45602</v>
      </c>
      <c r="P269" s="123" t="str">
        <f ca="1"/>
        <v>miércoles</v>
      </c>
      <c r="Q269" s="124">
        <f ca="1"/>
        <v>45577</v>
      </c>
      <c r="R269" s="124">
        <f ca="1"/>
        <v>45756</v>
      </c>
      <c r="S269" s="90">
        <f ca="1"/>
        <v>132</v>
      </c>
      <c r="T269" s="139">
        <f ca="1"/>
        <v>0.73333333333333328</v>
      </c>
      <c r="U269" s="131">
        <f ca="1"/>
        <v>4</v>
      </c>
      <c r="V269" s="120">
        <f ca="1"/>
        <v>1</v>
      </c>
      <c r="W269" s="140">
        <f ca="1"/>
        <v>25</v>
      </c>
      <c r="X269" s="139">
        <f ca="1"/>
        <v>0.86111111111111116</v>
      </c>
      <c r="Y269" s="141">
        <f ca="1"/>
        <v>0.78529499999999997</v>
      </c>
      <c r="Z269" s="141">
        <f ca="1"/>
        <v>0.78529499999999997</v>
      </c>
      <c r="AA269" s="142">
        <f ca="1"/>
        <v>0.78529499999999997</v>
      </c>
      <c r="AB269" s="138">
        <f ca="1"/>
        <v>22</v>
      </c>
      <c r="AC269" s="103" t="str">
        <f ca="1"/>
        <v>VIGENTE</v>
      </c>
      <c r="AD269" s="150">
        <f ca="1"/>
        <v>1E-3</v>
      </c>
    </row>
    <row r="270" spans="1:30">
      <c r="A270" s="111" t="str">
        <f ca="1"/>
        <v>SAN GABRIEL</v>
      </c>
      <c r="B270" s="111" t="str">
        <f ca="1"/>
        <v>POSTRES</v>
      </c>
      <c r="C270" s="111" t="str">
        <f ca="1"/>
        <v xml:space="preserve">Luis Armendariz                         </v>
      </c>
      <c r="D270" s="111" t="str">
        <f ca="1"/>
        <v>AREQUIPE ALPINA</v>
      </c>
      <c r="E270" s="111" t="str">
        <f ca="1"/>
        <v>AREQUIPE ALPINA</v>
      </c>
      <c r="F270" s="120" t="str">
        <f ca="1"/>
        <v>GUAYAQUIL</v>
      </c>
      <c r="G270" s="120">
        <f ca="1"/>
        <v>7711</v>
      </c>
      <c r="H270" s="120">
        <f ca="1"/>
        <v>1001</v>
      </c>
      <c r="I270" s="120" t="str">
        <f ca="1"/>
        <v>8260</v>
      </c>
      <c r="J270" s="120" t="str">
        <f ca="1"/>
        <v>AREQUIPE VASO 250G ECU</v>
      </c>
      <c r="K270" s="121">
        <f ca="1"/>
        <v>1026</v>
      </c>
      <c r="L270" s="122">
        <f ca="1"/>
        <v>1</v>
      </c>
      <c r="M270" s="120">
        <f ca="1"/>
        <v>0.25</v>
      </c>
      <c r="N270" s="121">
        <f ca="1"/>
        <v>180</v>
      </c>
      <c r="O270" s="123">
        <f ca="1"/>
        <v>45611</v>
      </c>
      <c r="P270" s="123" t="str">
        <f ca="1"/>
        <v>viernes</v>
      </c>
      <c r="Q270" s="124">
        <f ca="1"/>
        <v>45609</v>
      </c>
      <c r="R270" s="124">
        <f ca="1"/>
        <v>45788</v>
      </c>
      <c r="S270" s="90">
        <f ca="1"/>
        <v>164</v>
      </c>
      <c r="T270" s="139">
        <f ca="1"/>
        <v>0.91111111111111109</v>
      </c>
      <c r="U270" s="131">
        <f ca="1"/>
        <v>1026</v>
      </c>
      <c r="V270" s="120">
        <f ca="1"/>
        <v>256.5</v>
      </c>
      <c r="W270" s="140">
        <f ca="1"/>
        <v>2</v>
      </c>
      <c r="X270" s="139">
        <f ca="1"/>
        <v>0.98888888888888893</v>
      </c>
      <c r="Y270" s="141">
        <f ca="1"/>
        <v>0.78529499999999997</v>
      </c>
      <c r="Z270" s="141">
        <f ca="1"/>
        <v>0.78529499999999997</v>
      </c>
      <c r="AA270" s="142">
        <f ca="1"/>
        <v>201.4281675</v>
      </c>
      <c r="AB270" s="138">
        <f ca="1"/>
        <v>13</v>
      </c>
      <c r="AC270" s="103" t="str">
        <f ca="1"/>
        <v>VIGENTE</v>
      </c>
      <c r="AD270" s="150">
        <f ca="1"/>
        <v>0.25650000000000001</v>
      </c>
    </row>
    <row r="271" spans="1:30">
      <c r="A271" s="111" t="str">
        <f ca="1"/>
        <v>SAN GABRIEL</v>
      </c>
      <c r="B271" s="111" t="str">
        <f ca="1"/>
        <v>POSTRES</v>
      </c>
      <c r="C271" s="111" t="str">
        <f ca="1"/>
        <v xml:space="preserve">Luis Armendariz                         </v>
      </c>
      <c r="D271" s="111" t="str">
        <f ca="1"/>
        <v>AREQUIPE ALPINA</v>
      </c>
      <c r="E271" s="111" t="str">
        <f ca="1"/>
        <v>AREQUIPE ALPINA</v>
      </c>
      <c r="F271" s="120" t="str">
        <f ca="1"/>
        <v>GUAYAQUIL</v>
      </c>
      <c r="G271" s="120">
        <f ca="1"/>
        <v>7711</v>
      </c>
      <c r="H271" s="120">
        <f ca="1"/>
        <v>1001</v>
      </c>
      <c r="I271" s="120" t="str">
        <f ca="1"/>
        <v>8260</v>
      </c>
      <c r="J271" s="120" t="str">
        <f ca="1"/>
        <v>AREQUIPE VASO 250G ECU</v>
      </c>
      <c r="K271" s="121">
        <f ca="1"/>
        <v>702</v>
      </c>
      <c r="L271" s="122">
        <f ca="1"/>
        <v>1</v>
      </c>
      <c r="M271" s="120">
        <f ca="1"/>
        <v>0.25</v>
      </c>
      <c r="N271" s="121">
        <f ca="1"/>
        <v>180</v>
      </c>
      <c r="O271" s="123">
        <f ca="1"/>
        <v>45610</v>
      </c>
      <c r="P271" s="123" t="str">
        <f ca="1"/>
        <v>jueves</v>
      </c>
      <c r="Q271" s="124">
        <f ca="1"/>
        <v>45609</v>
      </c>
      <c r="R271" s="124">
        <f ca="1"/>
        <v>45788</v>
      </c>
      <c r="S271" s="90">
        <f ca="1"/>
        <v>164</v>
      </c>
      <c r="T271" s="139">
        <f ca="1"/>
        <v>0.91111111111111109</v>
      </c>
      <c r="U271" s="131">
        <f ca="1"/>
        <v>702</v>
      </c>
      <c r="V271" s="120">
        <f ca="1"/>
        <v>175.5</v>
      </c>
      <c r="W271" s="140">
        <f ca="1"/>
        <v>1</v>
      </c>
      <c r="X271" s="139">
        <f ca="1"/>
        <v>0.99444444444444446</v>
      </c>
      <c r="Y271" s="141">
        <f ca="1"/>
        <v>0.78529499999999997</v>
      </c>
      <c r="Z271" s="141">
        <f ca="1"/>
        <v>0.78529499999999997</v>
      </c>
      <c r="AA271" s="142">
        <f ca="1"/>
        <v>137.81927249999998</v>
      </c>
      <c r="AB271" s="138">
        <f ca="1"/>
        <v>14</v>
      </c>
      <c r="AC271" s="103" t="str">
        <f ca="1"/>
        <v>VIGENTE</v>
      </c>
      <c r="AD271" s="150">
        <f ca="1"/>
        <v>0.17549999999999999</v>
      </c>
    </row>
    <row r="272" spans="1:30">
      <c r="A272" s="111" t="str">
        <f ca="1"/>
        <v>SAN GABRIEL</v>
      </c>
      <c r="B272" s="111" t="str">
        <f ca="1"/>
        <v>POSTRES</v>
      </c>
      <c r="C272" s="111" t="str">
        <f ca="1"/>
        <v xml:space="preserve">Luis Armendariz                         </v>
      </c>
      <c r="D272" s="111" t="str">
        <f ca="1"/>
        <v>AREQUIPE ALPINA</v>
      </c>
      <c r="E272" s="111" t="str">
        <f ca="1"/>
        <v>AREQUIPE ALPINA</v>
      </c>
      <c r="F272" s="120" t="str">
        <f ca="1"/>
        <v>GUAYAQUIL</v>
      </c>
      <c r="G272" s="120">
        <f ca="1"/>
        <v>7711</v>
      </c>
      <c r="H272" s="120">
        <f ca="1"/>
        <v>1001</v>
      </c>
      <c r="I272" s="120" t="str">
        <f ca="1"/>
        <v>8260</v>
      </c>
      <c r="J272" s="120" t="str">
        <f ca="1"/>
        <v>AREQUIPE VASO 250G ECU</v>
      </c>
      <c r="K272" s="121">
        <f ca="1"/>
        <v>324</v>
      </c>
      <c r="L272" s="122">
        <f ca="1"/>
        <v>1</v>
      </c>
      <c r="M272" s="120">
        <f ca="1"/>
        <v>0.25</v>
      </c>
      <c r="N272" s="121">
        <f ca="1"/>
        <v>180</v>
      </c>
      <c r="O272" s="123">
        <f ca="1"/>
        <v>45616</v>
      </c>
      <c r="P272" s="123" t="str">
        <f ca="1"/>
        <v>miércoles</v>
      </c>
      <c r="Q272" s="124">
        <f ca="1"/>
        <v>45609</v>
      </c>
      <c r="R272" s="124">
        <f ca="1"/>
        <v>45788</v>
      </c>
      <c r="S272" s="90">
        <f ca="1"/>
        <v>164</v>
      </c>
      <c r="T272" s="139">
        <f ca="1"/>
        <v>0.91111111111111109</v>
      </c>
      <c r="U272" s="131">
        <f ca="1"/>
        <v>324</v>
      </c>
      <c r="V272" s="120">
        <f ca="1"/>
        <v>81</v>
      </c>
      <c r="W272" s="140">
        <f ca="1"/>
        <v>7</v>
      </c>
      <c r="X272" s="139">
        <f ca="1"/>
        <v>0.96111111111111114</v>
      </c>
      <c r="Y272" s="141">
        <f ca="1"/>
        <v>0.78529499999999997</v>
      </c>
      <c r="Z272" s="141">
        <f ca="1"/>
        <v>0.78529499999999997</v>
      </c>
      <c r="AA272" s="142">
        <f ca="1"/>
        <v>63.608894999999997</v>
      </c>
      <c r="AB272" s="138">
        <f ca="1"/>
        <v>8</v>
      </c>
      <c r="AC272" s="103" t="str">
        <f ca="1"/>
        <v>VIGENTE</v>
      </c>
      <c r="AD272" s="150">
        <f ca="1"/>
        <v>8.1000000000000003E-2</v>
      </c>
    </row>
    <row r="273" spans="1:30">
      <c r="A273" s="111" t="str">
        <f ca="1"/>
        <v>SAN GABRIEL</v>
      </c>
      <c r="B273" s="111" t="str">
        <f ca="1"/>
        <v>POSTRES</v>
      </c>
      <c r="C273" s="111" t="str">
        <f ca="1"/>
        <v xml:space="preserve">Luis Armendariz                         </v>
      </c>
      <c r="D273" s="111" t="str">
        <f ca="1"/>
        <v>AREQUIPE ALPINA</v>
      </c>
      <c r="E273" s="111" t="str">
        <f ca="1"/>
        <v>AREQUIPE ALPINA</v>
      </c>
      <c r="F273" s="120" t="str">
        <f ca="1"/>
        <v>GUAYAQUIL</v>
      </c>
      <c r="G273" s="120">
        <f ca="1"/>
        <v>7711</v>
      </c>
      <c r="H273" s="120">
        <f ca="1"/>
        <v>1001</v>
      </c>
      <c r="I273" s="120" t="str">
        <f ca="1"/>
        <v>8260</v>
      </c>
      <c r="J273" s="120" t="str">
        <f ca="1"/>
        <v>AREQUIPE VASO 250G ECU</v>
      </c>
      <c r="K273" s="121">
        <f ca="1"/>
        <v>1350</v>
      </c>
      <c r="L273" s="122">
        <f ca="1"/>
        <v>1</v>
      </c>
      <c r="M273" s="120">
        <f ca="1"/>
        <v>0.25</v>
      </c>
      <c r="N273" s="121">
        <f ca="1"/>
        <v>180</v>
      </c>
      <c r="O273" s="123">
        <f ca="1"/>
        <v>45617</v>
      </c>
      <c r="P273" s="123" t="str">
        <f ca="1"/>
        <v>jueves</v>
      </c>
      <c r="Q273" s="124">
        <f ca="1"/>
        <v>45615</v>
      </c>
      <c r="R273" s="124">
        <f ca="1"/>
        <v>45794</v>
      </c>
      <c r="S273" s="90">
        <f ca="1"/>
        <v>170</v>
      </c>
      <c r="T273" s="139">
        <f ca="1"/>
        <v>0.94444444444444442</v>
      </c>
      <c r="U273" s="131">
        <f ca="1"/>
        <v>1350</v>
      </c>
      <c r="V273" s="120">
        <f ca="1"/>
        <v>337.5</v>
      </c>
      <c r="W273" s="140">
        <f ca="1"/>
        <v>2</v>
      </c>
      <c r="X273" s="139">
        <f ca="1"/>
        <v>0.98888888888888893</v>
      </c>
      <c r="Y273" s="141">
        <f ca="1"/>
        <v>0.78529499999999997</v>
      </c>
      <c r="Z273" s="141">
        <f ca="1"/>
        <v>0.78529499999999997</v>
      </c>
      <c r="AA273" s="142">
        <f ca="1"/>
        <v>265.03706249999999</v>
      </c>
      <c r="AB273" s="138">
        <f ca="1"/>
        <v>7</v>
      </c>
      <c r="AC273" s="103" t="str">
        <f ca="1"/>
        <v>VIGENTE</v>
      </c>
      <c r="AD273" s="150">
        <f ca="1"/>
        <v>0.33750000000000002</v>
      </c>
    </row>
    <row r="274" spans="1:30">
      <c r="A274" s="111" t="str">
        <f ca="1"/>
        <v>MULTIEMPAQUE</v>
      </c>
      <c r="B274" s="111" t="str">
        <f ca="1"/>
        <v>POSTRES</v>
      </c>
      <c r="C274" s="111" t="str">
        <f ca="1"/>
        <v xml:space="preserve">Luis Armendariz                         </v>
      </c>
      <c r="D274" s="111" t="str">
        <f ca="1"/>
        <v>ALPINETTE</v>
      </c>
      <c r="E274" s="111" t="str">
        <f ca="1"/>
        <v>ALPINETTE</v>
      </c>
      <c r="F274" s="120" t="str">
        <f ca="1"/>
        <v>GUAYAQUIL</v>
      </c>
      <c r="G274" s="120">
        <f ca="1"/>
        <v>7711</v>
      </c>
      <c r="H274" s="120">
        <f ca="1"/>
        <v>1001</v>
      </c>
      <c r="I274" s="120" t="str">
        <f ca="1"/>
        <v>14164</v>
      </c>
      <c r="J274" s="120" t="str">
        <f ca="1"/>
        <v>MPLX4 ALPINETTE MOR 140G</v>
      </c>
      <c r="K274" s="121">
        <f ca="1"/>
        <v>6</v>
      </c>
      <c r="L274" s="122">
        <f ca="1"/>
        <v>1</v>
      </c>
      <c r="M274" s="120">
        <f ca="1"/>
        <v>0.56000000000000005</v>
      </c>
      <c r="N274" s="121">
        <f ca="1"/>
        <v>60</v>
      </c>
      <c r="O274" s="123">
        <f ca="1"/>
        <v>45595</v>
      </c>
      <c r="P274" s="123" t="str">
        <f ca="1"/>
        <v>miércoles</v>
      </c>
      <c r="Q274" s="124">
        <f ca="1"/>
        <v>45573</v>
      </c>
      <c r="R274" s="124">
        <f ca="1"/>
        <v>45632</v>
      </c>
      <c r="S274" s="90">
        <f ca="1"/>
        <v>8</v>
      </c>
      <c r="T274" s="139">
        <f ca="1"/>
        <v>0.13333333333333333</v>
      </c>
      <c r="U274" s="131">
        <f ca="1"/>
        <v>5</v>
      </c>
      <c r="V274" s="120">
        <f ca="1"/>
        <v>2.8000000000000003</v>
      </c>
      <c r="W274" s="140">
        <f ca="1"/>
        <v>22</v>
      </c>
      <c r="X274" s="139">
        <f ca="1"/>
        <v>0.6333333333333333</v>
      </c>
      <c r="Y274" s="141">
        <f ca="1"/>
        <v>1.9986900000000001</v>
      </c>
      <c r="Z274" s="141">
        <f ca="1"/>
        <v>1.9986900000000001</v>
      </c>
      <c r="AA274" s="142">
        <f ca="1"/>
        <v>5.5963320000000003</v>
      </c>
      <c r="AB274" s="138">
        <f ca="1"/>
        <v>29</v>
      </c>
      <c r="AC274" s="103" t="str">
        <f ca="1"/>
        <v>FECHA CORTA</v>
      </c>
      <c r="AD274" s="150">
        <f ca="1"/>
        <v>2.8000000000000004E-3</v>
      </c>
    </row>
    <row r="275" spans="1:30">
      <c r="A275" s="111" t="str">
        <f ca="1"/>
        <v>MULTIEMPAQUE</v>
      </c>
      <c r="B275" s="111" t="str">
        <f ca="1"/>
        <v>POSTRES</v>
      </c>
      <c r="C275" s="111" t="str">
        <f ca="1"/>
        <v xml:space="preserve">Luis Armendariz                         </v>
      </c>
      <c r="D275" s="111" t="str">
        <f ca="1"/>
        <v>ALPINETTE</v>
      </c>
      <c r="E275" s="111" t="str">
        <f ca="1"/>
        <v>ALPINETTE</v>
      </c>
      <c r="F275" s="120" t="str">
        <f ca="1"/>
        <v>GUAYAQUIL</v>
      </c>
      <c r="G275" s="120">
        <f ca="1"/>
        <v>7711</v>
      </c>
      <c r="H275" s="120">
        <f ca="1"/>
        <v>1001</v>
      </c>
      <c r="I275" s="120" t="str">
        <f ca="1"/>
        <v>14164</v>
      </c>
      <c r="J275" s="120" t="str">
        <f ca="1"/>
        <v>MPLX4 ALPINETTE MOR 140G</v>
      </c>
      <c r="K275" s="121">
        <f ca="1"/>
        <v>36</v>
      </c>
      <c r="L275" s="122">
        <f ca="1"/>
        <v>1</v>
      </c>
      <c r="M275" s="120">
        <f ca="1"/>
        <v>0.56000000000000005</v>
      </c>
      <c r="N275" s="121">
        <f ca="1"/>
        <v>60</v>
      </c>
      <c r="O275" s="123">
        <f ca="1"/>
        <v>45597</v>
      </c>
      <c r="P275" s="123" t="str">
        <f ca="1"/>
        <v>viernes</v>
      </c>
      <c r="Q275" s="124">
        <f ca="1"/>
        <v>45573</v>
      </c>
      <c r="R275" s="124">
        <f ca="1"/>
        <v>45632</v>
      </c>
      <c r="S275" s="90">
        <f ca="1"/>
        <v>8</v>
      </c>
      <c r="T275" s="139">
        <f ca="1"/>
        <v>0.13333333333333333</v>
      </c>
      <c r="U275" s="131">
        <f ca="1"/>
        <v>36</v>
      </c>
      <c r="V275" s="120">
        <f ca="1"/>
        <v>20.160000000000004</v>
      </c>
      <c r="W275" s="140">
        <f ca="1"/>
        <v>24</v>
      </c>
      <c r="X275" s="139">
        <f ca="1"/>
        <v>0.6</v>
      </c>
      <c r="Y275" s="141">
        <f ca="1"/>
        <v>1.9986900000000001</v>
      </c>
      <c r="Z275" s="141">
        <f ca="1"/>
        <v>1.9986900000000001</v>
      </c>
      <c r="AA275" s="142">
        <f ca="1"/>
        <v>40.293590400000006</v>
      </c>
      <c r="AB275" s="138">
        <f ca="1"/>
        <v>27</v>
      </c>
      <c r="AC275" s="103" t="str">
        <f ca="1"/>
        <v>FECHA CORTA</v>
      </c>
      <c r="AD275" s="150">
        <f ca="1"/>
        <v>2.0160000000000004E-2</v>
      </c>
    </row>
    <row r="276" spans="1:30">
      <c r="A276" s="111" t="str">
        <f ca="1"/>
        <v>SAN GABRIEL</v>
      </c>
      <c r="B276" s="111" t="str">
        <f ca="1"/>
        <v>QUESOS Y GRASAS</v>
      </c>
      <c r="C276" s="111" t="str">
        <f ca="1"/>
        <v xml:space="preserve">Esteban Montenegro                      </v>
      </c>
      <c r="D276" s="111" t="str">
        <f ca="1"/>
        <v>QUESO SEMIMADURO KIOSKO</v>
      </c>
      <c r="E276" s="111" t="str">
        <f ca="1"/>
        <v>QUESO GOUDA KIOSKO TAJADO</v>
      </c>
      <c r="F276" s="120" t="str">
        <f ca="1"/>
        <v>GUAYAQUIL</v>
      </c>
      <c r="G276" s="120">
        <f ca="1"/>
        <v>7711</v>
      </c>
      <c r="H276" s="120">
        <f ca="1"/>
        <v>1001</v>
      </c>
      <c r="I276" s="120" t="str">
        <f ca="1"/>
        <v>16230</v>
      </c>
      <c r="J276" s="120" t="str">
        <f ca="1"/>
        <v>Q GOUDA KIOSKO LONJ 200G</v>
      </c>
      <c r="K276" s="121">
        <f ca="1"/>
        <v>120</v>
      </c>
      <c r="L276" s="122">
        <f ca="1"/>
        <v>1</v>
      </c>
      <c r="M276" s="120">
        <f ca="1"/>
        <v>0.2</v>
      </c>
      <c r="N276" s="121">
        <f ca="1"/>
        <v>60</v>
      </c>
      <c r="O276" s="123">
        <f ca="1"/>
        <v>45597</v>
      </c>
      <c r="P276" s="123" t="str">
        <f ca="1"/>
        <v>viernes</v>
      </c>
      <c r="Q276" s="124">
        <f ca="1"/>
        <v>45589</v>
      </c>
      <c r="R276" s="124">
        <f ca="1"/>
        <v>45648</v>
      </c>
      <c r="S276" s="90">
        <f ca="1"/>
        <v>24</v>
      </c>
      <c r="T276" s="139">
        <f ca="1"/>
        <v>0.4</v>
      </c>
      <c r="U276" s="131">
        <f ca="1"/>
        <v>60</v>
      </c>
      <c r="V276" s="120">
        <f ca="1"/>
        <v>12</v>
      </c>
      <c r="W276" s="140">
        <f ca="1"/>
        <v>8</v>
      </c>
      <c r="X276" s="139">
        <f ca="1"/>
        <v>0.8666666666666667</v>
      </c>
      <c r="Y276" s="141">
        <f ca="1"/>
        <v>1.5206200000000001</v>
      </c>
      <c r="Z276" s="141">
        <f ca="1"/>
        <v>1.5206200000000001</v>
      </c>
      <c r="AA276" s="142">
        <f ca="1"/>
        <v>18.247440000000001</v>
      </c>
      <c r="AB276" s="138">
        <f ca="1"/>
        <v>27</v>
      </c>
      <c r="AC276" s="103" t="str">
        <f ca="1"/>
        <v>PROXIMOS FECHA CORTA</v>
      </c>
      <c r="AD276" s="150">
        <f ca="1"/>
        <v>1.2E-2</v>
      </c>
    </row>
    <row r="277" spans="1:30">
      <c r="A277" s="111" t="str">
        <f ca="1"/>
        <v>SAN GABRIEL</v>
      </c>
      <c r="B277" s="111" t="str">
        <f ca="1"/>
        <v>QUESOS Y GRASAS</v>
      </c>
      <c r="C277" s="111" t="str">
        <f ca="1"/>
        <v xml:space="preserve">Esteban Montenegro                      </v>
      </c>
      <c r="D277" s="111" t="str">
        <f ca="1"/>
        <v>QUESO SEMIMADURO KIOSKO</v>
      </c>
      <c r="E277" s="111" t="str">
        <f ca="1"/>
        <v>QUESO GOUDA KIOSKO TAJADO</v>
      </c>
      <c r="F277" s="120" t="str">
        <f ca="1"/>
        <v>GUAYAQUIL</v>
      </c>
      <c r="G277" s="120">
        <f ca="1"/>
        <v>7711</v>
      </c>
      <c r="H277" s="120">
        <f ca="1"/>
        <v>1001</v>
      </c>
      <c r="I277" s="120" t="str">
        <f ca="1"/>
        <v>16230</v>
      </c>
      <c r="J277" s="120" t="str">
        <f ca="1"/>
        <v>Q GOUDA KIOSKO LONJ 200G</v>
      </c>
      <c r="K277" s="121">
        <f ca="1"/>
        <v>104</v>
      </c>
      <c r="L277" s="122">
        <f ca="1"/>
        <v>1</v>
      </c>
      <c r="M277" s="120">
        <f ca="1"/>
        <v>0.2</v>
      </c>
      <c r="N277" s="121">
        <f ca="1"/>
        <v>60</v>
      </c>
      <c r="O277" s="123">
        <f ca="1"/>
        <v>45611</v>
      </c>
      <c r="P277" s="123" t="str">
        <f ca="1"/>
        <v>viernes</v>
      </c>
      <c r="Q277" s="124">
        <f ca="1"/>
        <v>45604</v>
      </c>
      <c r="R277" s="124">
        <f ca="1"/>
        <v>45663</v>
      </c>
      <c r="S277" s="90">
        <f ca="1"/>
        <v>39</v>
      </c>
      <c r="T277" s="139">
        <f ca="1"/>
        <v>0.65</v>
      </c>
      <c r="U277" s="131">
        <f ca="1"/>
        <v>41</v>
      </c>
      <c r="V277" s="120">
        <f ca="1"/>
        <v>8.2000000000000011</v>
      </c>
      <c r="W277" s="140">
        <f ca="1"/>
        <v>7</v>
      </c>
      <c r="X277" s="139">
        <f ca="1"/>
        <v>0.8833333333333333</v>
      </c>
      <c r="Y277" s="141">
        <f ca="1"/>
        <v>1.5206200000000001</v>
      </c>
      <c r="Z277" s="141">
        <f ca="1"/>
        <v>1.5206200000000001</v>
      </c>
      <c r="AA277" s="142">
        <f ca="1"/>
        <v>12.469084000000002</v>
      </c>
      <c r="AB277" s="138">
        <f ca="1"/>
        <v>13</v>
      </c>
      <c r="AC277" s="103" t="str">
        <f ca="1"/>
        <v>VIGENTE</v>
      </c>
      <c r="AD277" s="150">
        <f ca="1"/>
        <v>8.2000000000000007E-3</v>
      </c>
    </row>
    <row r="278" spans="1:30">
      <c r="A278" s="111" t="str">
        <f ca="1"/>
        <v>SAN GABRIEL</v>
      </c>
      <c r="B278" s="111" t="str">
        <f ca="1"/>
        <v>QUESOS Y GRASAS</v>
      </c>
      <c r="C278" s="111" t="str">
        <f ca="1"/>
        <v xml:space="preserve">Esteban Montenegro                      </v>
      </c>
      <c r="D278" s="111" t="str">
        <f ca="1"/>
        <v>QUESO SEMIMADURO KIOSKO</v>
      </c>
      <c r="E278" s="111" t="str">
        <f ca="1"/>
        <v>QUESO GOUDA KIOSKO TAJADO</v>
      </c>
      <c r="F278" s="120" t="str">
        <f ca="1"/>
        <v>GUAYAQUIL</v>
      </c>
      <c r="G278" s="120">
        <f ca="1"/>
        <v>7711</v>
      </c>
      <c r="H278" s="120">
        <f ca="1"/>
        <v>1001</v>
      </c>
      <c r="I278" s="120" t="str">
        <f ca="1"/>
        <v>16230</v>
      </c>
      <c r="J278" s="120" t="str">
        <f ca="1"/>
        <v>Q GOUDA KIOSKO LONJ 200G</v>
      </c>
      <c r="K278" s="121">
        <f ca="1"/>
        <v>16</v>
      </c>
      <c r="L278" s="122">
        <f ca="1"/>
        <v>1</v>
      </c>
      <c r="M278" s="120">
        <f ca="1"/>
        <v>0.2</v>
      </c>
      <c r="N278" s="121">
        <f ca="1"/>
        <v>60</v>
      </c>
      <c r="O278" s="123">
        <f ca="1"/>
        <v>45611</v>
      </c>
      <c r="P278" s="123" t="str">
        <f ca="1"/>
        <v>viernes</v>
      </c>
      <c r="Q278" s="124">
        <f ca="1"/>
        <v>45608</v>
      </c>
      <c r="R278" s="124">
        <f ca="1"/>
        <v>45667</v>
      </c>
      <c r="S278" s="90">
        <f ca="1"/>
        <v>43</v>
      </c>
      <c r="T278" s="139">
        <f ca="1"/>
        <v>0.71666666666666667</v>
      </c>
      <c r="U278" s="131">
        <f ca="1"/>
        <v>16</v>
      </c>
      <c r="V278" s="120">
        <f ca="1"/>
        <v>3.2</v>
      </c>
      <c r="W278" s="140">
        <f ca="1"/>
        <v>3</v>
      </c>
      <c r="X278" s="139">
        <f ca="1"/>
        <v>0.95</v>
      </c>
      <c r="Y278" s="141">
        <f ca="1"/>
        <v>1.5206200000000001</v>
      </c>
      <c r="Z278" s="141">
        <f ca="1"/>
        <v>1.5206200000000001</v>
      </c>
      <c r="AA278" s="142">
        <f ca="1"/>
        <v>4.865984000000001</v>
      </c>
      <c r="AB278" s="138">
        <f ca="1"/>
        <v>13</v>
      </c>
      <c r="AC278" s="103" t="str">
        <f ca="1"/>
        <v>VIGENTE</v>
      </c>
      <c r="AD278" s="150">
        <f ca="1"/>
        <v>3.2000000000000002E-3</v>
      </c>
    </row>
    <row r="279" spans="1:30">
      <c r="A279" s="111" t="str">
        <f ca="1"/>
        <v>SAN GABRIEL</v>
      </c>
      <c r="B279" s="111" t="str">
        <f ca="1"/>
        <v>QUESOS Y GRASAS</v>
      </c>
      <c r="C279" s="111" t="str">
        <f ca="1"/>
        <v xml:space="preserve">Esteban Montenegro                      </v>
      </c>
      <c r="D279" s="111" t="str">
        <f ca="1"/>
        <v>QUESO SEMIMADURO KIOSKO</v>
      </c>
      <c r="E279" s="111" t="str">
        <f ca="1"/>
        <v>QUESO GOUDA KIOSKO TAJADO</v>
      </c>
      <c r="F279" s="120" t="str">
        <f ca="1"/>
        <v>GUAYAQUIL</v>
      </c>
      <c r="G279" s="120">
        <f ca="1"/>
        <v>7711</v>
      </c>
      <c r="H279" s="120">
        <f ca="1"/>
        <v>1001</v>
      </c>
      <c r="I279" s="120" t="str">
        <f ca="1"/>
        <v>16230</v>
      </c>
      <c r="J279" s="120" t="str">
        <f ca="1"/>
        <v>Q GOUDA KIOSKO LONJ 200G</v>
      </c>
      <c r="K279" s="121">
        <f ca="1"/>
        <v>120</v>
      </c>
      <c r="L279" s="122">
        <f ca="1"/>
        <v>1</v>
      </c>
      <c r="M279" s="120">
        <f ca="1"/>
        <v>0.2</v>
      </c>
      <c r="N279" s="121">
        <f ca="1"/>
        <v>60</v>
      </c>
      <c r="O279" s="123">
        <f ca="1"/>
        <v>45617</v>
      </c>
      <c r="P279" s="123" t="str">
        <f ca="1"/>
        <v>jueves</v>
      </c>
      <c r="Q279" s="124">
        <f ca="1"/>
        <v>45608</v>
      </c>
      <c r="R279" s="124">
        <f ca="1"/>
        <v>45667</v>
      </c>
      <c r="S279" s="90">
        <f ca="1"/>
        <v>43</v>
      </c>
      <c r="T279" s="139">
        <f ca="1"/>
        <v>0.71666666666666667</v>
      </c>
      <c r="U279" s="131">
        <f ca="1"/>
        <v>120</v>
      </c>
      <c r="V279" s="120">
        <f ca="1"/>
        <v>24</v>
      </c>
      <c r="W279" s="140">
        <f ca="1"/>
        <v>9</v>
      </c>
      <c r="X279" s="139">
        <f ca="1"/>
        <v>0.85</v>
      </c>
      <c r="Y279" s="141">
        <f ca="1"/>
        <v>1.5206200000000001</v>
      </c>
      <c r="Z279" s="141">
        <f ca="1"/>
        <v>1.5206200000000001</v>
      </c>
      <c r="AA279" s="142">
        <f ca="1"/>
        <v>36.494880000000002</v>
      </c>
      <c r="AB279" s="138">
        <f ca="1"/>
        <v>7</v>
      </c>
      <c r="AC279" s="103" t="str">
        <f ca="1"/>
        <v>VIGENTE</v>
      </c>
      <c r="AD279" s="150">
        <f ca="1"/>
        <v>2.4E-2</v>
      </c>
    </row>
    <row r="280" spans="1:30">
      <c r="A280" s="111" t="str">
        <f ca="1"/>
        <v>MACHACHI</v>
      </c>
      <c r="B280" s="111" t="str">
        <f ca="1"/>
        <v>BEBIDAS LACTEAS</v>
      </c>
      <c r="C280" s="111" t="str">
        <f ca="1"/>
        <v xml:space="preserve">Luis Armendariz                         </v>
      </c>
      <c r="D280" s="111" t="str">
        <f ca="1"/>
        <v>BON YURT</v>
      </c>
      <c r="E280" s="111" t="str">
        <f ca="1"/>
        <v>BON YURT REGULAR</v>
      </c>
      <c r="F280" s="120" t="str">
        <f ca="1"/>
        <v>GUAYAQUIL</v>
      </c>
      <c r="G280" s="120">
        <f ca="1"/>
        <v>7711</v>
      </c>
      <c r="H280" s="120">
        <f ca="1"/>
        <v>1001</v>
      </c>
      <c r="I280" s="120" t="str">
        <f ca="1"/>
        <v>11796</v>
      </c>
      <c r="J280" s="120" t="str">
        <f ca="1"/>
        <v>BY AREQ VASO 165G</v>
      </c>
      <c r="K280" s="121">
        <f ca="1"/>
        <v>780</v>
      </c>
      <c r="L280" s="122">
        <f ca="1"/>
        <v>1</v>
      </c>
      <c r="M280" s="120">
        <f ca="1"/>
        <v>0.16500000000000001</v>
      </c>
      <c r="N280" s="121">
        <f ca="1"/>
        <v>45</v>
      </c>
      <c r="O280" s="123">
        <f ca="1"/>
        <v>45601</v>
      </c>
      <c r="P280" s="123" t="str">
        <f ca="1"/>
        <v>martes</v>
      </c>
      <c r="Q280" s="124">
        <f ca="1"/>
        <v>45591</v>
      </c>
      <c r="R280" s="124">
        <f ca="1"/>
        <v>45635</v>
      </c>
      <c r="S280" s="90">
        <f ca="1"/>
        <v>11</v>
      </c>
      <c r="T280" s="139">
        <f ca="1"/>
        <v>0.24444444444444444</v>
      </c>
      <c r="U280" s="131">
        <f ca="1"/>
        <v>142</v>
      </c>
      <c r="V280" s="120">
        <f ca="1"/>
        <v>23.43</v>
      </c>
      <c r="W280" s="140">
        <f ca="1"/>
        <v>10</v>
      </c>
      <c r="X280" s="139">
        <f ca="1"/>
        <v>0.77777777777777779</v>
      </c>
      <c r="Y280" s="141">
        <f ca="1"/>
        <v>0.35961500000000002</v>
      </c>
      <c r="Z280" s="141">
        <f ca="1"/>
        <v>0.35961500000000002</v>
      </c>
      <c r="AA280" s="142">
        <f ca="1"/>
        <v>8.4257794500000003</v>
      </c>
      <c r="AB280" s="138">
        <f ca="1"/>
        <v>23</v>
      </c>
      <c r="AC280" s="103" t="str">
        <f ca="1"/>
        <v>FECHA CORTA</v>
      </c>
      <c r="AD280" s="150">
        <f ca="1"/>
        <v>2.3429999999999999E-2</v>
      </c>
    </row>
    <row r="281" spans="1:30">
      <c r="A281" s="111" t="str">
        <f ca="1"/>
        <v>MACHACHI</v>
      </c>
      <c r="B281" s="111" t="str">
        <f ca="1"/>
        <v>BEBIDAS LACTEAS</v>
      </c>
      <c r="C281" s="111" t="str">
        <f ca="1"/>
        <v xml:space="preserve">Luis Armendariz                         </v>
      </c>
      <c r="D281" s="111" t="str">
        <f ca="1"/>
        <v>BON YURT</v>
      </c>
      <c r="E281" s="111" t="str">
        <f ca="1"/>
        <v>BON YURT REGULAR</v>
      </c>
      <c r="F281" s="120" t="str">
        <f ca="1"/>
        <v>GUAYAQUIL</v>
      </c>
      <c r="G281" s="120">
        <f ca="1"/>
        <v>7711</v>
      </c>
      <c r="H281" s="120">
        <f ca="1"/>
        <v>1001</v>
      </c>
      <c r="I281" s="120" t="str">
        <f ca="1"/>
        <v>11796</v>
      </c>
      <c r="J281" s="120" t="str">
        <f ca="1"/>
        <v>BY AREQ VASO 165G</v>
      </c>
      <c r="K281" s="121">
        <f ca="1"/>
        <v>420</v>
      </c>
      <c r="L281" s="122">
        <f ca="1"/>
        <v>1</v>
      </c>
      <c r="M281" s="120">
        <f ca="1"/>
        <v>0.16500000000000001</v>
      </c>
      <c r="N281" s="121">
        <f ca="1"/>
        <v>45</v>
      </c>
      <c r="O281" s="123">
        <f ca="1"/>
        <v>45603</v>
      </c>
      <c r="P281" s="123" t="str">
        <f ca="1"/>
        <v>jueves</v>
      </c>
      <c r="Q281" s="124">
        <f ca="1"/>
        <v>45594</v>
      </c>
      <c r="R281" s="124">
        <f ca="1"/>
        <v>45638</v>
      </c>
      <c r="S281" s="90">
        <f ca="1"/>
        <v>14</v>
      </c>
      <c r="T281" s="139">
        <f ca="1"/>
        <v>0.31111111111111112</v>
      </c>
      <c r="U281" s="131">
        <f ca="1"/>
        <v>84</v>
      </c>
      <c r="V281" s="120">
        <f ca="1"/>
        <v>13.860000000000001</v>
      </c>
      <c r="W281" s="140">
        <f ca="1"/>
        <v>9</v>
      </c>
      <c r="X281" s="139">
        <f ca="1"/>
        <v>0.8</v>
      </c>
      <c r="Y281" s="141">
        <f ca="1"/>
        <v>0.35961500000000002</v>
      </c>
      <c r="Z281" s="141">
        <f ca="1"/>
        <v>0.35961500000000002</v>
      </c>
      <c r="AA281" s="142">
        <f ca="1"/>
        <v>4.9842639000000011</v>
      </c>
      <c r="AB281" s="138">
        <f ca="1"/>
        <v>21</v>
      </c>
      <c r="AC281" s="103" t="str">
        <f ca="1"/>
        <v>FECHA CORTA</v>
      </c>
      <c r="AD281" s="150">
        <f ca="1"/>
        <v>1.3860000000000001E-2</v>
      </c>
    </row>
    <row r="282" spans="1:30">
      <c r="A282" s="111" t="str">
        <f ca="1"/>
        <v>MACHACHI</v>
      </c>
      <c r="B282" s="111" t="str">
        <f ca="1"/>
        <v>BEBIDAS LACTEAS</v>
      </c>
      <c r="C282" s="111" t="str">
        <f ca="1"/>
        <v xml:space="preserve">Luis Armendariz                         </v>
      </c>
      <c r="D282" s="111" t="str">
        <f ca="1"/>
        <v>BON YURT</v>
      </c>
      <c r="E282" s="111" t="str">
        <f ca="1"/>
        <v>BON YURT REGULAR</v>
      </c>
      <c r="F282" s="120" t="str">
        <f ca="1"/>
        <v>GUAYAQUIL</v>
      </c>
      <c r="G282" s="120">
        <f ca="1"/>
        <v>7711</v>
      </c>
      <c r="H282" s="120">
        <f ca="1"/>
        <v>1001</v>
      </c>
      <c r="I282" s="120" t="str">
        <f ca="1"/>
        <v>11796</v>
      </c>
      <c r="J282" s="120" t="str">
        <f ca="1"/>
        <v>BY AREQ VASO 165G</v>
      </c>
      <c r="K282" s="121">
        <f ca="1"/>
        <v>120</v>
      </c>
      <c r="L282" s="122">
        <f ca="1"/>
        <v>1</v>
      </c>
      <c r="M282" s="120">
        <f ca="1"/>
        <v>0.16500000000000001</v>
      </c>
      <c r="N282" s="121">
        <f ca="1"/>
        <v>45</v>
      </c>
      <c r="O282" s="123">
        <f ca="1"/>
        <v>45604</v>
      </c>
      <c r="P282" s="123" t="str">
        <f ca="1"/>
        <v>viernes</v>
      </c>
      <c r="Q282" s="124">
        <f ca="1"/>
        <v>45594</v>
      </c>
      <c r="R282" s="124">
        <f ca="1"/>
        <v>45638</v>
      </c>
      <c r="S282" s="90">
        <f ca="1"/>
        <v>14</v>
      </c>
      <c r="T282" s="139">
        <f ca="1"/>
        <v>0.31111111111111112</v>
      </c>
      <c r="U282" s="131">
        <f ca="1"/>
        <v>120</v>
      </c>
      <c r="V282" s="120">
        <f ca="1"/>
        <v>19.8</v>
      </c>
      <c r="W282" s="140">
        <f ca="1"/>
        <v>10</v>
      </c>
      <c r="X282" s="139">
        <f ca="1"/>
        <v>0.77777777777777779</v>
      </c>
      <c r="Y282" s="141">
        <f ca="1"/>
        <v>0.35961500000000002</v>
      </c>
      <c r="Z282" s="141">
        <f ca="1"/>
        <v>0.35961500000000002</v>
      </c>
      <c r="AA282" s="142">
        <f ca="1"/>
        <v>7.1203770000000004</v>
      </c>
      <c r="AB282" s="138">
        <f ca="1"/>
        <v>20</v>
      </c>
      <c r="AC282" s="103" t="str">
        <f ca="1"/>
        <v>FECHA CORTA</v>
      </c>
      <c r="AD282" s="150">
        <f ca="1"/>
        <v>1.9800000000000002E-2</v>
      </c>
    </row>
    <row r="283" spans="1:30">
      <c r="A283" s="111" t="str">
        <f ca="1"/>
        <v>MACHACHI</v>
      </c>
      <c r="B283" s="111" t="str">
        <f ca="1"/>
        <v>BEBIDAS LACTEAS</v>
      </c>
      <c r="C283" s="111" t="str">
        <f ca="1"/>
        <v xml:space="preserve">Luis Armendariz                         </v>
      </c>
      <c r="D283" s="111" t="str">
        <f ca="1"/>
        <v>BON YURT</v>
      </c>
      <c r="E283" s="111" t="str">
        <f ca="1"/>
        <v>BON YURT REGULAR</v>
      </c>
      <c r="F283" s="120" t="str">
        <f ca="1"/>
        <v>GUAYAQUIL</v>
      </c>
      <c r="G283" s="120">
        <f ca="1"/>
        <v>7711</v>
      </c>
      <c r="H283" s="120">
        <f ca="1"/>
        <v>1001</v>
      </c>
      <c r="I283" s="120" t="str">
        <f ca="1"/>
        <v>11796</v>
      </c>
      <c r="J283" s="120" t="str">
        <f ca="1"/>
        <v>BY AREQ VASO 165G</v>
      </c>
      <c r="K283" s="121">
        <f ca="1"/>
        <v>600</v>
      </c>
      <c r="L283" s="122">
        <f ca="1"/>
        <v>1</v>
      </c>
      <c r="M283" s="120">
        <f ca="1"/>
        <v>0.16500000000000001</v>
      </c>
      <c r="N283" s="121">
        <f ca="1"/>
        <v>45</v>
      </c>
      <c r="O283" s="123">
        <f ca="1"/>
        <v>45605</v>
      </c>
      <c r="P283" s="123" t="str">
        <f ca="1"/>
        <v>sábado</v>
      </c>
      <c r="Q283" s="124">
        <f ca="1"/>
        <v>45594</v>
      </c>
      <c r="R283" s="124">
        <f ca="1"/>
        <v>45638</v>
      </c>
      <c r="S283" s="90">
        <f ca="1"/>
        <v>14</v>
      </c>
      <c r="T283" s="139">
        <f ca="1"/>
        <v>0.31111111111111112</v>
      </c>
      <c r="U283" s="131">
        <f ca="1"/>
        <v>600</v>
      </c>
      <c r="V283" s="120">
        <f ca="1"/>
        <v>99</v>
      </c>
      <c r="W283" s="140">
        <f ca="1"/>
        <v>11</v>
      </c>
      <c r="X283" s="139">
        <f ca="1"/>
        <v>0.75555555555555554</v>
      </c>
      <c r="Y283" s="141">
        <f ca="1"/>
        <v>0.35961500000000002</v>
      </c>
      <c r="Z283" s="141">
        <f ca="1"/>
        <v>0.35961500000000002</v>
      </c>
      <c r="AA283" s="142">
        <f ca="1"/>
        <v>35.601885000000003</v>
      </c>
      <c r="AB283" s="138">
        <f ca="1"/>
        <v>19</v>
      </c>
      <c r="AC283" s="103" t="str">
        <f ca="1"/>
        <v>FECHA CORTA</v>
      </c>
      <c r="AD283" s="150">
        <f ca="1"/>
        <v>9.9000000000000005E-2</v>
      </c>
    </row>
    <row r="284" spans="1:30">
      <c r="A284" s="111" t="str">
        <f ca="1"/>
        <v>MACHACHI</v>
      </c>
      <c r="B284" s="111" t="str">
        <f ca="1"/>
        <v>BEBIDAS LACTEAS</v>
      </c>
      <c r="C284" s="111" t="str">
        <f ca="1"/>
        <v xml:space="preserve">Luis Armendariz                         </v>
      </c>
      <c r="D284" s="111" t="str">
        <f ca="1"/>
        <v>BON YURT</v>
      </c>
      <c r="E284" s="111" t="str">
        <f ca="1"/>
        <v>BON YURT REGULAR</v>
      </c>
      <c r="F284" s="120" t="str">
        <f ca="1"/>
        <v>GUAYAQUIL</v>
      </c>
      <c r="G284" s="120">
        <f ca="1"/>
        <v>7711</v>
      </c>
      <c r="H284" s="120">
        <f ca="1"/>
        <v>1001</v>
      </c>
      <c r="I284" s="120" t="str">
        <f ca="1"/>
        <v>11796</v>
      </c>
      <c r="J284" s="120" t="str">
        <f ca="1"/>
        <v>BY AREQ VASO 165G</v>
      </c>
      <c r="K284" s="121">
        <f ca="1"/>
        <v>300</v>
      </c>
      <c r="L284" s="122">
        <f ca="1"/>
        <v>1</v>
      </c>
      <c r="M284" s="120">
        <f ca="1"/>
        <v>0.16500000000000001</v>
      </c>
      <c r="N284" s="121">
        <f ca="1"/>
        <v>45</v>
      </c>
      <c r="O284" s="123">
        <f ca="1"/>
        <v>45609</v>
      </c>
      <c r="P284" s="123" t="str">
        <f ca="1"/>
        <v>miércoles</v>
      </c>
      <c r="Q284" s="124">
        <f ca="1"/>
        <v>45597</v>
      </c>
      <c r="R284" s="124">
        <f ca="1"/>
        <v>45641</v>
      </c>
      <c r="S284" s="90">
        <f ca="1"/>
        <v>17</v>
      </c>
      <c r="T284" s="139">
        <f ca="1"/>
        <v>0.37777777777777777</v>
      </c>
      <c r="U284" s="131">
        <f ca="1"/>
        <v>102</v>
      </c>
      <c r="V284" s="120">
        <f ca="1"/>
        <v>16.830000000000002</v>
      </c>
      <c r="W284" s="140">
        <f ca="1"/>
        <v>12</v>
      </c>
      <c r="X284" s="139">
        <f ca="1"/>
        <v>0.73333333333333339</v>
      </c>
      <c r="Y284" s="141">
        <f ca="1"/>
        <v>0.35961500000000002</v>
      </c>
      <c r="Z284" s="141">
        <f ca="1"/>
        <v>0.35961500000000002</v>
      </c>
      <c r="AA284" s="142">
        <f ca="1"/>
        <v>6.0523204500000007</v>
      </c>
      <c r="AB284" s="138">
        <f ca="1"/>
        <v>15</v>
      </c>
      <c r="AC284" s="103" t="str">
        <f ca="1"/>
        <v>FECHA CORTA</v>
      </c>
      <c r="AD284" s="150">
        <f ca="1"/>
        <v>1.6830000000000001E-2</v>
      </c>
    </row>
    <row r="285" spans="1:30">
      <c r="A285" s="111" t="str">
        <f ca="1"/>
        <v>MACHACHI</v>
      </c>
      <c r="B285" s="111" t="str">
        <f ca="1"/>
        <v>BEBIDAS LACTEAS</v>
      </c>
      <c r="C285" s="111" t="str">
        <f ca="1"/>
        <v xml:space="preserve">Luis Armendariz                         </v>
      </c>
      <c r="D285" s="111" t="str">
        <f ca="1"/>
        <v>BON YURT</v>
      </c>
      <c r="E285" s="111" t="str">
        <f ca="1"/>
        <v>BON YURT REGULAR</v>
      </c>
      <c r="F285" s="120" t="str">
        <f ca="1"/>
        <v>GUAYAQUIL</v>
      </c>
      <c r="G285" s="120">
        <f ca="1"/>
        <v>7711</v>
      </c>
      <c r="H285" s="120">
        <f ca="1"/>
        <v>1001</v>
      </c>
      <c r="I285" s="120" t="str">
        <f ca="1"/>
        <v>11796</v>
      </c>
      <c r="J285" s="120" t="str">
        <f ca="1"/>
        <v>BY AREQ VASO 165G</v>
      </c>
      <c r="K285" s="121">
        <f ca="1"/>
        <v>180</v>
      </c>
      <c r="L285" s="122">
        <f ca="1"/>
        <v>1</v>
      </c>
      <c r="M285" s="120">
        <f ca="1"/>
        <v>0.16500000000000001</v>
      </c>
      <c r="N285" s="121">
        <f ca="1"/>
        <v>45</v>
      </c>
      <c r="O285" s="123">
        <f ca="1"/>
        <v>45616</v>
      </c>
      <c r="P285" s="123" t="str">
        <f ca="1"/>
        <v>miércoles</v>
      </c>
      <c r="Q285" s="124">
        <f ca="1"/>
        <v>45608</v>
      </c>
      <c r="R285" s="124">
        <f ca="1"/>
        <v>45652</v>
      </c>
      <c r="S285" s="90">
        <f ca="1"/>
        <v>28</v>
      </c>
      <c r="T285" s="139">
        <f ca="1"/>
        <v>0.62222222222222223</v>
      </c>
      <c r="U285" s="131">
        <f ca="1"/>
        <v>168</v>
      </c>
      <c r="V285" s="120">
        <f ca="1"/>
        <v>27.720000000000002</v>
      </c>
      <c r="W285" s="140">
        <f ca="1"/>
        <v>8</v>
      </c>
      <c r="X285" s="139">
        <f ca="1"/>
        <v>0.82222222222222219</v>
      </c>
      <c r="Y285" s="141">
        <f ca="1"/>
        <v>0.35961500000000002</v>
      </c>
      <c r="Z285" s="141">
        <f ca="1"/>
        <v>0.35961500000000002</v>
      </c>
      <c r="AA285" s="142">
        <f ca="1"/>
        <v>9.9685278000000022</v>
      </c>
      <c r="AB285" s="138">
        <f ca="1"/>
        <v>8</v>
      </c>
      <c r="AC285" s="103" t="str">
        <f ca="1"/>
        <v>VIGENTE</v>
      </c>
      <c r="AD285" s="150">
        <f ca="1"/>
        <v>2.7720000000000002E-2</v>
      </c>
    </row>
    <row r="286" spans="1:30">
      <c r="A286" s="111" t="str">
        <f ca="1"/>
        <v>SAN GABRIEL</v>
      </c>
      <c r="B286" s="111" t="str">
        <f ca="1"/>
        <v>QUESOS Y GRASAS</v>
      </c>
      <c r="C286" s="111" t="str">
        <f ca="1"/>
        <v xml:space="preserve">Esteban Montenegro                      </v>
      </c>
      <c r="D286" s="111" t="str">
        <f ca="1"/>
        <v>QUESO SEMIMADURO KIOSKO</v>
      </c>
      <c r="E286" s="111" t="str">
        <f ca="1"/>
        <v>QUESO SANDUCHE KIOSKO TAJADO</v>
      </c>
      <c r="F286" s="120" t="str">
        <f ca="1"/>
        <v>GUAYAQUIL</v>
      </c>
      <c r="G286" s="120">
        <f ca="1"/>
        <v>7711</v>
      </c>
      <c r="H286" s="120">
        <f ca="1"/>
        <v>1001</v>
      </c>
      <c r="I286" s="120" t="str">
        <f ca="1"/>
        <v>15997</v>
      </c>
      <c r="J286" s="120" t="str">
        <f ca="1"/>
        <v>QUESO SANDUCHE KIOSKO 75G</v>
      </c>
      <c r="K286" s="121">
        <f ca="1"/>
        <v>240</v>
      </c>
      <c r="L286" s="122">
        <f ca="1"/>
        <v>1</v>
      </c>
      <c r="M286" s="120">
        <f ca="1"/>
        <v>7.4999999999999997E-2</v>
      </c>
      <c r="N286" s="121">
        <f ca="1"/>
        <v>90</v>
      </c>
      <c r="O286" s="123">
        <f ca="1"/>
        <v>45608</v>
      </c>
      <c r="P286" s="123" t="str">
        <f ca="1"/>
        <v>martes</v>
      </c>
      <c r="Q286" s="124">
        <f ca="1"/>
        <v>45602</v>
      </c>
      <c r="R286" s="124">
        <f ca="1"/>
        <v>45691</v>
      </c>
      <c r="S286" s="90">
        <f ca="1"/>
        <v>67</v>
      </c>
      <c r="T286" s="139">
        <f ca="1"/>
        <v>0.74444444444444446</v>
      </c>
      <c r="U286" s="131">
        <f ca="1"/>
        <v>5</v>
      </c>
      <c r="V286" s="120">
        <f ca="1"/>
        <v>0.375</v>
      </c>
      <c r="W286" s="140">
        <f ca="1"/>
        <v>6</v>
      </c>
      <c r="X286" s="139">
        <f ca="1"/>
        <v>0.93333333333333335</v>
      </c>
      <c r="Y286" s="141">
        <f ca="1"/>
        <v>0.62080000000000002</v>
      </c>
      <c r="Z286" s="141">
        <f ca="1"/>
        <v>0.62080000000000002</v>
      </c>
      <c r="AA286" s="142">
        <f ca="1"/>
        <v>0.23280000000000001</v>
      </c>
      <c r="AB286" s="138">
        <f ca="1"/>
        <v>16</v>
      </c>
      <c r="AC286" s="103" t="str">
        <f ca="1"/>
        <v>VIGENTE</v>
      </c>
      <c r="AD286" s="150">
        <f ca="1"/>
        <v>3.7500000000000001E-4</v>
      </c>
    </row>
    <row r="287" spans="1:30">
      <c r="A287" s="111" t="str">
        <f ca="1"/>
        <v>SAN GABRIEL</v>
      </c>
      <c r="B287" s="111" t="str">
        <f ca="1"/>
        <v>QUESOS Y GRASAS</v>
      </c>
      <c r="C287" s="111" t="str">
        <f ca="1"/>
        <v xml:space="preserve">Esteban Montenegro                      </v>
      </c>
      <c r="D287" s="111" t="str">
        <f ca="1"/>
        <v>QUESO SEMIMADURO KIOSKO</v>
      </c>
      <c r="E287" s="111" t="str">
        <f ca="1"/>
        <v>QUESO SANDUCHE KIOSKO TAJADO</v>
      </c>
      <c r="F287" s="120" t="str">
        <f ca="1"/>
        <v>GUAYAQUIL</v>
      </c>
      <c r="G287" s="120">
        <f ca="1"/>
        <v>7711</v>
      </c>
      <c r="H287" s="120">
        <f ca="1"/>
        <v>1001</v>
      </c>
      <c r="I287" s="120" t="str">
        <f ca="1"/>
        <v>15997</v>
      </c>
      <c r="J287" s="120" t="str">
        <f ca="1"/>
        <v>QUESO SANDUCHE KIOSKO 75G</v>
      </c>
      <c r="K287" s="121">
        <f ca="1"/>
        <v>240</v>
      </c>
      <c r="L287" s="122">
        <f ca="1"/>
        <v>1</v>
      </c>
      <c r="M287" s="120">
        <f ca="1"/>
        <v>7.4999999999999997E-2</v>
      </c>
      <c r="N287" s="121">
        <f ca="1"/>
        <v>90</v>
      </c>
      <c r="O287" s="123">
        <f ca="1"/>
        <v>45610</v>
      </c>
      <c r="P287" s="123" t="str">
        <f ca="1"/>
        <v>jueves</v>
      </c>
      <c r="Q287" s="124">
        <f ca="1"/>
        <v>45604</v>
      </c>
      <c r="R287" s="124">
        <f ca="1"/>
        <v>45693</v>
      </c>
      <c r="S287" s="90">
        <f ca="1"/>
        <v>69</v>
      </c>
      <c r="T287" s="139">
        <f ca="1"/>
        <v>0.76666666666666672</v>
      </c>
      <c r="U287" s="131">
        <f ca="1"/>
        <v>139</v>
      </c>
      <c r="V287" s="120">
        <f ca="1"/>
        <v>10.424999999999999</v>
      </c>
      <c r="W287" s="140">
        <f ca="1"/>
        <v>6</v>
      </c>
      <c r="X287" s="139">
        <f ca="1"/>
        <v>0.93333333333333335</v>
      </c>
      <c r="Y287" s="141">
        <f ca="1"/>
        <v>0.62080000000000002</v>
      </c>
      <c r="Z287" s="141">
        <f ca="1"/>
        <v>0.62080000000000002</v>
      </c>
      <c r="AA287" s="142">
        <f ca="1"/>
        <v>6.4718399999999994</v>
      </c>
      <c r="AB287" s="138">
        <f ca="1"/>
        <v>14</v>
      </c>
      <c r="AC287" s="103" t="str">
        <f ca="1"/>
        <v>VIGENTE</v>
      </c>
      <c r="AD287" s="150">
        <f ca="1"/>
        <v>1.0424999999999999E-2</v>
      </c>
    </row>
    <row r="288" spans="1:30">
      <c r="A288" s="111" t="str">
        <f ca="1"/>
        <v>SAN GABRIEL</v>
      </c>
      <c r="B288" s="111" t="str">
        <f ca="1"/>
        <v>QUESOS Y GRASAS</v>
      </c>
      <c r="C288" s="111" t="str">
        <f ca="1"/>
        <v xml:space="preserve">Esteban Montenegro                      </v>
      </c>
      <c r="D288" s="111" t="str">
        <f ca="1"/>
        <v>QUESO SEMIMADURO KIOSKO</v>
      </c>
      <c r="E288" s="111" t="str">
        <f ca="1"/>
        <v>QUESO SANDUCHE KIOSKO TAJADO</v>
      </c>
      <c r="F288" s="120" t="str">
        <f ca="1"/>
        <v>GUAYAQUIL</v>
      </c>
      <c r="G288" s="120">
        <f ca="1"/>
        <v>7711</v>
      </c>
      <c r="H288" s="120">
        <f ca="1"/>
        <v>1001</v>
      </c>
      <c r="I288" s="120" t="str">
        <f ca="1"/>
        <v>15997</v>
      </c>
      <c r="J288" s="120" t="str">
        <f ca="1"/>
        <v>QUESO SANDUCHE KIOSKO 75G</v>
      </c>
      <c r="K288" s="121">
        <f ca="1"/>
        <v>240</v>
      </c>
      <c r="L288" s="122">
        <f ca="1"/>
        <v>1</v>
      </c>
      <c r="M288" s="120">
        <f ca="1"/>
        <v>7.4999999999999997E-2</v>
      </c>
      <c r="N288" s="121">
        <f ca="1"/>
        <v>90</v>
      </c>
      <c r="O288" s="123">
        <f ca="1"/>
        <v>45615</v>
      </c>
      <c r="P288" s="123" t="str">
        <f ca="1"/>
        <v>martes</v>
      </c>
      <c r="Q288" s="124">
        <f ca="1"/>
        <v>45610</v>
      </c>
      <c r="R288" s="124">
        <f ca="1"/>
        <v>45699</v>
      </c>
      <c r="S288" s="90">
        <f ca="1"/>
        <v>75</v>
      </c>
      <c r="T288" s="139">
        <f ca="1"/>
        <v>0.83333333333333337</v>
      </c>
      <c r="U288" s="131">
        <f ca="1"/>
        <v>240</v>
      </c>
      <c r="V288" s="120">
        <f ca="1"/>
        <v>18</v>
      </c>
      <c r="W288" s="140">
        <f ca="1"/>
        <v>5</v>
      </c>
      <c r="X288" s="139">
        <f ca="1"/>
        <v>0.94444444444444442</v>
      </c>
      <c r="Y288" s="141">
        <f ca="1"/>
        <v>0.62080000000000002</v>
      </c>
      <c r="Z288" s="141">
        <f ca="1"/>
        <v>0.62080000000000002</v>
      </c>
      <c r="AA288" s="142">
        <f ca="1"/>
        <v>11.1744</v>
      </c>
      <c r="AB288" s="138">
        <f ca="1"/>
        <v>9</v>
      </c>
      <c r="AC288" s="103" t="str">
        <f ca="1"/>
        <v>VIGENTE</v>
      </c>
      <c r="AD288" s="150">
        <f ca="1"/>
        <v>1.7999999999999999E-2</v>
      </c>
    </row>
    <row r="289" spans="1:30">
      <c r="A289" s="111" t="str">
        <f ca="1"/>
        <v>SAN GABRIEL</v>
      </c>
      <c r="B289" s="111" t="str">
        <f ca="1"/>
        <v>QUESOS Y GRASAS</v>
      </c>
      <c r="C289" s="111" t="str">
        <f ca="1"/>
        <v xml:space="preserve">Esteban Montenegro                      </v>
      </c>
      <c r="D289" s="111" t="str">
        <f ca="1"/>
        <v>QUESO SEMIMADURO KIOSKO</v>
      </c>
      <c r="E289" s="111" t="str">
        <f ca="1"/>
        <v>QUESO SANDUCHE KIOSKO TAJADO</v>
      </c>
      <c r="F289" s="120" t="str">
        <f ca="1"/>
        <v>GUAYAQUIL</v>
      </c>
      <c r="G289" s="120">
        <f ca="1"/>
        <v>7711</v>
      </c>
      <c r="H289" s="120">
        <f ca="1"/>
        <v>1001</v>
      </c>
      <c r="I289" s="120" t="str">
        <f ca="1"/>
        <v>15997</v>
      </c>
      <c r="J289" s="120" t="str">
        <f ca="1"/>
        <v>QUESO SANDUCHE KIOSKO 75G</v>
      </c>
      <c r="K289" s="121">
        <f ca="1"/>
        <v>240</v>
      </c>
      <c r="L289" s="122">
        <f ca="1"/>
        <v>1</v>
      </c>
      <c r="M289" s="120">
        <f ca="1"/>
        <v>7.4999999999999997E-2</v>
      </c>
      <c r="N289" s="121">
        <f ca="1"/>
        <v>90</v>
      </c>
      <c r="O289" s="123">
        <f ca="1"/>
        <v>45617</v>
      </c>
      <c r="P289" s="123" t="str">
        <f ca="1"/>
        <v>jueves</v>
      </c>
      <c r="Q289" s="124">
        <f ca="1"/>
        <v>45610</v>
      </c>
      <c r="R289" s="124">
        <f ca="1"/>
        <v>45699</v>
      </c>
      <c r="S289" s="90">
        <f ca="1"/>
        <v>75</v>
      </c>
      <c r="T289" s="139">
        <f ca="1"/>
        <v>0.83333333333333337</v>
      </c>
      <c r="U289" s="131">
        <f ca="1"/>
        <v>240</v>
      </c>
      <c r="V289" s="120">
        <f ca="1"/>
        <v>18</v>
      </c>
      <c r="W289" s="140">
        <f ca="1"/>
        <v>7</v>
      </c>
      <c r="X289" s="139">
        <f ca="1"/>
        <v>0.92222222222222228</v>
      </c>
      <c r="Y289" s="141">
        <f ca="1"/>
        <v>0.62080000000000002</v>
      </c>
      <c r="Z289" s="141">
        <f ca="1"/>
        <v>0.62080000000000002</v>
      </c>
      <c r="AA289" s="142">
        <f ca="1"/>
        <v>11.1744</v>
      </c>
      <c r="AB289" s="138">
        <f ca="1"/>
        <v>7</v>
      </c>
      <c r="AC289" s="103" t="str">
        <f ca="1"/>
        <v>VIGENTE</v>
      </c>
      <c r="AD289" s="150">
        <f ca="1"/>
        <v>1.7999999999999999E-2</v>
      </c>
    </row>
    <row r="290" spans="1:30">
      <c r="A290" s="111" t="str">
        <f ca="1"/>
        <v>MACHACHI</v>
      </c>
      <c r="B290" s="111" t="str">
        <f ca="1"/>
        <v>BEBIDAS LACTEAS</v>
      </c>
      <c r="C290" s="111" t="str">
        <f ca="1"/>
        <v xml:space="preserve">Luis Armendariz                         </v>
      </c>
      <c r="D290" s="111" t="str">
        <f ca="1"/>
        <v>YOGURT KIOSKO</v>
      </c>
      <c r="E290" s="111" t="str">
        <f ca="1"/>
        <v>GRIEGO SABORIZADO</v>
      </c>
      <c r="F290" s="120" t="str">
        <f ca="1"/>
        <v>GUAYAQUIL</v>
      </c>
      <c r="G290" s="120">
        <f ca="1"/>
        <v>7711</v>
      </c>
      <c r="H290" s="120">
        <f ca="1"/>
        <v>1001</v>
      </c>
      <c r="I290" s="120" t="str">
        <f ca="1"/>
        <v>16511</v>
      </c>
      <c r="J290" s="120" t="str">
        <f ca="1"/>
        <v>GRIEG KIOSKO FRUT ROJ 400</v>
      </c>
      <c r="K290" s="121">
        <f ca="1"/>
        <v>40</v>
      </c>
      <c r="L290" s="122">
        <f ca="1"/>
        <v>1</v>
      </c>
      <c r="M290" s="120">
        <f ca="1"/>
        <v>0.4</v>
      </c>
      <c r="N290" s="121">
        <f ca="1"/>
        <v>45</v>
      </c>
      <c r="O290" s="123">
        <f ca="1"/>
        <v>45612</v>
      </c>
      <c r="P290" s="123" t="str">
        <f ca="1"/>
        <v>sábado</v>
      </c>
      <c r="Q290" s="124">
        <f ca="1"/>
        <v>45611</v>
      </c>
      <c r="R290" s="124">
        <f ca="1"/>
        <v>45655</v>
      </c>
      <c r="S290" s="90">
        <f ca="1"/>
        <v>31</v>
      </c>
      <c r="T290" s="139">
        <f ca="1"/>
        <v>0.68888888888888888</v>
      </c>
      <c r="U290" s="131">
        <f ca="1"/>
        <v>40</v>
      </c>
      <c r="V290" s="120">
        <f ca="1"/>
        <v>16</v>
      </c>
      <c r="W290" s="140">
        <f ca="1"/>
        <v>1</v>
      </c>
      <c r="X290" s="139">
        <f ca="1"/>
        <v>0.97777777777777775</v>
      </c>
      <c r="Y290" s="141">
        <f ca="1"/>
        <v>0.96938500000000005</v>
      </c>
      <c r="Z290" s="141">
        <f ca="1"/>
        <v>0.96938500000000005</v>
      </c>
      <c r="AA290" s="142">
        <f ca="1"/>
        <v>15.510160000000001</v>
      </c>
      <c r="AB290" s="138">
        <f ca="1"/>
        <v>12</v>
      </c>
      <c r="AC290" s="103" t="str">
        <f ca="1"/>
        <v>VIGENTE</v>
      </c>
      <c r="AD290" s="150">
        <f ca="1"/>
        <v>1.6E-2</v>
      </c>
    </row>
    <row r="291" spans="1:30">
      <c r="A291" s="111" t="str">
        <f ca="1"/>
        <v>MACHACHI</v>
      </c>
      <c r="B291" s="111" t="str">
        <f ca="1"/>
        <v>BEBIDAS LACTEAS</v>
      </c>
      <c r="C291" s="111" t="str">
        <f ca="1"/>
        <v xml:space="preserve">Luis Armendariz                         </v>
      </c>
      <c r="D291" s="111" t="str">
        <f ca="1"/>
        <v>YOGURT KIOSKO</v>
      </c>
      <c r="E291" s="111" t="str">
        <f ca="1"/>
        <v>GRIEGO SABORIZADO</v>
      </c>
      <c r="F291" s="120" t="str">
        <f ca="1"/>
        <v>GUAYAQUIL</v>
      </c>
      <c r="G291" s="120">
        <f ca="1"/>
        <v>7711</v>
      </c>
      <c r="H291" s="120">
        <f ca="1"/>
        <v>1001</v>
      </c>
      <c r="I291" s="120" t="str">
        <f ca="1"/>
        <v>16511</v>
      </c>
      <c r="J291" s="120" t="str">
        <f ca="1"/>
        <v>GRIEG KIOSKO FRUT ROJ 400</v>
      </c>
      <c r="K291" s="121">
        <f ca="1"/>
        <v>40</v>
      </c>
      <c r="L291" s="122">
        <f ca="1"/>
        <v>1</v>
      </c>
      <c r="M291" s="120">
        <f ca="1"/>
        <v>0.4</v>
      </c>
      <c r="N291" s="121">
        <f ca="1"/>
        <v>45</v>
      </c>
      <c r="O291" s="123">
        <f ca="1"/>
        <v>45611</v>
      </c>
      <c r="P291" s="123" t="str">
        <f ca="1"/>
        <v>viernes</v>
      </c>
      <c r="Q291" s="124">
        <f ca="1"/>
        <v>45602</v>
      </c>
      <c r="R291" s="124">
        <f ca="1"/>
        <v>45646</v>
      </c>
      <c r="S291" s="90">
        <f ca="1"/>
        <v>22</v>
      </c>
      <c r="T291" s="139">
        <f ca="1"/>
        <v>0.48888888888888887</v>
      </c>
      <c r="U291" s="131">
        <f ca="1"/>
        <v>15</v>
      </c>
      <c r="V291" s="120">
        <f ca="1"/>
        <v>6</v>
      </c>
      <c r="W291" s="140">
        <f ca="1"/>
        <v>9</v>
      </c>
      <c r="X291" s="139">
        <f ca="1"/>
        <v>0.8</v>
      </c>
      <c r="Y291" s="141">
        <f ca="1"/>
        <v>0.96938500000000005</v>
      </c>
      <c r="Z291" s="141">
        <f ca="1"/>
        <v>0.96938500000000005</v>
      </c>
      <c r="AA291" s="142">
        <f ca="1"/>
        <v>5.8163100000000005</v>
      </c>
      <c r="AB291" s="138">
        <f ca="1"/>
        <v>13</v>
      </c>
      <c r="AC291" s="103" t="str">
        <f ca="1"/>
        <v>PROXIMOS FECHA CORTA</v>
      </c>
      <c r="AD291" s="150">
        <f ca="1"/>
        <v>6.0000000000000001E-3</v>
      </c>
    </row>
    <row r="292" spans="1:30">
      <c r="A292" s="111" t="str">
        <f ca="1"/>
        <v>MAQUILA</v>
      </c>
      <c r="B292" s="111" t="str">
        <f ca="1"/>
        <v>QUESOS Y GRASAS</v>
      </c>
      <c r="C292" s="111" t="str">
        <f ca="1"/>
        <v xml:space="preserve">Esteban Montenegro                      </v>
      </c>
      <c r="D292" s="111" t="str">
        <f ca="1"/>
        <v>CREMA DE LECHE</v>
      </c>
      <c r="E292" s="111" t="str">
        <f ca="1"/>
        <v>CREMA DE LECHE BOLSA</v>
      </c>
      <c r="F292" s="120" t="str">
        <f ca="1"/>
        <v>GUAYAQUIL</v>
      </c>
      <c r="G292" s="120">
        <f ca="1"/>
        <v>7711</v>
      </c>
      <c r="H292" s="120">
        <f ca="1"/>
        <v>1001</v>
      </c>
      <c r="I292" s="120" t="str">
        <f ca="1"/>
        <v>16744</v>
      </c>
      <c r="J292" s="120" t="str">
        <f ca="1"/>
        <v>CREMA DE LECHE ALPINA 200G</v>
      </c>
      <c r="K292" s="121">
        <f ca="1"/>
        <v>2800</v>
      </c>
      <c r="L292" s="122">
        <f ca="1"/>
        <v>1</v>
      </c>
      <c r="M292" s="120">
        <f ca="1"/>
        <v>0.2</v>
      </c>
      <c r="N292" s="121">
        <f ca="1"/>
        <v>70</v>
      </c>
      <c r="O292" s="123">
        <f ca="1"/>
        <v>45605</v>
      </c>
      <c r="P292" s="123" t="str">
        <f ca="1"/>
        <v>sábado</v>
      </c>
      <c r="Q292" s="124">
        <f ca="1"/>
        <v>45589</v>
      </c>
      <c r="R292" s="124">
        <f ca="1"/>
        <v>45658</v>
      </c>
      <c r="S292" s="90">
        <f ca="1"/>
        <v>34</v>
      </c>
      <c r="T292" s="139">
        <f ca="1"/>
        <v>0.48571428571428571</v>
      </c>
      <c r="U292" s="131">
        <f ca="1"/>
        <v>2</v>
      </c>
      <c r="V292" s="120">
        <f ca="1"/>
        <v>0.4</v>
      </c>
      <c r="W292" s="140">
        <f ca="1"/>
        <v>16</v>
      </c>
      <c r="X292" s="139">
        <f ca="1"/>
        <v>0.77142857142857146</v>
      </c>
      <c r="Y292" s="141">
        <f ca="1"/>
        <v>0.59135000000000004</v>
      </c>
      <c r="Z292" s="141">
        <f ca="1"/>
        <v>0.59135000000000004</v>
      </c>
      <c r="AA292" s="142">
        <f ca="1"/>
        <v>0.23654000000000003</v>
      </c>
      <c r="AB292" s="138">
        <f ca="1"/>
        <v>19</v>
      </c>
      <c r="AC292" s="103" t="str">
        <f ca="1"/>
        <v>VIGENTE</v>
      </c>
      <c r="AD292" s="150">
        <f ca="1"/>
        <v>4.0000000000000002E-4</v>
      </c>
    </row>
    <row r="293" spans="1:30">
      <c r="A293" s="111" t="str">
        <f ca="1"/>
        <v>MAQUILA</v>
      </c>
      <c r="B293" s="111" t="str">
        <f ca="1"/>
        <v>QUESOS Y GRASAS</v>
      </c>
      <c r="C293" s="111" t="str">
        <f ca="1"/>
        <v xml:space="preserve">Esteban Montenegro                      </v>
      </c>
      <c r="D293" s="111" t="str">
        <f ca="1"/>
        <v>CREMA DE LECHE</v>
      </c>
      <c r="E293" s="111" t="str">
        <f ca="1"/>
        <v>CREMA DE LECHE BOLSA</v>
      </c>
      <c r="F293" s="120" t="str">
        <f ca="1"/>
        <v>GUAYAQUIL</v>
      </c>
      <c r="G293" s="120">
        <f ca="1"/>
        <v>7711</v>
      </c>
      <c r="H293" s="120">
        <f ca="1"/>
        <v>1001</v>
      </c>
      <c r="I293" s="120" t="str">
        <f ca="1"/>
        <v>16744</v>
      </c>
      <c r="J293" s="120" t="str">
        <f ca="1"/>
        <v>CREMA DE LECHE ALPINA 200G</v>
      </c>
      <c r="K293" s="121">
        <f ca="1"/>
        <v>2800</v>
      </c>
      <c r="L293" s="122">
        <f ca="1"/>
        <v>1</v>
      </c>
      <c r="M293" s="120">
        <f ca="1"/>
        <v>0.2</v>
      </c>
      <c r="N293" s="121">
        <f ca="1"/>
        <v>70</v>
      </c>
      <c r="O293" s="123">
        <f ca="1"/>
        <v>45608</v>
      </c>
      <c r="P293" s="123" t="str">
        <f ca="1"/>
        <v>martes</v>
      </c>
      <c r="Q293" s="124">
        <f ca="1"/>
        <v>45590</v>
      </c>
      <c r="R293" s="124">
        <f ca="1"/>
        <v>45659</v>
      </c>
      <c r="S293" s="90">
        <f ca="1"/>
        <v>35</v>
      </c>
      <c r="T293" s="139">
        <f ca="1"/>
        <v>0.5</v>
      </c>
      <c r="U293" s="131">
        <f ca="1"/>
        <v>63</v>
      </c>
      <c r="V293" s="120">
        <f ca="1"/>
        <v>12.600000000000001</v>
      </c>
      <c r="W293" s="140">
        <f ca="1"/>
        <v>18</v>
      </c>
      <c r="X293" s="139">
        <f ca="1"/>
        <v>0.74285714285714288</v>
      </c>
      <c r="Y293" s="141">
        <f ca="1"/>
        <v>0.59135000000000004</v>
      </c>
      <c r="Z293" s="141">
        <f ca="1"/>
        <v>0.59135000000000004</v>
      </c>
      <c r="AA293" s="142">
        <f ca="1"/>
        <v>7.451010000000001</v>
      </c>
      <c r="AB293" s="138">
        <f ca="1"/>
        <v>16</v>
      </c>
      <c r="AC293" s="103" t="str">
        <f ca="1"/>
        <v>VIGENTE</v>
      </c>
      <c r="AD293" s="150">
        <f ca="1"/>
        <v>1.2600000000000002E-2</v>
      </c>
    </row>
    <row r="294" spans="1:30">
      <c r="A294" s="111" t="str">
        <f ca="1"/>
        <v>MAQUILA</v>
      </c>
      <c r="B294" s="111" t="str">
        <f ca="1"/>
        <v>QUESOS Y GRASAS</v>
      </c>
      <c r="C294" s="111" t="str">
        <f ca="1"/>
        <v xml:space="preserve">Esteban Montenegro                      </v>
      </c>
      <c r="D294" s="111" t="str">
        <f ca="1"/>
        <v>CREMA DE LECHE</v>
      </c>
      <c r="E294" s="111" t="str">
        <f ca="1"/>
        <v>CREMA DE LECHE BOLSA</v>
      </c>
      <c r="F294" s="120" t="str">
        <f ca="1"/>
        <v>GUAYAQUIL</v>
      </c>
      <c r="G294" s="120">
        <f ca="1"/>
        <v>7711</v>
      </c>
      <c r="H294" s="120">
        <f ca="1"/>
        <v>1001</v>
      </c>
      <c r="I294" s="120" t="str">
        <f ca="1"/>
        <v>16744</v>
      </c>
      <c r="J294" s="120" t="str">
        <f ca="1"/>
        <v>CREMA DE LECHE ALPINA 200G</v>
      </c>
      <c r="K294" s="121">
        <f ca="1"/>
        <v>1540</v>
      </c>
      <c r="L294" s="122">
        <f ca="1"/>
        <v>1</v>
      </c>
      <c r="M294" s="120">
        <f ca="1"/>
        <v>0.2</v>
      </c>
      <c r="N294" s="121">
        <f ca="1"/>
        <v>70</v>
      </c>
      <c r="O294" s="123">
        <f ca="1"/>
        <v>45612</v>
      </c>
      <c r="P294" s="123" t="str">
        <f ca="1"/>
        <v>sábado</v>
      </c>
      <c r="Q294" s="124">
        <f ca="1"/>
        <v>45598</v>
      </c>
      <c r="R294" s="124">
        <f ca="1"/>
        <v>45667</v>
      </c>
      <c r="S294" s="90">
        <f ca="1"/>
        <v>43</v>
      </c>
      <c r="T294" s="139">
        <f ca="1"/>
        <v>0.61428571428571432</v>
      </c>
      <c r="U294" s="131">
        <f ca="1"/>
        <v>1522</v>
      </c>
      <c r="V294" s="120">
        <f ca="1"/>
        <v>304.40000000000003</v>
      </c>
      <c r="W294" s="140">
        <f ca="1"/>
        <v>14</v>
      </c>
      <c r="X294" s="139">
        <f ca="1"/>
        <v>0.8</v>
      </c>
      <c r="Y294" s="141">
        <f ca="1"/>
        <v>0.59135000000000004</v>
      </c>
      <c r="Z294" s="141">
        <f ca="1"/>
        <v>0.59135000000000004</v>
      </c>
      <c r="AA294" s="142">
        <f ca="1"/>
        <v>180.00694000000004</v>
      </c>
      <c r="AB294" s="138">
        <f ca="1"/>
        <v>12</v>
      </c>
      <c r="AC294" s="103" t="str">
        <f ca="1"/>
        <v>VIGENTE</v>
      </c>
      <c r="AD294" s="150">
        <f ca="1"/>
        <v>0.30440000000000006</v>
      </c>
    </row>
    <row r="295" spans="1:30">
      <c r="A295" s="111" t="str">
        <f ca="1"/>
        <v>MAQUILA</v>
      </c>
      <c r="B295" s="111" t="str">
        <f ca="1"/>
        <v>QUESOS Y GRASAS</v>
      </c>
      <c r="C295" s="111" t="str">
        <f ca="1"/>
        <v xml:space="preserve">Esteban Montenegro                      </v>
      </c>
      <c r="D295" s="111" t="str">
        <f ca="1"/>
        <v>CREMA DE LECHE</v>
      </c>
      <c r="E295" s="111" t="str">
        <f ca="1"/>
        <v>CREMA DE LECHE BOLSA</v>
      </c>
      <c r="F295" s="120" t="str">
        <f ca="1"/>
        <v>GUAYAQUIL</v>
      </c>
      <c r="G295" s="120">
        <f ca="1"/>
        <v>7711</v>
      </c>
      <c r="H295" s="120">
        <f ca="1"/>
        <v>1001</v>
      </c>
      <c r="I295" s="120" t="str">
        <f ca="1"/>
        <v>16744</v>
      </c>
      <c r="J295" s="120" t="str">
        <f ca="1"/>
        <v>CREMA DE LECHE ALPINA 200G</v>
      </c>
      <c r="K295" s="121">
        <f ca="1"/>
        <v>1540</v>
      </c>
      <c r="L295" s="122">
        <f ca="1"/>
        <v>1</v>
      </c>
      <c r="M295" s="120">
        <f ca="1"/>
        <v>0.2</v>
      </c>
      <c r="N295" s="121">
        <f ca="1"/>
        <v>70</v>
      </c>
      <c r="O295" s="123">
        <f ca="1"/>
        <v>45615</v>
      </c>
      <c r="P295" s="123" t="str">
        <f ca="1"/>
        <v>martes</v>
      </c>
      <c r="Q295" s="124">
        <f ca="1"/>
        <v>45598</v>
      </c>
      <c r="R295" s="124">
        <f ca="1"/>
        <v>45667</v>
      </c>
      <c r="S295" s="90">
        <f ca="1"/>
        <v>43</v>
      </c>
      <c r="T295" s="139">
        <f ca="1"/>
        <v>0.61428571428571432</v>
      </c>
      <c r="U295" s="131">
        <f ca="1"/>
        <v>1540</v>
      </c>
      <c r="V295" s="120">
        <f ca="1"/>
        <v>308</v>
      </c>
      <c r="W295" s="140">
        <f ca="1"/>
        <v>17</v>
      </c>
      <c r="X295" s="139">
        <f ca="1"/>
        <v>0.75714285714285712</v>
      </c>
      <c r="Y295" s="141">
        <f ca="1"/>
        <v>0.59135000000000004</v>
      </c>
      <c r="Z295" s="141">
        <f ca="1"/>
        <v>0.59135000000000004</v>
      </c>
      <c r="AA295" s="142">
        <f ca="1"/>
        <v>182.13580000000002</v>
      </c>
      <c r="AB295" s="138">
        <f ca="1"/>
        <v>9</v>
      </c>
      <c r="AC295" s="103" t="str">
        <f ca="1"/>
        <v>VIGENTE</v>
      </c>
      <c r="AD295" s="150">
        <f ca="1"/>
        <v>0.308</v>
      </c>
    </row>
    <row r="296" spans="1:30">
      <c r="A296" s="111" t="str">
        <f ca="1"/>
        <v>MAQUILA</v>
      </c>
      <c r="B296" s="111" t="str">
        <f ca="1"/>
        <v>QUESOS Y GRASAS</v>
      </c>
      <c r="C296" s="111" t="str">
        <f ca="1"/>
        <v xml:space="preserve">Esteban Montenegro                      </v>
      </c>
      <c r="D296" s="111" t="str">
        <f ca="1"/>
        <v>CREMA DE LECHE</v>
      </c>
      <c r="E296" s="111" t="str">
        <f ca="1"/>
        <v>CREMA DE LECHE BOLSA</v>
      </c>
      <c r="F296" s="120" t="str">
        <f ca="1"/>
        <v>GUAYAQUIL</v>
      </c>
      <c r="G296" s="120">
        <f ca="1"/>
        <v>7711</v>
      </c>
      <c r="H296" s="120">
        <f ca="1"/>
        <v>1001</v>
      </c>
      <c r="I296" s="120" t="str">
        <f ca="1"/>
        <v>16744</v>
      </c>
      <c r="J296" s="120" t="str">
        <f ca="1"/>
        <v>CREMA DE LECHE ALPINA 200G</v>
      </c>
      <c r="K296" s="121">
        <f ca="1"/>
        <v>1540</v>
      </c>
      <c r="L296" s="122">
        <f ca="1"/>
        <v>1</v>
      </c>
      <c r="M296" s="120">
        <f ca="1"/>
        <v>0.2</v>
      </c>
      <c r="N296" s="121">
        <f ca="1"/>
        <v>70</v>
      </c>
      <c r="O296" s="123">
        <f ca="1"/>
        <v>45616</v>
      </c>
      <c r="P296" s="123" t="str">
        <f ca="1"/>
        <v>miércoles</v>
      </c>
      <c r="Q296" s="124">
        <f ca="1"/>
        <v>45598</v>
      </c>
      <c r="R296" s="124">
        <f ca="1"/>
        <v>45667</v>
      </c>
      <c r="S296" s="90">
        <f ca="1"/>
        <v>43</v>
      </c>
      <c r="T296" s="139">
        <f ca="1"/>
        <v>0.61428571428571432</v>
      </c>
      <c r="U296" s="131">
        <f ca="1"/>
        <v>1540</v>
      </c>
      <c r="V296" s="120">
        <f ca="1"/>
        <v>308</v>
      </c>
      <c r="W296" s="140">
        <f ca="1"/>
        <v>18</v>
      </c>
      <c r="X296" s="139">
        <f ca="1"/>
        <v>0.74285714285714288</v>
      </c>
      <c r="Y296" s="141">
        <f ca="1"/>
        <v>0.59135000000000004</v>
      </c>
      <c r="Z296" s="141">
        <f ca="1"/>
        <v>0.59135000000000004</v>
      </c>
      <c r="AA296" s="142">
        <f ca="1"/>
        <v>182.13580000000002</v>
      </c>
      <c r="AB296" s="138">
        <f ca="1"/>
        <v>8</v>
      </c>
      <c r="AC296" s="103" t="str">
        <f ca="1"/>
        <v>VIGENTE</v>
      </c>
      <c r="AD296" s="150">
        <f ca="1"/>
        <v>0.308</v>
      </c>
    </row>
    <row r="297" spans="1:30">
      <c r="A297" s="111" t="str">
        <f ca="1"/>
        <v>MAQUILA</v>
      </c>
      <c r="B297" s="111" t="str">
        <f ca="1"/>
        <v>QUESOS Y GRASAS</v>
      </c>
      <c r="C297" s="111" t="str">
        <f ca="1"/>
        <v xml:space="preserve">Esteban Montenegro                      </v>
      </c>
      <c r="D297" s="111" t="str">
        <f ca="1"/>
        <v>CREMA DE LECHE</v>
      </c>
      <c r="E297" s="111" t="str">
        <f ca="1"/>
        <v>CREMA DE LECHE BOLSA</v>
      </c>
      <c r="F297" s="120" t="str">
        <f ca="1"/>
        <v>GUAYAQUIL</v>
      </c>
      <c r="G297" s="120">
        <f ca="1"/>
        <v>7711</v>
      </c>
      <c r="H297" s="120">
        <f ca="1"/>
        <v>1001</v>
      </c>
      <c r="I297" s="120" t="str">
        <f ca="1"/>
        <v>16744</v>
      </c>
      <c r="J297" s="120" t="str">
        <f ca="1"/>
        <v>CREMA DE LECHE ALPINA 200G</v>
      </c>
      <c r="K297" s="121">
        <f ca="1"/>
        <v>0</v>
      </c>
      <c r="L297" s="122">
        <f ca="1"/>
        <v>1</v>
      </c>
      <c r="M297" s="120">
        <f ca="1"/>
        <v>0.2</v>
      </c>
      <c r="N297" s="121">
        <f ca="1"/>
        <v>70</v>
      </c>
      <c r="O297" s="123">
        <f ca="1"/>
        <v>45621</v>
      </c>
      <c r="P297" s="123" t="str">
        <f ca="1"/>
        <v>lunes</v>
      </c>
      <c r="Q297" s="124">
        <f ca="1"/>
        <v>45621</v>
      </c>
      <c r="R297" s="124">
        <f ca="1"/>
        <v>45690</v>
      </c>
      <c r="S297" s="90">
        <f ca="1"/>
        <v>66</v>
      </c>
      <c r="T297" s="139">
        <f ca="1"/>
        <v>0.94285714285714284</v>
      </c>
      <c r="U297" s="131">
        <f ca="1"/>
        <v>2</v>
      </c>
      <c r="V297" s="120">
        <f ca="1"/>
        <v>0.4</v>
      </c>
      <c r="W297" s="140">
        <f ca="1"/>
        <v>0</v>
      </c>
      <c r="X297" s="139">
        <f ca="1"/>
        <v>1</v>
      </c>
      <c r="Y297" s="141">
        <f ca="1"/>
        <v>0.59135000000000004</v>
      </c>
      <c r="Z297" s="141">
        <f ca="1"/>
        <v>0.59135000000000004</v>
      </c>
      <c r="AA297" s="142">
        <f ca="1"/>
        <v>0.23654000000000003</v>
      </c>
      <c r="AB297" s="138">
        <f ca="1"/>
        <v>3</v>
      </c>
      <c r="AC297" s="103" t="str">
        <f ca="1"/>
        <v>VIGENTE</v>
      </c>
      <c r="AD297" s="150">
        <f ca="1"/>
        <v>4.0000000000000002E-4</v>
      </c>
    </row>
    <row r="298" spans="1:30">
      <c r="A298" s="111" t="str">
        <f ca="1"/>
        <v>SAN GABRIEL</v>
      </c>
      <c r="B298" s="111" t="str">
        <f ca="1"/>
        <v>QUESOS Y GRASAS</v>
      </c>
      <c r="C298" s="111" t="str">
        <f ca="1"/>
        <v xml:space="preserve">Esteban Montenegro                      </v>
      </c>
      <c r="D298" s="111" t="str">
        <f ca="1"/>
        <v>QUESO SEMIMADURO KIOSKO</v>
      </c>
      <c r="E298" s="111" t="str">
        <f ca="1"/>
        <v>QUESO PROVOLONE KIOSKO BLOQUE</v>
      </c>
      <c r="F298" s="120" t="str">
        <f ca="1"/>
        <v>GUAYAQUIL</v>
      </c>
      <c r="G298" s="120">
        <f ca="1"/>
        <v>7711</v>
      </c>
      <c r="H298" s="120">
        <f ca="1"/>
        <v>1001</v>
      </c>
      <c r="I298" s="120" t="str">
        <f ca="1"/>
        <v>5771</v>
      </c>
      <c r="J298" s="120" t="str">
        <f ca="1"/>
        <v>Q PROVO AHUM KIOSKO BLOQ 260G</v>
      </c>
      <c r="K298" s="121">
        <f ca="1"/>
        <v>75</v>
      </c>
      <c r="L298" s="122">
        <f ca="1"/>
        <v>1</v>
      </c>
      <c r="M298" s="120">
        <f ca="1"/>
        <v>0.26</v>
      </c>
      <c r="N298" s="121">
        <f ca="1"/>
        <v>60</v>
      </c>
      <c r="O298" s="123">
        <f ca="1"/>
        <v>45611</v>
      </c>
      <c r="P298" s="123" t="str">
        <f ca="1"/>
        <v>viernes</v>
      </c>
      <c r="Q298" s="124">
        <f ca="1"/>
        <v>45603</v>
      </c>
      <c r="R298" s="124">
        <f ca="1"/>
        <v>45662</v>
      </c>
      <c r="S298" s="90">
        <f ca="1"/>
        <v>38</v>
      </c>
      <c r="T298" s="139">
        <f ca="1"/>
        <v>0.6333333333333333</v>
      </c>
      <c r="U298" s="131">
        <f ca="1"/>
        <v>6</v>
      </c>
      <c r="V298" s="120">
        <f ca="1"/>
        <v>1.56</v>
      </c>
      <c r="W298" s="140">
        <f ca="1"/>
        <v>8</v>
      </c>
      <c r="X298" s="139">
        <f ca="1"/>
        <v>0.8666666666666667</v>
      </c>
      <c r="Y298" s="141">
        <f ca="1"/>
        <v>2.0346349999999997</v>
      </c>
      <c r="Z298" s="141">
        <f ca="1"/>
        <v>2.0346349999999997</v>
      </c>
      <c r="AA298" s="142">
        <f ca="1"/>
        <v>3.1740305999999996</v>
      </c>
      <c r="AB298" s="138">
        <f ca="1"/>
        <v>13</v>
      </c>
      <c r="AC298" s="103" t="str">
        <f ca="1"/>
        <v>VIGENTE</v>
      </c>
      <c r="AD298" s="150">
        <f ca="1"/>
        <v>1.56E-3</v>
      </c>
    </row>
    <row r="299" spans="1:30">
      <c r="A299" s="111" t="str">
        <f ca="1"/>
        <v>SAN GABRIEL</v>
      </c>
      <c r="B299" s="111" t="str">
        <f ca="1"/>
        <v>QUESOS Y GRASAS</v>
      </c>
      <c r="C299" s="111" t="str">
        <f ca="1"/>
        <v xml:space="preserve">Esteban Montenegro                      </v>
      </c>
      <c r="D299" s="111" t="str">
        <f ca="1"/>
        <v>QUESO SEMIMADURO KIOSKO</v>
      </c>
      <c r="E299" s="111" t="str">
        <f ca="1"/>
        <v>QUESO PROVOLONE KIOSKO BLOQUE</v>
      </c>
      <c r="F299" s="120" t="str">
        <f ca="1"/>
        <v>GUAYAQUIL</v>
      </c>
      <c r="G299" s="120">
        <f ca="1"/>
        <v>7711</v>
      </c>
      <c r="H299" s="120">
        <f ca="1"/>
        <v>1001</v>
      </c>
      <c r="I299" s="120" t="str">
        <f ca="1"/>
        <v>5771</v>
      </c>
      <c r="J299" s="120" t="str">
        <f ca="1"/>
        <v>Q PROVO AHUM KIOSKO BLOQ 260G</v>
      </c>
      <c r="K299" s="121">
        <f ca="1"/>
        <v>75</v>
      </c>
      <c r="L299" s="122">
        <f ca="1"/>
        <v>1</v>
      </c>
      <c r="M299" s="120">
        <f ca="1"/>
        <v>0.26</v>
      </c>
      <c r="N299" s="121">
        <f ca="1"/>
        <v>60</v>
      </c>
      <c r="O299" s="123">
        <f ca="1"/>
        <v>45615</v>
      </c>
      <c r="P299" s="123" t="str">
        <f ca="1"/>
        <v>martes</v>
      </c>
      <c r="Q299" s="124">
        <f ca="1"/>
        <v>45603</v>
      </c>
      <c r="R299" s="124">
        <f ca="1"/>
        <v>45662</v>
      </c>
      <c r="S299" s="90">
        <f ca="1"/>
        <v>38</v>
      </c>
      <c r="T299" s="139">
        <f ca="1"/>
        <v>0.6333333333333333</v>
      </c>
      <c r="U299" s="131">
        <f ca="1"/>
        <v>75</v>
      </c>
      <c r="V299" s="120">
        <f ca="1"/>
        <v>19.5</v>
      </c>
      <c r="W299" s="140">
        <f ca="1"/>
        <v>12</v>
      </c>
      <c r="X299" s="139">
        <f ca="1"/>
        <v>0.8</v>
      </c>
      <c r="Y299" s="141">
        <f ca="1"/>
        <v>2.0346349999999997</v>
      </c>
      <c r="Z299" s="141">
        <f ca="1"/>
        <v>2.0346349999999997</v>
      </c>
      <c r="AA299" s="142">
        <f ca="1"/>
        <v>39.675382499999998</v>
      </c>
      <c r="AB299" s="138">
        <f ca="1"/>
        <v>9</v>
      </c>
      <c r="AC299" s="103" t="str">
        <f ca="1"/>
        <v>VIGENTE</v>
      </c>
      <c r="AD299" s="150">
        <f ca="1"/>
        <v>1.95E-2</v>
      </c>
    </row>
    <row r="300" spans="1:30">
      <c r="A300" s="111" t="str">
        <f ca="1"/>
        <v>SAN GABRIEL</v>
      </c>
      <c r="B300" s="111" t="str">
        <f ca="1"/>
        <v>QUESOS Y GRASAS</v>
      </c>
      <c r="C300" s="111" t="str">
        <f ca="1"/>
        <v xml:space="preserve">Esteban Montenegro                      </v>
      </c>
      <c r="D300" s="111" t="str">
        <f ca="1"/>
        <v>QUESO SEMIMADURO KIOSKO</v>
      </c>
      <c r="E300" s="111" t="str">
        <f ca="1"/>
        <v>QUESO PROVOLONE KIOSKO BLOQUE</v>
      </c>
      <c r="F300" s="120" t="str">
        <f ca="1"/>
        <v>GUAYAQUIL</v>
      </c>
      <c r="G300" s="120">
        <f ca="1"/>
        <v>7711</v>
      </c>
      <c r="H300" s="120">
        <f ca="1"/>
        <v>1001</v>
      </c>
      <c r="I300" s="120" t="str">
        <f ca="1"/>
        <v>5771</v>
      </c>
      <c r="J300" s="120" t="str">
        <f ca="1"/>
        <v>Q PROVO AHUM KIOSKO BLOQ 260G</v>
      </c>
      <c r="K300" s="121">
        <f ca="1"/>
        <v>30</v>
      </c>
      <c r="L300" s="122">
        <f ca="1"/>
        <v>1</v>
      </c>
      <c r="M300" s="120">
        <f ca="1"/>
        <v>0.26</v>
      </c>
      <c r="N300" s="121">
        <f ca="1"/>
        <v>60</v>
      </c>
      <c r="O300" s="123">
        <f ca="1"/>
        <v>45616</v>
      </c>
      <c r="P300" s="123" t="str">
        <f ca="1"/>
        <v>miércoles</v>
      </c>
      <c r="Q300" s="124">
        <f ca="1"/>
        <v>45611</v>
      </c>
      <c r="R300" s="124">
        <f ca="1"/>
        <v>45670</v>
      </c>
      <c r="S300" s="90">
        <f ca="1"/>
        <v>46</v>
      </c>
      <c r="T300" s="139">
        <f ca="1"/>
        <v>0.76666666666666672</v>
      </c>
      <c r="U300" s="131">
        <f ca="1"/>
        <v>30</v>
      </c>
      <c r="V300" s="120">
        <f ca="1"/>
        <v>7.8000000000000007</v>
      </c>
      <c r="W300" s="140">
        <f ca="1"/>
        <v>5</v>
      </c>
      <c r="X300" s="139">
        <f ca="1"/>
        <v>0.91666666666666663</v>
      </c>
      <c r="Y300" s="141">
        <f ca="1"/>
        <v>2.0346349999999997</v>
      </c>
      <c r="Z300" s="141">
        <f ca="1"/>
        <v>2.0346349999999997</v>
      </c>
      <c r="AA300" s="142">
        <f ca="1"/>
        <v>15.870153</v>
      </c>
      <c r="AB300" s="138">
        <f ca="1"/>
        <v>8</v>
      </c>
      <c r="AC300" s="103" t="str">
        <f ca="1"/>
        <v>VIGENTE</v>
      </c>
      <c r="AD300" s="150">
        <f ca="1"/>
        <v>7.8000000000000005E-3</v>
      </c>
    </row>
    <row r="301" spans="1:30">
      <c r="A301" s="111" t="str">
        <f ca="1"/>
        <v>SAN GABRIEL</v>
      </c>
      <c r="B301" s="111" t="str">
        <f ca="1"/>
        <v>QUESOS Y GRASAS</v>
      </c>
      <c r="C301" s="111" t="str">
        <f ca="1"/>
        <v xml:space="preserve">Esteban Montenegro                      </v>
      </c>
      <c r="D301" s="111" t="str">
        <f ca="1"/>
        <v>QUESO SEMIMADURO KIOSKO</v>
      </c>
      <c r="E301" s="111" t="str">
        <f ca="1"/>
        <v>QUESO PROVOLONE KIOSKO BLOQUE</v>
      </c>
      <c r="F301" s="120" t="str">
        <f ca="1"/>
        <v>GUAYAQUIL</v>
      </c>
      <c r="G301" s="120">
        <f ca="1"/>
        <v>7711</v>
      </c>
      <c r="H301" s="120">
        <f ca="1"/>
        <v>1001</v>
      </c>
      <c r="I301" s="120" t="str">
        <f ca="1"/>
        <v>5771</v>
      </c>
      <c r="J301" s="120" t="str">
        <f ca="1"/>
        <v>Q PROVO AHUM KIOSKO BLOQ 260G</v>
      </c>
      <c r="K301" s="121">
        <f ca="1"/>
        <v>35</v>
      </c>
      <c r="L301" s="122">
        <f ca="1"/>
        <v>1</v>
      </c>
      <c r="M301" s="120">
        <f ca="1"/>
        <v>0.26</v>
      </c>
      <c r="N301" s="121">
        <f ca="1"/>
        <v>60</v>
      </c>
      <c r="O301" s="123">
        <f ca="1"/>
        <v>45617</v>
      </c>
      <c r="P301" s="123" t="str">
        <f ca="1"/>
        <v>jueves</v>
      </c>
      <c r="Q301" s="124">
        <f ca="1"/>
        <v>45611</v>
      </c>
      <c r="R301" s="124">
        <f ca="1"/>
        <v>45670</v>
      </c>
      <c r="S301" s="90">
        <f ca="1"/>
        <v>46</v>
      </c>
      <c r="T301" s="139">
        <f ca="1"/>
        <v>0.76666666666666672</v>
      </c>
      <c r="U301" s="131">
        <f ca="1"/>
        <v>35</v>
      </c>
      <c r="V301" s="120">
        <f ca="1"/>
        <v>9.1</v>
      </c>
      <c r="W301" s="140">
        <f ca="1"/>
        <v>6</v>
      </c>
      <c r="X301" s="139">
        <f ca="1"/>
        <v>0.9</v>
      </c>
      <c r="Y301" s="141">
        <f ca="1"/>
        <v>2.0346349999999997</v>
      </c>
      <c r="Z301" s="141">
        <f ca="1"/>
        <v>2.0346349999999997</v>
      </c>
      <c r="AA301" s="142">
        <f ca="1"/>
        <v>18.515178499999998</v>
      </c>
      <c r="AB301" s="138">
        <f ca="1"/>
        <v>7</v>
      </c>
      <c r="AC301" s="103" t="str">
        <f ca="1"/>
        <v>VIGENTE</v>
      </c>
      <c r="AD301" s="150">
        <f ca="1"/>
        <v>9.1000000000000004E-3</v>
      </c>
    </row>
    <row r="302" spans="1:30">
      <c r="A302" s="111" t="str">
        <f ca="1"/>
        <v>MACHACHI</v>
      </c>
      <c r="B302" s="111" t="str">
        <f ca="1"/>
        <v>BEBIDAS LACTEAS</v>
      </c>
      <c r="C302" s="111" t="str">
        <f ca="1"/>
        <v xml:space="preserve">Luis Armendariz                         </v>
      </c>
      <c r="D302" s="111" t="str">
        <f ca="1"/>
        <v>YOGURT KIOSKO</v>
      </c>
      <c r="E302" s="111" t="str">
        <f ca="1"/>
        <v>BEBIDA DE YOGURT KIOSKO BOTELLA PERSONAL</v>
      </c>
      <c r="F302" s="120" t="str">
        <f ca="1"/>
        <v>GUAYAQUIL</v>
      </c>
      <c r="G302" s="120">
        <f ca="1"/>
        <v>7711</v>
      </c>
      <c r="H302" s="120">
        <f ca="1"/>
        <v>1001</v>
      </c>
      <c r="I302" s="120" t="str">
        <f ca="1"/>
        <v>14606</v>
      </c>
      <c r="J302" s="120" t="str">
        <f ca="1"/>
        <v>YOG BBLE KID KK MORA BOT 120G</v>
      </c>
      <c r="K302" s="121">
        <f ca="1"/>
        <v>182</v>
      </c>
      <c r="L302" s="122">
        <f ca="1"/>
        <v>1</v>
      </c>
      <c r="M302" s="120">
        <f ca="1"/>
        <v>0.12</v>
      </c>
      <c r="N302" s="121">
        <f ca="1"/>
        <v>45</v>
      </c>
      <c r="O302" s="123">
        <f ca="1"/>
        <v>45605</v>
      </c>
      <c r="P302" s="123" t="str">
        <f ca="1"/>
        <v>sábado</v>
      </c>
      <c r="Q302" s="124">
        <f ca="1"/>
        <v>45596</v>
      </c>
      <c r="R302" s="124">
        <f ca="1"/>
        <v>45640</v>
      </c>
      <c r="S302" s="90">
        <f ca="1"/>
        <v>16</v>
      </c>
      <c r="T302" s="139">
        <f ca="1"/>
        <v>0.35555555555555557</v>
      </c>
      <c r="U302" s="131">
        <f ca="1"/>
        <v>2</v>
      </c>
      <c r="V302" s="120">
        <f ca="1"/>
        <v>0.24</v>
      </c>
      <c r="W302" s="140">
        <f ca="1"/>
        <v>9</v>
      </c>
      <c r="X302" s="139">
        <f ca="1"/>
        <v>0.8</v>
      </c>
      <c r="Y302" s="141">
        <f ca="1"/>
        <v>0.25665499999999997</v>
      </c>
      <c r="Z302" s="141">
        <f ca="1"/>
        <v>0.25665499999999997</v>
      </c>
      <c r="AA302" s="142">
        <f ca="1"/>
        <v>6.1597199999999991E-2</v>
      </c>
      <c r="AB302" s="138">
        <f ca="1"/>
        <v>19</v>
      </c>
      <c r="AC302" s="103" t="str">
        <f ca="1"/>
        <v>FECHA CORTA</v>
      </c>
      <c r="AD302" s="150">
        <f ca="1"/>
        <v>2.3999999999999998E-4</v>
      </c>
    </row>
    <row r="303" spans="1:30">
      <c r="A303" s="111" t="str">
        <f ca="1"/>
        <v>MACHACHI</v>
      </c>
      <c r="B303" s="111" t="str">
        <f ca="1"/>
        <v>BEBIDAS LACTEAS</v>
      </c>
      <c r="C303" s="111" t="str">
        <f ca="1"/>
        <v xml:space="preserve">Luis Armendariz                         </v>
      </c>
      <c r="D303" s="111" t="str">
        <f ca="1"/>
        <v>YOGURT KIOSKO</v>
      </c>
      <c r="E303" s="111" t="str">
        <f ca="1"/>
        <v>BEBIDA DE YOGURT KIOSKO BOTELLA PERSONAL</v>
      </c>
      <c r="F303" s="120" t="str">
        <f ca="1"/>
        <v>GUAYAQUIL</v>
      </c>
      <c r="G303" s="120">
        <f ca="1"/>
        <v>7711</v>
      </c>
      <c r="H303" s="120">
        <f ca="1"/>
        <v>1001</v>
      </c>
      <c r="I303" s="120" t="str">
        <f ca="1"/>
        <v>14606</v>
      </c>
      <c r="J303" s="120" t="str">
        <f ca="1"/>
        <v>YOG BBLE KID KK MORA BOT 120G</v>
      </c>
      <c r="K303" s="121">
        <f ca="1"/>
        <v>182</v>
      </c>
      <c r="L303" s="122">
        <f ca="1"/>
        <v>1</v>
      </c>
      <c r="M303" s="120">
        <f ca="1"/>
        <v>0.12</v>
      </c>
      <c r="N303" s="121">
        <f ca="1"/>
        <v>45</v>
      </c>
      <c r="O303" s="123">
        <f ca="1"/>
        <v>45611</v>
      </c>
      <c r="P303" s="123" t="str">
        <f ca="1"/>
        <v>viernes</v>
      </c>
      <c r="Q303" s="124">
        <f ca="1"/>
        <v>45609</v>
      </c>
      <c r="R303" s="124">
        <f ca="1"/>
        <v>45653</v>
      </c>
      <c r="S303" s="90">
        <f ca="1"/>
        <v>29</v>
      </c>
      <c r="T303" s="139">
        <f ca="1"/>
        <v>0.64444444444444449</v>
      </c>
      <c r="U303" s="131">
        <f ca="1"/>
        <v>182</v>
      </c>
      <c r="V303" s="120">
        <f ca="1"/>
        <v>21.84</v>
      </c>
      <c r="W303" s="140">
        <f ca="1"/>
        <v>2</v>
      </c>
      <c r="X303" s="139">
        <f ca="1"/>
        <v>0.9555555555555556</v>
      </c>
      <c r="Y303" s="141">
        <f ca="1"/>
        <v>0.25665499999999997</v>
      </c>
      <c r="Z303" s="141">
        <f ca="1"/>
        <v>0.25665499999999997</v>
      </c>
      <c r="AA303" s="142">
        <f ca="1"/>
        <v>5.6053451999999995</v>
      </c>
      <c r="AB303" s="138">
        <f ca="1"/>
        <v>13</v>
      </c>
      <c r="AC303" s="103" t="str">
        <f ca="1"/>
        <v>VIGENTE</v>
      </c>
      <c r="AD303" s="150">
        <f ca="1"/>
        <v>2.1839999999999998E-2</v>
      </c>
    </row>
    <row r="304" spans="1:30">
      <c r="A304" s="111" t="str">
        <f ca="1"/>
        <v>MACHACHI</v>
      </c>
      <c r="B304" s="111" t="str">
        <f ca="1"/>
        <v>BEBIDAS LACTEAS</v>
      </c>
      <c r="C304" s="111" t="str">
        <f ca="1"/>
        <v xml:space="preserve">Luis Armendariz                         </v>
      </c>
      <c r="D304" s="111" t="str">
        <f ca="1"/>
        <v>YOGURT KIOSKO</v>
      </c>
      <c r="E304" s="111" t="str">
        <f ca="1"/>
        <v>BEBIDA DE YOGURT KIOSKO BOTELLA PERSONAL</v>
      </c>
      <c r="F304" s="120" t="str">
        <f ca="1"/>
        <v>GUAYAQUIL</v>
      </c>
      <c r="G304" s="120">
        <f ca="1"/>
        <v>7711</v>
      </c>
      <c r="H304" s="120">
        <f ca="1"/>
        <v>1001</v>
      </c>
      <c r="I304" s="120" t="str">
        <f ca="1"/>
        <v>14606</v>
      </c>
      <c r="J304" s="120" t="str">
        <f ca="1"/>
        <v>YOG BBLE KID KK MORA BOT 120G</v>
      </c>
      <c r="K304" s="121">
        <f ca="1"/>
        <v>182</v>
      </c>
      <c r="L304" s="122">
        <f ca="1"/>
        <v>1</v>
      </c>
      <c r="M304" s="120">
        <f ca="1"/>
        <v>0.12</v>
      </c>
      <c r="N304" s="121">
        <f ca="1"/>
        <v>45</v>
      </c>
      <c r="O304" s="123">
        <f ca="1"/>
        <v>45610</v>
      </c>
      <c r="P304" s="123" t="str">
        <f ca="1"/>
        <v>jueves</v>
      </c>
      <c r="Q304" s="124">
        <f ca="1"/>
        <v>45602</v>
      </c>
      <c r="R304" s="124">
        <f ca="1"/>
        <v>45646</v>
      </c>
      <c r="S304" s="90">
        <f ca="1"/>
        <v>22</v>
      </c>
      <c r="T304" s="139">
        <f ca="1"/>
        <v>0.48888888888888887</v>
      </c>
      <c r="U304" s="131">
        <f ca="1"/>
        <v>76</v>
      </c>
      <c r="V304" s="120">
        <f ca="1"/>
        <v>9.1199999999999992</v>
      </c>
      <c r="W304" s="140">
        <f ca="1"/>
        <v>8</v>
      </c>
      <c r="X304" s="139">
        <f ca="1"/>
        <v>0.82222222222222219</v>
      </c>
      <c r="Y304" s="141">
        <f ca="1"/>
        <v>0.25665499999999997</v>
      </c>
      <c r="Z304" s="141">
        <f ca="1"/>
        <v>0.25665499999999997</v>
      </c>
      <c r="AA304" s="142">
        <f ca="1"/>
        <v>2.3406935999999994</v>
      </c>
      <c r="AB304" s="138">
        <f ca="1"/>
        <v>14</v>
      </c>
      <c r="AC304" s="103" t="str">
        <f ca="1"/>
        <v>PROXIMOS FECHA CORTA</v>
      </c>
      <c r="AD304" s="150">
        <f ca="1"/>
        <v>9.1199999999999996E-3</v>
      </c>
    </row>
    <row r="305" spans="1:30">
      <c r="A305" s="111" t="str">
        <f ca="1"/>
        <v>MACHACHI</v>
      </c>
      <c r="B305" s="111" t="str">
        <f ca="1"/>
        <v>BEBIDAS LACTEAS</v>
      </c>
      <c r="C305" s="111" t="str">
        <f ca="1"/>
        <v xml:space="preserve">Luis Armendariz                         </v>
      </c>
      <c r="D305" s="111" t="str">
        <f ca="1"/>
        <v>YOGURT KIOSKO</v>
      </c>
      <c r="E305" s="111" t="str">
        <f ca="1"/>
        <v>BEBIDA DE YOGURT KIOSKO BOTELLA PERSONAL</v>
      </c>
      <c r="F305" s="120" t="str">
        <f ca="1"/>
        <v>GUAYAQUIL</v>
      </c>
      <c r="G305" s="120">
        <f ca="1"/>
        <v>7711</v>
      </c>
      <c r="H305" s="120">
        <f ca="1"/>
        <v>1001</v>
      </c>
      <c r="I305" s="120" t="str">
        <f ca="1"/>
        <v>14606</v>
      </c>
      <c r="J305" s="120" t="str">
        <f ca="1"/>
        <v>YOG BBLE KID KK MORA BOT 120G</v>
      </c>
      <c r="K305" s="121">
        <f ca="1"/>
        <v>182</v>
      </c>
      <c r="L305" s="122">
        <f ca="1"/>
        <v>1</v>
      </c>
      <c r="M305" s="120">
        <f ca="1"/>
        <v>0.12</v>
      </c>
      <c r="N305" s="121">
        <f ca="1"/>
        <v>45</v>
      </c>
      <c r="O305" s="123">
        <f ca="1"/>
        <v>45616</v>
      </c>
      <c r="P305" s="123" t="str">
        <f ca="1"/>
        <v>miércoles</v>
      </c>
      <c r="Q305" s="124">
        <f ca="1"/>
        <v>45610</v>
      </c>
      <c r="R305" s="124">
        <f ca="1"/>
        <v>45654</v>
      </c>
      <c r="S305" s="90">
        <f ca="1"/>
        <v>30</v>
      </c>
      <c r="T305" s="139">
        <f ca="1"/>
        <v>0.66666666666666663</v>
      </c>
      <c r="U305" s="131">
        <f ca="1"/>
        <v>0</v>
      </c>
      <c r="V305" s="120">
        <f ca="1"/>
        <v>0</v>
      </c>
      <c r="W305" s="140">
        <f ca="1"/>
        <v>6</v>
      </c>
      <c r="X305" s="139">
        <f ca="1"/>
        <v>0.8666666666666667</v>
      </c>
      <c r="Y305" s="141">
        <f ca="1"/>
        <v>0.25665499999999997</v>
      </c>
      <c r="Z305" s="141">
        <f ca="1"/>
        <v>0.25665499999999997</v>
      </c>
      <c r="AA305" s="142">
        <f ca="1"/>
        <v>0</v>
      </c>
      <c r="AB305" s="138">
        <f ca="1"/>
        <v>8</v>
      </c>
      <c r="AC305" s="103" t="str">
        <f ca="1"/>
        <v>VIGENTE</v>
      </c>
      <c r="AD305" s="150">
        <f ca="1"/>
        <v>0</v>
      </c>
    </row>
    <row r="306" spans="1:30">
      <c r="A306" s="111" t="str">
        <f ca="1"/>
        <v>MACHACHI</v>
      </c>
      <c r="B306" s="111" t="str">
        <f ca="1"/>
        <v>BEBIDAS LACTEAS</v>
      </c>
      <c r="C306" s="111" t="str">
        <f ca="1"/>
        <v xml:space="preserve">Luis Armendariz                         </v>
      </c>
      <c r="D306" s="111" t="str">
        <f ca="1"/>
        <v>YOGURT KIOSKO</v>
      </c>
      <c r="E306" s="111" t="str">
        <f ca="1"/>
        <v>BEBIDA DE YOGURT KIOSKO BOTELLA PERSONAL</v>
      </c>
      <c r="F306" s="120" t="str">
        <f ca="1"/>
        <v>GUAYAQUIL</v>
      </c>
      <c r="G306" s="120">
        <f ca="1"/>
        <v>7711</v>
      </c>
      <c r="H306" s="120">
        <f ca="1"/>
        <v>1001</v>
      </c>
      <c r="I306" s="120" t="str">
        <f ca="1"/>
        <v>14606</v>
      </c>
      <c r="J306" s="120" t="str">
        <f ca="1"/>
        <v>YOG BBLE KID KK MORA BOT 120G</v>
      </c>
      <c r="K306" s="121">
        <f ca="1"/>
        <v>182</v>
      </c>
      <c r="L306" s="122">
        <f ca="1"/>
        <v>1</v>
      </c>
      <c r="M306" s="120">
        <f ca="1"/>
        <v>0.12</v>
      </c>
      <c r="N306" s="121">
        <f ca="1"/>
        <v>45</v>
      </c>
      <c r="O306" s="123">
        <f ca="1"/>
        <v>45617</v>
      </c>
      <c r="P306" s="123" t="str">
        <f ca="1"/>
        <v>jueves</v>
      </c>
      <c r="Q306" s="124">
        <f ca="1"/>
        <v>45610</v>
      </c>
      <c r="R306" s="124">
        <f ca="1"/>
        <v>45654</v>
      </c>
      <c r="S306" s="90">
        <f ca="1"/>
        <v>30</v>
      </c>
      <c r="T306" s="139">
        <f ca="1"/>
        <v>0.66666666666666663</v>
      </c>
      <c r="U306" s="131">
        <f ca="1"/>
        <v>182</v>
      </c>
      <c r="V306" s="120">
        <f ca="1"/>
        <v>21.84</v>
      </c>
      <c r="W306" s="140">
        <f ca="1"/>
        <v>7</v>
      </c>
      <c r="X306" s="139">
        <f ca="1"/>
        <v>0.84444444444444444</v>
      </c>
      <c r="Y306" s="141">
        <f ca="1"/>
        <v>0.25665499999999997</v>
      </c>
      <c r="Z306" s="141">
        <f ca="1"/>
        <v>0.25665499999999997</v>
      </c>
      <c r="AA306" s="142">
        <f ca="1"/>
        <v>5.6053451999999995</v>
      </c>
      <c r="AB306" s="138">
        <f ca="1"/>
        <v>7</v>
      </c>
      <c r="AC306" s="103" t="str">
        <f ca="1"/>
        <v>VIGENTE</v>
      </c>
      <c r="AD306" s="150">
        <f ca="1"/>
        <v>2.1839999999999998E-2</v>
      </c>
    </row>
    <row r="307" spans="1:30">
      <c r="A307" s="111" t="str">
        <f ca="1"/>
        <v>MULTIEMPAQUE_SG</v>
      </c>
      <c r="B307" s="111" t="str">
        <f ca="1"/>
        <v>POSTRES</v>
      </c>
      <c r="C307" s="111" t="str">
        <f ca="1"/>
        <v xml:space="preserve">Luis Armendariz                         </v>
      </c>
      <c r="D307" s="111" t="str">
        <f ca="1"/>
        <v>AREQUIPE ALPINA</v>
      </c>
      <c r="E307" s="111" t="str">
        <f ca="1"/>
        <v>AREQUIPE ALPINA</v>
      </c>
      <c r="F307" s="120" t="str">
        <f ca="1"/>
        <v>GUAYAQUIL</v>
      </c>
      <c r="G307" s="120">
        <f ca="1"/>
        <v>7711</v>
      </c>
      <c r="H307" s="120">
        <f ca="1"/>
        <v>1001</v>
      </c>
      <c r="I307" s="120" t="str">
        <f ca="1"/>
        <v>11311</v>
      </c>
      <c r="J307" s="120" t="str">
        <f ca="1"/>
        <v>MPLX18 AREQUIPE VASO 50G</v>
      </c>
      <c r="K307" s="121">
        <f ca="1"/>
        <v>15</v>
      </c>
      <c r="L307" s="122">
        <f ca="1"/>
        <v>1</v>
      </c>
      <c r="M307" s="120">
        <f ca="1"/>
        <v>0.9</v>
      </c>
      <c r="N307" s="121">
        <f ca="1"/>
        <v>180</v>
      </c>
      <c r="O307" s="123">
        <f ca="1"/>
        <v>45605</v>
      </c>
      <c r="P307" s="123" t="str">
        <f ca="1"/>
        <v>sábado</v>
      </c>
      <c r="Q307" s="124">
        <f ca="1"/>
        <v>45597</v>
      </c>
      <c r="R307" s="124">
        <f ca="1"/>
        <v>45776</v>
      </c>
      <c r="S307" s="90">
        <f ca="1"/>
        <v>152</v>
      </c>
      <c r="T307" s="139">
        <f ca="1"/>
        <v>0.84444444444444444</v>
      </c>
      <c r="U307" s="131">
        <f ca="1"/>
        <v>7</v>
      </c>
      <c r="V307" s="120">
        <f ca="1"/>
        <v>6.3</v>
      </c>
      <c r="W307" s="140">
        <f ca="1"/>
        <v>8</v>
      </c>
      <c r="X307" s="139">
        <f ca="1"/>
        <v>0.9555555555555556</v>
      </c>
      <c r="Y307" s="141">
        <f ca="1"/>
        <v>3.7820849999999999</v>
      </c>
      <c r="Z307" s="141">
        <f ca="1"/>
        <v>3.7820849999999999</v>
      </c>
      <c r="AA307" s="142">
        <f ca="1"/>
        <v>23.827135499999997</v>
      </c>
      <c r="AB307" s="138">
        <f ca="1"/>
        <v>19</v>
      </c>
      <c r="AC307" s="103" t="str">
        <f ca="1"/>
        <v>VIGENTE</v>
      </c>
      <c r="AD307" s="150">
        <f ca="1"/>
        <v>6.3E-3</v>
      </c>
    </row>
    <row r="308" spans="1:30">
      <c r="A308" s="111" t="str">
        <f ca="1"/>
        <v>MULTIEMPAQUE_SG</v>
      </c>
      <c r="B308" s="111" t="str">
        <f ca="1"/>
        <v>POSTRES</v>
      </c>
      <c r="C308" s="111" t="str">
        <f ca="1"/>
        <v xml:space="preserve">Luis Armendariz                         </v>
      </c>
      <c r="D308" s="111" t="str">
        <f ca="1"/>
        <v>AREQUIPE ALPINA</v>
      </c>
      <c r="E308" s="111" t="str">
        <f ca="1"/>
        <v>AREQUIPE ALPINA</v>
      </c>
      <c r="F308" s="120" t="str">
        <f ca="1"/>
        <v>GUAYAQUIL</v>
      </c>
      <c r="G308" s="120">
        <f ca="1"/>
        <v>7711</v>
      </c>
      <c r="H308" s="120">
        <f ca="1"/>
        <v>1001</v>
      </c>
      <c r="I308" s="120" t="str">
        <f ca="1"/>
        <v>11311</v>
      </c>
      <c r="J308" s="120" t="str">
        <f ca="1"/>
        <v>MPLX18 AREQUIPE VASO 50G</v>
      </c>
      <c r="K308" s="121">
        <f ca="1"/>
        <v>15</v>
      </c>
      <c r="L308" s="122">
        <f ca="1"/>
        <v>1</v>
      </c>
      <c r="M308" s="120">
        <f ca="1"/>
        <v>0.9</v>
      </c>
      <c r="N308" s="121">
        <f ca="1"/>
        <v>180</v>
      </c>
      <c r="O308" s="123">
        <f ca="1"/>
        <v>45612</v>
      </c>
      <c r="P308" s="123" t="str">
        <f ca="1"/>
        <v>sábado</v>
      </c>
      <c r="Q308" s="124">
        <f ca="1"/>
        <v>45597</v>
      </c>
      <c r="R308" s="124">
        <f ca="1"/>
        <v>45776</v>
      </c>
      <c r="S308" s="90">
        <f ca="1"/>
        <v>152</v>
      </c>
      <c r="T308" s="139">
        <f ca="1"/>
        <v>0.84444444444444444</v>
      </c>
      <c r="U308" s="131">
        <f ca="1"/>
        <v>15</v>
      </c>
      <c r="V308" s="120">
        <f ca="1"/>
        <v>13.5</v>
      </c>
      <c r="W308" s="140">
        <f ca="1"/>
        <v>15</v>
      </c>
      <c r="X308" s="139">
        <f ca="1"/>
        <v>0.91666666666666663</v>
      </c>
      <c r="Y308" s="141">
        <f ca="1"/>
        <v>3.7820849999999999</v>
      </c>
      <c r="Z308" s="141">
        <f ca="1"/>
        <v>3.7820849999999999</v>
      </c>
      <c r="AA308" s="142">
        <f ca="1"/>
        <v>51.058147499999997</v>
      </c>
      <c r="AB308" s="138">
        <f ca="1"/>
        <v>12</v>
      </c>
      <c r="AC308" s="103" t="str">
        <f ca="1"/>
        <v>VIGENTE</v>
      </c>
      <c r="AD308" s="150">
        <f ca="1"/>
        <v>1.35E-2</v>
      </c>
    </row>
    <row r="309" spans="1:30">
      <c r="A309" s="111" t="str">
        <f ca="1"/>
        <v>MACHACHI</v>
      </c>
      <c r="B309" s="111" t="str">
        <f ca="1"/>
        <v>BEBIDAS LACTEAS</v>
      </c>
      <c r="C309" s="111" t="str">
        <f ca="1"/>
        <v xml:space="preserve">Luis Armendariz                         </v>
      </c>
      <c r="D309" s="111" t="str">
        <f ca="1"/>
        <v>BON YURT</v>
      </c>
      <c r="E309" s="111" t="str">
        <f ca="1"/>
        <v>BON YURT MINI</v>
      </c>
      <c r="F309" s="120" t="str">
        <f ca="1"/>
        <v>GUAYAQUIL</v>
      </c>
      <c r="G309" s="120">
        <f ca="1"/>
        <v>7711</v>
      </c>
      <c r="H309" s="120">
        <f ca="1"/>
        <v>1001</v>
      </c>
      <c r="I309" s="120" t="str">
        <f ca="1"/>
        <v>16530</v>
      </c>
      <c r="J309" s="120" t="str">
        <f ca="1"/>
        <v>BY MINI GOMITAS 127G</v>
      </c>
      <c r="K309" s="121">
        <f ca="1"/>
        <v>1380</v>
      </c>
      <c r="L309" s="122">
        <f ca="1"/>
        <v>1</v>
      </c>
      <c r="M309" s="120">
        <f ca="1"/>
        <v>0.127</v>
      </c>
      <c r="N309" s="121">
        <f ca="1"/>
        <v>45</v>
      </c>
      <c r="O309" s="123">
        <f ca="1"/>
        <v>45596</v>
      </c>
      <c r="P309" s="123" t="str">
        <f ca="1"/>
        <v>jueves</v>
      </c>
      <c r="Q309" s="124">
        <f ca="1"/>
        <v>45584</v>
      </c>
      <c r="R309" s="124">
        <f ca="1"/>
        <v>45628</v>
      </c>
      <c r="S309" s="90">
        <f ca="1"/>
        <v>4</v>
      </c>
      <c r="T309" s="139">
        <f ca="1"/>
        <v>8.8888888888888892E-2</v>
      </c>
      <c r="U309" s="131">
        <f ca="1"/>
        <v>16</v>
      </c>
      <c r="V309" s="120">
        <f ca="1"/>
        <v>2.032</v>
      </c>
      <c r="W309" s="140">
        <f ca="1"/>
        <v>12</v>
      </c>
      <c r="X309" s="139">
        <f ca="1"/>
        <v>0.73333333333333339</v>
      </c>
      <c r="Y309" s="141">
        <f ca="1"/>
        <v>0.34782999999999997</v>
      </c>
      <c r="Z309" s="141">
        <f ca="1"/>
        <v>0.34782999999999997</v>
      </c>
      <c r="AA309" s="142">
        <f ca="1"/>
        <v>0.70679055999999996</v>
      </c>
      <c r="AB309" s="138">
        <f ca="1"/>
        <v>28</v>
      </c>
      <c r="AC309" s="103" t="str">
        <f ca="1"/>
        <v>FECHA CORTA</v>
      </c>
      <c r="AD309" s="150">
        <f ca="1"/>
        <v>2.032E-3</v>
      </c>
    </row>
    <row r="310" spans="1:30">
      <c r="A310" s="111" t="str">
        <f ca="1"/>
        <v>MACHACHI</v>
      </c>
      <c r="B310" s="111" t="str">
        <f ca="1"/>
        <v>BEBIDAS LACTEAS</v>
      </c>
      <c r="C310" s="111" t="str">
        <f ca="1"/>
        <v xml:space="preserve">Luis Armendariz                         </v>
      </c>
      <c r="D310" s="111" t="str">
        <f ca="1"/>
        <v>BON YURT</v>
      </c>
      <c r="E310" s="111" t="str">
        <f ca="1"/>
        <v>BON YURT MINI</v>
      </c>
      <c r="F310" s="120" t="str">
        <f ca="1"/>
        <v>GUAYAQUIL</v>
      </c>
      <c r="G310" s="120">
        <f ca="1"/>
        <v>7711</v>
      </c>
      <c r="H310" s="120">
        <f ca="1"/>
        <v>1001</v>
      </c>
      <c r="I310" s="120" t="str">
        <f ca="1"/>
        <v>16530</v>
      </c>
      <c r="J310" s="120" t="str">
        <f ca="1"/>
        <v>BY MINI GOMITAS 127G</v>
      </c>
      <c r="K310" s="121">
        <f ca="1"/>
        <v>1800</v>
      </c>
      <c r="L310" s="122">
        <f ca="1"/>
        <v>1</v>
      </c>
      <c r="M310" s="120">
        <f ca="1"/>
        <v>0.127</v>
      </c>
      <c r="N310" s="121">
        <f ca="1"/>
        <v>45</v>
      </c>
      <c r="O310" s="123">
        <f ca="1"/>
        <v>45604</v>
      </c>
      <c r="P310" s="123" t="str">
        <f ca="1"/>
        <v>viernes</v>
      </c>
      <c r="Q310" s="124">
        <f ca="1"/>
        <v>45597</v>
      </c>
      <c r="R310" s="124">
        <f ca="1"/>
        <v>45641</v>
      </c>
      <c r="S310" s="90">
        <f ca="1"/>
        <v>17</v>
      </c>
      <c r="T310" s="139">
        <f ca="1"/>
        <v>0.37777777777777777</v>
      </c>
      <c r="U310" s="131">
        <f ca="1"/>
        <v>34</v>
      </c>
      <c r="V310" s="120">
        <f ca="1"/>
        <v>4.3179999999999996</v>
      </c>
      <c r="W310" s="140">
        <f ca="1"/>
        <v>7</v>
      </c>
      <c r="X310" s="139">
        <f ca="1"/>
        <v>0.84444444444444444</v>
      </c>
      <c r="Y310" s="141">
        <f ca="1"/>
        <v>0.34782999999999997</v>
      </c>
      <c r="Z310" s="141">
        <f ca="1"/>
        <v>0.34782999999999997</v>
      </c>
      <c r="AA310" s="142">
        <f ca="1"/>
        <v>1.5019299399999997</v>
      </c>
      <c r="AB310" s="138">
        <f ca="1"/>
        <v>20</v>
      </c>
      <c r="AC310" s="103" t="str">
        <f ca="1"/>
        <v>FECHA CORTA</v>
      </c>
      <c r="AD310" s="150">
        <f ca="1"/>
        <v>4.3179999999999998E-3</v>
      </c>
    </row>
    <row r="311" spans="1:30">
      <c r="A311" s="111" t="str">
        <f ca="1"/>
        <v>MACHACHI</v>
      </c>
      <c r="B311" s="111" t="str">
        <f ca="1"/>
        <v>BEBIDAS LACTEAS</v>
      </c>
      <c r="C311" s="111" t="str">
        <f ca="1"/>
        <v xml:space="preserve">Luis Armendariz                         </v>
      </c>
      <c r="D311" s="111" t="str">
        <f ca="1"/>
        <v>BON YURT</v>
      </c>
      <c r="E311" s="111" t="str">
        <f ca="1"/>
        <v>BON YURT MINI</v>
      </c>
      <c r="F311" s="120" t="str">
        <f ca="1"/>
        <v>GUAYAQUIL</v>
      </c>
      <c r="G311" s="120">
        <f ca="1"/>
        <v>7711</v>
      </c>
      <c r="H311" s="120">
        <f ca="1"/>
        <v>1001</v>
      </c>
      <c r="I311" s="120" t="str">
        <f ca="1"/>
        <v>16530</v>
      </c>
      <c r="J311" s="120" t="str">
        <f ca="1"/>
        <v>BY MINI GOMITAS 127G</v>
      </c>
      <c r="K311" s="121">
        <f ca="1"/>
        <v>600</v>
      </c>
      <c r="L311" s="122">
        <f ca="1"/>
        <v>1</v>
      </c>
      <c r="M311" s="120">
        <f ca="1"/>
        <v>0.127</v>
      </c>
      <c r="N311" s="121">
        <f ca="1"/>
        <v>45</v>
      </c>
      <c r="O311" s="123">
        <f ca="1"/>
        <v>45605</v>
      </c>
      <c r="P311" s="123" t="str">
        <f ca="1"/>
        <v>sábado</v>
      </c>
      <c r="Q311" s="124">
        <f ca="1"/>
        <v>45597</v>
      </c>
      <c r="R311" s="124">
        <f ca="1"/>
        <v>45641</v>
      </c>
      <c r="S311" s="90">
        <f ca="1"/>
        <v>17</v>
      </c>
      <c r="T311" s="139">
        <f ca="1"/>
        <v>0.37777777777777777</v>
      </c>
      <c r="U311" s="131">
        <f ca="1"/>
        <v>600</v>
      </c>
      <c r="V311" s="120">
        <f ca="1"/>
        <v>76.2</v>
      </c>
      <c r="W311" s="140">
        <f ca="1"/>
        <v>8</v>
      </c>
      <c r="X311" s="139">
        <f ca="1"/>
        <v>0.82222222222222219</v>
      </c>
      <c r="Y311" s="141">
        <f ca="1"/>
        <v>0.34782999999999997</v>
      </c>
      <c r="Z311" s="141">
        <f ca="1"/>
        <v>0.34782999999999997</v>
      </c>
      <c r="AA311" s="142">
        <f ca="1"/>
        <v>26.504645999999997</v>
      </c>
      <c r="AB311" s="138">
        <f ca="1"/>
        <v>19</v>
      </c>
      <c r="AC311" s="103" t="str">
        <f ca="1"/>
        <v>FECHA CORTA</v>
      </c>
      <c r="AD311" s="150">
        <f ca="1"/>
        <v>7.6200000000000004E-2</v>
      </c>
    </row>
    <row r="312" spans="1:30">
      <c r="A312" s="111" t="str">
        <f ca="1"/>
        <v>MACHACHI</v>
      </c>
      <c r="B312" s="111" t="str">
        <f ca="1"/>
        <v>BEBIDAS LACTEAS</v>
      </c>
      <c r="C312" s="111" t="str">
        <f ca="1"/>
        <v xml:space="preserve">Luis Armendariz                         </v>
      </c>
      <c r="D312" s="111" t="str">
        <f ca="1"/>
        <v>BON YURT</v>
      </c>
      <c r="E312" s="111" t="str">
        <f ca="1"/>
        <v>BON YURT MINI</v>
      </c>
      <c r="F312" s="120" t="str">
        <f ca="1"/>
        <v>GUAYAQUIL</v>
      </c>
      <c r="G312" s="120">
        <f ca="1"/>
        <v>7711</v>
      </c>
      <c r="H312" s="120">
        <f ca="1"/>
        <v>1001</v>
      </c>
      <c r="I312" s="120" t="str">
        <f ca="1"/>
        <v>16530</v>
      </c>
      <c r="J312" s="120" t="str">
        <f ca="1"/>
        <v>BY MINI GOMITAS 127G</v>
      </c>
      <c r="K312" s="121">
        <f ca="1"/>
        <v>720</v>
      </c>
      <c r="L312" s="122">
        <f ca="1"/>
        <v>1</v>
      </c>
      <c r="M312" s="120">
        <f ca="1"/>
        <v>0.127</v>
      </c>
      <c r="N312" s="121">
        <f ca="1"/>
        <v>45</v>
      </c>
      <c r="O312" s="123">
        <f ca="1"/>
        <v>45609</v>
      </c>
      <c r="P312" s="123" t="str">
        <f ca="1"/>
        <v>miércoles</v>
      </c>
      <c r="Q312" s="124">
        <f ca="1"/>
        <v>45597</v>
      </c>
      <c r="R312" s="124">
        <f ca="1"/>
        <v>45641</v>
      </c>
      <c r="S312" s="90">
        <f ca="1"/>
        <v>17</v>
      </c>
      <c r="T312" s="139">
        <f ca="1"/>
        <v>0.37777777777777777</v>
      </c>
      <c r="U312" s="131">
        <f ca="1"/>
        <v>720</v>
      </c>
      <c r="V312" s="120">
        <f ca="1"/>
        <v>91.44</v>
      </c>
      <c r="W312" s="140">
        <f ca="1"/>
        <v>12</v>
      </c>
      <c r="X312" s="139">
        <f ca="1"/>
        <v>0.73333333333333339</v>
      </c>
      <c r="Y312" s="141">
        <f ca="1"/>
        <v>0.34782999999999997</v>
      </c>
      <c r="Z312" s="141">
        <f ca="1"/>
        <v>0.34782999999999997</v>
      </c>
      <c r="AA312" s="142">
        <f ca="1"/>
        <v>31.805575199999996</v>
      </c>
      <c r="AB312" s="138">
        <f ca="1"/>
        <v>15</v>
      </c>
      <c r="AC312" s="103" t="str">
        <f ca="1"/>
        <v>FECHA CORTA</v>
      </c>
      <c r="AD312" s="150">
        <f ca="1"/>
        <v>9.1439999999999994E-2</v>
      </c>
    </row>
    <row r="313" spans="1:30">
      <c r="A313" s="111" t="str">
        <f ca="1"/>
        <v>MACHACHI</v>
      </c>
      <c r="B313" s="111" t="str">
        <f ca="1"/>
        <v>BEBIDAS LACTEAS</v>
      </c>
      <c r="C313" s="111" t="str">
        <f ca="1"/>
        <v xml:space="preserve">Luis Armendariz                         </v>
      </c>
      <c r="D313" s="111" t="str">
        <f ca="1"/>
        <v>BON YURT</v>
      </c>
      <c r="E313" s="111" t="str">
        <f ca="1"/>
        <v>BON YURT MINI</v>
      </c>
      <c r="F313" s="120" t="str">
        <f ca="1"/>
        <v>GUAYAQUIL</v>
      </c>
      <c r="G313" s="120">
        <f ca="1"/>
        <v>7711</v>
      </c>
      <c r="H313" s="120">
        <f ca="1"/>
        <v>1001</v>
      </c>
      <c r="I313" s="120" t="str">
        <f ca="1"/>
        <v>16530</v>
      </c>
      <c r="J313" s="120" t="str">
        <f ca="1"/>
        <v>BY MINI GOMITAS 127G</v>
      </c>
      <c r="K313" s="121">
        <f ca="1"/>
        <v>1200</v>
      </c>
      <c r="L313" s="122">
        <f ca="1"/>
        <v>1</v>
      </c>
      <c r="M313" s="120">
        <f ca="1"/>
        <v>0.127</v>
      </c>
      <c r="N313" s="121">
        <f ca="1"/>
        <v>45</v>
      </c>
      <c r="O313" s="123">
        <f ca="1"/>
        <v>45610</v>
      </c>
      <c r="P313" s="123" t="str">
        <f ca="1"/>
        <v>jueves</v>
      </c>
      <c r="Q313" s="124">
        <f ca="1"/>
        <v>45610</v>
      </c>
      <c r="R313" s="124">
        <f ca="1"/>
        <v>45654</v>
      </c>
      <c r="S313" s="90">
        <f ca="1"/>
        <v>30</v>
      </c>
      <c r="T313" s="139">
        <f ca="1"/>
        <v>0.66666666666666663</v>
      </c>
      <c r="U313" s="131">
        <f ca="1"/>
        <v>536</v>
      </c>
      <c r="V313" s="120">
        <f ca="1"/>
        <v>68.072000000000003</v>
      </c>
      <c r="W313" s="140">
        <f ca="1"/>
        <v>0</v>
      </c>
      <c r="X313" s="139">
        <f ca="1"/>
        <v>1</v>
      </c>
      <c r="Y313" s="141">
        <f ca="1"/>
        <v>0.34782999999999997</v>
      </c>
      <c r="Z313" s="141">
        <f ca="1"/>
        <v>0.34782999999999997</v>
      </c>
      <c r="AA313" s="142">
        <f ca="1"/>
        <v>23.677483759999998</v>
      </c>
      <c r="AB313" s="138">
        <f ca="1"/>
        <v>14</v>
      </c>
      <c r="AC313" s="103" t="str">
        <f ca="1"/>
        <v>VIGENTE</v>
      </c>
      <c r="AD313" s="150">
        <f ca="1"/>
        <v>6.8072000000000008E-2</v>
      </c>
    </row>
    <row r="314" spans="1:30">
      <c r="A314" s="111" t="str">
        <f ca="1"/>
        <v>MACHACHI</v>
      </c>
      <c r="B314" s="111" t="str">
        <f ca="1"/>
        <v>BEBIDAS LACTEAS</v>
      </c>
      <c r="C314" s="111" t="str">
        <f ca="1"/>
        <v xml:space="preserve">Luis Armendariz                         </v>
      </c>
      <c r="D314" s="111" t="str">
        <f ca="1"/>
        <v>BON YURT</v>
      </c>
      <c r="E314" s="111" t="str">
        <f ca="1"/>
        <v>BON YURT MINI</v>
      </c>
      <c r="F314" s="120" t="str">
        <f ca="1"/>
        <v>GUAYAQUIL</v>
      </c>
      <c r="G314" s="120">
        <f ca="1"/>
        <v>7711</v>
      </c>
      <c r="H314" s="120">
        <f ca="1"/>
        <v>1001</v>
      </c>
      <c r="I314" s="120" t="str">
        <f ca="1"/>
        <v>16530</v>
      </c>
      <c r="J314" s="120" t="str">
        <f ca="1"/>
        <v>BY MINI GOMITAS 127G</v>
      </c>
      <c r="K314" s="121">
        <f ca="1"/>
        <v>1020</v>
      </c>
      <c r="L314" s="122">
        <f ca="1"/>
        <v>1</v>
      </c>
      <c r="M314" s="120">
        <f ca="1"/>
        <v>0.127</v>
      </c>
      <c r="N314" s="121">
        <f ca="1"/>
        <v>45</v>
      </c>
      <c r="O314" s="123">
        <f ca="1"/>
        <v>45617</v>
      </c>
      <c r="P314" s="123" t="str">
        <f ca="1"/>
        <v>jueves</v>
      </c>
      <c r="Q314" s="124">
        <f ca="1"/>
        <v>45608</v>
      </c>
      <c r="R314" s="124">
        <f ca="1"/>
        <v>45652</v>
      </c>
      <c r="S314" s="90">
        <f ca="1"/>
        <v>28</v>
      </c>
      <c r="T314" s="139">
        <f ca="1"/>
        <v>0.62222222222222223</v>
      </c>
      <c r="U314" s="131">
        <f ca="1"/>
        <v>656</v>
      </c>
      <c r="V314" s="120">
        <f ca="1"/>
        <v>83.311999999999998</v>
      </c>
      <c r="W314" s="140">
        <f ca="1"/>
        <v>9</v>
      </c>
      <c r="X314" s="139">
        <f ca="1"/>
        <v>0.8</v>
      </c>
      <c r="Y314" s="141">
        <f ca="1"/>
        <v>0.34782999999999997</v>
      </c>
      <c r="Z314" s="141">
        <f ca="1"/>
        <v>0.34782999999999997</v>
      </c>
      <c r="AA314" s="142">
        <f ca="1"/>
        <v>28.978412959999996</v>
      </c>
      <c r="AB314" s="138">
        <f ca="1"/>
        <v>7</v>
      </c>
      <c r="AC314" s="103" t="str">
        <f ca="1"/>
        <v>VIGENTE</v>
      </c>
      <c r="AD314" s="150">
        <f ca="1"/>
        <v>8.3311999999999997E-2</v>
      </c>
    </row>
    <row r="315" spans="1:30">
      <c r="A315" s="111" t="str">
        <f ca="1"/>
        <v>SAN GABRIEL</v>
      </c>
      <c r="B315" s="111" t="str">
        <f ca="1"/>
        <v>POSTRES</v>
      </c>
      <c r="C315" s="111" t="str">
        <f ca="1"/>
        <v xml:space="preserve">Luis Armendariz                         </v>
      </c>
      <c r="D315" s="111" t="str">
        <f ca="1"/>
        <v>DULCE LECHE KIOSCO</v>
      </c>
      <c r="E315" s="111" t="str">
        <f ca="1"/>
        <v>DULCE DE LECHE KIOSCO FAMILIAR</v>
      </c>
      <c r="F315" s="120" t="str">
        <f ca="1"/>
        <v>GUAYAQUIL</v>
      </c>
      <c r="G315" s="120">
        <f ca="1"/>
        <v>7711</v>
      </c>
      <c r="H315" s="120">
        <f ca="1"/>
        <v>1001</v>
      </c>
      <c r="I315" s="120" t="str">
        <f ca="1"/>
        <v>16743</v>
      </c>
      <c r="J315" s="120" t="str">
        <f ca="1"/>
        <v>DULCE DE LECHE KIOSKO DOYPACK 100G</v>
      </c>
      <c r="K315" s="121">
        <f ca="1"/>
        <v>224</v>
      </c>
      <c r="L315" s="122">
        <f ca="1"/>
        <v>1</v>
      </c>
      <c r="M315" s="120">
        <f ca="1"/>
        <v>0.1</v>
      </c>
      <c r="N315" s="121">
        <f ca="1"/>
        <v>180</v>
      </c>
      <c r="O315" s="123">
        <f ca="1"/>
        <v>45611</v>
      </c>
      <c r="P315" s="123" t="str">
        <f ca="1"/>
        <v>viernes</v>
      </c>
      <c r="Q315" s="124">
        <f ca="1"/>
        <v>45604</v>
      </c>
      <c r="R315" s="124">
        <f ca="1"/>
        <v>45783</v>
      </c>
      <c r="S315" s="90">
        <f ca="1"/>
        <v>159</v>
      </c>
      <c r="T315" s="139">
        <f ca="1"/>
        <v>0.8833333333333333</v>
      </c>
      <c r="U315" s="131">
        <f ca="1"/>
        <v>137</v>
      </c>
      <c r="V315" s="120">
        <f ca="1"/>
        <v>13.700000000000001</v>
      </c>
      <c r="W315" s="140">
        <f ca="1"/>
        <v>7</v>
      </c>
      <c r="X315" s="139">
        <f ca="1"/>
        <v>0.96111111111111114</v>
      </c>
      <c r="Y315" s="141">
        <f ca="1"/>
        <v>0.28448000000000001</v>
      </c>
      <c r="Z315" s="141">
        <f ca="1"/>
        <v>0.28448000000000001</v>
      </c>
      <c r="AA315" s="142">
        <f ca="1"/>
        <v>3.8973760000000004</v>
      </c>
      <c r="AB315" s="138">
        <f ca="1"/>
        <v>13</v>
      </c>
      <c r="AC315" s="103" t="str">
        <f ca="1"/>
        <v>VIGENTE</v>
      </c>
      <c r="AD315" s="150">
        <f ca="1"/>
        <v>1.37E-2</v>
      </c>
    </row>
    <row r="316" spans="1:30">
      <c r="A316" s="111" t="str">
        <f ca="1"/>
        <v>SAN GABRIEL</v>
      </c>
      <c r="B316" s="111" t="str">
        <f ca="1"/>
        <v>POSTRES</v>
      </c>
      <c r="C316" s="111" t="str">
        <f ca="1"/>
        <v xml:space="preserve">Luis Armendariz                         </v>
      </c>
      <c r="D316" s="111" t="str">
        <f ca="1"/>
        <v>DULCE LECHE KIOSCO</v>
      </c>
      <c r="E316" s="111" t="str">
        <f ca="1"/>
        <v>DULCE DE LECHE KIOSCO FAMILIAR</v>
      </c>
      <c r="F316" s="120" t="str">
        <f ca="1"/>
        <v>GUAYAQUIL</v>
      </c>
      <c r="G316" s="120">
        <f ca="1"/>
        <v>7711</v>
      </c>
      <c r="H316" s="120">
        <f ca="1"/>
        <v>1001</v>
      </c>
      <c r="I316" s="120" t="str">
        <f ca="1"/>
        <v>16743</v>
      </c>
      <c r="J316" s="120" t="str">
        <f ca="1"/>
        <v>DULCE DE LECHE KIOSKO DOYPACK 100G</v>
      </c>
      <c r="K316" s="121">
        <f ca="1"/>
        <v>224</v>
      </c>
      <c r="L316" s="122">
        <f ca="1"/>
        <v>1</v>
      </c>
      <c r="M316" s="120">
        <f ca="1"/>
        <v>0.1</v>
      </c>
      <c r="N316" s="121">
        <f ca="1"/>
        <v>180</v>
      </c>
      <c r="O316" s="123">
        <f ca="1"/>
        <v>45615</v>
      </c>
      <c r="P316" s="123" t="str">
        <f ca="1"/>
        <v>martes</v>
      </c>
      <c r="Q316" s="124">
        <f ca="1"/>
        <v>45604</v>
      </c>
      <c r="R316" s="124">
        <f ca="1"/>
        <v>45783</v>
      </c>
      <c r="S316" s="90">
        <f ca="1"/>
        <v>159</v>
      </c>
      <c r="T316" s="139">
        <f ca="1"/>
        <v>0.8833333333333333</v>
      </c>
      <c r="U316" s="131">
        <f ca="1"/>
        <v>224</v>
      </c>
      <c r="V316" s="120">
        <f ca="1"/>
        <v>22.400000000000002</v>
      </c>
      <c r="W316" s="140">
        <f ca="1"/>
        <v>11</v>
      </c>
      <c r="X316" s="139">
        <f ca="1"/>
        <v>0.93888888888888888</v>
      </c>
      <c r="Y316" s="141">
        <f ca="1"/>
        <v>0.28448000000000001</v>
      </c>
      <c r="Z316" s="141">
        <f ca="1"/>
        <v>0.28448000000000001</v>
      </c>
      <c r="AA316" s="142">
        <f ca="1"/>
        <v>6.3723520000000011</v>
      </c>
      <c r="AB316" s="138">
        <f ca="1"/>
        <v>9</v>
      </c>
      <c r="AC316" s="103" t="str">
        <f ca="1"/>
        <v>VIGENTE</v>
      </c>
      <c r="AD316" s="150">
        <f ca="1"/>
        <v>2.2400000000000003E-2</v>
      </c>
    </row>
    <row r="317" spans="1:30">
      <c r="A317" s="111" t="str">
        <f ca="1"/>
        <v>SAN GABRIEL</v>
      </c>
      <c r="B317" s="111" t="str">
        <f ca="1"/>
        <v>POSTRES</v>
      </c>
      <c r="C317" s="111" t="str">
        <f ca="1"/>
        <v xml:space="preserve">Luis Armendariz                         </v>
      </c>
      <c r="D317" s="111" t="str">
        <f ca="1"/>
        <v>DULCE LECHE KIOSCO</v>
      </c>
      <c r="E317" s="111" t="str">
        <f ca="1"/>
        <v>DULCE DE LECHE KIOSCO FAMILIAR</v>
      </c>
      <c r="F317" s="120" t="str">
        <f ca="1"/>
        <v>GUAYAQUIL</v>
      </c>
      <c r="G317" s="120">
        <f ca="1"/>
        <v>7711</v>
      </c>
      <c r="H317" s="120">
        <f ca="1"/>
        <v>1001</v>
      </c>
      <c r="I317" s="120" t="str">
        <f ca="1"/>
        <v>16743</v>
      </c>
      <c r="J317" s="120" t="str">
        <f ca="1"/>
        <v>DULCE DE LECHE KIOSKO DOYPACK 100G</v>
      </c>
      <c r="K317" s="121">
        <f ca="1"/>
        <v>112</v>
      </c>
      <c r="L317" s="122">
        <f ca="1"/>
        <v>1</v>
      </c>
      <c r="M317" s="120">
        <f ca="1"/>
        <v>0.1</v>
      </c>
      <c r="N317" s="121">
        <f ca="1"/>
        <v>180</v>
      </c>
      <c r="O317" s="123">
        <f ca="1"/>
        <v>45616</v>
      </c>
      <c r="P317" s="123" t="str">
        <f ca="1"/>
        <v>miércoles</v>
      </c>
      <c r="Q317" s="124">
        <f ca="1"/>
        <v>45611</v>
      </c>
      <c r="R317" s="124">
        <f ca="1"/>
        <v>45790</v>
      </c>
      <c r="S317" s="90">
        <f ca="1"/>
        <v>166</v>
      </c>
      <c r="T317" s="139">
        <f ca="1"/>
        <v>0.92222222222222228</v>
      </c>
      <c r="U317" s="131">
        <f ca="1"/>
        <v>112</v>
      </c>
      <c r="V317" s="120">
        <f ca="1"/>
        <v>11.200000000000001</v>
      </c>
      <c r="W317" s="140">
        <f ca="1"/>
        <v>5</v>
      </c>
      <c r="X317" s="139">
        <f ca="1"/>
        <v>0.97222222222222221</v>
      </c>
      <c r="Y317" s="141">
        <f ca="1"/>
        <v>0.28448000000000001</v>
      </c>
      <c r="Z317" s="141">
        <f ca="1"/>
        <v>0.28448000000000001</v>
      </c>
      <c r="AA317" s="142">
        <f ca="1"/>
        <v>3.1861760000000006</v>
      </c>
      <c r="AB317" s="138">
        <f ca="1"/>
        <v>8</v>
      </c>
      <c r="AC317" s="103" t="str">
        <f ca="1"/>
        <v>VIGENTE</v>
      </c>
      <c r="AD317" s="150">
        <f ca="1"/>
        <v>1.1200000000000002E-2</v>
      </c>
    </row>
    <row r="318" spans="1:30">
      <c r="A318" s="111" t="str">
        <f ca="1"/>
        <v>SAN GABRIEL</v>
      </c>
      <c r="B318" s="111" t="str">
        <f ca="1"/>
        <v>QUESOS Y GRASAS</v>
      </c>
      <c r="C318" s="111" t="str">
        <f ca="1"/>
        <v xml:space="preserve">Esteban Montenegro                      </v>
      </c>
      <c r="D318" s="111" t="str">
        <f ca="1"/>
        <v>QUESO MOZARELLA KIOSKO</v>
      </c>
      <c r="E318" s="111" t="str">
        <f ca="1"/>
        <v>QUESO MOZARELLA KIOSKO BLOQUE</v>
      </c>
      <c r="F318" s="120" t="str">
        <f ca="1"/>
        <v>GUAYAQUIL</v>
      </c>
      <c r="G318" s="120">
        <f ca="1"/>
        <v>7711</v>
      </c>
      <c r="H318" s="120">
        <f ca="1"/>
        <v>1001</v>
      </c>
      <c r="I318" s="120" t="str">
        <f ca="1"/>
        <v>15593</v>
      </c>
      <c r="J318" s="120" t="str">
        <f ca="1"/>
        <v>Q MOZZARELLA DESLACTOSADO 500 GR</v>
      </c>
      <c r="K318" s="121">
        <f ca="1"/>
        <v>270</v>
      </c>
      <c r="L318" s="122">
        <f ca="1"/>
        <v>1</v>
      </c>
      <c r="M318" s="120">
        <f ca="1"/>
        <v>0.5</v>
      </c>
      <c r="N318" s="121">
        <f ca="1"/>
        <v>40</v>
      </c>
      <c r="O318" s="123">
        <f ca="1"/>
        <v>45615</v>
      </c>
      <c r="P318" s="123" t="str">
        <f ca="1"/>
        <v>martes</v>
      </c>
      <c r="Q318" s="124">
        <f ca="1"/>
        <v>45611</v>
      </c>
      <c r="R318" s="124">
        <f ca="1"/>
        <v>45650</v>
      </c>
      <c r="S318" s="90">
        <f ca="1"/>
        <v>26</v>
      </c>
      <c r="T318" s="139">
        <f ca="1"/>
        <v>0.65</v>
      </c>
      <c r="U318" s="131">
        <f ca="1"/>
        <v>125</v>
      </c>
      <c r="V318" s="120">
        <f ca="1"/>
        <v>62.5</v>
      </c>
      <c r="W318" s="140">
        <f ca="1"/>
        <v>4</v>
      </c>
      <c r="X318" s="139">
        <f ca="1"/>
        <v>0.9</v>
      </c>
      <c r="Y318" s="141">
        <f ca="1"/>
        <v>2.3460700000000001</v>
      </c>
      <c r="Z318" s="141">
        <f ca="1"/>
        <v>2.3460700000000001</v>
      </c>
      <c r="AA318" s="142">
        <f ca="1"/>
        <v>146.62937500000001</v>
      </c>
      <c r="AB318" s="138">
        <f ca="1"/>
        <v>9</v>
      </c>
      <c r="AC318" s="103" t="str">
        <f ca="1"/>
        <v>PROXIMOS FECHA CORTA</v>
      </c>
      <c r="AD318" s="150">
        <f ca="1"/>
        <v>6.25E-2</v>
      </c>
    </row>
    <row r="319" spans="1:30">
      <c r="A319" s="111" t="str">
        <f ca="1"/>
        <v>SAN GABRIEL</v>
      </c>
      <c r="B319" s="111" t="str">
        <f ca="1"/>
        <v>QUESOS Y GRASAS</v>
      </c>
      <c r="C319" s="111" t="str">
        <f ca="1"/>
        <v xml:space="preserve">Esteban Montenegro                      </v>
      </c>
      <c r="D319" s="111" t="str">
        <f ca="1"/>
        <v>QUESO MOZARELLA KIOSKO</v>
      </c>
      <c r="E319" s="111" t="str">
        <f ca="1"/>
        <v>QUESO MOZARELLA LIGHT KIOSKO BLOQUE</v>
      </c>
      <c r="F319" s="120" t="str">
        <f ca="1"/>
        <v>GUAYAQUIL</v>
      </c>
      <c r="G319" s="120">
        <f ca="1"/>
        <v>7711</v>
      </c>
      <c r="H319" s="120">
        <f ca="1"/>
        <v>1001</v>
      </c>
      <c r="I319" s="120" t="str">
        <f ca="1"/>
        <v>5735</v>
      </c>
      <c r="J319" s="120" t="str">
        <f ca="1"/>
        <v>Q MOZAR LGHT KIOSKO BLOQ 200G</v>
      </c>
      <c r="K319" s="121">
        <f ca="1"/>
        <v>1080</v>
      </c>
      <c r="L319" s="122">
        <f ca="1"/>
        <v>1</v>
      </c>
      <c r="M319" s="120">
        <f ca="1"/>
        <v>0.2</v>
      </c>
      <c r="N319" s="121">
        <f ca="1"/>
        <v>40</v>
      </c>
      <c r="O319" s="123">
        <f ca="1"/>
        <v>45608</v>
      </c>
      <c r="P319" s="123" t="str">
        <f ca="1"/>
        <v>martes</v>
      </c>
      <c r="Q319" s="124">
        <f ca="1"/>
        <v>45601</v>
      </c>
      <c r="R319" s="124">
        <f ca="1"/>
        <v>45640</v>
      </c>
      <c r="S319" s="90">
        <f ca="1"/>
        <v>16</v>
      </c>
      <c r="T319" s="139">
        <f ca="1"/>
        <v>0.4</v>
      </c>
      <c r="U319" s="131">
        <f ca="1"/>
        <v>1</v>
      </c>
      <c r="V319" s="120">
        <f ca="1"/>
        <v>0.2</v>
      </c>
      <c r="W319" s="140">
        <f ca="1"/>
        <v>7</v>
      </c>
      <c r="X319" s="139">
        <f ca="1"/>
        <v>0.82499999999999996</v>
      </c>
      <c r="Y319" s="141">
        <f ca="1"/>
        <v>1.11269</v>
      </c>
      <c r="Z319" s="141">
        <f ca="1"/>
        <v>1.11269</v>
      </c>
      <c r="AA319" s="142">
        <f ca="1"/>
        <v>0.22253800000000001</v>
      </c>
      <c r="AB319" s="138">
        <f ca="1"/>
        <v>16</v>
      </c>
      <c r="AC319" s="103" t="str">
        <f ca="1"/>
        <v>FECHA CORTA</v>
      </c>
      <c r="AD319" s="150">
        <f ca="1"/>
        <v>2.0000000000000001E-4</v>
      </c>
    </row>
    <row r="320" spans="1:30">
      <c r="A320" s="111" t="str">
        <f ca="1"/>
        <v>SAN GABRIEL</v>
      </c>
      <c r="B320" s="111" t="str">
        <f ca="1"/>
        <v>QUESOS Y GRASAS</v>
      </c>
      <c r="C320" s="111" t="str">
        <f ca="1"/>
        <v xml:space="preserve">Esteban Montenegro                      </v>
      </c>
      <c r="D320" s="111" t="str">
        <f ca="1"/>
        <v>QUESO MOZARELLA KIOSKO</v>
      </c>
      <c r="E320" s="111" t="str">
        <f ca="1"/>
        <v>QUESO MOZARELLA LIGHT KIOSKO BLOQUE</v>
      </c>
      <c r="F320" s="120" t="str">
        <f ca="1"/>
        <v>GUAYAQUIL</v>
      </c>
      <c r="G320" s="120">
        <f ca="1"/>
        <v>7711</v>
      </c>
      <c r="H320" s="120">
        <f ca="1"/>
        <v>1001</v>
      </c>
      <c r="I320" s="120" t="str">
        <f ca="1"/>
        <v>5735</v>
      </c>
      <c r="J320" s="120" t="str">
        <f ca="1"/>
        <v>Q MOZAR LGHT KIOSKO BLOQ 200G</v>
      </c>
      <c r="K320" s="121">
        <f ca="1"/>
        <v>720</v>
      </c>
      <c r="L320" s="122">
        <f ca="1"/>
        <v>1</v>
      </c>
      <c r="M320" s="120">
        <f ca="1"/>
        <v>0.2</v>
      </c>
      <c r="N320" s="121">
        <f ca="1"/>
        <v>40</v>
      </c>
      <c r="O320" s="123">
        <f ca="1"/>
        <v>45611</v>
      </c>
      <c r="P320" s="123" t="str">
        <f ca="1"/>
        <v>viernes</v>
      </c>
      <c r="Q320" s="124">
        <f ca="1"/>
        <v>45608</v>
      </c>
      <c r="R320" s="124">
        <f ca="1"/>
        <v>45647</v>
      </c>
      <c r="S320" s="90">
        <f ca="1"/>
        <v>23</v>
      </c>
      <c r="T320" s="139">
        <f ca="1"/>
        <v>0.57499999999999996</v>
      </c>
      <c r="U320" s="131">
        <f ca="1"/>
        <v>40</v>
      </c>
      <c r="V320" s="120">
        <f ca="1"/>
        <v>8</v>
      </c>
      <c r="W320" s="140">
        <f ca="1"/>
        <v>3</v>
      </c>
      <c r="X320" s="139">
        <f ca="1"/>
        <v>0.92500000000000004</v>
      </c>
      <c r="Y320" s="141">
        <f ca="1"/>
        <v>1.11269</v>
      </c>
      <c r="Z320" s="141">
        <f ca="1"/>
        <v>1.11269</v>
      </c>
      <c r="AA320" s="142">
        <f ca="1"/>
        <v>8.9015199999999997</v>
      </c>
      <c r="AB320" s="138">
        <f ca="1"/>
        <v>13</v>
      </c>
      <c r="AC320" s="103" t="str">
        <f ca="1"/>
        <v>PROXIMOS FECHA CORTA</v>
      </c>
      <c r="AD320" s="150">
        <f ca="1"/>
        <v>8.0000000000000002E-3</v>
      </c>
    </row>
    <row r="321" spans="1:30">
      <c r="A321" s="111" t="str">
        <f ca="1"/>
        <v>SAN GABRIEL</v>
      </c>
      <c r="B321" s="111" t="str">
        <f ca="1"/>
        <v>QUESOS Y GRASAS</v>
      </c>
      <c r="C321" s="111" t="str">
        <f ca="1"/>
        <v xml:space="preserve">Esteban Montenegro                      </v>
      </c>
      <c r="D321" s="111" t="str">
        <f ca="1"/>
        <v>QUESO MOZARELLA KIOSKO</v>
      </c>
      <c r="E321" s="111" t="str">
        <f ca="1"/>
        <v>QUESO MOZARELLA LIGHT KIOSKO BLOQUE</v>
      </c>
      <c r="F321" s="120" t="str">
        <f ca="1"/>
        <v>GUAYAQUIL</v>
      </c>
      <c r="G321" s="120">
        <f ca="1"/>
        <v>7711</v>
      </c>
      <c r="H321" s="120">
        <f ca="1"/>
        <v>1001</v>
      </c>
      <c r="I321" s="120" t="str">
        <f ca="1"/>
        <v>5735</v>
      </c>
      <c r="J321" s="120" t="str">
        <f ca="1"/>
        <v>Q MOZAR LGHT KIOSKO BLOQ 200G</v>
      </c>
      <c r="K321" s="121">
        <f ca="1"/>
        <v>720</v>
      </c>
      <c r="L321" s="122">
        <f ca="1"/>
        <v>1</v>
      </c>
      <c r="M321" s="120">
        <f ca="1"/>
        <v>0.2</v>
      </c>
      <c r="N321" s="121">
        <f ca="1"/>
        <v>40</v>
      </c>
      <c r="O321" s="123">
        <f ca="1"/>
        <v>45615</v>
      </c>
      <c r="P321" s="123" t="str">
        <f ca="1"/>
        <v>martes</v>
      </c>
      <c r="Q321" s="124">
        <f ca="1"/>
        <v>45609</v>
      </c>
      <c r="R321" s="124">
        <f ca="1"/>
        <v>45648</v>
      </c>
      <c r="S321" s="90">
        <f ca="1"/>
        <v>24</v>
      </c>
      <c r="T321" s="139">
        <f ca="1"/>
        <v>0.6</v>
      </c>
      <c r="U321" s="131">
        <f ca="1"/>
        <v>720</v>
      </c>
      <c r="V321" s="120">
        <f ca="1"/>
        <v>144</v>
      </c>
      <c r="W321" s="140">
        <f ca="1"/>
        <v>6</v>
      </c>
      <c r="X321" s="139">
        <f ca="1"/>
        <v>0.85</v>
      </c>
      <c r="Y321" s="141">
        <f ca="1"/>
        <v>1.11269</v>
      </c>
      <c r="Z321" s="141">
        <f ca="1"/>
        <v>1.11269</v>
      </c>
      <c r="AA321" s="142">
        <f ca="1"/>
        <v>160.22736</v>
      </c>
      <c r="AB321" s="138">
        <f ca="1"/>
        <v>9</v>
      </c>
      <c r="AC321" s="103" t="str">
        <f ca="1"/>
        <v>PROXIMOS FECHA CORTA</v>
      </c>
      <c r="AD321" s="150">
        <f ca="1"/>
        <v>0.14399999999999999</v>
      </c>
    </row>
    <row r="322" spans="1:30">
      <c r="A322" s="111" t="str">
        <f ca="1"/>
        <v>SAN GABRIEL</v>
      </c>
      <c r="B322" s="111" t="str">
        <f ca="1"/>
        <v>QUESOS Y GRASAS</v>
      </c>
      <c r="C322" s="111" t="str">
        <f ca="1"/>
        <v xml:space="preserve">Esteban Montenegro                      </v>
      </c>
      <c r="D322" s="111" t="str">
        <f ca="1"/>
        <v>QUESO MOZARELLA KIOSKO</v>
      </c>
      <c r="E322" s="111" t="str">
        <f ca="1"/>
        <v>QUESO MOZARELLA LIGHT KIOSKO BLOQUE</v>
      </c>
      <c r="F322" s="120" t="str">
        <f ca="1"/>
        <v>GUAYAQUIL</v>
      </c>
      <c r="G322" s="120">
        <f ca="1"/>
        <v>7711</v>
      </c>
      <c r="H322" s="120">
        <f ca="1"/>
        <v>1001</v>
      </c>
      <c r="I322" s="120" t="str">
        <f ca="1"/>
        <v>5735</v>
      </c>
      <c r="J322" s="120" t="str">
        <f ca="1"/>
        <v>Q MOZAR LGHT KIOSKO BLOQ 200G</v>
      </c>
      <c r="K322" s="121">
        <f ca="1"/>
        <v>360</v>
      </c>
      <c r="L322" s="122">
        <f ca="1"/>
        <v>1</v>
      </c>
      <c r="M322" s="120">
        <f ca="1"/>
        <v>0.2</v>
      </c>
      <c r="N322" s="121">
        <f ca="1"/>
        <v>40</v>
      </c>
      <c r="O322" s="123">
        <f ca="1"/>
        <v>45616</v>
      </c>
      <c r="P322" s="123" t="str">
        <f ca="1"/>
        <v>miércoles</v>
      </c>
      <c r="Q322" s="124">
        <f ca="1"/>
        <v>45611</v>
      </c>
      <c r="R322" s="124">
        <f ca="1"/>
        <v>45650</v>
      </c>
      <c r="S322" s="90">
        <f ca="1"/>
        <v>26</v>
      </c>
      <c r="T322" s="139">
        <f ca="1"/>
        <v>0.65</v>
      </c>
      <c r="U322" s="131">
        <f ca="1"/>
        <v>360</v>
      </c>
      <c r="V322" s="120">
        <f ca="1"/>
        <v>72</v>
      </c>
      <c r="W322" s="140">
        <f ca="1"/>
        <v>5</v>
      </c>
      <c r="X322" s="139">
        <f ca="1"/>
        <v>0.875</v>
      </c>
      <c r="Y322" s="141">
        <f ca="1"/>
        <v>1.11269</v>
      </c>
      <c r="Z322" s="141">
        <f ca="1"/>
        <v>1.11269</v>
      </c>
      <c r="AA322" s="142">
        <f ca="1"/>
        <v>80.113680000000002</v>
      </c>
      <c r="AB322" s="138">
        <f ca="1"/>
        <v>8</v>
      </c>
      <c r="AC322" s="103" t="str">
        <f ca="1"/>
        <v>PROXIMOS FECHA CORTA</v>
      </c>
      <c r="AD322" s="150">
        <f ca="1"/>
        <v>7.1999999999999995E-2</v>
      </c>
    </row>
    <row r="323" spans="1:30">
      <c r="A323" s="111" t="str">
        <f ca="1"/>
        <v>SAN GABRIEL</v>
      </c>
      <c r="B323" s="111" t="str">
        <f ca="1"/>
        <v>QUESOS Y GRASAS</v>
      </c>
      <c r="C323" s="111" t="str">
        <f ca="1"/>
        <v xml:space="preserve">Esteban Montenegro                      </v>
      </c>
      <c r="D323" s="111" t="str">
        <f ca="1"/>
        <v>QUESO MOZARELLA KIOSKO</v>
      </c>
      <c r="E323" s="111" t="str">
        <f ca="1"/>
        <v>QUESO MOZARELLA LIGHT KIOSKO BLOQUE</v>
      </c>
      <c r="F323" s="120" t="str">
        <f ca="1"/>
        <v>GUAYAQUIL</v>
      </c>
      <c r="G323" s="120">
        <f ca="1"/>
        <v>7711</v>
      </c>
      <c r="H323" s="120">
        <f ca="1"/>
        <v>1001</v>
      </c>
      <c r="I323" s="120" t="str">
        <f ca="1"/>
        <v>5735</v>
      </c>
      <c r="J323" s="120" t="str">
        <f ca="1"/>
        <v>Q MOZAR LGHT KIOSKO BLOQ 200G</v>
      </c>
      <c r="K323" s="121">
        <f ca="1"/>
        <v>360</v>
      </c>
      <c r="L323" s="122">
        <f ca="1"/>
        <v>1</v>
      </c>
      <c r="M323" s="120">
        <f ca="1"/>
        <v>0.2</v>
      </c>
      <c r="N323" s="121">
        <f ca="1"/>
        <v>40</v>
      </c>
      <c r="O323" s="123">
        <f ca="1"/>
        <v>45617</v>
      </c>
      <c r="P323" s="123" t="str">
        <f ca="1"/>
        <v>jueves</v>
      </c>
      <c r="Q323" s="124">
        <f ca="1"/>
        <v>45611</v>
      </c>
      <c r="R323" s="124">
        <f ca="1"/>
        <v>45650</v>
      </c>
      <c r="S323" s="90">
        <f ca="1"/>
        <v>26</v>
      </c>
      <c r="T323" s="139">
        <f ca="1"/>
        <v>0.65</v>
      </c>
      <c r="U323" s="131">
        <f ca="1"/>
        <v>360</v>
      </c>
      <c r="V323" s="120">
        <f ca="1"/>
        <v>72</v>
      </c>
      <c r="W323" s="140">
        <f ca="1"/>
        <v>6</v>
      </c>
      <c r="X323" s="139">
        <f ca="1"/>
        <v>0.85</v>
      </c>
      <c r="Y323" s="141">
        <f ca="1"/>
        <v>1.11269</v>
      </c>
      <c r="Z323" s="141">
        <f ca="1"/>
        <v>1.11269</v>
      </c>
      <c r="AA323" s="142">
        <f ca="1"/>
        <v>80.113680000000002</v>
      </c>
      <c r="AB323" s="138">
        <f ca="1"/>
        <v>7</v>
      </c>
      <c r="AC323" s="103" t="str">
        <f ca="1"/>
        <v>PROXIMOS FECHA CORTA</v>
      </c>
      <c r="AD323" s="150">
        <f ca="1"/>
        <v>7.1999999999999995E-2</v>
      </c>
    </row>
    <row r="324" spans="1:30">
      <c r="A324" s="111" t="str">
        <f ca="1"/>
        <v>MACHACHI</v>
      </c>
      <c r="B324" s="111" t="str">
        <f ca="1"/>
        <v>BEBIDAS LACTEAS</v>
      </c>
      <c r="C324" s="111" t="str">
        <f ca="1"/>
        <v xml:space="preserve">Luis Armendariz                         </v>
      </c>
      <c r="D324" s="111" t="str">
        <f ca="1"/>
        <v>YOGURT KIOSKO</v>
      </c>
      <c r="E324" s="111" t="str">
        <f ca="1"/>
        <v>BEBIDA DE YOGURT KIOSKO FUNDA FAMILI</v>
      </c>
      <c r="F324" s="120" t="str">
        <f ca="1"/>
        <v>GUAYAQUIL</v>
      </c>
      <c r="G324" s="120">
        <f ca="1"/>
        <v>7711</v>
      </c>
      <c r="H324" s="120">
        <f ca="1"/>
        <v>1001</v>
      </c>
      <c r="I324" s="120" t="str">
        <f ca="1"/>
        <v>16678</v>
      </c>
      <c r="J324" s="120" t="str">
        <f ca="1"/>
        <v>YOG BBLE KIOSKO GNBN 900G</v>
      </c>
      <c r="K324" s="121">
        <f ca="1"/>
        <v>195</v>
      </c>
      <c r="L324" s="122">
        <f ca="1"/>
        <v>1</v>
      </c>
      <c r="M324" s="120">
        <f ca="1"/>
        <v>0.9</v>
      </c>
      <c r="N324" s="121">
        <f ca="1"/>
        <v>45</v>
      </c>
      <c r="O324" s="123">
        <f ca="1"/>
        <v>45615</v>
      </c>
      <c r="P324" s="123" t="str">
        <f ca="1"/>
        <v>martes</v>
      </c>
      <c r="Q324" s="124">
        <f ca="1"/>
        <v>45611</v>
      </c>
      <c r="R324" s="124">
        <f ca="1"/>
        <v>45655</v>
      </c>
      <c r="S324" s="90">
        <f ca="1"/>
        <v>31</v>
      </c>
      <c r="T324" s="139">
        <f ca="1"/>
        <v>0.68888888888888888</v>
      </c>
      <c r="U324" s="131">
        <f ca="1"/>
        <v>85</v>
      </c>
      <c r="V324" s="120">
        <f ca="1"/>
        <v>76.5</v>
      </c>
      <c r="W324" s="140">
        <f ca="1"/>
        <v>4</v>
      </c>
      <c r="X324" s="139">
        <f ca="1"/>
        <v>0.91111111111111109</v>
      </c>
      <c r="Y324" s="141">
        <f ca="1"/>
        <v>0.64812500000000006</v>
      </c>
      <c r="Z324" s="141">
        <f ca="1"/>
        <v>0.64812500000000006</v>
      </c>
      <c r="AA324" s="142">
        <f ca="1"/>
        <v>49.581562500000004</v>
      </c>
      <c r="AB324" s="138">
        <f ca="1"/>
        <v>9</v>
      </c>
      <c r="AC324" s="103" t="str">
        <f ca="1"/>
        <v>VIGENTE</v>
      </c>
      <c r="AD324" s="150">
        <f ca="1"/>
        <v>7.6499999999999999E-2</v>
      </c>
    </row>
    <row r="325" spans="1:30">
      <c r="A325" s="111" t="str">
        <f ca="1"/>
        <v>MACHACHI</v>
      </c>
      <c r="B325" s="111" t="str">
        <f ca="1"/>
        <v>BEBIDAS LACTEAS</v>
      </c>
      <c r="C325" s="111" t="str">
        <f ca="1"/>
        <v xml:space="preserve">Luis Armendariz                         </v>
      </c>
      <c r="D325" s="111" t="str">
        <f ca="1"/>
        <v>YOGURT KIOSKO</v>
      </c>
      <c r="E325" s="111" t="str">
        <f ca="1"/>
        <v>BEBIDA DE YOGURT KIOSKO FUNDA FAMILI</v>
      </c>
      <c r="F325" s="120" t="str">
        <f ca="1"/>
        <v>GUAYAQUIL</v>
      </c>
      <c r="G325" s="120">
        <f ca="1"/>
        <v>7711</v>
      </c>
      <c r="H325" s="120">
        <f ca="1"/>
        <v>1001</v>
      </c>
      <c r="I325" s="120" t="str">
        <f ca="1"/>
        <v>16678</v>
      </c>
      <c r="J325" s="120" t="str">
        <f ca="1"/>
        <v>YOG BBLE KIOSKO GNBN 900G</v>
      </c>
      <c r="K325" s="121">
        <f ca="1"/>
        <v>300</v>
      </c>
      <c r="L325" s="122">
        <f ca="1"/>
        <v>1</v>
      </c>
      <c r="M325" s="120">
        <f ca="1"/>
        <v>0.9</v>
      </c>
      <c r="N325" s="121">
        <f ca="1"/>
        <v>45</v>
      </c>
      <c r="O325" s="123">
        <f ca="1"/>
        <v>45616</v>
      </c>
      <c r="P325" s="123" t="str">
        <f ca="1"/>
        <v>miércoles</v>
      </c>
      <c r="Q325" s="124">
        <f ca="1"/>
        <v>45611</v>
      </c>
      <c r="R325" s="124">
        <f ca="1"/>
        <v>45655</v>
      </c>
      <c r="S325" s="90">
        <f ca="1"/>
        <v>31</v>
      </c>
      <c r="T325" s="139">
        <f ca="1"/>
        <v>0.68888888888888888</v>
      </c>
      <c r="U325" s="131">
        <f ca="1"/>
        <v>300</v>
      </c>
      <c r="V325" s="120">
        <f ca="1"/>
        <v>270</v>
      </c>
      <c r="W325" s="140">
        <f ca="1"/>
        <v>5</v>
      </c>
      <c r="X325" s="139">
        <f ca="1"/>
        <v>0.88888888888888884</v>
      </c>
      <c r="Y325" s="141">
        <f ca="1"/>
        <v>0.64812500000000006</v>
      </c>
      <c r="Z325" s="141">
        <f ca="1"/>
        <v>0.64812500000000006</v>
      </c>
      <c r="AA325" s="142">
        <f ca="1"/>
        <v>174.99375000000001</v>
      </c>
      <c r="AB325" s="138">
        <f ca="1"/>
        <v>8</v>
      </c>
      <c r="AC325" s="103" t="str">
        <f ca="1"/>
        <v>VIGENTE</v>
      </c>
      <c r="AD325" s="150">
        <f ca="1"/>
        <v>0.27</v>
      </c>
    </row>
    <row r="326" spans="1:30">
      <c r="A326" s="111" t="str">
        <f ca="1"/>
        <v>MACHACHI</v>
      </c>
      <c r="B326" s="111" t="str">
        <f ca="1"/>
        <v>BEBIDAS LACTEAS</v>
      </c>
      <c r="C326" s="111" t="str">
        <f ca="1"/>
        <v xml:space="preserve">Luis Armendariz                         </v>
      </c>
      <c r="D326" s="111" t="str">
        <f ca="1"/>
        <v>REGENERIS</v>
      </c>
      <c r="E326" s="111" t="str">
        <f ca="1"/>
        <v>REGENERIS BEBIBLE BOTELLA FAMILIAR</v>
      </c>
      <c r="F326" s="120" t="str">
        <f ca="1"/>
        <v>GUAYAQUIL</v>
      </c>
      <c r="G326" s="120">
        <f ca="1"/>
        <v>7711</v>
      </c>
      <c r="H326" s="120">
        <f ca="1"/>
        <v>1001</v>
      </c>
      <c r="I326" s="120" t="str">
        <f ca="1"/>
        <v>5275</v>
      </c>
      <c r="J326" s="120" t="str">
        <f ca="1"/>
        <v>RGN BBLE DZNO BOT 1750G</v>
      </c>
      <c r="K326" s="121">
        <f ca="1"/>
        <v>36</v>
      </c>
      <c r="L326" s="122">
        <f ca="1"/>
        <v>1</v>
      </c>
      <c r="M326" s="120">
        <f ca="1"/>
        <v>1.75</v>
      </c>
      <c r="N326" s="121">
        <f ca="1"/>
        <v>45</v>
      </c>
      <c r="O326" s="123">
        <f ca="1"/>
        <v>45595</v>
      </c>
      <c r="P326" s="123" t="str">
        <f ca="1"/>
        <v>miércoles</v>
      </c>
      <c r="Q326" s="124">
        <f ca="1"/>
        <v>45588</v>
      </c>
      <c r="R326" s="124">
        <f ca="1"/>
        <v>45632</v>
      </c>
      <c r="S326" s="90">
        <f ca="1"/>
        <v>8</v>
      </c>
      <c r="T326" s="139">
        <f ca="1"/>
        <v>0.17777777777777778</v>
      </c>
      <c r="U326" s="131">
        <f ca="1"/>
        <v>29</v>
      </c>
      <c r="V326" s="120">
        <f ca="1"/>
        <v>50.75</v>
      </c>
      <c r="W326" s="140">
        <f ca="1"/>
        <v>7</v>
      </c>
      <c r="X326" s="139">
        <f ca="1"/>
        <v>0.84444444444444444</v>
      </c>
      <c r="Y326" s="141">
        <f ca="1"/>
        <v>2.3115999999999999</v>
      </c>
      <c r="Z326" s="141">
        <f ca="1"/>
        <v>2.3115999999999999</v>
      </c>
      <c r="AA326" s="142">
        <f ca="1"/>
        <v>117.3137</v>
      </c>
      <c r="AB326" s="138">
        <f ca="1"/>
        <v>29</v>
      </c>
      <c r="AC326" s="103" t="str">
        <f ca="1"/>
        <v>FECHA CORTA</v>
      </c>
      <c r="AD326" s="150">
        <f ca="1"/>
        <v>5.0750000000000003E-2</v>
      </c>
    </row>
    <row r="327" spans="1:30">
      <c r="A327" s="111" t="str">
        <f ca="1"/>
        <v>MACHACHI</v>
      </c>
      <c r="B327" s="111" t="str">
        <f ca="1"/>
        <v>BEBIDAS LACTEAS</v>
      </c>
      <c r="C327" s="111" t="str">
        <f ca="1"/>
        <v xml:space="preserve">Luis Armendariz                         </v>
      </c>
      <c r="D327" s="111" t="str">
        <f ca="1"/>
        <v>REGENERIS</v>
      </c>
      <c r="E327" s="111" t="str">
        <f ca="1"/>
        <v>REGENERIS BEBIBLE BOTELLA FAMILIAR</v>
      </c>
      <c r="F327" s="120" t="str">
        <f ca="1"/>
        <v>GUAYAQUIL</v>
      </c>
      <c r="G327" s="120">
        <f ca="1"/>
        <v>7711</v>
      </c>
      <c r="H327" s="120">
        <f ca="1"/>
        <v>1001</v>
      </c>
      <c r="I327" s="120" t="str">
        <f ca="1"/>
        <v>5275</v>
      </c>
      <c r="J327" s="120" t="str">
        <f ca="1"/>
        <v>RGN BBLE DZNO BOT 1750G</v>
      </c>
      <c r="K327" s="121">
        <f ca="1"/>
        <v>12</v>
      </c>
      <c r="L327" s="122">
        <f ca="1"/>
        <v>1</v>
      </c>
      <c r="M327" s="120">
        <f ca="1"/>
        <v>1.75</v>
      </c>
      <c r="N327" s="121">
        <f ca="1"/>
        <v>45</v>
      </c>
      <c r="O327" s="123">
        <f ca="1"/>
        <v>45596</v>
      </c>
      <c r="P327" s="123" t="str">
        <f ca="1"/>
        <v>jueves</v>
      </c>
      <c r="Q327" s="124">
        <f ca="1"/>
        <v>45588</v>
      </c>
      <c r="R327" s="124">
        <f ca="1"/>
        <v>45632</v>
      </c>
      <c r="S327" s="90">
        <f ca="1"/>
        <v>8</v>
      </c>
      <c r="T327" s="139">
        <f ca="1"/>
        <v>0.17777777777777778</v>
      </c>
      <c r="U327" s="131">
        <f ca="1"/>
        <v>12</v>
      </c>
      <c r="V327" s="120">
        <f ca="1"/>
        <v>21</v>
      </c>
      <c r="W327" s="140">
        <f ca="1"/>
        <v>8</v>
      </c>
      <c r="X327" s="139">
        <f ca="1"/>
        <v>0.82222222222222219</v>
      </c>
      <c r="Y327" s="141">
        <f ca="1"/>
        <v>2.3115999999999999</v>
      </c>
      <c r="Z327" s="141">
        <f ca="1"/>
        <v>2.3115999999999999</v>
      </c>
      <c r="AA327" s="142">
        <f ca="1"/>
        <v>48.543599999999998</v>
      </c>
      <c r="AB327" s="138">
        <f ca="1"/>
        <v>28</v>
      </c>
      <c r="AC327" s="103" t="str">
        <f ca="1"/>
        <v>FECHA CORTA</v>
      </c>
      <c r="AD327" s="150">
        <f ca="1"/>
        <v>2.1000000000000001E-2</v>
      </c>
    </row>
    <row r="328" spans="1:30">
      <c r="A328" s="111" t="str">
        <f ca="1"/>
        <v>MACHACHI</v>
      </c>
      <c r="B328" s="111" t="str">
        <f ca="1"/>
        <v>BEBIDAS LACTEAS</v>
      </c>
      <c r="C328" s="111" t="str">
        <f ca="1"/>
        <v xml:space="preserve">Luis Armendariz                         </v>
      </c>
      <c r="D328" s="111" t="str">
        <f ca="1"/>
        <v>REGENERIS</v>
      </c>
      <c r="E328" s="111" t="str">
        <f ca="1"/>
        <v>REGENERIS BEBIBLE BOTELLA FAMILIAR</v>
      </c>
      <c r="F328" s="120" t="str">
        <f ca="1"/>
        <v>GUAYAQUIL</v>
      </c>
      <c r="G328" s="120">
        <f ca="1"/>
        <v>7711</v>
      </c>
      <c r="H328" s="120">
        <f ca="1"/>
        <v>1001</v>
      </c>
      <c r="I328" s="120" t="str">
        <f ca="1"/>
        <v>5275</v>
      </c>
      <c r="J328" s="120" t="str">
        <f ca="1"/>
        <v>RGN BBLE DZNO BOT 1750G</v>
      </c>
      <c r="K328" s="121">
        <f ca="1"/>
        <v>12</v>
      </c>
      <c r="L328" s="122">
        <f ca="1"/>
        <v>1</v>
      </c>
      <c r="M328" s="120">
        <f ca="1"/>
        <v>1.75</v>
      </c>
      <c r="N328" s="121">
        <f ca="1"/>
        <v>45</v>
      </c>
      <c r="O328" s="123">
        <f ca="1"/>
        <v>45597</v>
      </c>
      <c r="P328" s="123" t="str">
        <f ca="1"/>
        <v>viernes</v>
      </c>
      <c r="Q328" s="124">
        <f ca="1"/>
        <v>45588</v>
      </c>
      <c r="R328" s="124">
        <f ca="1"/>
        <v>45632</v>
      </c>
      <c r="S328" s="90">
        <f ca="1"/>
        <v>8</v>
      </c>
      <c r="T328" s="139">
        <f ca="1"/>
        <v>0.17777777777777778</v>
      </c>
      <c r="U328" s="131">
        <f ca="1"/>
        <v>12</v>
      </c>
      <c r="V328" s="120">
        <f ca="1"/>
        <v>21</v>
      </c>
      <c r="W328" s="140">
        <f ca="1"/>
        <v>9</v>
      </c>
      <c r="X328" s="139">
        <f ca="1"/>
        <v>0.8</v>
      </c>
      <c r="Y328" s="141">
        <f ca="1"/>
        <v>2.3115999999999999</v>
      </c>
      <c r="Z328" s="141">
        <f ca="1"/>
        <v>2.3115999999999999</v>
      </c>
      <c r="AA328" s="142">
        <f ca="1"/>
        <v>48.543599999999998</v>
      </c>
      <c r="AB328" s="138">
        <f ca="1"/>
        <v>27</v>
      </c>
      <c r="AC328" s="103" t="str">
        <f ca="1"/>
        <v>FECHA CORTA</v>
      </c>
      <c r="AD328" s="150">
        <f ca="1"/>
        <v>2.1000000000000001E-2</v>
      </c>
    </row>
    <row r="329" spans="1:30">
      <c r="A329" s="111" t="str">
        <f ca="1"/>
        <v>MACHACHI</v>
      </c>
      <c r="B329" s="111" t="str">
        <f ca="1"/>
        <v>BEBIDAS LACTEAS</v>
      </c>
      <c r="C329" s="111" t="str">
        <f ca="1"/>
        <v xml:space="preserve">Luis Armendariz                         </v>
      </c>
      <c r="D329" s="111" t="str">
        <f ca="1"/>
        <v>REGENERIS</v>
      </c>
      <c r="E329" s="111" t="str">
        <f ca="1"/>
        <v>REGENERIS BEBIBLE BOTELLA FAMILIAR</v>
      </c>
      <c r="F329" s="120" t="str">
        <f ca="1"/>
        <v>GUAYAQUIL</v>
      </c>
      <c r="G329" s="120">
        <f ca="1"/>
        <v>7711</v>
      </c>
      <c r="H329" s="120">
        <f ca="1"/>
        <v>1001</v>
      </c>
      <c r="I329" s="120" t="str">
        <f ca="1"/>
        <v>5275</v>
      </c>
      <c r="J329" s="120" t="str">
        <f ca="1"/>
        <v>RGN BBLE DZNO BOT 1750G</v>
      </c>
      <c r="K329" s="121">
        <f ca="1"/>
        <v>24</v>
      </c>
      <c r="L329" s="122">
        <f ca="1"/>
        <v>1</v>
      </c>
      <c r="M329" s="120">
        <f ca="1"/>
        <v>1.75</v>
      </c>
      <c r="N329" s="121">
        <f ca="1"/>
        <v>45</v>
      </c>
      <c r="O329" s="123">
        <f ca="1"/>
        <v>45612</v>
      </c>
      <c r="P329" s="123" t="str">
        <f ca="1"/>
        <v>sábado</v>
      </c>
      <c r="Q329" s="124">
        <f ca="1"/>
        <v>45611</v>
      </c>
      <c r="R329" s="124">
        <f ca="1"/>
        <v>45655</v>
      </c>
      <c r="S329" s="90">
        <f ca="1"/>
        <v>31</v>
      </c>
      <c r="T329" s="139">
        <f ca="1"/>
        <v>0.68888888888888888</v>
      </c>
      <c r="U329" s="131">
        <f ca="1"/>
        <v>14</v>
      </c>
      <c r="V329" s="120">
        <f ca="1"/>
        <v>24.5</v>
      </c>
      <c r="W329" s="140">
        <f ca="1"/>
        <v>1</v>
      </c>
      <c r="X329" s="139">
        <f ca="1"/>
        <v>0.97777777777777775</v>
      </c>
      <c r="Y329" s="141">
        <f ca="1"/>
        <v>2.3115999999999999</v>
      </c>
      <c r="Z329" s="141">
        <f ca="1"/>
        <v>2.3115999999999999</v>
      </c>
      <c r="AA329" s="142">
        <f ca="1"/>
        <v>56.6342</v>
      </c>
      <c r="AB329" s="138">
        <f ca="1"/>
        <v>12</v>
      </c>
      <c r="AC329" s="103" t="str">
        <f ca="1"/>
        <v>VIGENTE</v>
      </c>
      <c r="AD329" s="150">
        <f ca="1"/>
        <v>2.4500000000000001E-2</v>
      </c>
    </row>
    <row r="330" spans="1:30">
      <c r="A330" s="111" t="str">
        <f ca="1"/>
        <v>MACHACHI</v>
      </c>
      <c r="B330" s="111" t="str">
        <f ca="1"/>
        <v>BEBIDAS LACTEAS</v>
      </c>
      <c r="C330" s="111" t="str">
        <f ca="1"/>
        <v xml:space="preserve">Luis Armendariz                         </v>
      </c>
      <c r="D330" s="111" t="str">
        <f ca="1"/>
        <v>REGENERIS</v>
      </c>
      <c r="E330" s="111" t="str">
        <f ca="1"/>
        <v>REGENERIS BEBIBLE BOTELLA FAMILIAR</v>
      </c>
      <c r="F330" s="120" t="str">
        <f ca="1"/>
        <v>GUAYAQUIL</v>
      </c>
      <c r="G330" s="120">
        <f ca="1"/>
        <v>7711</v>
      </c>
      <c r="H330" s="120">
        <f ca="1"/>
        <v>1001</v>
      </c>
      <c r="I330" s="120" t="str">
        <f ca="1"/>
        <v>5275</v>
      </c>
      <c r="J330" s="120" t="str">
        <f ca="1"/>
        <v>RGN BBLE DZNO BOT 1750G</v>
      </c>
      <c r="K330" s="121">
        <f ca="1"/>
        <v>36</v>
      </c>
      <c r="L330" s="122">
        <f ca="1"/>
        <v>1</v>
      </c>
      <c r="M330" s="120">
        <f ca="1"/>
        <v>1.75</v>
      </c>
      <c r="N330" s="121">
        <f ca="1"/>
        <v>45</v>
      </c>
      <c r="O330" s="123">
        <f ca="1"/>
        <v>45616</v>
      </c>
      <c r="P330" s="123" t="str">
        <f ca="1"/>
        <v>miércoles</v>
      </c>
      <c r="Q330" s="124">
        <f ca="1"/>
        <v>45611</v>
      </c>
      <c r="R330" s="124">
        <f ca="1"/>
        <v>45655</v>
      </c>
      <c r="S330" s="90">
        <f ca="1"/>
        <v>31</v>
      </c>
      <c r="T330" s="139">
        <f ca="1"/>
        <v>0.68888888888888888</v>
      </c>
      <c r="U330" s="131">
        <f ca="1"/>
        <v>36</v>
      </c>
      <c r="V330" s="120">
        <f ca="1"/>
        <v>63</v>
      </c>
      <c r="W330" s="140">
        <f ca="1"/>
        <v>5</v>
      </c>
      <c r="X330" s="139">
        <f ca="1"/>
        <v>0.88888888888888884</v>
      </c>
      <c r="Y330" s="141">
        <f ca="1"/>
        <v>2.3115999999999999</v>
      </c>
      <c r="Z330" s="141">
        <f ca="1"/>
        <v>2.3115999999999999</v>
      </c>
      <c r="AA330" s="142">
        <f ca="1"/>
        <v>145.63079999999999</v>
      </c>
      <c r="AB330" s="138">
        <f ca="1"/>
        <v>8</v>
      </c>
      <c r="AC330" s="103" t="str">
        <f ca="1"/>
        <v>VIGENTE</v>
      </c>
      <c r="AD330" s="150">
        <f ca="1"/>
        <v>6.3E-2</v>
      </c>
    </row>
    <row r="331" spans="1:30">
      <c r="A331" s="111" t="str">
        <f ca="1"/>
        <v>SAN GABRIEL</v>
      </c>
      <c r="B331" s="111" t="str">
        <f ca="1"/>
        <v>QUESOS Y GRASAS</v>
      </c>
      <c r="C331" s="111" t="str">
        <f ca="1"/>
        <v xml:space="preserve">Esteban Montenegro                      </v>
      </c>
      <c r="D331" s="111" t="str">
        <f ca="1"/>
        <v>QUESO FRESCO KIOSKO</v>
      </c>
      <c r="E331" s="111" t="str">
        <f ca="1"/>
        <v>QUESO FRESCO KIOSKO BLOQUE</v>
      </c>
      <c r="F331" s="120" t="str">
        <f ca="1"/>
        <v>GUAYAQUIL</v>
      </c>
      <c r="G331" s="120">
        <f ca="1"/>
        <v>7711</v>
      </c>
      <c r="H331" s="120">
        <f ca="1"/>
        <v>1001</v>
      </c>
      <c r="I331" s="120" t="str">
        <f ca="1"/>
        <v>5726</v>
      </c>
      <c r="J331" s="120" t="str">
        <f ca="1"/>
        <v>Q FRES CRIOL KIOSKO AL PESO</v>
      </c>
      <c r="K331" s="121">
        <f ca="1"/>
        <v>144</v>
      </c>
      <c r="L331" s="122">
        <f ca="1"/>
        <v>3</v>
      </c>
      <c r="M331" s="120">
        <f ca="1"/>
        <v>3</v>
      </c>
      <c r="N331" s="121">
        <f ca="1"/>
        <v>40</v>
      </c>
      <c r="O331" s="123">
        <f ca="1"/>
        <v>45610</v>
      </c>
      <c r="P331" s="123" t="str">
        <f ca="1"/>
        <v>jueves</v>
      </c>
      <c r="Q331" s="124">
        <f ca="1"/>
        <v>45605</v>
      </c>
      <c r="R331" s="124">
        <f ca="1"/>
        <v>45644</v>
      </c>
      <c r="S331" s="90">
        <f ca="1"/>
        <v>20</v>
      </c>
      <c r="T331" s="139">
        <f ca="1"/>
        <v>0.5</v>
      </c>
      <c r="U331" s="131">
        <f ca="1"/>
        <v>63</v>
      </c>
      <c r="V331" s="120">
        <f ca="1"/>
        <v>567</v>
      </c>
      <c r="W331" s="140">
        <f ca="1"/>
        <v>5</v>
      </c>
      <c r="X331" s="139">
        <f ca="1"/>
        <v>0.875</v>
      </c>
      <c r="Y331" s="141">
        <f ca="1"/>
        <v>4.8676950000000003</v>
      </c>
      <c r="Z331" s="141">
        <f ca="1"/>
        <v>14.603085</v>
      </c>
      <c r="AA331" s="142">
        <f ca="1"/>
        <v>8279.9491949999992</v>
      </c>
      <c r="AB331" s="138">
        <f ca="1"/>
        <v>14</v>
      </c>
      <c r="AC331" s="103" t="str">
        <f ca="1"/>
        <v>FECHA CORTA</v>
      </c>
      <c r="AD331" s="150">
        <f ca="1"/>
        <v>0.56699999999999995</v>
      </c>
    </row>
    <row r="332" spans="1:30">
      <c r="A332" s="111" t="str">
        <f ca="1"/>
        <v>SAN GABRIEL</v>
      </c>
      <c r="B332" s="111" t="str">
        <f ca="1"/>
        <v>QUESOS Y GRASAS</v>
      </c>
      <c r="C332" s="111" t="str">
        <f ca="1"/>
        <v xml:space="preserve">Esteban Montenegro                      </v>
      </c>
      <c r="D332" s="111" t="str">
        <f ca="1"/>
        <v>QUESO FRESCO KIOSKO</v>
      </c>
      <c r="E332" s="111" t="str">
        <f ca="1"/>
        <v>QUESO FRESCO KIOSKO BLOQUE</v>
      </c>
      <c r="F332" s="120" t="str">
        <f ca="1"/>
        <v>GUAYAQUIL</v>
      </c>
      <c r="G332" s="120">
        <f ca="1"/>
        <v>7711</v>
      </c>
      <c r="H332" s="120">
        <f ca="1"/>
        <v>1001</v>
      </c>
      <c r="I332" s="120" t="str">
        <f ca="1"/>
        <v>5726</v>
      </c>
      <c r="J332" s="120" t="str">
        <f ca="1"/>
        <v>Q FRES CRIOL KIOSKO AL PESO</v>
      </c>
      <c r="K332" s="121">
        <f ca="1"/>
        <v>156</v>
      </c>
      <c r="L332" s="122">
        <f ca="1"/>
        <v>3</v>
      </c>
      <c r="M332" s="120">
        <f ca="1"/>
        <v>3</v>
      </c>
      <c r="N332" s="121">
        <f ca="1"/>
        <v>40</v>
      </c>
      <c r="O332" s="123">
        <f ca="1"/>
        <v>45615</v>
      </c>
      <c r="P332" s="123" t="str">
        <f ca="1"/>
        <v>martes</v>
      </c>
      <c r="Q332" s="124">
        <f ca="1"/>
        <v>45610</v>
      </c>
      <c r="R332" s="124">
        <f ca="1"/>
        <v>45649</v>
      </c>
      <c r="S332" s="90">
        <f ca="1"/>
        <v>25</v>
      </c>
      <c r="T332" s="139">
        <f ca="1"/>
        <v>0.625</v>
      </c>
      <c r="U332" s="131">
        <f ca="1"/>
        <v>156</v>
      </c>
      <c r="V332" s="120">
        <f ca="1"/>
        <v>1404</v>
      </c>
      <c r="W332" s="140">
        <f ca="1"/>
        <v>5</v>
      </c>
      <c r="X332" s="139">
        <f ca="1"/>
        <v>0.875</v>
      </c>
      <c r="Y332" s="141">
        <f ca="1"/>
        <v>4.8676950000000003</v>
      </c>
      <c r="Z332" s="141">
        <f ca="1"/>
        <v>14.603085</v>
      </c>
      <c r="AA332" s="142">
        <f ca="1"/>
        <v>20502.731339999998</v>
      </c>
      <c r="AB332" s="138">
        <f ca="1"/>
        <v>9</v>
      </c>
      <c r="AC332" s="103" t="str">
        <f ca="1"/>
        <v>PROXIMOS FECHA CORTA</v>
      </c>
      <c r="AD332" s="150">
        <f ca="1"/>
        <v>1.4039999999999999</v>
      </c>
    </row>
    <row r="333" spans="1:30">
      <c r="A333" s="111" t="str">
        <f ca="1"/>
        <v>SAN GABRIEL</v>
      </c>
      <c r="B333" s="111" t="str">
        <f ca="1"/>
        <v>QUESOS Y GRASAS</v>
      </c>
      <c r="C333" s="111" t="str">
        <f ca="1"/>
        <v xml:space="preserve">Esteban Montenegro                      </v>
      </c>
      <c r="D333" s="111" t="str">
        <f ca="1"/>
        <v>QUESO FRESCO KIOSKO</v>
      </c>
      <c r="E333" s="111" t="str">
        <f ca="1"/>
        <v>QUESO FRESCO KIOSKO BLOQUE</v>
      </c>
      <c r="F333" s="120" t="str">
        <f ca="1"/>
        <v>GUAYAQUIL</v>
      </c>
      <c r="G333" s="120">
        <f ca="1"/>
        <v>7711</v>
      </c>
      <c r="H333" s="120">
        <f ca="1"/>
        <v>1001</v>
      </c>
      <c r="I333" s="120" t="str">
        <f ca="1"/>
        <v>5726</v>
      </c>
      <c r="J333" s="120" t="str">
        <f ca="1"/>
        <v>Q FRES CRIOL KIOSKO AL PESO</v>
      </c>
      <c r="K333" s="121">
        <f ca="1"/>
        <v>54</v>
      </c>
      <c r="L333" s="122">
        <f ca="1"/>
        <v>3</v>
      </c>
      <c r="M333" s="120">
        <f ca="1"/>
        <v>3</v>
      </c>
      <c r="N333" s="121">
        <f ca="1"/>
        <v>40</v>
      </c>
      <c r="O333" s="123">
        <f ca="1"/>
        <v>45615</v>
      </c>
      <c r="P333" s="123" t="str">
        <f ca="1"/>
        <v>martes</v>
      </c>
      <c r="Q333" s="124">
        <f ca="1"/>
        <v>45615</v>
      </c>
      <c r="R333" s="124">
        <f ca="1"/>
        <v>45654</v>
      </c>
      <c r="S333" s="90">
        <f ca="1"/>
        <v>30</v>
      </c>
      <c r="T333" s="139">
        <f ca="1"/>
        <v>0.75</v>
      </c>
      <c r="U333" s="131">
        <f ca="1"/>
        <v>54</v>
      </c>
      <c r="V333" s="120">
        <f ca="1"/>
        <v>486</v>
      </c>
      <c r="W333" s="140">
        <f ca="1"/>
        <v>0</v>
      </c>
      <c r="X333" s="139">
        <f ca="1"/>
        <v>1</v>
      </c>
      <c r="Y333" s="141">
        <f ca="1"/>
        <v>4.8676950000000003</v>
      </c>
      <c r="Z333" s="141">
        <f ca="1"/>
        <v>14.603085</v>
      </c>
      <c r="AA333" s="142">
        <f ca="1"/>
        <v>7097.0993099999996</v>
      </c>
      <c r="AB333" s="138">
        <f ca="1"/>
        <v>9</v>
      </c>
      <c r="AC333" s="103" t="str">
        <f ca="1"/>
        <v>VIGENTE</v>
      </c>
      <c r="AD333" s="150">
        <f ca="1"/>
        <v>0.48599999999999999</v>
      </c>
    </row>
    <row r="334" spans="1:30">
      <c r="A334" s="111" t="str">
        <f ca="1"/>
        <v>SAN GABRIEL</v>
      </c>
      <c r="B334" s="111" t="str">
        <f ca="1"/>
        <v>QUESOS Y GRASAS</v>
      </c>
      <c r="C334" s="111" t="str">
        <f ca="1"/>
        <v xml:space="preserve">Esteban Montenegro                      </v>
      </c>
      <c r="D334" s="111" t="str">
        <f ca="1"/>
        <v>QUESO FRESCO KIOSKO</v>
      </c>
      <c r="E334" s="111" t="str">
        <f ca="1"/>
        <v>QUESO FRESCO KIOSKO BLOQUE</v>
      </c>
      <c r="F334" s="120" t="str">
        <f ca="1"/>
        <v>GUAYAQUIL</v>
      </c>
      <c r="G334" s="120">
        <f ca="1"/>
        <v>7711</v>
      </c>
      <c r="H334" s="120">
        <f ca="1"/>
        <v>1001</v>
      </c>
      <c r="I334" s="120" t="str">
        <f ca="1"/>
        <v>5726</v>
      </c>
      <c r="J334" s="120" t="str">
        <f ca="1"/>
        <v>Q FRES CRIOL KIOSKO AL PESO</v>
      </c>
      <c r="K334" s="121">
        <f ca="1"/>
        <v>438</v>
      </c>
      <c r="L334" s="122">
        <f ca="1"/>
        <v>3</v>
      </c>
      <c r="M334" s="120">
        <f ca="1"/>
        <v>3</v>
      </c>
      <c r="N334" s="121">
        <f ca="1"/>
        <v>40</v>
      </c>
      <c r="O334" s="123">
        <f ca="1"/>
        <v>45617</v>
      </c>
      <c r="P334" s="123" t="str">
        <f ca="1"/>
        <v>jueves</v>
      </c>
      <c r="Q334" s="124">
        <f ca="1"/>
        <v>45615</v>
      </c>
      <c r="R334" s="124">
        <f ca="1"/>
        <v>45654</v>
      </c>
      <c r="S334" s="90">
        <f ca="1"/>
        <v>30</v>
      </c>
      <c r="T334" s="139">
        <f ca="1"/>
        <v>0.75</v>
      </c>
      <c r="U334" s="131">
        <f ca="1"/>
        <v>438</v>
      </c>
      <c r="V334" s="120">
        <f ca="1"/>
        <v>3942</v>
      </c>
      <c r="W334" s="140">
        <f ca="1"/>
        <v>2</v>
      </c>
      <c r="X334" s="139">
        <f ca="1"/>
        <v>0.95</v>
      </c>
      <c r="Y334" s="141">
        <f ca="1"/>
        <v>4.8676950000000003</v>
      </c>
      <c r="Z334" s="141">
        <f ca="1"/>
        <v>14.603085</v>
      </c>
      <c r="AA334" s="142">
        <f ca="1"/>
        <v>57565.361069999999</v>
      </c>
      <c r="AB334" s="138">
        <f ca="1"/>
        <v>7</v>
      </c>
      <c r="AC334" s="103" t="str">
        <f ca="1"/>
        <v>VIGENTE</v>
      </c>
      <c r="AD334" s="150">
        <f ca="1"/>
        <v>3.9420000000000002</v>
      </c>
    </row>
    <row r="335" spans="1:30">
      <c r="A335" s="111" t="str">
        <f ca="1"/>
        <v>MACHACHI</v>
      </c>
      <c r="B335" s="111" t="str">
        <f ca="1"/>
        <v>BEBIDAS LACTEAS</v>
      </c>
      <c r="C335" s="111" t="str">
        <f ca="1"/>
        <v xml:space="preserve">Luis Armendariz                         </v>
      </c>
      <c r="D335" s="111" t="str">
        <f ca="1"/>
        <v>KUMIS ALPINA</v>
      </c>
      <c r="E335" s="111" t="str">
        <f ca="1"/>
        <v>KUMIS BOTELLA FAMILIAR</v>
      </c>
      <c r="F335" s="120" t="str">
        <f ca="1"/>
        <v>GUAYAQUIL</v>
      </c>
      <c r="G335" s="120">
        <f ca="1"/>
        <v>7711</v>
      </c>
      <c r="H335" s="120">
        <f ca="1"/>
        <v>1001</v>
      </c>
      <c r="I335" s="120" t="str">
        <f ca="1"/>
        <v>14587</v>
      </c>
      <c r="J335" s="120" t="str">
        <f ca="1"/>
        <v>KUMIS ORIG BOT 1000G ECU</v>
      </c>
      <c r="K335" s="121">
        <f ca="1"/>
        <v>54</v>
      </c>
      <c r="L335" s="122">
        <f ca="1"/>
        <v>1</v>
      </c>
      <c r="M335" s="120">
        <f ca="1"/>
        <v>1</v>
      </c>
      <c r="N335" s="121">
        <f ca="1"/>
        <v>45</v>
      </c>
      <c r="O335" s="123">
        <f ca="1"/>
        <v>45594</v>
      </c>
      <c r="P335" s="123" t="str">
        <f ca="1"/>
        <v>martes</v>
      </c>
      <c r="Q335" s="124">
        <f ca="1"/>
        <v>45590</v>
      </c>
      <c r="R335" s="124">
        <f ca="1"/>
        <v>45634</v>
      </c>
      <c r="S335" s="90">
        <f ca="1"/>
        <v>10</v>
      </c>
      <c r="T335" s="139">
        <f ca="1"/>
        <v>0.22222222222222221</v>
      </c>
      <c r="U335" s="131">
        <f ca="1"/>
        <v>35</v>
      </c>
      <c r="V335" s="120">
        <f ca="1"/>
        <v>35</v>
      </c>
      <c r="W335" s="140">
        <f ca="1"/>
        <v>4</v>
      </c>
      <c r="X335" s="139">
        <f ca="1"/>
        <v>0.91111111111111109</v>
      </c>
      <c r="Y335" s="141">
        <f ca="1"/>
        <v>1.14123</v>
      </c>
      <c r="Z335" s="141">
        <f ca="1"/>
        <v>1.14123</v>
      </c>
      <c r="AA335" s="142">
        <f ca="1"/>
        <v>39.943049999999999</v>
      </c>
      <c r="AB335" s="138">
        <f ca="1"/>
        <v>30</v>
      </c>
      <c r="AC335" s="103" t="str">
        <f ca="1"/>
        <v>FECHA CORTA</v>
      </c>
      <c r="AD335" s="150">
        <f ca="1"/>
        <v>3.5000000000000003E-2</v>
      </c>
    </row>
    <row r="336" spans="1:30">
      <c r="A336" s="111" t="str">
        <f ca="1"/>
        <v>MACHACHI</v>
      </c>
      <c r="B336" s="111" t="str">
        <f ca="1"/>
        <v>BEBIDAS LACTEAS</v>
      </c>
      <c r="C336" s="111" t="str">
        <f ca="1"/>
        <v xml:space="preserve">Luis Armendariz                         </v>
      </c>
      <c r="D336" s="111" t="str">
        <f ca="1"/>
        <v>KUMIS ALPINA</v>
      </c>
      <c r="E336" s="111" t="str">
        <f ca="1"/>
        <v>KUMIS BOTELLA FAMILIAR</v>
      </c>
      <c r="F336" s="120" t="str">
        <f ca="1"/>
        <v>GUAYAQUIL</v>
      </c>
      <c r="G336" s="120">
        <f ca="1"/>
        <v>7711</v>
      </c>
      <c r="H336" s="120">
        <f ca="1"/>
        <v>1001</v>
      </c>
      <c r="I336" s="120" t="str">
        <f ca="1"/>
        <v>14587</v>
      </c>
      <c r="J336" s="120" t="str">
        <f ca="1"/>
        <v>KUMIS ORIG BOT 1000G ECU</v>
      </c>
      <c r="K336" s="121">
        <f ca="1"/>
        <v>18</v>
      </c>
      <c r="L336" s="122">
        <f ca="1"/>
        <v>1</v>
      </c>
      <c r="M336" s="120">
        <f ca="1"/>
        <v>1</v>
      </c>
      <c r="N336" s="121">
        <f ca="1"/>
        <v>45</v>
      </c>
      <c r="O336" s="123">
        <f ca="1"/>
        <v>45595</v>
      </c>
      <c r="P336" s="123" t="str">
        <f ca="1"/>
        <v>miércoles</v>
      </c>
      <c r="Q336" s="124">
        <f ca="1"/>
        <v>45590</v>
      </c>
      <c r="R336" s="124">
        <f ca="1"/>
        <v>45634</v>
      </c>
      <c r="S336" s="90">
        <f ca="1"/>
        <v>10</v>
      </c>
      <c r="T336" s="139">
        <f ca="1"/>
        <v>0.22222222222222221</v>
      </c>
      <c r="U336" s="131">
        <f ca="1"/>
        <v>18</v>
      </c>
      <c r="V336" s="120">
        <f ca="1"/>
        <v>18</v>
      </c>
      <c r="W336" s="140">
        <f ca="1"/>
        <v>5</v>
      </c>
      <c r="X336" s="139">
        <f ca="1"/>
        <v>0.88888888888888884</v>
      </c>
      <c r="Y336" s="141">
        <f ca="1"/>
        <v>1.14123</v>
      </c>
      <c r="Z336" s="141">
        <f ca="1"/>
        <v>1.14123</v>
      </c>
      <c r="AA336" s="142">
        <f ca="1"/>
        <v>20.54214</v>
      </c>
      <c r="AB336" s="138">
        <f ca="1"/>
        <v>29</v>
      </c>
      <c r="AC336" s="103" t="str">
        <f ca="1"/>
        <v>FECHA CORTA</v>
      </c>
      <c r="AD336" s="150">
        <f ca="1"/>
        <v>1.7999999999999999E-2</v>
      </c>
    </row>
    <row r="337" spans="1:30">
      <c r="A337" s="111" t="str">
        <f ca="1"/>
        <v>MACHACHI</v>
      </c>
      <c r="B337" s="111" t="str">
        <f ca="1"/>
        <v>BEBIDAS LACTEAS</v>
      </c>
      <c r="C337" s="111" t="str">
        <f ca="1"/>
        <v xml:space="preserve">Luis Armendariz                         </v>
      </c>
      <c r="D337" s="111" t="str">
        <f ca="1"/>
        <v>KUMIS ALPINA</v>
      </c>
      <c r="E337" s="111" t="str">
        <f ca="1"/>
        <v>KUMIS BOTELLA FAMILIAR</v>
      </c>
      <c r="F337" s="120" t="str">
        <f ca="1"/>
        <v>GUAYAQUIL</v>
      </c>
      <c r="G337" s="120">
        <f ca="1"/>
        <v>7711</v>
      </c>
      <c r="H337" s="120">
        <f ca="1"/>
        <v>1001</v>
      </c>
      <c r="I337" s="120" t="str">
        <f ca="1"/>
        <v>14587</v>
      </c>
      <c r="J337" s="120" t="str">
        <f ca="1"/>
        <v>KUMIS ORIG BOT 1000G ECU</v>
      </c>
      <c r="K337" s="121">
        <f ca="1"/>
        <v>18</v>
      </c>
      <c r="L337" s="122">
        <f ca="1"/>
        <v>1</v>
      </c>
      <c r="M337" s="120">
        <f ca="1"/>
        <v>1</v>
      </c>
      <c r="N337" s="121">
        <f ca="1"/>
        <v>45</v>
      </c>
      <c r="O337" s="123">
        <f ca="1"/>
        <v>45596</v>
      </c>
      <c r="P337" s="123" t="str">
        <f ca="1"/>
        <v>jueves</v>
      </c>
      <c r="Q337" s="124">
        <f ca="1"/>
        <v>45590</v>
      </c>
      <c r="R337" s="124">
        <f ca="1"/>
        <v>45634</v>
      </c>
      <c r="S337" s="90">
        <f ca="1"/>
        <v>10</v>
      </c>
      <c r="T337" s="139">
        <f ca="1"/>
        <v>0.22222222222222221</v>
      </c>
      <c r="U337" s="131">
        <f ca="1"/>
        <v>18</v>
      </c>
      <c r="V337" s="120">
        <f ca="1"/>
        <v>18</v>
      </c>
      <c r="W337" s="140">
        <f ca="1"/>
        <v>6</v>
      </c>
      <c r="X337" s="139">
        <f ca="1"/>
        <v>0.8666666666666667</v>
      </c>
      <c r="Y337" s="141">
        <f ca="1"/>
        <v>1.14123</v>
      </c>
      <c r="Z337" s="141">
        <f ca="1"/>
        <v>1.14123</v>
      </c>
      <c r="AA337" s="142">
        <f ca="1"/>
        <v>20.54214</v>
      </c>
      <c r="AB337" s="138">
        <f ca="1"/>
        <v>28</v>
      </c>
      <c r="AC337" s="103" t="str">
        <f ca="1"/>
        <v>FECHA CORTA</v>
      </c>
      <c r="AD337" s="150">
        <f ca="1"/>
        <v>1.7999999999999999E-2</v>
      </c>
    </row>
    <row r="338" spans="1:30">
      <c r="A338" s="111" t="str">
        <f ca="1"/>
        <v>MACHACHI</v>
      </c>
      <c r="B338" s="111" t="str">
        <f ca="1"/>
        <v>BEBIDAS LACTEAS</v>
      </c>
      <c r="C338" s="111" t="str">
        <f ca="1"/>
        <v xml:space="preserve">Luis Armendariz                         </v>
      </c>
      <c r="D338" s="111" t="str">
        <f ca="1"/>
        <v>KUMIS ALPINA</v>
      </c>
      <c r="E338" s="111" t="str">
        <f ca="1"/>
        <v>KUMIS BOTELLA FAMILIAR</v>
      </c>
      <c r="F338" s="120" t="str">
        <f ca="1"/>
        <v>GUAYAQUIL</v>
      </c>
      <c r="G338" s="120">
        <f ca="1"/>
        <v>7711</v>
      </c>
      <c r="H338" s="120">
        <f ca="1"/>
        <v>1001</v>
      </c>
      <c r="I338" s="120" t="str">
        <f ca="1"/>
        <v>14587</v>
      </c>
      <c r="J338" s="120" t="str">
        <f ca="1"/>
        <v>KUMIS ORIG BOT 1000G ECU</v>
      </c>
      <c r="K338" s="121">
        <f ca="1"/>
        <v>18</v>
      </c>
      <c r="L338" s="122">
        <f ca="1"/>
        <v>1</v>
      </c>
      <c r="M338" s="120">
        <f ca="1"/>
        <v>1</v>
      </c>
      <c r="N338" s="121">
        <f ca="1"/>
        <v>45</v>
      </c>
      <c r="O338" s="123">
        <f ca="1"/>
        <v>45616</v>
      </c>
      <c r="P338" s="123" t="str">
        <f ca="1"/>
        <v>miércoles</v>
      </c>
      <c r="Q338" s="124">
        <f ca="1"/>
        <v>45615</v>
      </c>
      <c r="R338" s="124">
        <f ca="1"/>
        <v>45659</v>
      </c>
      <c r="S338" s="90">
        <f ca="1"/>
        <v>35</v>
      </c>
      <c r="T338" s="139">
        <f ca="1"/>
        <v>0.77777777777777779</v>
      </c>
      <c r="U338" s="131">
        <f ca="1"/>
        <v>18</v>
      </c>
      <c r="V338" s="120">
        <f ca="1"/>
        <v>18</v>
      </c>
      <c r="W338" s="140">
        <f ca="1"/>
        <v>1</v>
      </c>
      <c r="X338" s="139">
        <f ca="1"/>
        <v>0.97777777777777775</v>
      </c>
      <c r="Y338" s="141">
        <f ca="1"/>
        <v>1.14123</v>
      </c>
      <c r="Z338" s="141">
        <f ca="1"/>
        <v>1.14123</v>
      </c>
      <c r="AA338" s="142">
        <f ca="1"/>
        <v>20.54214</v>
      </c>
      <c r="AB338" s="138">
        <f ca="1"/>
        <v>8</v>
      </c>
      <c r="AC338" s="103" t="str">
        <f ca="1"/>
        <v>VIGENTE</v>
      </c>
      <c r="AD338" s="150">
        <f ca="1"/>
        <v>1.7999999999999999E-2</v>
      </c>
    </row>
    <row r="339" spans="1:30">
      <c r="A339" s="111" t="str">
        <f ca="1"/>
        <v>SAN GABRIEL</v>
      </c>
      <c r="B339" s="111" t="str">
        <f ca="1"/>
        <v>QUESOS Y GRASAS</v>
      </c>
      <c r="C339" s="111" t="str">
        <f ca="1"/>
        <v xml:space="preserve">Esteban Montenegro                      </v>
      </c>
      <c r="D339" s="111" t="str">
        <f ca="1"/>
        <v>QUESO SEMIMADURO KIOSKO</v>
      </c>
      <c r="E339" s="111" t="str">
        <f ca="1"/>
        <v>QUESO AMERICANO KIOSKO TAJADO</v>
      </c>
      <c r="F339" s="120" t="str">
        <f ca="1"/>
        <v>GUAYAQUIL</v>
      </c>
      <c r="G339" s="120">
        <f ca="1"/>
        <v>7711</v>
      </c>
      <c r="H339" s="120">
        <f ca="1"/>
        <v>1001</v>
      </c>
      <c r="I339" s="120" t="str">
        <f ca="1"/>
        <v>16158</v>
      </c>
      <c r="J339" s="120" t="str">
        <f ca="1"/>
        <v>Q AMERIC KIOSKO 5 LONJ 75G</v>
      </c>
      <c r="K339" s="121">
        <f ca="1"/>
        <v>240</v>
      </c>
      <c r="L339" s="122">
        <f ca="1"/>
        <v>1</v>
      </c>
      <c r="M339" s="120">
        <f ca="1"/>
        <v>7.4999999999999997E-2</v>
      </c>
      <c r="N339" s="121">
        <f ca="1"/>
        <v>60</v>
      </c>
      <c r="O339" s="123">
        <f ca="1"/>
        <v>45611</v>
      </c>
      <c r="P339" s="123" t="str">
        <f ca="1"/>
        <v>viernes</v>
      </c>
      <c r="Q339" s="124">
        <f ca="1"/>
        <v>45608</v>
      </c>
      <c r="R339" s="124">
        <f ca="1"/>
        <v>45667</v>
      </c>
      <c r="S339" s="90">
        <f ca="1"/>
        <v>43</v>
      </c>
      <c r="T339" s="139">
        <f ca="1"/>
        <v>0.71666666666666667</v>
      </c>
      <c r="U339" s="131">
        <f ca="1"/>
        <v>192</v>
      </c>
      <c r="V339" s="120">
        <f ca="1"/>
        <v>14.399999999999999</v>
      </c>
      <c r="W339" s="140">
        <f ca="1"/>
        <v>3</v>
      </c>
      <c r="X339" s="139">
        <f ca="1"/>
        <v>0.95</v>
      </c>
      <c r="Y339" s="141">
        <f ca="1"/>
        <v>0.62094000000000005</v>
      </c>
      <c r="Z339" s="141">
        <f ca="1"/>
        <v>0.62094000000000005</v>
      </c>
      <c r="AA339" s="142">
        <f ca="1"/>
        <v>8.9415359999999993</v>
      </c>
      <c r="AB339" s="138">
        <f ca="1"/>
        <v>13</v>
      </c>
      <c r="AC339" s="103" t="str">
        <f ca="1"/>
        <v>VIGENTE</v>
      </c>
      <c r="AD339" s="150">
        <f ca="1"/>
        <v>1.4399999999999998E-2</v>
      </c>
    </row>
    <row r="340" spans="1:30">
      <c r="A340" s="111" t="str">
        <f ca="1"/>
        <v>SAN GABRIEL</v>
      </c>
      <c r="B340" s="111" t="str">
        <f ca="1"/>
        <v>QUESOS Y GRASAS</v>
      </c>
      <c r="C340" s="111" t="str">
        <f ca="1"/>
        <v xml:space="preserve">Esteban Montenegro                      </v>
      </c>
      <c r="D340" s="111" t="str">
        <f ca="1"/>
        <v>QUESO SEMIMADURO KIOSKO</v>
      </c>
      <c r="E340" s="111" t="str">
        <f ca="1"/>
        <v>QUESO AMERICANO KIOSKO TAJADO</v>
      </c>
      <c r="F340" s="120" t="str">
        <f ca="1"/>
        <v>GUAYAQUIL</v>
      </c>
      <c r="G340" s="120">
        <f ca="1"/>
        <v>7711</v>
      </c>
      <c r="H340" s="120">
        <f ca="1"/>
        <v>1001</v>
      </c>
      <c r="I340" s="120" t="str">
        <f ca="1"/>
        <v>16158</v>
      </c>
      <c r="J340" s="120" t="str">
        <f ca="1"/>
        <v>Q AMERIC KIOSKO 5 LONJ 75G</v>
      </c>
      <c r="K340" s="121">
        <f ca="1"/>
        <v>240</v>
      </c>
      <c r="L340" s="122">
        <f ca="1"/>
        <v>1</v>
      </c>
      <c r="M340" s="120">
        <f ca="1"/>
        <v>7.4999999999999997E-2</v>
      </c>
      <c r="N340" s="121">
        <f ca="1"/>
        <v>60</v>
      </c>
      <c r="O340" s="123">
        <f ca="1"/>
        <v>45617</v>
      </c>
      <c r="P340" s="123" t="str">
        <f ca="1"/>
        <v>jueves</v>
      </c>
      <c r="Q340" s="124">
        <f ca="1"/>
        <v>45609</v>
      </c>
      <c r="R340" s="124">
        <f ca="1"/>
        <v>45668</v>
      </c>
      <c r="S340" s="90">
        <f ca="1"/>
        <v>44</v>
      </c>
      <c r="T340" s="139">
        <f ca="1"/>
        <v>0.73333333333333328</v>
      </c>
      <c r="U340" s="131">
        <f ca="1"/>
        <v>240</v>
      </c>
      <c r="V340" s="120">
        <f ca="1"/>
        <v>18</v>
      </c>
      <c r="W340" s="140">
        <f ca="1"/>
        <v>8</v>
      </c>
      <c r="X340" s="139">
        <f ca="1"/>
        <v>0.8666666666666667</v>
      </c>
      <c r="Y340" s="141">
        <f ca="1"/>
        <v>0.62094000000000005</v>
      </c>
      <c r="Z340" s="141">
        <f ca="1"/>
        <v>0.62094000000000005</v>
      </c>
      <c r="AA340" s="142">
        <f ca="1"/>
        <v>11.176920000000001</v>
      </c>
      <c r="AB340" s="138">
        <f ca="1"/>
        <v>7</v>
      </c>
      <c r="AC340" s="103" t="str">
        <f ca="1"/>
        <v>VIGENTE</v>
      </c>
      <c r="AD340" s="150">
        <f ca="1"/>
        <v>1.7999999999999999E-2</v>
      </c>
    </row>
    <row r="341" spans="1:30">
      <c r="A341" s="111" t="str">
        <f ca="1"/>
        <v>SAN GABRIEL</v>
      </c>
      <c r="B341" s="111" t="str">
        <f ca="1"/>
        <v>QUESOS Y GRASAS</v>
      </c>
      <c r="C341" s="111" t="str">
        <f ca="1"/>
        <v xml:space="preserve">Esteban Montenegro                      </v>
      </c>
      <c r="D341" s="111" t="str">
        <f ca="1"/>
        <v>QUESO SEMIMADURO KIOSKO</v>
      </c>
      <c r="E341" s="111" t="str">
        <f ca="1"/>
        <v>QUESO SEMIMADURO KIOSKO MIX CUBOS</v>
      </c>
      <c r="F341" s="120" t="str">
        <f ca="1"/>
        <v>GUAYAQUIL</v>
      </c>
      <c r="G341" s="120">
        <f ca="1"/>
        <v>7711</v>
      </c>
      <c r="H341" s="120">
        <f ca="1"/>
        <v>1001</v>
      </c>
      <c r="I341" s="120" t="str">
        <f ca="1"/>
        <v>12037</v>
      </c>
      <c r="J341" s="120" t="str">
        <f ca="1"/>
        <v>Q MIX GOURMET KIOSKO CUBO BOL 350G</v>
      </c>
      <c r="K341" s="121">
        <f ca="1"/>
        <v>120</v>
      </c>
      <c r="L341" s="122">
        <f ca="1"/>
        <v>1</v>
      </c>
      <c r="M341" s="120">
        <f ca="1"/>
        <v>0.35</v>
      </c>
      <c r="N341" s="121">
        <f ca="1"/>
        <v>60</v>
      </c>
      <c r="O341" s="123">
        <f ca="1"/>
        <v>45611</v>
      </c>
      <c r="P341" s="123" t="str">
        <f ca="1"/>
        <v>viernes</v>
      </c>
      <c r="Q341" s="124">
        <f ca="1"/>
        <v>45604</v>
      </c>
      <c r="R341" s="124">
        <f ca="1"/>
        <v>45663</v>
      </c>
      <c r="S341" s="90">
        <f ca="1"/>
        <v>39</v>
      </c>
      <c r="T341" s="139">
        <f ca="1"/>
        <v>0.65</v>
      </c>
      <c r="U341" s="131">
        <f ca="1"/>
        <v>120</v>
      </c>
      <c r="V341" s="120">
        <f ca="1"/>
        <v>42</v>
      </c>
      <c r="W341" s="140">
        <f ca="1"/>
        <v>7</v>
      </c>
      <c r="X341" s="139">
        <f ca="1"/>
        <v>0.8833333333333333</v>
      </c>
      <c r="Y341" s="141">
        <f ca="1"/>
        <v>2.30749</v>
      </c>
      <c r="Z341" s="141">
        <f ca="1"/>
        <v>2.30749</v>
      </c>
      <c r="AA341" s="142">
        <f ca="1"/>
        <v>96.914580000000001</v>
      </c>
      <c r="AB341" s="138">
        <f ca="1"/>
        <v>13</v>
      </c>
      <c r="AC341" s="103" t="str">
        <f ca="1"/>
        <v>VIGENTE</v>
      </c>
      <c r="AD341" s="150">
        <f ca="1"/>
        <v>4.2000000000000003E-2</v>
      </c>
    </row>
    <row r="342" spans="1:30">
      <c r="A342" s="111" t="str">
        <f ca="1"/>
        <v>SAN GABRIEL</v>
      </c>
      <c r="B342" s="111" t="str">
        <f ca="1"/>
        <v>QUESOS Y GRASAS</v>
      </c>
      <c r="C342" s="111" t="str">
        <f ca="1"/>
        <v xml:space="preserve">Esteban Montenegro                      </v>
      </c>
      <c r="D342" s="111" t="str">
        <f ca="1"/>
        <v>QUESO SEMIMADURO KIOSKO</v>
      </c>
      <c r="E342" s="111" t="str">
        <f ca="1"/>
        <v>QUESO SEMIMADURO KIOSKO MIX CUBOS</v>
      </c>
      <c r="F342" s="120" t="str">
        <f ca="1"/>
        <v>GUAYAQUIL</v>
      </c>
      <c r="G342" s="120">
        <f ca="1"/>
        <v>7711</v>
      </c>
      <c r="H342" s="120">
        <f ca="1"/>
        <v>1001</v>
      </c>
      <c r="I342" s="120" t="str">
        <f ca="1"/>
        <v>12037</v>
      </c>
      <c r="J342" s="120" t="str">
        <f ca="1"/>
        <v>Q MIX GOURMET KIOSKO CUBO BOL 350G</v>
      </c>
      <c r="K342" s="121">
        <f ca="1"/>
        <v>60</v>
      </c>
      <c r="L342" s="122">
        <f ca="1"/>
        <v>1</v>
      </c>
      <c r="M342" s="120">
        <f ca="1"/>
        <v>0.35</v>
      </c>
      <c r="N342" s="121">
        <f ca="1"/>
        <v>60</v>
      </c>
      <c r="O342" s="123">
        <f ca="1"/>
        <v>45610</v>
      </c>
      <c r="P342" s="123" t="str">
        <f ca="1"/>
        <v>jueves</v>
      </c>
      <c r="Q342" s="124">
        <f ca="1"/>
        <v>45604</v>
      </c>
      <c r="R342" s="124">
        <f ca="1"/>
        <v>45663</v>
      </c>
      <c r="S342" s="90">
        <f ca="1"/>
        <v>39</v>
      </c>
      <c r="T342" s="139">
        <f ca="1"/>
        <v>0.65</v>
      </c>
      <c r="U342" s="131">
        <f ca="1"/>
        <v>18</v>
      </c>
      <c r="V342" s="120">
        <f ca="1"/>
        <v>6.3</v>
      </c>
      <c r="W342" s="140">
        <f ca="1"/>
        <v>6</v>
      </c>
      <c r="X342" s="139">
        <f ca="1"/>
        <v>0.9</v>
      </c>
      <c r="Y342" s="141">
        <f ca="1"/>
        <v>2.30749</v>
      </c>
      <c r="Z342" s="141">
        <f ca="1"/>
        <v>2.30749</v>
      </c>
      <c r="AA342" s="142">
        <f ca="1"/>
        <v>14.537186999999999</v>
      </c>
      <c r="AB342" s="138">
        <f ca="1"/>
        <v>14</v>
      </c>
      <c r="AC342" s="103" t="str">
        <f ca="1"/>
        <v>VIGENTE</v>
      </c>
      <c r="AD342" s="150">
        <f ca="1"/>
        <v>6.3E-3</v>
      </c>
    </row>
    <row r="343" spans="1:30">
      <c r="A343" s="111" t="str">
        <f ca="1"/>
        <v>SAN GABRIEL</v>
      </c>
      <c r="B343" s="111" t="str">
        <f ca="1"/>
        <v>QUESOS Y GRASAS</v>
      </c>
      <c r="C343" s="111" t="str">
        <f ca="1"/>
        <v xml:space="preserve">Esteban Montenegro                      </v>
      </c>
      <c r="D343" s="111" t="str">
        <f ca="1"/>
        <v>QUESO SEMIMADURO KIOSKO</v>
      </c>
      <c r="E343" s="111" t="str">
        <f ca="1"/>
        <v>QUESO SEMIMADURO KIOSKO MIX CUBOS</v>
      </c>
      <c r="F343" s="120" t="str">
        <f ca="1"/>
        <v>GUAYAQUIL</v>
      </c>
      <c r="G343" s="120">
        <f ca="1"/>
        <v>7711</v>
      </c>
      <c r="H343" s="120">
        <f ca="1"/>
        <v>1001</v>
      </c>
      <c r="I343" s="120" t="str">
        <f ca="1"/>
        <v>12037</v>
      </c>
      <c r="J343" s="120" t="str">
        <f ca="1"/>
        <v>Q MIX GOURMET KIOSKO CUBO BOL 350G</v>
      </c>
      <c r="K343" s="121">
        <f ca="1"/>
        <v>60</v>
      </c>
      <c r="L343" s="122">
        <f ca="1"/>
        <v>1</v>
      </c>
      <c r="M343" s="120">
        <f ca="1"/>
        <v>0.35</v>
      </c>
      <c r="N343" s="121">
        <f ca="1"/>
        <v>60</v>
      </c>
      <c r="O343" s="123">
        <f ca="1"/>
        <v>45615</v>
      </c>
      <c r="P343" s="123" t="str">
        <f ca="1"/>
        <v>martes</v>
      </c>
      <c r="Q343" s="124">
        <f ca="1"/>
        <v>45610</v>
      </c>
      <c r="R343" s="124">
        <f ca="1"/>
        <v>45669</v>
      </c>
      <c r="S343" s="90">
        <f ca="1"/>
        <v>45</v>
      </c>
      <c r="T343" s="139">
        <f ca="1"/>
        <v>0.75</v>
      </c>
      <c r="U343" s="131">
        <f ca="1"/>
        <v>60</v>
      </c>
      <c r="V343" s="120">
        <f ca="1"/>
        <v>21</v>
      </c>
      <c r="W343" s="140">
        <f ca="1"/>
        <v>5</v>
      </c>
      <c r="X343" s="139">
        <f ca="1"/>
        <v>0.91666666666666663</v>
      </c>
      <c r="Y343" s="141">
        <f ca="1"/>
        <v>2.30749</v>
      </c>
      <c r="Z343" s="141">
        <f ca="1"/>
        <v>2.30749</v>
      </c>
      <c r="AA343" s="142">
        <f ca="1"/>
        <v>48.45729</v>
      </c>
      <c r="AB343" s="138">
        <f ca="1"/>
        <v>9</v>
      </c>
      <c r="AC343" s="103" t="str">
        <f ca="1"/>
        <v>VIGENTE</v>
      </c>
      <c r="AD343" s="150">
        <f ca="1"/>
        <v>2.1000000000000001E-2</v>
      </c>
    </row>
    <row r="344" spans="1:30">
      <c r="A344" s="111" t="str">
        <f ca="1"/>
        <v>SAN GABRIEL</v>
      </c>
      <c r="B344" s="111" t="str">
        <f ca="1"/>
        <v>QUESOS Y GRASAS</v>
      </c>
      <c r="C344" s="111" t="str">
        <f ca="1"/>
        <v xml:space="preserve">Esteban Montenegro                      </v>
      </c>
      <c r="D344" s="111" t="str">
        <f ca="1"/>
        <v>QUESO SEMIMADURO KIOSKO</v>
      </c>
      <c r="E344" s="111" t="str">
        <f ca="1"/>
        <v>QUESO SEMIMADURO KIOSKO MIX CUBOS</v>
      </c>
      <c r="F344" s="120" t="str">
        <f ca="1"/>
        <v>GUAYAQUIL</v>
      </c>
      <c r="G344" s="120">
        <f ca="1"/>
        <v>7711</v>
      </c>
      <c r="H344" s="120">
        <f ca="1"/>
        <v>1001</v>
      </c>
      <c r="I344" s="120" t="str">
        <f ca="1"/>
        <v>12037</v>
      </c>
      <c r="J344" s="120" t="str">
        <f ca="1"/>
        <v>Q MIX GOURMET KIOSKO CUBO BOL 350G</v>
      </c>
      <c r="K344" s="121">
        <f ca="1"/>
        <v>60</v>
      </c>
      <c r="L344" s="122">
        <f ca="1"/>
        <v>1</v>
      </c>
      <c r="M344" s="120">
        <f ca="1"/>
        <v>0.35</v>
      </c>
      <c r="N344" s="121">
        <f ca="1"/>
        <v>60</v>
      </c>
      <c r="O344" s="123">
        <f ca="1"/>
        <v>45616</v>
      </c>
      <c r="P344" s="123" t="str">
        <f ca="1"/>
        <v>miércoles</v>
      </c>
      <c r="Q344" s="124">
        <f ca="1"/>
        <v>45610</v>
      </c>
      <c r="R344" s="124">
        <f ca="1"/>
        <v>45669</v>
      </c>
      <c r="S344" s="90">
        <f ca="1"/>
        <v>45</v>
      </c>
      <c r="T344" s="139">
        <f ca="1"/>
        <v>0.75</v>
      </c>
      <c r="U344" s="131">
        <f ca="1"/>
        <v>60</v>
      </c>
      <c r="V344" s="120">
        <f ca="1"/>
        <v>21</v>
      </c>
      <c r="W344" s="140">
        <f ca="1"/>
        <v>6</v>
      </c>
      <c r="X344" s="139">
        <f ca="1"/>
        <v>0.9</v>
      </c>
      <c r="Y344" s="141">
        <f ca="1"/>
        <v>2.30749</v>
      </c>
      <c r="Z344" s="141">
        <f ca="1"/>
        <v>2.30749</v>
      </c>
      <c r="AA344" s="142">
        <f ca="1"/>
        <v>48.45729</v>
      </c>
      <c r="AB344" s="138">
        <f ca="1"/>
        <v>8</v>
      </c>
      <c r="AC344" s="103" t="str">
        <f ca="1"/>
        <v>VIGENTE</v>
      </c>
      <c r="AD344" s="150">
        <f ca="1"/>
        <v>2.1000000000000001E-2</v>
      </c>
    </row>
    <row r="345" spans="1:30">
      <c r="A345" s="111" t="str">
        <f ca="1"/>
        <v>SAN GABRIEL</v>
      </c>
      <c r="B345" s="111" t="str">
        <f ca="1"/>
        <v>QUESOS Y GRASAS</v>
      </c>
      <c r="C345" s="111" t="str">
        <f ca="1"/>
        <v xml:space="preserve">Esteban Montenegro                      </v>
      </c>
      <c r="D345" s="111" t="str">
        <f ca="1"/>
        <v>QUESO SEMIMADURO KIOSKO</v>
      </c>
      <c r="E345" s="111" t="str">
        <f ca="1"/>
        <v>QUESO SEMIMADURO KIOSKO MIX CUBOS</v>
      </c>
      <c r="F345" s="120" t="str">
        <f ca="1"/>
        <v>GUAYAQUIL</v>
      </c>
      <c r="G345" s="120">
        <f ca="1"/>
        <v>7711</v>
      </c>
      <c r="H345" s="120">
        <f ca="1"/>
        <v>1001</v>
      </c>
      <c r="I345" s="120" t="str">
        <f ca="1"/>
        <v>12037</v>
      </c>
      <c r="J345" s="120" t="str">
        <f ca="1"/>
        <v>Q MIX GOURMET KIOSKO CUBO BOL 350G</v>
      </c>
      <c r="K345" s="121">
        <f ca="1"/>
        <v>60</v>
      </c>
      <c r="L345" s="122">
        <f ca="1"/>
        <v>1</v>
      </c>
      <c r="M345" s="120">
        <f ca="1"/>
        <v>0.35</v>
      </c>
      <c r="N345" s="121">
        <f ca="1"/>
        <v>60</v>
      </c>
      <c r="O345" s="123">
        <f ca="1"/>
        <v>45617</v>
      </c>
      <c r="P345" s="123" t="str">
        <f ca="1"/>
        <v>jueves</v>
      </c>
      <c r="Q345" s="124">
        <f ca="1"/>
        <v>45611</v>
      </c>
      <c r="R345" s="124">
        <f ca="1"/>
        <v>45670</v>
      </c>
      <c r="S345" s="90">
        <f ca="1"/>
        <v>46</v>
      </c>
      <c r="T345" s="139">
        <f ca="1"/>
        <v>0.76666666666666672</v>
      </c>
      <c r="U345" s="131">
        <f ca="1"/>
        <v>60</v>
      </c>
      <c r="V345" s="120">
        <f ca="1"/>
        <v>21</v>
      </c>
      <c r="W345" s="140">
        <f ca="1"/>
        <v>6</v>
      </c>
      <c r="X345" s="139">
        <f ca="1"/>
        <v>0.9</v>
      </c>
      <c r="Y345" s="141">
        <f ca="1"/>
        <v>2.30749</v>
      </c>
      <c r="Z345" s="141">
        <f ca="1"/>
        <v>2.30749</v>
      </c>
      <c r="AA345" s="142">
        <f ca="1"/>
        <v>48.45729</v>
      </c>
      <c r="AB345" s="138">
        <f ca="1"/>
        <v>7</v>
      </c>
      <c r="AC345" s="103" t="str">
        <f ca="1"/>
        <v>VIGENTE</v>
      </c>
      <c r="AD345" s="150">
        <f ca="1"/>
        <v>2.1000000000000001E-2</v>
      </c>
    </row>
    <row r="346" spans="1:30">
      <c r="A346" s="111" t="str">
        <f ca="1"/>
        <v>SAN GABRIEL</v>
      </c>
      <c r="B346" s="111" t="str">
        <f ca="1"/>
        <v>QUESOS Y GRASAS</v>
      </c>
      <c r="C346" s="111" t="str">
        <f ca="1"/>
        <v xml:space="preserve">Esteban Montenegro                      </v>
      </c>
      <c r="D346" s="111" t="str">
        <f ca="1"/>
        <v>QUESO SEMIMADURO KIOSKO</v>
      </c>
      <c r="E346" s="111" t="str">
        <f ca="1"/>
        <v>QUESO SEMIMADURO KIOSKO MIX CUBOS</v>
      </c>
      <c r="F346" s="120" t="str">
        <f ca="1"/>
        <v>GUAYAQUIL</v>
      </c>
      <c r="G346" s="120">
        <f ca="1"/>
        <v>7711</v>
      </c>
      <c r="H346" s="120">
        <f ca="1"/>
        <v>1001</v>
      </c>
      <c r="I346" s="120" t="str">
        <f ca="1"/>
        <v>12037</v>
      </c>
      <c r="J346" s="120" t="str">
        <f ca="1"/>
        <v>Q MIX GOURMET KIOSKO CUBO BOL 350G</v>
      </c>
      <c r="K346" s="121">
        <f ca="1"/>
        <v>60</v>
      </c>
      <c r="L346" s="122">
        <f ca="1"/>
        <v>1</v>
      </c>
      <c r="M346" s="120">
        <f ca="1"/>
        <v>0.35</v>
      </c>
      <c r="N346" s="121">
        <f ca="1"/>
        <v>60</v>
      </c>
      <c r="O346" s="123">
        <f ca="1"/>
        <v>45617</v>
      </c>
      <c r="P346" s="123" t="str">
        <f ca="1"/>
        <v>jueves</v>
      </c>
      <c r="Q346" s="124">
        <f ca="1"/>
        <v>45610</v>
      </c>
      <c r="R346" s="124">
        <f ca="1"/>
        <v>45669</v>
      </c>
      <c r="S346" s="90">
        <f ca="1"/>
        <v>45</v>
      </c>
      <c r="T346" s="139">
        <f ca="1"/>
        <v>0.75</v>
      </c>
      <c r="U346" s="131">
        <f ca="1"/>
        <v>60</v>
      </c>
      <c r="V346" s="120">
        <f ca="1"/>
        <v>21</v>
      </c>
      <c r="W346" s="140">
        <f ca="1"/>
        <v>7</v>
      </c>
      <c r="X346" s="139">
        <f ca="1"/>
        <v>0.8833333333333333</v>
      </c>
      <c r="Y346" s="141">
        <f ca="1"/>
        <v>2.30749</v>
      </c>
      <c r="Z346" s="141">
        <f ca="1"/>
        <v>2.30749</v>
      </c>
      <c r="AA346" s="142">
        <f ca="1"/>
        <v>48.45729</v>
      </c>
      <c r="AB346" s="138">
        <f ca="1"/>
        <v>7</v>
      </c>
      <c r="AC346" s="103" t="str">
        <f ca="1"/>
        <v>VIGENTE</v>
      </c>
      <c r="AD346" s="150">
        <f ca="1"/>
        <v>2.1000000000000001E-2</v>
      </c>
    </row>
    <row r="347" spans="1:30">
      <c r="A347" s="111" t="str">
        <f ca="1"/>
        <v>MACHACHI</v>
      </c>
      <c r="B347" s="111" t="str">
        <f ca="1"/>
        <v>BEBIDAS LACTEAS</v>
      </c>
      <c r="C347" s="111" t="str">
        <f ca="1"/>
        <v xml:space="preserve">Luis Armendariz                         </v>
      </c>
      <c r="D347" s="111" t="str">
        <f ca="1"/>
        <v>YOGURT KIOSKO</v>
      </c>
      <c r="E347" s="111" t="str">
        <f ca="1"/>
        <v>BEBIDA DE YOGURT KIOSKO FUNDA FAMILI</v>
      </c>
      <c r="F347" s="120" t="str">
        <f ca="1"/>
        <v>GUAYAQUIL</v>
      </c>
      <c r="G347" s="120">
        <f ca="1"/>
        <v>7711</v>
      </c>
      <c r="H347" s="120">
        <f ca="1"/>
        <v>1001</v>
      </c>
      <c r="I347" s="120" t="str">
        <f ca="1"/>
        <v>15592</v>
      </c>
      <c r="J347" s="120" t="str">
        <f ca="1"/>
        <v>YOG BBLE KIOSKO NATURAL FUN 900G</v>
      </c>
      <c r="K347" s="121">
        <f ca="1"/>
        <v>675</v>
      </c>
      <c r="L347" s="122">
        <f ca="1"/>
        <v>1</v>
      </c>
      <c r="M347" s="120">
        <f ca="1"/>
        <v>0.9</v>
      </c>
      <c r="N347" s="121">
        <f ca="1"/>
        <v>45</v>
      </c>
      <c r="O347" s="123">
        <f ca="1"/>
        <v>45604</v>
      </c>
      <c r="P347" s="123" t="str">
        <f ca="1"/>
        <v>viernes</v>
      </c>
      <c r="Q347" s="124">
        <f ca="1"/>
        <v>45597</v>
      </c>
      <c r="R347" s="124">
        <f ca="1"/>
        <v>45641</v>
      </c>
      <c r="S347" s="90">
        <f ca="1"/>
        <v>17</v>
      </c>
      <c r="T347" s="139">
        <f ca="1"/>
        <v>0.37777777777777777</v>
      </c>
      <c r="U347" s="131">
        <f ca="1"/>
        <v>2</v>
      </c>
      <c r="V347" s="120">
        <f ca="1"/>
        <v>1.8</v>
      </c>
      <c r="W347" s="140">
        <f ca="1"/>
        <v>7</v>
      </c>
      <c r="X347" s="139">
        <f ca="1"/>
        <v>0.84444444444444444</v>
      </c>
      <c r="Y347" s="141">
        <f ca="1"/>
        <v>0.73647499999999999</v>
      </c>
      <c r="Z347" s="141">
        <f ca="1"/>
        <v>0.73647499999999999</v>
      </c>
      <c r="AA347" s="142">
        <f ca="1"/>
        <v>1.325655</v>
      </c>
      <c r="AB347" s="138">
        <f ca="1"/>
        <v>20</v>
      </c>
      <c r="AC347" s="103" t="str">
        <f ca="1"/>
        <v>FECHA CORTA</v>
      </c>
      <c r="AD347" s="150">
        <f ca="1"/>
        <v>1.8E-3</v>
      </c>
    </row>
    <row r="348" spans="1:30">
      <c r="A348" s="111" t="str">
        <f ca="1"/>
        <v>MACHACHI</v>
      </c>
      <c r="B348" s="111" t="str">
        <f ca="1"/>
        <v>BEBIDAS LACTEAS</v>
      </c>
      <c r="C348" s="111" t="str">
        <f ca="1"/>
        <v xml:space="preserve">Luis Armendariz                         </v>
      </c>
      <c r="D348" s="111" t="str">
        <f ca="1"/>
        <v>YOGURT KIOSKO</v>
      </c>
      <c r="E348" s="111" t="str">
        <f ca="1"/>
        <v>BEBIDA DE YOGURT KIOSKO FUNDA FAMILI</v>
      </c>
      <c r="F348" s="120" t="str">
        <f ca="1"/>
        <v>GUAYAQUIL</v>
      </c>
      <c r="G348" s="120">
        <f ca="1"/>
        <v>7711</v>
      </c>
      <c r="H348" s="120">
        <f ca="1"/>
        <v>1001</v>
      </c>
      <c r="I348" s="120" t="str">
        <f ca="1"/>
        <v>15592</v>
      </c>
      <c r="J348" s="120" t="str">
        <f ca="1"/>
        <v>YOG BBLE KIOSKO NATURAL FUN 900G</v>
      </c>
      <c r="K348" s="121">
        <f ca="1"/>
        <v>900</v>
      </c>
      <c r="L348" s="122">
        <f ca="1"/>
        <v>1</v>
      </c>
      <c r="M348" s="120">
        <f ca="1"/>
        <v>0.9</v>
      </c>
      <c r="N348" s="121">
        <f ca="1"/>
        <v>45</v>
      </c>
      <c r="O348" s="123">
        <f ca="1"/>
        <v>45612</v>
      </c>
      <c r="P348" s="123" t="str">
        <f ca="1"/>
        <v>sábado</v>
      </c>
      <c r="Q348" s="124">
        <f ca="1"/>
        <v>45608</v>
      </c>
      <c r="R348" s="124">
        <f ca="1"/>
        <v>45652</v>
      </c>
      <c r="S348" s="90">
        <f ca="1"/>
        <v>28</v>
      </c>
      <c r="T348" s="139">
        <f ca="1"/>
        <v>0.62222222222222223</v>
      </c>
      <c r="U348" s="131">
        <f ca="1"/>
        <v>900</v>
      </c>
      <c r="V348" s="120">
        <f ca="1"/>
        <v>810</v>
      </c>
      <c r="W348" s="140">
        <f ca="1"/>
        <v>4</v>
      </c>
      <c r="X348" s="139">
        <f ca="1"/>
        <v>0.91111111111111109</v>
      </c>
      <c r="Y348" s="141">
        <f ca="1"/>
        <v>0.73647499999999999</v>
      </c>
      <c r="Z348" s="141">
        <f ca="1"/>
        <v>0.73647499999999999</v>
      </c>
      <c r="AA348" s="142">
        <f ca="1"/>
        <v>596.54475000000002</v>
      </c>
      <c r="AB348" s="138">
        <f ca="1"/>
        <v>12</v>
      </c>
      <c r="AC348" s="103" t="str">
        <f ca="1"/>
        <v>VIGENTE</v>
      </c>
      <c r="AD348" s="150">
        <f ca="1"/>
        <v>0.81</v>
      </c>
    </row>
    <row r="349" spans="1:30">
      <c r="A349" s="111" t="str">
        <f ca="1"/>
        <v>MACHACHI</v>
      </c>
      <c r="B349" s="111" t="str">
        <f ca="1"/>
        <v>BEBIDAS LACTEAS</v>
      </c>
      <c r="C349" s="111" t="str">
        <f ca="1"/>
        <v xml:space="preserve">Luis Armendariz                         </v>
      </c>
      <c r="D349" s="111" t="str">
        <f ca="1"/>
        <v>YOGURT KIOSKO</v>
      </c>
      <c r="E349" s="111" t="str">
        <f ca="1"/>
        <v>BEBIDA DE YOGURT KIOSKO FUNDA FAMILI</v>
      </c>
      <c r="F349" s="120" t="str">
        <f ca="1"/>
        <v>GUAYAQUIL</v>
      </c>
      <c r="G349" s="120">
        <f ca="1"/>
        <v>7711</v>
      </c>
      <c r="H349" s="120">
        <f ca="1"/>
        <v>1001</v>
      </c>
      <c r="I349" s="120" t="str">
        <f ca="1"/>
        <v>15592</v>
      </c>
      <c r="J349" s="120" t="str">
        <f ca="1"/>
        <v>YOG BBLE KIOSKO NATURAL FUN 900G</v>
      </c>
      <c r="K349" s="121">
        <f ca="1"/>
        <v>675</v>
      </c>
      <c r="L349" s="122">
        <f ca="1"/>
        <v>1</v>
      </c>
      <c r="M349" s="120">
        <f ca="1"/>
        <v>0.9</v>
      </c>
      <c r="N349" s="121">
        <f ca="1"/>
        <v>45</v>
      </c>
      <c r="O349" s="123">
        <f ca="1"/>
        <v>45611</v>
      </c>
      <c r="P349" s="123" t="str">
        <f ca="1"/>
        <v>viernes</v>
      </c>
      <c r="Q349" s="124">
        <f ca="1"/>
        <v>45608</v>
      </c>
      <c r="R349" s="124">
        <f ca="1"/>
        <v>45652</v>
      </c>
      <c r="S349" s="90">
        <f ca="1"/>
        <v>28</v>
      </c>
      <c r="T349" s="139">
        <f ca="1"/>
        <v>0.62222222222222223</v>
      </c>
      <c r="U349" s="131">
        <f ca="1"/>
        <v>115</v>
      </c>
      <c r="V349" s="120">
        <f ca="1"/>
        <v>103.5</v>
      </c>
      <c r="W349" s="140">
        <f ca="1"/>
        <v>3</v>
      </c>
      <c r="X349" s="139">
        <f ca="1"/>
        <v>0.93333333333333335</v>
      </c>
      <c r="Y349" s="141">
        <f ca="1"/>
        <v>0.73647499999999999</v>
      </c>
      <c r="Z349" s="141">
        <f ca="1"/>
        <v>0.73647499999999999</v>
      </c>
      <c r="AA349" s="142">
        <f ca="1"/>
        <v>76.225162499999996</v>
      </c>
      <c r="AB349" s="138">
        <f ca="1"/>
        <v>13</v>
      </c>
      <c r="AC349" s="103" t="str">
        <f ca="1"/>
        <v>VIGENTE</v>
      </c>
      <c r="AD349" s="150">
        <f ca="1"/>
        <v>0.10349999999999999</v>
      </c>
    </row>
    <row r="350" spans="1:30">
      <c r="A350" s="111" t="str">
        <f ca="1"/>
        <v>MACHACHI</v>
      </c>
      <c r="B350" s="111" t="str">
        <f ca="1"/>
        <v>BEBIDAS LACTEAS</v>
      </c>
      <c r="C350" s="111" t="str">
        <f ca="1"/>
        <v xml:space="preserve">Luis Armendariz                         </v>
      </c>
      <c r="D350" s="111" t="str">
        <f ca="1"/>
        <v>YOGURT KIOSKO</v>
      </c>
      <c r="E350" s="111" t="str">
        <f ca="1"/>
        <v>BEBIDA DE YOGURT KIOSKO FUNDA FAMILI</v>
      </c>
      <c r="F350" s="120" t="str">
        <f ca="1"/>
        <v>GUAYAQUIL</v>
      </c>
      <c r="G350" s="120">
        <f ca="1"/>
        <v>7711</v>
      </c>
      <c r="H350" s="120">
        <f ca="1"/>
        <v>1001</v>
      </c>
      <c r="I350" s="120" t="str">
        <f ca="1"/>
        <v>15592</v>
      </c>
      <c r="J350" s="120" t="str">
        <f ca="1"/>
        <v>YOG BBLE KIOSKO NATURAL FUN 900G</v>
      </c>
      <c r="K350" s="121">
        <f ca="1"/>
        <v>900</v>
      </c>
      <c r="L350" s="122">
        <f ca="1"/>
        <v>1</v>
      </c>
      <c r="M350" s="120">
        <f ca="1"/>
        <v>0.9</v>
      </c>
      <c r="N350" s="121">
        <f ca="1"/>
        <v>45</v>
      </c>
      <c r="O350" s="123">
        <f ca="1"/>
        <v>45615</v>
      </c>
      <c r="P350" s="123" t="str">
        <f ca="1"/>
        <v>martes</v>
      </c>
      <c r="Q350" s="124">
        <f ca="1"/>
        <v>45610</v>
      </c>
      <c r="R350" s="124">
        <f ca="1"/>
        <v>45654</v>
      </c>
      <c r="S350" s="90">
        <f ca="1"/>
        <v>30</v>
      </c>
      <c r="T350" s="139">
        <f ca="1"/>
        <v>0.66666666666666663</v>
      </c>
      <c r="U350" s="131">
        <f ca="1"/>
        <v>900</v>
      </c>
      <c r="V350" s="120">
        <f ca="1"/>
        <v>810</v>
      </c>
      <c r="W350" s="140">
        <f ca="1"/>
        <v>5</v>
      </c>
      <c r="X350" s="139">
        <f ca="1"/>
        <v>0.88888888888888884</v>
      </c>
      <c r="Y350" s="141">
        <f ca="1"/>
        <v>0.73647499999999999</v>
      </c>
      <c r="Z350" s="141">
        <f ca="1"/>
        <v>0.73647499999999999</v>
      </c>
      <c r="AA350" s="142">
        <f ca="1"/>
        <v>596.54475000000002</v>
      </c>
      <c r="AB350" s="138">
        <f ca="1"/>
        <v>9</v>
      </c>
      <c r="AC350" s="103" t="str">
        <f ca="1"/>
        <v>VIGENTE</v>
      </c>
      <c r="AD350" s="150">
        <f ca="1"/>
        <v>0.81</v>
      </c>
    </row>
    <row r="351" spans="1:30">
      <c r="A351" s="111" t="str">
        <f ca="1"/>
        <v>SAN GABRIEL</v>
      </c>
      <c r="B351" s="111" t="str">
        <f ca="1"/>
        <v>QUESOS Y GRASAS</v>
      </c>
      <c r="C351" s="111" t="str">
        <f ca="1"/>
        <v xml:space="preserve">Esteban Montenegro                      </v>
      </c>
      <c r="D351" s="111" t="str">
        <f ca="1"/>
        <v>MANTEQUILLA</v>
      </c>
      <c r="E351" s="111" t="str">
        <f ca="1"/>
        <v>MANTEQUILLA CON SAL</v>
      </c>
      <c r="F351" s="120" t="str">
        <f ca="1"/>
        <v>GUAYAQUIL</v>
      </c>
      <c r="G351" s="120">
        <f ca="1"/>
        <v>7711</v>
      </c>
      <c r="H351" s="120">
        <f ca="1"/>
        <v>1001</v>
      </c>
      <c r="I351" s="120" t="str">
        <f ca="1"/>
        <v>14719</v>
      </c>
      <c r="J351" s="120" t="str">
        <f ca="1"/>
        <v>MANTEQUILLA CON SAL KIOSKO 250G</v>
      </c>
      <c r="K351" s="121">
        <f ca="1"/>
        <v>192</v>
      </c>
      <c r="L351" s="122">
        <f ca="1"/>
        <v>1</v>
      </c>
      <c r="M351" s="120">
        <f ca="1"/>
        <v>0.25</v>
      </c>
      <c r="N351" s="121">
        <f ca="1"/>
        <v>40</v>
      </c>
      <c r="O351" s="123">
        <f ca="1"/>
        <v>45611</v>
      </c>
      <c r="P351" s="123" t="str">
        <f ca="1"/>
        <v>viernes</v>
      </c>
      <c r="Q351" s="124">
        <f ca="1"/>
        <v>45609</v>
      </c>
      <c r="R351" s="124">
        <f ca="1"/>
        <v>45648</v>
      </c>
      <c r="S351" s="90">
        <f ca="1"/>
        <v>24</v>
      </c>
      <c r="T351" s="139">
        <f ca="1"/>
        <v>0.6</v>
      </c>
      <c r="U351" s="131">
        <f ca="1"/>
        <v>83</v>
      </c>
      <c r="V351" s="120">
        <f ca="1"/>
        <v>20.75</v>
      </c>
      <c r="W351" s="140">
        <f ca="1"/>
        <v>2</v>
      </c>
      <c r="X351" s="139">
        <f ca="1"/>
        <v>0.95</v>
      </c>
      <c r="Y351" s="141">
        <f ca="1"/>
        <v>1.0747450000000001</v>
      </c>
      <c r="Z351" s="141">
        <f ca="1"/>
        <v>1.0747450000000001</v>
      </c>
      <c r="AA351" s="142">
        <f ca="1"/>
        <v>22.300958749999999</v>
      </c>
      <c r="AB351" s="138">
        <f ca="1"/>
        <v>13</v>
      </c>
      <c r="AC351" s="103" t="str">
        <f ca="1"/>
        <v>PROXIMOS FECHA CORTA</v>
      </c>
      <c r="AD351" s="150">
        <f ca="1"/>
        <v>2.0750000000000001E-2</v>
      </c>
    </row>
    <row r="352" spans="1:30">
      <c r="A352" s="111" t="str">
        <f ca="1"/>
        <v>SAN GABRIEL</v>
      </c>
      <c r="B352" s="111" t="str">
        <f ca="1"/>
        <v>QUESOS Y GRASAS</v>
      </c>
      <c r="C352" s="111" t="str">
        <f ca="1"/>
        <v xml:space="preserve">Esteban Montenegro                      </v>
      </c>
      <c r="D352" s="111" t="str">
        <f ca="1"/>
        <v>MANTEQUILLA</v>
      </c>
      <c r="E352" s="111" t="str">
        <f ca="1"/>
        <v>MANTEQUILLA CON SAL</v>
      </c>
      <c r="F352" s="120" t="str">
        <f ca="1"/>
        <v>GUAYAQUIL</v>
      </c>
      <c r="G352" s="120">
        <f ca="1"/>
        <v>7711</v>
      </c>
      <c r="H352" s="120">
        <f ca="1"/>
        <v>1001</v>
      </c>
      <c r="I352" s="120" t="str">
        <f ca="1"/>
        <v>14719</v>
      </c>
      <c r="J352" s="120" t="str">
        <f ca="1"/>
        <v>MANTEQUILLA CON SAL KIOSKO 250G</v>
      </c>
      <c r="K352" s="121">
        <f ca="1"/>
        <v>96</v>
      </c>
      <c r="L352" s="122">
        <f ca="1"/>
        <v>1</v>
      </c>
      <c r="M352" s="120">
        <f ca="1"/>
        <v>0.25</v>
      </c>
      <c r="N352" s="121">
        <f ca="1"/>
        <v>40</v>
      </c>
      <c r="O352" s="123">
        <f ca="1"/>
        <v>45616</v>
      </c>
      <c r="P352" s="123" t="str">
        <f ca="1"/>
        <v>miércoles</v>
      </c>
      <c r="Q352" s="124">
        <f ca="1"/>
        <v>45610</v>
      </c>
      <c r="R352" s="124">
        <f ca="1"/>
        <v>45649</v>
      </c>
      <c r="S352" s="90">
        <f ca="1"/>
        <v>25</v>
      </c>
      <c r="T352" s="139">
        <f ca="1"/>
        <v>0.625</v>
      </c>
      <c r="U352" s="131">
        <f ca="1"/>
        <v>96</v>
      </c>
      <c r="V352" s="120">
        <f ca="1"/>
        <v>24</v>
      </c>
      <c r="W352" s="140">
        <f ca="1"/>
        <v>6</v>
      </c>
      <c r="X352" s="139">
        <f ca="1"/>
        <v>0.85</v>
      </c>
      <c r="Y352" s="141">
        <f ca="1"/>
        <v>1.0747450000000001</v>
      </c>
      <c r="Z352" s="141">
        <f ca="1"/>
        <v>1.0747450000000001</v>
      </c>
      <c r="AA352" s="142">
        <f ca="1"/>
        <v>25.793880000000001</v>
      </c>
      <c r="AB352" s="138">
        <f ca="1"/>
        <v>8</v>
      </c>
      <c r="AC352" s="103" t="str">
        <f ca="1"/>
        <v>PROXIMOS FECHA CORTA</v>
      </c>
      <c r="AD352" s="150">
        <f ca="1"/>
        <v>2.4E-2</v>
      </c>
    </row>
    <row r="353" spans="1:30">
      <c r="A353" s="111" t="str">
        <f ca="1"/>
        <v>SAN GABRIEL</v>
      </c>
      <c r="B353" s="111" t="str">
        <f ca="1"/>
        <v>QUESOS Y GRASAS</v>
      </c>
      <c r="C353" s="111" t="str">
        <f ca="1"/>
        <v xml:space="preserve">Esteban Montenegro                      </v>
      </c>
      <c r="D353" s="111" t="str">
        <f ca="1"/>
        <v>MANTEQUILLA</v>
      </c>
      <c r="E353" s="111" t="str">
        <f ca="1"/>
        <v>MANTEQUILLA CON SAL</v>
      </c>
      <c r="F353" s="120" t="str">
        <f ca="1"/>
        <v>GUAYAQUIL</v>
      </c>
      <c r="G353" s="120">
        <f ca="1"/>
        <v>7711</v>
      </c>
      <c r="H353" s="120">
        <f ca="1"/>
        <v>1001</v>
      </c>
      <c r="I353" s="120" t="str">
        <f ca="1"/>
        <v>14719</v>
      </c>
      <c r="J353" s="120" t="str">
        <f ca="1"/>
        <v>MANTEQUILLA CON SAL KIOSKO 250G</v>
      </c>
      <c r="K353" s="121">
        <f ca="1"/>
        <v>96</v>
      </c>
      <c r="L353" s="122">
        <f ca="1"/>
        <v>1</v>
      </c>
      <c r="M353" s="120">
        <f ca="1"/>
        <v>0.25</v>
      </c>
      <c r="N353" s="121">
        <f ca="1"/>
        <v>40</v>
      </c>
      <c r="O353" s="123">
        <f ca="1"/>
        <v>45617</v>
      </c>
      <c r="P353" s="123" t="str">
        <f ca="1"/>
        <v>jueves</v>
      </c>
      <c r="Q353" s="124">
        <f ca="1"/>
        <v>45615</v>
      </c>
      <c r="R353" s="124">
        <f ca="1"/>
        <v>45654</v>
      </c>
      <c r="S353" s="90">
        <f ca="1"/>
        <v>30</v>
      </c>
      <c r="T353" s="139">
        <f ca="1"/>
        <v>0.75</v>
      </c>
      <c r="U353" s="131">
        <f ca="1"/>
        <v>96</v>
      </c>
      <c r="V353" s="120">
        <f ca="1"/>
        <v>24</v>
      </c>
      <c r="W353" s="140">
        <f ca="1"/>
        <v>2</v>
      </c>
      <c r="X353" s="139">
        <f ca="1"/>
        <v>0.95</v>
      </c>
      <c r="Y353" s="141">
        <f ca="1"/>
        <v>1.0747450000000001</v>
      </c>
      <c r="Z353" s="141">
        <f ca="1"/>
        <v>1.0747450000000001</v>
      </c>
      <c r="AA353" s="142">
        <f ca="1"/>
        <v>25.793880000000001</v>
      </c>
      <c r="AB353" s="138">
        <f ca="1"/>
        <v>7</v>
      </c>
      <c r="AC353" s="103" t="str">
        <f ca="1"/>
        <v>VIGENTE</v>
      </c>
      <c r="AD353" s="150">
        <f ca="1"/>
        <v>2.4E-2</v>
      </c>
    </row>
    <row r="354" spans="1:30">
      <c r="A354" s="111" t="str">
        <f ca="1"/>
        <v>MACHACHI</v>
      </c>
      <c r="B354" s="111" t="str">
        <f ca="1"/>
        <v>BEBIDAS LACTEAS</v>
      </c>
      <c r="C354" s="111" t="str">
        <f ca="1"/>
        <v xml:space="preserve">Luis Armendariz                         </v>
      </c>
      <c r="D354" s="111" t="str">
        <f ca="1"/>
        <v>YOGURT KIOSKO</v>
      </c>
      <c r="E354" s="111" t="str">
        <f ca="1"/>
        <v>GRIEGO SABORIZADO</v>
      </c>
      <c r="F354" s="120" t="str">
        <f ca="1"/>
        <v>GUAYAQUIL</v>
      </c>
      <c r="G354" s="120">
        <f ca="1"/>
        <v>7711</v>
      </c>
      <c r="H354" s="120">
        <f ca="1"/>
        <v>1001</v>
      </c>
      <c r="I354" s="120" t="str">
        <f ca="1"/>
        <v>16513</v>
      </c>
      <c r="J354" s="120" t="str">
        <f ca="1"/>
        <v>GRIEG KIOSKO MOR Y ARAND 120</v>
      </c>
      <c r="K354" s="121">
        <f ca="1"/>
        <v>480</v>
      </c>
      <c r="L354" s="122">
        <f ca="1"/>
        <v>1</v>
      </c>
      <c r="M354" s="120">
        <f ca="1"/>
        <v>0.12</v>
      </c>
      <c r="N354" s="121">
        <f ca="1"/>
        <v>45</v>
      </c>
      <c r="O354" s="123">
        <f ca="1"/>
        <v>45612</v>
      </c>
      <c r="P354" s="123" t="str">
        <f ca="1"/>
        <v>sábado</v>
      </c>
      <c r="Q354" s="124">
        <f ca="1"/>
        <v>45611</v>
      </c>
      <c r="R354" s="124">
        <f ca="1"/>
        <v>45655</v>
      </c>
      <c r="S354" s="90">
        <f ca="1"/>
        <v>31</v>
      </c>
      <c r="T354" s="139">
        <f ca="1"/>
        <v>0.68888888888888888</v>
      </c>
      <c r="U354" s="131">
        <f ca="1"/>
        <v>38</v>
      </c>
      <c r="V354" s="120">
        <f ca="1"/>
        <v>4.5599999999999996</v>
      </c>
      <c r="W354" s="140">
        <f ca="1"/>
        <v>1</v>
      </c>
      <c r="X354" s="139">
        <f ca="1"/>
        <v>0.97777777777777775</v>
      </c>
      <c r="Y354" s="141">
        <f ca="1"/>
        <v>0.40076499999999998</v>
      </c>
      <c r="Z354" s="141">
        <f ca="1"/>
        <v>0.40076499999999998</v>
      </c>
      <c r="AA354" s="142">
        <f ca="1"/>
        <v>1.8274883999999998</v>
      </c>
      <c r="AB354" s="138">
        <f ca="1"/>
        <v>12</v>
      </c>
      <c r="AC354" s="103" t="str">
        <f ca="1"/>
        <v>VIGENTE</v>
      </c>
      <c r="AD354" s="150">
        <f ca="1"/>
        <v>4.5599999999999998E-3</v>
      </c>
    </row>
    <row r="355" spans="1:30">
      <c r="A355" s="111" t="str">
        <f ca="1"/>
        <v>MULTIEMPAQUE</v>
      </c>
      <c r="B355" s="111" t="str">
        <f ca="1"/>
        <v>BEBIDAS LACTEAS</v>
      </c>
      <c r="C355" s="111" t="str">
        <f ca="1"/>
        <v xml:space="preserve">Luis Armendariz                         </v>
      </c>
      <c r="D355" s="111" t="str">
        <f ca="1"/>
        <v>AVENA ALPINA</v>
      </c>
      <c r="E355" s="111" t="str">
        <f ca="1"/>
        <v>AVENA VASO</v>
      </c>
      <c r="F355" s="120" t="str">
        <f ca="1"/>
        <v>GUAYAQUIL</v>
      </c>
      <c r="G355" s="120">
        <f ca="1"/>
        <v>7711</v>
      </c>
      <c r="H355" s="120">
        <f ca="1"/>
        <v>1001</v>
      </c>
      <c r="I355" s="120" t="str">
        <f ca="1"/>
        <v>3183</v>
      </c>
      <c r="J355" s="120" t="str">
        <f ca="1"/>
        <v>MPLX6 AVENA ORIG VASO 250G</v>
      </c>
      <c r="K355" s="121">
        <f ca="1"/>
        <v>128</v>
      </c>
      <c r="L355" s="122">
        <f ca="1"/>
        <v>1</v>
      </c>
      <c r="M355" s="120">
        <f ca="1"/>
        <v>1.5</v>
      </c>
      <c r="N355" s="121">
        <f ca="1"/>
        <v>180</v>
      </c>
      <c r="O355" s="123">
        <f ca="1"/>
        <v>45549</v>
      </c>
      <c r="P355" s="123" t="str">
        <f ca="1"/>
        <v>sábado</v>
      </c>
      <c r="Q355" s="124">
        <f ca="1"/>
        <v>45506</v>
      </c>
      <c r="R355" s="124">
        <f ca="1"/>
        <v>45685</v>
      </c>
      <c r="S355" s="90">
        <f ca="1"/>
        <v>61</v>
      </c>
      <c r="T355" s="139">
        <f ca="1"/>
        <v>0.33888888888888891</v>
      </c>
      <c r="U355" s="131">
        <f ca="1"/>
        <v>1</v>
      </c>
      <c r="V355" s="120">
        <f ca="1"/>
        <v>1.5</v>
      </c>
      <c r="W355" s="140">
        <f ca="1"/>
        <v>43</v>
      </c>
      <c r="X355" s="139">
        <f ca="1"/>
        <v>0.76111111111111107</v>
      </c>
      <c r="Y355" s="141">
        <f ca="1"/>
        <v>2.4714</v>
      </c>
      <c r="Z355" s="141">
        <f ca="1"/>
        <v>2.4714</v>
      </c>
      <c r="AA355" s="142">
        <f ca="1"/>
        <v>3.7071000000000001</v>
      </c>
      <c r="AB355" s="138">
        <f ca="1"/>
        <v>75</v>
      </c>
      <c r="AC355" s="103" t="str">
        <f ca="1"/>
        <v>VIGENTE</v>
      </c>
      <c r="AD355" s="150">
        <f ca="1"/>
        <v>1.5E-3</v>
      </c>
    </row>
    <row r="356" spans="1:30">
      <c r="A356" s="111" t="str">
        <f ca="1"/>
        <v>MULTIEMPAQUE</v>
      </c>
      <c r="B356" s="111" t="str">
        <f ca="1"/>
        <v>BEBIDAS LACTEAS</v>
      </c>
      <c r="C356" s="111" t="str">
        <f ca="1"/>
        <v xml:space="preserve">Luis Armendariz                         </v>
      </c>
      <c r="D356" s="111" t="str">
        <f ca="1"/>
        <v>AVENA ALPINA</v>
      </c>
      <c r="E356" s="111" t="str">
        <f ca="1"/>
        <v>AVENA VASO</v>
      </c>
      <c r="F356" s="120" t="str">
        <f ca="1"/>
        <v>GUAYAQUIL</v>
      </c>
      <c r="G356" s="120">
        <f ca="1"/>
        <v>7711</v>
      </c>
      <c r="H356" s="120">
        <f ca="1"/>
        <v>1001</v>
      </c>
      <c r="I356" s="120" t="str">
        <f ca="1"/>
        <v>3183</v>
      </c>
      <c r="J356" s="120" t="str">
        <f ca="1"/>
        <v>MPLX6 AVENA ORIG VASO 250G</v>
      </c>
      <c r="K356" s="121">
        <f ca="1"/>
        <v>120</v>
      </c>
      <c r="L356" s="122">
        <f ca="1"/>
        <v>1</v>
      </c>
      <c r="M356" s="120">
        <f ca="1"/>
        <v>1.5</v>
      </c>
      <c r="N356" s="121">
        <f ca="1"/>
        <v>180</v>
      </c>
      <c r="O356" s="123">
        <f ca="1"/>
        <v>45608</v>
      </c>
      <c r="P356" s="123" t="str">
        <f ca="1"/>
        <v>martes</v>
      </c>
      <c r="Q356" s="124">
        <f ca="1"/>
        <v>45583</v>
      </c>
      <c r="R356" s="124">
        <f ca="1"/>
        <v>45762</v>
      </c>
      <c r="S356" s="90">
        <f ca="1"/>
        <v>138</v>
      </c>
      <c r="T356" s="139">
        <f ca="1"/>
        <v>0.76666666666666672</v>
      </c>
      <c r="U356" s="131">
        <f ca="1"/>
        <v>120</v>
      </c>
      <c r="V356" s="120">
        <f ca="1"/>
        <v>180</v>
      </c>
      <c r="W356" s="140">
        <f ca="1"/>
        <v>25</v>
      </c>
      <c r="X356" s="139">
        <f ca="1"/>
        <v>0.86111111111111116</v>
      </c>
      <c r="Y356" s="141">
        <f ca="1"/>
        <v>2.4714</v>
      </c>
      <c r="Z356" s="141">
        <f ca="1"/>
        <v>2.4714</v>
      </c>
      <c r="AA356" s="142">
        <f ca="1"/>
        <v>444.85200000000003</v>
      </c>
      <c r="AB356" s="138">
        <f ca="1"/>
        <v>16</v>
      </c>
      <c r="AC356" s="103" t="str">
        <f ca="1"/>
        <v>VIGENTE</v>
      </c>
      <c r="AD356" s="150">
        <f ca="1"/>
        <v>0.18</v>
      </c>
    </row>
    <row r="357" spans="1:30">
      <c r="A357" s="111" t="str">
        <f ca="1"/>
        <v>MULTIEMPAQUE</v>
      </c>
      <c r="B357" s="111" t="str">
        <f ca="1"/>
        <v>BEBIDAS LACTEAS</v>
      </c>
      <c r="C357" s="111" t="str">
        <f ca="1"/>
        <v xml:space="preserve">Luis Armendariz                         </v>
      </c>
      <c r="D357" s="111" t="str">
        <f ca="1"/>
        <v>AVENA ALPINA</v>
      </c>
      <c r="E357" s="111" t="str">
        <f ca="1"/>
        <v>AVENA VASO</v>
      </c>
      <c r="F357" s="120" t="str">
        <f ca="1"/>
        <v>GUAYAQUIL</v>
      </c>
      <c r="G357" s="120">
        <f ca="1"/>
        <v>7711</v>
      </c>
      <c r="H357" s="120">
        <f ca="1"/>
        <v>1001</v>
      </c>
      <c r="I357" s="120" t="str">
        <f ca="1"/>
        <v>3183</v>
      </c>
      <c r="J357" s="120" t="str">
        <f ca="1"/>
        <v>MPLX6 AVENA ORIG VASO 250G</v>
      </c>
      <c r="K357" s="121">
        <f ca="1"/>
        <v>40</v>
      </c>
      <c r="L357" s="122">
        <f ca="1"/>
        <v>1</v>
      </c>
      <c r="M357" s="120">
        <f ca="1"/>
        <v>1.5</v>
      </c>
      <c r="N357" s="121">
        <f ca="1"/>
        <v>180</v>
      </c>
      <c r="O357" s="123">
        <f ca="1"/>
        <v>45609</v>
      </c>
      <c r="P357" s="123" t="str">
        <f ca="1"/>
        <v>miércoles</v>
      </c>
      <c r="Q357" s="124">
        <f ca="1"/>
        <v>45583</v>
      </c>
      <c r="R357" s="124">
        <f ca="1"/>
        <v>45762</v>
      </c>
      <c r="S357" s="90">
        <f ca="1"/>
        <v>138</v>
      </c>
      <c r="T357" s="139">
        <f ca="1"/>
        <v>0.76666666666666672</v>
      </c>
      <c r="U357" s="131">
        <f ca="1"/>
        <v>40</v>
      </c>
      <c r="V357" s="120">
        <f ca="1"/>
        <v>60</v>
      </c>
      <c r="W357" s="140">
        <f ca="1"/>
        <v>26</v>
      </c>
      <c r="X357" s="139">
        <f ca="1"/>
        <v>0.85555555555555562</v>
      </c>
      <c r="Y357" s="141">
        <f ca="1"/>
        <v>2.4714</v>
      </c>
      <c r="Z357" s="141">
        <f ca="1"/>
        <v>2.4714</v>
      </c>
      <c r="AA357" s="142">
        <f ca="1"/>
        <v>148.28399999999999</v>
      </c>
      <c r="AB357" s="138">
        <f ca="1"/>
        <v>15</v>
      </c>
      <c r="AC357" s="103" t="str">
        <f ca="1"/>
        <v>VIGENTE</v>
      </c>
      <c r="AD357" s="150">
        <f ca="1"/>
        <v>0.06</v>
      </c>
    </row>
    <row r="358" spans="1:30">
      <c r="A358" s="111" t="str">
        <f ca="1"/>
        <v>MULTIEMPAQUE</v>
      </c>
      <c r="B358" s="111" t="str">
        <f ca="1"/>
        <v>BEBIDAS LACTEAS</v>
      </c>
      <c r="C358" s="111" t="str">
        <f ca="1"/>
        <v xml:space="preserve">Luis Armendariz                         </v>
      </c>
      <c r="D358" s="111" t="str">
        <f ca="1"/>
        <v>AVENA ALPINA</v>
      </c>
      <c r="E358" s="111" t="str">
        <f ca="1"/>
        <v>AVENA VASO</v>
      </c>
      <c r="F358" s="120" t="str">
        <f ca="1"/>
        <v>GUAYAQUIL</v>
      </c>
      <c r="G358" s="120">
        <f ca="1"/>
        <v>7711</v>
      </c>
      <c r="H358" s="120">
        <f ca="1"/>
        <v>1001</v>
      </c>
      <c r="I358" s="120" t="str">
        <f ca="1"/>
        <v>3183</v>
      </c>
      <c r="J358" s="120" t="str">
        <f ca="1"/>
        <v>MPLX6 AVENA ORIG VASO 250G</v>
      </c>
      <c r="K358" s="121">
        <f ca="1"/>
        <v>96</v>
      </c>
      <c r="L358" s="122">
        <f ca="1"/>
        <v>1</v>
      </c>
      <c r="M358" s="120">
        <f ca="1"/>
        <v>1.5</v>
      </c>
      <c r="N358" s="121">
        <f ca="1"/>
        <v>180</v>
      </c>
      <c r="O358" s="123">
        <f ca="1"/>
        <v>45610</v>
      </c>
      <c r="P358" s="123" t="str">
        <f ca="1"/>
        <v>jueves</v>
      </c>
      <c r="Q358" s="124">
        <f ca="1"/>
        <v>45583</v>
      </c>
      <c r="R358" s="124">
        <f ca="1"/>
        <v>45762</v>
      </c>
      <c r="S358" s="90">
        <f ca="1"/>
        <v>138</v>
      </c>
      <c r="T358" s="139">
        <f ca="1"/>
        <v>0.76666666666666672</v>
      </c>
      <c r="U358" s="131">
        <f ca="1"/>
        <v>96</v>
      </c>
      <c r="V358" s="120">
        <f ca="1"/>
        <v>144</v>
      </c>
      <c r="W358" s="140">
        <f ca="1"/>
        <v>27</v>
      </c>
      <c r="X358" s="139">
        <f ca="1"/>
        <v>0.85</v>
      </c>
      <c r="Y358" s="141">
        <f ca="1"/>
        <v>2.4714</v>
      </c>
      <c r="Z358" s="141">
        <f ca="1"/>
        <v>2.4714</v>
      </c>
      <c r="AA358" s="142">
        <f ca="1"/>
        <v>355.88159999999999</v>
      </c>
      <c r="AB358" s="138">
        <f ca="1"/>
        <v>14</v>
      </c>
      <c r="AC358" s="103" t="str">
        <f ca="1"/>
        <v>VIGENTE</v>
      </c>
      <c r="AD358" s="150">
        <f ca="1"/>
        <v>0.14399999999999999</v>
      </c>
    </row>
    <row r="359" spans="1:30">
      <c r="A359" s="111" t="str">
        <f ca="1"/>
        <v>MULTIEMPAQUE</v>
      </c>
      <c r="B359" s="111" t="str">
        <f ca="1"/>
        <v>BEBIDAS LACTEAS</v>
      </c>
      <c r="C359" s="111" t="str">
        <f ca="1"/>
        <v xml:space="preserve">Luis Armendariz                         </v>
      </c>
      <c r="D359" s="111" t="str">
        <f ca="1"/>
        <v>AVENA ALPINA</v>
      </c>
      <c r="E359" s="111" t="str">
        <f ca="1"/>
        <v>AVENA VASO</v>
      </c>
      <c r="F359" s="120" t="str">
        <f ca="1"/>
        <v>GUAYAQUIL</v>
      </c>
      <c r="G359" s="120">
        <f ca="1"/>
        <v>7711</v>
      </c>
      <c r="H359" s="120">
        <f ca="1"/>
        <v>1001</v>
      </c>
      <c r="I359" s="120" t="str">
        <f ca="1"/>
        <v>3183</v>
      </c>
      <c r="J359" s="120" t="str">
        <f ca="1"/>
        <v>MPLX6 AVENA ORIG VASO 250G</v>
      </c>
      <c r="K359" s="121">
        <f ca="1"/>
        <v>120</v>
      </c>
      <c r="L359" s="122">
        <f ca="1"/>
        <v>1</v>
      </c>
      <c r="M359" s="120">
        <f ca="1"/>
        <v>1.5</v>
      </c>
      <c r="N359" s="121">
        <f ca="1"/>
        <v>180</v>
      </c>
      <c r="O359" s="123">
        <f ca="1"/>
        <v>45616</v>
      </c>
      <c r="P359" s="123" t="str">
        <f ca="1"/>
        <v>miércoles</v>
      </c>
      <c r="Q359" s="124">
        <f ca="1"/>
        <v>45596</v>
      </c>
      <c r="R359" s="124">
        <f ca="1"/>
        <v>45775</v>
      </c>
      <c r="S359" s="90">
        <f ca="1"/>
        <v>151</v>
      </c>
      <c r="T359" s="139">
        <f ca="1"/>
        <v>0.83888888888888891</v>
      </c>
      <c r="U359" s="131">
        <f ca="1"/>
        <v>32</v>
      </c>
      <c r="V359" s="120">
        <f ca="1"/>
        <v>48</v>
      </c>
      <c r="W359" s="140">
        <f ca="1"/>
        <v>20</v>
      </c>
      <c r="X359" s="139">
        <f ca="1"/>
        <v>0.88888888888888884</v>
      </c>
      <c r="Y359" s="141">
        <f ca="1"/>
        <v>2.4714</v>
      </c>
      <c r="Z359" s="141">
        <f ca="1"/>
        <v>2.4714</v>
      </c>
      <c r="AA359" s="142">
        <f ca="1"/>
        <v>118.6272</v>
      </c>
      <c r="AB359" s="138">
        <f ca="1"/>
        <v>8</v>
      </c>
      <c r="AC359" s="103" t="str">
        <f ca="1"/>
        <v>VIGENTE</v>
      </c>
      <c r="AD359" s="150">
        <f ca="1"/>
        <v>4.8000000000000001E-2</v>
      </c>
    </row>
    <row r="360" spans="1:30">
      <c r="A360" s="111" t="str">
        <f ca="1"/>
        <v>MULTIEMPAQUE</v>
      </c>
      <c r="B360" s="111" t="str">
        <f ca="1"/>
        <v>BEBIDAS LACTEAS</v>
      </c>
      <c r="C360" s="111" t="str">
        <f ca="1"/>
        <v xml:space="preserve">Luis Armendariz                         </v>
      </c>
      <c r="D360" s="111" t="str">
        <f ca="1"/>
        <v>AVENA ALPINA</v>
      </c>
      <c r="E360" s="111" t="str">
        <f ca="1"/>
        <v>AVENA VASO</v>
      </c>
      <c r="F360" s="120" t="str">
        <f ca="1"/>
        <v>GUAYAQUIL</v>
      </c>
      <c r="G360" s="120">
        <f ca="1"/>
        <v>7711</v>
      </c>
      <c r="H360" s="120">
        <f ca="1"/>
        <v>1001</v>
      </c>
      <c r="I360" s="120" t="str">
        <f ca="1"/>
        <v>3183</v>
      </c>
      <c r="J360" s="120" t="str">
        <f ca="1"/>
        <v>MPLX6 AVENA ORIG VASO 250G</v>
      </c>
      <c r="K360" s="121">
        <f ca="1"/>
        <v>88</v>
      </c>
      <c r="L360" s="122">
        <f ca="1"/>
        <v>1</v>
      </c>
      <c r="M360" s="120">
        <f ca="1"/>
        <v>1.5</v>
      </c>
      <c r="N360" s="121">
        <f ca="1"/>
        <v>180</v>
      </c>
      <c r="O360" s="123">
        <f ca="1"/>
        <v>45617</v>
      </c>
      <c r="P360" s="123" t="str">
        <f ca="1"/>
        <v>jueves</v>
      </c>
      <c r="Q360" s="124">
        <f ca="1"/>
        <v>45596</v>
      </c>
      <c r="R360" s="124">
        <f ca="1"/>
        <v>45775</v>
      </c>
      <c r="S360" s="90">
        <f ca="1"/>
        <v>151</v>
      </c>
      <c r="T360" s="139">
        <f ca="1"/>
        <v>0.83888888888888891</v>
      </c>
      <c r="U360" s="131">
        <f ca="1"/>
        <v>88</v>
      </c>
      <c r="V360" s="120">
        <f ca="1"/>
        <v>132</v>
      </c>
      <c r="W360" s="140">
        <f ca="1"/>
        <v>21</v>
      </c>
      <c r="X360" s="139">
        <f ca="1"/>
        <v>0.8833333333333333</v>
      </c>
      <c r="Y360" s="141">
        <f ca="1"/>
        <v>2.4714</v>
      </c>
      <c r="Z360" s="141">
        <f ca="1"/>
        <v>2.4714</v>
      </c>
      <c r="AA360" s="142">
        <f ca="1"/>
        <v>326.22480000000002</v>
      </c>
      <c r="AB360" s="138">
        <f ca="1"/>
        <v>7</v>
      </c>
      <c r="AC360" s="103" t="str">
        <f ca="1"/>
        <v>VIGENTE</v>
      </c>
      <c r="AD360" s="150">
        <f ca="1"/>
        <v>0.13200000000000001</v>
      </c>
    </row>
    <row r="361" spans="1:30">
      <c r="A361" s="111" t="str">
        <f ca="1"/>
        <v>MACHACHI</v>
      </c>
      <c r="B361" s="111" t="str">
        <f ca="1"/>
        <v>BEBIDAS LACTEAS</v>
      </c>
      <c r="C361" s="111" t="str">
        <f ca="1"/>
        <v xml:space="preserve">Luis Armendariz                         </v>
      </c>
      <c r="D361" s="111" t="str">
        <f ca="1"/>
        <v>YOGURT FINESSE</v>
      </c>
      <c r="E361" s="111" t="str">
        <f ca="1"/>
        <v>YOGURT FINESSE DESLACT BOTELLA FAMILIAR</v>
      </c>
      <c r="F361" s="120" t="str">
        <f ca="1"/>
        <v>GUAYAQUIL</v>
      </c>
      <c r="G361" s="120">
        <f ca="1"/>
        <v>7711</v>
      </c>
      <c r="H361" s="120">
        <f ca="1"/>
        <v>1001</v>
      </c>
      <c r="I361" s="120" t="str">
        <f ca="1"/>
        <v>12549</v>
      </c>
      <c r="J361" s="120" t="str">
        <f ca="1"/>
        <v>YOG FNSSE FRTROJ BOT 1670G</v>
      </c>
      <c r="K361" s="121">
        <f ca="1"/>
        <v>36</v>
      </c>
      <c r="L361" s="122">
        <f ca="1"/>
        <v>1</v>
      </c>
      <c r="M361" s="120">
        <f ca="1"/>
        <v>1.67</v>
      </c>
      <c r="N361" s="121">
        <f ca="1"/>
        <v>45</v>
      </c>
      <c r="O361" s="123">
        <f ca="1"/>
        <v>45612</v>
      </c>
      <c r="P361" s="123" t="str">
        <f ca="1"/>
        <v>sábado</v>
      </c>
      <c r="Q361" s="124">
        <f ca="1"/>
        <v>45609</v>
      </c>
      <c r="R361" s="124">
        <f ca="1"/>
        <v>45653</v>
      </c>
      <c r="S361" s="90">
        <f ca="1"/>
        <v>29</v>
      </c>
      <c r="T361" s="139">
        <f ca="1"/>
        <v>0.64444444444444449</v>
      </c>
      <c r="U361" s="131">
        <f ca="1"/>
        <v>0</v>
      </c>
      <c r="V361" s="120">
        <f ca="1"/>
        <v>0</v>
      </c>
      <c r="W361" s="140">
        <f ca="1"/>
        <v>3</v>
      </c>
      <c r="X361" s="139">
        <f ca="1"/>
        <v>0.93333333333333335</v>
      </c>
      <c r="Y361" s="141">
        <f ca="1"/>
        <v>2.3031100000000002</v>
      </c>
      <c r="Z361" s="141">
        <f ca="1"/>
        <v>2.3031100000000002</v>
      </c>
      <c r="AA361" s="142">
        <f ca="1"/>
        <v>0</v>
      </c>
      <c r="AB361" s="138">
        <f ca="1"/>
        <v>12</v>
      </c>
      <c r="AC361" s="103" t="str">
        <f ca="1"/>
        <v>VIGENTE</v>
      </c>
      <c r="AD361" s="150">
        <f ca="1"/>
        <v>0</v>
      </c>
    </row>
    <row r="362" spans="1:30">
      <c r="A362" s="111" t="str">
        <f ca="1"/>
        <v>MACHACHI</v>
      </c>
      <c r="B362" s="111" t="str">
        <f ca="1"/>
        <v>BEBIDAS LACTEAS</v>
      </c>
      <c r="C362" s="111" t="str">
        <f ca="1"/>
        <v xml:space="preserve">Luis Armendariz                         </v>
      </c>
      <c r="D362" s="111" t="str">
        <f ca="1"/>
        <v>YOGURT FINESSE</v>
      </c>
      <c r="E362" s="111" t="str">
        <f ca="1"/>
        <v>YOGURT FINESSE DESLACT BOTELLA FAMILIAR</v>
      </c>
      <c r="F362" s="120" t="str">
        <f ca="1"/>
        <v>GUAYAQUIL</v>
      </c>
      <c r="G362" s="120">
        <f ca="1"/>
        <v>7711</v>
      </c>
      <c r="H362" s="120">
        <f ca="1"/>
        <v>1001</v>
      </c>
      <c r="I362" s="120" t="str">
        <f ca="1"/>
        <v>12549</v>
      </c>
      <c r="J362" s="120" t="str">
        <f ca="1"/>
        <v>YOG FNSSE FRTROJ BOT 1670G</v>
      </c>
      <c r="K362" s="121">
        <f ca="1"/>
        <v>48</v>
      </c>
      <c r="L362" s="122">
        <f ca="1"/>
        <v>1</v>
      </c>
      <c r="M362" s="120">
        <f ca="1"/>
        <v>1.67</v>
      </c>
      <c r="N362" s="121">
        <f ca="1"/>
        <v>45</v>
      </c>
      <c r="O362" s="123">
        <f ca="1"/>
        <v>45616</v>
      </c>
      <c r="P362" s="123" t="str">
        <f ca="1"/>
        <v>miércoles</v>
      </c>
      <c r="Q362" s="124">
        <f ca="1"/>
        <v>45609</v>
      </c>
      <c r="R362" s="124">
        <f ca="1"/>
        <v>45653</v>
      </c>
      <c r="S362" s="90">
        <f ca="1"/>
        <v>29</v>
      </c>
      <c r="T362" s="139">
        <f ca="1"/>
        <v>0.64444444444444449</v>
      </c>
      <c r="U362" s="131">
        <f ca="1"/>
        <v>48</v>
      </c>
      <c r="V362" s="120">
        <f ca="1"/>
        <v>80.16</v>
      </c>
      <c r="W362" s="140">
        <f ca="1"/>
        <v>7</v>
      </c>
      <c r="X362" s="139">
        <f ca="1"/>
        <v>0.84444444444444444</v>
      </c>
      <c r="Y362" s="141">
        <f ca="1"/>
        <v>2.3031100000000002</v>
      </c>
      <c r="Z362" s="141">
        <f ca="1"/>
        <v>2.3031100000000002</v>
      </c>
      <c r="AA362" s="142">
        <f ca="1"/>
        <v>184.6172976</v>
      </c>
      <c r="AB362" s="138">
        <f ca="1"/>
        <v>8</v>
      </c>
      <c r="AC362" s="103" t="str">
        <f ca="1"/>
        <v>VIGENTE</v>
      </c>
      <c r="AD362" s="150">
        <f ca="1"/>
        <v>8.0159999999999995E-2</v>
      </c>
    </row>
    <row r="363" spans="1:30">
      <c r="A363" s="111" t="str">
        <f ca="1"/>
        <v>MACHACHI</v>
      </c>
      <c r="B363" s="111" t="str">
        <f ca="1"/>
        <v>BEBIDAS LACTEAS</v>
      </c>
      <c r="C363" s="111" t="str">
        <f ca="1"/>
        <v xml:space="preserve">Luis Armendariz                         </v>
      </c>
      <c r="D363" s="111" t="str">
        <f ca="1"/>
        <v>YOGURT FINESSE</v>
      </c>
      <c r="E363" s="111" t="str">
        <f ca="1"/>
        <v>YOGURT FINESSE DESLACT BOTELLA FAMILIAR</v>
      </c>
      <c r="F363" s="120" t="str">
        <f ca="1"/>
        <v>GUAYAQUIL</v>
      </c>
      <c r="G363" s="120">
        <f ca="1"/>
        <v>7711</v>
      </c>
      <c r="H363" s="120">
        <f ca="1"/>
        <v>1001</v>
      </c>
      <c r="I363" s="120" t="str">
        <f ca="1"/>
        <v>12549</v>
      </c>
      <c r="J363" s="120" t="str">
        <f ca="1"/>
        <v>YOG FNSSE FRTROJ BOT 1670G</v>
      </c>
      <c r="K363" s="121">
        <f ca="1"/>
        <v>12</v>
      </c>
      <c r="L363" s="122">
        <f ca="1"/>
        <v>1</v>
      </c>
      <c r="M363" s="120">
        <f ca="1"/>
        <v>1.67</v>
      </c>
      <c r="N363" s="121">
        <f ca="1"/>
        <v>45</v>
      </c>
      <c r="O363" s="123">
        <f ca="1"/>
        <v>45617</v>
      </c>
      <c r="P363" s="123" t="str">
        <f ca="1"/>
        <v>jueves</v>
      </c>
      <c r="Q363" s="124">
        <f ca="1"/>
        <v>45609</v>
      </c>
      <c r="R363" s="124">
        <f ca="1"/>
        <v>45653</v>
      </c>
      <c r="S363" s="90">
        <f ca="1"/>
        <v>29</v>
      </c>
      <c r="T363" s="139">
        <f ca="1"/>
        <v>0.64444444444444449</v>
      </c>
      <c r="U363" s="131">
        <f ca="1"/>
        <v>12</v>
      </c>
      <c r="V363" s="120">
        <f ca="1"/>
        <v>20.04</v>
      </c>
      <c r="W363" s="140">
        <f ca="1"/>
        <v>8</v>
      </c>
      <c r="X363" s="139">
        <f ca="1"/>
        <v>0.82222222222222219</v>
      </c>
      <c r="Y363" s="141">
        <f ca="1"/>
        <v>2.3031100000000002</v>
      </c>
      <c r="Z363" s="141">
        <f ca="1"/>
        <v>2.3031100000000002</v>
      </c>
      <c r="AA363" s="142">
        <f ca="1"/>
        <v>46.1543244</v>
      </c>
      <c r="AB363" s="138">
        <f ca="1"/>
        <v>7</v>
      </c>
      <c r="AC363" s="103" t="str">
        <f ca="1"/>
        <v>VIGENTE</v>
      </c>
      <c r="AD363" s="150">
        <f ca="1"/>
        <v>2.0039999999999999E-2</v>
      </c>
    </row>
    <row r="364" spans="1:30">
      <c r="A364" s="111" t="str">
        <f ca="1"/>
        <v>MULTIEMPAQUE_MACH</v>
      </c>
      <c r="B364" s="111" t="str">
        <f ca="1"/>
        <v>BEBIDAS LACTEAS</v>
      </c>
      <c r="C364" s="111" t="str">
        <f ca="1"/>
        <v xml:space="preserve">Luis Armendariz                         </v>
      </c>
      <c r="D364" s="111" t="str">
        <f ca="1"/>
        <v>REGENERIS</v>
      </c>
      <c r="E364" s="111" t="str">
        <f ca="1"/>
        <v>REGENERIS BEBIBLE BOTELLA PERSONAL</v>
      </c>
      <c r="F364" s="120" t="str">
        <f ca="1"/>
        <v>GUAYAQUIL</v>
      </c>
      <c r="G364" s="120">
        <f ca="1"/>
        <v>7711</v>
      </c>
      <c r="H364" s="120">
        <f ca="1"/>
        <v>1001</v>
      </c>
      <c r="I364" s="120" t="str">
        <f ca="1"/>
        <v>4134</v>
      </c>
      <c r="J364" s="120" t="str">
        <f ca="1"/>
        <v>MPLX6 RGN BBLE MULTSAB BOT 180G</v>
      </c>
      <c r="K364" s="121">
        <f ca="1"/>
        <v>48</v>
      </c>
      <c r="L364" s="122">
        <f ca="1"/>
        <v>1</v>
      </c>
      <c r="M364" s="120">
        <f ca="1"/>
        <v>1.08</v>
      </c>
      <c r="N364" s="121">
        <f ca="1"/>
        <v>45</v>
      </c>
      <c r="O364" s="123">
        <f ca="1"/>
        <v>45612</v>
      </c>
      <c r="P364" s="123" t="str">
        <f ca="1"/>
        <v>sábado</v>
      </c>
      <c r="Q364" s="124">
        <f ca="1"/>
        <v>45609</v>
      </c>
      <c r="R364" s="124">
        <f ca="1"/>
        <v>45653</v>
      </c>
      <c r="S364" s="90">
        <f ca="1"/>
        <v>29</v>
      </c>
      <c r="T364" s="139">
        <f ca="1"/>
        <v>0.64444444444444449</v>
      </c>
      <c r="U364" s="131">
        <f ca="1"/>
        <v>48</v>
      </c>
      <c r="V364" s="120">
        <f ca="1"/>
        <v>51.84</v>
      </c>
      <c r="W364" s="140">
        <f ca="1"/>
        <v>3</v>
      </c>
      <c r="X364" s="139">
        <f ca="1"/>
        <v>0.93333333333333335</v>
      </c>
      <c r="Y364" s="141">
        <f ca="1"/>
        <v>1.89862</v>
      </c>
      <c r="Z364" s="141">
        <f ca="1"/>
        <v>1.89862</v>
      </c>
      <c r="AA364" s="142">
        <f ca="1"/>
        <v>98.424460800000006</v>
      </c>
      <c r="AB364" s="138">
        <f ca="1"/>
        <v>12</v>
      </c>
      <c r="AC364" s="103" t="str">
        <f ca="1"/>
        <v>VIGENTE</v>
      </c>
      <c r="AD364" s="150">
        <f ca="1"/>
        <v>5.1840000000000004E-2</v>
      </c>
    </row>
    <row r="365" spans="1:30">
      <c r="A365" s="111" t="str">
        <f ca="1"/>
        <v>MULTIEMPAQUE_MACH</v>
      </c>
      <c r="B365" s="111" t="str">
        <f ca="1"/>
        <v>BEBIDAS LACTEAS</v>
      </c>
      <c r="C365" s="111" t="str">
        <f ca="1"/>
        <v xml:space="preserve">Luis Armendariz                         </v>
      </c>
      <c r="D365" s="111" t="str">
        <f ca="1"/>
        <v>REGENERIS</v>
      </c>
      <c r="E365" s="111" t="str">
        <f ca="1"/>
        <v>REGENERIS BEBIBLE BOTELLA PERSONAL</v>
      </c>
      <c r="F365" s="120" t="str">
        <f ca="1"/>
        <v>GUAYAQUIL</v>
      </c>
      <c r="G365" s="120">
        <f ca="1"/>
        <v>7711</v>
      </c>
      <c r="H365" s="120">
        <f ca="1"/>
        <v>1001</v>
      </c>
      <c r="I365" s="120" t="str">
        <f ca="1"/>
        <v>4134</v>
      </c>
      <c r="J365" s="120" t="str">
        <f ca="1"/>
        <v>MPLX6 RGN BBLE MULTSAB BOT 180G</v>
      </c>
      <c r="K365" s="121">
        <f ca="1"/>
        <v>24</v>
      </c>
      <c r="L365" s="122">
        <f ca="1"/>
        <v>1</v>
      </c>
      <c r="M365" s="120">
        <f ca="1"/>
        <v>1.08</v>
      </c>
      <c r="N365" s="121">
        <f ca="1"/>
        <v>45</v>
      </c>
      <c r="O365" s="123">
        <f ca="1"/>
        <v>45611</v>
      </c>
      <c r="P365" s="123" t="str">
        <f ca="1"/>
        <v>viernes</v>
      </c>
      <c r="Q365" s="124">
        <f ca="1"/>
        <v>45609</v>
      </c>
      <c r="R365" s="124">
        <f ca="1"/>
        <v>45653</v>
      </c>
      <c r="S365" s="90">
        <f ca="1"/>
        <v>29</v>
      </c>
      <c r="T365" s="139">
        <f ca="1"/>
        <v>0.64444444444444449</v>
      </c>
      <c r="U365" s="131">
        <f ca="1"/>
        <v>24</v>
      </c>
      <c r="V365" s="120">
        <f ca="1"/>
        <v>25.92</v>
      </c>
      <c r="W365" s="140">
        <f ca="1"/>
        <v>2</v>
      </c>
      <c r="X365" s="139">
        <f ca="1"/>
        <v>0.9555555555555556</v>
      </c>
      <c r="Y365" s="141">
        <f ca="1"/>
        <v>1.89862</v>
      </c>
      <c r="Z365" s="141">
        <f ca="1"/>
        <v>1.89862</v>
      </c>
      <c r="AA365" s="142">
        <f ca="1"/>
        <v>49.212230400000003</v>
      </c>
      <c r="AB365" s="138">
        <f ca="1"/>
        <v>13</v>
      </c>
      <c r="AC365" s="103" t="str">
        <f ca="1"/>
        <v>VIGENTE</v>
      </c>
      <c r="AD365" s="150">
        <f ca="1"/>
        <v>2.5920000000000002E-2</v>
      </c>
    </row>
    <row r="366" spans="1:30">
      <c r="A366" s="111" t="str">
        <f ca="1"/>
        <v>MULTIEMPAQUE_MACH</v>
      </c>
      <c r="B366" s="111" t="str">
        <f ca="1"/>
        <v>BEBIDAS LACTEAS</v>
      </c>
      <c r="C366" s="111" t="str">
        <f ca="1"/>
        <v xml:space="preserve">Luis Armendariz                         </v>
      </c>
      <c r="D366" s="111" t="str">
        <f ca="1"/>
        <v>REGENERIS</v>
      </c>
      <c r="E366" s="111" t="str">
        <f ca="1"/>
        <v>REGENERIS BEBIBLE BOTELLA PERSONAL</v>
      </c>
      <c r="F366" s="120" t="str">
        <f ca="1"/>
        <v>GUAYAQUIL</v>
      </c>
      <c r="G366" s="120">
        <f ca="1"/>
        <v>7711</v>
      </c>
      <c r="H366" s="120">
        <f ca="1"/>
        <v>1001</v>
      </c>
      <c r="I366" s="120" t="str">
        <f ca="1"/>
        <v>4134</v>
      </c>
      <c r="J366" s="120" t="str">
        <f ca="1"/>
        <v>MPLX6 RGN BBLE MULTSAB BOT 180G</v>
      </c>
      <c r="K366" s="121">
        <f ca="1"/>
        <v>72</v>
      </c>
      <c r="L366" s="122">
        <f ca="1"/>
        <v>1</v>
      </c>
      <c r="M366" s="120">
        <f ca="1"/>
        <v>1.08</v>
      </c>
      <c r="N366" s="121">
        <f ca="1"/>
        <v>45</v>
      </c>
      <c r="O366" s="123">
        <f ca="1"/>
        <v>45610</v>
      </c>
      <c r="P366" s="123" t="str">
        <f ca="1"/>
        <v>jueves</v>
      </c>
      <c r="Q366" s="124">
        <f ca="1"/>
        <v>45609</v>
      </c>
      <c r="R366" s="124">
        <f ca="1"/>
        <v>45653</v>
      </c>
      <c r="S366" s="90">
        <f ca="1"/>
        <v>29</v>
      </c>
      <c r="T366" s="139">
        <f ca="1"/>
        <v>0.64444444444444449</v>
      </c>
      <c r="U366" s="131">
        <f ca="1"/>
        <v>38</v>
      </c>
      <c r="V366" s="120">
        <f ca="1"/>
        <v>41.040000000000006</v>
      </c>
      <c r="W366" s="140">
        <f ca="1"/>
        <v>1</v>
      </c>
      <c r="X366" s="139">
        <f ca="1"/>
        <v>0.97777777777777775</v>
      </c>
      <c r="Y366" s="141">
        <f ca="1"/>
        <v>1.89862</v>
      </c>
      <c r="Z366" s="141">
        <f ca="1"/>
        <v>1.89862</v>
      </c>
      <c r="AA366" s="142">
        <f ca="1"/>
        <v>77.919364800000011</v>
      </c>
      <c r="AB366" s="138">
        <f ca="1"/>
        <v>14</v>
      </c>
      <c r="AC366" s="103" t="str">
        <f ca="1"/>
        <v>VIGENTE</v>
      </c>
      <c r="AD366" s="150">
        <f ca="1"/>
        <v>4.1040000000000007E-2</v>
      </c>
    </row>
    <row r="367" spans="1:30">
      <c r="A367" s="111" t="str">
        <f ca="1"/>
        <v>MULTIEMPAQUE_MACH</v>
      </c>
      <c r="B367" s="111" t="str">
        <f ca="1"/>
        <v>BEBIDAS LACTEAS</v>
      </c>
      <c r="C367" s="111" t="str">
        <f ca="1"/>
        <v xml:space="preserve">Luis Armendariz                         </v>
      </c>
      <c r="D367" s="111" t="str">
        <f ca="1"/>
        <v>REGENERIS</v>
      </c>
      <c r="E367" s="111" t="str">
        <f ca="1"/>
        <v>REGENERIS BEBIBLE BOTELLA PERSONAL</v>
      </c>
      <c r="F367" s="120" t="str">
        <f ca="1"/>
        <v>GUAYAQUIL</v>
      </c>
      <c r="G367" s="120">
        <f ca="1"/>
        <v>7711</v>
      </c>
      <c r="H367" s="120">
        <f ca="1"/>
        <v>1001</v>
      </c>
      <c r="I367" s="120" t="str">
        <f ca="1"/>
        <v>4134</v>
      </c>
      <c r="J367" s="120" t="str">
        <f ca="1"/>
        <v>MPLX6 RGN BBLE MULTSAB BOT 180G</v>
      </c>
      <c r="K367" s="121">
        <f ca="1"/>
        <v>84</v>
      </c>
      <c r="L367" s="122">
        <f ca="1"/>
        <v>1</v>
      </c>
      <c r="M367" s="120">
        <f ca="1"/>
        <v>1.08</v>
      </c>
      <c r="N367" s="121">
        <f ca="1"/>
        <v>45</v>
      </c>
      <c r="O367" s="123">
        <f ca="1"/>
        <v>45616</v>
      </c>
      <c r="P367" s="123" t="str">
        <f ca="1"/>
        <v>miércoles</v>
      </c>
      <c r="Q367" s="124">
        <f ca="1"/>
        <v>45610</v>
      </c>
      <c r="R367" s="124">
        <f ca="1"/>
        <v>45654</v>
      </c>
      <c r="S367" s="90">
        <f ca="1"/>
        <v>30</v>
      </c>
      <c r="T367" s="139">
        <f ca="1"/>
        <v>0.66666666666666663</v>
      </c>
      <c r="U367" s="131">
        <f ca="1"/>
        <v>84</v>
      </c>
      <c r="V367" s="120">
        <f ca="1"/>
        <v>90.72</v>
      </c>
      <c r="W367" s="140">
        <f ca="1"/>
        <v>6</v>
      </c>
      <c r="X367" s="139">
        <f ca="1"/>
        <v>0.8666666666666667</v>
      </c>
      <c r="Y367" s="141">
        <f ca="1"/>
        <v>1.89862</v>
      </c>
      <c r="Z367" s="141">
        <f ca="1"/>
        <v>1.89862</v>
      </c>
      <c r="AA367" s="142">
        <f ca="1"/>
        <v>172.24280640000001</v>
      </c>
      <c r="AB367" s="138">
        <f ca="1"/>
        <v>8</v>
      </c>
      <c r="AC367" s="103" t="str">
        <f ca="1"/>
        <v>VIGENTE</v>
      </c>
      <c r="AD367" s="150">
        <f ca="1"/>
        <v>9.0719999999999995E-2</v>
      </c>
    </row>
    <row r="368" spans="1:30">
      <c r="A368" s="111" t="str">
        <f ca="1"/>
        <v>MACHACHI</v>
      </c>
      <c r="B368" s="111" t="str">
        <f ca="1"/>
        <v>BEBIDAS LACTEAS</v>
      </c>
      <c r="C368" s="111" t="str">
        <f ca="1"/>
        <v xml:space="preserve">Luis Armendariz                         </v>
      </c>
      <c r="D368" s="111" t="str">
        <f ca="1"/>
        <v>YOGURT KIOSKO</v>
      </c>
      <c r="E368" s="111" t="str">
        <f ca="1"/>
        <v>GRIEGO SABORIZADO</v>
      </c>
      <c r="F368" s="120" t="str">
        <f ca="1"/>
        <v>GUAYAQUIL</v>
      </c>
      <c r="G368" s="120">
        <f ca="1"/>
        <v>7711</v>
      </c>
      <c r="H368" s="120">
        <f ca="1"/>
        <v>1001</v>
      </c>
      <c r="I368" s="120" t="str">
        <f ca="1"/>
        <v>16514</v>
      </c>
      <c r="J368" s="120" t="str">
        <f ca="1"/>
        <v>GRIEG KIOSKO NATURAL 400</v>
      </c>
      <c r="K368" s="121">
        <f ca="1"/>
        <v>48</v>
      </c>
      <c r="L368" s="122">
        <f ca="1"/>
        <v>1</v>
      </c>
      <c r="M368" s="120">
        <f ca="1"/>
        <v>0.4</v>
      </c>
      <c r="N368" s="121">
        <f ca="1"/>
        <v>45</v>
      </c>
      <c r="O368" s="123">
        <f ca="1"/>
        <v>45612</v>
      </c>
      <c r="P368" s="123" t="str">
        <f ca="1"/>
        <v>sábado</v>
      </c>
      <c r="Q368" s="124">
        <f ca="1"/>
        <v>45611</v>
      </c>
      <c r="R368" s="124">
        <f ca="1"/>
        <v>45655</v>
      </c>
      <c r="S368" s="90">
        <f ca="1"/>
        <v>31</v>
      </c>
      <c r="T368" s="139">
        <f ca="1"/>
        <v>0.68888888888888888</v>
      </c>
      <c r="U368" s="131">
        <f ca="1"/>
        <v>37</v>
      </c>
      <c r="V368" s="120">
        <f ca="1"/>
        <v>14.8</v>
      </c>
      <c r="W368" s="140">
        <f ca="1"/>
        <v>1</v>
      </c>
      <c r="X368" s="139">
        <f ca="1"/>
        <v>0.97777777777777775</v>
      </c>
      <c r="Y368" s="141">
        <f ca="1"/>
        <v>0.79842499999999994</v>
      </c>
      <c r="Z368" s="141">
        <f ca="1"/>
        <v>0.79842499999999994</v>
      </c>
      <c r="AA368" s="142">
        <f ca="1"/>
        <v>11.816689999999999</v>
      </c>
      <c r="AB368" s="138">
        <f ca="1"/>
        <v>12</v>
      </c>
      <c r="AC368" s="103" t="str">
        <f ca="1"/>
        <v>VIGENTE</v>
      </c>
      <c r="AD368" s="150">
        <f ca="1"/>
        <v>1.4800000000000001E-2</v>
      </c>
    </row>
    <row r="369" spans="1:30">
      <c r="A369" s="111" t="str">
        <f ca="1"/>
        <v>MACHACHI</v>
      </c>
      <c r="B369" s="111" t="str">
        <f ca="1"/>
        <v>BEBIDAS LACTEAS</v>
      </c>
      <c r="C369" s="111" t="str">
        <f ca="1"/>
        <v xml:space="preserve">Luis Armendariz                         </v>
      </c>
      <c r="D369" s="111" t="str">
        <f ca="1"/>
        <v>YOGURT FINESSE</v>
      </c>
      <c r="E369" s="111" t="str">
        <f ca="1"/>
        <v>YOGURT FINESSE DESLACT BOTELLA FAMILIAR</v>
      </c>
      <c r="F369" s="120" t="str">
        <f ca="1"/>
        <v>GUAYAQUIL</v>
      </c>
      <c r="G369" s="120">
        <f ca="1"/>
        <v>7711</v>
      </c>
      <c r="H369" s="120">
        <f ca="1"/>
        <v>1001</v>
      </c>
      <c r="I369" s="120" t="str">
        <f ca="1"/>
        <v>17036</v>
      </c>
      <c r="J369" s="120" t="str">
        <f ca="1"/>
        <v>YOG FINESSE NATURAL 1650G</v>
      </c>
      <c r="K369" s="121">
        <f ca="1"/>
        <v>36</v>
      </c>
      <c r="L369" s="122">
        <f ca="1"/>
        <v>1</v>
      </c>
      <c r="M369" s="120">
        <f ca="1"/>
        <v>1.65</v>
      </c>
      <c r="N369" s="121">
        <f ca="1"/>
        <v>45</v>
      </c>
      <c r="O369" s="123">
        <f ca="1"/>
        <v>45602</v>
      </c>
      <c r="P369" s="123" t="str">
        <f ca="1"/>
        <v>miércoles</v>
      </c>
      <c r="Q369" s="124">
        <f ca="1"/>
        <v>45595</v>
      </c>
      <c r="R369" s="124">
        <f ca="1"/>
        <v>45639</v>
      </c>
      <c r="S369" s="90">
        <f ca="1"/>
        <v>15</v>
      </c>
      <c r="T369" s="139">
        <f ca="1"/>
        <v>0.33333333333333331</v>
      </c>
      <c r="U369" s="131">
        <f ca="1"/>
        <v>39</v>
      </c>
      <c r="V369" s="120">
        <f ca="1"/>
        <v>64.349999999999994</v>
      </c>
      <c r="W369" s="140">
        <f ca="1"/>
        <v>7</v>
      </c>
      <c r="X369" s="139">
        <f ca="1"/>
        <v>0.84444444444444444</v>
      </c>
      <c r="Y369" s="141">
        <f ca="1"/>
        <v>1.9335450000000001</v>
      </c>
      <c r="Z369" s="141">
        <f ca="1"/>
        <v>1.9335450000000001</v>
      </c>
      <c r="AA369" s="142">
        <f ca="1"/>
        <v>124.42362075</v>
      </c>
      <c r="AB369" s="138">
        <f ca="1"/>
        <v>22</v>
      </c>
      <c r="AC369" s="103" t="str">
        <f ca="1"/>
        <v>FECHA CORTA</v>
      </c>
      <c r="AD369" s="150">
        <f ca="1"/>
        <v>6.4349999999999991E-2</v>
      </c>
    </row>
    <row r="370" spans="1:30">
      <c r="A370" s="111" t="str">
        <f ca="1"/>
        <v>MACHACHI</v>
      </c>
      <c r="B370" s="111" t="str">
        <f ca="1"/>
        <v>BEBIDAS LACTEAS</v>
      </c>
      <c r="C370" s="111" t="str">
        <f ca="1"/>
        <v xml:space="preserve">Luis Armendariz                         </v>
      </c>
      <c r="D370" s="111" t="str">
        <f ca="1"/>
        <v>YOGURT FINESSE</v>
      </c>
      <c r="E370" s="111" t="str">
        <f ca="1"/>
        <v>YOGURT FINESSE DESLACT BOTELLA FAMILIAR</v>
      </c>
      <c r="F370" s="120" t="str">
        <f ca="1"/>
        <v>GUAYAQUIL</v>
      </c>
      <c r="G370" s="120">
        <f ca="1"/>
        <v>7711</v>
      </c>
      <c r="H370" s="120">
        <f ca="1"/>
        <v>1001</v>
      </c>
      <c r="I370" s="120" t="str">
        <f ca="1"/>
        <v>17036</v>
      </c>
      <c r="J370" s="120" t="str">
        <f ca="1"/>
        <v>YOG FINESSE NATURAL 1650G</v>
      </c>
      <c r="K370" s="121">
        <f ca="1"/>
        <v>12</v>
      </c>
      <c r="L370" s="122">
        <f ca="1"/>
        <v>1</v>
      </c>
      <c r="M370" s="120">
        <f ca="1"/>
        <v>1.65</v>
      </c>
      <c r="N370" s="121">
        <f ca="1"/>
        <v>45</v>
      </c>
      <c r="O370" s="123">
        <f ca="1"/>
        <v>45604</v>
      </c>
      <c r="P370" s="123" t="str">
        <f ca="1"/>
        <v>viernes</v>
      </c>
      <c r="Q370" s="124">
        <f ca="1"/>
        <v>45595</v>
      </c>
      <c r="R370" s="124">
        <f ca="1"/>
        <v>45639</v>
      </c>
      <c r="S370" s="90">
        <f ca="1"/>
        <v>15</v>
      </c>
      <c r="T370" s="139">
        <f ca="1"/>
        <v>0.33333333333333331</v>
      </c>
      <c r="U370" s="131">
        <f ca="1"/>
        <v>12</v>
      </c>
      <c r="V370" s="120">
        <f ca="1"/>
        <v>19.799999999999997</v>
      </c>
      <c r="W370" s="140">
        <f ca="1"/>
        <v>9</v>
      </c>
      <c r="X370" s="139">
        <f ca="1"/>
        <v>0.8</v>
      </c>
      <c r="Y370" s="141">
        <f ca="1"/>
        <v>1.9335450000000001</v>
      </c>
      <c r="Z370" s="141">
        <f ca="1"/>
        <v>1.9335450000000001</v>
      </c>
      <c r="AA370" s="142">
        <f ca="1"/>
        <v>38.284190999999993</v>
      </c>
      <c r="AB370" s="138">
        <f ca="1"/>
        <v>20</v>
      </c>
      <c r="AC370" s="103" t="str">
        <f ca="1"/>
        <v>FECHA CORTA</v>
      </c>
      <c r="AD370" s="150">
        <f ca="1"/>
        <v>1.9799999999999998E-2</v>
      </c>
    </row>
    <row r="371" spans="1:30">
      <c r="A371" s="111" t="str">
        <f ca="1"/>
        <v>MULTIEMPAQUE_MACH</v>
      </c>
      <c r="B371" s="111" t="str">
        <f ca="1"/>
        <v>BEBIDAS LACTEAS</v>
      </c>
      <c r="C371" s="111" t="str">
        <f ca="1"/>
        <v xml:space="preserve">Luis Armendariz                         </v>
      </c>
      <c r="D371" s="111" t="str">
        <f ca="1"/>
        <v>REGENERIS</v>
      </c>
      <c r="E371" s="111" t="str">
        <f ca="1"/>
        <v>REGENERIS BAJO EN GRASA BOTELLA PERSONAL</v>
      </c>
      <c r="F371" s="120" t="str">
        <f ca="1"/>
        <v>GUAYAQUIL</v>
      </c>
      <c r="G371" s="120">
        <f ca="1"/>
        <v>7711</v>
      </c>
      <c r="H371" s="120">
        <f ca="1"/>
        <v>1001</v>
      </c>
      <c r="I371" s="120" t="str">
        <f ca="1"/>
        <v>4013</v>
      </c>
      <c r="J371" s="120" t="str">
        <f ca="1"/>
        <v>MPLX4 RGN LGHT FTLLA BOT 180G</v>
      </c>
      <c r="K371" s="121">
        <f ca="1"/>
        <v>24</v>
      </c>
      <c r="L371" s="122">
        <f ca="1"/>
        <v>1</v>
      </c>
      <c r="M371" s="120">
        <f ca="1"/>
        <v>0.72</v>
      </c>
      <c r="N371" s="121">
        <f ca="1"/>
        <v>45</v>
      </c>
      <c r="O371" s="123">
        <f ca="1"/>
        <v>45597</v>
      </c>
      <c r="P371" s="123" t="str">
        <f ca="1"/>
        <v>viernes</v>
      </c>
      <c r="Q371" s="124">
        <f ca="1"/>
        <v>45590</v>
      </c>
      <c r="R371" s="124">
        <f ca="1"/>
        <v>45634</v>
      </c>
      <c r="S371" s="90">
        <f ca="1"/>
        <v>10</v>
      </c>
      <c r="T371" s="139">
        <f ca="1"/>
        <v>0.22222222222222221</v>
      </c>
      <c r="U371" s="131">
        <f ca="1"/>
        <v>12</v>
      </c>
      <c r="V371" s="120">
        <f ca="1"/>
        <v>8.64</v>
      </c>
      <c r="W371" s="140">
        <f ca="1"/>
        <v>7</v>
      </c>
      <c r="X371" s="139">
        <f ca="1"/>
        <v>0.84444444444444444</v>
      </c>
      <c r="Y371" s="141">
        <f ca="1"/>
        <v>1.235225</v>
      </c>
      <c r="Z371" s="141">
        <f ca="1"/>
        <v>1.235225</v>
      </c>
      <c r="AA371" s="142">
        <f ca="1"/>
        <v>10.672344000000001</v>
      </c>
      <c r="AB371" s="138">
        <f ca="1"/>
        <v>27</v>
      </c>
      <c r="AC371" s="103" t="str">
        <f ca="1"/>
        <v>FECHA CORTA</v>
      </c>
      <c r="AD371" s="150">
        <f ca="1"/>
        <v>8.6400000000000001E-3</v>
      </c>
    </row>
    <row r="372" spans="1:30">
      <c r="A372" s="111" t="str">
        <f ca="1"/>
        <v>MACHACHI</v>
      </c>
      <c r="B372" s="111" t="str">
        <f ca="1"/>
        <v>BEBIDAS LACTEAS</v>
      </c>
      <c r="C372" s="111" t="str">
        <f ca="1"/>
        <v xml:space="preserve">Luis Armendariz                         </v>
      </c>
      <c r="D372" s="111" t="str">
        <f ca="1"/>
        <v>YOGURT KIOSKO</v>
      </c>
      <c r="E372" s="111" t="str">
        <f ca="1"/>
        <v>BEBIDA DE YOGURT KIOSKO BOTELLA FAMILIAR</v>
      </c>
      <c r="F372" s="120" t="str">
        <f ca="1"/>
        <v>GUAYAQUIL</v>
      </c>
      <c r="G372" s="120">
        <f ca="1"/>
        <v>7711</v>
      </c>
      <c r="H372" s="120">
        <f ca="1"/>
        <v>1001</v>
      </c>
      <c r="I372" s="120" t="str">
        <f ca="1"/>
        <v>15594</v>
      </c>
      <c r="J372" s="120" t="str">
        <f ca="1"/>
        <v>YOG BBLE KIOSKO NRJLA BOT 950G</v>
      </c>
      <c r="K372" s="121">
        <f ca="1"/>
        <v>18</v>
      </c>
      <c r="L372" s="122">
        <f ca="1"/>
        <v>1</v>
      </c>
      <c r="M372" s="120">
        <f ca="1"/>
        <v>0.95</v>
      </c>
      <c r="N372" s="121">
        <f ca="1"/>
        <v>45</v>
      </c>
      <c r="O372" s="123">
        <f ca="1"/>
        <v>45597</v>
      </c>
      <c r="P372" s="123" t="str">
        <f ca="1"/>
        <v>viernes</v>
      </c>
      <c r="Q372" s="124">
        <f ca="1"/>
        <v>45590</v>
      </c>
      <c r="R372" s="124">
        <f ca="1"/>
        <v>45634</v>
      </c>
      <c r="S372" s="90">
        <f ca="1"/>
        <v>10</v>
      </c>
      <c r="T372" s="139">
        <f ca="1"/>
        <v>0.22222222222222221</v>
      </c>
      <c r="U372" s="131">
        <f ca="1"/>
        <v>10</v>
      </c>
      <c r="V372" s="120">
        <f ca="1"/>
        <v>9.5</v>
      </c>
      <c r="W372" s="140">
        <f ca="1"/>
        <v>7</v>
      </c>
      <c r="X372" s="139">
        <f ca="1"/>
        <v>0.84444444444444444</v>
      </c>
      <c r="Y372" s="141">
        <f ca="1"/>
        <v>1.09108</v>
      </c>
      <c r="Z372" s="141">
        <f ca="1"/>
        <v>1.09108</v>
      </c>
      <c r="AA372" s="142">
        <f ca="1"/>
        <v>10.365260000000001</v>
      </c>
      <c r="AB372" s="138">
        <f ca="1"/>
        <v>27</v>
      </c>
      <c r="AC372" s="103" t="str">
        <f ca="1"/>
        <v>FECHA CORTA</v>
      </c>
      <c r="AD372" s="150">
        <f ca="1"/>
        <v>9.4999999999999998E-3</v>
      </c>
    </row>
    <row r="373" spans="1:30">
      <c r="A373" s="111" t="str">
        <f ca="1"/>
        <v>MACHACHI</v>
      </c>
      <c r="B373" s="111" t="str">
        <f ca="1"/>
        <v>BEBIDAS LACTEAS</v>
      </c>
      <c r="C373" s="111" t="str">
        <f ca="1"/>
        <v xml:space="preserve">Luis Armendariz                         </v>
      </c>
      <c r="D373" s="111" t="str">
        <f ca="1"/>
        <v>YOGURT KIOSKO</v>
      </c>
      <c r="E373" s="111" t="str">
        <f ca="1"/>
        <v>BEBIDA DE YOGURT KIOSKO BOTELLA FAMILIAR</v>
      </c>
      <c r="F373" s="120" t="str">
        <f ca="1"/>
        <v>GUAYAQUIL</v>
      </c>
      <c r="G373" s="120">
        <f ca="1"/>
        <v>7711</v>
      </c>
      <c r="H373" s="120">
        <f ca="1"/>
        <v>1001</v>
      </c>
      <c r="I373" s="120" t="str">
        <f ca="1"/>
        <v>15594</v>
      </c>
      <c r="J373" s="120" t="str">
        <f ca="1"/>
        <v>YOG BBLE KIOSKO NRJLA BOT 950G</v>
      </c>
      <c r="K373" s="121">
        <f ca="1"/>
        <v>18</v>
      </c>
      <c r="L373" s="122">
        <f ca="1"/>
        <v>1</v>
      </c>
      <c r="M373" s="120">
        <f ca="1"/>
        <v>0.95</v>
      </c>
      <c r="N373" s="121">
        <f ca="1"/>
        <v>45</v>
      </c>
      <c r="O373" s="123">
        <f ca="1"/>
        <v>45616</v>
      </c>
      <c r="P373" s="123" t="str">
        <f ca="1"/>
        <v>miércoles</v>
      </c>
      <c r="Q373" s="124">
        <f ca="1"/>
        <v>45611</v>
      </c>
      <c r="R373" s="124">
        <f ca="1"/>
        <v>45655</v>
      </c>
      <c r="S373" s="90">
        <f ca="1"/>
        <v>31</v>
      </c>
      <c r="T373" s="139">
        <f ca="1"/>
        <v>0.68888888888888888</v>
      </c>
      <c r="U373" s="131">
        <f ca="1"/>
        <v>16</v>
      </c>
      <c r="V373" s="120">
        <f ca="1"/>
        <v>15.2</v>
      </c>
      <c r="W373" s="140">
        <f ca="1"/>
        <v>5</v>
      </c>
      <c r="X373" s="139">
        <f ca="1"/>
        <v>0.88888888888888884</v>
      </c>
      <c r="Y373" s="141">
        <f ca="1"/>
        <v>1.09108</v>
      </c>
      <c r="Z373" s="141">
        <f ca="1"/>
        <v>1.09108</v>
      </c>
      <c r="AA373" s="142">
        <f ca="1"/>
        <v>16.584416000000001</v>
      </c>
      <c r="AB373" s="138">
        <f ca="1"/>
        <v>8</v>
      </c>
      <c r="AC373" s="103" t="str">
        <f ca="1"/>
        <v>VIGENTE</v>
      </c>
      <c r="AD373" s="150">
        <f ca="1"/>
        <v>1.52E-2</v>
      </c>
    </row>
    <row r="374" spans="1:30">
      <c r="A374" s="111" t="str">
        <f ca="1"/>
        <v>SAN GABRIEL</v>
      </c>
      <c r="B374" s="111" t="str">
        <f ca="1"/>
        <v>QUESOS Y GRASAS</v>
      </c>
      <c r="C374" s="111" t="str">
        <f ca="1"/>
        <v xml:space="preserve">Esteban Montenegro                      </v>
      </c>
      <c r="D374" s="111" t="str">
        <f ca="1"/>
        <v>QUESO FRESCO KIOSKO</v>
      </c>
      <c r="E374" s="111" t="str">
        <f ca="1"/>
        <v>QUESO RICOTTA KIOSKO BLOQUE</v>
      </c>
      <c r="F374" s="120" t="str">
        <f ca="1"/>
        <v>GUAYAQUIL</v>
      </c>
      <c r="G374" s="120">
        <f ca="1"/>
        <v>7711</v>
      </c>
      <c r="H374" s="120">
        <f ca="1"/>
        <v>1001</v>
      </c>
      <c r="I374" s="120" t="str">
        <f ca="1"/>
        <v>10071</v>
      </c>
      <c r="J374" s="120" t="str">
        <f ca="1"/>
        <v>Q RICOTTA KIOSKO BLOQ 450G</v>
      </c>
      <c r="K374" s="121">
        <f ca="1"/>
        <v>180</v>
      </c>
      <c r="L374" s="122">
        <f ca="1"/>
        <v>1</v>
      </c>
      <c r="M374" s="120">
        <f ca="1"/>
        <v>0.45</v>
      </c>
      <c r="N374" s="121">
        <f ca="1"/>
        <v>35</v>
      </c>
      <c r="O374" s="123">
        <f ca="1"/>
        <v>45615</v>
      </c>
      <c r="P374" s="123" t="str">
        <f ca="1"/>
        <v>martes</v>
      </c>
      <c r="Q374" s="124">
        <f ca="1"/>
        <v>45612</v>
      </c>
      <c r="R374" s="124">
        <f ca="1"/>
        <v>45646</v>
      </c>
      <c r="S374" s="90">
        <f ca="1"/>
        <v>22</v>
      </c>
      <c r="T374" s="139">
        <f ca="1"/>
        <v>0.62857142857142856</v>
      </c>
      <c r="U374" s="131">
        <f ca="1"/>
        <v>3</v>
      </c>
      <c r="V374" s="120">
        <f ca="1"/>
        <v>1.35</v>
      </c>
      <c r="W374" s="140">
        <f ca="1"/>
        <v>3</v>
      </c>
      <c r="X374" s="139">
        <f ca="1"/>
        <v>0.91428571428571426</v>
      </c>
      <c r="Y374" s="141">
        <f ca="1"/>
        <v>1.1964000000000001</v>
      </c>
      <c r="Z374" s="141">
        <f ca="1"/>
        <v>1.1964000000000001</v>
      </c>
      <c r="AA374" s="142">
        <f ca="1"/>
        <v>1.6151400000000002</v>
      </c>
      <c r="AB374" s="138">
        <f ca="1"/>
        <v>9</v>
      </c>
      <c r="AC374" s="103" t="str">
        <f ca="1"/>
        <v>PROXIMOS FECHA CORTA</v>
      </c>
      <c r="AD374" s="150">
        <f ca="1"/>
        <v>1.3500000000000001E-3</v>
      </c>
    </row>
    <row r="375" spans="1:30">
      <c r="A375" s="111" t="str">
        <f ca="1"/>
        <v>SAN GABRIEL</v>
      </c>
      <c r="B375" s="111" t="str">
        <f ca="1"/>
        <v>QUESOS Y GRASAS</v>
      </c>
      <c r="C375" s="111" t="str">
        <f ca="1"/>
        <v xml:space="preserve">Esteban Montenegro                      </v>
      </c>
      <c r="D375" s="111" t="str">
        <f ca="1"/>
        <v>QUESO FRESCO KIOSKO</v>
      </c>
      <c r="E375" s="111" t="str">
        <f ca="1"/>
        <v>QUESO RICOTTA KIOSKO BLOQUE</v>
      </c>
      <c r="F375" s="120" t="str">
        <f ca="1"/>
        <v>GUAYAQUIL</v>
      </c>
      <c r="G375" s="120">
        <f ca="1"/>
        <v>7711</v>
      </c>
      <c r="H375" s="120">
        <f ca="1"/>
        <v>1001</v>
      </c>
      <c r="I375" s="120" t="str">
        <f ca="1"/>
        <v>10071</v>
      </c>
      <c r="J375" s="120" t="str">
        <f ca="1"/>
        <v>Q RICOTTA KIOSKO BLOQ 450G</v>
      </c>
      <c r="K375" s="121">
        <f ca="1"/>
        <v>135</v>
      </c>
      <c r="L375" s="122">
        <f ca="1"/>
        <v>1</v>
      </c>
      <c r="M375" s="120">
        <f ca="1"/>
        <v>0.45</v>
      </c>
      <c r="N375" s="121">
        <f ca="1"/>
        <v>35</v>
      </c>
      <c r="O375" s="123">
        <f ca="1"/>
        <v>45616</v>
      </c>
      <c r="P375" s="123" t="str">
        <f ca="1"/>
        <v>miércoles</v>
      </c>
      <c r="Q375" s="124">
        <f ca="1"/>
        <v>45612</v>
      </c>
      <c r="R375" s="124">
        <f ca="1"/>
        <v>45646</v>
      </c>
      <c r="S375" s="90">
        <f ca="1"/>
        <v>22</v>
      </c>
      <c r="T375" s="139">
        <f ca="1"/>
        <v>0.62857142857142856</v>
      </c>
      <c r="U375" s="131">
        <f ca="1"/>
        <v>135</v>
      </c>
      <c r="V375" s="120">
        <f ca="1"/>
        <v>60.75</v>
      </c>
      <c r="W375" s="140">
        <f ca="1"/>
        <v>4</v>
      </c>
      <c r="X375" s="139">
        <f ca="1"/>
        <v>0.88571428571428568</v>
      </c>
      <c r="Y375" s="141">
        <f ca="1"/>
        <v>1.1964000000000001</v>
      </c>
      <c r="Z375" s="141">
        <f ca="1"/>
        <v>1.1964000000000001</v>
      </c>
      <c r="AA375" s="142">
        <f ca="1"/>
        <v>72.681300000000007</v>
      </c>
      <c r="AB375" s="138">
        <f ca="1"/>
        <v>8</v>
      </c>
      <c r="AC375" s="103" t="str">
        <f ca="1"/>
        <v>PROXIMOS FECHA CORTA</v>
      </c>
      <c r="AD375" s="150">
        <f ca="1"/>
        <v>6.0749999999999998E-2</v>
      </c>
    </row>
    <row r="376" spans="1:30">
      <c r="A376" s="111" t="str">
        <f ca="1"/>
        <v>SAN GABRIEL</v>
      </c>
      <c r="B376" s="111" t="str">
        <f ca="1"/>
        <v>QUESOS Y GRASAS</v>
      </c>
      <c r="C376" s="111" t="str">
        <f ca="1"/>
        <v xml:space="preserve">Esteban Montenegro                      </v>
      </c>
      <c r="D376" s="111" t="str">
        <f ca="1"/>
        <v>QUESO FRESCO KIOSKO</v>
      </c>
      <c r="E376" s="111" t="str">
        <f ca="1"/>
        <v>QUESO RICOTTA KIOSKO BLOQUE</v>
      </c>
      <c r="F376" s="120" t="str">
        <f ca="1"/>
        <v>GUAYAQUIL</v>
      </c>
      <c r="G376" s="120">
        <f ca="1"/>
        <v>7711</v>
      </c>
      <c r="H376" s="120">
        <f ca="1"/>
        <v>1001</v>
      </c>
      <c r="I376" s="120" t="str">
        <f ca="1"/>
        <v>10071</v>
      </c>
      <c r="J376" s="120" t="str">
        <f ca="1"/>
        <v>Q RICOTTA KIOSKO BLOQ 450G</v>
      </c>
      <c r="K376" s="121">
        <f ca="1"/>
        <v>180</v>
      </c>
      <c r="L376" s="122">
        <f ca="1"/>
        <v>1</v>
      </c>
      <c r="M376" s="120">
        <f ca="1"/>
        <v>0.45</v>
      </c>
      <c r="N376" s="121">
        <f ca="1"/>
        <v>35</v>
      </c>
      <c r="O376" s="123">
        <f ca="1"/>
        <v>45617</v>
      </c>
      <c r="P376" s="123" t="str">
        <f ca="1"/>
        <v>jueves</v>
      </c>
      <c r="Q376" s="124">
        <f ca="1"/>
        <v>45612</v>
      </c>
      <c r="R376" s="124">
        <f ca="1"/>
        <v>45646</v>
      </c>
      <c r="S376" s="90">
        <f ca="1"/>
        <v>22</v>
      </c>
      <c r="T376" s="139">
        <f ca="1"/>
        <v>0.62857142857142856</v>
      </c>
      <c r="U376" s="131">
        <f ca="1"/>
        <v>180</v>
      </c>
      <c r="V376" s="120">
        <f ca="1"/>
        <v>81</v>
      </c>
      <c r="W376" s="140">
        <f ca="1"/>
        <v>5</v>
      </c>
      <c r="X376" s="139">
        <f ca="1"/>
        <v>0.85714285714285721</v>
      </c>
      <c r="Y376" s="141">
        <f ca="1"/>
        <v>1.1964000000000001</v>
      </c>
      <c r="Z376" s="141">
        <f ca="1"/>
        <v>1.1964000000000001</v>
      </c>
      <c r="AA376" s="142">
        <f ca="1"/>
        <v>96.908400000000015</v>
      </c>
      <c r="AB376" s="138">
        <f ca="1"/>
        <v>7</v>
      </c>
      <c r="AC376" s="103" t="str">
        <f ca="1"/>
        <v>PROXIMOS FECHA CORTA</v>
      </c>
      <c r="AD376" s="150">
        <f ca="1"/>
        <v>8.1000000000000003E-2</v>
      </c>
    </row>
    <row r="377" spans="1:30">
      <c r="A377" s="111" t="str">
        <f ca="1"/>
        <v>SAN GABRIEL</v>
      </c>
      <c r="B377" s="111" t="str">
        <f ca="1"/>
        <v>QUESOS Y GRASAS</v>
      </c>
      <c r="C377" s="111" t="str">
        <f ca="1"/>
        <v xml:space="preserve">Esteban Montenegro                      </v>
      </c>
      <c r="D377" s="111" t="str">
        <f ca="1"/>
        <v>QUESO MOZARELLA KIOSKO</v>
      </c>
      <c r="E377" s="111" t="str">
        <f ca="1"/>
        <v>QUESO MOZARELLA KIOSKO BLOQUE</v>
      </c>
      <c r="F377" s="120" t="str">
        <f ca="1"/>
        <v>GUAYAQUIL</v>
      </c>
      <c r="G377" s="120">
        <f ca="1"/>
        <v>7711</v>
      </c>
      <c r="H377" s="120">
        <f ca="1"/>
        <v>1001</v>
      </c>
      <c r="I377" s="120" t="str">
        <f ca="1"/>
        <v>5732</v>
      </c>
      <c r="J377" s="120" t="str">
        <f ca="1"/>
        <v>Q MOZAR KIOSKO BLOQ 700G</v>
      </c>
      <c r="K377" s="121">
        <f ca="1"/>
        <v>756</v>
      </c>
      <c r="L377" s="122">
        <f ca="1"/>
        <v>1</v>
      </c>
      <c r="M377" s="120">
        <f ca="1"/>
        <v>0.7</v>
      </c>
      <c r="N377" s="121">
        <f ca="1"/>
        <v>40</v>
      </c>
      <c r="O377" s="123">
        <f ca="1"/>
        <v>45611</v>
      </c>
      <c r="P377" s="123" t="str">
        <f ca="1"/>
        <v>viernes</v>
      </c>
      <c r="Q377" s="124">
        <f ca="1"/>
        <v>45609</v>
      </c>
      <c r="R377" s="124">
        <f ca="1"/>
        <v>45648</v>
      </c>
      <c r="S377" s="90">
        <f ca="1"/>
        <v>24</v>
      </c>
      <c r="T377" s="139">
        <f ca="1"/>
        <v>0.6</v>
      </c>
      <c r="U377" s="131">
        <f ca="1"/>
        <v>109</v>
      </c>
      <c r="V377" s="120">
        <f ca="1"/>
        <v>76.3</v>
      </c>
      <c r="W377" s="140">
        <f ca="1"/>
        <v>2</v>
      </c>
      <c r="X377" s="139">
        <f ca="1"/>
        <v>0.95</v>
      </c>
      <c r="Y377" s="141">
        <f ca="1"/>
        <v>3.26932</v>
      </c>
      <c r="Z377" s="141">
        <f ca="1"/>
        <v>3.26932</v>
      </c>
      <c r="AA377" s="142">
        <f ca="1"/>
        <v>249.449116</v>
      </c>
      <c r="AB377" s="138">
        <f ca="1"/>
        <v>13</v>
      </c>
      <c r="AC377" s="103" t="str">
        <f ca="1"/>
        <v>PROXIMOS FECHA CORTA</v>
      </c>
      <c r="AD377" s="150">
        <f ca="1"/>
        <v>7.6299999999999993E-2</v>
      </c>
    </row>
    <row r="378" spans="1:30">
      <c r="A378" s="111" t="str">
        <f ca="1"/>
        <v>SAN GABRIEL</v>
      </c>
      <c r="B378" s="111" t="str">
        <f ca="1"/>
        <v>QUESOS Y GRASAS</v>
      </c>
      <c r="C378" s="111" t="str">
        <f ca="1"/>
        <v xml:space="preserve">Esteban Montenegro                      </v>
      </c>
      <c r="D378" s="111" t="str">
        <f ca="1"/>
        <v>QUESO MOZARELLA KIOSKO</v>
      </c>
      <c r="E378" s="111" t="str">
        <f ca="1"/>
        <v>QUESO MOZARELLA KIOSKO BLOQUE</v>
      </c>
      <c r="F378" s="120" t="str">
        <f ca="1"/>
        <v>GUAYAQUIL</v>
      </c>
      <c r="G378" s="120">
        <f ca="1"/>
        <v>7711</v>
      </c>
      <c r="H378" s="120">
        <f ca="1"/>
        <v>1001</v>
      </c>
      <c r="I378" s="120" t="str">
        <f ca="1"/>
        <v>5732</v>
      </c>
      <c r="J378" s="120" t="str">
        <f ca="1"/>
        <v>Q MOZAR KIOSKO BLOQ 700G</v>
      </c>
      <c r="K378" s="121">
        <f ca="1"/>
        <v>540</v>
      </c>
      <c r="L378" s="122">
        <f ca="1"/>
        <v>1</v>
      </c>
      <c r="M378" s="120">
        <f ca="1"/>
        <v>0.7</v>
      </c>
      <c r="N378" s="121">
        <f ca="1"/>
        <v>40</v>
      </c>
      <c r="O378" s="123">
        <f ca="1"/>
        <v>45615</v>
      </c>
      <c r="P378" s="123" t="str">
        <f ca="1"/>
        <v>martes</v>
      </c>
      <c r="Q378" s="124">
        <f ca="1"/>
        <v>45610</v>
      </c>
      <c r="R378" s="124">
        <f ca="1"/>
        <v>45649</v>
      </c>
      <c r="S378" s="90">
        <f ca="1"/>
        <v>25</v>
      </c>
      <c r="T378" s="139">
        <f ca="1"/>
        <v>0.625</v>
      </c>
      <c r="U378" s="131">
        <f ca="1"/>
        <v>540</v>
      </c>
      <c r="V378" s="120">
        <f ca="1"/>
        <v>378</v>
      </c>
      <c r="W378" s="140">
        <f ca="1"/>
        <v>5</v>
      </c>
      <c r="X378" s="139">
        <f ca="1"/>
        <v>0.875</v>
      </c>
      <c r="Y378" s="141">
        <f ca="1"/>
        <v>3.26932</v>
      </c>
      <c r="Z378" s="141">
        <f ca="1"/>
        <v>3.26932</v>
      </c>
      <c r="AA378" s="142">
        <f ca="1"/>
        <v>1235.80296</v>
      </c>
      <c r="AB378" s="138">
        <f ca="1"/>
        <v>9</v>
      </c>
      <c r="AC378" s="103" t="str">
        <f ca="1"/>
        <v>PROXIMOS FECHA CORTA</v>
      </c>
      <c r="AD378" s="150">
        <f ca="1"/>
        <v>0.378</v>
      </c>
    </row>
    <row r="379" spans="1:30">
      <c r="A379" s="111" t="str">
        <f ca="1"/>
        <v>SAN GABRIEL</v>
      </c>
      <c r="B379" s="111" t="str">
        <f ca="1"/>
        <v>QUESOS Y GRASAS</v>
      </c>
      <c r="C379" s="111" t="str">
        <f ca="1"/>
        <v xml:space="preserve">Esteban Montenegro                      </v>
      </c>
      <c r="D379" s="111" t="str">
        <f ca="1"/>
        <v>QUESO MOZARELLA KIOSKO</v>
      </c>
      <c r="E379" s="111" t="str">
        <f ca="1"/>
        <v>QUESO MOZARELLA KIOSKO BLOQUE</v>
      </c>
      <c r="F379" s="120" t="str">
        <f ca="1"/>
        <v>GUAYAQUIL</v>
      </c>
      <c r="G379" s="120">
        <f ca="1"/>
        <v>7711</v>
      </c>
      <c r="H379" s="120">
        <f ca="1"/>
        <v>1001</v>
      </c>
      <c r="I379" s="120" t="str">
        <f ca="1"/>
        <v>5732</v>
      </c>
      <c r="J379" s="120" t="str">
        <f ca="1"/>
        <v>Q MOZAR KIOSKO BLOQ 700G</v>
      </c>
      <c r="K379" s="121">
        <f ca="1"/>
        <v>162</v>
      </c>
      <c r="L379" s="122">
        <f ca="1"/>
        <v>1</v>
      </c>
      <c r="M379" s="120">
        <f ca="1"/>
        <v>0.7</v>
      </c>
      <c r="N379" s="121">
        <f ca="1"/>
        <v>40</v>
      </c>
      <c r="O379" s="123">
        <f ca="1"/>
        <v>45616</v>
      </c>
      <c r="P379" s="123" t="str">
        <f ca="1"/>
        <v>miércoles</v>
      </c>
      <c r="Q379" s="124">
        <f ca="1"/>
        <v>45612</v>
      </c>
      <c r="R379" s="124">
        <f ca="1"/>
        <v>45651</v>
      </c>
      <c r="S379" s="90">
        <f ca="1"/>
        <v>27</v>
      </c>
      <c r="T379" s="139">
        <f ca="1"/>
        <v>0.67500000000000004</v>
      </c>
      <c r="U379" s="131">
        <f ca="1"/>
        <v>162</v>
      </c>
      <c r="V379" s="120">
        <f ca="1"/>
        <v>113.39999999999999</v>
      </c>
      <c r="W379" s="140">
        <f ca="1"/>
        <v>4</v>
      </c>
      <c r="X379" s="139">
        <f ca="1"/>
        <v>0.9</v>
      </c>
      <c r="Y379" s="141">
        <f ca="1"/>
        <v>3.26932</v>
      </c>
      <c r="Z379" s="141">
        <f ca="1"/>
        <v>3.26932</v>
      </c>
      <c r="AA379" s="142">
        <f ca="1"/>
        <v>370.74088799999998</v>
      </c>
      <c r="AB379" s="138">
        <f ca="1"/>
        <v>8</v>
      </c>
      <c r="AC379" s="103" t="str">
        <f ca="1"/>
        <v>VIGENTE</v>
      </c>
      <c r="AD379" s="150">
        <f ca="1"/>
        <v>0.11339999999999999</v>
      </c>
    </row>
    <row r="380" spans="1:30">
      <c r="A380" s="111" t="str">
        <f ca="1"/>
        <v>SAN GABRIEL</v>
      </c>
      <c r="B380" s="111" t="str">
        <f ca="1"/>
        <v>QUESOS Y GRASAS</v>
      </c>
      <c r="C380" s="111" t="str">
        <f ca="1"/>
        <v xml:space="preserve">Esteban Montenegro                      </v>
      </c>
      <c r="D380" s="111" t="str">
        <f ca="1"/>
        <v>QUESO MOZARELLA KIOSKO</v>
      </c>
      <c r="E380" s="111" t="str">
        <f ca="1"/>
        <v>QUESO MOZARELLA KIOSKO BLOQUE</v>
      </c>
      <c r="F380" s="120" t="str">
        <f ca="1"/>
        <v>GUAYAQUIL</v>
      </c>
      <c r="G380" s="120">
        <f ca="1"/>
        <v>7711</v>
      </c>
      <c r="H380" s="120">
        <f ca="1"/>
        <v>1001</v>
      </c>
      <c r="I380" s="120" t="str">
        <f ca="1"/>
        <v>5732</v>
      </c>
      <c r="J380" s="120" t="str">
        <f ca="1"/>
        <v>Q MOZAR KIOSKO BLOQ 700G</v>
      </c>
      <c r="K380" s="121">
        <f ca="1"/>
        <v>108</v>
      </c>
      <c r="L380" s="122">
        <f ca="1"/>
        <v>1</v>
      </c>
      <c r="M380" s="120">
        <f ca="1"/>
        <v>0.7</v>
      </c>
      <c r="N380" s="121">
        <f ca="1"/>
        <v>40</v>
      </c>
      <c r="O380" s="123">
        <f ca="1"/>
        <v>45616</v>
      </c>
      <c r="P380" s="123" t="str">
        <f ca="1"/>
        <v>miércoles</v>
      </c>
      <c r="Q380" s="124">
        <f ca="1"/>
        <v>45610</v>
      </c>
      <c r="R380" s="124">
        <f ca="1"/>
        <v>45649</v>
      </c>
      <c r="S380" s="90">
        <f ca="1"/>
        <v>25</v>
      </c>
      <c r="T380" s="139">
        <f ca="1"/>
        <v>0.625</v>
      </c>
      <c r="U380" s="131">
        <f ca="1"/>
        <v>108</v>
      </c>
      <c r="V380" s="120">
        <f ca="1"/>
        <v>75.599999999999994</v>
      </c>
      <c r="W380" s="140">
        <f ca="1"/>
        <v>6</v>
      </c>
      <c r="X380" s="139">
        <f ca="1"/>
        <v>0.85</v>
      </c>
      <c r="Y380" s="141">
        <f ca="1"/>
        <v>3.26932</v>
      </c>
      <c r="Z380" s="141">
        <f ca="1"/>
        <v>3.26932</v>
      </c>
      <c r="AA380" s="142">
        <f ca="1"/>
        <v>247.16059199999998</v>
      </c>
      <c r="AB380" s="138">
        <f ca="1"/>
        <v>8</v>
      </c>
      <c r="AC380" s="103" t="str">
        <f ca="1"/>
        <v>PROXIMOS FECHA CORTA</v>
      </c>
      <c r="AD380" s="150">
        <f ca="1"/>
        <v>7.5600000000000001E-2</v>
      </c>
    </row>
    <row r="381" spans="1:30">
      <c r="A381" s="111" t="str">
        <f ca="1"/>
        <v>SAN GABRIEL</v>
      </c>
      <c r="B381" s="111" t="str">
        <f ca="1"/>
        <v>QUESOS Y GRASAS</v>
      </c>
      <c r="C381" s="111" t="str">
        <f ca="1"/>
        <v xml:space="preserve">Esteban Montenegro                      </v>
      </c>
      <c r="D381" s="111" t="str">
        <f ca="1"/>
        <v>QUESO MOZARELLA KIOSKO</v>
      </c>
      <c r="E381" s="111" t="str">
        <f ca="1"/>
        <v>QUESO MOZARELLA KIOSKO BLOQUE</v>
      </c>
      <c r="F381" s="120" t="str">
        <f ca="1"/>
        <v>GUAYAQUIL</v>
      </c>
      <c r="G381" s="120">
        <f ca="1"/>
        <v>7711</v>
      </c>
      <c r="H381" s="120">
        <f ca="1"/>
        <v>1001</v>
      </c>
      <c r="I381" s="120" t="str">
        <f ca="1"/>
        <v>5732</v>
      </c>
      <c r="J381" s="120" t="str">
        <f ca="1"/>
        <v>Q MOZAR KIOSKO BLOQ 700G</v>
      </c>
      <c r="K381" s="121">
        <f ca="1"/>
        <v>378</v>
      </c>
      <c r="L381" s="122">
        <f ca="1"/>
        <v>1</v>
      </c>
      <c r="M381" s="120">
        <f ca="1"/>
        <v>0.7</v>
      </c>
      <c r="N381" s="121">
        <f ca="1"/>
        <v>40</v>
      </c>
      <c r="O381" s="123">
        <f ca="1"/>
        <v>45617</v>
      </c>
      <c r="P381" s="123" t="str">
        <f ca="1"/>
        <v>jueves</v>
      </c>
      <c r="Q381" s="124">
        <f ca="1"/>
        <v>45612</v>
      </c>
      <c r="R381" s="124">
        <f ca="1"/>
        <v>45651</v>
      </c>
      <c r="S381" s="90">
        <f ca="1"/>
        <v>27</v>
      </c>
      <c r="T381" s="139">
        <f ca="1"/>
        <v>0.67500000000000004</v>
      </c>
      <c r="U381" s="131">
        <f ca="1"/>
        <v>378</v>
      </c>
      <c r="V381" s="120">
        <f ca="1"/>
        <v>264.59999999999997</v>
      </c>
      <c r="W381" s="140">
        <f ca="1"/>
        <v>5</v>
      </c>
      <c r="X381" s="139">
        <f ca="1"/>
        <v>0.875</v>
      </c>
      <c r="Y381" s="141">
        <f ca="1"/>
        <v>3.26932</v>
      </c>
      <c r="Z381" s="141">
        <f ca="1"/>
        <v>3.26932</v>
      </c>
      <c r="AA381" s="142">
        <f ca="1"/>
        <v>865.06207199999994</v>
      </c>
      <c r="AB381" s="138">
        <f ca="1"/>
        <v>7</v>
      </c>
      <c r="AC381" s="103" t="str">
        <f ca="1"/>
        <v>VIGENTE</v>
      </c>
      <c r="AD381" s="150">
        <f ca="1"/>
        <v>0.26459999999999995</v>
      </c>
    </row>
    <row r="382" spans="1:30">
      <c r="A382" s="111" t="str">
        <f ca="1"/>
        <v>MAQUILA_SG</v>
      </c>
      <c r="B382" s="111" t="str">
        <f ca="1"/>
        <v>POSTRES</v>
      </c>
      <c r="C382" s="111" t="str">
        <f ca="1"/>
        <v xml:space="preserve">Luis Armendariz                         </v>
      </c>
      <c r="D382" s="111" t="str">
        <f ca="1"/>
        <v>AREQUIPE ALPINA</v>
      </c>
      <c r="E382" s="111" t="str">
        <f ca="1"/>
        <v>AREQUIPE ALPINA</v>
      </c>
      <c r="F382" s="120" t="str">
        <f ca="1"/>
        <v>GUAYAQUIL</v>
      </c>
      <c r="G382" s="120">
        <f ca="1"/>
        <v>7711</v>
      </c>
      <c r="H382" s="120">
        <f ca="1"/>
        <v>1001</v>
      </c>
      <c r="I382" s="120" t="str">
        <f ca="1"/>
        <v>15459</v>
      </c>
      <c r="J382" s="120" t="str">
        <f ca="1"/>
        <v>AREQUIPE Y PRETZEL STICKS 75 GRAMOS</v>
      </c>
      <c r="K382" s="121">
        <f ca="1"/>
        <v>132</v>
      </c>
      <c r="L382" s="122">
        <f ca="1"/>
        <v>1</v>
      </c>
      <c r="M382" s="120">
        <f ca="1"/>
        <v>7.4999999999999997E-2</v>
      </c>
      <c r="N382" s="121">
        <f ca="1"/>
        <v>180</v>
      </c>
      <c r="O382" s="123">
        <f ca="1"/>
        <v>45609</v>
      </c>
      <c r="P382" s="123" t="str">
        <f ca="1"/>
        <v>miércoles</v>
      </c>
      <c r="Q382" s="124">
        <f ca="1"/>
        <v>45567</v>
      </c>
      <c r="R382" s="124">
        <f ca="1"/>
        <v>45746</v>
      </c>
      <c r="S382" s="90">
        <f ca="1"/>
        <v>122</v>
      </c>
      <c r="T382" s="139">
        <f ca="1"/>
        <v>0.67777777777777781</v>
      </c>
      <c r="U382" s="131">
        <f ca="1"/>
        <v>113</v>
      </c>
      <c r="V382" s="120">
        <f ca="1"/>
        <v>8.4749999999999996</v>
      </c>
      <c r="W382" s="140">
        <f ca="1"/>
        <v>42</v>
      </c>
      <c r="X382" s="139">
        <f ca="1"/>
        <v>0.76666666666666661</v>
      </c>
      <c r="Y382" s="141">
        <f ca="1"/>
        <v>0.61960000000000004</v>
      </c>
      <c r="Z382" s="141">
        <f ca="1"/>
        <v>0.61960000000000004</v>
      </c>
      <c r="AA382" s="142">
        <f ca="1"/>
        <v>5.2511099999999997</v>
      </c>
      <c r="AB382" s="138">
        <f ca="1"/>
        <v>15</v>
      </c>
      <c r="AC382" s="103" t="str">
        <f ca="1"/>
        <v>VIGENTE</v>
      </c>
      <c r="AD382" s="150">
        <f ca="1"/>
        <v>8.4749999999999999E-3</v>
      </c>
    </row>
    <row r="383" spans="1:30">
      <c r="A383" s="111" t="str">
        <f ca="1"/>
        <v>MAQUILA_SG</v>
      </c>
      <c r="B383" s="111" t="str">
        <f ca="1"/>
        <v>POSTRES</v>
      </c>
      <c r="C383" s="111" t="str">
        <f ca="1"/>
        <v xml:space="preserve">Luis Armendariz                         </v>
      </c>
      <c r="D383" s="111" t="str">
        <f ca="1"/>
        <v>AREQUIPE ALPINA</v>
      </c>
      <c r="E383" s="111" t="str">
        <f ca="1"/>
        <v>AREQUIPE ALPINA</v>
      </c>
      <c r="F383" s="120" t="str">
        <f ca="1"/>
        <v>GUAYAQUIL</v>
      </c>
      <c r="G383" s="120">
        <f ca="1"/>
        <v>7711</v>
      </c>
      <c r="H383" s="120">
        <f ca="1"/>
        <v>1001</v>
      </c>
      <c r="I383" s="120" t="str">
        <f ca="1"/>
        <v>15459</v>
      </c>
      <c r="J383" s="120" t="str">
        <f ca="1"/>
        <v>AREQUIPE Y PRETZEL STICKS 75 GRAMOS</v>
      </c>
      <c r="K383" s="121">
        <f ca="1"/>
        <v>108</v>
      </c>
      <c r="L383" s="122">
        <f ca="1"/>
        <v>1</v>
      </c>
      <c r="M383" s="120">
        <f ca="1"/>
        <v>7.4999999999999997E-2</v>
      </c>
      <c r="N383" s="121">
        <f ca="1"/>
        <v>180</v>
      </c>
      <c r="O383" s="123">
        <f ca="1"/>
        <v>45612</v>
      </c>
      <c r="P383" s="123" t="str">
        <f ca="1"/>
        <v>sábado</v>
      </c>
      <c r="Q383" s="124">
        <f ca="1"/>
        <v>45588</v>
      </c>
      <c r="R383" s="124">
        <f ca="1"/>
        <v>45767</v>
      </c>
      <c r="S383" s="90">
        <f ca="1"/>
        <v>143</v>
      </c>
      <c r="T383" s="139">
        <f ca="1"/>
        <v>0.7944444444444444</v>
      </c>
      <c r="U383" s="131">
        <f ca="1"/>
        <v>108</v>
      </c>
      <c r="V383" s="120">
        <f ca="1"/>
        <v>8.1</v>
      </c>
      <c r="W383" s="140">
        <f ca="1"/>
        <v>24</v>
      </c>
      <c r="X383" s="139">
        <f ca="1"/>
        <v>0.8666666666666667</v>
      </c>
      <c r="Y383" s="141">
        <f ca="1"/>
        <v>0.61960000000000004</v>
      </c>
      <c r="Z383" s="141">
        <f ca="1"/>
        <v>0.61960000000000004</v>
      </c>
      <c r="AA383" s="142">
        <f ca="1"/>
        <v>5.0187600000000003</v>
      </c>
      <c r="AB383" s="138">
        <f ca="1"/>
        <v>12</v>
      </c>
      <c r="AC383" s="103" t="str">
        <f ca="1"/>
        <v>VIGENTE</v>
      </c>
      <c r="AD383" s="150">
        <f ca="1"/>
        <v>8.0999999999999996E-3</v>
      </c>
    </row>
    <row r="384" spans="1:30">
      <c r="A384" s="111" t="str">
        <f ca="1"/>
        <v>MAQUILA_SG</v>
      </c>
      <c r="B384" s="111" t="str">
        <f ca="1"/>
        <v>POSTRES</v>
      </c>
      <c r="C384" s="111" t="str">
        <f ca="1"/>
        <v xml:space="preserve">Luis Armendariz                         </v>
      </c>
      <c r="D384" s="111" t="str">
        <f ca="1"/>
        <v>AREQUIPE ALPINA</v>
      </c>
      <c r="E384" s="111" t="str">
        <f ca="1"/>
        <v>AREQUIPE ALPINA</v>
      </c>
      <c r="F384" s="120" t="str">
        <f ca="1"/>
        <v>GUAYAQUIL</v>
      </c>
      <c r="G384" s="120">
        <f ca="1"/>
        <v>7711</v>
      </c>
      <c r="H384" s="120">
        <f ca="1"/>
        <v>1001</v>
      </c>
      <c r="I384" s="120" t="str">
        <f ca="1"/>
        <v>15459</v>
      </c>
      <c r="J384" s="120" t="str">
        <f ca="1"/>
        <v>AREQUIPE Y PRETZEL STICKS 75 GRAMOS</v>
      </c>
      <c r="K384" s="121">
        <f ca="1"/>
        <v>132</v>
      </c>
      <c r="L384" s="122">
        <f ca="1"/>
        <v>1</v>
      </c>
      <c r="M384" s="120">
        <f ca="1"/>
        <v>7.4999999999999997E-2</v>
      </c>
      <c r="N384" s="121">
        <f ca="1"/>
        <v>180</v>
      </c>
      <c r="O384" s="123">
        <f ca="1"/>
        <v>45611</v>
      </c>
      <c r="P384" s="123" t="str">
        <f ca="1"/>
        <v>viernes</v>
      </c>
      <c r="Q384" s="124">
        <f ca="1"/>
        <v>45588</v>
      </c>
      <c r="R384" s="124">
        <f ca="1"/>
        <v>45767</v>
      </c>
      <c r="S384" s="90">
        <f ca="1"/>
        <v>143</v>
      </c>
      <c r="T384" s="139">
        <f ca="1"/>
        <v>0.7944444444444444</v>
      </c>
      <c r="U384" s="131">
        <f ca="1"/>
        <v>132</v>
      </c>
      <c r="V384" s="120">
        <f ca="1"/>
        <v>9.9</v>
      </c>
      <c r="W384" s="140">
        <f ca="1"/>
        <v>23</v>
      </c>
      <c r="X384" s="139">
        <f ca="1"/>
        <v>0.87222222222222223</v>
      </c>
      <c r="Y384" s="141">
        <f ca="1"/>
        <v>0.61960000000000004</v>
      </c>
      <c r="Z384" s="141">
        <f ca="1"/>
        <v>0.61960000000000004</v>
      </c>
      <c r="AA384" s="142">
        <f ca="1"/>
        <v>6.1340400000000006</v>
      </c>
      <c r="AB384" s="138">
        <f ca="1"/>
        <v>13</v>
      </c>
      <c r="AC384" s="103" t="str">
        <f ca="1"/>
        <v>VIGENTE</v>
      </c>
      <c r="AD384" s="150">
        <f ca="1"/>
        <v>9.9000000000000008E-3</v>
      </c>
    </row>
    <row r="385" spans="1:30">
      <c r="A385" s="111" t="str">
        <f ca="1"/>
        <v>MAQUILA_SG</v>
      </c>
      <c r="B385" s="111" t="str">
        <f ca="1"/>
        <v>POSTRES</v>
      </c>
      <c r="C385" s="111" t="str">
        <f ca="1"/>
        <v xml:space="preserve">Luis Armendariz                         </v>
      </c>
      <c r="D385" s="111" t="str">
        <f ca="1"/>
        <v>AREQUIPE ALPINA</v>
      </c>
      <c r="E385" s="111" t="str">
        <f ca="1"/>
        <v>AREQUIPE ALPINA</v>
      </c>
      <c r="F385" s="120" t="str">
        <f ca="1"/>
        <v>GUAYAQUIL</v>
      </c>
      <c r="G385" s="120">
        <f ca="1"/>
        <v>7711</v>
      </c>
      <c r="H385" s="120">
        <f ca="1"/>
        <v>1001</v>
      </c>
      <c r="I385" s="120" t="str">
        <f ca="1"/>
        <v>15459</v>
      </c>
      <c r="J385" s="120" t="str">
        <f ca="1"/>
        <v>AREQUIPE Y PRETZEL STICKS 75 GRAMOS</v>
      </c>
      <c r="K385" s="121">
        <f ca="1"/>
        <v>132</v>
      </c>
      <c r="L385" s="122">
        <f ca="1"/>
        <v>1</v>
      </c>
      <c r="M385" s="120">
        <f ca="1"/>
        <v>7.4999999999999997E-2</v>
      </c>
      <c r="N385" s="121">
        <f ca="1"/>
        <v>180</v>
      </c>
      <c r="O385" s="123">
        <f ca="1"/>
        <v>45615</v>
      </c>
      <c r="P385" s="123" t="str">
        <f ca="1"/>
        <v>martes</v>
      </c>
      <c r="Q385" s="124">
        <f ca="1"/>
        <v>45588</v>
      </c>
      <c r="R385" s="124">
        <f ca="1"/>
        <v>45767</v>
      </c>
      <c r="S385" s="90">
        <f ca="1"/>
        <v>143</v>
      </c>
      <c r="T385" s="139">
        <f ca="1"/>
        <v>0.7944444444444444</v>
      </c>
      <c r="U385" s="131">
        <f ca="1"/>
        <v>132</v>
      </c>
      <c r="V385" s="120">
        <f ca="1"/>
        <v>9.9</v>
      </c>
      <c r="W385" s="140">
        <f ca="1"/>
        <v>27</v>
      </c>
      <c r="X385" s="139">
        <f ca="1"/>
        <v>0.85</v>
      </c>
      <c r="Y385" s="141">
        <f ca="1"/>
        <v>0.61960000000000004</v>
      </c>
      <c r="Z385" s="141">
        <f ca="1"/>
        <v>0.61960000000000004</v>
      </c>
      <c r="AA385" s="142">
        <f ca="1"/>
        <v>6.1340400000000006</v>
      </c>
      <c r="AB385" s="138">
        <f ca="1"/>
        <v>9</v>
      </c>
      <c r="AC385" s="103" t="str">
        <f ca="1"/>
        <v>VIGENTE</v>
      </c>
      <c r="AD385" s="150">
        <f ca="1"/>
        <v>9.9000000000000008E-3</v>
      </c>
    </row>
    <row r="386" spans="1:30">
      <c r="A386" s="111" t="str">
        <f ca="1"/>
        <v>MAQUILA_SG</v>
      </c>
      <c r="B386" s="111" t="str">
        <f ca="1"/>
        <v>POSTRES</v>
      </c>
      <c r="C386" s="111" t="str">
        <f ca="1"/>
        <v xml:space="preserve">Luis Armendariz                         </v>
      </c>
      <c r="D386" s="111" t="str">
        <f ca="1"/>
        <v>AREQUIPE ALPINA</v>
      </c>
      <c r="E386" s="111" t="str">
        <f ca="1"/>
        <v>AREQUIPE ALPINA</v>
      </c>
      <c r="F386" s="120" t="str">
        <f ca="1"/>
        <v>GUAYAQUIL</v>
      </c>
      <c r="G386" s="120">
        <f ca="1"/>
        <v>7711</v>
      </c>
      <c r="H386" s="120">
        <f ca="1"/>
        <v>1001</v>
      </c>
      <c r="I386" s="120" t="str">
        <f ca="1"/>
        <v>15459</v>
      </c>
      <c r="J386" s="120" t="str">
        <f ca="1"/>
        <v>AREQUIPE Y PRETZEL STICKS 75 GRAMOS</v>
      </c>
      <c r="K386" s="121">
        <f ca="1"/>
        <v>264</v>
      </c>
      <c r="L386" s="122">
        <f ca="1"/>
        <v>1</v>
      </c>
      <c r="M386" s="120">
        <f ca="1"/>
        <v>7.4999999999999997E-2</v>
      </c>
      <c r="N386" s="121">
        <f ca="1"/>
        <v>180</v>
      </c>
      <c r="O386" s="123">
        <f ca="1"/>
        <v>45617</v>
      </c>
      <c r="P386" s="123" t="str">
        <f ca="1"/>
        <v>jueves</v>
      </c>
      <c r="Q386" s="124">
        <f ca="1"/>
        <v>45597</v>
      </c>
      <c r="R386" s="124">
        <f ca="1"/>
        <v>45776</v>
      </c>
      <c r="S386" s="90">
        <f ca="1"/>
        <v>152</v>
      </c>
      <c r="T386" s="139">
        <f ca="1"/>
        <v>0.84444444444444444</v>
      </c>
      <c r="U386" s="131">
        <f ca="1"/>
        <v>132</v>
      </c>
      <c r="V386" s="120">
        <f ca="1"/>
        <v>9.9</v>
      </c>
      <c r="W386" s="140">
        <f ca="1"/>
        <v>20</v>
      </c>
      <c r="X386" s="139">
        <f ca="1"/>
        <v>0.88888888888888884</v>
      </c>
      <c r="Y386" s="141">
        <f ca="1"/>
        <v>0.61960000000000004</v>
      </c>
      <c r="Z386" s="141">
        <f ca="1"/>
        <v>0.61960000000000004</v>
      </c>
      <c r="AA386" s="142">
        <f ca="1"/>
        <v>6.1340400000000006</v>
      </c>
      <c r="AB386" s="138">
        <f ca="1"/>
        <v>7</v>
      </c>
      <c r="AC386" s="103" t="str">
        <f ca="1"/>
        <v>VIGENTE</v>
      </c>
      <c r="AD386" s="150">
        <f ca="1"/>
        <v>9.9000000000000008E-3</v>
      </c>
    </row>
    <row r="387" spans="1:30">
      <c r="A387" s="111" t="str">
        <f ca="1"/>
        <v>MACHACHI</v>
      </c>
      <c r="B387" s="111" t="str">
        <f ca="1"/>
        <v>BEBIDAS LACTEAS</v>
      </c>
      <c r="C387" s="111" t="str">
        <f ca="1"/>
        <v xml:space="preserve">Luis Armendariz                         </v>
      </c>
      <c r="D387" s="111" t="str">
        <f ca="1"/>
        <v>YOGURT KIOSKO</v>
      </c>
      <c r="E387" s="111" t="str">
        <f ca="1"/>
        <v>BEBIDA DE YOGURT KIOSKO BOTELLA PERSONAL</v>
      </c>
      <c r="F387" s="120" t="str">
        <f ca="1"/>
        <v>GUAYAQUIL</v>
      </c>
      <c r="G387" s="120">
        <f ca="1"/>
        <v>7711</v>
      </c>
      <c r="H387" s="120">
        <f ca="1"/>
        <v>1001</v>
      </c>
      <c r="I387" s="120" t="str">
        <f ca="1"/>
        <v>16374</v>
      </c>
      <c r="J387" s="120" t="str">
        <f ca="1"/>
        <v>YOG BBLE KIOSKO MORA 180</v>
      </c>
      <c r="K387" s="121">
        <f ca="1"/>
        <v>0</v>
      </c>
      <c r="L387" s="122">
        <f ca="1"/>
        <v>1</v>
      </c>
      <c r="M387" s="120">
        <f ca="1"/>
        <v>0.18</v>
      </c>
      <c r="N387" s="121">
        <f ca="1"/>
        <v>45</v>
      </c>
      <c r="O387" s="123">
        <f ca="1"/>
        <v>45596</v>
      </c>
      <c r="P387" s="123" t="str">
        <f ca="1"/>
        <v>jueves</v>
      </c>
      <c r="Q387" s="124">
        <f ca="1"/>
        <v>45596</v>
      </c>
      <c r="R387" s="124">
        <f ca="1"/>
        <v>45640</v>
      </c>
      <c r="S387" s="90">
        <f ca="1"/>
        <v>16</v>
      </c>
      <c r="T387" s="139">
        <f ca="1"/>
        <v>0.35555555555555557</v>
      </c>
      <c r="U387" s="131">
        <f ca="1"/>
        <v>53</v>
      </c>
      <c r="V387" s="120">
        <f ca="1"/>
        <v>9.5399999999999991</v>
      </c>
      <c r="W387" s="140">
        <f ca="1"/>
        <v>0</v>
      </c>
      <c r="X387" s="139">
        <f ca="1"/>
        <v>1</v>
      </c>
      <c r="Y387" s="141">
        <f ca="1"/>
        <v>0.243175</v>
      </c>
      <c r="Z387" s="141">
        <f ca="1"/>
        <v>0.243175</v>
      </c>
      <c r="AA387" s="142">
        <f ca="1"/>
        <v>2.3198894999999999</v>
      </c>
      <c r="AB387" s="138">
        <f ca="1"/>
        <v>28</v>
      </c>
      <c r="AC387" s="103" t="str">
        <f ca="1"/>
        <v>FECHA CORTA</v>
      </c>
      <c r="AD387" s="150">
        <f ca="1"/>
        <v>9.5399999999999999E-3</v>
      </c>
    </row>
    <row r="388" spans="1:30">
      <c r="A388" s="111" t="str">
        <f ca="1"/>
        <v>MACHACHI</v>
      </c>
      <c r="B388" s="111" t="str">
        <f ca="1"/>
        <v>BEBIDAS LACTEAS</v>
      </c>
      <c r="C388" s="111" t="str">
        <f ca="1"/>
        <v xml:space="preserve">Luis Armendariz                         </v>
      </c>
      <c r="D388" s="111" t="str">
        <f ca="1"/>
        <v>YOGURT KIOSKO</v>
      </c>
      <c r="E388" s="111" t="str">
        <f ca="1"/>
        <v>BEBIDA DE YOGURT KIOSKO BOTELLA PERSONAL</v>
      </c>
      <c r="F388" s="120" t="str">
        <f ca="1"/>
        <v>GUAYAQUIL</v>
      </c>
      <c r="G388" s="120">
        <f ca="1"/>
        <v>7711</v>
      </c>
      <c r="H388" s="120">
        <f ca="1"/>
        <v>1001</v>
      </c>
      <c r="I388" s="120" t="str">
        <f ca="1"/>
        <v>16374</v>
      </c>
      <c r="J388" s="120" t="str">
        <f ca="1"/>
        <v>YOG BBLE KIOSKO MORA 180</v>
      </c>
      <c r="K388" s="121">
        <f ca="1"/>
        <v>216</v>
      </c>
      <c r="L388" s="122">
        <f ca="1"/>
        <v>1</v>
      </c>
      <c r="M388" s="120">
        <f ca="1"/>
        <v>0.18</v>
      </c>
      <c r="N388" s="121">
        <f ca="1"/>
        <v>45</v>
      </c>
      <c r="O388" s="123">
        <f ca="1"/>
        <v>45597</v>
      </c>
      <c r="P388" s="123" t="str">
        <f ca="1"/>
        <v>viernes</v>
      </c>
      <c r="Q388" s="124">
        <f ca="1"/>
        <v>45588</v>
      </c>
      <c r="R388" s="124">
        <f ca="1"/>
        <v>45632</v>
      </c>
      <c r="S388" s="90">
        <f ca="1"/>
        <v>8</v>
      </c>
      <c r="T388" s="139">
        <f ca="1"/>
        <v>0.17777777777777778</v>
      </c>
      <c r="U388" s="131">
        <f ca="1"/>
        <v>137</v>
      </c>
      <c r="V388" s="120">
        <f ca="1"/>
        <v>24.66</v>
      </c>
      <c r="W388" s="140">
        <f ca="1"/>
        <v>9</v>
      </c>
      <c r="X388" s="139">
        <f ca="1"/>
        <v>0.8</v>
      </c>
      <c r="Y388" s="141">
        <f ca="1"/>
        <v>0.243175</v>
      </c>
      <c r="Z388" s="141">
        <f ca="1"/>
        <v>0.243175</v>
      </c>
      <c r="AA388" s="142">
        <f ca="1"/>
        <v>5.9966955000000004</v>
      </c>
      <c r="AB388" s="138">
        <f ca="1"/>
        <v>27</v>
      </c>
      <c r="AC388" s="103" t="str">
        <f ca="1"/>
        <v>FECHA CORTA</v>
      </c>
      <c r="AD388" s="150">
        <f ca="1"/>
        <v>2.4660000000000001E-2</v>
      </c>
    </row>
    <row r="389" spans="1:30">
      <c r="A389" s="111" t="str">
        <f ca="1"/>
        <v>MACHACHI</v>
      </c>
      <c r="B389" s="111" t="str">
        <f ca="1"/>
        <v>BEBIDAS LACTEAS</v>
      </c>
      <c r="C389" s="111" t="str">
        <f ca="1"/>
        <v xml:space="preserve">Luis Armendariz                         </v>
      </c>
      <c r="D389" s="111" t="str">
        <f ca="1"/>
        <v>YOGURT KIOSKO</v>
      </c>
      <c r="E389" s="111" t="str">
        <f ca="1"/>
        <v>BEBIDA DE YOGURT KIOSKO BOTELLA PERSONAL</v>
      </c>
      <c r="F389" s="120" t="str">
        <f ca="1"/>
        <v>GUAYAQUIL</v>
      </c>
      <c r="G389" s="120">
        <f ca="1"/>
        <v>7711</v>
      </c>
      <c r="H389" s="120">
        <f ca="1"/>
        <v>1001</v>
      </c>
      <c r="I389" s="120" t="str">
        <f ca="1"/>
        <v>16374</v>
      </c>
      <c r="J389" s="120" t="str">
        <f ca="1"/>
        <v>YOG BBLE KIOSKO MORA 180</v>
      </c>
      <c r="K389" s="121">
        <f ca="1"/>
        <v>108</v>
      </c>
      <c r="L389" s="122">
        <f ca="1"/>
        <v>1</v>
      </c>
      <c r="M389" s="120">
        <f ca="1"/>
        <v>0.18</v>
      </c>
      <c r="N389" s="121">
        <f ca="1"/>
        <v>45</v>
      </c>
      <c r="O389" s="123">
        <f ca="1"/>
        <v>45617</v>
      </c>
      <c r="P389" s="123" t="str">
        <f ca="1"/>
        <v>jueves</v>
      </c>
      <c r="Q389" s="124">
        <f ca="1"/>
        <v>45611</v>
      </c>
      <c r="R389" s="124">
        <f ca="1"/>
        <v>45655</v>
      </c>
      <c r="S389" s="90">
        <f ca="1"/>
        <v>31</v>
      </c>
      <c r="T389" s="139">
        <f ca="1"/>
        <v>0.68888888888888888</v>
      </c>
      <c r="U389" s="131">
        <f ca="1"/>
        <v>24</v>
      </c>
      <c r="V389" s="120">
        <f ca="1"/>
        <v>4.32</v>
      </c>
      <c r="W389" s="140">
        <f ca="1"/>
        <v>6</v>
      </c>
      <c r="X389" s="139">
        <f ca="1"/>
        <v>0.8666666666666667</v>
      </c>
      <c r="Y389" s="141">
        <f ca="1"/>
        <v>0.243175</v>
      </c>
      <c r="Z389" s="141">
        <f ca="1"/>
        <v>0.243175</v>
      </c>
      <c r="AA389" s="142">
        <f ca="1"/>
        <v>1.050516</v>
      </c>
      <c r="AB389" s="138">
        <f ca="1"/>
        <v>7</v>
      </c>
      <c r="AC389" s="103" t="str">
        <f ca="1"/>
        <v>VIGENTE</v>
      </c>
      <c r="AD389" s="150">
        <f ca="1"/>
        <v>4.3200000000000001E-3</v>
      </c>
    </row>
    <row r="390" spans="1:30">
      <c r="A390" s="111" t="str">
        <f ca="1"/>
        <v>SAN GABRIEL</v>
      </c>
      <c r="B390" s="111" t="str">
        <f ca="1"/>
        <v>QUESOS Y GRASAS</v>
      </c>
      <c r="C390" s="111" t="str">
        <f ca="1"/>
        <v xml:space="preserve">Esteban Montenegro                      </v>
      </c>
      <c r="D390" s="111" t="str">
        <f ca="1"/>
        <v>QUESO SEMIMADURO KIOSKO</v>
      </c>
      <c r="E390" s="111" t="str">
        <f ca="1"/>
        <v>QUESO HOLANDES KIOSKO TAJADO</v>
      </c>
      <c r="F390" s="120" t="str">
        <f ca="1"/>
        <v>GUAYAQUIL</v>
      </c>
      <c r="G390" s="120">
        <f ca="1"/>
        <v>7711</v>
      </c>
      <c r="H390" s="120">
        <f ca="1"/>
        <v>1001</v>
      </c>
      <c r="I390" s="120" t="str">
        <f ca="1"/>
        <v>5761</v>
      </c>
      <c r="J390" s="120" t="str">
        <f ca="1"/>
        <v>Q HOLAN KIOSKO LONJ AL PESO</v>
      </c>
      <c r="K390" s="121">
        <f ca="1"/>
        <v>30</v>
      </c>
      <c r="L390" s="122">
        <f ca="1"/>
        <v>2.5</v>
      </c>
      <c r="M390" s="120">
        <f ca="1"/>
        <v>1</v>
      </c>
      <c r="N390" s="121">
        <f ca="1"/>
        <v>90</v>
      </c>
      <c r="O390" s="123">
        <f ca="1"/>
        <v>45615</v>
      </c>
      <c r="P390" s="123" t="str">
        <f ca="1"/>
        <v>martes</v>
      </c>
      <c r="Q390" s="124">
        <f ca="1"/>
        <v>45608</v>
      </c>
      <c r="R390" s="124">
        <f ca="1"/>
        <v>45697</v>
      </c>
      <c r="S390" s="90">
        <f ca="1"/>
        <v>73</v>
      </c>
      <c r="T390" s="139">
        <f ca="1"/>
        <v>0.81111111111111112</v>
      </c>
      <c r="U390" s="131">
        <f ca="1"/>
        <v>30</v>
      </c>
      <c r="V390" s="120">
        <f ca="1"/>
        <v>75</v>
      </c>
      <c r="W390" s="140">
        <f ca="1"/>
        <v>7</v>
      </c>
      <c r="X390" s="139">
        <f ca="1"/>
        <v>0.92222222222222228</v>
      </c>
      <c r="Y390" s="141">
        <f ca="1"/>
        <v>7.5711700000000004</v>
      </c>
      <c r="Z390" s="141">
        <f ca="1"/>
        <v>18.927925000000002</v>
      </c>
      <c r="AA390" s="142">
        <f ca="1"/>
        <v>1419.5943750000001</v>
      </c>
      <c r="AB390" s="138">
        <f ca="1"/>
        <v>9</v>
      </c>
      <c r="AC390" s="103" t="str">
        <f ca="1"/>
        <v>VIGENTE</v>
      </c>
      <c r="AD390" s="150">
        <f ca="1"/>
        <v>7.4999999999999997E-2</v>
      </c>
    </row>
    <row r="391" spans="1:30">
      <c r="A391" s="111" t="str">
        <f ca="1"/>
        <v>SAN GABRIEL</v>
      </c>
      <c r="B391" s="111" t="str">
        <f ca="1"/>
        <v>QUESOS Y GRASAS</v>
      </c>
      <c r="C391" s="111" t="str">
        <f ca="1"/>
        <v xml:space="preserve">Esteban Montenegro                      </v>
      </c>
      <c r="D391" s="111" t="str">
        <f ca="1"/>
        <v>QUESO SEMIMADURO KIOSKO</v>
      </c>
      <c r="E391" s="111" t="str">
        <f ca="1"/>
        <v>QUESO HOLANDES KIOSKO TAJADO</v>
      </c>
      <c r="F391" s="120" t="str">
        <f ca="1"/>
        <v>GUAYAQUIL</v>
      </c>
      <c r="G391" s="120">
        <f ca="1"/>
        <v>7711</v>
      </c>
      <c r="H391" s="120">
        <f ca="1"/>
        <v>1001</v>
      </c>
      <c r="I391" s="120" t="str">
        <f ca="1"/>
        <v>5761</v>
      </c>
      <c r="J391" s="120" t="str">
        <f ca="1"/>
        <v>Q HOLAN KIOSKO LONJ AL PESO</v>
      </c>
      <c r="K391" s="121">
        <f ca="1"/>
        <v>30</v>
      </c>
      <c r="L391" s="122">
        <f ca="1"/>
        <v>2.5</v>
      </c>
      <c r="M391" s="120">
        <f ca="1"/>
        <v>1</v>
      </c>
      <c r="N391" s="121">
        <f ca="1"/>
        <v>90</v>
      </c>
      <c r="O391" s="123">
        <f ca="1"/>
        <v>45616</v>
      </c>
      <c r="P391" s="123" t="str">
        <f ca="1"/>
        <v>miércoles</v>
      </c>
      <c r="Q391" s="124">
        <f ca="1"/>
        <v>45609</v>
      </c>
      <c r="R391" s="124">
        <f ca="1"/>
        <v>45698</v>
      </c>
      <c r="S391" s="90">
        <f ca="1"/>
        <v>74</v>
      </c>
      <c r="T391" s="139">
        <f ca="1"/>
        <v>0.82222222222222219</v>
      </c>
      <c r="U391" s="131">
        <f ca="1"/>
        <v>30</v>
      </c>
      <c r="V391" s="120">
        <f ca="1"/>
        <v>75</v>
      </c>
      <c r="W391" s="140">
        <f ca="1"/>
        <v>7</v>
      </c>
      <c r="X391" s="139">
        <f ca="1"/>
        <v>0.92222222222222228</v>
      </c>
      <c r="Y391" s="141">
        <f ca="1"/>
        <v>7.5711700000000004</v>
      </c>
      <c r="Z391" s="141">
        <f ca="1"/>
        <v>18.927925000000002</v>
      </c>
      <c r="AA391" s="142">
        <f ca="1"/>
        <v>1419.5943750000001</v>
      </c>
      <c r="AB391" s="138">
        <f ca="1"/>
        <v>8</v>
      </c>
      <c r="AC391" s="103" t="str">
        <f ca="1"/>
        <v>VIGENTE</v>
      </c>
      <c r="AD391" s="150">
        <f ca="1"/>
        <v>7.4999999999999997E-2</v>
      </c>
    </row>
    <row r="392" spans="1:30">
      <c r="A392" s="111" t="str">
        <f ca="1"/>
        <v>SAN GABRIEL</v>
      </c>
      <c r="B392" s="111" t="str">
        <f ca="1"/>
        <v>QUESOS Y GRASAS</v>
      </c>
      <c r="C392" s="111" t="str">
        <f ca="1"/>
        <v xml:space="preserve">Esteban Montenegro                      </v>
      </c>
      <c r="D392" s="111" t="str">
        <f ca="1"/>
        <v>QUESO SEMIMADURO KIOSKO</v>
      </c>
      <c r="E392" s="111" t="str">
        <f ca="1"/>
        <v>QUESO HOLANDES KIOSKO TAJADO</v>
      </c>
      <c r="F392" s="120" t="str">
        <f ca="1"/>
        <v>GUAYAQUIL</v>
      </c>
      <c r="G392" s="120">
        <f ca="1"/>
        <v>7711</v>
      </c>
      <c r="H392" s="120">
        <f ca="1"/>
        <v>1001</v>
      </c>
      <c r="I392" s="120" t="str">
        <f ca="1"/>
        <v>5761</v>
      </c>
      <c r="J392" s="120" t="str">
        <f ca="1"/>
        <v>Q HOLAN KIOSKO LONJ AL PESO</v>
      </c>
      <c r="K392" s="121">
        <f ca="1"/>
        <v>30</v>
      </c>
      <c r="L392" s="122">
        <f ca="1"/>
        <v>2.5</v>
      </c>
      <c r="M392" s="120">
        <f ca="1"/>
        <v>1</v>
      </c>
      <c r="N392" s="121">
        <f ca="1"/>
        <v>90</v>
      </c>
      <c r="O392" s="123">
        <f ca="1"/>
        <v>45617</v>
      </c>
      <c r="P392" s="123" t="str">
        <f ca="1"/>
        <v>jueves</v>
      </c>
      <c r="Q392" s="124">
        <f ca="1"/>
        <v>45609</v>
      </c>
      <c r="R392" s="124">
        <f ca="1"/>
        <v>45698</v>
      </c>
      <c r="S392" s="90">
        <f ca="1"/>
        <v>74</v>
      </c>
      <c r="T392" s="139">
        <f ca="1"/>
        <v>0.82222222222222219</v>
      </c>
      <c r="U392" s="131">
        <f ca="1"/>
        <v>30</v>
      </c>
      <c r="V392" s="120">
        <f ca="1"/>
        <v>75</v>
      </c>
      <c r="W392" s="140">
        <f ca="1"/>
        <v>8</v>
      </c>
      <c r="X392" s="139">
        <f ca="1"/>
        <v>0.91111111111111109</v>
      </c>
      <c r="Y392" s="141">
        <f ca="1"/>
        <v>7.5711700000000004</v>
      </c>
      <c r="Z392" s="141">
        <f ca="1"/>
        <v>18.927925000000002</v>
      </c>
      <c r="AA392" s="142">
        <f ca="1"/>
        <v>1419.5943750000001</v>
      </c>
      <c r="AB392" s="138">
        <f ca="1"/>
        <v>7</v>
      </c>
      <c r="AC392" s="103" t="str">
        <f ca="1"/>
        <v>VIGENTE</v>
      </c>
      <c r="AD392" s="150">
        <f ca="1"/>
        <v>7.4999999999999997E-2</v>
      </c>
    </row>
    <row r="393" spans="1:30">
      <c r="A393" s="111" t="str">
        <f ca="1"/>
        <v>SAN GABRIEL</v>
      </c>
      <c r="B393" s="111" t="str">
        <f ca="1"/>
        <v>QUESOS Y GRASAS</v>
      </c>
      <c r="C393" s="111" t="str">
        <f ca="1"/>
        <v xml:space="preserve">Esteban Montenegro                      </v>
      </c>
      <c r="D393" s="111" t="str">
        <f ca="1"/>
        <v>QUESO SEMIMADURO KIOSKO</v>
      </c>
      <c r="E393" s="111" t="str">
        <f ca="1"/>
        <v>QUESO SANDUCHE KIOSKO TAJADO</v>
      </c>
      <c r="F393" s="120" t="str">
        <f ca="1"/>
        <v>GUAYAQUIL</v>
      </c>
      <c r="G393" s="120">
        <f ca="1"/>
        <v>7711</v>
      </c>
      <c r="H393" s="120">
        <f ca="1"/>
        <v>1001</v>
      </c>
      <c r="I393" s="120" t="str">
        <f ca="1"/>
        <v>5779</v>
      </c>
      <c r="J393" s="120" t="str">
        <f ca="1"/>
        <v>Q SANDU KIOSKO LONJ AL PESO</v>
      </c>
      <c r="K393" s="121">
        <f ca="1"/>
        <v>10</v>
      </c>
      <c r="L393" s="122">
        <f ca="1"/>
        <v>2.5</v>
      </c>
      <c r="M393" s="120">
        <f ca="1"/>
        <v>1</v>
      </c>
      <c r="N393" s="121">
        <f ca="1"/>
        <v>90</v>
      </c>
      <c r="O393" s="123">
        <f ca="1"/>
        <v>45582</v>
      </c>
      <c r="P393" s="123" t="str">
        <f ca="1"/>
        <v>jueves</v>
      </c>
      <c r="Q393" s="124">
        <f ca="1"/>
        <v>45577</v>
      </c>
      <c r="R393" s="124">
        <f ca="1"/>
        <v>45666</v>
      </c>
      <c r="S393" s="90">
        <f ca="1"/>
        <v>42</v>
      </c>
      <c r="T393" s="139">
        <f ca="1"/>
        <v>0.46666666666666667</v>
      </c>
      <c r="U393" s="131">
        <f ca="1"/>
        <v>3</v>
      </c>
      <c r="V393" s="120">
        <f ca="1"/>
        <v>7.5</v>
      </c>
      <c r="W393" s="140">
        <f ca="1"/>
        <v>5</v>
      </c>
      <c r="X393" s="139">
        <f ca="1"/>
        <v>0.94444444444444442</v>
      </c>
      <c r="Y393" s="141">
        <f ca="1"/>
        <v>7.2458349999999996</v>
      </c>
      <c r="Z393" s="141">
        <f ca="1"/>
        <v>18.114587499999999</v>
      </c>
      <c r="AA393" s="142">
        <f ca="1"/>
        <v>135.85940625000001</v>
      </c>
      <c r="AB393" s="138">
        <f ca="1"/>
        <v>42</v>
      </c>
      <c r="AC393" s="103" t="str">
        <f ca="1"/>
        <v>VIGENTE</v>
      </c>
      <c r="AD393" s="150">
        <f ca="1"/>
        <v>7.4999999999999997E-3</v>
      </c>
    </row>
    <row r="394" spans="1:30">
      <c r="A394" s="111" t="str">
        <f ca="1"/>
        <v>SAN GABRIEL</v>
      </c>
      <c r="B394" s="111" t="str">
        <f ca="1"/>
        <v>QUESOS Y GRASAS</v>
      </c>
      <c r="C394" s="111" t="str">
        <f ca="1"/>
        <v xml:space="preserve">Esteban Montenegro                      </v>
      </c>
      <c r="D394" s="111" t="str">
        <f ca="1"/>
        <v>QUESO SEMIMADURO KIOSKO</v>
      </c>
      <c r="E394" s="111" t="str">
        <f ca="1"/>
        <v>QUESO SANDUCHE KIOSKO TAJADO</v>
      </c>
      <c r="F394" s="120" t="str">
        <f ca="1"/>
        <v>GUAYAQUIL</v>
      </c>
      <c r="G394" s="120">
        <f ca="1"/>
        <v>7711</v>
      </c>
      <c r="H394" s="120">
        <f ca="1"/>
        <v>1001</v>
      </c>
      <c r="I394" s="120" t="str">
        <f ca="1"/>
        <v>5779</v>
      </c>
      <c r="J394" s="120" t="str">
        <f ca="1"/>
        <v>Q SANDU KIOSKO LONJ AL PESO</v>
      </c>
      <c r="K394" s="121">
        <f ca="1"/>
        <v>10</v>
      </c>
      <c r="L394" s="122">
        <f ca="1"/>
        <v>2.5</v>
      </c>
      <c r="M394" s="120">
        <f ca="1"/>
        <v>1</v>
      </c>
      <c r="N394" s="121">
        <f ca="1"/>
        <v>90</v>
      </c>
      <c r="O394" s="123">
        <f ca="1"/>
        <v>45587</v>
      </c>
      <c r="P394" s="123" t="str">
        <f ca="1"/>
        <v>martes</v>
      </c>
      <c r="Q394" s="124">
        <f ca="1"/>
        <v>45581</v>
      </c>
      <c r="R394" s="124">
        <f ca="1"/>
        <v>45670</v>
      </c>
      <c r="S394" s="90">
        <f ca="1"/>
        <v>46</v>
      </c>
      <c r="T394" s="139">
        <f ca="1"/>
        <v>0.51111111111111107</v>
      </c>
      <c r="U394" s="131">
        <f ca="1"/>
        <v>10</v>
      </c>
      <c r="V394" s="120">
        <f ca="1"/>
        <v>25</v>
      </c>
      <c r="W394" s="140">
        <f ca="1"/>
        <v>6</v>
      </c>
      <c r="X394" s="139">
        <f ca="1"/>
        <v>0.93333333333333335</v>
      </c>
      <c r="Y394" s="141">
        <f ca="1"/>
        <v>7.2458349999999996</v>
      </c>
      <c r="Z394" s="141">
        <f ca="1"/>
        <v>18.114587499999999</v>
      </c>
      <c r="AA394" s="142">
        <f ca="1"/>
        <v>452.86468749999995</v>
      </c>
      <c r="AB394" s="138">
        <f ca="1"/>
        <v>37</v>
      </c>
      <c r="AC394" s="103" t="str">
        <f ca="1"/>
        <v>VIGENTE</v>
      </c>
      <c r="AD394" s="150">
        <f ca="1"/>
        <v>2.5000000000000001E-2</v>
      </c>
    </row>
    <row r="395" spans="1:30">
      <c r="A395" s="111" t="str">
        <f ca="1"/>
        <v>SAN GABRIEL</v>
      </c>
      <c r="B395" s="111" t="str">
        <f ca="1"/>
        <v>QUESOS Y GRASAS</v>
      </c>
      <c r="C395" s="111" t="str">
        <f ca="1"/>
        <v xml:space="preserve">Esteban Montenegro                      </v>
      </c>
      <c r="D395" s="111" t="str">
        <f ca="1"/>
        <v>QUESO SEMIMADURO KIOSKO</v>
      </c>
      <c r="E395" s="111" t="str">
        <f ca="1"/>
        <v>QUESO SANDUCHE KIOSKO TAJADO</v>
      </c>
      <c r="F395" s="120" t="str">
        <f ca="1"/>
        <v>GUAYAQUIL</v>
      </c>
      <c r="G395" s="120">
        <f ca="1"/>
        <v>7711</v>
      </c>
      <c r="H395" s="120">
        <f ca="1"/>
        <v>1001</v>
      </c>
      <c r="I395" s="120" t="str">
        <f ca="1"/>
        <v>5779</v>
      </c>
      <c r="J395" s="120" t="str">
        <f ca="1"/>
        <v>Q SANDU KIOSKO LONJ AL PESO</v>
      </c>
      <c r="K395" s="121">
        <f ca="1"/>
        <v>10</v>
      </c>
      <c r="L395" s="122">
        <f ca="1"/>
        <v>2.5</v>
      </c>
      <c r="M395" s="120">
        <f ca="1"/>
        <v>1</v>
      </c>
      <c r="N395" s="121">
        <f ca="1"/>
        <v>90</v>
      </c>
      <c r="O395" s="123">
        <f ca="1"/>
        <v>45587</v>
      </c>
      <c r="P395" s="123" t="str">
        <f ca="1"/>
        <v>martes</v>
      </c>
      <c r="Q395" s="124">
        <f ca="1"/>
        <v>45580</v>
      </c>
      <c r="R395" s="124">
        <f ca="1"/>
        <v>45669</v>
      </c>
      <c r="S395" s="90">
        <f ca="1"/>
        <v>45</v>
      </c>
      <c r="T395" s="139">
        <f ca="1"/>
        <v>0.5</v>
      </c>
      <c r="U395" s="131">
        <f ca="1"/>
        <v>9</v>
      </c>
      <c r="V395" s="120">
        <f ca="1"/>
        <v>22.5</v>
      </c>
      <c r="W395" s="140">
        <f ca="1"/>
        <v>7</v>
      </c>
      <c r="X395" s="139">
        <f ca="1"/>
        <v>0.92222222222222228</v>
      </c>
      <c r="Y395" s="141">
        <f ca="1"/>
        <v>7.2458349999999996</v>
      </c>
      <c r="Z395" s="141">
        <f ca="1"/>
        <v>18.114587499999999</v>
      </c>
      <c r="AA395" s="142">
        <f ca="1"/>
        <v>407.57821874999996</v>
      </c>
      <c r="AB395" s="138">
        <f ca="1"/>
        <v>37</v>
      </c>
      <c r="AC395" s="103" t="str">
        <f ca="1"/>
        <v>VIGENTE</v>
      </c>
      <c r="AD395" s="150">
        <f ca="1"/>
        <v>2.2499999999999999E-2</v>
      </c>
    </row>
    <row r="396" spans="1:30">
      <c r="A396" s="111" t="str">
        <f ca="1"/>
        <v>SAN GABRIEL</v>
      </c>
      <c r="B396" s="111" t="str">
        <f ca="1"/>
        <v>QUESOS Y GRASAS</v>
      </c>
      <c r="C396" s="111" t="str">
        <f ca="1"/>
        <v xml:space="preserve">Esteban Montenegro                      </v>
      </c>
      <c r="D396" s="111" t="str">
        <f ca="1"/>
        <v>QUESO SEMIMADURO KIOSKO</v>
      </c>
      <c r="E396" s="111" t="str">
        <f ca="1"/>
        <v>QUESO SANDUCHE KIOSKO TAJADO</v>
      </c>
      <c r="F396" s="120" t="str">
        <f ca="1"/>
        <v>GUAYAQUIL</v>
      </c>
      <c r="G396" s="120">
        <f ca="1"/>
        <v>7711</v>
      </c>
      <c r="H396" s="120">
        <f ca="1"/>
        <v>1001</v>
      </c>
      <c r="I396" s="120" t="str">
        <f ca="1"/>
        <v>5779</v>
      </c>
      <c r="J396" s="120" t="str">
        <f ca="1"/>
        <v>Q SANDU KIOSKO LONJ AL PESO</v>
      </c>
      <c r="K396" s="121">
        <f ca="1"/>
        <v>10</v>
      </c>
      <c r="L396" s="122">
        <f ca="1"/>
        <v>2.5</v>
      </c>
      <c r="M396" s="120">
        <f ca="1"/>
        <v>1</v>
      </c>
      <c r="N396" s="121">
        <f ca="1"/>
        <v>90</v>
      </c>
      <c r="O396" s="123">
        <f ca="1"/>
        <v>45588</v>
      </c>
      <c r="P396" s="123" t="str">
        <f ca="1"/>
        <v>miércoles</v>
      </c>
      <c r="Q396" s="124">
        <f ca="1"/>
        <v>45581</v>
      </c>
      <c r="R396" s="124">
        <f ca="1"/>
        <v>45670</v>
      </c>
      <c r="S396" s="90">
        <f ca="1"/>
        <v>46</v>
      </c>
      <c r="T396" s="139">
        <f ca="1"/>
        <v>0.51111111111111107</v>
      </c>
      <c r="U396" s="131">
        <f ca="1"/>
        <v>10</v>
      </c>
      <c r="V396" s="120">
        <f ca="1"/>
        <v>25</v>
      </c>
      <c r="W396" s="140">
        <f ca="1"/>
        <v>7</v>
      </c>
      <c r="X396" s="139">
        <f ca="1"/>
        <v>0.92222222222222228</v>
      </c>
      <c r="Y396" s="141">
        <f ca="1"/>
        <v>7.2458349999999996</v>
      </c>
      <c r="Z396" s="141">
        <f ca="1"/>
        <v>18.114587499999999</v>
      </c>
      <c r="AA396" s="142">
        <f ca="1"/>
        <v>452.86468749999995</v>
      </c>
      <c r="AB396" s="138">
        <f ca="1"/>
        <v>36</v>
      </c>
      <c r="AC396" s="103" t="str">
        <f ca="1"/>
        <v>VIGENTE</v>
      </c>
      <c r="AD396" s="150">
        <f ca="1"/>
        <v>2.5000000000000001E-2</v>
      </c>
    </row>
    <row r="397" spans="1:30">
      <c r="A397" s="111" t="str">
        <f ca="1"/>
        <v>SAN GABRIEL</v>
      </c>
      <c r="B397" s="111" t="str">
        <f ca="1"/>
        <v>QUESOS Y GRASAS</v>
      </c>
      <c r="C397" s="111" t="str">
        <f ca="1"/>
        <v xml:space="preserve">Esteban Montenegro                      </v>
      </c>
      <c r="D397" s="111" t="str">
        <f ca="1"/>
        <v>QUESO SEMIMADURO KIOSKO</v>
      </c>
      <c r="E397" s="111" t="str">
        <f ca="1"/>
        <v>QUESO SANDUCHE KIOSKO TAJADO</v>
      </c>
      <c r="F397" s="120" t="str">
        <f ca="1"/>
        <v>GUAYAQUIL</v>
      </c>
      <c r="G397" s="120">
        <f ca="1"/>
        <v>7711</v>
      </c>
      <c r="H397" s="120">
        <f ca="1"/>
        <v>1001</v>
      </c>
      <c r="I397" s="120" t="str">
        <f ca="1"/>
        <v>5779</v>
      </c>
      <c r="J397" s="120" t="str">
        <f ca="1"/>
        <v>Q SANDU KIOSKO LONJ AL PESO</v>
      </c>
      <c r="K397" s="121">
        <f ca="1"/>
        <v>10</v>
      </c>
      <c r="L397" s="122">
        <f ca="1"/>
        <v>2.5</v>
      </c>
      <c r="M397" s="120">
        <f ca="1"/>
        <v>1</v>
      </c>
      <c r="N397" s="121">
        <f ca="1"/>
        <v>90</v>
      </c>
      <c r="O397" s="123">
        <f ca="1"/>
        <v>45589</v>
      </c>
      <c r="P397" s="123" t="str">
        <f ca="1"/>
        <v>jueves</v>
      </c>
      <c r="Q397" s="124">
        <f ca="1"/>
        <v>45582</v>
      </c>
      <c r="R397" s="124">
        <f ca="1"/>
        <v>45671</v>
      </c>
      <c r="S397" s="90">
        <f ca="1"/>
        <v>47</v>
      </c>
      <c r="T397" s="139">
        <f ca="1"/>
        <v>0.52222222222222225</v>
      </c>
      <c r="U397" s="131">
        <f ca="1"/>
        <v>11</v>
      </c>
      <c r="V397" s="120">
        <f ca="1"/>
        <v>27.5</v>
      </c>
      <c r="W397" s="140">
        <f ca="1"/>
        <v>7</v>
      </c>
      <c r="X397" s="139">
        <f ca="1"/>
        <v>0.92222222222222228</v>
      </c>
      <c r="Y397" s="141">
        <f ca="1"/>
        <v>7.2458349999999996</v>
      </c>
      <c r="Z397" s="141">
        <f ca="1"/>
        <v>18.114587499999999</v>
      </c>
      <c r="AA397" s="142">
        <f ca="1"/>
        <v>498.15115624999999</v>
      </c>
      <c r="AB397" s="138">
        <f ca="1"/>
        <v>35</v>
      </c>
      <c r="AC397" s="103" t="str">
        <f ca="1"/>
        <v>VIGENTE</v>
      </c>
      <c r="AD397" s="150">
        <f ca="1"/>
        <v>2.75E-2</v>
      </c>
    </row>
    <row r="398" spans="1:30">
      <c r="A398" s="111" t="str">
        <f ca="1"/>
        <v>SAN GABRIEL</v>
      </c>
      <c r="B398" s="111" t="str">
        <f ca="1"/>
        <v>QUESOS Y GRASAS</v>
      </c>
      <c r="C398" s="111" t="str">
        <f ca="1"/>
        <v xml:space="preserve">Esteban Montenegro                      </v>
      </c>
      <c r="D398" s="111" t="str">
        <f ca="1"/>
        <v>QUESO SEMIMADURO KIOSKO</v>
      </c>
      <c r="E398" s="111" t="str">
        <f ca="1"/>
        <v>QUESO SEMIMADURO KIOSKO MIX CUBOS</v>
      </c>
      <c r="F398" s="120" t="str">
        <f ca="1"/>
        <v>GUAYAQUIL</v>
      </c>
      <c r="G398" s="120">
        <f ca="1"/>
        <v>7711</v>
      </c>
      <c r="H398" s="120">
        <f ca="1"/>
        <v>1001</v>
      </c>
      <c r="I398" s="120" t="str">
        <f ca="1"/>
        <v>16745</v>
      </c>
      <c r="J398" s="120" t="str">
        <f ca="1"/>
        <v>SELECCION ESPECIAL KIOSKO 150G</v>
      </c>
      <c r="K398" s="121">
        <f ca="1"/>
        <v>150</v>
      </c>
      <c r="L398" s="122">
        <f ca="1"/>
        <v>1</v>
      </c>
      <c r="M398" s="120">
        <f ca="1"/>
        <v>0.15</v>
      </c>
      <c r="N398" s="121">
        <f ca="1"/>
        <v>60</v>
      </c>
      <c r="O398" s="123">
        <f ca="1"/>
        <v>45615</v>
      </c>
      <c r="P398" s="123" t="str">
        <f ca="1"/>
        <v>martes</v>
      </c>
      <c r="Q398" s="124">
        <f ca="1"/>
        <v>45609</v>
      </c>
      <c r="R398" s="124">
        <f ca="1"/>
        <v>45668</v>
      </c>
      <c r="S398" s="90">
        <f ca="1"/>
        <v>44</v>
      </c>
      <c r="T398" s="139">
        <f ca="1"/>
        <v>0.73333333333333328</v>
      </c>
      <c r="U398" s="131">
        <f ca="1"/>
        <v>112</v>
      </c>
      <c r="V398" s="120">
        <f ca="1"/>
        <v>16.8</v>
      </c>
      <c r="W398" s="140">
        <f ca="1"/>
        <v>6</v>
      </c>
      <c r="X398" s="139">
        <f ca="1"/>
        <v>0.9</v>
      </c>
      <c r="Y398" s="141">
        <f ca="1"/>
        <v>1.1024050000000001</v>
      </c>
      <c r="Z398" s="141">
        <f ca="1"/>
        <v>1.1024050000000001</v>
      </c>
      <c r="AA398" s="142">
        <f ca="1"/>
        <v>18.520404000000003</v>
      </c>
      <c r="AB398" s="138">
        <f ca="1"/>
        <v>9</v>
      </c>
      <c r="AC398" s="103" t="str">
        <f ca="1"/>
        <v>VIGENTE</v>
      </c>
      <c r="AD398" s="150">
        <f ca="1"/>
        <v>1.6800000000000002E-2</v>
      </c>
    </row>
    <row r="399" spans="1:30">
      <c r="A399" s="111" t="str">
        <f ca="1"/>
        <v>SAN GABRIEL</v>
      </c>
      <c r="B399" s="111" t="str">
        <f ca="1"/>
        <v>QUESOS Y GRASAS</v>
      </c>
      <c r="C399" s="111" t="str">
        <f ca="1"/>
        <v xml:space="preserve">Esteban Montenegro                      </v>
      </c>
      <c r="D399" s="111" t="str">
        <f ca="1"/>
        <v>QUESO SEMIMADURO KIOSKO</v>
      </c>
      <c r="E399" s="111" t="str">
        <f ca="1"/>
        <v>QUESO SEMIMADURO KIOSKO MIX CUBOS</v>
      </c>
      <c r="F399" s="120" t="str">
        <f ca="1"/>
        <v>GUAYAQUIL</v>
      </c>
      <c r="G399" s="120">
        <f ca="1"/>
        <v>7711</v>
      </c>
      <c r="H399" s="120">
        <f ca="1"/>
        <v>1001</v>
      </c>
      <c r="I399" s="120" t="str">
        <f ca="1"/>
        <v>16745</v>
      </c>
      <c r="J399" s="120" t="str">
        <f ca="1"/>
        <v>SELECCION ESPECIAL KIOSKO 150G</v>
      </c>
      <c r="K399" s="121">
        <f ca="1"/>
        <v>150</v>
      </c>
      <c r="L399" s="122">
        <f ca="1"/>
        <v>1</v>
      </c>
      <c r="M399" s="120">
        <f ca="1"/>
        <v>0.15</v>
      </c>
      <c r="N399" s="121">
        <f ca="1"/>
        <v>60</v>
      </c>
      <c r="O399" s="123">
        <f ca="1"/>
        <v>45616</v>
      </c>
      <c r="P399" s="123" t="str">
        <f ca="1"/>
        <v>miércoles</v>
      </c>
      <c r="Q399" s="124">
        <f ca="1"/>
        <v>45609</v>
      </c>
      <c r="R399" s="124">
        <f ca="1"/>
        <v>45668</v>
      </c>
      <c r="S399" s="90">
        <f ca="1"/>
        <v>44</v>
      </c>
      <c r="T399" s="139">
        <f ca="1"/>
        <v>0.73333333333333328</v>
      </c>
      <c r="U399" s="131">
        <f ca="1"/>
        <v>150</v>
      </c>
      <c r="V399" s="120">
        <f ca="1"/>
        <v>22.5</v>
      </c>
      <c r="W399" s="140">
        <f ca="1"/>
        <v>7</v>
      </c>
      <c r="X399" s="139">
        <f ca="1"/>
        <v>0.8833333333333333</v>
      </c>
      <c r="Y399" s="141">
        <f ca="1"/>
        <v>1.1024050000000001</v>
      </c>
      <c r="Z399" s="141">
        <f ca="1"/>
        <v>1.1024050000000001</v>
      </c>
      <c r="AA399" s="142">
        <f ca="1"/>
        <v>24.804112500000002</v>
      </c>
      <c r="AB399" s="138">
        <f ca="1"/>
        <v>8</v>
      </c>
      <c r="AC399" s="103" t="str">
        <f ca="1"/>
        <v>VIGENTE</v>
      </c>
      <c r="AD399" s="150">
        <f ca="1"/>
        <v>2.2499999999999999E-2</v>
      </c>
    </row>
    <row r="400" spans="1:30">
      <c r="A400" s="111" t="str">
        <f ca="1"/>
        <v>SAN GABRIEL</v>
      </c>
      <c r="B400" s="111" t="str">
        <f ca="1"/>
        <v>QUESOS Y GRASAS</v>
      </c>
      <c r="C400" s="111" t="str">
        <f ca="1"/>
        <v xml:space="preserve">Esteban Montenegro                      </v>
      </c>
      <c r="D400" s="111" t="str">
        <f ca="1"/>
        <v>QUESO SEMIMADURO KIOSKO</v>
      </c>
      <c r="E400" s="111" t="str">
        <f ca="1"/>
        <v>QUESO SEMIMADURO KIOSKO MIX CUBOS</v>
      </c>
      <c r="F400" s="120" t="str">
        <f ca="1"/>
        <v>GUAYAQUIL</v>
      </c>
      <c r="G400" s="120">
        <f ca="1"/>
        <v>7711</v>
      </c>
      <c r="H400" s="120">
        <f ca="1"/>
        <v>1001</v>
      </c>
      <c r="I400" s="120" t="str">
        <f ca="1"/>
        <v>16745</v>
      </c>
      <c r="J400" s="120" t="str">
        <f ca="1"/>
        <v>SELECCION ESPECIAL KIOSKO 150G</v>
      </c>
      <c r="K400" s="121">
        <f ca="1"/>
        <v>200</v>
      </c>
      <c r="L400" s="122">
        <f ca="1"/>
        <v>1</v>
      </c>
      <c r="M400" s="120">
        <f ca="1"/>
        <v>0.15</v>
      </c>
      <c r="N400" s="121">
        <f ca="1"/>
        <v>60</v>
      </c>
      <c r="O400" s="123">
        <f ca="1"/>
        <v>45617</v>
      </c>
      <c r="P400" s="123" t="str">
        <f ca="1"/>
        <v>jueves</v>
      </c>
      <c r="Q400" s="124">
        <f ca="1"/>
        <v>45612</v>
      </c>
      <c r="R400" s="124">
        <f ca="1"/>
        <v>45671</v>
      </c>
      <c r="S400" s="90">
        <f ca="1"/>
        <v>47</v>
      </c>
      <c r="T400" s="139">
        <f ca="1"/>
        <v>0.78333333333333333</v>
      </c>
      <c r="U400" s="131">
        <f ca="1"/>
        <v>200</v>
      </c>
      <c r="V400" s="120">
        <f ca="1"/>
        <v>30</v>
      </c>
      <c r="W400" s="140">
        <f ca="1"/>
        <v>5</v>
      </c>
      <c r="X400" s="139">
        <f ca="1"/>
        <v>0.91666666666666663</v>
      </c>
      <c r="Y400" s="141">
        <f ca="1"/>
        <v>1.1024050000000001</v>
      </c>
      <c r="Z400" s="141">
        <f ca="1"/>
        <v>1.1024050000000001</v>
      </c>
      <c r="AA400" s="142">
        <f ca="1"/>
        <v>33.072150000000001</v>
      </c>
      <c r="AB400" s="138">
        <f ca="1"/>
        <v>7</v>
      </c>
      <c r="AC400" s="103" t="str">
        <f ca="1"/>
        <v>VIGENTE</v>
      </c>
      <c r="AD400" s="150">
        <f ca="1"/>
        <v>0.03</v>
      </c>
    </row>
    <row r="401" spans="1:30">
      <c r="A401" s="111" t="str">
        <f ca="1"/>
        <v>COLOMBIA</v>
      </c>
      <c r="B401" s="111" t="str">
        <f ca="1"/>
        <v>BEBIDAS LACTEAS</v>
      </c>
      <c r="C401" s="111" t="str">
        <f ca="1"/>
        <v xml:space="preserve">Luis Armendariz                         </v>
      </c>
      <c r="D401" s="111" t="str">
        <f ca="1"/>
        <v>AVENA ALPINA</v>
      </c>
      <c r="E401" s="111" t="str">
        <f ca="1"/>
        <v>AVENA VASO</v>
      </c>
      <c r="F401" s="120" t="str">
        <f ca="1"/>
        <v>GUAYAQUIL</v>
      </c>
      <c r="G401" s="120">
        <f ca="1"/>
        <v>7711</v>
      </c>
      <c r="H401" s="120">
        <f ca="1"/>
        <v>1001</v>
      </c>
      <c r="I401" s="120" t="str">
        <f ca="1"/>
        <v>4454239</v>
      </c>
      <c r="J401" s="120" t="str">
        <f ca="1"/>
        <v>AVENA CANELA VASO 250G ECU</v>
      </c>
      <c r="K401" s="121">
        <f ca="1"/>
        <v>624</v>
      </c>
      <c r="L401" s="122">
        <f ca="1"/>
        <v>1</v>
      </c>
      <c r="M401" s="120">
        <f ca="1"/>
        <v>0.25</v>
      </c>
      <c r="N401" s="121">
        <f ca="1"/>
        <v>180</v>
      </c>
      <c r="O401" s="123">
        <f ca="1"/>
        <v>45603</v>
      </c>
      <c r="P401" s="123" t="str">
        <f ca="1"/>
        <v>jueves</v>
      </c>
      <c r="Q401" s="124">
        <f ca="1"/>
        <v>45584</v>
      </c>
      <c r="R401" s="124">
        <f ca="1"/>
        <v>45763</v>
      </c>
      <c r="S401" s="90">
        <f ca="1"/>
        <v>139</v>
      </c>
      <c r="T401" s="139">
        <f ca="1"/>
        <v>0.77222222222222225</v>
      </c>
      <c r="U401" s="131">
        <f ca="1"/>
        <v>531</v>
      </c>
      <c r="V401" s="120">
        <f ca="1"/>
        <v>132.75</v>
      </c>
      <c r="W401" s="140">
        <f ca="1"/>
        <v>19</v>
      </c>
      <c r="X401" s="139">
        <f ca="1"/>
        <v>0.89444444444444449</v>
      </c>
      <c r="Y401" s="141">
        <f ca="1"/>
        <v>0.40961000000000003</v>
      </c>
      <c r="Z401" s="141">
        <f ca="1"/>
        <v>0.40961000000000003</v>
      </c>
      <c r="AA401" s="142">
        <f ca="1"/>
        <v>54.375727500000004</v>
      </c>
      <c r="AB401" s="138">
        <f ca="1"/>
        <v>21</v>
      </c>
      <c r="AC401" s="103" t="str">
        <f ca="1"/>
        <v>VIGENTE</v>
      </c>
      <c r="AD401" s="150">
        <f ca="1"/>
        <v>0.13275000000000001</v>
      </c>
    </row>
    <row r="402" spans="1:30">
      <c r="A402" s="111" t="str">
        <f ca="1"/>
        <v>COLOMBIA</v>
      </c>
      <c r="B402" s="111" t="str">
        <f ca="1"/>
        <v>BEBIDAS LACTEAS</v>
      </c>
      <c r="C402" s="111" t="str">
        <f ca="1"/>
        <v xml:space="preserve">Luis Armendariz                         </v>
      </c>
      <c r="D402" s="111" t="str">
        <f ca="1"/>
        <v>AVENA ALPINA</v>
      </c>
      <c r="E402" s="111" t="str">
        <f ca="1"/>
        <v>AVENA VASO</v>
      </c>
      <c r="F402" s="120" t="str">
        <f ca="1"/>
        <v>GUAYAQUIL</v>
      </c>
      <c r="G402" s="120">
        <f ca="1"/>
        <v>7711</v>
      </c>
      <c r="H402" s="120">
        <f ca="1"/>
        <v>1001</v>
      </c>
      <c r="I402" s="120" t="str">
        <f ca="1"/>
        <v>4454239</v>
      </c>
      <c r="J402" s="120" t="str">
        <f ca="1"/>
        <v>AVENA CANELA VASO 250G ECU</v>
      </c>
      <c r="K402" s="121">
        <f ca="1"/>
        <v>1344</v>
      </c>
      <c r="L402" s="122">
        <f ca="1"/>
        <v>1</v>
      </c>
      <c r="M402" s="120">
        <f ca="1"/>
        <v>0.25</v>
      </c>
      <c r="N402" s="121">
        <f ca="1"/>
        <v>180</v>
      </c>
      <c r="O402" s="123">
        <f ca="1"/>
        <v>45608</v>
      </c>
      <c r="P402" s="123" t="str">
        <f ca="1"/>
        <v>martes</v>
      </c>
      <c r="Q402" s="124">
        <f ca="1"/>
        <v>45584</v>
      </c>
      <c r="R402" s="124">
        <f ca="1"/>
        <v>45763</v>
      </c>
      <c r="S402" s="90">
        <f ca="1"/>
        <v>139</v>
      </c>
      <c r="T402" s="139">
        <f ca="1"/>
        <v>0.77222222222222225</v>
      </c>
      <c r="U402" s="131">
        <f ca="1"/>
        <v>1344</v>
      </c>
      <c r="V402" s="120">
        <f ca="1"/>
        <v>336</v>
      </c>
      <c r="W402" s="140">
        <f ca="1"/>
        <v>24</v>
      </c>
      <c r="X402" s="139">
        <f ca="1"/>
        <v>0.8666666666666667</v>
      </c>
      <c r="Y402" s="141">
        <f ca="1"/>
        <v>0.40961000000000003</v>
      </c>
      <c r="Z402" s="141">
        <f ca="1"/>
        <v>0.40961000000000003</v>
      </c>
      <c r="AA402" s="142">
        <f ca="1"/>
        <v>137.62896000000001</v>
      </c>
      <c r="AB402" s="138">
        <f ca="1"/>
        <v>16</v>
      </c>
      <c r="AC402" s="103" t="str">
        <f ca="1"/>
        <v>VIGENTE</v>
      </c>
      <c r="AD402" s="150">
        <f ca="1"/>
        <v>0.33600000000000002</v>
      </c>
    </row>
    <row r="403" spans="1:30">
      <c r="A403" s="111" t="str">
        <f ca="1"/>
        <v>COLOMBIA</v>
      </c>
      <c r="B403" s="111" t="str">
        <f ca="1"/>
        <v>BEBIDAS LACTEAS</v>
      </c>
      <c r="C403" s="111" t="str">
        <f ca="1"/>
        <v xml:space="preserve">Luis Armendariz                         </v>
      </c>
      <c r="D403" s="111" t="str">
        <f ca="1"/>
        <v>AVENA ALPINA</v>
      </c>
      <c r="E403" s="111" t="str">
        <f ca="1"/>
        <v>AVENA VASO</v>
      </c>
      <c r="F403" s="120" t="str">
        <f ca="1"/>
        <v>GUAYAQUIL</v>
      </c>
      <c r="G403" s="120">
        <f ca="1"/>
        <v>7711</v>
      </c>
      <c r="H403" s="120">
        <f ca="1"/>
        <v>1001</v>
      </c>
      <c r="I403" s="120" t="str">
        <f ca="1"/>
        <v>4454239</v>
      </c>
      <c r="J403" s="120" t="str">
        <f ca="1"/>
        <v>AVENA CANELA VASO 250G ECU</v>
      </c>
      <c r="K403" s="121">
        <f ca="1"/>
        <v>624</v>
      </c>
      <c r="L403" s="122">
        <f ca="1"/>
        <v>1</v>
      </c>
      <c r="M403" s="120">
        <f ca="1"/>
        <v>0.25</v>
      </c>
      <c r="N403" s="121">
        <f ca="1"/>
        <v>180</v>
      </c>
      <c r="O403" s="123">
        <f ca="1"/>
        <v>45610</v>
      </c>
      <c r="P403" s="123" t="str">
        <f ca="1"/>
        <v>jueves</v>
      </c>
      <c r="Q403" s="124">
        <f ca="1"/>
        <v>45584</v>
      </c>
      <c r="R403" s="124">
        <f ca="1"/>
        <v>45763</v>
      </c>
      <c r="S403" s="90">
        <f ca="1"/>
        <v>139</v>
      </c>
      <c r="T403" s="139">
        <f ca="1"/>
        <v>0.77222222222222225</v>
      </c>
      <c r="U403" s="131">
        <f ca="1"/>
        <v>624</v>
      </c>
      <c r="V403" s="120">
        <f ca="1"/>
        <v>156</v>
      </c>
      <c r="W403" s="140">
        <f ca="1"/>
        <v>26</v>
      </c>
      <c r="X403" s="139">
        <f ca="1"/>
        <v>0.85555555555555562</v>
      </c>
      <c r="Y403" s="141">
        <f ca="1"/>
        <v>0.40961000000000003</v>
      </c>
      <c r="Z403" s="141">
        <f ca="1"/>
        <v>0.40961000000000003</v>
      </c>
      <c r="AA403" s="142">
        <f ca="1"/>
        <v>63.899160000000002</v>
      </c>
      <c r="AB403" s="138">
        <f ca="1"/>
        <v>14</v>
      </c>
      <c r="AC403" s="103" t="str">
        <f ca="1"/>
        <v>VIGENTE</v>
      </c>
      <c r="AD403" s="150">
        <f ca="1"/>
        <v>0.156</v>
      </c>
    </row>
    <row r="404" spans="1:30">
      <c r="A404" s="111" t="str">
        <f ca="1"/>
        <v>SAN GABRIEL</v>
      </c>
      <c r="B404" s="111" t="str">
        <f ca="1"/>
        <v>QUESOS Y GRASAS</v>
      </c>
      <c r="C404" s="111" t="str">
        <f ca="1"/>
        <v xml:space="preserve">Esteban Montenegro                      </v>
      </c>
      <c r="D404" s="111" t="str">
        <f ca="1"/>
        <v>QUESO SEMIMADURO KIOSKO</v>
      </c>
      <c r="E404" s="111" t="str">
        <f ca="1"/>
        <v>QUESO AMERICANO KIOSKO TAJADO</v>
      </c>
      <c r="F404" s="120" t="str">
        <f ca="1"/>
        <v>GUAYAQUIL</v>
      </c>
      <c r="G404" s="120">
        <f ca="1"/>
        <v>7711</v>
      </c>
      <c r="H404" s="120">
        <f ca="1"/>
        <v>1001</v>
      </c>
      <c r="I404" s="120" t="str">
        <f ca="1"/>
        <v>16232</v>
      </c>
      <c r="J404" s="120" t="str">
        <f ca="1"/>
        <v>Q AMERIC KIOSKO LONJ 150G</v>
      </c>
      <c r="K404" s="121">
        <f ca="1"/>
        <v>90</v>
      </c>
      <c r="L404" s="122">
        <f ca="1"/>
        <v>1</v>
      </c>
      <c r="M404" s="120">
        <f ca="1"/>
        <v>0.15</v>
      </c>
      <c r="N404" s="121">
        <f ca="1"/>
        <v>60</v>
      </c>
      <c r="O404" s="123">
        <f ca="1"/>
        <v>45611</v>
      </c>
      <c r="P404" s="123" t="str">
        <f ca="1"/>
        <v>viernes</v>
      </c>
      <c r="Q404" s="124">
        <f ca="1"/>
        <v>45604</v>
      </c>
      <c r="R404" s="124">
        <f ca="1"/>
        <v>45663</v>
      </c>
      <c r="S404" s="90">
        <f ca="1"/>
        <v>39</v>
      </c>
      <c r="T404" s="139">
        <f ca="1"/>
        <v>0.65</v>
      </c>
      <c r="U404" s="131">
        <f ca="1"/>
        <v>82</v>
      </c>
      <c r="V404" s="120">
        <f ca="1"/>
        <v>12.299999999999999</v>
      </c>
      <c r="W404" s="140">
        <f ca="1"/>
        <v>7</v>
      </c>
      <c r="X404" s="139">
        <f ca="1"/>
        <v>0.8833333333333333</v>
      </c>
      <c r="Y404" s="141">
        <f ca="1"/>
        <v>1.1246900000000002</v>
      </c>
      <c r="Z404" s="141">
        <f ca="1"/>
        <v>1.1246900000000002</v>
      </c>
      <c r="AA404" s="142">
        <f ca="1"/>
        <v>13.833687000000001</v>
      </c>
      <c r="AB404" s="138">
        <f ca="1"/>
        <v>13</v>
      </c>
      <c r="AC404" s="103" t="str">
        <f ca="1"/>
        <v>VIGENTE</v>
      </c>
      <c r="AD404" s="150">
        <f ca="1"/>
        <v>1.2299999999999998E-2</v>
      </c>
    </row>
    <row r="405" spans="1:30">
      <c r="A405" s="111" t="str">
        <f ca="1"/>
        <v>SAN GABRIEL</v>
      </c>
      <c r="B405" s="111" t="str">
        <f ca="1"/>
        <v>QUESOS Y GRASAS</v>
      </c>
      <c r="C405" s="111" t="str">
        <f ca="1"/>
        <v xml:space="preserve">Esteban Montenegro                      </v>
      </c>
      <c r="D405" s="111" t="str">
        <f ca="1"/>
        <v>QUESO SEMIMADURO KIOSKO</v>
      </c>
      <c r="E405" s="111" t="str">
        <f ca="1"/>
        <v>QUESO AMERICANO KIOSKO TAJADO</v>
      </c>
      <c r="F405" s="120" t="str">
        <f ca="1"/>
        <v>GUAYAQUIL</v>
      </c>
      <c r="G405" s="120">
        <f ca="1"/>
        <v>7711</v>
      </c>
      <c r="H405" s="120">
        <f ca="1"/>
        <v>1001</v>
      </c>
      <c r="I405" s="120" t="str">
        <f ca="1"/>
        <v>16232</v>
      </c>
      <c r="J405" s="120" t="str">
        <f ca="1"/>
        <v>Q AMERIC KIOSKO LONJ 150G</v>
      </c>
      <c r="K405" s="121">
        <f ca="1"/>
        <v>40</v>
      </c>
      <c r="L405" s="122">
        <f ca="1"/>
        <v>1</v>
      </c>
      <c r="M405" s="120">
        <f ca="1"/>
        <v>0.15</v>
      </c>
      <c r="N405" s="121">
        <f ca="1"/>
        <v>60</v>
      </c>
      <c r="O405" s="123">
        <f ca="1"/>
        <v>45615</v>
      </c>
      <c r="P405" s="123" t="str">
        <f ca="1"/>
        <v>martes</v>
      </c>
      <c r="Q405" s="124">
        <f ca="1"/>
        <v>45611</v>
      </c>
      <c r="R405" s="124">
        <f ca="1"/>
        <v>45670</v>
      </c>
      <c r="S405" s="90">
        <f ca="1"/>
        <v>46</v>
      </c>
      <c r="T405" s="139">
        <f ca="1"/>
        <v>0.76666666666666672</v>
      </c>
      <c r="U405" s="131">
        <f ca="1"/>
        <v>40</v>
      </c>
      <c r="V405" s="120">
        <f ca="1"/>
        <v>6</v>
      </c>
      <c r="W405" s="140">
        <f ca="1"/>
        <v>4</v>
      </c>
      <c r="X405" s="139">
        <f ca="1"/>
        <v>0.93333333333333335</v>
      </c>
      <c r="Y405" s="141">
        <f ca="1"/>
        <v>1.1246900000000002</v>
      </c>
      <c r="Z405" s="141">
        <f ca="1"/>
        <v>1.1246900000000002</v>
      </c>
      <c r="AA405" s="142">
        <f ca="1"/>
        <v>6.7481400000000011</v>
      </c>
      <c r="AB405" s="138">
        <f ca="1"/>
        <v>9</v>
      </c>
      <c r="AC405" s="103" t="str">
        <f ca="1"/>
        <v>VIGENTE</v>
      </c>
      <c r="AD405" s="150">
        <f ca="1"/>
        <v>6.0000000000000001E-3</v>
      </c>
    </row>
    <row r="406" spans="1:30">
      <c r="A406" s="111" t="str">
        <f ca="1"/>
        <v>SAN GABRIEL</v>
      </c>
      <c r="B406" s="111" t="str">
        <f ca="1"/>
        <v>QUESOS Y GRASAS</v>
      </c>
      <c r="C406" s="111" t="str">
        <f ca="1"/>
        <v xml:space="preserve">Esteban Montenegro                      </v>
      </c>
      <c r="D406" s="111" t="str">
        <f ca="1"/>
        <v>QUESO SEMIMADURO KIOSKO</v>
      </c>
      <c r="E406" s="111" t="str">
        <f ca="1"/>
        <v>QUESO AMERICANO KIOSKO TAJADO</v>
      </c>
      <c r="F406" s="120" t="str">
        <f ca="1"/>
        <v>GUAYAQUIL</v>
      </c>
      <c r="G406" s="120">
        <f ca="1"/>
        <v>7711</v>
      </c>
      <c r="H406" s="120">
        <f ca="1"/>
        <v>1001</v>
      </c>
      <c r="I406" s="120" t="str">
        <f ca="1"/>
        <v>16232</v>
      </c>
      <c r="J406" s="120" t="str">
        <f ca="1"/>
        <v>Q AMERIC KIOSKO LONJ 150G</v>
      </c>
      <c r="K406" s="121">
        <f ca="1"/>
        <v>50</v>
      </c>
      <c r="L406" s="122">
        <f ca="1"/>
        <v>1</v>
      </c>
      <c r="M406" s="120">
        <f ca="1"/>
        <v>0.15</v>
      </c>
      <c r="N406" s="121">
        <f ca="1"/>
        <v>60</v>
      </c>
      <c r="O406" s="123">
        <f ca="1"/>
        <v>45616</v>
      </c>
      <c r="P406" s="123" t="str">
        <f ca="1"/>
        <v>miércoles</v>
      </c>
      <c r="Q406" s="124">
        <f ca="1"/>
        <v>45611</v>
      </c>
      <c r="R406" s="124">
        <f ca="1"/>
        <v>45670</v>
      </c>
      <c r="S406" s="90">
        <f ca="1"/>
        <v>46</v>
      </c>
      <c r="T406" s="139">
        <f ca="1"/>
        <v>0.76666666666666672</v>
      </c>
      <c r="U406" s="131">
        <f ca="1"/>
        <v>50</v>
      </c>
      <c r="V406" s="120">
        <f ca="1"/>
        <v>7.5</v>
      </c>
      <c r="W406" s="140">
        <f ca="1"/>
        <v>5</v>
      </c>
      <c r="X406" s="139">
        <f ca="1"/>
        <v>0.91666666666666663</v>
      </c>
      <c r="Y406" s="141">
        <f ca="1"/>
        <v>1.1246900000000002</v>
      </c>
      <c r="Z406" s="141">
        <f ca="1"/>
        <v>1.1246900000000002</v>
      </c>
      <c r="AA406" s="142">
        <f ca="1"/>
        <v>8.435175000000001</v>
      </c>
      <c r="AB406" s="138">
        <f ca="1"/>
        <v>8</v>
      </c>
      <c r="AC406" s="103" t="str">
        <f ca="1"/>
        <v>VIGENTE</v>
      </c>
      <c r="AD406" s="150">
        <f ca="1"/>
        <v>7.4999999999999997E-3</v>
      </c>
    </row>
    <row r="407" spans="1:30">
      <c r="A407" s="111" t="str">
        <f ca="1"/>
        <v>SAN GABRIEL</v>
      </c>
      <c r="B407" s="111" t="str">
        <f ca="1"/>
        <v>QUESOS Y GRASAS</v>
      </c>
      <c r="C407" s="111" t="str">
        <f ca="1"/>
        <v xml:space="preserve">Esteban Montenegro                      </v>
      </c>
      <c r="D407" s="111" t="str">
        <f ca="1"/>
        <v>QUESO SEMIMADURO KIOSKO</v>
      </c>
      <c r="E407" s="111" t="str">
        <f ca="1"/>
        <v>QUESO AMERICANO KIOSKO TAJADO</v>
      </c>
      <c r="F407" s="120" t="str">
        <f ca="1"/>
        <v>GUAYAQUIL</v>
      </c>
      <c r="G407" s="120">
        <f ca="1"/>
        <v>7711</v>
      </c>
      <c r="H407" s="120">
        <f ca="1"/>
        <v>1001</v>
      </c>
      <c r="I407" s="120" t="str">
        <f ca="1"/>
        <v>16232</v>
      </c>
      <c r="J407" s="120" t="str">
        <f ca="1"/>
        <v>Q AMERIC KIOSKO LONJ 150G</v>
      </c>
      <c r="K407" s="121">
        <f ca="1"/>
        <v>40</v>
      </c>
      <c r="L407" s="122">
        <f ca="1"/>
        <v>1</v>
      </c>
      <c r="M407" s="120">
        <f ca="1"/>
        <v>0.15</v>
      </c>
      <c r="N407" s="121">
        <f ca="1"/>
        <v>60</v>
      </c>
      <c r="O407" s="123">
        <f ca="1"/>
        <v>45617</v>
      </c>
      <c r="P407" s="123" t="str">
        <f ca="1"/>
        <v>jueves</v>
      </c>
      <c r="Q407" s="124">
        <f ca="1"/>
        <v>45611</v>
      </c>
      <c r="R407" s="124">
        <f ca="1"/>
        <v>45670</v>
      </c>
      <c r="S407" s="90">
        <f ca="1"/>
        <v>46</v>
      </c>
      <c r="T407" s="139">
        <f ca="1"/>
        <v>0.76666666666666672</v>
      </c>
      <c r="U407" s="131">
        <f ca="1"/>
        <v>40</v>
      </c>
      <c r="V407" s="120">
        <f ca="1"/>
        <v>6</v>
      </c>
      <c r="W407" s="140">
        <f ca="1"/>
        <v>6</v>
      </c>
      <c r="X407" s="139">
        <f ca="1"/>
        <v>0.9</v>
      </c>
      <c r="Y407" s="141">
        <f ca="1"/>
        <v>1.1246900000000002</v>
      </c>
      <c r="Z407" s="141">
        <f ca="1"/>
        <v>1.1246900000000002</v>
      </c>
      <c r="AA407" s="142">
        <f ca="1"/>
        <v>6.7481400000000011</v>
      </c>
      <c r="AB407" s="138">
        <f ca="1"/>
        <v>7</v>
      </c>
      <c r="AC407" s="103" t="str">
        <f ca="1"/>
        <v>VIGENTE</v>
      </c>
      <c r="AD407" s="150">
        <f ca="1"/>
        <v>6.0000000000000001E-3</v>
      </c>
    </row>
    <row r="408" spans="1:30">
      <c r="A408" s="111" t="str">
        <f ca="1"/>
        <v>MACHACHI</v>
      </c>
      <c r="B408" s="111" t="str">
        <f ca="1"/>
        <v>BEBIDAS LACTEAS</v>
      </c>
      <c r="C408" s="111" t="str">
        <f ca="1"/>
        <v xml:space="preserve">Luis Armendariz                         </v>
      </c>
      <c r="D408" s="111" t="str">
        <f ca="1"/>
        <v>BON YURT</v>
      </c>
      <c r="E408" s="111" t="str">
        <f ca="1"/>
        <v>BON YURT REGULAR</v>
      </c>
      <c r="F408" s="120" t="str">
        <f ca="1"/>
        <v>GUAYAQUIL</v>
      </c>
      <c r="G408" s="120">
        <f ca="1"/>
        <v>7711</v>
      </c>
      <c r="H408" s="120">
        <f ca="1"/>
        <v>1001</v>
      </c>
      <c r="I408" s="120" t="str">
        <f ca="1"/>
        <v>17113</v>
      </c>
      <c r="J408" s="120" t="str">
        <f ca="1"/>
        <v>BON YURT CHOCAPIC 158G</v>
      </c>
      <c r="K408" s="121">
        <f ca="1"/>
        <v>60</v>
      </c>
      <c r="L408" s="122">
        <f ca="1"/>
        <v>1</v>
      </c>
      <c r="M408" s="120">
        <f ca="1"/>
        <v>0.158</v>
      </c>
      <c r="N408" s="121">
        <f ca="1"/>
        <v>45</v>
      </c>
      <c r="O408" s="123">
        <f ca="1"/>
        <v>45605</v>
      </c>
      <c r="P408" s="123" t="str">
        <f ca="1"/>
        <v>sábado</v>
      </c>
      <c r="Q408" s="124">
        <f ca="1"/>
        <v>45594</v>
      </c>
      <c r="R408" s="124">
        <f ca="1"/>
        <v>45638</v>
      </c>
      <c r="S408" s="90">
        <f ca="1"/>
        <v>14</v>
      </c>
      <c r="T408" s="139">
        <f ca="1"/>
        <v>0.31111111111111112</v>
      </c>
      <c r="U408" s="131">
        <f ca="1"/>
        <v>16</v>
      </c>
      <c r="V408" s="120">
        <f ca="1"/>
        <v>2.528</v>
      </c>
      <c r="W408" s="140">
        <f ca="1"/>
        <v>11</v>
      </c>
      <c r="X408" s="139">
        <f ca="1"/>
        <v>0.75555555555555554</v>
      </c>
      <c r="Y408" s="141">
        <f ca="1"/>
        <v>0.32181499999999996</v>
      </c>
      <c r="Z408" s="141">
        <f ca="1"/>
        <v>0.32181499999999996</v>
      </c>
      <c r="AA408" s="142">
        <f ca="1"/>
        <v>0.81354831999999988</v>
      </c>
      <c r="AB408" s="138">
        <f ca="1"/>
        <v>19</v>
      </c>
      <c r="AC408" s="103" t="str">
        <f ca="1"/>
        <v>FECHA CORTA</v>
      </c>
      <c r="AD408" s="150">
        <f ca="1"/>
        <v>2.5279999999999999E-3</v>
      </c>
    </row>
    <row r="409" spans="1:30">
      <c r="A409" s="111" t="str">
        <f ca="1"/>
        <v>MACHACHI</v>
      </c>
      <c r="B409" s="111" t="str">
        <f ca="1"/>
        <v>BEBIDAS LACTEAS</v>
      </c>
      <c r="C409" s="111" t="str">
        <f ca="1"/>
        <v xml:space="preserve">Luis Armendariz                         </v>
      </c>
      <c r="D409" s="111" t="str">
        <f ca="1"/>
        <v>BON YURT</v>
      </c>
      <c r="E409" s="111" t="str">
        <f ca="1"/>
        <v>BON YURT REGULAR</v>
      </c>
      <c r="F409" s="120" t="str">
        <f ca="1"/>
        <v>GUAYAQUIL</v>
      </c>
      <c r="G409" s="120">
        <f ca="1"/>
        <v>7711</v>
      </c>
      <c r="H409" s="120">
        <f ca="1"/>
        <v>1001</v>
      </c>
      <c r="I409" s="120" t="str">
        <f ca="1"/>
        <v>17113</v>
      </c>
      <c r="J409" s="120" t="str">
        <f ca="1"/>
        <v>BON YURT CHOCAPIC 158G</v>
      </c>
      <c r="K409" s="121">
        <f ca="1"/>
        <v>480</v>
      </c>
      <c r="L409" s="122">
        <f ca="1"/>
        <v>1</v>
      </c>
      <c r="M409" s="120">
        <f ca="1"/>
        <v>0.158</v>
      </c>
      <c r="N409" s="121">
        <f ca="1"/>
        <v>45</v>
      </c>
      <c r="O409" s="123">
        <f ca="1"/>
        <v>45612</v>
      </c>
      <c r="P409" s="123" t="str">
        <f ca="1"/>
        <v>sábado</v>
      </c>
      <c r="Q409" s="124">
        <f ca="1"/>
        <v>45605</v>
      </c>
      <c r="R409" s="124">
        <f ca="1"/>
        <v>45649</v>
      </c>
      <c r="S409" s="90">
        <f ca="1"/>
        <v>25</v>
      </c>
      <c r="T409" s="139">
        <f ca="1"/>
        <v>0.55555555555555558</v>
      </c>
      <c r="U409" s="131">
        <f ca="1"/>
        <v>480</v>
      </c>
      <c r="V409" s="120">
        <f ca="1"/>
        <v>75.84</v>
      </c>
      <c r="W409" s="140">
        <f ca="1"/>
        <v>7</v>
      </c>
      <c r="X409" s="139">
        <f ca="1"/>
        <v>0.84444444444444444</v>
      </c>
      <c r="Y409" s="141">
        <f ca="1"/>
        <v>0.32181499999999996</v>
      </c>
      <c r="Z409" s="141">
        <f ca="1"/>
        <v>0.32181499999999996</v>
      </c>
      <c r="AA409" s="142">
        <f ca="1"/>
        <v>24.406449599999998</v>
      </c>
      <c r="AB409" s="138">
        <f ca="1"/>
        <v>12</v>
      </c>
      <c r="AC409" s="103" t="str">
        <f ca="1"/>
        <v>PROXIMOS FECHA CORTA</v>
      </c>
      <c r="AD409" s="150">
        <f ca="1"/>
        <v>7.5840000000000005E-2</v>
      </c>
    </row>
    <row r="410" spans="1:30">
      <c r="A410" s="111" t="str">
        <f ca="1"/>
        <v>MACHACHI</v>
      </c>
      <c r="B410" s="111" t="str">
        <f ca="1"/>
        <v>BEBIDAS LACTEAS</v>
      </c>
      <c r="C410" s="111" t="str">
        <f ca="1"/>
        <v xml:space="preserve">Luis Armendariz                         </v>
      </c>
      <c r="D410" s="111" t="str">
        <f ca="1"/>
        <v>BON YURT</v>
      </c>
      <c r="E410" s="111" t="str">
        <f ca="1"/>
        <v>BON YURT REGULAR</v>
      </c>
      <c r="F410" s="120" t="str">
        <f ca="1"/>
        <v>GUAYAQUIL</v>
      </c>
      <c r="G410" s="120">
        <f ca="1"/>
        <v>7711</v>
      </c>
      <c r="H410" s="120">
        <f ca="1"/>
        <v>1001</v>
      </c>
      <c r="I410" s="120" t="str">
        <f ca="1"/>
        <v>17113</v>
      </c>
      <c r="J410" s="120" t="str">
        <f ca="1"/>
        <v>BON YURT CHOCAPIC 158G</v>
      </c>
      <c r="K410" s="121">
        <f ca="1"/>
        <v>420</v>
      </c>
      <c r="L410" s="122">
        <f ca="1"/>
        <v>1</v>
      </c>
      <c r="M410" s="120">
        <f ca="1"/>
        <v>0.158</v>
      </c>
      <c r="N410" s="121">
        <f ca="1"/>
        <v>45</v>
      </c>
      <c r="O410" s="123">
        <f ca="1"/>
        <v>45611</v>
      </c>
      <c r="P410" s="123" t="str">
        <f ca="1"/>
        <v>viernes</v>
      </c>
      <c r="Q410" s="124">
        <f ca="1"/>
        <v>45605</v>
      </c>
      <c r="R410" s="124">
        <f ca="1"/>
        <v>45649</v>
      </c>
      <c r="S410" s="90">
        <f ca="1"/>
        <v>25</v>
      </c>
      <c r="T410" s="139">
        <f ca="1"/>
        <v>0.55555555555555558</v>
      </c>
      <c r="U410" s="131">
        <f ca="1"/>
        <v>132</v>
      </c>
      <c r="V410" s="120">
        <f ca="1"/>
        <v>20.856000000000002</v>
      </c>
      <c r="W410" s="140">
        <f ca="1"/>
        <v>6</v>
      </c>
      <c r="X410" s="139">
        <f ca="1"/>
        <v>0.8666666666666667</v>
      </c>
      <c r="Y410" s="141">
        <f ca="1"/>
        <v>0.32181499999999996</v>
      </c>
      <c r="Z410" s="141">
        <f ca="1"/>
        <v>0.32181499999999996</v>
      </c>
      <c r="AA410" s="142">
        <f ca="1"/>
        <v>6.7117736399999997</v>
      </c>
      <c r="AB410" s="138">
        <f ca="1"/>
        <v>13</v>
      </c>
      <c r="AC410" s="103" t="str">
        <f ca="1"/>
        <v>PROXIMOS FECHA CORTA</v>
      </c>
      <c r="AD410" s="150">
        <f ca="1"/>
        <v>2.0856000000000003E-2</v>
      </c>
    </row>
    <row r="411" spans="1:30">
      <c r="A411" s="111" t="str">
        <f ca="1"/>
        <v>MACHACHI</v>
      </c>
      <c r="B411" s="111" t="str">
        <f ca="1"/>
        <v>BEBIDAS LACTEAS</v>
      </c>
      <c r="C411" s="111" t="str">
        <f ca="1"/>
        <v xml:space="preserve">Luis Armendariz                         </v>
      </c>
      <c r="D411" s="111" t="str">
        <f ca="1"/>
        <v>BON YURT</v>
      </c>
      <c r="E411" s="111" t="str">
        <f ca="1"/>
        <v>BON YURT REGULAR</v>
      </c>
      <c r="F411" s="120" t="str">
        <f ca="1"/>
        <v>GUAYAQUIL</v>
      </c>
      <c r="G411" s="120">
        <f ca="1"/>
        <v>7711</v>
      </c>
      <c r="H411" s="120">
        <f ca="1"/>
        <v>1001</v>
      </c>
      <c r="I411" s="120" t="str">
        <f ca="1"/>
        <v>17113</v>
      </c>
      <c r="J411" s="120" t="str">
        <f ca="1"/>
        <v>BON YURT CHOCAPIC 158G</v>
      </c>
      <c r="K411" s="121">
        <f ca="1"/>
        <v>420</v>
      </c>
      <c r="L411" s="122">
        <f ca="1"/>
        <v>1</v>
      </c>
      <c r="M411" s="120">
        <f ca="1"/>
        <v>0.158</v>
      </c>
      <c r="N411" s="121">
        <f ca="1"/>
        <v>45</v>
      </c>
      <c r="O411" s="123">
        <f ca="1"/>
        <v>45610</v>
      </c>
      <c r="P411" s="123" t="str">
        <f ca="1"/>
        <v>jueves</v>
      </c>
      <c r="Q411" s="124">
        <f ca="1"/>
        <v>45601</v>
      </c>
      <c r="R411" s="124">
        <f ca="1"/>
        <v>45645</v>
      </c>
      <c r="S411" s="90">
        <f ca="1"/>
        <v>21</v>
      </c>
      <c r="T411" s="139">
        <f ca="1"/>
        <v>0.46666666666666667</v>
      </c>
      <c r="U411" s="131">
        <f ca="1"/>
        <v>389</v>
      </c>
      <c r="V411" s="120">
        <f ca="1"/>
        <v>61.462000000000003</v>
      </c>
      <c r="W411" s="140">
        <f ca="1"/>
        <v>9</v>
      </c>
      <c r="X411" s="139">
        <f ca="1"/>
        <v>0.8</v>
      </c>
      <c r="Y411" s="141">
        <f ca="1"/>
        <v>0.32181499999999996</v>
      </c>
      <c r="Z411" s="141">
        <f ca="1"/>
        <v>0.32181499999999996</v>
      </c>
      <c r="AA411" s="142">
        <f ca="1"/>
        <v>19.77939353</v>
      </c>
      <c r="AB411" s="138">
        <f ca="1"/>
        <v>14</v>
      </c>
      <c r="AC411" s="103" t="str">
        <f ca="1"/>
        <v>FECHA CORTA</v>
      </c>
      <c r="AD411" s="150">
        <f ca="1"/>
        <v>6.1462000000000003E-2</v>
      </c>
    </row>
    <row r="412" spans="1:30">
      <c r="A412" s="111" t="str">
        <f ca="1"/>
        <v>MACHACHI</v>
      </c>
      <c r="B412" s="111" t="str">
        <f ca="1"/>
        <v>BEBIDAS LACTEAS</v>
      </c>
      <c r="C412" s="111" t="str">
        <f ca="1"/>
        <v xml:space="preserve">Luis Armendariz                         </v>
      </c>
      <c r="D412" s="111" t="str">
        <f ca="1"/>
        <v>BON YURT</v>
      </c>
      <c r="E412" s="111" t="str">
        <f ca="1"/>
        <v>BON YURT REGULAR</v>
      </c>
      <c r="F412" s="120" t="str">
        <f ca="1"/>
        <v>GUAYAQUIL</v>
      </c>
      <c r="G412" s="120">
        <f ca="1"/>
        <v>7711</v>
      </c>
      <c r="H412" s="120">
        <f ca="1"/>
        <v>1001</v>
      </c>
      <c r="I412" s="120" t="str">
        <f ca="1"/>
        <v>17113</v>
      </c>
      <c r="J412" s="120" t="str">
        <f ca="1"/>
        <v>BON YURT CHOCAPIC 158G</v>
      </c>
      <c r="K412" s="121">
        <f ca="1"/>
        <v>420</v>
      </c>
      <c r="L412" s="122">
        <f ca="1"/>
        <v>1</v>
      </c>
      <c r="M412" s="120">
        <f ca="1"/>
        <v>0.158</v>
      </c>
      <c r="N412" s="121">
        <f ca="1"/>
        <v>45</v>
      </c>
      <c r="O412" s="123">
        <f ca="1"/>
        <v>45615</v>
      </c>
      <c r="P412" s="123" t="str">
        <f ca="1"/>
        <v>martes</v>
      </c>
      <c r="Q412" s="124">
        <f ca="1"/>
        <v>45608</v>
      </c>
      <c r="R412" s="124">
        <f ca="1"/>
        <v>45652</v>
      </c>
      <c r="S412" s="90">
        <f ca="1"/>
        <v>28</v>
      </c>
      <c r="T412" s="139">
        <f ca="1"/>
        <v>0.62222222222222223</v>
      </c>
      <c r="U412" s="131">
        <f ca="1"/>
        <v>420</v>
      </c>
      <c r="V412" s="120">
        <f ca="1"/>
        <v>66.36</v>
      </c>
      <c r="W412" s="140">
        <f ca="1"/>
        <v>7</v>
      </c>
      <c r="X412" s="139">
        <f ca="1"/>
        <v>0.84444444444444444</v>
      </c>
      <c r="Y412" s="141">
        <f ca="1"/>
        <v>0.32181499999999996</v>
      </c>
      <c r="Z412" s="141">
        <f ca="1"/>
        <v>0.32181499999999996</v>
      </c>
      <c r="AA412" s="142">
        <f ca="1"/>
        <v>21.355643399999998</v>
      </c>
      <c r="AB412" s="138">
        <f ca="1"/>
        <v>9</v>
      </c>
      <c r="AC412" s="103" t="str">
        <f ca="1"/>
        <v>VIGENTE</v>
      </c>
      <c r="AD412" s="150">
        <f ca="1"/>
        <v>6.6360000000000002E-2</v>
      </c>
    </row>
    <row r="413" spans="1:30">
      <c r="A413" s="111" t="str">
        <f ca="1"/>
        <v>MACHACHI</v>
      </c>
      <c r="B413" s="111" t="str">
        <f ca="1"/>
        <v>BEBIDAS LACTEAS</v>
      </c>
      <c r="C413" s="111" t="str">
        <f ca="1"/>
        <v xml:space="preserve">Luis Armendariz                         </v>
      </c>
      <c r="D413" s="111" t="str">
        <f ca="1"/>
        <v>BON YURT</v>
      </c>
      <c r="E413" s="111" t="str">
        <f ca="1"/>
        <v>BON YURT REGULAR</v>
      </c>
      <c r="F413" s="120" t="str">
        <f ca="1"/>
        <v>GUAYAQUIL</v>
      </c>
      <c r="G413" s="120">
        <f ca="1"/>
        <v>7711</v>
      </c>
      <c r="H413" s="120">
        <f ca="1"/>
        <v>1001</v>
      </c>
      <c r="I413" s="120" t="str">
        <f ca="1"/>
        <v>17113</v>
      </c>
      <c r="J413" s="120" t="str">
        <f ca="1"/>
        <v>BON YURT CHOCAPIC 158G</v>
      </c>
      <c r="K413" s="121">
        <f ca="1"/>
        <v>600</v>
      </c>
      <c r="L413" s="122">
        <f ca="1"/>
        <v>1</v>
      </c>
      <c r="M413" s="120">
        <f ca="1"/>
        <v>0.158</v>
      </c>
      <c r="N413" s="121">
        <f ca="1"/>
        <v>45</v>
      </c>
      <c r="O413" s="123">
        <f ca="1"/>
        <v>45617</v>
      </c>
      <c r="P413" s="123" t="str">
        <f ca="1"/>
        <v>jueves</v>
      </c>
      <c r="Q413" s="124">
        <f ca="1"/>
        <v>45612</v>
      </c>
      <c r="R413" s="124">
        <f ca="1"/>
        <v>45656</v>
      </c>
      <c r="S413" s="90">
        <f ca="1"/>
        <v>32</v>
      </c>
      <c r="T413" s="139">
        <f ca="1"/>
        <v>0.71111111111111114</v>
      </c>
      <c r="U413" s="131">
        <f ca="1"/>
        <v>300</v>
      </c>
      <c r="V413" s="120">
        <f ca="1"/>
        <v>47.4</v>
      </c>
      <c r="W413" s="140">
        <f ca="1"/>
        <v>5</v>
      </c>
      <c r="X413" s="139">
        <f ca="1"/>
        <v>0.88888888888888884</v>
      </c>
      <c r="Y413" s="141">
        <f ca="1"/>
        <v>0.32181499999999996</v>
      </c>
      <c r="Z413" s="141">
        <f ca="1"/>
        <v>0.32181499999999996</v>
      </c>
      <c r="AA413" s="142">
        <f ca="1"/>
        <v>15.254030999999998</v>
      </c>
      <c r="AB413" s="138">
        <f ca="1"/>
        <v>7</v>
      </c>
      <c r="AC413" s="103" t="str">
        <f ca="1"/>
        <v>VIGENTE</v>
      </c>
      <c r="AD413" s="150">
        <f ca="1"/>
        <v>4.7399999999999998E-2</v>
      </c>
    </row>
    <row r="414" spans="1:30">
      <c r="A414" s="111" t="str">
        <f ca="1"/>
        <v>MULTIEMPAQUE_SG</v>
      </c>
      <c r="B414" s="111" t="str">
        <f ca="1"/>
        <v>POSTRES</v>
      </c>
      <c r="C414" s="111" t="str">
        <f ca="1"/>
        <v xml:space="preserve">Luis Armendariz                         </v>
      </c>
      <c r="D414" s="111" t="str">
        <f ca="1"/>
        <v>AREQUIPE ALPINA</v>
      </c>
      <c r="E414" s="111" t="str">
        <f ca="1"/>
        <v>AREQUIPE ALPINA</v>
      </c>
      <c r="F414" s="120" t="str">
        <f ca="1"/>
        <v>GUAYAQUIL</v>
      </c>
      <c r="G414" s="120">
        <f ca="1"/>
        <v>7711</v>
      </c>
      <c r="H414" s="120">
        <f ca="1"/>
        <v>1001</v>
      </c>
      <c r="I414" s="120" t="str">
        <f ca="1"/>
        <v>15565</v>
      </c>
      <c r="J414" s="120" t="str">
        <f ca="1"/>
        <v>FOURPACK AREQUIPE Y PRETZELS 75 GR</v>
      </c>
      <c r="K414" s="121">
        <f ca="1"/>
        <v>60</v>
      </c>
      <c r="L414" s="122">
        <f ca="1"/>
        <v>1</v>
      </c>
      <c r="M414" s="120">
        <f ca="1"/>
        <v>0.3</v>
      </c>
      <c r="N414" s="121">
        <f ca="1"/>
        <v>180</v>
      </c>
      <c r="O414" s="123">
        <f ca="1"/>
        <v>45605</v>
      </c>
      <c r="P414" s="123" t="str">
        <f ca="1"/>
        <v>sábado</v>
      </c>
      <c r="Q414" s="124">
        <f ca="1"/>
        <v>45567</v>
      </c>
      <c r="R414" s="124">
        <f ca="1"/>
        <v>45746</v>
      </c>
      <c r="S414" s="90">
        <f ca="1"/>
        <v>122</v>
      </c>
      <c r="T414" s="139">
        <f ca="1"/>
        <v>0.67777777777777781</v>
      </c>
      <c r="U414" s="131">
        <f ca="1"/>
        <v>58</v>
      </c>
      <c r="V414" s="120">
        <f ca="1"/>
        <v>17.399999999999999</v>
      </c>
      <c r="W414" s="140">
        <f ca="1"/>
        <v>38</v>
      </c>
      <c r="X414" s="139">
        <f ca="1"/>
        <v>0.78888888888888886</v>
      </c>
      <c r="Y414" s="141">
        <f ca="1"/>
        <v>2.5274799999999997</v>
      </c>
      <c r="Z414" s="141">
        <f ca="1"/>
        <v>2.5274799999999997</v>
      </c>
      <c r="AA414" s="142">
        <f ca="1"/>
        <v>43.978151999999994</v>
      </c>
      <c r="AB414" s="138">
        <f ca="1"/>
        <v>19</v>
      </c>
      <c r="AC414" s="103" t="str">
        <f ca="1"/>
        <v>VIGENTE</v>
      </c>
      <c r="AD414" s="150">
        <f ca="1"/>
        <v>1.7399999999999999E-2</v>
      </c>
    </row>
    <row r="415" spans="1:30">
      <c r="A415" s="111" t="str">
        <f ca="1"/>
        <v>MULTIEMPAQUE_SG</v>
      </c>
      <c r="B415" s="111" t="str">
        <f ca="1"/>
        <v>POSTRES</v>
      </c>
      <c r="C415" s="111" t="str">
        <f ca="1"/>
        <v xml:space="preserve">Luis Armendariz                         </v>
      </c>
      <c r="D415" s="111" t="str">
        <f ca="1"/>
        <v>AREQUIPE ALPINA</v>
      </c>
      <c r="E415" s="111" t="str">
        <f ca="1"/>
        <v>AREQUIPE ALPINA</v>
      </c>
      <c r="F415" s="120" t="str">
        <f ca="1"/>
        <v>GUAYAQUIL</v>
      </c>
      <c r="G415" s="120">
        <f ca="1"/>
        <v>7711</v>
      </c>
      <c r="H415" s="120">
        <f ca="1"/>
        <v>1001</v>
      </c>
      <c r="I415" s="120" t="str">
        <f ca="1"/>
        <v>15565</v>
      </c>
      <c r="J415" s="120" t="str">
        <f ca="1"/>
        <v>FOURPACK AREQUIPE Y PRETZELS 75 GR</v>
      </c>
      <c r="K415" s="121">
        <f ca="1"/>
        <v>30</v>
      </c>
      <c r="L415" s="122">
        <f ca="1"/>
        <v>1</v>
      </c>
      <c r="M415" s="120">
        <f ca="1"/>
        <v>0.3</v>
      </c>
      <c r="N415" s="121">
        <f ca="1"/>
        <v>180</v>
      </c>
      <c r="O415" s="123">
        <f ca="1"/>
        <v>45609</v>
      </c>
      <c r="P415" s="123" t="str">
        <f ca="1"/>
        <v>miércoles</v>
      </c>
      <c r="Q415" s="124">
        <f ca="1"/>
        <v>45567</v>
      </c>
      <c r="R415" s="124">
        <f ca="1"/>
        <v>45746</v>
      </c>
      <c r="S415" s="90">
        <f ca="1"/>
        <v>122</v>
      </c>
      <c r="T415" s="139">
        <f ca="1"/>
        <v>0.67777777777777781</v>
      </c>
      <c r="U415" s="131">
        <f ca="1"/>
        <v>30</v>
      </c>
      <c r="V415" s="120">
        <f ca="1"/>
        <v>9</v>
      </c>
      <c r="W415" s="140">
        <f ca="1"/>
        <v>42</v>
      </c>
      <c r="X415" s="139">
        <f ca="1"/>
        <v>0.76666666666666661</v>
      </c>
      <c r="Y415" s="141">
        <f ca="1"/>
        <v>2.5274799999999997</v>
      </c>
      <c r="Z415" s="141">
        <f ca="1"/>
        <v>2.5274799999999997</v>
      </c>
      <c r="AA415" s="142">
        <f ca="1"/>
        <v>22.747319999999998</v>
      </c>
      <c r="AB415" s="138">
        <f ca="1"/>
        <v>15</v>
      </c>
      <c r="AC415" s="103" t="str">
        <f ca="1"/>
        <v>VIGENTE</v>
      </c>
      <c r="AD415" s="150">
        <f ca="1"/>
        <v>8.9999999999999993E-3</v>
      </c>
    </row>
    <row r="416" spans="1:30">
      <c r="A416" s="111" t="str">
        <f ca="1"/>
        <v>SAN GABRIEL</v>
      </c>
      <c r="B416" s="111" t="str">
        <f ca="1"/>
        <v>QUESOS Y GRASAS</v>
      </c>
      <c r="C416" s="111" t="str">
        <f ca="1"/>
        <v xml:space="preserve">Esteban Montenegro                      </v>
      </c>
      <c r="D416" s="111" t="str">
        <f ca="1"/>
        <v>QUESO SEMIMADURO KIOSKO</v>
      </c>
      <c r="E416" s="111" t="str">
        <f ca="1"/>
        <v>QUESO JAVIERINO KIOSKO TAJADO</v>
      </c>
      <c r="F416" s="120" t="str">
        <f ca="1"/>
        <v>GUAYAQUIL</v>
      </c>
      <c r="G416" s="120">
        <f ca="1"/>
        <v>7711</v>
      </c>
      <c r="H416" s="120">
        <f ca="1"/>
        <v>1001</v>
      </c>
      <c r="I416" s="120" t="str">
        <f ca="1"/>
        <v>14713</v>
      </c>
      <c r="J416" s="120" t="str">
        <f ca="1"/>
        <v>Q JAVIERINO KIOSKO RALLADO 1.5K</v>
      </c>
      <c r="K416" s="121">
        <f ca="1"/>
        <v>0</v>
      </c>
      <c r="L416" s="122">
        <f ca="1"/>
        <v>1</v>
      </c>
      <c r="M416" s="120">
        <f ca="1"/>
        <v>1.5</v>
      </c>
      <c r="N416" s="121">
        <f ca="1"/>
        <v>60</v>
      </c>
      <c r="O416" s="123">
        <f ca="1"/>
        <v>45597</v>
      </c>
      <c r="P416" s="123" t="str">
        <f ca="1"/>
        <v>viernes</v>
      </c>
      <c r="Q416" s="124">
        <f ca="1"/>
        <v>45627</v>
      </c>
      <c r="R416" s="124">
        <f ca="1"/>
        <v>45686</v>
      </c>
      <c r="S416" s="90">
        <f ca="1"/>
        <v>62</v>
      </c>
      <c r="T416" s="139">
        <f ca="1"/>
        <v>1.0333333333333334</v>
      </c>
      <c r="U416" s="131">
        <f ca="1"/>
        <v>3</v>
      </c>
      <c r="V416" s="120">
        <f ca="1"/>
        <v>4.5</v>
      </c>
      <c r="W416" s="140">
        <f ca="1"/>
        <v>-30</v>
      </c>
      <c r="X416" s="139">
        <f ca="1"/>
        <v>1.5</v>
      </c>
      <c r="Y416" s="141">
        <f ca="1"/>
        <v>10.255265</v>
      </c>
      <c r="Z416" s="141">
        <f ca="1"/>
        <v>10.255265</v>
      </c>
      <c r="AA416" s="142">
        <f ca="1"/>
        <v>46.148692499999996</v>
      </c>
      <c r="AB416" s="138">
        <f ca="1"/>
        <v>27</v>
      </c>
      <c r="AC416" s="103" t="str">
        <f ca="1"/>
        <v>VIGENTE</v>
      </c>
      <c r="AD416" s="150">
        <f ca="1"/>
        <v>4.4999999999999997E-3</v>
      </c>
    </row>
    <row r="417" spans="1:30">
      <c r="A417" s="111" t="str">
        <f ca="1"/>
        <v>SAN GABRIEL</v>
      </c>
      <c r="B417" s="111" t="str">
        <f ca="1"/>
        <v>QUESOS Y GRASAS</v>
      </c>
      <c r="C417" s="111" t="str">
        <f ca="1"/>
        <v xml:space="preserve">Esteban Montenegro                      </v>
      </c>
      <c r="D417" s="111" t="str">
        <f ca="1"/>
        <v>QUESO SEMIMADURO KIOSKO</v>
      </c>
      <c r="E417" s="111" t="str">
        <f ca="1"/>
        <v>QUESO JAVIERINO KIOSKO TAJADO</v>
      </c>
      <c r="F417" s="120" t="str">
        <f ca="1"/>
        <v>GUAYAQUIL</v>
      </c>
      <c r="G417" s="120">
        <f ca="1"/>
        <v>7711</v>
      </c>
      <c r="H417" s="120">
        <f ca="1"/>
        <v>1001</v>
      </c>
      <c r="I417" s="120" t="str">
        <f ca="1"/>
        <v>14713</v>
      </c>
      <c r="J417" s="120" t="str">
        <f ca="1"/>
        <v>Q JAVIERINO KIOSKO RALLADO 1.5K</v>
      </c>
      <c r="K417" s="121">
        <f ca="1"/>
        <v>100</v>
      </c>
      <c r="L417" s="122">
        <f ca="1"/>
        <v>1</v>
      </c>
      <c r="M417" s="120">
        <f ca="1"/>
        <v>1.5</v>
      </c>
      <c r="N417" s="121">
        <f ca="1"/>
        <v>60</v>
      </c>
      <c r="O417" s="123">
        <f ca="1"/>
        <v>45611</v>
      </c>
      <c r="P417" s="123" t="str">
        <f ca="1"/>
        <v>viernes</v>
      </c>
      <c r="Q417" s="124">
        <f ca="1"/>
        <v>45610</v>
      </c>
      <c r="R417" s="124">
        <f ca="1"/>
        <v>45669</v>
      </c>
      <c r="S417" s="90">
        <f ca="1"/>
        <v>45</v>
      </c>
      <c r="T417" s="139">
        <f ca="1"/>
        <v>0.75</v>
      </c>
      <c r="U417" s="131">
        <f ca="1"/>
        <v>100</v>
      </c>
      <c r="V417" s="120">
        <f ca="1"/>
        <v>150</v>
      </c>
      <c r="W417" s="140">
        <f ca="1"/>
        <v>1</v>
      </c>
      <c r="X417" s="139">
        <f ca="1"/>
        <v>0.98333333333333328</v>
      </c>
      <c r="Y417" s="141">
        <f ca="1"/>
        <v>10.255265</v>
      </c>
      <c r="Z417" s="141">
        <f ca="1"/>
        <v>10.255265</v>
      </c>
      <c r="AA417" s="142">
        <f ca="1"/>
        <v>1538.2897499999999</v>
      </c>
      <c r="AB417" s="138">
        <f ca="1"/>
        <v>13</v>
      </c>
      <c r="AC417" s="103" t="str">
        <f ca="1"/>
        <v>VIGENTE</v>
      </c>
      <c r="AD417" s="150">
        <f ca="1"/>
        <v>0.15</v>
      </c>
    </row>
    <row r="418" spans="1:30">
      <c r="A418" s="111" t="str">
        <f ca="1"/>
        <v>SAN GABRIEL</v>
      </c>
      <c r="B418" s="111" t="str">
        <f ca="1"/>
        <v>QUESOS Y GRASAS</v>
      </c>
      <c r="C418" s="111" t="str">
        <f ca="1"/>
        <v xml:space="preserve">Esteban Montenegro                      </v>
      </c>
      <c r="D418" s="111" t="str">
        <f ca="1"/>
        <v>QUESO SEMIMADURO KIOSKO</v>
      </c>
      <c r="E418" s="111" t="str">
        <f ca="1"/>
        <v>QUESO JAVIERINO KIOSKO TAJADO</v>
      </c>
      <c r="F418" s="120" t="str">
        <f ca="1"/>
        <v>GUAYAQUIL</v>
      </c>
      <c r="G418" s="120">
        <f ca="1"/>
        <v>7711</v>
      </c>
      <c r="H418" s="120">
        <f ca="1"/>
        <v>1001</v>
      </c>
      <c r="I418" s="120" t="str">
        <f ca="1"/>
        <v>14713</v>
      </c>
      <c r="J418" s="120" t="str">
        <f ca="1"/>
        <v>Q JAVIERINO KIOSKO RALLADO 1.5K</v>
      </c>
      <c r="K418" s="121">
        <f ca="1"/>
        <v>230</v>
      </c>
      <c r="L418" s="122">
        <f ca="1"/>
        <v>1</v>
      </c>
      <c r="M418" s="120">
        <f ca="1"/>
        <v>1.5</v>
      </c>
      <c r="N418" s="121">
        <f ca="1"/>
        <v>60</v>
      </c>
      <c r="O418" s="123">
        <f ca="1"/>
        <v>45610</v>
      </c>
      <c r="P418" s="123" t="str">
        <f ca="1"/>
        <v>jueves</v>
      </c>
      <c r="Q418" s="124">
        <f ca="1"/>
        <v>45609</v>
      </c>
      <c r="R418" s="124">
        <f ca="1"/>
        <v>45668</v>
      </c>
      <c r="S418" s="90">
        <f ca="1"/>
        <v>44</v>
      </c>
      <c r="T418" s="139">
        <f ca="1"/>
        <v>0.73333333333333328</v>
      </c>
      <c r="U418" s="131">
        <f ca="1"/>
        <v>113</v>
      </c>
      <c r="V418" s="120">
        <f ca="1"/>
        <v>169.5</v>
      </c>
      <c r="W418" s="140">
        <f ca="1"/>
        <v>1</v>
      </c>
      <c r="X418" s="139">
        <f ca="1"/>
        <v>0.98333333333333328</v>
      </c>
      <c r="Y418" s="141">
        <f ca="1"/>
        <v>10.255265</v>
      </c>
      <c r="Z418" s="141">
        <f ca="1"/>
        <v>10.255265</v>
      </c>
      <c r="AA418" s="142">
        <f ca="1"/>
        <v>1738.2674175</v>
      </c>
      <c r="AB418" s="138">
        <f ca="1"/>
        <v>14</v>
      </c>
      <c r="AC418" s="103" t="str">
        <f ca="1"/>
        <v>VIGENTE</v>
      </c>
      <c r="AD418" s="150">
        <f ca="1"/>
        <v>0.16950000000000001</v>
      </c>
    </row>
    <row r="419" spans="1:30">
      <c r="A419" s="111" t="str">
        <f ca="1"/>
        <v>SAN GABRIEL</v>
      </c>
      <c r="B419" s="111" t="str">
        <f ca="1"/>
        <v>QUESOS Y GRASAS</v>
      </c>
      <c r="C419" s="111" t="str">
        <f ca="1"/>
        <v xml:space="preserve">Esteban Montenegro                      </v>
      </c>
      <c r="D419" s="111" t="str">
        <f ca="1"/>
        <v>QUESO SEMIMADURO KIOSKO</v>
      </c>
      <c r="E419" s="111" t="str">
        <f ca="1"/>
        <v>QUESO JAVIERINO KIOSKO TAJADO</v>
      </c>
      <c r="F419" s="120" t="str">
        <f ca="1"/>
        <v>GUAYAQUIL</v>
      </c>
      <c r="G419" s="120">
        <f ca="1"/>
        <v>7711</v>
      </c>
      <c r="H419" s="120">
        <f ca="1"/>
        <v>1001</v>
      </c>
      <c r="I419" s="120" t="str">
        <f ca="1"/>
        <v>14713</v>
      </c>
      <c r="J419" s="120" t="str">
        <f ca="1"/>
        <v>Q JAVIERINO KIOSKO RALLADO 1.5K</v>
      </c>
      <c r="K419" s="121">
        <f ca="1"/>
        <v>10</v>
      </c>
      <c r="L419" s="122">
        <f ca="1"/>
        <v>1</v>
      </c>
      <c r="M419" s="120">
        <f ca="1"/>
        <v>1.5</v>
      </c>
      <c r="N419" s="121">
        <f ca="1"/>
        <v>60</v>
      </c>
      <c r="O419" s="123">
        <f ca="1"/>
        <v>45615</v>
      </c>
      <c r="P419" s="123" t="str">
        <f ca="1"/>
        <v>martes</v>
      </c>
      <c r="Q419" s="124">
        <f ca="1"/>
        <v>45613</v>
      </c>
      <c r="R419" s="124">
        <f ca="1"/>
        <v>45672</v>
      </c>
      <c r="S419" s="90">
        <f ca="1"/>
        <v>48</v>
      </c>
      <c r="T419" s="139">
        <f ca="1"/>
        <v>0.8</v>
      </c>
      <c r="U419" s="131">
        <f ca="1"/>
        <v>10</v>
      </c>
      <c r="V419" s="120">
        <f ca="1"/>
        <v>15</v>
      </c>
      <c r="W419" s="140">
        <f ca="1"/>
        <v>2</v>
      </c>
      <c r="X419" s="139">
        <f ca="1"/>
        <v>0.96666666666666667</v>
      </c>
      <c r="Y419" s="141">
        <f ca="1"/>
        <v>10.255265</v>
      </c>
      <c r="Z419" s="141">
        <f ca="1"/>
        <v>10.255265</v>
      </c>
      <c r="AA419" s="142">
        <f ca="1"/>
        <v>153.82897499999999</v>
      </c>
      <c r="AB419" s="138">
        <f ca="1"/>
        <v>9</v>
      </c>
      <c r="AC419" s="103" t="str">
        <f ca="1"/>
        <v>VIGENTE</v>
      </c>
      <c r="AD419" s="150">
        <f ca="1"/>
        <v>1.4999999999999999E-2</v>
      </c>
    </row>
    <row r="420" spans="1:30">
      <c r="A420" s="111" t="str">
        <f ca="1"/>
        <v>SAN GABRIEL</v>
      </c>
      <c r="B420" s="111" t="str">
        <f ca="1"/>
        <v>QUESOS Y GRASAS</v>
      </c>
      <c r="C420" s="111" t="str">
        <f ca="1"/>
        <v xml:space="preserve">Esteban Montenegro                      </v>
      </c>
      <c r="D420" s="111" t="str">
        <f ca="1"/>
        <v>QUESO SEMIMADURO KIOSKO</v>
      </c>
      <c r="E420" s="111" t="str">
        <f ca="1"/>
        <v>QUESO JAVIERINO KIOSKO TAJADO</v>
      </c>
      <c r="F420" s="120" t="str">
        <f ca="1"/>
        <v>GUAYAQUIL</v>
      </c>
      <c r="G420" s="120">
        <f ca="1"/>
        <v>7711</v>
      </c>
      <c r="H420" s="120">
        <f ca="1"/>
        <v>1001</v>
      </c>
      <c r="I420" s="120" t="str">
        <f ca="1"/>
        <v>14713</v>
      </c>
      <c r="J420" s="120" t="str">
        <f ca="1"/>
        <v>Q JAVIERINO KIOSKO RALLADO 1.5K</v>
      </c>
      <c r="K420" s="121">
        <f ca="1"/>
        <v>10</v>
      </c>
      <c r="L420" s="122">
        <f ca="1"/>
        <v>1</v>
      </c>
      <c r="M420" s="120">
        <f ca="1"/>
        <v>1.5</v>
      </c>
      <c r="N420" s="121">
        <f ca="1"/>
        <v>60</v>
      </c>
      <c r="O420" s="123">
        <f ca="1"/>
        <v>45617</v>
      </c>
      <c r="P420" s="123" t="str">
        <f ca="1"/>
        <v>jueves</v>
      </c>
      <c r="Q420" s="124">
        <f ca="1"/>
        <v>45616</v>
      </c>
      <c r="R420" s="124">
        <f ca="1"/>
        <v>45675</v>
      </c>
      <c r="S420" s="90">
        <f ca="1"/>
        <v>51</v>
      </c>
      <c r="T420" s="139">
        <f ca="1"/>
        <v>0.85</v>
      </c>
      <c r="U420" s="131">
        <f ca="1"/>
        <v>10</v>
      </c>
      <c r="V420" s="120">
        <f ca="1"/>
        <v>15</v>
      </c>
      <c r="W420" s="140">
        <f ca="1"/>
        <v>1</v>
      </c>
      <c r="X420" s="139">
        <f ca="1"/>
        <v>0.98333333333333328</v>
      </c>
      <c r="Y420" s="141">
        <f ca="1"/>
        <v>10.255265</v>
      </c>
      <c r="Z420" s="141">
        <f ca="1"/>
        <v>10.255265</v>
      </c>
      <c r="AA420" s="142">
        <f ca="1"/>
        <v>153.82897499999999</v>
      </c>
      <c r="AB420" s="138">
        <f ca="1"/>
        <v>7</v>
      </c>
      <c r="AC420" s="103" t="str">
        <f ca="1"/>
        <v>VIGENTE</v>
      </c>
      <c r="AD420" s="150">
        <f ca="1"/>
        <v>1.4999999999999999E-2</v>
      </c>
    </row>
    <row r="421" spans="1:30">
      <c r="A421" s="111" t="str">
        <f ca="1"/>
        <v>SAN GABRIEL</v>
      </c>
      <c r="B421" s="111" t="str">
        <f ca="1"/>
        <v>QUESOS Y GRASAS</v>
      </c>
      <c r="C421" s="111" t="str">
        <f ca="1"/>
        <v xml:space="preserve">Esteban Montenegro                      </v>
      </c>
      <c r="D421" s="111" t="str">
        <f ca="1"/>
        <v>CREMA DE LECHE</v>
      </c>
      <c r="E421" s="111" t="str">
        <f ca="1"/>
        <v>CREMA DE LECHE KIOSKO GALON</v>
      </c>
      <c r="F421" s="120" t="str">
        <f ca="1"/>
        <v>GUAYAQUIL</v>
      </c>
      <c r="G421" s="120">
        <f ca="1"/>
        <v>7711</v>
      </c>
      <c r="H421" s="120">
        <f ca="1"/>
        <v>1001</v>
      </c>
      <c r="I421" s="120" t="str">
        <f ca="1"/>
        <v>5703</v>
      </c>
      <c r="J421" s="120" t="str">
        <f ca="1"/>
        <v>CREM LCH NAT KIOSKO GAR 3.5KG</v>
      </c>
      <c r="K421" s="121">
        <f ca="1"/>
        <v>102</v>
      </c>
      <c r="L421" s="122">
        <f ca="1"/>
        <v>1</v>
      </c>
      <c r="M421" s="120">
        <f ca="1"/>
        <v>3.5</v>
      </c>
      <c r="N421" s="121">
        <f ca="1"/>
        <v>30</v>
      </c>
      <c r="O421" s="123">
        <f ca="1"/>
        <v>45616</v>
      </c>
      <c r="P421" s="123" t="str">
        <f ca="1"/>
        <v>miércoles</v>
      </c>
      <c r="Q421" s="124">
        <f ca="1"/>
        <v>45615</v>
      </c>
      <c r="R421" s="124">
        <f ca="1"/>
        <v>45644</v>
      </c>
      <c r="S421" s="90">
        <f ca="1"/>
        <v>20</v>
      </c>
      <c r="T421" s="139">
        <f ca="1"/>
        <v>0.66666666666666663</v>
      </c>
      <c r="U421" s="131">
        <f ca="1"/>
        <v>27</v>
      </c>
      <c r="V421" s="120">
        <f ca="1"/>
        <v>94.5</v>
      </c>
      <c r="W421" s="140">
        <f ca="1"/>
        <v>1</v>
      </c>
      <c r="X421" s="139">
        <f ca="1"/>
        <v>0.96666666666666667</v>
      </c>
      <c r="Y421" s="141">
        <f ca="1"/>
        <v>6.7329100000000004</v>
      </c>
      <c r="Z421" s="141">
        <f ca="1"/>
        <v>6.7329100000000004</v>
      </c>
      <c r="AA421" s="142">
        <f ca="1"/>
        <v>636.259995</v>
      </c>
      <c r="AB421" s="138">
        <f ca="1"/>
        <v>8</v>
      </c>
      <c r="AC421" s="103" t="str">
        <f ca="1"/>
        <v>FECHA CORTA</v>
      </c>
      <c r="AD421" s="150">
        <f ca="1"/>
        <v>9.4500000000000001E-2</v>
      </c>
    </row>
    <row r="422" spans="1:30">
      <c r="A422" s="111" t="str">
        <f ca="1"/>
        <v>SAN GABRIEL</v>
      </c>
      <c r="B422" s="111" t="str">
        <f ca="1"/>
        <v>QUESOS Y GRASAS</v>
      </c>
      <c r="C422" s="111" t="str">
        <f ca="1"/>
        <v xml:space="preserve">Esteban Montenegro                      </v>
      </c>
      <c r="D422" s="111" t="str">
        <f ca="1"/>
        <v>CREMA DE LECHE</v>
      </c>
      <c r="E422" s="111" t="str">
        <f ca="1"/>
        <v>CREMA DE LECHE KIOSKO GALON</v>
      </c>
      <c r="F422" s="120" t="str">
        <f ca="1"/>
        <v>GUAYAQUIL</v>
      </c>
      <c r="G422" s="120">
        <f ca="1"/>
        <v>7711</v>
      </c>
      <c r="H422" s="120">
        <f ca="1"/>
        <v>1001</v>
      </c>
      <c r="I422" s="120" t="str">
        <f ca="1"/>
        <v>5703</v>
      </c>
      <c r="J422" s="120" t="str">
        <f ca="1"/>
        <v>CREM LCH NAT KIOSKO GAR 3.5KG</v>
      </c>
      <c r="K422" s="121">
        <f ca="1"/>
        <v>150</v>
      </c>
      <c r="L422" s="122">
        <f ca="1"/>
        <v>1</v>
      </c>
      <c r="M422" s="120">
        <f ca="1"/>
        <v>3.5</v>
      </c>
      <c r="N422" s="121">
        <f ca="1"/>
        <v>30</v>
      </c>
      <c r="O422" s="123">
        <f ca="1"/>
        <v>45617</v>
      </c>
      <c r="P422" s="123" t="str">
        <f ca="1"/>
        <v>jueves</v>
      </c>
      <c r="Q422" s="124">
        <f ca="1"/>
        <v>45616</v>
      </c>
      <c r="R422" s="124">
        <f ca="1"/>
        <v>45645</v>
      </c>
      <c r="S422" s="90">
        <f ca="1"/>
        <v>21</v>
      </c>
      <c r="T422" s="139">
        <f ca="1"/>
        <v>0.7</v>
      </c>
      <c r="U422" s="131">
        <f ca="1"/>
        <v>150</v>
      </c>
      <c r="V422" s="120">
        <f ca="1"/>
        <v>525</v>
      </c>
      <c r="W422" s="140">
        <f ca="1"/>
        <v>1</v>
      </c>
      <c r="X422" s="139">
        <f ca="1"/>
        <v>0.96666666666666667</v>
      </c>
      <c r="Y422" s="141">
        <f ca="1"/>
        <v>6.7329100000000004</v>
      </c>
      <c r="Z422" s="141">
        <f ca="1"/>
        <v>6.7329100000000004</v>
      </c>
      <c r="AA422" s="142">
        <f ca="1"/>
        <v>3534.7777500000002</v>
      </c>
      <c r="AB422" s="138">
        <f ca="1"/>
        <v>7</v>
      </c>
      <c r="AC422" s="103" t="str">
        <f ca="1"/>
        <v>FECHA CORTA</v>
      </c>
      <c r="AD422" s="150">
        <f ca="1"/>
        <v>0.52500000000000002</v>
      </c>
    </row>
    <row r="423" spans="1:30">
      <c r="A423" s="111" t="str">
        <f ca="1"/>
        <v>SAN GABRIEL</v>
      </c>
      <c r="B423" s="111" t="str">
        <f ca="1"/>
        <v>QUESOS Y GRASAS</v>
      </c>
      <c r="C423" s="111" t="str">
        <f ca="1"/>
        <v xml:space="preserve">Esteban Montenegro                      </v>
      </c>
      <c r="D423" s="111" t="str">
        <f ca="1"/>
        <v>CREMA DE LECHE</v>
      </c>
      <c r="E423" s="111" t="str">
        <f ca="1"/>
        <v>CREMA DE LECHE KIOSKO GALON</v>
      </c>
      <c r="F423" s="120" t="str">
        <f ca="1"/>
        <v>GUAYAQUIL</v>
      </c>
      <c r="G423" s="120">
        <f ca="1"/>
        <v>7711</v>
      </c>
      <c r="H423" s="120">
        <f ca="1"/>
        <v>1001</v>
      </c>
      <c r="I423" s="120" t="str">
        <f ca="1"/>
        <v>5703</v>
      </c>
      <c r="J423" s="120" t="str">
        <f ca="1"/>
        <v>CREM LCH NAT KIOSKO GAR 3.5KG</v>
      </c>
      <c r="K423" s="121">
        <f ca="1"/>
        <v>54</v>
      </c>
      <c r="L423" s="122">
        <f ca="1"/>
        <v>1</v>
      </c>
      <c r="M423" s="120">
        <f ca="1"/>
        <v>3.5</v>
      </c>
      <c r="N423" s="121">
        <f ca="1"/>
        <v>30</v>
      </c>
      <c r="O423" s="123">
        <f ca="1"/>
        <v>45617</v>
      </c>
      <c r="P423" s="123" t="str">
        <f ca="1"/>
        <v>jueves</v>
      </c>
      <c r="Q423" s="124">
        <f ca="1"/>
        <v>45615</v>
      </c>
      <c r="R423" s="124">
        <f ca="1"/>
        <v>45644</v>
      </c>
      <c r="S423" s="90">
        <f ca="1"/>
        <v>20</v>
      </c>
      <c r="T423" s="139">
        <f ca="1"/>
        <v>0.66666666666666663</v>
      </c>
      <c r="U423" s="131">
        <f ca="1"/>
        <v>54</v>
      </c>
      <c r="V423" s="120">
        <f ca="1"/>
        <v>189</v>
      </c>
      <c r="W423" s="140">
        <f ca="1"/>
        <v>2</v>
      </c>
      <c r="X423" s="139">
        <f ca="1"/>
        <v>0.93333333333333335</v>
      </c>
      <c r="Y423" s="141">
        <f ca="1"/>
        <v>6.7329100000000004</v>
      </c>
      <c r="Z423" s="141">
        <f ca="1"/>
        <v>6.7329100000000004</v>
      </c>
      <c r="AA423" s="142">
        <f ca="1"/>
        <v>1272.51999</v>
      </c>
      <c r="AB423" s="138">
        <f ca="1"/>
        <v>7</v>
      </c>
      <c r="AC423" s="103" t="str">
        <f ca="1"/>
        <v>FECHA CORTA</v>
      </c>
      <c r="AD423" s="150">
        <f ca="1"/>
        <v>0.189</v>
      </c>
    </row>
    <row r="424" spans="1:30">
      <c r="A424" s="111" t="str">
        <f ca="1"/>
        <v>SAN GABRIEL</v>
      </c>
      <c r="B424" s="111" t="str">
        <f ca="1"/>
        <v>QUESOS Y GRASAS</v>
      </c>
      <c r="C424" s="111" t="str">
        <f ca="1"/>
        <v xml:space="preserve">Esteban Montenegro                      </v>
      </c>
      <c r="D424" s="111" t="str">
        <f ca="1"/>
        <v>QUESO SEMIMADURO KIOSKO</v>
      </c>
      <c r="E424" s="111" t="str">
        <f ca="1"/>
        <v>QUESO AMERICANO KIOSKO TAJADO</v>
      </c>
      <c r="F424" s="120" t="str">
        <f ca="1"/>
        <v>GUAYAQUIL</v>
      </c>
      <c r="G424" s="120">
        <f ca="1"/>
        <v>7711</v>
      </c>
      <c r="H424" s="120">
        <f ca="1"/>
        <v>1001</v>
      </c>
      <c r="I424" s="120" t="str">
        <f ca="1"/>
        <v>14180</v>
      </c>
      <c r="J424" s="120" t="str">
        <f ca="1"/>
        <v>Q AMERIC LONJ BKING AL PESO</v>
      </c>
      <c r="K424" s="121">
        <f ca="1"/>
        <v>141</v>
      </c>
      <c r="L424" s="122">
        <f ca="1"/>
        <v>1.6</v>
      </c>
      <c r="M424" s="120">
        <f ca="1"/>
        <v>1</v>
      </c>
      <c r="N424" s="121">
        <f ca="1"/>
        <v>60</v>
      </c>
      <c r="O424" s="123">
        <f ca="1"/>
        <v>45611</v>
      </c>
      <c r="P424" s="123" t="str">
        <f ca="1"/>
        <v>viernes</v>
      </c>
      <c r="Q424" s="124">
        <f ca="1"/>
        <v>45610</v>
      </c>
      <c r="R424" s="124">
        <f ca="1"/>
        <v>45669</v>
      </c>
      <c r="S424" s="90">
        <f ca="1"/>
        <v>45</v>
      </c>
      <c r="T424" s="139">
        <f ca="1"/>
        <v>0.75</v>
      </c>
      <c r="U424" s="131">
        <f ca="1"/>
        <v>12</v>
      </c>
      <c r="V424" s="120">
        <f ca="1"/>
        <v>19.200000000000003</v>
      </c>
      <c r="W424" s="140">
        <f ca="1"/>
        <v>1</v>
      </c>
      <c r="X424" s="139">
        <f ca="1"/>
        <v>0.98333333333333328</v>
      </c>
      <c r="Y424" s="141">
        <f ca="1"/>
        <v>6.6801849999999998</v>
      </c>
      <c r="Z424" s="141">
        <f ca="1"/>
        <v>10.688296000000001</v>
      </c>
      <c r="AA424" s="142">
        <f ca="1"/>
        <v>205.21528320000004</v>
      </c>
      <c r="AB424" s="138">
        <f ca="1"/>
        <v>13</v>
      </c>
      <c r="AC424" s="103" t="str">
        <f ca="1"/>
        <v>VIGENTE</v>
      </c>
      <c r="AD424" s="150">
        <f ca="1"/>
        <v>1.9200000000000002E-2</v>
      </c>
    </row>
    <row r="425" spans="1:30">
      <c r="A425" s="111" t="str">
        <f ca="1"/>
        <v>DULCENAC</v>
      </c>
      <c r="B425" s="111" t="str">
        <f ca="1"/>
        <v>POSTRES</v>
      </c>
      <c r="C425" s="111" t="str">
        <f ca="1"/>
        <v xml:space="preserve">Luis Armendariz                         </v>
      </c>
      <c r="D425" s="111" t="str">
        <f ca="1"/>
        <v>AREQUIPE ALPINA</v>
      </c>
      <c r="E425" s="111" t="str">
        <f ca="1"/>
        <v>AREQUIPE ALPINA</v>
      </c>
      <c r="F425" s="120" t="str">
        <f ca="1"/>
        <v>GUAYAQUIL</v>
      </c>
      <c r="G425" s="120">
        <f ca="1"/>
        <v>7711</v>
      </c>
      <c r="H425" s="120">
        <f ca="1"/>
        <v>1001</v>
      </c>
      <c r="I425" s="120" t="str">
        <f ca="1"/>
        <v>13645</v>
      </c>
      <c r="J425" s="120" t="str">
        <f ca="1"/>
        <v>CAJA BARQ DE AREQ 240G</v>
      </c>
      <c r="K425" s="121">
        <f ca="1"/>
        <v>24</v>
      </c>
      <c r="L425" s="122">
        <f ca="1"/>
        <v>1</v>
      </c>
      <c r="M425" s="120">
        <f ca="1"/>
        <v>0.24</v>
      </c>
      <c r="N425" s="121">
        <f ca="1"/>
        <v>540</v>
      </c>
      <c r="O425" s="123">
        <f ca="1"/>
        <v>45612</v>
      </c>
      <c r="P425" s="123" t="str">
        <f ca="1"/>
        <v>sábado</v>
      </c>
      <c r="Q425" s="124">
        <f ca="1"/>
        <v>45223</v>
      </c>
      <c r="R425" s="124">
        <f ca="1"/>
        <v>45762</v>
      </c>
      <c r="S425" s="90">
        <f ca="1"/>
        <v>138</v>
      </c>
      <c r="T425" s="139">
        <f ca="1"/>
        <v>0.25555555555555554</v>
      </c>
      <c r="U425" s="131">
        <f ca="1"/>
        <v>23</v>
      </c>
      <c r="V425" s="120">
        <f ca="1"/>
        <v>5.52</v>
      </c>
      <c r="W425" s="140">
        <f ca="1"/>
        <v>389</v>
      </c>
      <c r="X425" s="139">
        <f ca="1"/>
        <v>0.27962962962962967</v>
      </c>
      <c r="Y425" s="141">
        <f ca="1"/>
        <v>1.5207199999999998</v>
      </c>
      <c r="Z425" s="141">
        <f ca="1"/>
        <v>1.5207199999999998</v>
      </c>
      <c r="AA425" s="142">
        <f ca="1"/>
        <v>8.3943743999999985</v>
      </c>
      <c r="AB425" s="138">
        <f ca="1"/>
        <v>12</v>
      </c>
      <c r="AC425" s="103" t="str">
        <f ca="1"/>
        <v>VIGENTE</v>
      </c>
      <c r="AD425" s="150">
        <f ca="1"/>
        <v>5.5199999999999997E-3</v>
      </c>
    </row>
    <row r="426" spans="1:30">
      <c r="A426" s="111" t="str">
        <f ca="1"/>
        <v>MACHACHI</v>
      </c>
      <c r="B426" s="111" t="str">
        <f ca="1"/>
        <v>BEBIDAS LACTEAS</v>
      </c>
      <c r="C426" s="111" t="str">
        <f ca="1"/>
        <v xml:space="preserve">Luis Armendariz                         </v>
      </c>
      <c r="D426" s="111" t="str">
        <f ca="1"/>
        <v>BON YURT</v>
      </c>
      <c r="E426" s="111" t="str">
        <f ca="1"/>
        <v>BON YURT MINI</v>
      </c>
      <c r="F426" s="120" t="str">
        <f ca="1"/>
        <v>GUAYAQUIL</v>
      </c>
      <c r="G426" s="120">
        <f ca="1"/>
        <v>7711</v>
      </c>
      <c r="H426" s="120">
        <f ca="1"/>
        <v>1001</v>
      </c>
      <c r="I426" s="120" t="str">
        <f ca="1"/>
        <v>17117</v>
      </c>
      <c r="J426" s="120" t="str">
        <f ca="1"/>
        <v>BY MINI MASMELOS 88G</v>
      </c>
      <c r="K426" s="121">
        <f ca="1"/>
        <v>490</v>
      </c>
      <c r="L426" s="122">
        <f ca="1"/>
        <v>1</v>
      </c>
      <c r="M426" s="120">
        <f ca="1"/>
        <v>8.7999999999999995E-2</v>
      </c>
      <c r="N426" s="121">
        <f ca="1"/>
        <v>45</v>
      </c>
      <c r="O426" s="123">
        <f ca="1"/>
        <v>45605</v>
      </c>
      <c r="P426" s="123" t="str">
        <f ca="1"/>
        <v>sábado</v>
      </c>
      <c r="Q426" s="124">
        <f ca="1"/>
        <v>45595</v>
      </c>
      <c r="R426" s="124">
        <f ca="1"/>
        <v>45639</v>
      </c>
      <c r="S426" s="90">
        <f ca="1"/>
        <v>15</v>
      </c>
      <c r="T426" s="139">
        <f ca="1"/>
        <v>0.33333333333333331</v>
      </c>
      <c r="U426" s="131">
        <f ca="1"/>
        <v>96</v>
      </c>
      <c r="V426" s="120">
        <f ca="1"/>
        <v>8.4480000000000004</v>
      </c>
      <c r="W426" s="140">
        <f ca="1"/>
        <v>10</v>
      </c>
      <c r="X426" s="139">
        <f ca="1"/>
        <v>0.77777777777777779</v>
      </c>
      <c r="Y426" s="141">
        <f ca="1"/>
        <v>0.22021000000000002</v>
      </c>
      <c r="Z426" s="141">
        <f ca="1"/>
        <v>0.22021000000000002</v>
      </c>
      <c r="AA426" s="142">
        <f ca="1"/>
        <v>1.8603340800000003</v>
      </c>
      <c r="AB426" s="138">
        <f ca="1"/>
        <v>19</v>
      </c>
      <c r="AC426" s="103" t="str">
        <f ca="1"/>
        <v>FECHA CORTA</v>
      </c>
      <c r="AD426" s="150">
        <f ca="1"/>
        <v>8.4480000000000006E-3</v>
      </c>
    </row>
    <row r="427" spans="1:30">
      <c r="A427" s="111" t="str">
        <f ca="1"/>
        <v>MACHACHI</v>
      </c>
      <c r="B427" s="111" t="str">
        <f ca="1"/>
        <v>BEBIDAS LACTEAS</v>
      </c>
      <c r="C427" s="111" t="str">
        <f ca="1"/>
        <v xml:space="preserve">Luis Armendariz                         </v>
      </c>
      <c r="D427" s="111" t="str">
        <f ca="1"/>
        <v>BON YURT</v>
      </c>
      <c r="E427" s="111" t="str">
        <f ca="1"/>
        <v>BON YURT MINI</v>
      </c>
      <c r="F427" s="120" t="str">
        <f ca="1"/>
        <v>GUAYAQUIL</v>
      </c>
      <c r="G427" s="120">
        <f ca="1"/>
        <v>7711</v>
      </c>
      <c r="H427" s="120">
        <f ca="1"/>
        <v>1001</v>
      </c>
      <c r="I427" s="120" t="str">
        <f ca="1"/>
        <v>17117</v>
      </c>
      <c r="J427" s="120" t="str">
        <f ca="1"/>
        <v>BY MINI MASMELOS 88G</v>
      </c>
      <c r="K427" s="121">
        <f ca="1"/>
        <v>2100</v>
      </c>
      <c r="L427" s="122">
        <f ca="1"/>
        <v>1</v>
      </c>
      <c r="M427" s="120">
        <f ca="1"/>
        <v>8.7999999999999995E-2</v>
      </c>
      <c r="N427" s="121">
        <f ca="1"/>
        <v>45</v>
      </c>
      <c r="O427" s="123">
        <f ca="1"/>
        <v>45612</v>
      </c>
      <c r="P427" s="123" t="str">
        <f ca="1"/>
        <v>sábado</v>
      </c>
      <c r="Q427" s="124">
        <f ca="1"/>
        <v>45603</v>
      </c>
      <c r="R427" s="124">
        <f ca="1"/>
        <v>45647</v>
      </c>
      <c r="S427" s="90">
        <f ca="1"/>
        <v>23</v>
      </c>
      <c r="T427" s="139">
        <f ca="1"/>
        <v>0.51111111111111107</v>
      </c>
      <c r="U427" s="131">
        <f ca="1"/>
        <v>2100</v>
      </c>
      <c r="V427" s="120">
        <f ca="1"/>
        <v>184.79999999999998</v>
      </c>
      <c r="W427" s="140">
        <f ca="1"/>
        <v>9</v>
      </c>
      <c r="X427" s="139">
        <f ca="1"/>
        <v>0.8</v>
      </c>
      <c r="Y427" s="141">
        <f ca="1"/>
        <v>0.22021000000000002</v>
      </c>
      <c r="Z427" s="141">
        <f ca="1"/>
        <v>0.22021000000000002</v>
      </c>
      <c r="AA427" s="142">
        <f ca="1"/>
        <v>40.694808000000002</v>
      </c>
      <c r="AB427" s="138">
        <f ca="1"/>
        <v>12</v>
      </c>
      <c r="AC427" s="103" t="str">
        <f ca="1"/>
        <v>PROXIMOS FECHA CORTA</v>
      </c>
      <c r="AD427" s="150">
        <f ca="1"/>
        <v>0.18479999999999999</v>
      </c>
    </row>
    <row r="428" spans="1:30">
      <c r="A428" s="111" t="str">
        <f ca="1"/>
        <v>MACHACHI</v>
      </c>
      <c r="B428" s="111" t="str">
        <f ca="1"/>
        <v>BEBIDAS LACTEAS</v>
      </c>
      <c r="C428" s="111" t="str">
        <f ca="1"/>
        <v xml:space="preserve">Luis Armendariz                         </v>
      </c>
      <c r="D428" s="111" t="str">
        <f ca="1"/>
        <v>BON YURT</v>
      </c>
      <c r="E428" s="111" t="str">
        <f ca="1"/>
        <v>BON YURT MINI</v>
      </c>
      <c r="F428" s="120" t="str">
        <f ca="1"/>
        <v>GUAYAQUIL</v>
      </c>
      <c r="G428" s="120">
        <f ca="1"/>
        <v>7711</v>
      </c>
      <c r="H428" s="120">
        <f ca="1"/>
        <v>1001</v>
      </c>
      <c r="I428" s="120" t="str">
        <f ca="1"/>
        <v>17117</v>
      </c>
      <c r="J428" s="120" t="str">
        <f ca="1"/>
        <v>BY MINI MASMELOS 88G</v>
      </c>
      <c r="K428" s="121">
        <f ca="1"/>
        <v>2100</v>
      </c>
      <c r="L428" s="122">
        <f ca="1"/>
        <v>1</v>
      </c>
      <c r="M428" s="120">
        <f ca="1"/>
        <v>8.7999999999999995E-2</v>
      </c>
      <c r="N428" s="121">
        <f ca="1"/>
        <v>45</v>
      </c>
      <c r="O428" s="123">
        <f ca="1"/>
        <v>45611</v>
      </c>
      <c r="P428" s="123" t="str">
        <f ca="1"/>
        <v>viernes</v>
      </c>
      <c r="Q428" s="124">
        <f ca="1"/>
        <v>45603</v>
      </c>
      <c r="R428" s="124">
        <f ca="1"/>
        <v>45647</v>
      </c>
      <c r="S428" s="90">
        <f ca="1"/>
        <v>23</v>
      </c>
      <c r="T428" s="139">
        <f ca="1"/>
        <v>0.51111111111111107</v>
      </c>
      <c r="U428" s="131">
        <f ca="1"/>
        <v>1190</v>
      </c>
      <c r="V428" s="120">
        <f ca="1"/>
        <v>104.72</v>
      </c>
      <c r="W428" s="140">
        <f ca="1"/>
        <v>8</v>
      </c>
      <c r="X428" s="139">
        <f ca="1"/>
        <v>0.82222222222222219</v>
      </c>
      <c r="Y428" s="141">
        <f ca="1"/>
        <v>0.22021000000000002</v>
      </c>
      <c r="Z428" s="141">
        <f ca="1"/>
        <v>0.22021000000000002</v>
      </c>
      <c r="AA428" s="142">
        <f ca="1"/>
        <v>23.060391200000002</v>
      </c>
      <c r="AB428" s="138">
        <f ca="1"/>
        <v>13</v>
      </c>
      <c r="AC428" s="103" t="str">
        <f ca="1"/>
        <v>PROXIMOS FECHA CORTA</v>
      </c>
      <c r="AD428" s="150">
        <f ca="1"/>
        <v>0.10471999999999999</v>
      </c>
    </row>
    <row r="429" spans="1:30">
      <c r="A429" s="111" t="str">
        <f ca="1"/>
        <v>MACHACHI</v>
      </c>
      <c r="B429" s="111" t="str">
        <f ca="1"/>
        <v>BEBIDAS LACTEAS</v>
      </c>
      <c r="C429" s="111" t="str">
        <f ca="1"/>
        <v xml:space="preserve">Luis Armendariz                         </v>
      </c>
      <c r="D429" s="111" t="str">
        <f ca="1"/>
        <v>BON YURT</v>
      </c>
      <c r="E429" s="111" t="str">
        <f ca="1"/>
        <v>BON YURT MINI</v>
      </c>
      <c r="F429" s="120" t="str">
        <f ca="1"/>
        <v>GUAYAQUIL</v>
      </c>
      <c r="G429" s="120">
        <f ca="1"/>
        <v>7711</v>
      </c>
      <c r="H429" s="120">
        <f ca="1"/>
        <v>1001</v>
      </c>
      <c r="I429" s="120" t="str">
        <f ca="1"/>
        <v>17117</v>
      </c>
      <c r="J429" s="120" t="str">
        <f ca="1"/>
        <v>BY MINI MASMELOS 88G</v>
      </c>
      <c r="K429" s="121">
        <f ca="1"/>
        <v>1820</v>
      </c>
      <c r="L429" s="122">
        <f ca="1"/>
        <v>1</v>
      </c>
      <c r="M429" s="120">
        <f ca="1"/>
        <v>8.7999999999999995E-2</v>
      </c>
      <c r="N429" s="121">
        <f ca="1"/>
        <v>45</v>
      </c>
      <c r="O429" s="123">
        <f ca="1"/>
        <v>45615</v>
      </c>
      <c r="P429" s="123" t="str">
        <f ca="1"/>
        <v>martes</v>
      </c>
      <c r="Q429" s="124">
        <f ca="1"/>
        <v>45603</v>
      </c>
      <c r="R429" s="124">
        <f ca="1"/>
        <v>45647</v>
      </c>
      <c r="S429" s="90">
        <f ca="1"/>
        <v>23</v>
      </c>
      <c r="T429" s="139">
        <f ca="1"/>
        <v>0.51111111111111107</v>
      </c>
      <c r="U429" s="131">
        <f ca="1"/>
        <v>1820</v>
      </c>
      <c r="V429" s="120">
        <f ca="1"/>
        <v>160.16</v>
      </c>
      <c r="W429" s="140">
        <f ca="1"/>
        <v>12</v>
      </c>
      <c r="X429" s="139">
        <f ca="1"/>
        <v>0.73333333333333339</v>
      </c>
      <c r="Y429" s="141">
        <f ca="1"/>
        <v>0.22021000000000002</v>
      </c>
      <c r="Z429" s="141">
        <f ca="1"/>
        <v>0.22021000000000002</v>
      </c>
      <c r="AA429" s="142">
        <f ca="1"/>
        <v>35.268833600000001</v>
      </c>
      <c r="AB429" s="138">
        <f ca="1"/>
        <v>9</v>
      </c>
      <c r="AC429" s="103" t="str">
        <f ca="1"/>
        <v>PROXIMOS FECHA CORTA</v>
      </c>
      <c r="AD429" s="150">
        <f ca="1"/>
        <v>0.16016</v>
      </c>
    </row>
    <row r="430" spans="1:30">
      <c r="A430" s="111" t="str">
        <f ca="1"/>
        <v>MACHACHI</v>
      </c>
      <c r="B430" s="111" t="str">
        <f ca="1"/>
        <v>BEBIDAS LACTEAS</v>
      </c>
      <c r="C430" s="111" t="str">
        <f ca="1"/>
        <v xml:space="preserve">Luis Armendariz                         </v>
      </c>
      <c r="D430" s="111" t="str">
        <f ca="1"/>
        <v>BON YURT</v>
      </c>
      <c r="E430" s="111" t="str">
        <f ca="1"/>
        <v>BON YURT MINI</v>
      </c>
      <c r="F430" s="120" t="str">
        <f ca="1"/>
        <v>GUAYAQUIL</v>
      </c>
      <c r="G430" s="120">
        <f ca="1"/>
        <v>7711</v>
      </c>
      <c r="H430" s="120">
        <f ca="1"/>
        <v>1001</v>
      </c>
      <c r="I430" s="120" t="str">
        <f ca="1"/>
        <v>17117</v>
      </c>
      <c r="J430" s="120" t="str">
        <f ca="1"/>
        <v>BY MINI MASMELOS 88G</v>
      </c>
      <c r="K430" s="121">
        <f ca="1"/>
        <v>1400</v>
      </c>
      <c r="L430" s="122">
        <f ca="1"/>
        <v>1</v>
      </c>
      <c r="M430" s="120">
        <f ca="1"/>
        <v>8.7999999999999995E-2</v>
      </c>
      <c r="N430" s="121">
        <f ca="1"/>
        <v>45</v>
      </c>
      <c r="O430" s="123">
        <f ca="1"/>
        <v>45616</v>
      </c>
      <c r="P430" s="123" t="str">
        <f ca="1"/>
        <v>miércoles</v>
      </c>
      <c r="Q430" s="124">
        <f ca="1"/>
        <v>45609</v>
      </c>
      <c r="R430" s="124">
        <f ca="1"/>
        <v>45653</v>
      </c>
      <c r="S430" s="90">
        <f ca="1"/>
        <v>29</v>
      </c>
      <c r="T430" s="139">
        <f ca="1"/>
        <v>0.64444444444444449</v>
      </c>
      <c r="U430" s="131">
        <f ca="1"/>
        <v>140</v>
      </c>
      <c r="V430" s="120">
        <f ca="1"/>
        <v>12.319999999999999</v>
      </c>
      <c r="W430" s="140">
        <f ca="1"/>
        <v>7</v>
      </c>
      <c r="X430" s="139">
        <f ca="1"/>
        <v>0.84444444444444444</v>
      </c>
      <c r="Y430" s="141">
        <f ca="1"/>
        <v>0.22021000000000002</v>
      </c>
      <c r="Z430" s="141">
        <f ca="1"/>
        <v>0.22021000000000002</v>
      </c>
      <c r="AA430" s="142">
        <f ca="1"/>
        <v>2.7129871999999997</v>
      </c>
      <c r="AB430" s="138">
        <f ca="1"/>
        <v>8</v>
      </c>
      <c r="AC430" s="103" t="str">
        <f ca="1"/>
        <v>VIGENTE</v>
      </c>
      <c r="AD430" s="150">
        <f ca="1"/>
        <v>1.2319999999999999E-2</v>
      </c>
    </row>
    <row r="431" spans="1:30">
      <c r="A431" s="111" t="str">
        <f ca="1"/>
        <v>MACHACHI</v>
      </c>
      <c r="B431" s="111" t="str">
        <f ca="1"/>
        <v>BEBIDAS LACTEAS</v>
      </c>
      <c r="C431" s="111" t="str">
        <f ca="1"/>
        <v xml:space="preserve">Luis Armendariz                         </v>
      </c>
      <c r="D431" s="111" t="str">
        <f ca="1"/>
        <v>BON YURT</v>
      </c>
      <c r="E431" s="111" t="str">
        <f ca="1"/>
        <v>BON YURT MINI</v>
      </c>
      <c r="F431" s="120" t="str">
        <f ca="1"/>
        <v>GUAYAQUIL</v>
      </c>
      <c r="G431" s="120">
        <f ca="1"/>
        <v>7711</v>
      </c>
      <c r="H431" s="120">
        <f ca="1"/>
        <v>1001</v>
      </c>
      <c r="I431" s="120" t="str">
        <f ca="1"/>
        <v>17117</v>
      </c>
      <c r="J431" s="120" t="str">
        <f ca="1"/>
        <v>BY MINI MASMELOS 88G</v>
      </c>
      <c r="K431" s="121">
        <f ca="1"/>
        <v>1260</v>
      </c>
      <c r="L431" s="122">
        <f ca="1"/>
        <v>1</v>
      </c>
      <c r="M431" s="120">
        <f ca="1"/>
        <v>8.7999999999999995E-2</v>
      </c>
      <c r="N431" s="121">
        <f ca="1"/>
        <v>45</v>
      </c>
      <c r="O431" s="123">
        <f ca="1"/>
        <v>45617</v>
      </c>
      <c r="P431" s="123" t="str">
        <f ca="1"/>
        <v>jueves</v>
      </c>
      <c r="Q431" s="124">
        <f ca="1"/>
        <v>45609</v>
      </c>
      <c r="R431" s="124">
        <f ca="1"/>
        <v>45653</v>
      </c>
      <c r="S431" s="90">
        <f ca="1"/>
        <v>29</v>
      </c>
      <c r="T431" s="139">
        <f ca="1"/>
        <v>0.64444444444444449</v>
      </c>
      <c r="U431" s="131">
        <f ca="1"/>
        <v>1260</v>
      </c>
      <c r="V431" s="120">
        <f ca="1"/>
        <v>110.88</v>
      </c>
      <c r="W431" s="140">
        <f ca="1"/>
        <v>8</v>
      </c>
      <c r="X431" s="139">
        <f ca="1"/>
        <v>0.82222222222222219</v>
      </c>
      <c r="Y431" s="141">
        <f ca="1"/>
        <v>0.22021000000000002</v>
      </c>
      <c r="Z431" s="141">
        <f ca="1"/>
        <v>0.22021000000000002</v>
      </c>
      <c r="AA431" s="142">
        <f ca="1"/>
        <v>24.416884800000002</v>
      </c>
      <c r="AB431" s="138">
        <f ca="1"/>
        <v>7</v>
      </c>
      <c r="AC431" s="103" t="str">
        <f ca="1"/>
        <v>VIGENTE</v>
      </c>
      <c r="AD431" s="150">
        <f ca="1"/>
        <v>0.11087999999999999</v>
      </c>
    </row>
    <row r="432" spans="1:30">
      <c r="A432" s="111" t="str">
        <f ca="1"/>
        <v>COLOMBIA</v>
      </c>
      <c r="B432" s="111" t="str">
        <f ca="1"/>
        <v>BEBIDAS LACTEAS</v>
      </c>
      <c r="C432" s="111" t="str">
        <f ca="1"/>
        <v xml:space="preserve">Luis Armendariz                         </v>
      </c>
      <c r="D432" s="111" t="str">
        <f ca="1"/>
        <v>AVENA FINESSE</v>
      </c>
      <c r="E432" s="111" t="str">
        <f ca="1"/>
        <v>AVENA FINESSE VASO</v>
      </c>
      <c r="F432" s="120" t="str">
        <f ca="1"/>
        <v>GUAYAQUIL</v>
      </c>
      <c r="G432" s="120">
        <f ca="1"/>
        <v>7711</v>
      </c>
      <c r="H432" s="120">
        <f ca="1"/>
        <v>1001</v>
      </c>
      <c r="I432" s="120" t="str">
        <f ca="1"/>
        <v>8499239</v>
      </c>
      <c r="J432" s="120" t="str">
        <f ca="1"/>
        <v>AVENA FINESSE VASO 250G ECU</v>
      </c>
      <c r="K432" s="121">
        <f ca="1"/>
        <v>1344</v>
      </c>
      <c r="L432" s="122">
        <f ca="1"/>
        <v>1</v>
      </c>
      <c r="M432" s="120">
        <f ca="1"/>
        <v>0.25</v>
      </c>
      <c r="N432" s="121">
        <f ca="1"/>
        <v>180</v>
      </c>
      <c r="O432" s="123">
        <f ca="1"/>
        <v>45597</v>
      </c>
      <c r="P432" s="123" t="str">
        <f ca="1"/>
        <v>viernes</v>
      </c>
      <c r="Q432" s="124">
        <f ca="1"/>
        <v>45561</v>
      </c>
      <c r="R432" s="124">
        <f ca="1"/>
        <v>45740</v>
      </c>
      <c r="S432" s="90">
        <f ca="1"/>
        <v>116</v>
      </c>
      <c r="T432" s="139">
        <f ca="1"/>
        <v>0.64444444444444449</v>
      </c>
      <c r="U432" s="131">
        <f ca="1"/>
        <v>281</v>
      </c>
      <c r="V432" s="120">
        <f ca="1"/>
        <v>70.25</v>
      </c>
      <c r="W432" s="140">
        <f ca="1"/>
        <v>36</v>
      </c>
      <c r="X432" s="139">
        <f ca="1"/>
        <v>0.8</v>
      </c>
      <c r="Y432" s="141">
        <f ca="1"/>
        <v>0.35793999999999998</v>
      </c>
      <c r="Z432" s="141">
        <f ca="1"/>
        <v>0.35793999999999998</v>
      </c>
      <c r="AA432" s="142">
        <f ca="1"/>
        <v>25.145284999999998</v>
      </c>
      <c r="AB432" s="138">
        <f ca="1"/>
        <v>27</v>
      </c>
      <c r="AC432" s="103" t="str">
        <f ca="1"/>
        <v>VIGENTE</v>
      </c>
      <c r="AD432" s="150">
        <f ca="1"/>
        <v>7.0250000000000007E-2</v>
      </c>
    </row>
    <row r="433" spans="1:30">
      <c r="A433" s="111" t="str">
        <f ca="1"/>
        <v>COLOMBIA</v>
      </c>
      <c r="B433" s="111" t="str">
        <f ca="1"/>
        <v>BEBIDAS LACTEAS</v>
      </c>
      <c r="C433" s="111" t="str">
        <f ca="1"/>
        <v xml:space="preserve">Luis Armendariz                         </v>
      </c>
      <c r="D433" s="111" t="str">
        <f ca="1"/>
        <v>AVENA FINESSE</v>
      </c>
      <c r="E433" s="111" t="str">
        <f ca="1"/>
        <v>AVENA FINESSE VASO</v>
      </c>
      <c r="F433" s="120" t="str">
        <f ca="1"/>
        <v>GUAYAQUIL</v>
      </c>
      <c r="G433" s="120">
        <f ca="1"/>
        <v>7711</v>
      </c>
      <c r="H433" s="120">
        <f ca="1"/>
        <v>1001</v>
      </c>
      <c r="I433" s="120" t="str">
        <f ca="1"/>
        <v>8499239</v>
      </c>
      <c r="J433" s="120" t="str">
        <f ca="1"/>
        <v>AVENA FINESSE VASO 250G ECU</v>
      </c>
      <c r="K433" s="121">
        <f ca="1"/>
        <v>624</v>
      </c>
      <c r="L433" s="122">
        <f ca="1"/>
        <v>1</v>
      </c>
      <c r="M433" s="120">
        <f ca="1"/>
        <v>0.25</v>
      </c>
      <c r="N433" s="121">
        <f ca="1"/>
        <v>180</v>
      </c>
      <c r="O433" s="123">
        <f ca="1"/>
        <v>45601</v>
      </c>
      <c r="P433" s="123" t="str">
        <f ca="1"/>
        <v>martes</v>
      </c>
      <c r="Q433" s="124">
        <f ca="1"/>
        <v>45561</v>
      </c>
      <c r="R433" s="124">
        <f ca="1"/>
        <v>45740</v>
      </c>
      <c r="S433" s="90">
        <f ca="1"/>
        <v>116</v>
      </c>
      <c r="T433" s="139">
        <f ca="1"/>
        <v>0.64444444444444449</v>
      </c>
      <c r="U433" s="131">
        <f ca="1"/>
        <v>624</v>
      </c>
      <c r="V433" s="120">
        <f ca="1"/>
        <v>156</v>
      </c>
      <c r="W433" s="140">
        <f ca="1"/>
        <v>40</v>
      </c>
      <c r="X433" s="139">
        <f ca="1"/>
        <v>0.77777777777777779</v>
      </c>
      <c r="Y433" s="141">
        <f ca="1"/>
        <v>0.35793999999999998</v>
      </c>
      <c r="Z433" s="141">
        <f ca="1"/>
        <v>0.35793999999999998</v>
      </c>
      <c r="AA433" s="142">
        <f ca="1"/>
        <v>55.838639999999998</v>
      </c>
      <c r="AB433" s="138">
        <f ca="1"/>
        <v>23</v>
      </c>
      <c r="AC433" s="103" t="str">
        <f ca="1"/>
        <v>VIGENTE</v>
      </c>
      <c r="AD433" s="150">
        <f ca="1"/>
        <v>0.156</v>
      </c>
    </row>
    <row r="434" spans="1:30">
      <c r="A434" s="111" t="str">
        <f ca="1"/>
        <v>COLOMBIA</v>
      </c>
      <c r="B434" s="111" t="str">
        <f ca="1"/>
        <v>BEBIDAS LACTEAS</v>
      </c>
      <c r="C434" s="111" t="str">
        <f ca="1"/>
        <v xml:space="preserve">Luis Armendariz                         </v>
      </c>
      <c r="D434" s="111" t="str">
        <f ca="1"/>
        <v>AVENA FINESSE</v>
      </c>
      <c r="E434" s="111" t="str">
        <f ca="1"/>
        <v>AVENA FINESSE VASO</v>
      </c>
      <c r="F434" s="120" t="str">
        <f ca="1"/>
        <v>GUAYAQUIL</v>
      </c>
      <c r="G434" s="120">
        <f ca="1"/>
        <v>7711</v>
      </c>
      <c r="H434" s="120">
        <f ca="1"/>
        <v>1001</v>
      </c>
      <c r="I434" s="120" t="str">
        <f ca="1"/>
        <v>8499239</v>
      </c>
      <c r="J434" s="120" t="str">
        <f ca="1"/>
        <v>AVENA FINESSE VASO 250G ECU</v>
      </c>
      <c r="K434" s="121">
        <f ca="1"/>
        <v>624</v>
      </c>
      <c r="L434" s="122">
        <f ca="1"/>
        <v>1</v>
      </c>
      <c r="M434" s="120">
        <f ca="1"/>
        <v>0.25</v>
      </c>
      <c r="N434" s="121">
        <f ca="1"/>
        <v>180</v>
      </c>
      <c r="O434" s="123">
        <f ca="1"/>
        <v>45610</v>
      </c>
      <c r="P434" s="123" t="str">
        <f ca="1"/>
        <v>jueves</v>
      </c>
      <c r="Q434" s="124">
        <f ca="1"/>
        <v>45562</v>
      </c>
      <c r="R434" s="124">
        <f ca="1"/>
        <v>45741</v>
      </c>
      <c r="S434" s="90">
        <f ca="1"/>
        <v>117</v>
      </c>
      <c r="T434" s="139">
        <f ca="1"/>
        <v>0.65</v>
      </c>
      <c r="U434" s="131">
        <f ca="1"/>
        <v>624</v>
      </c>
      <c r="V434" s="120">
        <f ca="1"/>
        <v>156</v>
      </c>
      <c r="W434" s="140">
        <f ca="1"/>
        <v>48</v>
      </c>
      <c r="X434" s="139">
        <f ca="1"/>
        <v>0.73333333333333339</v>
      </c>
      <c r="Y434" s="141">
        <f ca="1"/>
        <v>0.35793999999999998</v>
      </c>
      <c r="Z434" s="141">
        <f ca="1"/>
        <v>0.35793999999999998</v>
      </c>
      <c r="AA434" s="142">
        <f ca="1"/>
        <v>55.838639999999998</v>
      </c>
      <c r="AB434" s="138">
        <f ca="1"/>
        <v>14</v>
      </c>
      <c r="AC434" s="103" t="str">
        <f ca="1"/>
        <v>VIGENTE</v>
      </c>
      <c r="AD434" s="150">
        <f ca="1"/>
        <v>0.156</v>
      </c>
    </row>
    <row r="435" spans="1:30">
      <c r="A435" s="111" t="str">
        <f ca="1"/>
        <v>SAN GABRIEL</v>
      </c>
      <c r="B435" s="111" t="str">
        <f ca="1"/>
        <v>QUESOS Y GRASAS</v>
      </c>
      <c r="C435" s="111" t="str">
        <f ca="1"/>
        <v xml:space="preserve">Esteban Montenegro                      </v>
      </c>
      <c r="D435" s="111" t="str">
        <f ca="1"/>
        <v>QUESO SEMIMADURO KIOSKO</v>
      </c>
      <c r="E435" s="111" t="str">
        <f ca="1"/>
        <v>QUESO HOLANDES KIOSKO TAJADO</v>
      </c>
      <c r="F435" s="120" t="str">
        <f ca="1"/>
        <v>GUAYAQUIL</v>
      </c>
      <c r="G435" s="120">
        <f ca="1"/>
        <v>7711</v>
      </c>
      <c r="H435" s="120">
        <f ca="1"/>
        <v>1001</v>
      </c>
      <c r="I435" s="120" t="str">
        <f ca="1"/>
        <v>16527</v>
      </c>
      <c r="J435" s="120" t="str">
        <f ca="1"/>
        <v>Q HOLANDES KIOSKO LONJAS 75G</v>
      </c>
      <c r="K435" s="121">
        <f ca="1"/>
        <v>180</v>
      </c>
      <c r="L435" s="122">
        <f ca="1"/>
        <v>1</v>
      </c>
      <c r="M435" s="120">
        <f ca="1"/>
        <v>7.4999999999999997E-2</v>
      </c>
      <c r="N435" s="121">
        <f ca="1"/>
        <v>90</v>
      </c>
      <c r="O435" s="123">
        <f ca="1"/>
        <v>45608</v>
      </c>
      <c r="P435" s="123" t="str">
        <f ca="1"/>
        <v>martes</v>
      </c>
      <c r="Q435" s="124">
        <f ca="1"/>
        <v>45601</v>
      </c>
      <c r="R435" s="124">
        <f ca="1"/>
        <v>45690</v>
      </c>
      <c r="S435" s="90">
        <f ca="1"/>
        <v>66</v>
      </c>
      <c r="T435" s="139">
        <f ca="1"/>
        <v>0.73333333333333328</v>
      </c>
      <c r="U435" s="131">
        <f ca="1"/>
        <v>44</v>
      </c>
      <c r="V435" s="120">
        <f ca="1"/>
        <v>3.3</v>
      </c>
      <c r="W435" s="140">
        <f ca="1"/>
        <v>7</v>
      </c>
      <c r="X435" s="139">
        <f ca="1"/>
        <v>0.92222222222222228</v>
      </c>
      <c r="Y435" s="141">
        <f ca="1"/>
        <v>0.59355000000000002</v>
      </c>
      <c r="Z435" s="141">
        <f ca="1"/>
        <v>0.59355000000000002</v>
      </c>
      <c r="AA435" s="142">
        <f ca="1"/>
        <v>1.958715</v>
      </c>
      <c r="AB435" s="138">
        <f ca="1"/>
        <v>16</v>
      </c>
      <c r="AC435" s="103" t="str">
        <f ca="1"/>
        <v>VIGENTE</v>
      </c>
      <c r="AD435" s="150">
        <f ca="1"/>
        <v>3.3E-3</v>
      </c>
    </row>
    <row r="436" spans="1:30">
      <c r="A436" s="111" t="str">
        <f ca="1"/>
        <v>SAN GABRIEL</v>
      </c>
      <c r="B436" s="111" t="str">
        <f ca="1"/>
        <v>QUESOS Y GRASAS</v>
      </c>
      <c r="C436" s="111" t="str">
        <f ca="1"/>
        <v xml:space="preserve">Esteban Montenegro                      </v>
      </c>
      <c r="D436" s="111" t="str">
        <f ca="1"/>
        <v>QUESO SEMIMADURO KIOSKO</v>
      </c>
      <c r="E436" s="111" t="str">
        <f ca="1"/>
        <v>QUESO HOLANDES KIOSKO TAJADO</v>
      </c>
      <c r="F436" s="120" t="str">
        <f ca="1"/>
        <v>GUAYAQUIL</v>
      </c>
      <c r="G436" s="120">
        <f ca="1"/>
        <v>7711</v>
      </c>
      <c r="H436" s="120">
        <f ca="1"/>
        <v>1001</v>
      </c>
      <c r="I436" s="120" t="str">
        <f ca="1"/>
        <v>16527</v>
      </c>
      <c r="J436" s="120" t="str">
        <f ca="1"/>
        <v>Q HOLANDES KIOSKO LONJAS 75G</v>
      </c>
      <c r="K436" s="121">
        <f ca="1"/>
        <v>240</v>
      </c>
      <c r="L436" s="122">
        <f ca="1"/>
        <v>1</v>
      </c>
      <c r="M436" s="120">
        <f ca="1"/>
        <v>7.4999999999999997E-2</v>
      </c>
      <c r="N436" s="121">
        <f ca="1"/>
        <v>90</v>
      </c>
      <c r="O436" s="123">
        <f ca="1"/>
        <v>45615</v>
      </c>
      <c r="P436" s="123" t="str">
        <f ca="1"/>
        <v>martes</v>
      </c>
      <c r="Q436" s="124">
        <f ca="1"/>
        <v>45609</v>
      </c>
      <c r="R436" s="124">
        <f ca="1"/>
        <v>45698</v>
      </c>
      <c r="S436" s="90">
        <f ca="1"/>
        <v>74</v>
      </c>
      <c r="T436" s="139">
        <f ca="1"/>
        <v>0.82222222222222219</v>
      </c>
      <c r="U436" s="131">
        <f ca="1"/>
        <v>240</v>
      </c>
      <c r="V436" s="120">
        <f ca="1"/>
        <v>18</v>
      </c>
      <c r="W436" s="140">
        <f ca="1"/>
        <v>6</v>
      </c>
      <c r="X436" s="139">
        <f ca="1"/>
        <v>0.93333333333333335</v>
      </c>
      <c r="Y436" s="141">
        <f ca="1"/>
        <v>0.59355000000000002</v>
      </c>
      <c r="Z436" s="141">
        <f ca="1"/>
        <v>0.59355000000000002</v>
      </c>
      <c r="AA436" s="142">
        <f ca="1"/>
        <v>10.683900000000001</v>
      </c>
      <c r="AB436" s="138">
        <f ca="1"/>
        <v>9</v>
      </c>
      <c r="AC436" s="103" t="str">
        <f ca="1"/>
        <v>VIGENTE</v>
      </c>
      <c r="AD436" s="150">
        <f ca="1"/>
        <v>1.7999999999999999E-2</v>
      </c>
    </row>
    <row r="437" spans="1:30">
      <c r="A437" s="111" t="str">
        <f ca="1"/>
        <v>MACHACHI</v>
      </c>
      <c r="B437" s="111" t="str">
        <f ca="1"/>
        <v>BEBIDAS LACTEAS</v>
      </c>
      <c r="C437" s="111" t="str">
        <f ca="1"/>
        <v xml:space="preserve">Luis Armendariz                         </v>
      </c>
      <c r="D437" s="111" t="str">
        <f ca="1"/>
        <v>BON YURT</v>
      </c>
      <c r="E437" s="111" t="str">
        <f ca="1"/>
        <v>BON YURT MINI</v>
      </c>
      <c r="F437" s="120" t="str">
        <f ca="1"/>
        <v>GUAYAQUIL</v>
      </c>
      <c r="G437" s="120">
        <f ca="1"/>
        <v>7711</v>
      </c>
      <c r="H437" s="120">
        <f ca="1"/>
        <v>1001</v>
      </c>
      <c r="I437" s="120" t="str">
        <f ca="1"/>
        <v>17116</v>
      </c>
      <c r="J437" s="120" t="str">
        <f ca="1"/>
        <v>BY MINI CANPOP VASO 105G</v>
      </c>
      <c r="K437" s="121">
        <f ca="1"/>
        <v>1050</v>
      </c>
      <c r="L437" s="122">
        <f ca="1"/>
        <v>1</v>
      </c>
      <c r="M437" s="120">
        <f ca="1"/>
        <v>0.105</v>
      </c>
      <c r="N437" s="121">
        <f ca="1"/>
        <v>45</v>
      </c>
      <c r="O437" s="123">
        <f ca="1"/>
        <v>45608</v>
      </c>
      <c r="P437" s="123" t="str">
        <f ca="1"/>
        <v>martes</v>
      </c>
      <c r="Q437" s="124">
        <f ca="1"/>
        <v>45596</v>
      </c>
      <c r="R437" s="124">
        <f ca="1"/>
        <v>45640</v>
      </c>
      <c r="S437" s="90">
        <f ca="1"/>
        <v>16</v>
      </c>
      <c r="T437" s="139">
        <f ca="1"/>
        <v>0.35555555555555557</v>
      </c>
      <c r="U437" s="131">
        <f ca="1"/>
        <v>85</v>
      </c>
      <c r="V437" s="120">
        <f ca="1"/>
        <v>8.9249999999999989</v>
      </c>
      <c r="W437" s="140">
        <f ca="1"/>
        <v>12</v>
      </c>
      <c r="X437" s="139">
        <f ca="1"/>
        <v>0.73333333333333339</v>
      </c>
      <c r="Y437" s="141">
        <f ca="1"/>
        <v>0.25944499999999998</v>
      </c>
      <c r="Z437" s="141">
        <f ca="1"/>
        <v>0.25944499999999998</v>
      </c>
      <c r="AA437" s="142">
        <f ca="1"/>
        <v>2.3155466249999996</v>
      </c>
      <c r="AB437" s="138">
        <f ca="1"/>
        <v>16</v>
      </c>
      <c r="AC437" s="103" t="str">
        <f ca="1"/>
        <v>FECHA CORTA</v>
      </c>
      <c r="AD437" s="150">
        <f ca="1"/>
        <v>8.9249999999999989E-3</v>
      </c>
    </row>
    <row r="438" spans="1:30">
      <c r="A438" s="111" t="str">
        <f ca="1"/>
        <v>MACHACHI</v>
      </c>
      <c r="B438" s="111" t="str">
        <f ca="1"/>
        <v>BEBIDAS LACTEAS</v>
      </c>
      <c r="C438" s="111" t="str">
        <f ca="1"/>
        <v xml:space="preserve">Luis Armendariz                         </v>
      </c>
      <c r="D438" s="111" t="str">
        <f ca="1"/>
        <v>BON YURT</v>
      </c>
      <c r="E438" s="111" t="str">
        <f ca="1"/>
        <v>BON YURT MINI</v>
      </c>
      <c r="F438" s="120" t="str">
        <f ca="1"/>
        <v>GUAYAQUIL</v>
      </c>
      <c r="G438" s="120">
        <f ca="1"/>
        <v>7711</v>
      </c>
      <c r="H438" s="120">
        <f ca="1"/>
        <v>1001</v>
      </c>
      <c r="I438" s="120" t="str">
        <f ca="1"/>
        <v>17116</v>
      </c>
      <c r="J438" s="120" t="str">
        <f ca="1"/>
        <v>BY MINI CANPOP VASO 105G</v>
      </c>
      <c r="K438" s="121">
        <f ca="1"/>
        <v>1260</v>
      </c>
      <c r="L438" s="122">
        <f ca="1"/>
        <v>1</v>
      </c>
      <c r="M438" s="120">
        <f ca="1"/>
        <v>0.105</v>
      </c>
      <c r="N438" s="121">
        <f ca="1"/>
        <v>45</v>
      </c>
      <c r="O438" s="123">
        <f ca="1"/>
        <v>45612</v>
      </c>
      <c r="P438" s="123" t="str">
        <f ca="1"/>
        <v>sábado</v>
      </c>
      <c r="Q438" s="124">
        <f ca="1"/>
        <v>45603</v>
      </c>
      <c r="R438" s="124">
        <f ca="1"/>
        <v>45647</v>
      </c>
      <c r="S438" s="90">
        <f ca="1"/>
        <v>23</v>
      </c>
      <c r="T438" s="139">
        <f ca="1"/>
        <v>0.51111111111111107</v>
      </c>
      <c r="U438" s="131">
        <f ca="1"/>
        <v>1260</v>
      </c>
      <c r="V438" s="120">
        <f ca="1"/>
        <v>132.29999999999998</v>
      </c>
      <c r="W438" s="140">
        <f ca="1"/>
        <v>9</v>
      </c>
      <c r="X438" s="139">
        <f ca="1"/>
        <v>0.8</v>
      </c>
      <c r="Y438" s="141">
        <f ca="1"/>
        <v>0.25944499999999998</v>
      </c>
      <c r="Z438" s="141">
        <f ca="1"/>
        <v>0.25944499999999998</v>
      </c>
      <c r="AA438" s="142">
        <f ca="1"/>
        <v>34.324573499999993</v>
      </c>
      <c r="AB438" s="138">
        <f ca="1"/>
        <v>12</v>
      </c>
      <c r="AC438" s="103" t="str">
        <f ca="1"/>
        <v>PROXIMOS FECHA CORTA</v>
      </c>
      <c r="AD438" s="150">
        <f ca="1"/>
        <v>0.13229999999999997</v>
      </c>
    </row>
    <row r="439" spans="1:30">
      <c r="A439" s="111" t="str">
        <f ca="1"/>
        <v>MACHACHI</v>
      </c>
      <c r="B439" s="111" t="str">
        <f ca="1"/>
        <v>BEBIDAS LACTEAS</v>
      </c>
      <c r="C439" s="111" t="str">
        <f ca="1"/>
        <v xml:space="preserve">Luis Armendariz                         </v>
      </c>
      <c r="D439" s="111" t="str">
        <f ca="1"/>
        <v>BON YURT</v>
      </c>
      <c r="E439" s="111" t="str">
        <f ca="1"/>
        <v>BON YURT MINI</v>
      </c>
      <c r="F439" s="120" t="str">
        <f ca="1"/>
        <v>GUAYAQUIL</v>
      </c>
      <c r="G439" s="120">
        <f ca="1"/>
        <v>7711</v>
      </c>
      <c r="H439" s="120">
        <f ca="1"/>
        <v>1001</v>
      </c>
      <c r="I439" s="120" t="str">
        <f ca="1"/>
        <v>17116</v>
      </c>
      <c r="J439" s="120" t="str">
        <f ca="1"/>
        <v>BY MINI CANPOP VASO 105G</v>
      </c>
      <c r="K439" s="121">
        <f ca="1"/>
        <v>1540</v>
      </c>
      <c r="L439" s="122">
        <f ca="1"/>
        <v>1</v>
      </c>
      <c r="M439" s="120">
        <f ca="1"/>
        <v>0.105</v>
      </c>
      <c r="N439" s="121">
        <f ca="1"/>
        <v>45</v>
      </c>
      <c r="O439" s="123">
        <f ca="1"/>
        <v>45611</v>
      </c>
      <c r="P439" s="123" t="str">
        <f ca="1"/>
        <v>viernes</v>
      </c>
      <c r="Q439" s="124">
        <f ca="1"/>
        <v>45603</v>
      </c>
      <c r="R439" s="124">
        <f ca="1"/>
        <v>45647</v>
      </c>
      <c r="S439" s="90">
        <f ca="1"/>
        <v>23</v>
      </c>
      <c r="T439" s="139">
        <f ca="1"/>
        <v>0.51111111111111107</v>
      </c>
      <c r="U439" s="131">
        <f ca="1"/>
        <v>1162</v>
      </c>
      <c r="V439" s="120">
        <f ca="1"/>
        <v>122.00999999999999</v>
      </c>
      <c r="W439" s="140">
        <f ca="1"/>
        <v>8</v>
      </c>
      <c r="X439" s="139">
        <f ca="1"/>
        <v>0.82222222222222219</v>
      </c>
      <c r="Y439" s="141">
        <f ca="1"/>
        <v>0.25944499999999998</v>
      </c>
      <c r="Z439" s="141">
        <f ca="1"/>
        <v>0.25944499999999998</v>
      </c>
      <c r="AA439" s="142">
        <f ca="1"/>
        <v>31.654884449999994</v>
      </c>
      <c r="AB439" s="138">
        <f ca="1"/>
        <v>13</v>
      </c>
      <c r="AC439" s="103" t="str">
        <f ca="1"/>
        <v>PROXIMOS FECHA CORTA</v>
      </c>
      <c r="AD439" s="150">
        <f ca="1"/>
        <v>0.12200999999999999</v>
      </c>
    </row>
    <row r="440" spans="1:30">
      <c r="A440" s="111" t="str">
        <f ca="1"/>
        <v>MACHACHI</v>
      </c>
      <c r="B440" s="111" t="str">
        <f ca="1"/>
        <v>BEBIDAS LACTEAS</v>
      </c>
      <c r="C440" s="111" t="str">
        <f ca="1"/>
        <v xml:space="preserve">Luis Armendariz                         </v>
      </c>
      <c r="D440" s="111" t="str">
        <f ca="1"/>
        <v>BON YURT</v>
      </c>
      <c r="E440" s="111" t="str">
        <f ca="1"/>
        <v>BON YURT MINI</v>
      </c>
      <c r="F440" s="120" t="str">
        <f ca="1"/>
        <v>GUAYAQUIL</v>
      </c>
      <c r="G440" s="120">
        <f ca="1"/>
        <v>7711</v>
      </c>
      <c r="H440" s="120">
        <f ca="1"/>
        <v>1001</v>
      </c>
      <c r="I440" s="120" t="str">
        <f ca="1"/>
        <v>17116</v>
      </c>
      <c r="J440" s="120" t="str">
        <f ca="1"/>
        <v>BY MINI CANPOP VASO 105G</v>
      </c>
      <c r="K440" s="121">
        <f ca="1"/>
        <v>1610</v>
      </c>
      <c r="L440" s="122">
        <f ca="1"/>
        <v>1</v>
      </c>
      <c r="M440" s="120">
        <f ca="1"/>
        <v>0.105</v>
      </c>
      <c r="N440" s="121">
        <f ca="1"/>
        <v>45</v>
      </c>
      <c r="O440" s="123">
        <f ca="1"/>
        <v>45615</v>
      </c>
      <c r="P440" s="123" t="str">
        <f ca="1"/>
        <v>martes</v>
      </c>
      <c r="Q440" s="124">
        <f ca="1"/>
        <v>45603</v>
      </c>
      <c r="R440" s="124">
        <f ca="1"/>
        <v>45647</v>
      </c>
      <c r="S440" s="90">
        <f ca="1"/>
        <v>23</v>
      </c>
      <c r="T440" s="139">
        <f ca="1"/>
        <v>0.51111111111111107</v>
      </c>
      <c r="U440" s="131">
        <f ca="1"/>
        <v>1610</v>
      </c>
      <c r="V440" s="120">
        <f ca="1"/>
        <v>169.04999999999998</v>
      </c>
      <c r="W440" s="140">
        <f ca="1"/>
        <v>12</v>
      </c>
      <c r="X440" s="139">
        <f ca="1"/>
        <v>0.73333333333333339</v>
      </c>
      <c r="Y440" s="141">
        <f ca="1"/>
        <v>0.25944499999999998</v>
      </c>
      <c r="Z440" s="141">
        <f ca="1"/>
        <v>0.25944499999999998</v>
      </c>
      <c r="AA440" s="142">
        <f ca="1"/>
        <v>43.859177249999995</v>
      </c>
      <c r="AB440" s="138">
        <f ca="1"/>
        <v>9</v>
      </c>
      <c r="AC440" s="103" t="str">
        <f ca="1"/>
        <v>PROXIMOS FECHA CORTA</v>
      </c>
      <c r="AD440" s="150">
        <f ca="1"/>
        <v>0.16904999999999998</v>
      </c>
    </row>
    <row r="441" spans="1:30">
      <c r="A441" s="111" t="str">
        <f ca="1"/>
        <v>MACHACHI</v>
      </c>
      <c r="B441" s="111" t="str">
        <f ca="1"/>
        <v>BEBIDAS LACTEAS</v>
      </c>
      <c r="C441" s="111" t="str">
        <f ca="1"/>
        <v xml:space="preserve">Luis Armendariz                         </v>
      </c>
      <c r="D441" s="111" t="str">
        <f ca="1"/>
        <v>BON YURT</v>
      </c>
      <c r="E441" s="111" t="str">
        <f ca="1"/>
        <v>BON YURT MINI</v>
      </c>
      <c r="F441" s="120" t="str">
        <f ca="1"/>
        <v>GUAYAQUIL</v>
      </c>
      <c r="G441" s="120">
        <f ca="1"/>
        <v>7711</v>
      </c>
      <c r="H441" s="120">
        <f ca="1"/>
        <v>1001</v>
      </c>
      <c r="I441" s="120" t="str">
        <f ca="1"/>
        <v>17116</v>
      </c>
      <c r="J441" s="120" t="str">
        <f ca="1"/>
        <v>BY MINI CANPOP VASO 105G</v>
      </c>
      <c r="K441" s="121">
        <f ca="1"/>
        <v>1400</v>
      </c>
      <c r="L441" s="122">
        <f ca="1"/>
        <v>1</v>
      </c>
      <c r="M441" s="120">
        <f ca="1"/>
        <v>0.105</v>
      </c>
      <c r="N441" s="121">
        <f ca="1"/>
        <v>45</v>
      </c>
      <c r="O441" s="123">
        <f ca="1"/>
        <v>45616</v>
      </c>
      <c r="P441" s="123" t="str">
        <f ca="1"/>
        <v>miércoles</v>
      </c>
      <c r="Q441" s="124">
        <f ca="1"/>
        <v>45610</v>
      </c>
      <c r="R441" s="124">
        <f ca="1"/>
        <v>45654</v>
      </c>
      <c r="S441" s="90">
        <f ca="1"/>
        <v>30</v>
      </c>
      <c r="T441" s="139">
        <f ca="1"/>
        <v>0.66666666666666663</v>
      </c>
      <c r="U441" s="131">
        <f ca="1"/>
        <v>350</v>
      </c>
      <c r="V441" s="120">
        <f ca="1"/>
        <v>36.75</v>
      </c>
      <c r="W441" s="140">
        <f ca="1"/>
        <v>6</v>
      </c>
      <c r="X441" s="139">
        <f ca="1"/>
        <v>0.8666666666666667</v>
      </c>
      <c r="Y441" s="141">
        <f ca="1"/>
        <v>0.25944499999999998</v>
      </c>
      <c r="Z441" s="141">
        <f ca="1"/>
        <v>0.25944499999999998</v>
      </c>
      <c r="AA441" s="142">
        <f ca="1"/>
        <v>9.5346037499999987</v>
      </c>
      <c r="AB441" s="138">
        <f ca="1"/>
        <v>8</v>
      </c>
      <c r="AC441" s="103" t="str">
        <f ca="1"/>
        <v>VIGENTE</v>
      </c>
      <c r="AD441" s="150">
        <f ca="1"/>
        <v>3.6749999999999998E-2</v>
      </c>
    </row>
    <row r="442" spans="1:30">
      <c r="A442" s="111" t="str">
        <f ca="1"/>
        <v>MACHACHI</v>
      </c>
      <c r="B442" s="111" t="str">
        <f ca="1"/>
        <v>BEBIDAS LACTEAS</v>
      </c>
      <c r="C442" s="111" t="str">
        <f ca="1"/>
        <v xml:space="preserve">Luis Armendariz                         </v>
      </c>
      <c r="D442" s="111" t="str">
        <f ca="1"/>
        <v>BON YURT</v>
      </c>
      <c r="E442" s="111" t="str">
        <f ca="1"/>
        <v>BON YURT MINI</v>
      </c>
      <c r="F442" s="120" t="str">
        <f ca="1"/>
        <v>GUAYAQUIL</v>
      </c>
      <c r="G442" s="120">
        <f ca="1"/>
        <v>7711</v>
      </c>
      <c r="H442" s="120">
        <f ca="1"/>
        <v>1001</v>
      </c>
      <c r="I442" s="120" t="str">
        <f ca="1"/>
        <v>17116</v>
      </c>
      <c r="J442" s="120" t="str">
        <f ca="1"/>
        <v>BY MINI CANPOP VASO 105G</v>
      </c>
      <c r="K442" s="121">
        <f ca="1"/>
        <v>1050</v>
      </c>
      <c r="L442" s="122">
        <f ca="1"/>
        <v>1</v>
      </c>
      <c r="M442" s="120">
        <f ca="1"/>
        <v>0.105</v>
      </c>
      <c r="N442" s="121">
        <f ca="1"/>
        <v>45</v>
      </c>
      <c r="O442" s="123">
        <f ca="1"/>
        <v>45617</v>
      </c>
      <c r="P442" s="123" t="str">
        <f ca="1"/>
        <v>jueves</v>
      </c>
      <c r="Q442" s="124">
        <f ca="1"/>
        <v>45610</v>
      </c>
      <c r="R442" s="124">
        <f ca="1"/>
        <v>45654</v>
      </c>
      <c r="S442" s="90">
        <f ca="1"/>
        <v>30</v>
      </c>
      <c r="T442" s="139">
        <f ca="1"/>
        <v>0.66666666666666663</v>
      </c>
      <c r="U442" s="131">
        <f ca="1"/>
        <v>1050</v>
      </c>
      <c r="V442" s="120">
        <f ca="1"/>
        <v>110.25</v>
      </c>
      <c r="W442" s="140">
        <f ca="1"/>
        <v>7</v>
      </c>
      <c r="X442" s="139">
        <f ca="1"/>
        <v>0.84444444444444444</v>
      </c>
      <c r="Y442" s="141">
        <f ca="1"/>
        <v>0.25944499999999998</v>
      </c>
      <c r="Z442" s="141">
        <f ca="1"/>
        <v>0.25944499999999998</v>
      </c>
      <c r="AA442" s="142">
        <f ca="1"/>
        <v>28.60381125</v>
      </c>
      <c r="AB442" s="138">
        <f ca="1"/>
        <v>7</v>
      </c>
      <c r="AC442" s="103" t="str">
        <f ca="1"/>
        <v>VIGENTE</v>
      </c>
      <c r="AD442" s="150">
        <f ca="1"/>
        <v>0.11025</v>
      </c>
    </row>
    <row r="443" spans="1:30">
      <c r="A443" s="111" t="str">
        <f ca="1"/>
        <v>SAN GABRIEL</v>
      </c>
      <c r="B443" s="111" t="str">
        <f ca="1"/>
        <v>QUESOS Y GRASAS</v>
      </c>
      <c r="C443" s="111" t="str">
        <f ca="1"/>
        <v xml:space="preserve">Esteban Montenegro                      </v>
      </c>
      <c r="D443" s="111" t="str">
        <f ca="1"/>
        <v>QUESO SEMIMADURO KIOSKO</v>
      </c>
      <c r="E443" s="111" t="str">
        <f ca="1"/>
        <v>QUESO TACO CHESSE KIOSKO RALLADO</v>
      </c>
      <c r="F443" s="120" t="str">
        <f ca="1"/>
        <v>GUAYAQUIL</v>
      </c>
      <c r="G443" s="120">
        <f ca="1"/>
        <v>7711</v>
      </c>
      <c r="H443" s="120">
        <f ca="1"/>
        <v>1001</v>
      </c>
      <c r="I443" s="120" t="str">
        <f ca="1"/>
        <v>5780</v>
      </c>
      <c r="J443" s="120" t="str">
        <f ca="1"/>
        <v>Q MIX MEX KIOSKO RALL BOL 300G</v>
      </c>
      <c r="K443" s="121">
        <f ca="1"/>
        <v>120</v>
      </c>
      <c r="L443" s="122">
        <f ca="1"/>
        <v>1</v>
      </c>
      <c r="M443" s="120">
        <f ca="1"/>
        <v>0.3</v>
      </c>
      <c r="N443" s="121">
        <f ca="1"/>
        <v>60</v>
      </c>
      <c r="O443" s="123">
        <f ca="1"/>
        <v>45615</v>
      </c>
      <c r="P443" s="123" t="str">
        <f ca="1"/>
        <v>martes</v>
      </c>
      <c r="Q443" s="124">
        <f ca="1"/>
        <v>45608</v>
      </c>
      <c r="R443" s="124">
        <f ca="1"/>
        <v>45667</v>
      </c>
      <c r="S443" s="90">
        <f ca="1"/>
        <v>43</v>
      </c>
      <c r="T443" s="139">
        <f ca="1"/>
        <v>0.71666666666666667</v>
      </c>
      <c r="U443" s="131">
        <f ca="1"/>
        <v>40</v>
      </c>
      <c r="V443" s="120">
        <f ca="1"/>
        <v>12</v>
      </c>
      <c r="W443" s="140">
        <f ca="1"/>
        <v>7</v>
      </c>
      <c r="X443" s="139">
        <f ca="1"/>
        <v>0.8833333333333333</v>
      </c>
      <c r="Y443" s="141">
        <f ca="1"/>
        <v>2.3023199999999999</v>
      </c>
      <c r="Z443" s="141">
        <f ca="1"/>
        <v>2.3023199999999999</v>
      </c>
      <c r="AA443" s="142">
        <f ca="1"/>
        <v>27.627839999999999</v>
      </c>
      <c r="AB443" s="138">
        <f ca="1"/>
        <v>9</v>
      </c>
      <c r="AC443" s="103" t="str">
        <f ca="1"/>
        <v>VIGENTE</v>
      </c>
      <c r="AD443" s="150">
        <f ca="1"/>
        <v>1.2E-2</v>
      </c>
    </row>
    <row r="444" spans="1:30">
      <c r="A444" s="111" t="str">
        <f ca="1"/>
        <v>SAN GABRIEL</v>
      </c>
      <c r="B444" s="111" t="str">
        <f ca="1"/>
        <v>QUESOS Y GRASAS</v>
      </c>
      <c r="C444" s="111" t="str">
        <f ca="1"/>
        <v xml:space="preserve">Esteban Montenegro                      </v>
      </c>
      <c r="D444" s="111" t="str">
        <f ca="1"/>
        <v>QUESO SEMIMADURO KIOSKO</v>
      </c>
      <c r="E444" s="111" t="str">
        <f ca="1"/>
        <v>QUESO TACO CHESSE KIOSKO RALLADO</v>
      </c>
      <c r="F444" s="120" t="str">
        <f ca="1"/>
        <v>GUAYAQUIL</v>
      </c>
      <c r="G444" s="120">
        <f ca="1"/>
        <v>7711</v>
      </c>
      <c r="H444" s="120">
        <f ca="1"/>
        <v>1001</v>
      </c>
      <c r="I444" s="120" t="str">
        <f ca="1"/>
        <v>5780</v>
      </c>
      <c r="J444" s="120" t="str">
        <f ca="1"/>
        <v>Q MIX MEX KIOSKO RALL BOL 300G</v>
      </c>
      <c r="K444" s="121">
        <f ca="1"/>
        <v>30</v>
      </c>
      <c r="L444" s="122">
        <f ca="1"/>
        <v>1</v>
      </c>
      <c r="M444" s="120">
        <f ca="1"/>
        <v>0.3</v>
      </c>
      <c r="N444" s="121">
        <f ca="1"/>
        <v>60</v>
      </c>
      <c r="O444" s="123">
        <f ca="1"/>
        <v>45616</v>
      </c>
      <c r="P444" s="123" t="str">
        <f ca="1"/>
        <v>miércoles</v>
      </c>
      <c r="Q444" s="124">
        <f ca="1"/>
        <v>45608</v>
      </c>
      <c r="R444" s="124">
        <f ca="1"/>
        <v>45667</v>
      </c>
      <c r="S444" s="90">
        <f ca="1"/>
        <v>43</v>
      </c>
      <c r="T444" s="139">
        <f ca="1"/>
        <v>0.71666666666666667</v>
      </c>
      <c r="U444" s="131">
        <f ca="1"/>
        <v>30</v>
      </c>
      <c r="V444" s="120">
        <f ca="1"/>
        <v>9</v>
      </c>
      <c r="W444" s="140">
        <f ca="1"/>
        <v>8</v>
      </c>
      <c r="X444" s="139">
        <f ca="1"/>
        <v>0.8666666666666667</v>
      </c>
      <c r="Y444" s="141">
        <f ca="1"/>
        <v>2.3023199999999999</v>
      </c>
      <c r="Z444" s="141">
        <f ca="1"/>
        <v>2.3023199999999999</v>
      </c>
      <c r="AA444" s="142">
        <f ca="1"/>
        <v>20.720880000000001</v>
      </c>
      <c r="AB444" s="138">
        <f ca="1"/>
        <v>8</v>
      </c>
      <c r="AC444" s="103" t="str">
        <f ca="1"/>
        <v>VIGENTE</v>
      </c>
      <c r="AD444" s="150">
        <f ca="1"/>
        <v>8.9999999999999993E-3</v>
      </c>
    </row>
    <row r="445" spans="1:30">
      <c r="A445" s="111" t="str">
        <f ca="1"/>
        <v>SAN GABRIEL</v>
      </c>
      <c r="B445" s="111" t="str">
        <f ca="1"/>
        <v>QUESOS Y GRASAS</v>
      </c>
      <c r="C445" s="111" t="str">
        <f ca="1"/>
        <v xml:space="preserve">Esteban Montenegro                      </v>
      </c>
      <c r="D445" s="111" t="str">
        <f ca="1"/>
        <v>QUESO SEMIMADURO KIOSKO</v>
      </c>
      <c r="E445" s="111" t="str">
        <f ca="1"/>
        <v>QUESO TACO CHESSE KIOSKO RALLADO</v>
      </c>
      <c r="F445" s="120" t="str">
        <f ca="1"/>
        <v>GUAYAQUIL</v>
      </c>
      <c r="G445" s="120">
        <f ca="1"/>
        <v>7711</v>
      </c>
      <c r="H445" s="120">
        <f ca="1"/>
        <v>1001</v>
      </c>
      <c r="I445" s="120" t="str">
        <f ca="1"/>
        <v>5780</v>
      </c>
      <c r="J445" s="120" t="str">
        <f ca="1"/>
        <v>Q MIX MEX KIOSKO RALL BOL 300G</v>
      </c>
      <c r="K445" s="121">
        <f ca="1"/>
        <v>60</v>
      </c>
      <c r="L445" s="122">
        <f ca="1"/>
        <v>1</v>
      </c>
      <c r="M445" s="120">
        <f ca="1"/>
        <v>0.3</v>
      </c>
      <c r="N445" s="121">
        <f ca="1"/>
        <v>60</v>
      </c>
      <c r="O445" s="123">
        <f ca="1"/>
        <v>45617</v>
      </c>
      <c r="P445" s="123" t="str">
        <f ca="1"/>
        <v>jueves</v>
      </c>
      <c r="Q445" s="124">
        <f ca="1"/>
        <v>45608</v>
      </c>
      <c r="R445" s="124">
        <f ca="1"/>
        <v>45667</v>
      </c>
      <c r="S445" s="90">
        <f ca="1"/>
        <v>43</v>
      </c>
      <c r="T445" s="139">
        <f ca="1"/>
        <v>0.71666666666666667</v>
      </c>
      <c r="U445" s="131">
        <f ca="1"/>
        <v>60</v>
      </c>
      <c r="V445" s="120">
        <f ca="1"/>
        <v>18</v>
      </c>
      <c r="W445" s="140">
        <f ca="1"/>
        <v>9</v>
      </c>
      <c r="X445" s="139">
        <f ca="1"/>
        <v>0.85</v>
      </c>
      <c r="Y445" s="141">
        <f ca="1"/>
        <v>2.3023199999999999</v>
      </c>
      <c r="Z445" s="141">
        <f ca="1"/>
        <v>2.3023199999999999</v>
      </c>
      <c r="AA445" s="142">
        <f ca="1"/>
        <v>41.441760000000002</v>
      </c>
      <c r="AB445" s="138">
        <f ca="1"/>
        <v>7</v>
      </c>
      <c r="AC445" s="103" t="str">
        <f ca="1"/>
        <v>VIGENTE</v>
      </c>
      <c r="AD445" s="150">
        <f ca="1"/>
        <v>1.7999999999999999E-2</v>
      </c>
    </row>
    <row r="446" spans="1:30">
      <c r="A446" s="111" t="str">
        <f ca="1"/>
        <v>MULTIEMPAQUE</v>
      </c>
      <c r="B446" s="111" t="str">
        <f ca="1"/>
        <v>BEBIDAS LACTEAS</v>
      </c>
      <c r="C446" s="111" t="str">
        <f ca="1"/>
        <v xml:space="preserve">Luis Armendariz                         </v>
      </c>
      <c r="D446" s="111" t="str">
        <f ca="1"/>
        <v>AVENA FINESSE</v>
      </c>
      <c r="E446" s="111" t="str">
        <f ca="1"/>
        <v>AVENA FINESSE VASO</v>
      </c>
      <c r="F446" s="120" t="str">
        <f ca="1"/>
        <v>GUAYAQUIL</v>
      </c>
      <c r="G446" s="120">
        <f ca="1"/>
        <v>7711</v>
      </c>
      <c r="H446" s="120">
        <f ca="1"/>
        <v>1001</v>
      </c>
      <c r="I446" s="120" t="str">
        <f ca="1"/>
        <v>16906</v>
      </c>
      <c r="J446" s="120" t="str">
        <f ca="1"/>
        <v>MPLX6 AVENA FINESSE VASO 250G</v>
      </c>
      <c r="K446" s="121">
        <f ca="1"/>
        <v>56</v>
      </c>
      <c r="L446" s="122">
        <f ca="1"/>
        <v>1</v>
      </c>
      <c r="M446" s="120">
        <f ca="1"/>
        <v>1.5</v>
      </c>
      <c r="N446" s="121">
        <f ca="1"/>
        <v>180</v>
      </c>
      <c r="O446" s="123">
        <f ca="1"/>
        <v>45549</v>
      </c>
      <c r="P446" s="123" t="str">
        <f ca="1"/>
        <v>sábado</v>
      </c>
      <c r="Q446" s="124">
        <f ca="1"/>
        <v>45497</v>
      </c>
      <c r="R446" s="124">
        <f ca="1"/>
        <v>45676</v>
      </c>
      <c r="S446" s="90">
        <f ca="1"/>
        <v>52</v>
      </c>
      <c r="T446" s="139">
        <f ca="1"/>
        <v>0.28888888888888886</v>
      </c>
      <c r="U446" s="131">
        <f ca="1"/>
        <v>6</v>
      </c>
      <c r="V446" s="120">
        <f ca="1"/>
        <v>9</v>
      </c>
      <c r="W446" s="140">
        <f ca="1"/>
        <v>52</v>
      </c>
      <c r="X446" s="139">
        <f ca="1"/>
        <v>0.71111111111111114</v>
      </c>
      <c r="Y446" s="141">
        <f ca="1"/>
        <v>2.2748600000000003</v>
      </c>
      <c r="Z446" s="141">
        <f ca="1"/>
        <v>2.2748600000000003</v>
      </c>
      <c r="AA446" s="142">
        <f ca="1"/>
        <v>20.473740000000003</v>
      </c>
      <c r="AB446" s="138">
        <f ca="1"/>
        <v>75</v>
      </c>
      <c r="AC446" s="103" t="str">
        <f ca="1"/>
        <v>VIGENTE</v>
      </c>
      <c r="AD446" s="150">
        <f ca="1"/>
        <v>8.9999999999999993E-3</v>
      </c>
    </row>
    <row r="447" spans="1:30">
      <c r="A447" s="111" t="str">
        <f ca="1"/>
        <v>MULTIEMPAQUE</v>
      </c>
      <c r="B447" s="111" t="str">
        <f ca="1"/>
        <v>BEBIDAS LACTEAS</v>
      </c>
      <c r="C447" s="111" t="str">
        <f ca="1"/>
        <v xml:space="preserve">Luis Armendariz                         </v>
      </c>
      <c r="D447" s="111" t="str">
        <f ca="1"/>
        <v>AVENA FINESSE</v>
      </c>
      <c r="E447" s="111" t="str">
        <f ca="1"/>
        <v>AVENA FINESSE VASO</v>
      </c>
      <c r="F447" s="120" t="str">
        <f ca="1"/>
        <v>GUAYAQUIL</v>
      </c>
      <c r="G447" s="120">
        <f ca="1"/>
        <v>7711</v>
      </c>
      <c r="H447" s="120">
        <f ca="1"/>
        <v>1001</v>
      </c>
      <c r="I447" s="120" t="str">
        <f ca="1"/>
        <v>16906</v>
      </c>
      <c r="J447" s="120" t="str">
        <f ca="1"/>
        <v>MPLX6 AVENA FINESSE VASO 250G</v>
      </c>
      <c r="K447" s="121">
        <f ca="1"/>
        <v>56</v>
      </c>
      <c r="L447" s="122">
        <f ca="1"/>
        <v>1</v>
      </c>
      <c r="M447" s="120">
        <f ca="1"/>
        <v>1.5</v>
      </c>
      <c r="N447" s="121">
        <f ca="1"/>
        <v>180</v>
      </c>
      <c r="O447" s="123">
        <f ca="1"/>
        <v>45601</v>
      </c>
      <c r="P447" s="123" t="str">
        <f ca="1"/>
        <v>martes</v>
      </c>
      <c r="Q447" s="124">
        <f ca="1"/>
        <v>45561</v>
      </c>
      <c r="R447" s="124">
        <f ca="1"/>
        <v>45740</v>
      </c>
      <c r="S447" s="90">
        <f ca="1"/>
        <v>116</v>
      </c>
      <c r="T447" s="139">
        <f ca="1"/>
        <v>0.64444444444444449</v>
      </c>
      <c r="U447" s="131">
        <f ca="1"/>
        <v>31</v>
      </c>
      <c r="V447" s="120">
        <f ca="1"/>
        <v>46.5</v>
      </c>
      <c r="W447" s="140">
        <f ca="1"/>
        <v>40</v>
      </c>
      <c r="X447" s="139">
        <f ca="1"/>
        <v>0.77777777777777779</v>
      </c>
      <c r="Y447" s="141">
        <f ca="1"/>
        <v>2.2748600000000003</v>
      </c>
      <c r="Z447" s="141">
        <f ca="1"/>
        <v>2.2748600000000003</v>
      </c>
      <c r="AA447" s="142">
        <f ca="1"/>
        <v>105.78099000000002</v>
      </c>
      <c r="AB447" s="138">
        <f ca="1"/>
        <v>23</v>
      </c>
      <c r="AC447" s="103" t="str">
        <f ca="1"/>
        <v>VIGENTE</v>
      </c>
      <c r="AD447" s="150">
        <f ca="1"/>
        <v>4.65E-2</v>
      </c>
    </row>
    <row r="448" spans="1:30">
      <c r="A448" s="111" t="str">
        <f ca="1"/>
        <v>MULTIEMPAQUE</v>
      </c>
      <c r="B448" s="111" t="str">
        <f ca="1"/>
        <v>BEBIDAS LACTEAS</v>
      </c>
      <c r="C448" s="111" t="str">
        <f ca="1"/>
        <v xml:space="preserve">Luis Armendariz                         </v>
      </c>
      <c r="D448" s="111" t="str">
        <f ca="1"/>
        <v>AVENA FINESSE</v>
      </c>
      <c r="E448" s="111" t="str">
        <f ca="1"/>
        <v>AVENA FINESSE VASO</v>
      </c>
      <c r="F448" s="120" t="str">
        <f ca="1"/>
        <v>GUAYAQUIL</v>
      </c>
      <c r="G448" s="120">
        <f ca="1"/>
        <v>7711</v>
      </c>
      <c r="H448" s="120">
        <f ca="1"/>
        <v>1001</v>
      </c>
      <c r="I448" s="120" t="str">
        <f ca="1"/>
        <v>16906</v>
      </c>
      <c r="J448" s="120" t="str">
        <f ca="1"/>
        <v>MPLX6 AVENA FINESSE VASO 250G</v>
      </c>
      <c r="K448" s="121">
        <f ca="1"/>
        <v>56</v>
      </c>
      <c r="L448" s="122">
        <f ca="1"/>
        <v>1</v>
      </c>
      <c r="M448" s="120">
        <f ca="1"/>
        <v>1.5</v>
      </c>
      <c r="N448" s="121">
        <f ca="1"/>
        <v>180</v>
      </c>
      <c r="O448" s="123">
        <f ca="1"/>
        <v>45608</v>
      </c>
      <c r="P448" s="123" t="str">
        <f ca="1"/>
        <v>martes</v>
      </c>
      <c r="Q448" s="124">
        <f ca="1"/>
        <v>45561</v>
      </c>
      <c r="R448" s="124">
        <f ca="1"/>
        <v>45740</v>
      </c>
      <c r="S448" s="90">
        <f ca="1"/>
        <v>116</v>
      </c>
      <c r="T448" s="139">
        <f ca="1"/>
        <v>0.64444444444444449</v>
      </c>
      <c r="U448" s="131">
        <f ca="1"/>
        <v>56</v>
      </c>
      <c r="V448" s="120">
        <f ca="1"/>
        <v>84</v>
      </c>
      <c r="W448" s="140">
        <f ca="1"/>
        <v>47</v>
      </c>
      <c r="X448" s="139">
        <f ca="1"/>
        <v>0.73888888888888893</v>
      </c>
      <c r="Y448" s="141">
        <f ca="1"/>
        <v>2.2748600000000003</v>
      </c>
      <c r="Z448" s="141">
        <f ca="1"/>
        <v>2.2748600000000003</v>
      </c>
      <c r="AA448" s="142">
        <f ca="1"/>
        <v>191.08824000000004</v>
      </c>
      <c r="AB448" s="138">
        <f ca="1"/>
        <v>16</v>
      </c>
      <c r="AC448" s="103" t="str">
        <f ca="1"/>
        <v>VIGENTE</v>
      </c>
      <c r="AD448" s="150">
        <f ca="1"/>
        <v>8.4000000000000005E-2</v>
      </c>
    </row>
    <row r="449" spans="1:30">
      <c r="A449" s="111" t="str">
        <f ca="1"/>
        <v>MULTIEMPAQUE</v>
      </c>
      <c r="B449" s="111" t="str">
        <f ca="1"/>
        <v>BEBIDAS LACTEAS</v>
      </c>
      <c r="C449" s="111" t="str">
        <f ca="1"/>
        <v xml:space="preserve">Luis Armendariz                         </v>
      </c>
      <c r="D449" s="111" t="str">
        <f ca="1"/>
        <v>AVENA FINESSE</v>
      </c>
      <c r="E449" s="111" t="str">
        <f ca="1"/>
        <v>AVENA FINESSE VASO</v>
      </c>
      <c r="F449" s="120" t="str">
        <f ca="1"/>
        <v>GUAYAQUIL</v>
      </c>
      <c r="G449" s="120">
        <f ca="1"/>
        <v>7711</v>
      </c>
      <c r="H449" s="120">
        <f ca="1"/>
        <v>1001</v>
      </c>
      <c r="I449" s="120" t="str">
        <f ca="1"/>
        <v>16906</v>
      </c>
      <c r="J449" s="120" t="str">
        <f ca="1"/>
        <v>MPLX6 AVENA FINESSE VASO 250G</v>
      </c>
      <c r="K449" s="121">
        <f ca="1"/>
        <v>56</v>
      </c>
      <c r="L449" s="122">
        <f ca="1"/>
        <v>1</v>
      </c>
      <c r="M449" s="120">
        <f ca="1"/>
        <v>1.5</v>
      </c>
      <c r="N449" s="121">
        <f ca="1"/>
        <v>180</v>
      </c>
      <c r="O449" s="123">
        <f ca="1"/>
        <v>45612</v>
      </c>
      <c r="P449" s="123" t="str">
        <f ca="1"/>
        <v>sábado</v>
      </c>
      <c r="Q449" s="124">
        <f ca="1"/>
        <v>45588</v>
      </c>
      <c r="R449" s="124">
        <f ca="1"/>
        <v>45767</v>
      </c>
      <c r="S449" s="90">
        <f ca="1"/>
        <v>143</v>
      </c>
      <c r="T449" s="139">
        <f ca="1"/>
        <v>0.7944444444444444</v>
      </c>
      <c r="U449" s="131">
        <f ca="1"/>
        <v>56</v>
      </c>
      <c r="V449" s="120">
        <f ca="1"/>
        <v>84</v>
      </c>
      <c r="W449" s="140">
        <f ca="1"/>
        <v>24</v>
      </c>
      <c r="X449" s="139">
        <f ca="1"/>
        <v>0.8666666666666667</v>
      </c>
      <c r="Y449" s="141">
        <f ca="1"/>
        <v>2.2748600000000003</v>
      </c>
      <c r="Z449" s="141">
        <f ca="1"/>
        <v>2.2748600000000003</v>
      </c>
      <c r="AA449" s="142">
        <f ca="1"/>
        <v>191.08824000000004</v>
      </c>
      <c r="AB449" s="138">
        <f ca="1"/>
        <v>12</v>
      </c>
      <c r="AC449" s="103" t="str">
        <f ca="1"/>
        <v>VIGENTE</v>
      </c>
      <c r="AD449" s="150">
        <f ca="1"/>
        <v>8.4000000000000005E-2</v>
      </c>
    </row>
    <row r="450" spans="1:30">
      <c r="A450" s="111" t="str">
        <f ca="1"/>
        <v>MACHACHI</v>
      </c>
      <c r="B450" s="111" t="str">
        <f ca="1"/>
        <v>BEBIDAS LACTEAS</v>
      </c>
      <c r="C450" s="111" t="str">
        <f ca="1"/>
        <v xml:space="preserve">Luis Armendariz                         </v>
      </c>
      <c r="D450" s="111" t="str">
        <f ca="1"/>
        <v>YOGURT KIOSKO</v>
      </c>
      <c r="E450" s="111" t="str">
        <f ca="1"/>
        <v>BEBIDA DE YOGURT KIOSKO FUNDA FAMILI</v>
      </c>
      <c r="F450" s="120" t="str">
        <f ca="1"/>
        <v>GUAYAQUIL</v>
      </c>
      <c r="G450" s="120">
        <f ca="1"/>
        <v>7711</v>
      </c>
      <c r="H450" s="120">
        <f ca="1"/>
        <v>1001</v>
      </c>
      <c r="I450" s="120" t="str">
        <f ca="1"/>
        <v>10990</v>
      </c>
      <c r="J450" s="120" t="str">
        <f ca="1"/>
        <v>YOG BBLE KIOSKO MOR FUN 900G</v>
      </c>
      <c r="K450" s="121">
        <f ca="1"/>
        <v>1350</v>
      </c>
      <c r="L450" s="122">
        <f ca="1"/>
        <v>1</v>
      </c>
      <c r="M450" s="120">
        <f ca="1"/>
        <v>0.9</v>
      </c>
      <c r="N450" s="121">
        <f ca="1"/>
        <v>45</v>
      </c>
      <c r="O450" s="123">
        <f ca="1"/>
        <v>45612</v>
      </c>
      <c r="P450" s="123" t="str">
        <f ca="1"/>
        <v>sábado</v>
      </c>
      <c r="Q450" s="124">
        <f ca="1"/>
        <v>45609</v>
      </c>
      <c r="R450" s="124">
        <f ca="1"/>
        <v>45653</v>
      </c>
      <c r="S450" s="90">
        <f ca="1"/>
        <v>29</v>
      </c>
      <c r="T450" s="139">
        <f ca="1"/>
        <v>0.64444444444444449</v>
      </c>
      <c r="U450" s="131">
        <f ca="1"/>
        <v>1350</v>
      </c>
      <c r="V450" s="120">
        <f ca="1"/>
        <v>1215</v>
      </c>
      <c r="W450" s="140">
        <f ca="1"/>
        <v>3</v>
      </c>
      <c r="X450" s="139">
        <f ca="1"/>
        <v>0.93333333333333335</v>
      </c>
      <c r="Y450" s="141">
        <f ca="1"/>
        <v>0.63145499999999999</v>
      </c>
      <c r="Z450" s="141">
        <f ca="1"/>
        <v>0.63145499999999999</v>
      </c>
      <c r="AA450" s="142">
        <f ca="1"/>
        <v>767.21782499999995</v>
      </c>
      <c r="AB450" s="138">
        <f ca="1"/>
        <v>12</v>
      </c>
      <c r="AC450" s="103" t="str">
        <f ca="1"/>
        <v>VIGENTE</v>
      </c>
      <c r="AD450" s="150">
        <f ca="1"/>
        <v>1.2150000000000001</v>
      </c>
    </row>
    <row r="451" spans="1:30">
      <c r="A451" s="111" t="str">
        <f ca="1"/>
        <v>MACHACHI</v>
      </c>
      <c r="B451" s="111" t="str">
        <f ca="1"/>
        <v>BEBIDAS LACTEAS</v>
      </c>
      <c r="C451" s="111" t="str">
        <f ca="1"/>
        <v xml:space="preserve">Luis Armendariz                         </v>
      </c>
      <c r="D451" s="111" t="str">
        <f ca="1"/>
        <v>YOGURT KIOSKO</v>
      </c>
      <c r="E451" s="111" t="str">
        <f ca="1"/>
        <v>BEBIDA DE YOGURT KIOSKO FUNDA FAMILI</v>
      </c>
      <c r="F451" s="120" t="str">
        <f ca="1"/>
        <v>GUAYAQUIL</v>
      </c>
      <c r="G451" s="120">
        <f ca="1"/>
        <v>7711</v>
      </c>
      <c r="H451" s="120">
        <f ca="1"/>
        <v>1001</v>
      </c>
      <c r="I451" s="120" t="str">
        <f ca="1"/>
        <v>10990</v>
      </c>
      <c r="J451" s="120" t="str">
        <f ca="1"/>
        <v>YOG BBLE KIOSKO MOR FUN 900G</v>
      </c>
      <c r="K451" s="121">
        <f ca="1"/>
        <v>900</v>
      </c>
      <c r="L451" s="122">
        <f ca="1"/>
        <v>1</v>
      </c>
      <c r="M451" s="120">
        <f ca="1"/>
        <v>0.9</v>
      </c>
      <c r="N451" s="121">
        <f ca="1"/>
        <v>45</v>
      </c>
      <c r="O451" s="123">
        <f ca="1"/>
        <v>45611</v>
      </c>
      <c r="P451" s="123" t="str">
        <f ca="1"/>
        <v>viernes</v>
      </c>
      <c r="Q451" s="124">
        <f ca="1"/>
        <v>45604</v>
      </c>
      <c r="R451" s="124">
        <f ca="1"/>
        <v>45648</v>
      </c>
      <c r="S451" s="90">
        <f ca="1"/>
        <v>24</v>
      </c>
      <c r="T451" s="139">
        <f ca="1"/>
        <v>0.53333333333333333</v>
      </c>
      <c r="U451" s="131">
        <f ca="1"/>
        <v>503</v>
      </c>
      <c r="V451" s="120">
        <f ca="1"/>
        <v>452.7</v>
      </c>
      <c r="W451" s="140">
        <f ca="1"/>
        <v>7</v>
      </c>
      <c r="X451" s="139">
        <f ca="1"/>
        <v>0.84444444444444444</v>
      </c>
      <c r="Y451" s="141">
        <f ca="1"/>
        <v>0.63145499999999999</v>
      </c>
      <c r="Z451" s="141">
        <f ca="1"/>
        <v>0.63145499999999999</v>
      </c>
      <c r="AA451" s="142">
        <f ca="1"/>
        <v>285.85967849999997</v>
      </c>
      <c r="AB451" s="138">
        <f ca="1"/>
        <v>13</v>
      </c>
      <c r="AC451" s="103" t="str">
        <f ca="1"/>
        <v>PROXIMOS FECHA CORTA</v>
      </c>
      <c r="AD451" s="150">
        <f ca="1"/>
        <v>0.45269999999999999</v>
      </c>
    </row>
    <row r="452" spans="1:30">
      <c r="A452" s="111" t="str">
        <f ca="1"/>
        <v>MACHACHI</v>
      </c>
      <c r="B452" s="111" t="str">
        <f ca="1"/>
        <v>BEBIDAS LACTEAS</v>
      </c>
      <c r="C452" s="111" t="str">
        <f ca="1"/>
        <v xml:space="preserve">Luis Armendariz                         </v>
      </c>
      <c r="D452" s="111" t="str">
        <f ca="1"/>
        <v>YOGURT KIOSKO</v>
      </c>
      <c r="E452" s="111" t="str">
        <f ca="1"/>
        <v>BEBIDA DE YOGURT KIOSKO FUNDA FAMILI</v>
      </c>
      <c r="F452" s="120" t="str">
        <f ca="1"/>
        <v>GUAYAQUIL</v>
      </c>
      <c r="G452" s="120">
        <f ca="1"/>
        <v>7711</v>
      </c>
      <c r="H452" s="120">
        <f ca="1"/>
        <v>1001</v>
      </c>
      <c r="I452" s="120" t="str">
        <f ca="1"/>
        <v>10990</v>
      </c>
      <c r="J452" s="120" t="str">
        <f ca="1"/>
        <v>YOG BBLE KIOSKO MOR FUN 900G</v>
      </c>
      <c r="K452" s="121">
        <f ca="1"/>
        <v>900</v>
      </c>
      <c r="L452" s="122">
        <f ca="1"/>
        <v>1</v>
      </c>
      <c r="M452" s="120">
        <f ca="1"/>
        <v>0.9</v>
      </c>
      <c r="N452" s="121">
        <f ca="1"/>
        <v>45</v>
      </c>
      <c r="O452" s="123">
        <f ca="1"/>
        <v>45615</v>
      </c>
      <c r="P452" s="123" t="str">
        <f ca="1"/>
        <v>martes</v>
      </c>
      <c r="Q452" s="124">
        <f ca="1"/>
        <v>45608</v>
      </c>
      <c r="R452" s="124">
        <f ca="1"/>
        <v>45652</v>
      </c>
      <c r="S452" s="90">
        <f ca="1"/>
        <v>28</v>
      </c>
      <c r="T452" s="139">
        <f ca="1"/>
        <v>0.62222222222222223</v>
      </c>
      <c r="U452" s="131">
        <f ca="1"/>
        <v>900</v>
      </c>
      <c r="V452" s="120">
        <f ca="1"/>
        <v>810</v>
      </c>
      <c r="W452" s="140">
        <f ca="1"/>
        <v>7</v>
      </c>
      <c r="X452" s="139">
        <f ca="1"/>
        <v>0.84444444444444444</v>
      </c>
      <c r="Y452" s="141">
        <f ca="1"/>
        <v>0.63145499999999999</v>
      </c>
      <c r="Z452" s="141">
        <f ca="1"/>
        <v>0.63145499999999999</v>
      </c>
      <c r="AA452" s="142">
        <f ca="1"/>
        <v>511.47854999999998</v>
      </c>
      <c r="AB452" s="138">
        <f ca="1"/>
        <v>9</v>
      </c>
      <c r="AC452" s="103" t="str">
        <f ca="1"/>
        <v>VIGENTE</v>
      </c>
      <c r="AD452" s="150">
        <f ca="1"/>
        <v>0.81</v>
      </c>
    </row>
    <row r="453" spans="1:30">
      <c r="A453" s="111" t="str">
        <f ca="1"/>
        <v>MACHACHI</v>
      </c>
      <c r="B453" s="111" t="str">
        <f ca="1"/>
        <v>BEBIDAS LACTEAS</v>
      </c>
      <c r="C453" s="111" t="str">
        <f ca="1"/>
        <v xml:space="preserve">Luis Armendariz                         </v>
      </c>
      <c r="D453" s="111" t="str">
        <f ca="1"/>
        <v>YOGURT KIOSKO</v>
      </c>
      <c r="E453" s="111" t="str">
        <f ca="1"/>
        <v>BEBIDA DE YOGURT KIOSKO FUNDA FAMILI</v>
      </c>
      <c r="F453" s="120" t="str">
        <f ca="1"/>
        <v>GUAYAQUIL</v>
      </c>
      <c r="G453" s="120">
        <f ca="1"/>
        <v>7711</v>
      </c>
      <c r="H453" s="120">
        <f ca="1"/>
        <v>1001</v>
      </c>
      <c r="I453" s="120" t="str">
        <f ca="1"/>
        <v>10990</v>
      </c>
      <c r="J453" s="120" t="str">
        <f ca="1"/>
        <v>YOG BBLE KIOSKO MOR FUN 900G</v>
      </c>
      <c r="K453" s="121">
        <f ca="1"/>
        <v>675</v>
      </c>
      <c r="L453" s="122">
        <f ca="1"/>
        <v>1</v>
      </c>
      <c r="M453" s="120">
        <f ca="1"/>
        <v>0.9</v>
      </c>
      <c r="N453" s="121">
        <f ca="1"/>
        <v>45</v>
      </c>
      <c r="O453" s="123">
        <f ca="1"/>
        <v>45616</v>
      </c>
      <c r="P453" s="123" t="str">
        <f ca="1"/>
        <v>miércoles</v>
      </c>
      <c r="Q453" s="124">
        <f ca="1"/>
        <v>45610</v>
      </c>
      <c r="R453" s="124">
        <f ca="1"/>
        <v>45654</v>
      </c>
      <c r="S453" s="90">
        <f ca="1"/>
        <v>30</v>
      </c>
      <c r="T453" s="139">
        <f ca="1"/>
        <v>0.66666666666666663</v>
      </c>
      <c r="U453" s="131">
        <f ca="1"/>
        <v>675</v>
      </c>
      <c r="V453" s="120">
        <f ca="1"/>
        <v>607.5</v>
      </c>
      <c r="W453" s="140">
        <f ca="1"/>
        <v>6</v>
      </c>
      <c r="X453" s="139">
        <f ca="1"/>
        <v>0.8666666666666667</v>
      </c>
      <c r="Y453" s="141">
        <f ca="1"/>
        <v>0.63145499999999999</v>
      </c>
      <c r="Z453" s="141">
        <f ca="1"/>
        <v>0.63145499999999999</v>
      </c>
      <c r="AA453" s="142">
        <f ca="1"/>
        <v>383.60891249999997</v>
      </c>
      <c r="AB453" s="138">
        <f ca="1"/>
        <v>8</v>
      </c>
      <c r="AC453" s="103" t="str">
        <f ca="1"/>
        <v>VIGENTE</v>
      </c>
      <c r="AD453" s="150">
        <f ca="1"/>
        <v>0.60750000000000004</v>
      </c>
    </row>
    <row r="454" spans="1:30">
      <c r="A454" s="111" t="str">
        <f ca="1"/>
        <v>SAN GABRIEL</v>
      </c>
      <c r="B454" s="111" t="str">
        <f ca="1"/>
        <v>QUESOS Y GRASAS</v>
      </c>
      <c r="C454" s="111" t="str">
        <f ca="1"/>
        <v xml:space="preserve">Esteban Montenegro                      </v>
      </c>
      <c r="D454" s="111" t="str">
        <f ca="1"/>
        <v>QUESO FUNDIDO</v>
      </c>
      <c r="E454" s="111" t="str">
        <f ca="1"/>
        <v>QUESO FUNDIDO</v>
      </c>
      <c r="F454" s="120" t="str">
        <f ca="1"/>
        <v>GUAYAQUIL</v>
      </c>
      <c r="G454" s="120">
        <f ca="1"/>
        <v>7711</v>
      </c>
      <c r="H454" s="120">
        <f ca="1"/>
        <v>1001</v>
      </c>
      <c r="I454" s="120" t="str">
        <f ca="1"/>
        <v>11320</v>
      </c>
      <c r="J454" s="120" t="str">
        <f ca="1"/>
        <v>Q ESPAR MOZAR KIOSKO VASO 45G</v>
      </c>
      <c r="K454" s="121">
        <f ca="1"/>
        <v>150</v>
      </c>
      <c r="L454" s="122">
        <f ca="1"/>
        <v>1</v>
      </c>
      <c r="M454" s="120">
        <f ca="1"/>
        <v>4.4999999999999998E-2</v>
      </c>
      <c r="N454" s="121">
        <f ca="1"/>
        <v>90</v>
      </c>
      <c r="O454" s="123">
        <f ca="1"/>
        <v>45615</v>
      </c>
      <c r="P454" s="123" t="str">
        <f ca="1"/>
        <v>martes</v>
      </c>
      <c r="Q454" s="124">
        <f ca="1"/>
        <v>45603</v>
      </c>
      <c r="R454" s="124">
        <f ca="1"/>
        <v>45692</v>
      </c>
      <c r="S454" s="90">
        <f ca="1"/>
        <v>68</v>
      </c>
      <c r="T454" s="139">
        <f ca="1"/>
        <v>0.75555555555555554</v>
      </c>
      <c r="U454" s="131">
        <f ca="1"/>
        <v>80</v>
      </c>
      <c r="V454" s="120">
        <f ca="1"/>
        <v>3.5999999999999996</v>
      </c>
      <c r="W454" s="140">
        <f ca="1"/>
        <v>12</v>
      </c>
      <c r="X454" s="139">
        <f ca="1"/>
        <v>0.8666666666666667</v>
      </c>
      <c r="Y454" s="141">
        <f ca="1"/>
        <v>0.12909999999999999</v>
      </c>
      <c r="Z454" s="141">
        <f ca="1"/>
        <v>0.12909999999999999</v>
      </c>
      <c r="AA454" s="142">
        <f ca="1"/>
        <v>0.46475999999999995</v>
      </c>
      <c r="AB454" s="138">
        <f ca="1"/>
        <v>9</v>
      </c>
      <c r="AC454" s="103" t="str">
        <f ca="1"/>
        <v>VIGENTE</v>
      </c>
      <c r="AD454" s="150">
        <f ca="1"/>
        <v>3.5999999999999995E-3</v>
      </c>
    </row>
    <row r="455" spans="1:30">
      <c r="A455" s="111" t="str">
        <f ca="1"/>
        <v>MACHACHI</v>
      </c>
      <c r="B455" s="111" t="str">
        <f ca="1"/>
        <v>BEBIDAS LACTEAS</v>
      </c>
      <c r="C455" s="111" t="str">
        <f ca="1"/>
        <v xml:space="preserve">Luis Armendariz                         </v>
      </c>
      <c r="D455" s="111" t="str">
        <f ca="1"/>
        <v>YOGURT FINESSE</v>
      </c>
      <c r="E455" s="111" t="str">
        <f ca="1"/>
        <v>YOGURT FINESSE DESLACT BOTELLA FAMILIAR</v>
      </c>
      <c r="F455" s="120" t="str">
        <f ca="1"/>
        <v>GUAYAQUIL</v>
      </c>
      <c r="G455" s="120">
        <f ca="1"/>
        <v>7711</v>
      </c>
      <c r="H455" s="120">
        <f ca="1"/>
        <v>1001</v>
      </c>
      <c r="I455" s="120" t="str">
        <f ca="1"/>
        <v>11955</v>
      </c>
      <c r="J455" s="120" t="str">
        <f ca="1"/>
        <v>YOG FNSSE SBILA BOT 950G</v>
      </c>
      <c r="K455" s="121">
        <f ca="1"/>
        <v>36</v>
      </c>
      <c r="L455" s="122">
        <f ca="1"/>
        <v>1</v>
      </c>
      <c r="M455" s="120">
        <f ca="1"/>
        <v>0.95</v>
      </c>
      <c r="N455" s="121">
        <f ca="1"/>
        <v>45</v>
      </c>
      <c r="O455" s="123">
        <f ca="1"/>
        <v>45595</v>
      </c>
      <c r="P455" s="123" t="str">
        <f ca="1"/>
        <v>miércoles</v>
      </c>
      <c r="Q455" s="124">
        <f ca="1"/>
        <v>45590</v>
      </c>
      <c r="R455" s="124">
        <f ca="1"/>
        <v>45634</v>
      </c>
      <c r="S455" s="90">
        <f ca="1"/>
        <v>10</v>
      </c>
      <c r="T455" s="139">
        <f ca="1"/>
        <v>0.22222222222222221</v>
      </c>
      <c r="U455" s="131">
        <f ca="1"/>
        <v>14</v>
      </c>
      <c r="V455" s="120">
        <f ca="1"/>
        <v>13.299999999999999</v>
      </c>
      <c r="W455" s="140">
        <f ca="1"/>
        <v>5</v>
      </c>
      <c r="X455" s="139">
        <f ca="1"/>
        <v>0.88888888888888884</v>
      </c>
      <c r="Y455" s="141">
        <f ca="1"/>
        <v>1.46231</v>
      </c>
      <c r="Z455" s="141">
        <f ca="1"/>
        <v>1.46231</v>
      </c>
      <c r="AA455" s="142">
        <f ca="1"/>
        <v>19.448722999999998</v>
      </c>
      <c r="AB455" s="138">
        <f ca="1"/>
        <v>29</v>
      </c>
      <c r="AC455" s="103" t="str">
        <f ca="1"/>
        <v>FECHA CORTA</v>
      </c>
      <c r="AD455" s="150">
        <f ca="1"/>
        <v>1.3299999999999999E-2</v>
      </c>
    </row>
    <row r="456" spans="1:30">
      <c r="A456" s="111" t="str">
        <f ca="1"/>
        <v>MACHACHI</v>
      </c>
      <c r="B456" s="111" t="str">
        <f ca="1"/>
        <v>BEBIDAS LACTEAS</v>
      </c>
      <c r="C456" s="111" t="str">
        <f ca="1"/>
        <v xml:space="preserve">Luis Armendariz                         </v>
      </c>
      <c r="D456" s="111" t="str">
        <f ca="1"/>
        <v>YOGURT FINESSE</v>
      </c>
      <c r="E456" s="111" t="str">
        <f ca="1"/>
        <v>YOGURT FINESSE DESLACT BOTELLA FAMILIAR</v>
      </c>
      <c r="F456" s="120" t="str">
        <f ca="1"/>
        <v>GUAYAQUIL</v>
      </c>
      <c r="G456" s="120">
        <f ca="1"/>
        <v>7711</v>
      </c>
      <c r="H456" s="120">
        <f ca="1"/>
        <v>1001</v>
      </c>
      <c r="I456" s="120" t="str">
        <f ca="1"/>
        <v>11955</v>
      </c>
      <c r="J456" s="120" t="str">
        <f ca="1"/>
        <v>YOG FNSSE SBILA BOT 950G</v>
      </c>
      <c r="K456" s="121">
        <f ca="1"/>
        <v>72</v>
      </c>
      <c r="L456" s="122">
        <f ca="1"/>
        <v>1</v>
      </c>
      <c r="M456" s="120">
        <f ca="1"/>
        <v>0.95</v>
      </c>
      <c r="N456" s="121">
        <f ca="1"/>
        <v>45</v>
      </c>
      <c r="O456" s="123">
        <f ca="1"/>
        <v>45597</v>
      </c>
      <c r="P456" s="123" t="str">
        <f ca="1"/>
        <v>viernes</v>
      </c>
      <c r="Q456" s="124">
        <f ca="1"/>
        <v>45595</v>
      </c>
      <c r="R456" s="124">
        <f ca="1"/>
        <v>45639</v>
      </c>
      <c r="S456" s="90">
        <f ca="1"/>
        <v>15</v>
      </c>
      <c r="T456" s="139">
        <f ca="1"/>
        <v>0.33333333333333331</v>
      </c>
      <c r="U456" s="131">
        <f ca="1"/>
        <v>49</v>
      </c>
      <c r="V456" s="120">
        <f ca="1"/>
        <v>46.55</v>
      </c>
      <c r="W456" s="140">
        <f ca="1"/>
        <v>2</v>
      </c>
      <c r="X456" s="139">
        <f ca="1"/>
        <v>0.9555555555555556</v>
      </c>
      <c r="Y456" s="141">
        <f ca="1"/>
        <v>1.46231</v>
      </c>
      <c r="Z456" s="141">
        <f ca="1"/>
        <v>1.46231</v>
      </c>
      <c r="AA456" s="142">
        <f ca="1"/>
        <v>68.07053049999999</v>
      </c>
      <c r="AB456" s="138">
        <f ca="1"/>
        <v>27</v>
      </c>
      <c r="AC456" s="103" t="str">
        <f ca="1"/>
        <v>FECHA CORTA</v>
      </c>
      <c r="AD456" s="150">
        <f ca="1"/>
        <v>4.6549999999999994E-2</v>
      </c>
    </row>
    <row r="457" spans="1:30">
      <c r="A457" s="111" t="str">
        <f ca="1"/>
        <v>MACHACHI</v>
      </c>
      <c r="B457" s="111" t="str">
        <f ca="1"/>
        <v>BEBIDAS LACTEAS</v>
      </c>
      <c r="C457" s="111" t="str">
        <f ca="1"/>
        <v xml:space="preserve">Luis Armendariz                         </v>
      </c>
      <c r="D457" s="111" t="str">
        <f ca="1"/>
        <v>YOGURT FINESSE</v>
      </c>
      <c r="E457" s="111" t="str">
        <f ca="1"/>
        <v>YOGURT FINESSE DESLACT BOTELLA FAMILIAR</v>
      </c>
      <c r="F457" s="120" t="str">
        <f ca="1"/>
        <v>GUAYAQUIL</v>
      </c>
      <c r="G457" s="120">
        <f ca="1"/>
        <v>7711</v>
      </c>
      <c r="H457" s="120">
        <f ca="1"/>
        <v>1001</v>
      </c>
      <c r="I457" s="120" t="str">
        <f ca="1"/>
        <v>11955</v>
      </c>
      <c r="J457" s="120" t="str">
        <f ca="1"/>
        <v>YOG FNSSE SBILA BOT 950G</v>
      </c>
      <c r="K457" s="121">
        <f ca="1"/>
        <v>18</v>
      </c>
      <c r="L457" s="122">
        <f ca="1"/>
        <v>1</v>
      </c>
      <c r="M457" s="120">
        <f ca="1"/>
        <v>0.95</v>
      </c>
      <c r="N457" s="121">
        <f ca="1"/>
        <v>45</v>
      </c>
      <c r="O457" s="123">
        <f ca="1"/>
        <v>45601</v>
      </c>
      <c r="P457" s="123" t="str">
        <f ca="1"/>
        <v>martes</v>
      </c>
      <c r="Q457" s="124">
        <f ca="1"/>
        <v>45595</v>
      </c>
      <c r="R457" s="124">
        <f ca="1"/>
        <v>45639</v>
      </c>
      <c r="S457" s="90">
        <f ca="1"/>
        <v>15</v>
      </c>
      <c r="T457" s="139">
        <f ca="1"/>
        <v>0.33333333333333331</v>
      </c>
      <c r="U457" s="131">
        <f ca="1"/>
        <v>18</v>
      </c>
      <c r="V457" s="120">
        <f ca="1"/>
        <v>17.099999999999998</v>
      </c>
      <c r="W457" s="140">
        <f ca="1"/>
        <v>6</v>
      </c>
      <c r="X457" s="139">
        <f ca="1"/>
        <v>0.8666666666666667</v>
      </c>
      <c r="Y457" s="141">
        <f ca="1"/>
        <v>1.46231</v>
      </c>
      <c r="Z457" s="141">
        <f ca="1"/>
        <v>1.46231</v>
      </c>
      <c r="AA457" s="142">
        <f ca="1"/>
        <v>25.005500999999995</v>
      </c>
      <c r="AB457" s="138">
        <f ca="1"/>
        <v>23</v>
      </c>
      <c r="AC457" s="103" t="str">
        <f ca="1"/>
        <v>FECHA CORTA</v>
      </c>
      <c r="AD457" s="150">
        <f ca="1"/>
        <v>1.7099999999999997E-2</v>
      </c>
    </row>
    <row r="458" spans="1:30">
      <c r="A458" s="111" t="str">
        <f ca="1"/>
        <v>MACHACHI</v>
      </c>
      <c r="B458" s="111" t="str">
        <f ca="1"/>
        <v>BEBIDAS LACTEAS</v>
      </c>
      <c r="C458" s="111" t="str">
        <f ca="1"/>
        <v xml:space="preserve">Luis Armendariz                         </v>
      </c>
      <c r="D458" s="111" t="str">
        <f ca="1"/>
        <v>YOGURT FINESSE</v>
      </c>
      <c r="E458" s="111" t="str">
        <f ca="1"/>
        <v>YOGURT FINESSE DESLACT BOTELLA FAMILIAR</v>
      </c>
      <c r="F458" s="120" t="str">
        <f ca="1"/>
        <v>GUAYAQUIL</v>
      </c>
      <c r="G458" s="120">
        <f ca="1"/>
        <v>7711</v>
      </c>
      <c r="H458" s="120">
        <f ca="1"/>
        <v>1001</v>
      </c>
      <c r="I458" s="120" t="str">
        <f ca="1"/>
        <v>11955</v>
      </c>
      <c r="J458" s="120" t="str">
        <f ca="1"/>
        <v>YOG FNSSE SBILA BOT 950G</v>
      </c>
      <c r="K458" s="121">
        <f ca="1"/>
        <v>18</v>
      </c>
      <c r="L458" s="122">
        <f ca="1"/>
        <v>1</v>
      </c>
      <c r="M458" s="120">
        <f ca="1"/>
        <v>0.95</v>
      </c>
      <c r="N458" s="121">
        <f ca="1"/>
        <v>45</v>
      </c>
      <c r="O458" s="123">
        <f ca="1"/>
        <v>45602</v>
      </c>
      <c r="P458" s="123" t="str">
        <f ca="1"/>
        <v>miércoles</v>
      </c>
      <c r="Q458" s="124">
        <f ca="1"/>
        <v>45596</v>
      </c>
      <c r="R458" s="124">
        <f ca="1"/>
        <v>45640</v>
      </c>
      <c r="S458" s="90">
        <f ca="1"/>
        <v>16</v>
      </c>
      <c r="T458" s="139">
        <f ca="1"/>
        <v>0.35555555555555557</v>
      </c>
      <c r="U458" s="131">
        <f ca="1"/>
        <v>18</v>
      </c>
      <c r="V458" s="120">
        <f ca="1"/>
        <v>17.099999999999998</v>
      </c>
      <c r="W458" s="140">
        <f ca="1"/>
        <v>6</v>
      </c>
      <c r="X458" s="139">
        <f ca="1"/>
        <v>0.8666666666666667</v>
      </c>
      <c r="Y458" s="141">
        <f ca="1"/>
        <v>1.46231</v>
      </c>
      <c r="Z458" s="141">
        <f ca="1"/>
        <v>1.46231</v>
      </c>
      <c r="AA458" s="142">
        <f ca="1"/>
        <v>25.005500999999995</v>
      </c>
      <c r="AB458" s="138">
        <f ca="1"/>
        <v>22</v>
      </c>
      <c r="AC458" s="103" t="str">
        <f ca="1"/>
        <v>FECHA CORTA</v>
      </c>
      <c r="AD458" s="150">
        <f ca="1"/>
        <v>1.7099999999999997E-2</v>
      </c>
    </row>
    <row r="459" spans="1:30">
      <c r="A459" s="111" t="str">
        <f ca="1"/>
        <v>MACHACHI</v>
      </c>
      <c r="B459" s="111" t="str">
        <f ca="1"/>
        <v>BEBIDAS LACTEAS</v>
      </c>
      <c r="C459" s="111" t="str">
        <f ca="1"/>
        <v xml:space="preserve">Luis Armendariz                         </v>
      </c>
      <c r="D459" s="111" t="str">
        <f ca="1"/>
        <v>YOGURT FINESSE</v>
      </c>
      <c r="E459" s="111" t="str">
        <f ca="1"/>
        <v>YOGURT FINESSE DESLACT BOTELLA FAMILIAR</v>
      </c>
      <c r="F459" s="120" t="str">
        <f ca="1"/>
        <v>GUAYAQUIL</v>
      </c>
      <c r="G459" s="120">
        <f ca="1"/>
        <v>7711</v>
      </c>
      <c r="H459" s="120">
        <f ca="1"/>
        <v>1001</v>
      </c>
      <c r="I459" s="120" t="str">
        <f ca="1"/>
        <v>11955</v>
      </c>
      <c r="J459" s="120" t="str">
        <f ca="1"/>
        <v>YOG FNSSE SBILA BOT 950G</v>
      </c>
      <c r="K459" s="121">
        <f ca="1"/>
        <v>18</v>
      </c>
      <c r="L459" s="122">
        <f ca="1"/>
        <v>1</v>
      </c>
      <c r="M459" s="120">
        <f ca="1"/>
        <v>0.95</v>
      </c>
      <c r="N459" s="121">
        <f ca="1"/>
        <v>45</v>
      </c>
      <c r="O459" s="123">
        <f ca="1"/>
        <v>45605</v>
      </c>
      <c r="P459" s="123" t="str">
        <f ca="1"/>
        <v>sábado</v>
      </c>
      <c r="Q459" s="124">
        <f ca="1"/>
        <v>45596</v>
      </c>
      <c r="R459" s="124">
        <f ca="1"/>
        <v>45640</v>
      </c>
      <c r="S459" s="90">
        <f ca="1"/>
        <v>16</v>
      </c>
      <c r="T459" s="139">
        <f ca="1"/>
        <v>0.35555555555555557</v>
      </c>
      <c r="U459" s="131">
        <f ca="1"/>
        <v>18</v>
      </c>
      <c r="V459" s="120">
        <f ca="1"/>
        <v>17.099999999999998</v>
      </c>
      <c r="W459" s="140">
        <f ca="1"/>
        <v>9</v>
      </c>
      <c r="X459" s="139">
        <f ca="1"/>
        <v>0.8</v>
      </c>
      <c r="Y459" s="141">
        <f ca="1"/>
        <v>1.46231</v>
      </c>
      <c r="Z459" s="141">
        <f ca="1"/>
        <v>1.46231</v>
      </c>
      <c r="AA459" s="142">
        <f ca="1"/>
        <v>25.005500999999995</v>
      </c>
      <c r="AB459" s="138">
        <f ca="1"/>
        <v>19</v>
      </c>
      <c r="AC459" s="103" t="str">
        <f ca="1"/>
        <v>FECHA CORTA</v>
      </c>
      <c r="AD459" s="150">
        <f ca="1"/>
        <v>1.7099999999999997E-2</v>
      </c>
    </row>
    <row r="460" spans="1:30">
      <c r="A460" s="111" t="str">
        <f ca="1"/>
        <v>MACHACHI</v>
      </c>
      <c r="B460" s="111" t="str">
        <f ca="1"/>
        <v>BEBIDAS LACTEAS</v>
      </c>
      <c r="C460" s="111" t="str">
        <f ca="1"/>
        <v xml:space="preserve">Luis Armendariz                         </v>
      </c>
      <c r="D460" s="111" t="str">
        <f ca="1"/>
        <v>YOGURT FINESSE</v>
      </c>
      <c r="E460" s="111" t="str">
        <f ca="1"/>
        <v>YOGURT FINESSE DESLACT BOTELLA PERSONAL</v>
      </c>
      <c r="F460" s="120" t="str">
        <f ca="1"/>
        <v>GUAYAQUIL</v>
      </c>
      <c r="G460" s="120">
        <f ca="1"/>
        <v>7711</v>
      </c>
      <c r="H460" s="120">
        <f ca="1"/>
        <v>1001</v>
      </c>
      <c r="I460" s="120" t="str">
        <f ca="1"/>
        <v>11956</v>
      </c>
      <c r="J460" s="120" t="str">
        <f ca="1"/>
        <v>YOG FNSSE SBILA BOT 180G</v>
      </c>
      <c r="K460" s="121">
        <f ca="1"/>
        <v>216</v>
      </c>
      <c r="L460" s="122">
        <f ca="1"/>
        <v>1</v>
      </c>
      <c r="M460" s="120">
        <f ca="1"/>
        <v>0.18</v>
      </c>
      <c r="N460" s="121">
        <f ca="1"/>
        <v>45</v>
      </c>
      <c r="O460" s="123">
        <f ca="1"/>
        <v>45612</v>
      </c>
      <c r="P460" s="123" t="str">
        <f ca="1"/>
        <v>sábado</v>
      </c>
      <c r="Q460" s="124">
        <f ca="1"/>
        <v>45604</v>
      </c>
      <c r="R460" s="124">
        <f ca="1"/>
        <v>45648</v>
      </c>
      <c r="S460" s="90">
        <f ca="1"/>
        <v>24</v>
      </c>
      <c r="T460" s="139">
        <f ca="1"/>
        <v>0.53333333333333333</v>
      </c>
      <c r="U460" s="131">
        <f ca="1"/>
        <v>152</v>
      </c>
      <c r="V460" s="120">
        <f ca="1"/>
        <v>27.36</v>
      </c>
      <c r="W460" s="140">
        <f ca="1"/>
        <v>8</v>
      </c>
      <c r="X460" s="139">
        <f ca="1"/>
        <v>0.82222222222222219</v>
      </c>
      <c r="Y460" s="141">
        <f ca="1"/>
        <v>0.32388</v>
      </c>
      <c r="Z460" s="141">
        <f ca="1"/>
        <v>0.32388</v>
      </c>
      <c r="AA460" s="142">
        <f ca="1"/>
        <v>8.8613567999999994</v>
      </c>
      <c r="AB460" s="138">
        <f ca="1"/>
        <v>12</v>
      </c>
      <c r="AC460" s="103" t="str">
        <f ca="1"/>
        <v>PROXIMOS FECHA CORTA</v>
      </c>
      <c r="AD460" s="150">
        <f ca="1"/>
        <v>2.7359999999999999E-2</v>
      </c>
    </row>
    <row r="461" spans="1:30">
      <c r="A461" s="111" t="str">
        <f ca="1"/>
        <v>MACHACHI</v>
      </c>
      <c r="B461" s="111" t="str">
        <f ca="1"/>
        <v>BEBIDAS LACTEAS</v>
      </c>
      <c r="C461" s="111" t="str">
        <f ca="1"/>
        <v xml:space="preserve">Luis Armendariz                         </v>
      </c>
      <c r="D461" s="111" t="str">
        <f ca="1"/>
        <v>YOGURT FINESSE</v>
      </c>
      <c r="E461" s="111" t="str">
        <f ca="1"/>
        <v>YOGURT FINESSE DESLACT BOTELLA PERSONAL</v>
      </c>
      <c r="F461" s="120" t="str">
        <f ca="1"/>
        <v>GUAYAQUIL</v>
      </c>
      <c r="G461" s="120">
        <f ca="1"/>
        <v>7711</v>
      </c>
      <c r="H461" s="120">
        <f ca="1"/>
        <v>1001</v>
      </c>
      <c r="I461" s="120" t="str">
        <f ca="1"/>
        <v>11956</v>
      </c>
      <c r="J461" s="120" t="str">
        <f ca="1"/>
        <v>YOG FNSSE SBILA BOT 180G</v>
      </c>
      <c r="K461" s="121">
        <f ca="1"/>
        <v>108</v>
      </c>
      <c r="L461" s="122">
        <f ca="1"/>
        <v>1</v>
      </c>
      <c r="M461" s="120">
        <f ca="1"/>
        <v>0.18</v>
      </c>
      <c r="N461" s="121">
        <f ca="1"/>
        <v>45</v>
      </c>
      <c r="O461" s="123">
        <f ca="1"/>
        <v>45616</v>
      </c>
      <c r="P461" s="123" t="str">
        <f ca="1"/>
        <v>miércoles</v>
      </c>
      <c r="Q461" s="124">
        <f ca="1"/>
        <v>45611</v>
      </c>
      <c r="R461" s="124">
        <f ca="1"/>
        <v>45655</v>
      </c>
      <c r="S461" s="90">
        <f ca="1"/>
        <v>31</v>
      </c>
      <c r="T461" s="139">
        <f ca="1"/>
        <v>0.68888888888888888</v>
      </c>
      <c r="U461" s="131">
        <f ca="1"/>
        <v>108</v>
      </c>
      <c r="V461" s="120">
        <f ca="1"/>
        <v>19.439999999999998</v>
      </c>
      <c r="W461" s="140">
        <f ca="1"/>
        <v>5</v>
      </c>
      <c r="X461" s="139">
        <f ca="1"/>
        <v>0.88888888888888884</v>
      </c>
      <c r="Y461" s="141">
        <f ca="1"/>
        <v>0.32388</v>
      </c>
      <c r="Z461" s="141">
        <f ca="1"/>
        <v>0.32388</v>
      </c>
      <c r="AA461" s="142">
        <f ca="1"/>
        <v>6.2962271999999997</v>
      </c>
      <c r="AB461" s="138">
        <f ca="1"/>
        <v>8</v>
      </c>
      <c r="AC461" s="103" t="str">
        <f ca="1"/>
        <v>VIGENTE</v>
      </c>
      <c r="AD461" s="150">
        <f ca="1"/>
        <v>1.9439999999999999E-2</v>
      </c>
    </row>
    <row r="462" spans="1:30">
      <c r="A462" s="111" t="str">
        <f ca="1"/>
        <v>MACHACHI</v>
      </c>
      <c r="B462" s="111" t="str">
        <f ca="1"/>
        <v>BEBIDAS LACTEAS</v>
      </c>
      <c r="C462" s="111" t="str">
        <f ca="1"/>
        <v xml:space="preserve">Luis Armendariz                         </v>
      </c>
      <c r="D462" s="111" t="str">
        <f ca="1"/>
        <v>YOGURT KIOSKO</v>
      </c>
      <c r="E462" s="111" t="str">
        <f ca="1"/>
        <v>BEBIDA DE YOGURT KIOSKO FUNDA FAMILI</v>
      </c>
      <c r="F462" s="120" t="str">
        <f ca="1"/>
        <v>GUAYAQUIL</v>
      </c>
      <c r="G462" s="120">
        <f ca="1"/>
        <v>7711</v>
      </c>
      <c r="H462" s="120">
        <f ca="1"/>
        <v>1001</v>
      </c>
      <c r="I462" s="120" t="str">
        <f ca="1"/>
        <v>12299</v>
      </c>
      <c r="J462" s="120" t="str">
        <f ca="1"/>
        <v>YOG DUO KIOSKO PINA COCO FUN 900G</v>
      </c>
      <c r="K462" s="121">
        <f ca="1"/>
        <v>900</v>
      </c>
      <c r="L462" s="122">
        <f ca="1"/>
        <v>1</v>
      </c>
      <c r="M462" s="120">
        <f ca="1"/>
        <v>0.9</v>
      </c>
      <c r="N462" s="121">
        <f ca="1"/>
        <v>45</v>
      </c>
      <c r="O462" s="123">
        <f ca="1"/>
        <v>45609</v>
      </c>
      <c r="P462" s="123" t="str">
        <f ca="1"/>
        <v>miércoles</v>
      </c>
      <c r="Q462" s="124">
        <f ca="1"/>
        <v>45603</v>
      </c>
      <c r="R462" s="124">
        <f ca="1"/>
        <v>45647</v>
      </c>
      <c r="S462" s="90">
        <f ca="1"/>
        <v>23</v>
      </c>
      <c r="T462" s="139">
        <f ca="1"/>
        <v>0.51111111111111107</v>
      </c>
      <c r="U462" s="131">
        <f ca="1"/>
        <v>156</v>
      </c>
      <c r="V462" s="120">
        <f ca="1"/>
        <v>140.4</v>
      </c>
      <c r="W462" s="140">
        <f ca="1"/>
        <v>6</v>
      </c>
      <c r="X462" s="139">
        <f ca="1"/>
        <v>0.8666666666666667</v>
      </c>
      <c r="Y462" s="141">
        <f ca="1"/>
        <v>0.63853000000000004</v>
      </c>
      <c r="Z462" s="141">
        <f ca="1"/>
        <v>0.63853000000000004</v>
      </c>
      <c r="AA462" s="142">
        <f ca="1"/>
        <v>89.649612000000005</v>
      </c>
      <c r="AB462" s="138">
        <f ca="1"/>
        <v>15</v>
      </c>
      <c r="AC462" s="103" t="str">
        <f ca="1"/>
        <v>PROXIMOS FECHA CORTA</v>
      </c>
      <c r="AD462" s="150">
        <f ca="1"/>
        <v>0.1404</v>
      </c>
    </row>
    <row r="463" spans="1:30">
      <c r="A463" s="111" t="str">
        <f ca="1"/>
        <v>MACHACHI</v>
      </c>
      <c r="B463" s="111" t="str">
        <f ca="1"/>
        <v>BEBIDAS LACTEAS</v>
      </c>
      <c r="C463" s="111" t="str">
        <f ca="1"/>
        <v xml:space="preserve">Luis Armendariz                         </v>
      </c>
      <c r="D463" s="111" t="str">
        <f ca="1"/>
        <v>YOGURT KIOSKO</v>
      </c>
      <c r="E463" s="111" t="str">
        <f ca="1"/>
        <v>BEBIDA DE YOGURT KIOSKO FUNDA FAMILI</v>
      </c>
      <c r="F463" s="120" t="str">
        <f ca="1"/>
        <v>GUAYAQUIL</v>
      </c>
      <c r="G463" s="120">
        <f ca="1"/>
        <v>7711</v>
      </c>
      <c r="H463" s="120">
        <f ca="1"/>
        <v>1001</v>
      </c>
      <c r="I463" s="120" t="str">
        <f ca="1"/>
        <v>12299</v>
      </c>
      <c r="J463" s="120" t="str">
        <f ca="1"/>
        <v>YOG DUO KIOSKO PINA COCO FUN 900G</v>
      </c>
      <c r="K463" s="121">
        <f ca="1"/>
        <v>900</v>
      </c>
      <c r="L463" s="122">
        <f ca="1"/>
        <v>1</v>
      </c>
      <c r="M463" s="120">
        <f ca="1"/>
        <v>0.9</v>
      </c>
      <c r="N463" s="121">
        <f ca="1"/>
        <v>45</v>
      </c>
      <c r="O463" s="123">
        <f ca="1"/>
        <v>45612</v>
      </c>
      <c r="P463" s="123" t="str">
        <f ca="1"/>
        <v>sábado</v>
      </c>
      <c r="Q463" s="124">
        <f ca="1"/>
        <v>45608</v>
      </c>
      <c r="R463" s="124">
        <f ca="1"/>
        <v>45652</v>
      </c>
      <c r="S463" s="90">
        <f ca="1"/>
        <v>28</v>
      </c>
      <c r="T463" s="139">
        <f ca="1"/>
        <v>0.62222222222222223</v>
      </c>
      <c r="U463" s="131">
        <f ca="1"/>
        <v>900</v>
      </c>
      <c r="V463" s="120">
        <f ca="1"/>
        <v>810</v>
      </c>
      <c r="W463" s="140">
        <f ca="1"/>
        <v>4</v>
      </c>
      <c r="X463" s="139">
        <f ca="1"/>
        <v>0.91111111111111109</v>
      </c>
      <c r="Y463" s="141">
        <f ca="1"/>
        <v>0.63853000000000004</v>
      </c>
      <c r="Z463" s="141">
        <f ca="1"/>
        <v>0.63853000000000004</v>
      </c>
      <c r="AA463" s="142">
        <f ca="1"/>
        <v>517.20929999999998</v>
      </c>
      <c r="AB463" s="138">
        <f ca="1"/>
        <v>12</v>
      </c>
      <c r="AC463" s="103" t="str">
        <f ca="1"/>
        <v>VIGENTE</v>
      </c>
      <c r="AD463" s="150">
        <f ca="1"/>
        <v>0.81</v>
      </c>
    </row>
    <row r="464" spans="1:30">
      <c r="A464" s="111" t="str">
        <f ca="1"/>
        <v>MACHACHI</v>
      </c>
      <c r="B464" s="111" t="str">
        <f ca="1"/>
        <v>BEBIDAS LACTEAS</v>
      </c>
      <c r="C464" s="111" t="str">
        <f ca="1"/>
        <v xml:space="preserve">Luis Armendariz                         </v>
      </c>
      <c r="D464" s="111" t="str">
        <f ca="1"/>
        <v>YOGURT KIOSKO</v>
      </c>
      <c r="E464" s="111" t="str">
        <f ca="1"/>
        <v>BEBIDA DE YOGURT KIOSKO FUNDA FAMILI</v>
      </c>
      <c r="F464" s="120" t="str">
        <f ca="1"/>
        <v>GUAYAQUIL</v>
      </c>
      <c r="G464" s="120">
        <f ca="1"/>
        <v>7711</v>
      </c>
      <c r="H464" s="120">
        <f ca="1"/>
        <v>1001</v>
      </c>
      <c r="I464" s="120" t="str">
        <f ca="1"/>
        <v>12299</v>
      </c>
      <c r="J464" s="120" t="str">
        <f ca="1"/>
        <v>YOG DUO KIOSKO PINA COCO FUN 900G</v>
      </c>
      <c r="K464" s="121">
        <f ca="1"/>
        <v>900</v>
      </c>
      <c r="L464" s="122">
        <f ca="1"/>
        <v>1</v>
      </c>
      <c r="M464" s="120">
        <f ca="1"/>
        <v>0.9</v>
      </c>
      <c r="N464" s="121">
        <f ca="1"/>
        <v>45</v>
      </c>
      <c r="O464" s="123">
        <f ca="1"/>
        <v>45611</v>
      </c>
      <c r="P464" s="123" t="str">
        <f ca="1"/>
        <v>viernes</v>
      </c>
      <c r="Q464" s="124">
        <f ca="1"/>
        <v>45603</v>
      </c>
      <c r="R464" s="124">
        <f ca="1"/>
        <v>45647</v>
      </c>
      <c r="S464" s="90">
        <f ca="1"/>
        <v>23</v>
      </c>
      <c r="T464" s="139">
        <f ca="1"/>
        <v>0.51111111111111107</v>
      </c>
      <c r="U464" s="131">
        <f ca="1"/>
        <v>900</v>
      </c>
      <c r="V464" s="120">
        <f ca="1"/>
        <v>810</v>
      </c>
      <c r="W464" s="140">
        <f ca="1"/>
        <v>8</v>
      </c>
      <c r="X464" s="139">
        <f ca="1"/>
        <v>0.82222222222222219</v>
      </c>
      <c r="Y464" s="141">
        <f ca="1"/>
        <v>0.63853000000000004</v>
      </c>
      <c r="Z464" s="141">
        <f ca="1"/>
        <v>0.63853000000000004</v>
      </c>
      <c r="AA464" s="142">
        <f ca="1"/>
        <v>517.20929999999998</v>
      </c>
      <c r="AB464" s="138">
        <f ca="1"/>
        <v>13</v>
      </c>
      <c r="AC464" s="103" t="str">
        <f ca="1"/>
        <v>PROXIMOS FECHA CORTA</v>
      </c>
      <c r="AD464" s="150">
        <f ca="1"/>
        <v>0.81</v>
      </c>
    </row>
    <row r="465" spans="1:30">
      <c r="A465" s="111" t="str">
        <f ca="1"/>
        <v>MACHACHI</v>
      </c>
      <c r="B465" s="111" t="str">
        <f ca="1"/>
        <v>BEBIDAS LACTEAS</v>
      </c>
      <c r="C465" s="111" t="str">
        <f ca="1"/>
        <v xml:space="preserve">Luis Armendariz                         </v>
      </c>
      <c r="D465" s="111" t="str">
        <f ca="1"/>
        <v>YOGURT KIOSKO</v>
      </c>
      <c r="E465" s="111" t="str">
        <f ca="1"/>
        <v>BEBIDA DE YOGURT KIOSKO FUNDA FAMILI</v>
      </c>
      <c r="F465" s="120" t="str">
        <f ca="1"/>
        <v>GUAYAQUIL</v>
      </c>
      <c r="G465" s="120">
        <f ca="1"/>
        <v>7711</v>
      </c>
      <c r="H465" s="120">
        <f ca="1"/>
        <v>1001</v>
      </c>
      <c r="I465" s="120" t="str">
        <f ca="1"/>
        <v>12299</v>
      </c>
      <c r="J465" s="120" t="str">
        <f ca="1"/>
        <v>YOG DUO KIOSKO PINA COCO FUN 900G</v>
      </c>
      <c r="K465" s="121">
        <f ca="1"/>
        <v>900</v>
      </c>
      <c r="L465" s="122">
        <f ca="1"/>
        <v>1</v>
      </c>
      <c r="M465" s="120">
        <f ca="1"/>
        <v>0.9</v>
      </c>
      <c r="N465" s="121">
        <f ca="1"/>
        <v>45</v>
      </c>
      <c r="O465" s="123">
        <f ca="1"/>
        <v>45610</v>
      </c>
      <c r="P465" s="123" t="str">
        <f ca="1"/>
        <v>jueves</v>
      </c>
      <c r="Q465" s="124">
        <f ca="1"/>
        <v>45602</v>
      </c>
      <c r="R465" s="124">
        <f ca="1"/>
        <v>45646</v>
      </c>
      <c r="S465" s="90">
        <f ca="1"/>
        <v>22</v>
      </c>
      <c r="T465" s="139">
        <f ca="1"/>
        <v>0.48888888888888887</v>
      </c>
      <c r="U465" s="131">
        <f ca="1"/>
        <v>3</v>
      </c>
      <c r="V465" s="120">
        <f ca="1"/>
        <v>2.7</v>
      </c>
      <c r="W465" s="140">
        <f ca="1"/>
        <v>8</v>
      </c>
      <c r="X465" s="139">
        <f ca="1"/>
        <v>0.82222222222222219</v>
      </c>
      <c r="Y465" s="141">
        <f ca="1"/>
        <v>0.63853000000000004</v>
      </c>
      <c r="Z465" s="141">
        <f ca="1"/>
        <v>0.63853000000000004</v>
      </c>
      <c r="AA465" s="142">
        <f ca="1"/>
        <v>1.7240310000000003</v>
      </c>
      <c r="AB465" s="138">
        <f ca="1"/>
        <v>14</v>
      </c>
      <c r="AC465" s="103" t="str">
        <f ca="1"/>
        <v>PROXIMOS FECHA CORTA</v>
      </c>
      <c r="AD465" s="150">
        <f ca="1"/>
        <v>2.7000000000000001E-3</v>
      </c>
    </row>
    <row r="466" spans="1:30">
      <c r="A466" s="111" t="str">
        <f ca="1"/>
        <v>MACHACHI</v>
      </c>
      <c r="B466" s="111" t="str">
        <f ca="1"/>
        <v>BEBIDAS LACTEAS</v>
      </c>
      <c r="C466" s="111" t="str">
        <f ca="1"/>
        <v xml:space="preserve">Luis Armendariz                         </v>
      </c>
      <c r="D466" s="111" t="str">
        <f ca="1"/>
        <v>YOGURT KIOSKO</v>
      </c>
      <c r="E466" s="111" t="str">
        <f ca="1"/>
        <v>BEBIDA DE YOGURT KIOSKO FUNDA FAMILI</v>
      </c>
      <c r="F466" s="120" t="str">
        <f ca="1"/>
        <v>GUAYAQUIL</v>
      </c>
      <c r="G466" s="120">
        <f ca="1"/>
        <v>7711</v>
      </c>
      <c r="H466" s="120">
        <f ca="1"/>
        <v>1001</v>
      </c>
      <c r="I466" s="120" t="str">
        <f ca="1"/>
        <v>12299</v>
      </c>
      <c r="J466" s="120" t="str">
        <f ca="1"/>
        <v>YOG DUO KIOSKO PINA COCO FUN 900G</v>
      </c>
      <c r="K466" s="121">
        <f ca="1"/>
        <v>675</v>
      </c>
      <c r="L466" s="122">
        <f ca="1"/>
        <v>1</v>
      </c>
      <c r="M466" s="120">
        <f ca="1"/>
        <v>0.9</v>
      </c>
      <c r="N466" s="121">
        <f ca="1"/>
        <v>45</v>
      </c>
      <c r="O466" s="123">
        <f ca="1"/>
        <v>45615</v>
      </c>
      <c r="P466" s="123" t="str">
        <f ca="1"/>
        <v>martes</v>
      </c>
      <c r="Q466" s="124">
        <f ca="1"/>
        <v>45610</v>
      </c>
      <c r="R466" s="124">
        <f ca="1"/>
        <v>45654</v>
      </c>
      <c r="S466" s="90">
        <f ca="1"/>
        <v>30</v>
      </c>
      <c r="T466" s="139">
        <f ca="1"/>
        <v>0.66666666666666663</v>
      </c>
      <c r="U466" s="131">
        <f ca="1"/>
        <v>270</v>
      </c>
      <c r="V466" s="120">
        <f ca="1"/>
        <v>243</v>
      </c>
      <c r="W466" s="140">
        <f ca="1"/>
        <v>5</v>
      </c>
      <c r="X466" s="139">
        <f ca="1"/>
        <v>0.88888888888888884</v>
      </c>
      <c r="Y466" s="141">
        <f ca="1"/>
        <v>0.63853000000000004</v>
      </c>
      <c r="Z466" s="141">
        <f ca="1"/>
        <v>0.63853000000000004</v>
      </c>
      <c r="AA466" s="142">
        <f ca="1"/>
        <v>155.16279</v>
      </c>
      <c r="AB466" s="138">
        <f ca="1"/>
        <v>9</v>
      </c>
      <c r="AC466" s="103" t="str">
        <f ca="1"/>
        <v>VIGENTE</v>
      </c>
      <c r="AD466" s="150">
        <f ca="1"/>
        <v>0.24299999999999999</v>
      </c>
    </row>
    <row r="467" spans="1:30">
      <c r="A467" s="111" t="str">
        <f ca="1"/>
        <v>MACHACHI</v>
      </c>
      <c r="B467" s="111" t="str">
        <f ca="1"/>
        <v>BEBIDAS LACTEAS</v>
      </c>
      <c r="C467" s="111" t="str">
        <f ca="1"/>
        <v xml:space="preserve">Luis Armendariz                         </v>
      </c>
      <c r="D467" s="111" t="str">
        <f ca="1"/>
        <v>YOGURT KIOSKO</v>
      </c>
      <c r="E467" s="111" t="str">
        <f ca="1"/>
        <v>BEBIDA DE YOGURT KIOSKO FUNDA FAMILI</v>
      </c>
      <c r="F467" s="120" t="str">
        <f ca="1"/>
        <v>GUAYAQUIL</v>
      </c>
      <c r="G467" s="120">
        <f ca="1"/>
        <v>7711</v>
      </c>
      <c r="H467" s="120">
        <f ca="1"/>
        <v>1001</v>
      </c>
      <c r="I467" s="120" t="str">
        <f ca="1"/>
        <v>12299</v>
      </c>
      <c r="J467" s="120" t="str">
        <f ca="1"/>
        <v>YOG DUO KIOSKO PINA COCO FUN 900G</v>
      </c>
      <c r="K467" s="121">
        <f ca="1"/>
        <v>675</v>
      </c>
      <c r="L467" s="122">
        <f ca="1"/>
        <v>1</v>
      </c>
      <c r="M467" s="120">
        <f ca="1"/>
        <v>0.9</v>
      </c>
      <c r="N467" s="121">
        <f ca="1"/>
        <v>45</v>
      </c>
      <c r="O467" s="123">
        <f ca="1"/>
        <v>45616</v>
      </c>
      <c r="P467" s="123" t="str">
        <f ca="1"/>
        <v>miércoles</v>
      </c>
      <c r="Q467" s="124">
        <f ca="1"/>
        <v>45610</v>
      </c>
      <c r="R467" s="124">
        <f ca="1"/>
        <v>45654</v>
      </c>
      <c r="S467" s="90">
        <f ca="1"/>
        <v>30</v>
      </c>
      <c r="T467" s="139">
        <f ca="1"/>
        <v>0.66666666666666663</v>
      </c>
      <c r="U467" s="131">
        <f ca="1"/>
        <v>675</v>
      </c>
      <c r="V467" s="120">
        <f ca="1"/>
        <v>607.5</v>
      </c>
      <c r="W467" s="140">
        <f ca="1"/>
        <v>6</v>
      </c>
      <c r="X467" s="139">
        <f ca="1"/>
        <v>0.8666666666666667</v>
      </c>
      <c r="Y467" s="141">
        <f ca="1"/>
        <v>0.63853000000000004</v>
      </c>
      <c r="Z467" s="141">
        <f ca="1"/>
        <v>0.63853000000000004</v>
      </c>
      <c r="AA467" s="142">
        <f ca="1"/>
        <v>387.90697500000005</v>
      </c>
      <c r="AB467" s="138">
        <f ca="1"/>
        <v>8</v>
      </c>
      <c r="AC467" s="103" t="str">
        <f ca="1"/>
        <v>VIGENTE</v>
      </c>
      <c r="AD467" s="150">
        <f ca="1"/>
        <v>0.60750000000000004</v>
      </c>
    </row>
    <row r="468" spans="1:30">
      <c r="A468" s="111" t="str">
        <f ca="1"/>
        <v>MACHACHI</v>
      </c>
      <c r="B468" s="111" t="str">
        <f ca="1"/>
        <v>BEBIDAS LACTEAS</v>
      </c>
      <c r="C468" s="111" t="str">
        <f ca="1"/>
        <v xml:space="preserve">Luis Armendariz                         </v>
      </c>
      <c r="D468" s="111" t="str">
        <f ca="1"/>
        <v>YOGURT KIOSKO</v>
      </c>
      <c r="E468" s="111" t="str">
        <f ca="1"/>
        <v>BEBIDA DE YOGURT KIOSKO FUNDA FAMILI</v>
      </c>
      <c r="F468" s="120" t="str">
        <f ca="1"/>
        <v>GUAYAQUIL</v>
      </c>
      <c r="G468" s="120">
        <f ca="1"/>
        <v>7711</v>
      </c>
      <c r="H468" s="120">
        <f ca="1"/>
        <v>1001</v>
      </c>
      <c r="I468" s="120" t="str">
        <f ca="1"/>
        <v>12299</v>
      </c>
      <c r="J468" s="120" t="str">
        <f ca="1"/>
        <v>YOG DUO KIOSKO PINA COCO FUN 900G</v>
      </c>
      <c r="K468" s="121">
        <f ca="1"/>
        <v>405</v>
      </c>
      <c r="L468" s="122">
        <f ca="1"/>
        <v>1</v>
      </c>
      <c r="M468" s="120">
        <f ca="1"/>
        <v>0.9</v>
      </c>
      <c r="N468" s="121">
        <f ca="1"/>
        <v>45</v>
      </c>
      <c r="O468" s="123">
        <f ca="1"/>
        <v>45617</v>
      </c>
      <c r="P468" s="123" t="str">
        <f ca="1"/>
        <v>jueves</v>
      </c>
      <c r="Q468" s="124">
        <f ca="1"/>
        <v>45610</v>
      </c>
      <c r="R468" s="124">
        <f ca="1"/>
        <v>45654</v>
      </c>
      <c r="S468" s="90">
        <f ca="1"/>
        <v>30</v>
      </c>
      <c r="T468" s="139">
        <f ca="1"/>
        <v>0.66666666666666663</v>
      </c>
      <c r="U468" s="131">
        <f ca="1"/>
        <v>405</v>
      </c>
      <c r="V468" s="120">
        <f ca="1"/>
        <v>364.5</v>
      </c>
      <c r="W468" s="140">
        <f ca="1"/>
        <v>7</v>
      </c>
      <c r="X468" s="139">
        <f ca="1"/>
        <v>0.84444444444444444</v>
      </c>
      <c r="Y468" s="141">
        <f ca="1"/>
        <v>0.63853000000000004</v>
      </c>
      <c r="Z468" s="141">
        <f ca="1"/>
        <v>0.63853000000000004</v>
      </c>
      <c r="AA468" s="142">
        <f ca="1"/>
        <v>232.74418500000002</v>
      </c>
      <c r="AB468" s="138">
        <f ca="1"/>
        <v>7</v>
      </c>
      <c r="AC468" s="103" t="str">
        <f ca="1"/>
        <v>VIGENTE</v>
      </c>
      <c r="AD468" s="150">
        <f ca="1"/>
        <v>0.36449999999999999</v>
      </c>
    </row>
    <row r="469" spans="1:30">
      <c r="A469" s="111" t="str">
        <f ca="1"/>
        <v>MACHACHI</v>
      </c>
      <c r="B469" s="111" t="str">
        <f ca="1"/>
        <v>BEBIDAS LACTEAS</v>
      </c>
      <c r="C469" s="111" t="str">
        <f ca="1"/>
        <v xml:space="preserve">Luis Armendariz                         </v>
      </c>
      <c r="D469" s="111" t="str">
        <f ca="1"/>
        <v>REGENERIS</v>
      </c>
      <c r="E469" s="111" t="str">
        <f ca="1"/>
        <v>REGENERIS BEBIBLE BOTELLA FAMILIAR</v>
      </c>
      <c r="F469" s="120" t="str">
        <f ca="1"/>
        <v>GUAYAQUIL</v>
      </c>
      <c r="G469" s="120">
        <f ca="1"/>
        <v>7711</v>
      </c>
      <c r="H469" s="120">
        <f ca="1"/>
        <v>1001</v>
      </c>
      <c r="I469" s="120" t="str">
        <f ca="1"/>
        <v>16679</v>
      </c>
      <c r="J469" s="120" t="str">
        <f ca="1"/>
        <v>RGN BBLE MORA 1750</v>
      </c>
      <c r="K469" s="121">
        <f ca="1"/>
        <v>24</v>
      </c>
      <c r="L469" s="122">
        <f ca="1"/>
        <v>1</v>
      </c>
      <c r="M469" s="120">
        <f ca="1"/>
        <v>1.75</v>
      </c>
      <c r="N469" s="121">
        <f ca="1"/>
        <v>45</v>
      </c>
      <c r="O469" s="123">
        <f ca="1"/>
        <v>45591</v>
      </c>
      <c r="P469" s="123" t="str">
        <f ca="1"/>
        <v>sábado</v>
      </c>
      <c r="Q469" s="124">
        <f ca="1"/>
        <v>45587</v>
      </c>
      <c r="R469" s="124">
        <f ca="1"/>
        <v>45631</v>
      </c>
      <c r="S469" s="90">
        <f ca="1"/>
        <v>7</v>
      </c>
      <c r="T469" s="139">
        <f ca="1"/>
        <v>0.15555555555555556</v>
      </c>
      <c r="U469" s="131">
        <f ca="1"/>
        <v>16</v>
      </c>
      <c r="V469" s="120">
        <f ca="1"/>
        <v>28</v>
      </c>
      <c r="W469" s="140">
        <f ca="1"/>
        <v>4</v>
      </c>
      <c r="X469" s="139">
        <f ca="1"/>
        <v>0.91111111111111109</v>
      </c>
      <c r="Y469" s="141">
        <f ca="1"/>
        <v>2.20458</v>
      </c>
      <c r="Z469" s="141">
        <f ca="1"/>
        <v>2.20458</v>
      </c>
      <c r="AA469" s="142">
        <f ca="1"/>
        <v>61.72824</v>
      </c>
      <c r="AB469" s="138">
        <f ca="1"/>
        <v>33</v>
      </c>
      <c r="AC469" s="103" t="str">
        <f ca="1"/>
        <v>FECHA CORTA</v>
      </c>
      <c r="AD469" s="150">
        <f ca="1"/>
        <v>2.8000000000000001E-2</v>
      </c>
    </row>
    <row r="470" spans="1:30">
      <c r="A470" s="111" t="str">
        <f ca="1"/>
        <v>MACHACHI</v>
      </c>
      <c r="B470" s="111" t="str">
        <f ca="1"/>
        <v>BEBIDAS LACTEAS</v>
      </c>
      <c r="C470" s="111" t="str">
        <f ca="1"/>
        <v xml:space="preserve">Luis Armendariz                         </v>
      </c>
      <c r="D470" s="111" t="str">
        <f ca="1"/>
        <v>REGENERIS</v>
      </c>
      <c r="E470" s="111" t="str">
        <f ca="1"/>
        <v>REGENERIS BEBIBLE BOTELLA FAMILIAR</v>
      </c>
      <c r="F470" s="120" t="str">
        <f ca="1"/>
        <v>GUAYAQUIL</v>
      </c>
      <c r="G470" s="120">
        <f ca="1"/>
        <v>7711</v>
      </c>
      <c r="H470" s="120">
        <f ca="1"/>
        <v>1001</v>
      </c>
      <c r="I470" s="120" t="str">
        <f ca="1"/>
        <v>16679</v>
      </c>
      <c r="J470" s="120" t="str">
        <f ca="1"/>
        <v>RGN BBLE MORA 1750</v>
      </c>
      <c r="K470" s="121">
        <f ca="1"/>
        <v>12</v>
      </c>
      <c r="L470" s="122">
        <f ca="1"/>
        <v>1</v>
      </c>
      <c r="M470" s="120">
        <f ca="1"/>
        <v>1.75</v>
      </c>
      <c r="N470" s="121">
        <f ca="1"/>
        <v>45</v>
      </c>
      <c r="O470" s="123">
        <f ca="1"/>
        <v>45615</v>
      </c>
      <c r="P470" s="123" t="str">
        <f ca="1"/>
        <v>martes</v>
      </c>
      <c r="Q470" s="124">
        <f ca="1"/>
        <v>45608</v>
      </c>
      <c r="R470" s="124">
        <f ca="1"/>
        <v>45652</v>
      </c>
      <c r="S470" s="90">
        <f ca="1"/>
        <v>28</v>
      </c>
      <c r="T470" s="139">
        <f ca="1"/>
        <v>0.62222222222222223</v>
      </c>
      <c r="U470" s="131">
        <f ca="1"/>
        <v>8</v>
      </c>
      <c r="V470" s="120">
        <f ca="1"/>
        <v>14</v>
      </c>
      <c r="W470" s="140">
        <f ca="1"/>
        <v>7</v>
      </c>
      <c r="X470" s="139">
        <f ca="1"/>
        <v>0.84444444444444444</v>
      </c>
      <c r="Y470" s="141">
        <f ca="1"/>
        <v>2.20458</v>
      </c>
      <c r="Z470" s="141">
        <f ca="1"/>
        <v>2.20458</v>
      </c>
      <c r="AA470" s="142">
        <f ca="1"/>
        <v>30.86412</v>
      </c>
      <c r="AB470" s="138">
        <f ca="1"/>
        <v>9</v>
      </c>
      <c r="AC470" s="103" t="str">
        <f ca="1"/>
        <v>VIGENTE</v>
      </c>
      <c r="AD470" s="150">
        <f ca="1"/>
        <v>1.4E-2</v>
      </c>
    </row>
    <row r="471" spans="1:30">
      <c r="A471" s="111" t="str">
        <f ca="1"/>
        <v>MACHACHI</v>
      </c>
      <c r="B471" s="111" t="str">
        <f ca="1"/>
        <v>BEBIDAS LACTEAS</v>
      </c>
      <c r="C471" s="111" t="str">
        <f ca="1"/>
        <v xml:space="preserve">Luis Armendariz                         </v>
      </c>
      <c r="D471" s="111" t="str">
        <f ca="1"/>
        <v>REGENERIS</v>
      </c>
      <c r="E471" s="111" t="str">
        <f ca="1"/>
        <v>REGENERIS BEBIBLE BOTELLA FAMILIAR</v>
      </c>
      <c r="F471" s="120" t="str">
        <f ca="1"/>
        <v>GUAYAQUIL</v>
      </c>
      <c r="G471" s="120">
        <f ca="1"/>
        <v>7711</v>
      </c>
      <c r="H471" s="120">
        <f ca="1"/>
        <v>1001</v>
      </c>
      <c r="I471" s="120" t="str">
        <f ca="1"/>
        <v>16679</v>
      </c>
      <c r="J471" s="120" t="str">
        <f ca="1"/>
        <v>RGN BBLE MORA 1750</v>
      </c>
      <c r="K471" s="121">
        <f ca="1"/>
        <v>36</v>
      </c>
      <c r="L471" s="122">
        <f ca="1"/>
        <v>1</v>
      </c>
      <c r="M471" s="120">
        <f ca="1"/>
        <v>1.75</v>
      </c>
      <c r="N471" s="121">
        <f ca="1"/>
        <v>45</v>
      </c>
      <c r="O471" s="123">
        <f ca="1"/>
        <v>45616</v>
      </c>
      <c r="P471" s="123" t="str">
        <f ca="1"/>
        <v>miércoles</v>
      </c>
      <c r="Q471" s="124">
        <f ca="1"/>
        <v>45611</v>
      </c>
      <c r="R471" s="124">
        <f ca="1"/>
        <v>45655</v>
      </c>
      <c r="S471" s="90">
        <f ca="1"/>
        <v>31</v>
      </c>
      <c r="T471" s="139">
        <f ca="1"/>
        <v>0.68888888888888888</v>
      </c>
      <c r="U471" s="131">
        <f ca="1"/>
        <v>36</v>
      </c>
      <c r="V471" s="120">
        <f ca="1"/>
        <v>63</v>
      </c>
      <c r="W471" s="140">
        <f ca="1"/>
        <v>5</v>
      </c>
      <c r="X471" s="139">
        <f ca="1"/>
        <v>0.88888888888888884</v>
      </c>
      <c r="Y471" s="141">
        <f ca="1"/>
        <v>2.20458</v>
      </c>
      <c r="Z471" s="141">
        <f ca="1"/>
        <v>2.20458</v>
      </c>
      <c r="AA471" s="142">
        <f ca="1"/>
        <v>138.88854000000001</v>
      </c>
      <c r="AB471" s="138">
        <f ca="1"/>
        <v>8</v>
      </c>
      <c r="AC471" s="103" t="str">
        <f ca="1"/>
        <v>VIGENTE</v>
      </c>
      <c r="AD471" s="150">
        <f ca="1"/>
        <v>6.3E-2</v>
      </c>
    </row>
    <row r="472" spans="1:30">
      <c r="A472" s="111" t="str">
        <f ca="1"/>
        <v>MACHACHI</v>
      </c>
      <c r="B472" s="111" t="str">
        <f ca="1"/>
        <v>BEBIDAS LACTEAS</v>
      </c>
      <c r="C472" s="111" t="str">
        <f ca="1"/>
        <v xml:space="preserve">Luis Armendariz                         </v>
      </c>
      <c r="D472" s="111" t="str">
        <f ca="1"/>
        <v>REGENERIS</v>
      </c>
      <c r="E472" s="111" t="str">
        <f ca="1"/>
        <v>REGENERIS BEBIBLE BOTELLA FAMILIAR</v>
      </c>
      <c r="F472" s="120" t="str">
        <f ca="1"/>
        <v>GUAYAQUIL</v>
      </c>
      <c r="G472" s="120">
        <f ca="1"/>
        <v>7711</v>
      </c>
      <c r="H472" s="120">
        <f ca="1"/>
        <v>1001</v>
      </c>
      <c r="I472" s="120" t="str">
        <f ca="1"/>
        <v>16680</v>
      </c>
      <c r="J472" s="120" t="str">
        <f ca="1"/>
        <v>RGN BBLE MORA 1000</v>
      </c>
      <c r="K472" s="121">
        <f ca="1"/>
        <v>54</v>
      </c>
      <c r="L472" s="122">
        <f ca="1"/>
        <v>1</v>
      </c>
      <c r="M472" s="120">
        <f ca="1"/>
        <v>1</v>
      </c>
      <c r="N472" s="121">
        <f ca="1"/>
        <v>45</v>
      </c>
      <c r="O472" s="123">
        <f ca="1"/>
        <v>45612</v>
      </c>
      <c r="P472" s="123" t="str">
        <f ca="1"/>
        <v>sábado</v>
      </c>
      <c r="Q472" s="124">
        <f ca="1"/>
        <v>45611</v>
      </c>
      <c r="R472" s="124">
        <f ca="1"/>
        <v>45655</v>
      </c>
      <c r="S472" s="90">
        <f ca="1"/>
        <v>31</v>
      </c>
      <c r="T472" s="139">
        <f ca="1"/>
        <v>0.68888888888888888</v>
      </c>
      <c r="U472" s="131">
        <f ca="1"/>
        <v>40</v>
      </c>
      <c r="V472" s="120">
        <f ca="1"/>
        <v>40</v>
      </c>
      <c r="W472" s="140">
        <f ca="1"/>
        <v>1</v>
      </c>
      <c r="X472" s="139">
        <f ca="1"/>
        <v>0.97777777777777775</v>
      </c>
      <c r="Y472" s="141">
        <f ca="1"/>
        <v>1.3255649999999999</v>
      </c>
      <c r="Z472" s="141">
        <f ca="1"/>
        <v>1.3255649999999999</v>
      </c>
      <c r="AA472" s="142">
        <f ca="1"/>
        <v>53.022599999999997</v>
      </c>
      <c r="AB472" s="138">
        <f ca="1"/>
        <v>12</v>
      </c>
      <c r="AC472" s="103" t="str">
        <f ca="1"/>
        <v>VIGENTE</v>
      </c>
      <c r="AD472" s="150">
        <f ca="1"/>
        <v>0.04</v>
      </c>
    </row>
    <row r="473" spans="1:30">
      <c r="A473" s="111" t="str">
        <f ca="1"/>
        <v>MACHACHI</v>
      </c>
      <c r="B473" s="111" t="str">
        <f ca="1"/>
        <v>BEBIDAS LACTEAS</v>
      </c>
      <c r="C473" s="111" t="str">
        <f ca="1"/>
        <v xml:space="preserve">Luis Armendariz                         </v>
      </c>
      <c r="D473" s="111" t="str">
        <f ca="1"/>
        <v>REGENERIS</v>
      </c>
      <c r="E473" s="111" t="str">
        <f ca="1"/>
        <v>REGENERIS BEBIBLE BOTELLA FAMILIAR</v>
      </c>
      <c r="F473" s="120" t="str">
        <f ca="1"/>
        <v>GUAYAQUIL</v>
      </c>
      <c r="G473" s="120">
        <f ca="1"/>
        <v>7711</v>
      </c>
      <c r="H473" s="120">
        <f ca="1"/>
        <v>1001</v>
      </c>
      <c r="I473" s="120" t="str">
        <f ca="1"/>
        <v>16680</v>
      </c>
      <c r="J473" s="120" t="str">
        <f ca="1"/>
        <v>RGN BBLE MORA 1000</v>
      </c>
      <c r="K473" s="121">
        <f ca="1"/>
        <v>18</v>
      </c>
      <c r="L473" s="122">
        <f ca="1"/>
        <v>1</v>
      </c>
      <c r="M473" s="120">
        <f ca="1"/>
        <v>1</v>
      </c>
      <c r="N473" s="121">
        <f ca="1"/>
        <v>45</v>
      </c>
      <c r="O473" s="123">
        <f ca="1"/>
        <v>45616</v>
      </c>
      <c r="P473" s="123" t="str">
        <f ca="1"/>
        <v>miércoles</v>
      </c>
      <c r="Q473" s="124">
        <f ca="1"/>
        <v>45611</v>
      </c>
      <c r="R473" s="124">
        <f ca="1"/>
        <v>45655</v>
      </c>
      <c r="S473" s="90">
        <f ca="1"/>
        <v>31</v>
      </c>
      <c r="T473" s="139">
        <f ca="1"/>
        <v>0.68888888888888888</v>
      </c>
      <c r="U473" s="131">
        <f ca="1"/>
        <v>18</v>
      </c>
      <c r="V473" s="120">
        <f ca="1"/>
        <v>18</v>
      </c>
      <c r="W473" s="140">
        <f ca="1"/>
        <v>5</v>
      </c>
      <c r="X473" s="139">
        <f ca="1"/>
        <v>0.88888888888888884</v>
      </c>
      <c r="Y473" s="141">
        <f ca="1"/>
        <v>1.3255649999999999</v>
      </c>
      <c r="Z473" s="141">
        <f ca="1"/>
        <v>1.3255649999999999</v>
      </c>
      <c r="AA473" s="142">
        <f ca="1"/>
        <v>23.860169999999997</v>
      </c>
      <c r="AB473" s="138">
        <f ca="1"/>
        <v>8</v>
      </c>
      <c r="AC473" s="103" t="str">
        <f ca="1"/>
        <v>VIGENTE</v>
      </c>
      <c r="AD473" s="150">
        <f ca="1"/>
        <v>1.7999999999999999E-2</v>
      </c>
    </row>
    <row r="474" spans="1:30">
      <c r="A474" s="111" t="str">
        <f ca="1"/>
        <v>MACHACHI</v>
      </c>
      <c r="B474" s="111" t="str">
        <f ca="1"/>
        <v>BEBIDAS LACTEAS</v>
      </c>
      <c r="C474" s="111" t="str">
        <f ca="1"/>
        <v xml:space="preserve">Luis Armendariz                         </v>
      </c>
      <c r="D474" s="111" t="str">
        <f ca="1"/>
        <v>REGENERIS</v>
      </c>
      <c r="E474" s="111" t="str">
        <f ca="1"/>
        <v>REGENERIS BEBIBLE BOTELLA PERSONAL</v>
      </c>
      <c r="F474" s="120" t="str">
        <f ca="1"/>
        <v>GUAYAQUIL</v>
      </c>
      <c r="G474" s="120">
        <f ca="1"/>
        <v>7711</v>
      </c>
      <c r="H474" s="120">
        <f ca="1"/>
        <v>1001</v>
      </c>
      <c r="I474" s="120" t="str">
        <f ca="1"/>
        <v>16681</v>
      </c>
      <c r="J474" s="120" t="str">
        <f ca="1"/>
        <v>RGN BBLE MORA 180</v>
      </c>
      <c r="K474" s="121">
        <f ca="1"/>
        <v>108</v>
      </c>
      <c r="L474" s="122">
        <f ca="1"/>
        <v>1</v>
      </c>
      <c r="M474" s="120">
        <f ca="1"/>
        <v>0.18</v>
      </c>
      <c r="N474" s="121">
        <f ca="1"/>
        <v>45</v>
      </c>
      <c r="O474" s="123">
        <f ca="1"/>
        <v>45612</v>
      </c>
      <c r="P474" s="123" t="str">
        <f ca="1"/>
        <v>sábado</v>
      </c>
      <c r="Q474" s="124">
        <f ca="1"/>
        <v>45609</v>
      </c>
      <c r="R474" s="124">
        <f ca="1"/>
        <v>45653</v>
      </c>
      <c r="S474" s="90">
        <f ca="1"/>
        <v>29</v>
      </c>
      <c r="T474" s="139">
        <f ca="1"/>
        <v>0.64444444444444449</v>
      </c>
      <c r="U474" s="131">
        <f ca="1"/>
        <v>64</v>
      </c>
      <c r="V474" s="120">
        <f ca="1"/>
        <v>11.52</v>
      </c>
      <c r="W474" s="140">
        <f ca="1"/>
        <v>3</v>
      </c>
      <c r="X474" s="139">
        <f ca="1"/>
        <v>0.93333333333333335</v>
      </c>
      <c r="Y474" s="141">
        <f ca="1"/>
        <v>0.29577500000000001</v>
      </c>
      <c r="Z474" s="141">
        <f ca="1"/>
        <v>0.29577500000000001</v>
      </c>
      <c r="AA474" s="142">
        <f ca="1"/>
        <v>3.4073280000000001</v>
      </c>
      <c r="AB474" s="138">
        <f ca="1"/>
        <v>12</v>
      </c>
      <c r="AC474" s="103" t="str">
        <f ca="1"/>
        <v>VIGENTE</v>
      </c>
      <c r="AD474" s="150">
        <f ca="1"/>
        <v>1.1519999999999999E-2</v>
      </c>
    </row>
    <row r="475" spans="1:30">
      <c r="A475" s="111" t="str">
        <f ca="1"/>
        <v>MACHACHI</v>
      </c>
      <c r="B475" s="111" t="str">
        <f ca="1"/>
        <v>BEBIDAS LACTEAS</v>
      </c>
      <c r="C475" s="111" t="str">
        <f ca="1"/>
        <v xml:space="preserve">Luis Armendariz                         </v>
      </c>
      <c r="D475" s="111" t="str">
        <f ca="1"/>
        <v>REGENERIS</v>
      </c>
      <c r="E475" s="111" t="str">
        <f ca="1"/>
        <v>REGENERIS BEBIBLE BOTELLA PERSONAL</v>
      </c>
      <c r="F475" s="120" t="str">
        <f ca="1"/>
        <v>GUAYAQUIL</v>
      </c>
      <c r="G475" s="120">
        <f ca="1"/>
        <v>7711</v>
      </c>
      <c r="H475" s="120">
        <f ca="1"/>
        <v>1001</v>
      </c>
      <c r="I475" s="120" t="str">
        <f ca="1"/>
        <v>16681</v>
      </c>
      <c r="J475" s="120" t="str">
        <f ca="1"/>
        <v>RGN BBLE MORA 180</v>
      </c>
      <c r="K475" s="121">
        <f ca="1"/>
        <v>216</v>
      </c>
      <c r="L475" s="122">
        <f ca="1"/>
        <v>1</v>
      </c>
      <c r="M475" s="120">
        <f ca="1"/>
        <v>0.18</v>
      </c>
      <c r="N475" s="121">
        <f ca="1"/>
        <v>45</v>
      </c>
      <c r="O475" s="123">
        <f ca="1"/>
        <v>45615</v>
      </c>
      <c r="P475" s="123" t="str">
        <f ca="1"/>
        <v>martes</v>
      </c>
      <c r="Q475" s="124">
        <f ca="1"/>
        <v>45609</v>
      </c>
      <c r="R475" s="124">
        <f ca="1"/>
        <v>45653</v>
      </c>
      <c r="S475" s="90">
        <f ca="1"/>
        <v>29</v>
      </c>
      <c r="T475" s="139">
        <f ca="1"/>
        <v>0.64444444444444449</v>
      </c>
      <c r="U475" s="131">
        <f ca="1"/>
        <v>216</v>
      </c>
      <c r="V475" s="120">
        <f ca="1"/>
        <v>38.879999999999995</v>
      </c>
      <c r="W475" s="140">
        <f ca="1"/>
        <v>6</v>
      </c>
      <c r="X475" s="139">
        <f ca="1"/>
        <v>0.8666666666666667</v>
      </c>
      <c r="Y475" s="141">
        <f ca="1"/>
        <v>0.29577500000000001</v>
      </c>
      <c r="Z475" s="141">
        <f ca="1"/>
        <v>0.29577500000000001</v>
      </c>
      <c r="AA475" s="142">
        <f ca="1"/>
        <v>11.499732</v>
      </c>
      <c r="AB475" s="138">
        <f ca="1"/>
        <v>9</v>
      </c>
      <c r="AC475" s="103" t="str">
        <f ca="1"/>
        <v>VIGENTE</v>
      </c>
      <c r="AD475" s="150">
        <f ca="1"/>
        <v>3.8879999999999998E-2</v>
      </c>
    </row>
    <row r="476" spans="1:30">
      <c r="A476" s="111" t="str">
        <f ca="1"/>
        <v>MACHACHI</v>
      </c>
      <c r="B476" s="111" t="str">
        <f ca="1"/>
        <v>BEBIDAS LACTEAS</v>
      </c>
      <c r="C476" s="111" t="str">
        <f ca="1"/>
        <v xml:space="preserve">Luis Armendariz                         </v>
      </c>
      <c r="D476" s="111" t="str">
        <f ca="1"/>
        <v>REGENERIS</v>
      </c>
      <c r="E476" s="111" t="str">
        <f ca="1"/>
        <v>REGENERIS BEBIBLE BOTELLA PERSONAL</v>
      </c>
      <c r="F476" s="120" t="str">
        <f ca="1"/>
        <v>GUAYAQUIL</v>
      </c>
      <c r="G476" s="120">
        <f ca="1"/>
        <v>7711</v>
      </c>
      <c r="H476" s="120">
        <f ca="1"/>
        <v>1001</v>
      </c>
      <c r="I476" s="120" t="str">
        <f ca="1"/>
        <v>16681</v>
      </c>
      <c r="J476" s="120" t="str">
        <f ca="1"/>
        <v>RGN BBLE MORA 180</v>
      </c>
      <c r="K476" s="121">
        <f ca="1"/>
        <v>216</v>
      </c>
      <c r="L476" s="122">
        <f ca="1"/>
        <v>1</v>
      </c>
      <c r="M476" s="120">
        <f ca="1"/>
        <v>0.18</v>
      </c>
      <c r="N476" s="121">
        <f ca="1"/>
        <v>45</v>
      </c>
      <c r="O476" s="123">
        <f ca="1"/>
        <v>45616</v>
      </c>
      <c r="P476" s="123" t="str">
        <f ca="1"/>
        <v>miércoles</v>
      </c>
      <c r="Q476" s="124">
        <f ca="1"/>
        <v>45611</v>
      </c>
      <c r="R476" s="124">
        <f ca="1"/>
        <v>45655</v>
      </c>
      <c r="S476" s="90">
        <f ca="1"/>
        <v>31</v>
      </c>
      <c r="T476" s="139">
        <f ca="1"/>
        <v>0.68888888888888888</v>
      </c>
      <c r="U476" s="131">
        <f ca="1"/>
        <v>0</v>
      </c>
      <c r="V476" s="120">
        <f ca="1"/>
        <v>0</v>
      </c>
      <c r="W476" s="140">
        <f ca="1"/>
        <v>5</v>
      </c>
      <c r="X476" s="139">
        <f ca="1"/>
        <v>0.88888888888888884</v>
      </c>
      <c r="Y476" s="141">
        <f ca="1"/>
        <v>0.29577500000000001</v>
      </c>
      <c r="Z476" s="141">
        <f ca="1"/>
        <v>0.29577500000000001</v>
      </c>
      <c r="AA476" s="142">
        <f ca="1"/>
        <v>0</v>
      </c>
      <c r="AB476" s="138">
        <f ca="1"/>
        <v>8</v>
      </c>
      <c r="AC476" s="103" t="str">
        <f ca="1"/>
        <v>VIGENTE</v>
      </c>
      <c r="AD476" s="150">
        <f ca="1"/>
        <v>0</v>
      </c>
    </row>
    <row r="477" spans="1:30">
      <c r="A477" s="111" t="str">
        <f ca="1"/>
        <v>MACHACHI</v>
      </c>
      <c r="B477" s="111" t="str">
        <f ca="1"/>
        <v>BEBIDAS LACTEAS</v>
      </c>
      <c r="C477" s="111" t="str">
        <f ca="1"/>
        <v xml:space="preserve">Luis Armendariz                         </v>
      </c>
      <c r="D477" s="111" t="str">
        <f ca="1"/>
        <v>REGENERIS</v>
      </c>
      <c r="E477" s="111" t="str">
        <f ca="1"/>
        <v>REGENERIS BEBIBLE BOTELLA PERSONAL</v>
      </c>
      <c r="F477" s="120" t="str">
        <f ca="1"/>
        <v>GUAYAQUIL</v>
      </c>
      <c r="G477" s="120">
        <f ca="1"/>
        <v>7711</v>
      </c>
      <c r="H477" s="120">
        <f ca="1"/>
        <v>1001</v>
      </c>
      <c r="I477" s="120" t="str">
        <f ca="1"/>
        <v>16681</v>
      </c>
      <c r="J477" s="120" t="str">
        <f ca="1"/>
        <v>RGN BBLE MORA 180</v>
      </c>
      <c r="K477" s="121">
        <f ca="1"/>
        <v>216</v>
      </c>
      <c r="L477" s="122">
        <f ca="1"/>
        <v>1</v>
      </c>
      <c r="M477" s="120">
        <f ca="1"/>
        <v>0.18</v>
      </c>
      <c r="N477" s="121">
        <f ca="1"/>
        <v>45</v>
      </c>
      <c r="O477" s="123">
        <f ca="1"/>
        <v>45617</v>
      </c>
      <c r="P477" s="123" t="str">
        <f ca="1"/>
        <v>jueves</v>
      </c>
      <c r="Q477" s="124">
        <f ca="1"/>
        <v>45611</v>
      </c>
      <c r="R477" s="124">
        <f ca="1"/>
        <v>45655</v>
      </c>
      <c r="S477" s="90">
        <f ca="1"/>
        <v>31</v>
      </c>
      <c r="T477" s="139">
        <f ca="1"/>
        <v>0.68888888888888888</v>
      </c>
      <c r="U477" s="131">
        <f ca="1"/>
        <v>216</v>
      </c>
      <c r="V477" s="120">
        <f ca="1"/>
        <v>38.879999999999995</v>
      </c>
      <c r="W477" s="140">
        <f ca="1"/>
        <v>6</v>
      </c>
      <c r="X477" s="139">
        <f ca="1"/>
        <v>0.8666666666666667</v>
      </c>
      <c r="Y477" s="141">
        <f ca="1"/>
        <v>0.29577500000000001</v>
      </c>
      <c r="Z477" s="141">
        <f ca="1"/>
        <v>0.29577500000000001</v>
      </c>
      <c r="AA477" s="142">
        <f ca="1"/>
        <v>11.499732</v>
      </c>
      <c r="AB477" s="138">
        <f ca="1"/>
        <v>7</v>
      </c>
      <c r="AC477" s="103" t="str">
        <f ca="1"/>
        <v>VIGENTE</v>
      </c>
      <c r="AD477" s="150">
        <f ca="1"/>
        <v>3.8879999999999998E-2</v>
      </c>
    </row>
    <row r="478" spans="1:30">
      <c r="A478" s="111" t="str">
        <f ca="1"/>
        <v>MACHACHI</v>
      </c>
      <c r="B478" s="111" t="str">
        <f ca="1"/>
        <v>BEBIDAS LACTEAS</v>
      </c>
      <c r="C478" s="111" t="str">
        <f ca="1"/>
        <v xml:space="preserve">Luis Armendariz                         </v>
      </c>
      <c r="D478" s="111" t="str">
        <f ca="1"/>
        <v>REGENERIS</v>
      </c>
      <c r="E478" s="111" t="str">
        <f ca="1"/>
        <v>REGENERIS CEREAL BOTELLA PERSONAL</v>
      </c>
      <c r="F478" s="120" t="str">
        <f ca="1"/>
        <v>GUAYAQUIL</v>
      </c>
      <c r="G478" s="120">
        <f ca="1"/>
        <v>7711</v>
      </c>
      <c r="H478" s="120">
        <f ca="1"/>
        <v>1001</v>
      </c>
      <c r="I478" s="120" t="str">
        <f ca="1"/>
        <v>2121</v>
      </c>
      <c r="J478" s="120" t="str">
        <f ca="1"/>
        <v>RGN CER PITA BOT 180G</v>
      </c>
      <c r="K478" s="121">
        <f ca="1"/>
        <v>216</v>
      </c>
      <c r="L478" s="122">
        <f ca="1"/>
        <v>1</v>
      </c>
      <c r="M478" s="120">
        <f ca="1"/>
        <v>0.18</v>
      </c>
      <c r="N478" s="121">
        <f ca="1"/>
        <v>45</v>
      </c>
      <c r="O478" s="123">
        <f ca="1"/>
        <v>45609</v>
      </c>
      <c r="P478" s="123" t="str">
        <f ca="1"/>
        <v>miércoles</v>
      </c>
      <c r="Q478" s="124">
        <f ca="1"/>
        <v>45603</v>
      </c>
      <c r="R478" s="124">
        <f ca="1"/>
        <v>45647</v>
      </c>
      <c r="S478" s="90">
        <f ca="1"/>
        <v>23</v>
      </c>
      <c r="T478" s="139">
        <f ca="1"/>
        <v>0.51111111111111107</v>
      </c>
      <c r="U478" s="131">
        <f ca="1"/>
        <v>11</v>
      </c>
      <c r="V478" s="120">
        <f ca="1"/>
        <v>1.98</v>
      </c>
      <c r="W478" s="140">
        <f ca="1"/>
        <v>6</v>
      </c>
      <c r="X478" s="139">
        <f ca="1"/>
        <v>0.8666666666666667</v>
      </c>
      <c r="Y478" s="141">
        <f ca="1"/>
        <v>0.32785500000000001</v>
      </c>
      <c r="Z478" s="141">
        <f ca="1"/>
        <v>0.32785500000000001</v>
      </c>
      <c r="AA478" s="142">
        <f ca="1"/>
        <v>0.64915290000000003</v>
      </c>
      <c r="AB478" s="138">
        <f ca="1"/>
        <v>15</v>
      </c>
      <c r="AC478" s="103" t="str">
        <f ca="1"/>
        <v>PROXIMOS FECHA CORTA</v>
      </c>
      <c r="AD478" s="150">
        <f ca="1"/>
        <v>1.98E-3</v>
      </c>
    </row>
    <row r="479" spans="1:30">
      <c r="A479" s="111" t="str">
        <f ca="1"/>
        <v>MACHACHI</v>
      </c>
      <c r="B479" s="111" t="str">
        <f ca="1"/>
        <v>BEBIDAS LACTEAS</v>
      </c>
      <c r="C479" s="111" t="str">
        <f ca="1"/>
        <v xml:space="preserve">Luis Armendariz                         </v>
      </c>
      <c r="D479" s="111" t="str">
        <f ca="1"/>
        <v>REGENERIS</v>
      </c>
      <c r="E479" s="111" t="str">
        <f ca="1"/>
        <v>REGENERIS CEREAL BOTELLA PERSONAL</v>
      </c>
      <c r="F479" s="120" t="str">
        <f ca="1"/>
        <v>GUAYAQUIL</v>
      </c>
      <c r="G479" s="120">
        <f ca="1"/>
        <v>7711</v>
      </c>
      <c r="H479" s="120">
        <f ca="1"/>
        <v>1001</v>
      </c>
      <c r="I479" s="120" t="str">
        <f ca="1"/>
        <v>2121</v>
      </c>
      <c r="J479" s="120" t="str">
        <f ca="1"/>
        <v>RGN CER PITA BOT 180G</v>
      </c>
      <c r="K479" s="121">
        <f ca="1"/>
        <v>540</v>
      </c>
      <c r="L479" s="122">
        <f ca="1"/>
        <v>1</v>
      </c>
      <c r="M479" s="120">
        <f ca="1"/>
        <v>0.18</v>
      </c>
      <c r="N479" s="121">
        <f ca="1"/>
        <v>45</v>
      </c>
      <c r="O479" s="123">
        <f ca="1"/>
        <v>45612</v>
      </c>
      <c r="P479" s="123" t="str">
        <f ca="1"/>
        <v>sábado</v>
      </c>
      <c r="Q479" s="124">
        <f ca="1"/>
        <v>45609</v>
      </c>
      <c r="R479" s="124">
        <f ca="1"/>
        <v>45653</v>
      </c>
      <c r="S479" s="90">
        <f ca="1"/>
        <v>29</v>
      </c>
      <c r="T479" s="139">
        <f ca="1"/>
        <v>0.64444444444444449</v>
      </c>
      <c r="U479" s="131">
        <f ca="1"/>
        <v>540</v>
      </c>
      <c r="V479" s="120">
        <f ca="1"/>
        <v>97.2</v>
      </c>
      <c r="W479" s="140">
        <f ca="1"/>
        <v>3</v>
      </c>
      <c r="X479" s="139">
        <f ca="1"/>
        <v>0.93333333333333335</v>
      </c>
      <c r="Y479" s="141">
        <f ca="1"/>
        <v>0.32785500000000001</v>
      </c>
      <c r="Z479" s="141">
        <f ca="1"/>
        <v>0.32785500000000001</v>
      </c>
      <c r="AA479" s="142">
        <f ca="1"/>
        <v>31.867506000000002</v>
      </c>
      <c r="AB479" s="138">
        <f ca="1"/>
        <v>12</v>
      </c>
      <c r="AC479" s="103" t="str">
        <f ca="1"/>
        <v>VIGENTE</v>
      </c>
      <c r="AD479" s="150">
        <f ca="1"/>
        <v>9.7200000000000009E-2</v>
      </c>
    </row>
    <row r="480" spans="1:30">
      <c r="A480" s="111" t="str">
        <f ca="1"/>
        <v>MACHACHI</v>
      </c>
      <c r="B480" s="111" t="str">
        <f ca="1"/>
        <v>BEBIDAS LACTEAS</v>
      </c>
      <c r="C480" s="111" t="str">
        <f ca="1"/>
        <v xml:space="preserve">Luis Armendariz                         </v>
      </c>
      <c r="D480" s="111" t="str">
        <f ca="1"/>
        <v>REGENERIS</v>
      </c>
      <c r="E480" s="111" t="str">
        <f ca="1"/>
        <v>REGENERIS CEREAL BOTELLA PERSONAL</v>
      </c>
      <c r="F480" s="120" t="str">
        <f ca="1"/>
        <v>GUAYAQUIL</v>
      </c>
      <c r="G480" s="120">
        <f ca="1"/>
        <v>7711</v>
      </c>
      <c r="H480" s="120">
        <f ca="1"/>
        <v>1001</v>
      </c>
      <c r="I480" s="120" t="str">
        <f ca="1"/>
        <v>2121</v>
      </c>
      <c r="J480" s="120" t="str">
        <f ca="1"/>
        <v>RGN CER PITA BOT 180G</v>
      </c>
      <c r="K480" s="121">
        <f ca="1"/>
        <v>216</v>
      </c>
      <c r="L480" s="122">
        <f ca="1"/>
        <v>1</v>
      </c>
      <c r="M480" s="120">
        <f ca="1"/>
        <v>0.18</v>
      </c>
      <c r="N480" s="121">
        <f ca="1"/>
        <v>45</v>
      </c>
      <c r="O480" s="123">
        <f ca="1"/>
        <v>45611</v>
      </c>
      <c r="P480" s="123" t="str">
        <f ca="1"/>
        <v>viernes</v>
      </c>
      <c r="Q480" s="124">
        <f ca="1"/>
        <v>45609</v>
      </c>
      <c r="R480" s="124">
        <f ca="1"/>
        <v>45653</v>
      </c>
      <c r="S480" s="90">
        <f ca="1"/>
        <v>29</v>
      </c>
      <c r="T480" s="139">
        <f ca="1"/>
        <v>0.64444444444444449</v>
      </c>
      <c r="U480" s="131">
        <f ca="1"/>
        <v>2</v>
      </c>
      <c r="V480" s="120">
        <f ca="1"/>
        <v>0.36</v>
      </c>
      <c r="W480" s="140">
        <f ca="1"/>
        <v>2</v>
      </c>
      <c r="X480" s="139">
        <f ca="1"/>
        <v>0.9555555555555556</v>
      </c>
      <c r="Y480" s="141">
        <f ca="1"/>
        <v>0.32785500000000001</v>
      </c>
      <c r="Z480" s="141">
        <f ca="1"/>
        <v>0.32785500000000001</v>
      </c>
      <c r="AA480" s="142">
        <f ca="1"/>
        <v>0.1180278</v>
      </c>
      <c r="AB480" s="138">
        <f ca="1"/>
        <v>13</v>
      </c>
      <c r="AC480" s="103" t="str">
        <f ca="1"/>
        <v>VIGENTE</v>
      </c>
      <c r="AD480" s="150">
        <f ca="1"/>
        <v>3.5999999999999997E-4</v>
      </c>
    </row>
    <row r="481" spans="1:30">
      <c r="A481" s="111" t="str">
        <f ca="1"/>
        <v>MACHACHI</v>
      </c>
      <c r="B481" s="111" t="str">
        <f ca="1"/>
        <v>BEBIDAS LACTEAS</v>
      </c>
      <c r="C481" s="111" t="str">
        <f ca="1"/>
        <v xml:space="preserve">Luis Armendariz                         </v>
      </c>
      <c r="D481" s="111" t="str">
        <f ca="1"/>
        <v>REGENERIS</v>
      </c>
      <c r="E481" s="111" t="str">
        <f ca="1"/>
        <v>REGENERIS CEREAL BOTELLA PERSONAL</v>
      </c>
      <c r="F481" s="120" t="str">
        <f ca="1"/>
        <v>GUAYAQUIL</v>
      </c>
      <c r="G481" s="120">
        <f ca="1"/>
        <v>7711</v>
      </c>
      <c r="H481" s="120">
        <f ca="1"/>
        <v>1001</v>
      </c>
      <c r="I481" s="120" t="str">
        <f ca="1"/>
        <v>2121</v>
      </c>
      <c r="J481" s="120" t="str">
        <f ca="1"/>
        <v>RGN CER PITA BOT 180G</v>
      </c>
      <c r="K481" s="121">
        <f ca="1"/>
        <v>432</v>
      </c>
      <c r="L481" s="122">
        <f ca="1"/>
        <v>1</v>
      </c>
      <c r="M481" s="120">
        <f ca="1"/>
        <v>0.18</v>
      </c>
      <c r="N481" s="121">
        <f ca="1"/>
        <v>45</v>
      </c>
      <c r="O481" s="123">
        <f ca="1"/>
        <v>45615</v>
      </c>
      <c r="P481" s="123" t="str">
        <f ca="1"/>
        <v>martes</v>
      </c>
      <c r="Q481" s="124">
        <f ca="1"/>
        <v>45609</v>
      </c>
      <c r="R481" s="124">
        <f ca="1"/>
        <v>45653</v>
      </c>
      <c r="S481" s="90">
        <f ca="1"/>
        <v>29</v>
      </c>
      <c r="T481" s="139">
        <f ca="1"/>
        <v>0.64444444444444449</v>
      </c>
      <c r="U481" s="131">
        <f ca="1"/>
        <v>432</v>
      </c>
      <c r="V481" s="120">
        <f ca="1"/>
        <v>77.759999999999991</v>
      </c>
      <c r="W481" s="140">
        <f ca="1"/>
        <v>6</v>
      </c>
      <c r="X481" s="139">
        <f ca="1"/>
        <v>0.8666666666666667</v>
      </c>
      <c r="Y481" s="141">
        <f ca="1"/>
        <v>0.32785500000000001</v>
      </c>
      <c r="Z481" s="141">
        <f ca="1"/>
        <v>0.32785500000000001</v>
      </c>
      <c r="AA481" s="142">
        <f ca="1"/>
        <v>25.494004799999999</v>
      </c>
      <c r="AB481" s="138">
        <f ca="1"/>
        <v>9</v>
      </c>
      <c r="AC481" s="103" t="str">
        <f ca="1"/>
        <v>VIGENTE</v>
      </c>
      <c r="AD481" s="150">
        <f ca="1"/>
        <v>7.7759999999999996E-2</v>
      </c>
    </row>
    <row r="482" spans="1:30">
      <c r="A482" s="111" t="str">
        <f ca="1"/>
        <v>MACHACHI</v>
      </c>
      <c r="B482" s="111" t="str">
        <f ca="1"/>
        <v>BEBIDAS LACTEAS</v>
      </c>
      <c r="C482" s="111" t="str">
        <f ca="1"/>
        <v xml:space="preserve">Luis Armendariz                         </v>
      </c>
      <c r="D482" s="111" t="str">
        <f ca="1"/>
        <v>REGENERIS</v>
      </c>
      <c r="E482" s="111" t="str">
        <f ca="1"/>
        <v>REGENERIS CEREAL BOTELLA PERSONAL</v>
      </c>
      <c r="F482" s="120" t="str">
        <f ca="1"/>
        <v>GUAYAQUIL</v>
      </c>
      <c r="G482" s="120">
        <f ca="1"/>
        <v>7711</v>
      </c>
      <c r="H482" s="120">
        <f ca="1"/>
        <v>1001</v>
      </c>
      <c r="I482" s="120" t="str">
        <f ca="1"/>
        <v>2121</v>
      </c>
      <c r="J482" s="120" t="str">
        <f ca="1"/>
        <v>RGN CER PITA BOT 180G</v>
      </c>
      <c r="K482" s="121">
        <f ca="1"/>
        <v>432</v>
      </c>
      <c r="L482" s="122">
        <f ca="1"/>
        <v>1</v>
      </c>
      <c r="M482" s="120">
        <f ca="1"/>
        <v>0.18</v>
      </c>
      <c r="N482" s="121">
        <f ca="1"/>
        <v>45</v>
      </c>
      <c r="O482" s="123">
        <f ca="1"/>
        <v>45617</v>
      </c>
      <c r="P482" s="123" t="str">
        <f ca="1"/>
        <v>jueves</v>
      </c>
      <c r="Q482" s="124">
        <f ca="1"/>
        <v>45611</v>
      </c>
      <c r="R482" s="124">
        <f ca="1"/>
        <v>45655</v>
      </c>
      <c r="S482" s="90">
        <f ca="1"/>
        <v>31</v>
      </c>
      <c r="T482" s="139">
        <f ca="1"/>
        <v>0.68888888888888888</v>
      </c>
      <c r="U482" s="131">
        <f ca="1"/>
        <v>324</v>
      </c>
      <c r="V482" s="120">
        <f ca="1"/>
        <v>58.32</v>
      </c>
      <c r="W482" s="140">
        <f ca="1"/>
        <v>6</v>
      </c>
      <c r="X482" s="139">
        <f ca="1"/>
        <v>0.8666666666666667</v>
      </c>
      <c r="Y482" s="141">
        <f ca="1"/>
        <v>0.32785500000000001</v>
      </c>
      <c r="Z482" s="141">
        <f ca="1"/>
        <v>0.32785500000000001</v>
      </c>
      <c r="AA482" s="142">
        <f ca="1"/>
        <v>19.120503599999999</v>
      </c>
      <c r="AB482" s="138">
        <f ca="1"/>
        <v>7</v>
      </c>
      <c r="AC482" s="103" t="str">
        <f ca="1"/>
        <v>VIGENTE</v>
      </c>
      <c r="AD482" s="150">
        <f ca="1"/>
        <v>5.8319999999999997E-2</v>
      </c>
    </row>
    <row r="483" spans="1:30">
      <c r="A483" s="111" t="str">
        <f ca="1"/>
        <v>MACHACHI</v>
      </c>
      <c r="B483" s="111" t="str">
        <f ca="1"/>
        <v>BEBIDAS LACTEAS</v>
      </c>
      <c r="C483" s="111" t="str">
        <f ca="1"/>
        <v xml:space="preserve">Luis Armendariz                         </v>
      </c>
      <c r="D483" s="111" t="str">
        <f ca="1"/>
        <v>REGENERIS</v>
      </c>
      <c r="E483" s="111" t="str">
        <f ca="1"/>
        <v>REGENERIS BAJO EN GRASA BOTELLA FAMILIAR</v>
      </c>
      <c r="F483" s="120" t="str">
        <f ca="1"/>
        <v>GUAYAQUIL</v>
      </c>
      <c r="G483" s="120">
        <f ca="1"/>
        <v>7711</v>
      </c>
      <c r="H483" s="120">
        <f ca="1"/>
        <v>1001</v>
      </c>
      <c r="I483" s="120" t="str">
        <f ca="1"/>
        <v>4011</v>
      </c>
      <c r="J483" s="120" t="str">
        <f ca="1"/>
        <v>RGN LGHT FTLLA BOT 1000G</v>
      </c>
      <c r="K483" s="121">
        <f ca="1"/>
        <v>18</v>
      </c>
      <c r="L483" s="122">
        <f ca="1"/>
        <v>1</v>
      </c>
      <c r="M483" s="120">
        <f ca="1"/>
        <v>1</v>
      </c>
      <c r="N483" s="121">
        <f ca="1"/>
        <v>45</v>
      </c>
      <c r="O483" s="123">
        <f ca="1"/>
        <v>45612</v>
      </c>
      <c r="P483" s="123" t="str">
        <f ca="1"/>
        <v>sábado</v>
      </c>
      <c r="Q483" s="124">
        <f ca="1"/>
        <v>45602</v>
      </c>
      <c r="R483" s="124">
        <f ca="1"/>
        <v>45646</v>
      </c>
      <c r="S483" s="90">
        <f ca="1"/>
        <v>22</v>
      </c>
      <c r="T483" s="139">
        <f ca="1"/>
        <v>0.48888888888888887</v>
      </c>
      <c r="U483" s="131">
        <f ca="1"/>
        <v>4</v>
      </c>
      <c r="V483" s="120">
        <f ca="1"/>
        <v>4</v>
      </c>
      <c r="W483" s="140">
        <f ca="1"/>
        <v>10</v>
      </c>
      <c r="X483" s="139">
        <f ca="1"/>
        <v>0.77777777777777779</v>
      </c>
      <c r="Y483" s="141">
        <f ca="1"/>
        <v>1.3149000000000002</v>
      </c>
      <c r="Z483" s="141">
        <f ca="1"/>
        <v>1.3149000000000002</v>
      </c>
      <c r="AA483" s="142">
        <f ca="1"/>
        <v>5.2596000000000007</v>
      </c>
      <c r="AB483" s="138">
        <f ca="1"/>
        <v>12</v>
      </c>
      <c r="AC483" s="103" t="str">
        <f ca="1"/>
        <v>PROXIMOS FECHA CORTA</v>
      </c>
      <c r="AD483" s="150">
        <f ca="1"/>
        <v>4.0000000000000001E-3</v>
      </c>
    </row>
    <row r="484" spans="1:30">
      <c r="A484" s="111" t="str">
        <f ca="1"/>
        <v>MACHACHI</v>
      </c>
      <c r="B484" s="111" t="str">
        <f ca="1"/>
        <v>BEBIDAS LACTEAS</v>
      </c>
      <c r="C484" s="111" t="str">
        <f ca="1"/>
        <v xml:space="preserve">Luis Armendariz                         </v>
      </c>
      <c r="D484" s="111" t="str">
        <f ca="1"/>
        <v>REGENERIS</v>
      </c>
      <c r="E484" s="111" t="str">
        <f ca="1"/>
        <v>REGENERIS BAJO EN GRASA BOTELLA FAMILIAR</v>
      </c>
      <c r="F484" s="120" t="str">
        <f ca="1"/>
        <v>GUAYAQUIL</v>
      </c>
      <c r="G484" s="120">
        <f ca="1"/>
        <v>7711</v>
      </c>
      <c r="H484" s="120">
        <f ca="1"/>
        <v>1001</v>
      </c>
      <c r="I484" s="120" t="str">
        <f ca="1"/>
        <v>4011</v>
      </c>
      <c r="J484" s="120" t="str">
        <f ca="1"/>
        <v>RGN LGHT FTLLA BOT 1000G</v>
      </c>
      <c r="K484" s="121">
        <f ca="1"/>
        <v>18</v>
      </c>
      <c r="L484" s="122">
        <f ca="1"/>
        <v>1</v>
      </c>
      <c r="M484" s="120">
        <f ca="1"/>
        <v>1</v>
      </c>
      <c r="N484" s="121">
        <f ca="1"/>
        <v>45</v>
      </c>
      <c r="O484" s="123">
        <f ca="1"/>
        <v>45615</v>
      </c>
      <c r="P484" s="123" t="str">
        <f ca="1"/>
        <v>martes</v>
      </c>
      <c r="Q484" s="124">
        <f ca="1"/>
        <v>45602</v>
      </c>
      <c r="R484" s="124">
        <f ca="1"/>
        <v>45646</v>
      </c>
      <c r="S484" s="90">
        <f ca="1"/>
        <v>22</v>
      </c>
      <c r="T484" s="139">
        <f ca="1"/>
        <v>0.48888888888888887</v>
      </c>
      <c r="U484" s="131">
        <f ca="1"/>
        <v>18</v>
      </c>
      <c r="V484" s="120">
        <f ca="1"/>
        <v>18</v>
      </c>
      <c r="W484" s="140">
        <f ca="1"/>
        <v>13</v>
      </c>
      <c r="X484" s="139">
        <f ca="1"/>
        <v>0.71111111111111114</v>
      </c>
      <c r="Y484" s="141">
        <f ca="1"/>
        <v>1.3149000000000002</v>
      </c>
      <c r="Z484" s="141">
        <f ca="1"/>
        <v>1.3149000000000002</v>
      </c>
      <c r="AA484" s="142">
        <f ca="1"/>
        <v>23.668200000000002</v>
      </c>
      <c r="AB484" s="138">
        <f ca="1"/>
        <v>9</v>
      </c>
      <c r="AC484" s="103" t="str">
        <f ca="1"/>
        <v>PROXIMOS FECHA CORTA</v>
      </c>
      <c r="AD484" s="150">
        <f ca="1"/>
        <v>1.7999999999999999E-2</v>
      </c>
    </row>
    <row r="485" spans="1:30">
      <c r="A485" s="111" t="str">
        <f ca="1"/>
        <v>MACHACHI</v>
      </c>
      <c r="B485" s="111" t="str">
        <f ca="1"/>
        <v>BEBIDAS LACTEAS</v>
      </c>
      <c r="C485" s="111" t="str">
        <f ca="1"/>
        <v xml:space="preserve">Luis Armendariz                         </v>
      </c>
      <c r="D485" s="111" t="str">
        <f ca="1"/>
        <v>REGENERIS</v>
      </c>
      <c r="E485" s="111" t="str">
        <f ca="1"/>
        <v>REGENERIS BAJO EN GRASA BOTELLA FAMILIAR</v>
      </c>
      <c r="F485" s="120" t="str">
        <f ca="1"/>
        <v>GUAYAQUIL</v>
      </c>
      <c r="G485" s="120">
        <f ca="1"/>
        <v>7711</v>
      </c>
      <c r="H485" s="120">
        <f ca="1"/>
        <v>1001</v>
      </c>
      <c r="I485" s="120" t="str">
        <f ca="1"/>
        <v>4011</v>
      </c>
      <c r="J485" s="120" t="str">
        <f ca="1"/>
        <v>RGN LGHT FTLLA BOT 1000G</v>
      </c>
      <c r="K485" s="121">
        <f ca="1"/>
        <v>18</v>
      </c>
      <c r="L485" s="122">
        <f ca="1"/>
        <v>1</v>
      </c>
      <c r="M485" s="120">
        <f ca="1"/>
        <v>1</v>
      </c>
      <c r="N485" s="121">
        <f ca="1"/>
        <v>45</v>
      </c>
      <c r="O485" s="123">
        <f ca="1"/>
        <v>45616</v>
      </c>
      <c r="P485" s="123" t="str">
        <f ca="1"/>
        <v>miércoles</v>
      </c>
      <c r="Q485" s="124">
        <f ca="1"/>
        <v>45610</v>
      </c>
      <c r="R485" s="124">
        <f ca="1"/>
        <v>45654</v>
      </c>
      <c r="S485" s="90">
        <f ca="1"/>
        <v>30</v>
      </c>
      <c r="T485" s="139">
        <f ca="1"/>
        <v>0.66666666666666663</v>
      </c>
      <c r="U485" s="131">
        <f ca="1"/>
        <v>18</v>
      </c>
      <c r="V485" s="120">
        <f ca="1"/>
        <v>18</v>
      </c>
      <c r="W485" s="140">
        <f ca="1"/>
        <v>6</v>
      </c>
      <c r="X485" s="139">
        <f ca="1"/>
        <v>0.8666666666666667</v>
      </c>
      <c r="Y485" s="141">
        <f ca="1"/>
        <v>1.3149000000000002</v>
      </c>
      <c r="Z485" s="141">
        <f ca="1"/>
        <v>1.3149000000000002</v>
      </c>
      <c r="AA485" s="142">
        <f ca="1"/>
        <v>23.668200000000002</v>
      </c>
      <c r="AB485" s="138">
        <f ca="1"/>
        <v>8</v>
      </c>
      <c r="AC485" s="103" t="str">
        <f ca="1"/>
        <v>VIGENTE</v>
      </c>
      <c r="AD485" s="150">
        <f ca="1"/>
        <v>1.7999999999999999E-2</v>
      </c>
    </row>
    <row r="486" spans="1:30">
      <c r="A486" s="111" t="str">
        <f ca="1"/>
        <v>MACHACHI</v>
      </c>
      <c r="B486" s="111" t="str">
        <f ca="1"/>
        <v>BEBIDAS LACTEAS</v>
      </c>
      <c r="C486" s="111" t="str">
        <f ca="1"/>
        <v xml:space="preserve">Luis Armendariz                         </v>
      </c>
      <c r="D486" s="111" t="str">
        <f ca="1"/>
        <v>REGENERIS</v>
      </c>
      <c r="E486" s="111" t="str">
        <f ca="1"/>
        <v>REGENERIS BAJO EN GRASA BOTELLA FAMILIAR</v>
      </c>
      <c r="F486" s="120" t="str">
        <f ca="1"/>
        <v>GUAYAQUIL</v>
      </c>
      <c r="G486" s="120">
        <f ca="1"/>
        <v>7711</v>
      </c>
      <c r="H486" s="120">
        <f ca="1"/>
        <v>1001</v>
      </c>
      <c r="I486" s="120" t="str">
        <f ca="1"/>
        <v>4012</v>
      </c>
      <c r="J486" s="120" t="str">
        <f ca="1"/>
        <v>RGN LGHT FTLLA BOT 1750G</v>
      </c>
      <c r="K486" s="121">
        <f ca="1"/>
        <v>24</v>
      </c>
      <c r="L486" s="122">
        <f ca="1"/>
        <v>1</v>
      </c>
      <c r="M486" s="120">
        <f ca="1"/>
        <v>1.75</v>
      </c>
      <c r="N486" s="121">
        <f ca="1"/>
        <v>45</v>
      </c>
      <c r="O486" s="123">
        <f ca="1"/>
        <v>45612</v>
      </c>
      <c r="P486" s="123" t="str">
        <f ca="1"/>
        <v>sábado</v>
      </c>
      <c r="Q486" s="124">
        <f ca="1"/>
        <v>45610</v>
      </c>
      <c r="R486" s="124">
        <f ca="1"/>
        <v>45654</v>
      </c>
      <c r="S486" s="90">
        <f ca="1"/>
        <v>30</v>
      </c>
      <c r="T486" s="139">
        <f ca="1"/>
        <v>0.66666666666666663</v>
      </c>
      <c r="U486" s="131">
        <f ca="1"/>
        <v>23</v>
      </c>
      <c r="V486" s="120">
        <f ca="1"/>
        <v>40.25</v>
      </c>
      <c r="W486" s="140">
        <f ca="1"/>
        <v>2</v>
      </c>
      <c r="X486" s="139">
        <f ca="1"/>
        <v>0.9555555555555556</v>
      </c>
      <c r="Y486" s="141">
        <f ca="1"/>
        <v>2.1685949999999998</v>
      </c>
      <c r="Z486" s="141">
        <f ca="1"/>
        <v>2.1685949999999998</v>
      </c>
      <c r="AA486" s="142">
        <f ca="1"/>
        <v>87.285948749999989</v>
      </c>
      <c r="AB486" s="138">
        <f ca="1"/>
        <v>12</v>
      </c>
      <c r="AC486" s="103" t="str">
        <f ca="1"/>
        <v>VIGENTE</v>
      </c>
      <c r="AD486" s="150">
        <f ca="1"/>
        <v>4.0250000000000001E-2</v>
      </c>
    </row>
    <row r="487" spans="1:30">
      <c r="A487" s="111" t="str">
        <f ca="1"/>
        <v>MACHACHI</v>
      </c>
      <c r="B487" s="111" t="str">
        <f ca="1"/>
        <v>BEBIDAS LACTEAS</v>
      </c>
      <c r="C487" s="111" t="str">
        <f ca="1"/>
        <v xml:space="preserve">Luis Armendariz                         </v>
      </c>
      <c r="D487" s="111" t="str">
        <f ca="1"/>
        <v>REGENERIS</v>
      </c>
      <c r="E487" s="111" t="str">
        <f ca="1"/>
        <v>REGENERIS BAJO EN GRASA BOTELLA FAMILIAR</v>
      </c>
      <c r="F487" s="120" t="str">
        <f ca="1"/>
        <v>GUAYAQUIL</v>
      </c>
      <c r="G487" s="120">
        <f ca="1"/>
        <v>7711</v>
      </c>
      <c r="H487" s="120">
        <f ca="1"/>
        <v>1001</v>
      </c>
      <c r="I487" s="120" t="str">
        <f ca="1"/>
        <v>4012</v>
      </c>
      <c r="J487" s="120" t="str">
        <f ca="1"/>
        <v>RGN LGHT FTLLA BOT 1750G</v>
      </c>
      <c r="K487" s="121">
        <f ca="1"/>
        <v>12</v>
      </c>
      <c r="L487" s="122">
        <f ca="1"/>
        <v>1</v>
      </c>
      <c r="M487" s="120">
        <f ca="1"/>
        <v>1.75</v>
      </c>
      <c r="N487" s="121">
        <f ca="1"/>
        <v>45</v>
      </c>
      <c r="O487" s="123">
        <f ca="1"/>
        <v>45616</v>
      </c>
      <c r="P487" s="123" t="str">
        <f ca="1"/>
        <v>miércoles</v>
      </c>
      <c r="Q487" s="124">
        <f ca="1"/>
        <v>45610</v>
      </c>
      <c r="R487" s="124">
        <f ca="1"/>
        <v>45654</v>
      </c>
      <c r="S487" s="90">
        <f ca="1"/>
        <v>30</v>
      </c>
      <c r="T487" s="139">
        <f ca="1"/>
        <v>0.66666666666666663</v>
      </c>
      <c r="U487" s="131">
        <f ca="1"/>
        <v>12</v>
      </c>
      <c r="V487" s="120">
        <f ca="1"/>
        <v>21</v>
      </c>
      <c r="W487" s="140">
        <f ca="1"/>
        <v>6</v>
      </c>
      <c r="X487" s="139">
        <f ca="1"/>
        <v>0.8666666666666667</v>
      </c>
      <c r="Y487" s="141">
        <f ca="1"/>
        <v>2.1685949999999998</v>
      </c>
      <c r="Z487" s="141">
        <f ca="1"/>
        <v>2.1685949999999998</v>
      </c>
      <c r="AA487" s="142">
        <f ca="1"/>
        <v>45.540494999999993</v>
      </c>
      <c r="AB487" s="138">
        <f ca="1"/>
        <v>8</v>
      </c>
      <c r="AC487" s="103" t="str">
        <f ca="1"/>
        <v>VIGENTE</v>
      </c>
      <c r="AD487" s="150">
        <f ca="1"/>
        <v>2.1000000000000001E-2</v>
      </c>
    </row>
    <row r="488" spans="1:30">
      <c r="A488" s="111" t="str">
        <f ca="1"/>
        <v>MACHACHI</v>
      </c>
      <c r="B488" s="111" t="str">
        <f ca="1"/>
        <v>BEBIDAS LACTEAS</v>
      </c>
      <c r="C488" s="111" t="str">
        <f ca="1"/>
        <v xml:space="preserve">Luis Armendariz                         </v>
      </c>
      <c r="D488" s="111" t="str">
        <f ca="1"/>
        <v>REGENERIS</v>
      </c>
      <c r="E488" s="111" t="str">
        <f ca="1"/>
        <v>REGENERIS BEBIBLE BOTELLA PERSONAL</v>
      </c>
      <c r="F488" s="120" t="str">
        <f ca="1"/>
        <v>GUAYAQUIL</v>
      </c>
      <c r="G488" s="120">
        <f ca="1"/>
        <v>7711</v>
      </c>
      <c r="H488" s="120">
        <f ca="1"/>
        <v>1001</v>
      </c>
      <c r="I488" s="120" t="str">
        <f ca="1"/>
        <v>4160</v>
      </c>
      <c r="J488" s="120" t="str">
        <f ca="1"/>
        <v>RGN BBLE DZNO BOT 180G</v>
      </c>
      <c r="K488" s="121">
        <f ca="1"/>
        <v>108</v>
      </c>
      <c r="L488" s="122">
        <f ca="1"/>
        <v>1</v>
      </c>
      <c r="M488" s="120">
        <f ca="1"/>
        <v>0.18</v>
      </c>
      <c r="N488" s="121">
        <f ca="1"/>
        <v>45</v>
      </c>
      <c r="O488" s="123">
        <f ca="1"/>
        <v>45612</v>
      </c>
      <c r="P488" s="123" t="str">
        <f ca="1"/>
        <v>sábado</v>
      </c>
      <c r="Q488" s="124">
        <f ca="1"/>
        <v>45604</v>
      </c>
      <c r="R488" s="124">
        <f ca="1"/>
        <v>45648</v>
      </c>
      <c r="S488" s="90">
        <f ca="1"/>
        <v>24</v>
      </c>
      <c r="T488" s="139">
        <f ca="1"/>
        <v>0.53333333333333333</v>
      </c>
      <c r="U488" s="131">
        <f ca="1"/>
        <v>108</v>
      </c>
      <c r="V488" s="120">
        <f ca="1"/>
        <v>19.439999999999998</v>
      </c>
      <c r="W488" s="140">
        <f ca="1"/>
        <v>8</v>
      </c>
      <c r="X488" s="139">
        <f ca="1"/>
        <v>0.82222222222222219</v>
      </c>
      <c r="Y488" s="141">
        <f ca="1"/>
        <v>0.29342499999999999</v>
      </c>
      <c r="Z488" s="141">
        <f ca="1"/>
        <v>0.29342499999999999</v>
      </c>
      <c r="AA488" s="142">
        <f ca="1"/>
        <v>5.7041819999999994</v>
      </c>
      <c r="AB488" s="138">
        <f ca="1"/>
        <v>12</v>
      </c>
      <c r="AC488" s="103" t="str">
        <f ca="1"/>
        <v>PROXIMOS FECHA CORTA</v>
      </c>
      <c r="AD488" s="150">
        <f ca="1"/>
        <v>1.9439999999999999E-2</v>
      </c>
    </row>
    <row r="489" spans="1:30">
      <c r="A489" s="111" t="str">
        <f ca="1"/>
        <v>MACHACHI</v>
      </c>
      <c r="B489" s="111" t="str">
        <f ca="1"/>
        <v>BEBIDAS LACTEAS</v>
      </c>
      <c r="C489" s="111" t="str">
        <f ca="1"/>
        <v xml:space="preserve">Luis Armendariz                         </v>
      </c>
      <c r="D489" s="111" t="str">
        <f ca="1"/>
        <v>REGENERIS</v>
      </c>
      <c r="E489" s="111" t="str">
        <f ca="1"/>
        <v>REGENERIS BEBIBLE BOTELLA PERSONAL</v>
      </c>
      <c r="F489" s="120" t="str">
        <f ca="1"/>
        <v>GUAYAQUIL</v>
      </c>
      <c r="G489" s="120">
        <f ca="1"/>
        <v>7711</v>
      </c>
      <c r="H489" s="120">
        <f ca="1"/>
        <v>1001</v>
      </c>
      <c r="I489" s="120" t="str">
        <f ca="1"/>
        <v>4160</v>
      </c>
      <c r="J489" s="120" t="str">
        <f ca="1"/>
        <v>RGN BBLE DZNO BOT 180G</v>
      </c>
      <c r="K489" s="121">
        <f ca="1"/>
        <v>108</v>
      </c>
      <c r="L489" s="122">
        <f ca="1"/>
        <v>1</v>
      </c>
      <c r="M489" s="120">
        <f ca="1"/>
        <v>0.18</v>
      </c>
      <c r="N489" s="121">
        <f ca="1"/>
        <v>45</v>
      </c>
      <c r="O489" s="123">
        <f ca="1"/>
        <v>45611</v>
      </c>
      <c r="P489" s="123" t="str">
        <f ca="1"/>
        <v>viernes</v>
      </c>
      <c r="Q489" s="124">
        <f ca="1"/>
        <v>45604</v>
      </c>
      <c r="R489" s="124">
        <f ca="1"/>
        <v>45648</v>
      </c>
      <c r="S489" s="90">
        <f ca="1"/>
        <v>24</v>
      </c>
      <c r="T489" s="139">
        <f ca="1"/>
        <v>0.53333333333333333</v>
      </c>
      <c r="U489" s="131">
        <f ca="1"/>
        <v>108</v>
      </c>
      <c r="V489" s="120">
        <f ca="1"/>
        <v>19.439999999999998</v>
      </c>
      <c r="W489" s="140">
        <f ca="1"/>
        <v>7</v>
      </c>
      <c r="X489" s="139">
        <f ca="1"/>
        <v>0.84444444444444444</v>
      </c>
      <c r="Y489" s="141">
        <f ca="1"/>
        <v>0.29342499999999999</v>
      </c>
      <c r="Z489" s="141">
        <f ca="1"/>
        <v>0.29342499999999999</v>
      </c>
      <c r="AA489" s="142">
        <f ca="1"/>
        <v>5.7041819999999994</v>
      </c>
      <c r="AB489" s="138">
        <f ca="1"/>
        <v>13</v>
      </c>
      <c r="AC489" s="103" t="str">
        <f ca="1"/>
        <v>PROXIMOS FECHA CORTA</v>
      </c>
      <c r="AD489" s="150">
        <f ca="1"/>
        <v>1.9439999999999999E-2</v>
      </c>
    </row>
    <row r="490" spans="1:30">
      <c r="A490" s="111" t="str">
        <f ca="1"/>
        <v>MACHACHI</v>
      </c>
      <c r="B490" s="111" t="str">
        <f ca="1"/>
        <v>BEBIDAS LACTEAS</v>
      </c>
      <c r="C490" s="111" t="str">
        <f ca="1"/>
        <v xml:space="preserve">Luis Armendariz                         </v>
      </c>
      <c r="D490" s="111" t="str">
        <f ca="1"/>
        <v>REGENERIS</v>
      </c>
      <c r="E490" s="111" t="str">
        <f ca="1"/>
        <v>REGENERIS BEBIBLE BOTELLA PERSONAL</v>
      </c>
      <c r="F490" s="120" t="str">
        <f ca="1"/>
        <v>GUAYAQUIL</v>
      </c>
      <c r="G490" s="120">
        <f ca="1"/>
        <v>7711</v>
      </c>
      <c r="H490" s="120">
        <f ca="1"/>
        <v>1001</v>
      </c>
      <c r="I490" s="120" t="str">
        <f ca="1"/>
        <v>4160</v>
      </c>
      <c r="J490" s="120" t="str">
        <f ca="1"/>
        <v>RGN BBLE DZNO BOT 180G</v>
      </c>
      <c r="K490" s="121">
        <f ca="1"/>
        <v>216</v>
      </c>
      <c r="L490" s="122">
        <f ca="1"/>
        <v>1</v>
      </c>
      <c r="M490" s="120">
        <f ca="1"/>
        <v>0.18</v>
      </c>
      <c r="N490" s="121">
        <f ca="1"/>
        <v>45</v>
      </c>
      <c r="O490" s="123">
        <f ca="1"/>
        <v>45610</v>
      </c>
      <c r="P490" s="123" t="str">
        <f ca="1"/>
        <v>jueves</v>
      </c>
      <c r="Q490" s="124">
        <f ca="1"/>
        <v>45604</v>
      </c>
      <c r="R490" s="124">
        <f ca="1"/>
        <v>45648</v>
      </c>
      <c r="S490" s="90">
        <f ca="1"/>
        <v>24</v>
      </c>
      <c r="T490" s="139">
        <f ca="1"/>
        <v>0.53333333333333333</v>
      </c>
      <c r="U490" s="131">
        <f ca="1"/>
        <v>97</v>
      </c>
      <c r="V490" s="120">
        <f ca="1"/>
        <v>17.46</v>
      </c>
      <c r="W490" s="140">
        <f ca="1"/>
        <v>6</v>
      </c>
      <c r="X490" s="139">
        <f ca="1"/>
        <v>0.8666666666666667</v>
      </c>
      <c r="Y490" s="141">
        <f ca="1"/>
        <v>0.29342499999999999</v>
      </c>
      <c r="Z490" s="141">
        <f ca="1"/>
        <v>0.29342499999999999</v>
      </c>
      <c r="AA490" s="142">
        <f ca="1"/>
        <v>5.1232005000000003</v>
      </c>
      <c r="AB490" s="138">
        <f ca="1"/>
        <v>14</v>
      </c>
      <c r="AC490" s="103" t="str">
        <f ca="1"/>
        <v>PROXIMOS FECHA CORTA</v>
      </c>
      <c r="AD490" s="150">
        <f ca="1"/>
        <v>1.746E-2</v>
      </c>
    </row>
    <row r="491" spans="1:30">
      <c r="A491" s="111" t="str">
        <f ca="1"/>
        <v>MACHACHI</v>
      </c>
      <c r="B491" s="111" t="str">
        <f ca="1"/>
        <v>BEBIDAS LACTEAS</v>
      </c>
      <c r="C491" s="111" t="str">
        <f ca="1"/>
        <v xml:space="preserve">Luis Armendariz                         </v>
      </c>
      <c r="D491" s="111" t="str">
        <f ca="1"/>
        <v>REGENERIS</v>
      </c>
      <c r="E491" s="111" t="str">
        <f ca="1"/>
        <v>REGENERIS BEBIBLE BOTELLA PERSONAL</v>
      </c>
      <c r="F491" s="120" t="str">
        <f ca="1"/>
        <v>GUAYAQUIL</v>
      </c>
      <c r="G491" s="120">
        <f ca="1"/>
        <v>7711</v>
      </c>
      <c r="H491" s="120">
        <f ca="1"/>
        <v>1001</v>
      </c>
      <c r="I491" s="120" t="str">
        <f ca="1"/>
        <v>4160</v>
      </c>
      <c r="J491" s="120" t="str">
        <f ca="1"/>
        <v>RGN BBLE DZNO BOT 180G</v>
      </c>
      <c r="K491" s="121">
        <f ca="1"/>
        <v>216</v>
      </c>
      <c r="L491" s="122">
        <f ca="1"/>
        <v>1</v>
      </c>
      <c r="M491" s="120">
        <f ca="1"/>
        <v>0.18</v>
      </c>
      <c r="N491" s="121">
        <f ca="1"/>
        <v>45</v>
      </c>
      <c r="O491" s="123">
        <f ca="1"/>
        <v>45615</v>
      </c>
      <c r="P491" s="123" t="str">
        <f ca="1"/>
        <v>martes</v>
      </c>
      <c r="Q491" s="124">
        <f ca="1"/>
        <v>45609</v>
      </c>
      <c r="R491" s="124">
        <f ca="1"/>
        <v>45653</v>
      </c>
      <c r="S491" s="90">
        <f ca="1"/>
        <v>29</v>
      </c>
      <c r="T491" s="139">
        <f ca="1"/>
        <v>0.64444444444444449</v>
      </c>
      <c r="U491" s="131">
        <f ca="1"/>
        <v>216</v>
      </c>
      <c r="V491" s="120">
        <f ca="1"/>
        <v>38.879999999999995</v>
      </c>
      <c r="W491" s="140">
        <f ca="1"/>
        <v>6</v>
      </c>
      <c r="X491" s="139">
        <f ca="1"/>
        <v>0.8666666666666667</v>
      </c>
      <c r="Y491" s="141">
        <f ca="1"/>
        <v>0.29342499999999999</v>
      </c>
      <c r="Z491" s="141">
        <f ca="1"/>
        <v>0.29342499999999999</v>
      </c>
      <c r="AA491" s="142">
        <f ca="1"/>
        <v>11.408363999999999</v>
      </c>
      <c r="AB491" s="138">
        <f ca="1"/>
        <v>9</v>
      </c>
      <c r="AC491" s="103" t="str">
        <f ca="1"/>
        <v>VIGENTE</v>
      </c>
      <c r="AD491" s="150">
        <f ca="1"/>
        <v>3.8879999999999998E-2</v>
      </c>
    </row>
    <row r="492" spans="1:30">
      <c r="A492" s="111" t="str">
        <f ca="1"/>
        <v>MACHACHI</v>
      </c>
      <c r="B492" s="111" t="str">
        <f ca="1"/>
        <v>BEBIDAS LACTEAS</v>
      </c>
      <c r="C492" s="111" t="str">
        <f ca="1"/>
        <v xml:space="preserve">Luis Armendariz                         </v>
      </c>
      <c r="D492" s="111" t="str">
        <f ca="1"/>
        <v>REGENERIS</v>
      </c>
      <c r="E492" s="111" t="str">
        <f ca="1"/>
        <v>REGENERIS BEBIBLE BOTELLA PERSONAL</v>
      </c>
      <c r="F492" s="120" t="str">
        <f ca="1"/>
        <v>GUAYAQUIL</v>
      </c>
      <c r="G492" s="120">
        <f ca="1"/>
        <v>7711</v>
      </c>
      <c r="H492" s="120">
        <f ca="1"/>
        <v>1001</v>
      </c>
      <c r="I492" s="120" t="str">
        <f ca="1"/>
        <v>4160</v>
      </c>
      <c r="J492" s="120" t="str">
        <f ca="1"/>
        <v>RGN BBLE DZNO BOT 180G</v>
      </c>
      <c r="K492" s="121">
        <f ca="1"/>
        <v>216</v>
      </c>
      <c r="L492" s="122">
        <f ca="1"/>
        <v>1</v>
      </c>
      <c r="M492" s="120">
        <f ca="1"/>
        <v>0.18</v>
      </c>
      <c r="N492" s="121">
        <f ca="1"/>
        <v>45</v>
      </c>
      <c r="O492" s="123">
        <f ca="1"/>
        <v>45616</v>
      </c>
      <c r="P492" s="123" t="str">
        <f ca="1"/>
        <v>miércoles</v>
      </c>
      <c r="Q492" s="124">
        <f ca="1"/>
        <v>45610</v>
      </c>
      <c r="R492" s="124">
        <f ca="1"/>
        <v>45654</v>
      </c>
      <c r="S492" s="90">
        <f ca="1"/>
        <v>30</v>
      </c>
      <c r="T492" s="139">
        <f ca="1"/>
        <v>0.66666666666666663</v>
      </c>
      <c r="U492" s="131">
        <f ca="1"/>
        <v>216</v>
      </c>
      <c r="V492" s="120">
        <f ca="1"/>
        <v>38.879999999999995</v>
      </c>
      <c r="W492" s="140">
        <f ca="1"/>
        <v>6</v>
      </c>
      <c r="X492" s="139">
        <f ca="1"/>
        <v>0.8666666666666667</v>
      </c>
      <c r="Y492" s="141">
        <f ca="1"/>
        <v>0.29342499999999999</v>
      </c>
      <c r="Z492" s="141">
        <f ca="1"/>
        <v>0.29342499999999999</v>
      </c>
      <c r="AA492" s="142">
        <f ca="1"/>
        <v>11.408363999999999</v>
      </c>
      <c r="AB492" s="138">
        <f ca="1"/>
        <v>8</v>
      </c>
      <c r="AC492" s="103" t="str">
        <f ca="1"/>
        <v>VIGENTE</v>
      </c>
      <c r="AD492" s="150">
        <f ca="1"/>
        <v>3.8879999999999998E-2</v>
      </c>
    </row>
    <row r="493" spans="1:30">
      <c r="A493" s="111" t="str">
        <f ca="1"/>
        <v>MACHACHI</v>
      </c>
      <c r="B493" s="111" t="str">
        <f ca="1"/>
        <v>BEBIDAS LACTEAS</v>
      </c>
      <c r="C493" s="111" t="str">
        <f ca="1"/>
        <v xml:space="preserve">Luis Armendariz                         </v>
      </c>
      <c r="D493" s="111" t="str">
        <f ca="1"/>
        <v>REGENERIS</v>
      </c>
      <c r="E493" s="111" t="str">
        <f ca="1"/>
        <v>REGENERIS BEBIBLE BOTELLA FAMILIAR</v>
      </c>
      <c r="F493" s="120" t="str">
        <f ca="1"/>
        <v>GUAYAQUIL</v>
      </c>
      <c r="G493" s="120">
        <f ca="1"/>
        <v>7711</v>
      </c>
      <c r="H493" s="120">
        <f ca="1"/>
        <v>1001</v>
      </c>
      <c r="I493" s="120" t="str">
        <f ca="1"/>
        <v>4161</v>
      </c>
      <c r="J493" s="120" t="str">
        <f ca="1"/>
        <v>RGN BBLE DZNO BOT 1000G</v>
      </c>
      <c r="K493" s="121">
        <f ca="1"/>
        <v>54</v>
      </c>
      <c r="L493" s="122">
        <f ca="1"/>
        <v>1</v>
      </c>
      <c r="M493" s="120">
        <f ca="1"/>
        <v>1</v>
      </c>
      <c r="N493" s="121">
        <f ca="1"/>
        <v>45</v>
      </c>
      <c r="O493" s="123">
        <f ca="1"/>
        <v>45612</v>
      </c>
      <c r="P493" s="123" t="str">
        <f ca="1"/>
        <v>sábado</v>
      </c>
      <c r="Q493" s="124">
        <f ca="1"/>
        <v>45609</v>
      </c>
      <c r="R493" s="124">
        <f ca="1"/>
        <v>45653</v>
      </c>
      <c r="S493" s="90">
        <f ca="1"/>
        <v>29</v>
      </c>
      <c r="T493" s="139">
        <f ca="1"/>
        <v>0.64444444444444449</v>
      </c>
      <c r="U493" s="131">
        <f ca="1"/>
        <v>16</v>
      </c>
      <c r="V493" s="120">
        <f ca="1"/>
        <v>16</v>
      </c>
      <c r="W493" s="140">
        <f ca="1"/>
        <v>3</v>
      </c>
      <c r="X493" s="139">
        <f ca="1"/>
        <v>0.93333333333333335</v>
      </c>
      <c r="Y493" s="141">
        <f ca="1"/>
        <v>1.3744550000000002</v>
      </c>
      <c r="Z493" s="141">
        <f ca="1"/>
        <v>1.3744550000000002</v>
      </c>
      <c r="AA493" s="142">
        <f ca="1"/>
        <v>21.991280000000003</v>
      </c>
      <c r="AB493" s="138">
        <f ca="1"/>
        <v>12</v>
      </c>
      <c r="AC493" s="103" t="str">
        <f ca="1"/>
        <v>VIGENTE</v>
      </c>
      <c r="AD493" s="150">
        <f ca="1"/>
        <v>1.6E-2</v>
      </c>
    </row>
    <row r="494" spans="1:30">
      <c r="A494" s="111" t="str">
        <f ca="1"/>
        <v>MACHACHI</v>
      </c>
      <c r="B494" s="111" t="str">
        <f ca="1"/>
        <v>BEBIDAS LACTEAS</v>
      </c>
      <c r="C494" s="111" t="str">
        <f ca="1"/>
        <v xml:space="preserve">Luis Armendariz                         </v>
      </c>
      <c r="D494" s="111" t="str">
        <f ca="1"/>
        <v>REGENERIS</v>
      </c>
      <c r="E494" s="111" t="str">
        <f ca="1"/>
        <v>REGENERIS BEBIBLE BOTELLA FAMILIAR</v>
      </c>
      <c r="F494" s="120" t="str">
        <f ca="1"/>
        <v>GUAYAQUIL</v>
      </c>
      <c r="G494" s="120">
        <f ca="1"/>
        <v>7711</v>
      </c>
      <c r="H494" s="120">
        <f ca="1"/>
        <v>1001</v>
      </c>
      <c r="I494" s="120" t="str">
        <f ca="1"/>
        <v>4161</v>
      </c>
      <c r="J494" s="120" t="str">
        <f ca="1"/>
        <v>RGN BBLE DZNO BOT 1000G</v>
      </c>
      <c r="K494" s="121">
        <f ca="1"/>
        <v>36</v>
      </c>
      <c r="L494" s="122">
        <f ca="1"/>
        <v>1</v>
      </c>
      <c r="M494" s="120">
        <f ca="1"/>
        <v>1</v>
      </c>
      <c r="N494" s="121">
        <f ca="1"/>
        <v>45</v>
      </c>
      <c r="O494" s="123">
        <f ca="1"/>
        <v>45615</v>
      </c>
      <c r="P494" s="123" t="str">
        <f ca="1"/>
        <v>martes</v>
      </c>
      <c r="Q494" s="124">
        <f ca="1"/>
        <v>45609</v>
      </c>
      <c r="R494" s="124">
        <f ca="1"/>
        <v>45653</v>
      </c>
      <c r="S494" s="90">
        <f ca="1"/>
        <v>29</v>
      </c>
      <c r="T494" s="139">
        <f ca="1"/>
        <v>0.64444444444444449</v>
      </c>
      <c r="U494" s="131">
        <f ca="1"/>
        <v>36</v>
      </c>
      <c r="V494" s="120">
        <f ca="1"/>
        <v>36</v>
      </c>
      <c r="W494" s="140">
        <f ca="1"/>
        <v>6</v>
      </c>
      <c r="X494" s="139">
        <f ca="1"/>
        <v>0.8666666666666667</v>
      </c>
      <c r="Y494" s="141">
        <f ca="1"/>
        <v>1.3744550000000002</v>
      </c>
      <c r="Z494" s="141">
        <f ca="1"/>
        <v>1.3744550000000002</v>
      </c>
      <c r="AA494" s="142">
        <f ca="1"/>
        <v>49.480380000000011</v>
      </c>
      <c r="AB494" s="138">
        <f ca="1"/>
        <v>9</v>
      </c>
      <c r="AC494" s="103" t="str">
        <f ca="1"/>
        <v>VIGENTE</v>
      </c>
      <c r="AD494" s="150">
        <f ca="1"/>
        <v>3.5999999999999997E-2</v>
      </c>
    </row>
    <row r="495" spans="1:30">
      <c r="A495" s="111" t="str">
        <f ca="1"/>
        <v>MACHACHI</v>
      </c>
      <c r="B495" s="111" t="str">
        <f ca="1"/>
        <v>BEBIDAS LACTEAS</v>
      </c>
      <c r="C495" s="111" t="str">
        <f ca="1"/>
        <v xml:space="preserve">Luis Armendariz                         </v>
      </c>
      <c r="D495" s="111" t="str">
        <f ca="1"/>
        <v>REGENERIS</v>
      </c>
      <c r="E495" s="111" t="str">
        <f ca="1"/>
        <v>REGENERIS BEBIBLE BOTELLA FAMILIAR</v>
      </c>
      <c r="F495" s="120" t="str">
        <f ca="1"/>
        <v>GUAYAQUIL</v>
      </c>
      <c r="G495" s="120">
        <f ca="1"/>
        <v>7711</v>
      </c>
      <c r="H495" s="120">
        <f ca="1"/>
        <v>1001</v>
      </c>
      <c r="I495" s="120" t="str">
        <f ca="1"/>
        <v>4161</v>
      </c>
      <c r="J495" s="120" t="str">
        <f ca="1"/>
        <v>RGN BBLE DZNO BOT 1000G</v>
      </c>
      <c r="K495" s="121">
        <f ca="1"/>
        <v>36</v>
      </c>
      <c r="L495" s="122">
        <f ca="1"/>
        <v>1</v>
      </c>
      <c r="M495" s="120">
        <f ca="1"/>
        <v>1</v>
      </c>
      <c r="N495" s="121">
        <f ca="1"/>
        <v>45</v>
      </c>
      <c r="O495" s="123">
        <f ca="1"/>
        <v>45617</v>
      </c>
      <c r="P495" s="123" t="str">
        <f ca="1"/>
        <v>jueves</v>
      </c>
      <c r="Q495" s="124">
        <f ca="1"/>
        <v>45611</v>
      </c>
      <c r="R495" s="124">
        <f ca="1"/>
        <v>45655</v>
      </c>
      <c r="S495" s="90">
        <f ca="1"/>
        <v>31</v>
      </c>
      <c r="T495" s="139">
        <f ca="1"/>
        <v>0.68888888888888888</v>
      </c>
      <c r="U495" s="131">
        <f ca="1"/>
        <v>18</v>
      </c>
      <c r="V495" s="120">
        <f ca="1"/>
        <v>18</v>
      </c>
      <c r="W495" s="140">
        <f ca="1"/>
        <v>6</v>
      </c>
      <c r="X495" s="139">
        <f ca="1"/>
        <v>0.8666666666666667</v>
      </c>
      <c r="Y495" s="141">
        <f ca="1"/>
        <v>1.3744550000000002</v>
      </c>
      <c r="Z495" s="141">
        <f ca="1"/>
        <v>1.3744550000000002</v>
      </c>
      <c r="AA495" s="142">
        <f ca="1"/>
        <v>24.740190000000005</v>
      </c>
      <c r="AB495" s="138">
        <f ca="1"/>
        <v>7</v>
      </c>
      <c r="AC495" s="103" t="str">
        <f ca="1"/>
        <v>VIGENTE</v>
      </c>
      <c r="AD495" s="150">
        <f ca="1"/>
        <v>1.7999999999999999E-2</v>
      </c>
    </row>
    <row r="496" spans="1:30">
      <c r="A496" s="111" t="str">
        <f ca="1"/>
        <v>MACHACHI</v>
      </c>
      <c r="B496" s="111" t="str">
        <f ca="1"/>
        <v>BEBIDAS LACTEAS</v>
      </c>
      <c r="C496" s="111" t="str">
        <f ca="1"/>
        <v xml:space="preserve">Luis Armendariz                         </v>
      </c>
      <c r="D496" s="111" t="str">
        <f ca="1"/>
        <v>REGENERIS</v>
      </c>
      <c r="E496" s="111" t="str">
        <f ca="1"/>
        <v>REGENERIS BEBIBLE BOTELLA PERSONAL</v>
      </c>
      <c r="F496" s="120" t="str">
        <f ca="1"/>
        <v>GUAYAQUIL</v>
      </c>
      <c r="G496" s="120">
        <f ca="1"/>
        <v>7711</v>
      </c>
      <c r="H496" s="120">
        <f ca="1"/>
        <v>1001</v>
      </c>
      <c r="I496" s="120" t="str">
        <f ca="1"/>
        <v>4162</v>
      </c>
      <c r="J496" s="120" t="str">
        <f ca="1"/>
        <v>RGN BBLE FTLLA BOT 180G</v>
      </c>
      <c r="K496" s="121">
        <f ca="1"/>
        <v>756</v>
      </c>
      <c r="L496" s="122">
        <f ca="1"/>
        <v>1</v>
      </c>
      <c r="M496" s="120">
        <f ca="1"/>
        <v>0.18</v>
      </c>
      <c r="N496" s="121">
        <f ca="1"/>
        <v>45</v>
      </c>
      <c r="O496" s="123">
        <f ca="1"/>
        <v>45605</v>
      </c>
      <c r="P496" s="123" t="str">
        <f ca="1"/>
        <v>sábado</v>
      </c>
      <c r="Q496" s="124">
        <f ca="1"/>
        <v>45595</v>
      </c>
      <c r="R496" s="124">
        <f ca="1"/>
        <v>45639</v>
      </c>
      <c r="S496" s="90">
        <f ca="1"/>
        <v>15</v>
      </c>
      <c r="T496" s="139">
        <f ca="1"/>
        <v>0.33333333333333331</v>
      </c>
      <c r="U496" s="131">
        <f ca="1"/>
        <v>151</v>
      </c>
      <c r="V496" s="120">
        <f ca="1"/>
        <v>27.18</v>
      </c>
      <c r="W496" s="140">
        <f ca="1"/>
        <v>10</v>
      </c>
      <c r="X496" s="139">
        <f ca="1"/>
        <v>0.77777777777777779</v>
      </c>
      <c r="Y496" s="141">
        <f ca="1"/>
        <v>0.30145500000000003</v>
      </c>
      <c r="Z496" s="141">
        <f ca="1"/>
        <v>0.30145500000000003</v>
      </c>
      <c r="AA496" s="142">
        <f ca="1"/>
        <v>8.1935469000000012</v>
      </c>
      <c r="AB496" s="138">
        <f ca="1"/>
        <v>19</v>
      </c>
      <c r="AC496" s="103" t="str">
        <f ca="1"/>
        <v>FECHA CORTA</v>
      </c>
      <c r="AD496" s="150">
        <f ca="1"/>
        <v>2.7179999999999999E-2</v>
      </c>
    </row>
    <row r="497" spans="1:30">
      <c r="A497" s="111" t="str">
        <f ca="1"/>
        <v>MACHACHI</v>
      </c>
      <c r="B497" s="111" t="str">
        <f ca="1"/>
        <v>BEBIDAS LACTEAS</v>
      </c>
      <c r="C497" s="111" t="str">
        <f ca="1"/>
        <v xml:space="preserve">Luis Armendariz                         </v>
      </c>
      <c r="D497" s="111" t="str">
        <f ca="1"/>
        <v>REGENERIS</v>
      </c>
      <c r="E497" s="111" t="str">
        <f ca="1"/>
        <v>REGENERIS BEBIBLE BOTELLA PERSONAL</v>
      </c>
      <c r="F497" s="120" t="str">
        <f ca="1"/>
        <v>GUAYAQUIL</v>
      </c>
      <c r="G497" s="120">
        <f ca="1"/>
        <v>7711</v>
      </c>
      <c r="H497" s="120">
        <f ca="1"/>
        <v>1001</v>
      </c>
      <c r="I497" s="120" t="str">
        <f ca="1"/>
        <v>4162</v>
      </c>
      <c r="J497" s="120" t="str">
        <f ca="1"/>
        <v>RGN BBLE FTLLA BOT 180G</v>
      </c>
      <c r="K497" s="121">
        <f ca="1"/>
        <v>324</v>
      </c>
      <c r="L497" s="122">
        <f ca="1"/>
        <v>1</v>
      </c>
      <c r="M497" s="120">
        <f ca="1"/>
        <v>0.18</v>
      </c>
      <c r="N497" s="121">
        <f ca="1"/>
        <v>45</v>
      </c>
      <c r="O497" s="123">
        <f ca="1"/>
        <v>45608</v>
      </c>
      <c r="P497" s="123" t="str">
        <f ca="1"/>
        <v>martes</v>
      </c>
      <c r="Q497" s="124">
        <f ca="1"/>
        <v>45596</v>
      </c>
      <c r="R497" s="124">
        <f ca="1"/>
        <v>45640</v>
      </c>
      <c r="S497" s="90">
        <f ca="1"/>
        <v>16</v>
      </c>
      <c r="T497" s="139">
        <f ca="1"/>
        <v>0.35555555555555557</v>
      </c>
      <c r="U497" s="131">
        <f ca="1"/>
        <v>132</v>
      </c>
      <c r="V497" s="120">
        <f ca="1"/>
        <v>23.759999999999998</v>
      </c>
      <c r="W497" s="140">
        <f ca="1"/>
        <v>12</v>
      </c>
      <c r="X497" s="139">
        <f ca="1"/>
        <v>0.73333333333333339</v>
      </c>
      <c r="Y497" s="141">
        <f ca="1"/>
        <v>0.30145500000000003</v>
      </c>
      <c r="Z497" s="141">
        <f ca="1"/>
        <v>0.30145500000000003</v>
      </c>
      <c r="AA497" s="142">
        <f ca="1"/>
        <v>7.1625708000000001</v>
      </c>
      <c r="AB497" s="138">
        <f ca="1"/>
        <v>16</v>
      </c>
      <c r="AC497" s="103" t="str">
        <f ca="1"/>
        <v>FECHA CORTA</v>
      </c>
      <c r="AD497" s="150">
        <f ca="1"/>
        <v>2.3759999999999996E-2</v>
      </c>
    </row>
    <row r="498" spans="1:30">
      <c r="A498" s="111" t="str">
        <f ca="1"/>
        <v>MACHACHI</v>
      </c>
      <c r="B498" s="111" t="str">
        <f ca="1"/>
        <v>BEBIDAS LACTEAS</v>
      </c>
      <c r="C498" s="111" t="str">
        <f ca="1"/>
        <v xml:space="preserve">Luis Armendariz                         </v>
      </c>
      <c r="D498" s="111" t="str">
        <f ca="1"/>
        <v>REGENERIS</v>
      </c>
      <c r="E498" s="111" t="str">
        <f ca="1"/>
        <v>REGENERIS BEBIBLE BOTELLA PERSONAL</v>
      </c>
      <c r="F498" s="120" t="str">
        <f ca="1"/>
        <v>GUAYAQUIL</v>
      </c>
      <c r="G498" s="120">
        <f ca="1"/>
        <v>7711</v>
      </c>
      <c r="H498" s="120">
        <f ca="1"/>
        <v>1001</v>
      </c>
      <c r="I498" s="120" t="str">
        <f ca="1"/>
        <v>4162</v>
      </c>
      <c r="J498" s="120" t="str">
        <f ca="1"/>
        <v>RGN BBLE FTLLA BOT 180G</v>
      </c>
      <c r="K498" s="121">
        <f ca="1"/>
        <v>540</v>
      </c>
      <c r="L498" s="122">
        <f ca="1"/>
        <v>1</v>
      </c>
      <c r="M498" s="120">
        <f ca="1"/>
        <v>0.18</v>
      </c>
      <c r="N498" s="121">
        <f ca="1"/>
        <v>45</v>
      </c>
      <c r="O498" s="123">
        <f ca="1"/>
        <v>45612</v>
      </c>
      <c r="P498" s="123" t="str">
        <f ca="1"/>
        <v>sábado</v>
      </c>
      <c r="Q498" s="124">
        <f ca="1"/>
        <v>45604</v>
      </c>
      <c r="R498" s="124">
        <f ca="1"/>
        <v>45648</v>
      </c>
      <c r="S498" s="90">
        <f ca="1"/>
        <v>24</v>
      </c>
      <c r="T498" s="139">
        <f ca="1"/>
        <v>0.53333333333333333</v>
      </c>
      <c r="U498" s="131">
        <f ca="1"/>
        <v>393</v>
      </c>
      <c r="V498" s="120">
        <f ca="1"/>
        <v>70.739999999999995</v>
      </c>
      <c r="W498" s="140">
        <f ca="1"/>
        <v>8</v>
      </c>
      <c r="X498" s="139">
        <f ca="1"/>
        <v>0.82222222222222219</v>
      </c>
      <c r="Y498" s="141">
        <f ca="1"/>
        <v>0.30145500000000003</v>
      </c>
      <c r="Z498" s="141">
        <f ca="1"/>
        <v>0.30145500000000003</v>
      </c>
      <c r="AA498" s="142">
        <f ca="1"/>
        <v>21.324926699999999</v>
      </c>
      <c r="AB498" s="138">
        <f ca="1"/>
        <v>12</v>
      </c>
      <c r="AC498" s="103" t="str">
        <f ca="1"/>
        <v>PROXIMOS FECHA CORTA</v>
      </c>
      <c r="AD498" s="150">
        <f ca="1"/>
        <v>7.0739999999999997E-2</v>
      </c>
    </row>
    <row r="499" spans="1:30">
      <c r="A499" s="111" t="str">
        <f ca="1"/>
        <v>MACHACHI</v>
      </c>
      <c r="B499" s="111" t="str">
        <f ca="1"/>
        <v>BEBIDAS LACTEAS</v>
      </c>
      <c r="C499" s="111" t="str">
        <f ca="1"/>
        <v xml:space="preserve">Luis Armendariz                         </v>
      </c>
      <c r="D499" s="111" t="str">
        <f ca="1"/>
        <v>REGENERIS</v>
      </c>
      <c r="E499" s="111" t="str">
        <f ca="1"/>
        <v>REGENERIS BEBIBLE BOTELLA PERSONAL</v>
      </c>
      <c r="F499" s="120" t="str">
        <f ca="1"/>
        <v>GUAYAQUIL</v>
      </c>
      <c r="G499" s="120">
        <f ca="1"/>
        <v>7711</v>
      </c>
      <c r="H499" s="120">
        <f ca="1"/>
        <v>1001</v>
      </c>
      <c r="I499" s="120" t="str">
        <f ca="1"/>
        <v>4162</v>
      </c>
      <c r="J499" s="120" t="str">
        <f ca="1"/>
        <v>RGN BBLE FTLLA BOT 180G</v>
      </c>
      <c r="K499" s="121">
        <f ca="1"/>
        <v>0</v>
      </c>
      <c r="L499" s="122">
        <f ca="1"/>
        <v>1</v>
      </c>
      <c r="M499" s="120">
        <f ca="1"/>
        <v>0.18</v>
      </c>
      <c r="N499" s="121">
        <f ca="1"/>
        <v>45</v>
      </c>
      <c r="O499" s="123">
        <f ca="1"/>
        <v>45611</v>
      </c>
      <c r="P499" s="123" t="str">
        <f ca="1"/>
        <v>viernes</v>
      </c>
      <c r="Q499" s="124">
        <f ca="1"/>
        <v>45611</v>
      </c>
      <c r="R499" s="124">
        <f ca="1"/>
        <v>45655</v>
      </c>
      <c r="S499" s="90">
        <f ca="1"/>
        <v>31</v>
      </c>
      <c r="T499" s="139">
        <f ca="1"/>
        <v>0.68888888888888888</v>
      </c>
      <c r="U499" s="131">
        <f ca="1"/>
        <v>1</v>
      </c>
      <c r="V499" s="120">
        <f ca="1"/>
        <v>0.18</v>
      </c>
      <c r="W499" s="140">
        <f ca="1"/>
        <v>0</v>
      </c>
      <c r="X499" s="139">
        <f ca="1"/>
        <v>1</v>
      </c>
      <c r="Y499" s="141">
        <f ca="1"/>
        <v>0.30145500000000003</v>
      </c>
      <c r="Z499" s="141">
        <f ca="1"/>
        <v>0.30145500000000003</v>
      </c>
      <c r="AA499" s="142">
        <f ca="1"/>
        <v>5.4261900000000002E-2</v>
      </c>
      <c r="AB499" s="138">
        <f ca="1"/>
        <v>13</v>
      </c>
      <c r="AC499" s="103" t="str">
        <f ca="1"/>
        <v>VIGENTE</v>
      </c>
      <c r="AD499" s="150">
        <f ca="1"/>
        <v>1.7999999999999998E-4</v>
      </c>
    </row>
    <row r="500" spans="1:30">
      <c r="A500" s="111" t="str">
        <f ca="1"/>
        <v>MACHACHI</v>
      </c>
      <c r="B500" s="111" t="str">
        <f ca="1"/>
        <v>BEBIDAS LACTEAS</v>
      </c>
      <c r="C500" s="111" t="str">
        <f ca="1"/>
        <v xml:space="preserve">Luis Armendariz                         </v>
      </c>
      <c r="D500" s="111" t="str">
        <f ca="1"/>
        <v>REGENERIS</v>
      </c>
      <c r="E500" s="111" t="str">
        <f ca="1"/>
        <v>REGENERIS BEBIBLE BOTELLA PERSONAL</v>
      </c>
      <c r="F500" s="120" t="str">
        <f ca="1"/>
        <v>GUAYAQUIL</v>
      </c>
      <c r="G500" s="120">
        <f ca="1"/>
        <v>7711</v>
      </c>
      <c r="H500" s="120">
        <f ca="1"/>
        <v>1001</v>
      </c>
      <c r="I500" s="120" t="str">
        <f ca="1"/>
        <v>4162</v>
      </c>
      <c r="J500" s="120" t="str">
        <f ca="1"/>
        <v>RGN BBLE FTLLA BOT 180G</v>
      </c>
      <c r="K500" s="121">
        <f ca="1"/>
        <v>540</v>
      </c>
      <c r="L500" s="122">
        <f ca="1"/>
        <v>1</v>
      </c>
      <c r="M500" s="120">
        <f ca="1"/>
        <v>0.18</v>
      </c>
      <c r="N500" s="121">
        <f ca="1"/>
        <v>45</v>
      </c>
      <c r="O500" s="123">
        <f ca="1"/>
        <v>45615</v>
      </c>
      <c r="P500" s="123" t="str">
        <f ca="1"/>
        <v>martes</v>
      </c>
      <c r="Q500" s="124">
        <f ca="1"/>
        <v>45609</v>
      </c>
      <c r="R500" s="124">
        <f ca="1"/>
        <v>45653</v>
      </c>
      <c r="S500" s="90">
        <f ca="1"/>
        <v>29</v>
      </c>
      <c r="T500" s="139">
        <f ca="1"/>
        <v>0.64444444444444449</v>
      </c>
      <c r="U500" s="131">
        <f ca="1"/>
        <v>540</v>
      </c>
      <c r="V500" s="120">
        <f ca="1"/>
        <v>97.2</v>
      </c>
      <c r="W500" s="140">
        <f ca="1"/>
        <v>6</v>
      </c>
      <c r="X500" s="139">
        <f ca="1"/>
        <v>0.8666666666666667</v>
      </c>
      <c r="Y500" s="141">
        <f ca="1"/>
        <v>0.30145500000000003</v>
      </c>
      <c r="Z500" s="141">
        <f ca="1"/>
        <v>0.30145500000000003</v>
      </c>
      <c r="AA500" s="142">
        <f ca="1"/>
        <v>29.301426000000003</v>
      </c>
      <c r="AB500" s="138">
        <f ca="1"/>
        <v>9</v>
      </c>
      <c r="AC500" s="103" t="str">
        <f ca="1"/>
        <v>VIGENTE</v>
      </c>
      <c r="AD500" s="150">
        <f ca="1"/>
        <v>9.7200000000000009E-2</v>
      </c>
    </row>
    <row r="501" spans="1:30">
      <c r="A501" s="111" t="str">
        <f ca="1"/>
        <v>MACHACHI</v>
      </c>
      <c r="B501" s="111" t="str">
        <f ca="1"/>
        <v>BEBIDAS LACTEAS</v>
      </c>
      <c r="C501" s="111" t="str">
        <f ca="1"/>
        <v xml:space="preserve">Luis Armendariz                         </v>
      </c>
      <c r="D501" s="111" t="str">
        <f ca="1"/>
        <v>REGENERIS</v>
      </c>
      <c r="E501" s="111" t="str">
        <f ca="1"/>
        <v>REGENERIS BEBIBLE BOTELLA PERSONAL</v>
      </c>
      <c r="F501" s="120" t="str">
        <f ca="1"/>
        <v>GUAYAQUIL</v>
      </c>
      <c r="G501" s="120">
        <f ca="1"/>
        <v>7711</v>
      </c>
      <c r="H501" s="120">
        <f ca="1"/>
        <v>1001</v>
      </c>
      <c r="I501" s="120" t="str">
        <f ca="1"/>
        <v>4162</v>
      </c>
      <c r="J501" s="120" t="str">
        <f ca="1"/>
        <v>RGN BBLE FTLLA BOT 180G</v>
      </c>
      <c r="K501" s="121">
        <f ca="1"/>
        <v>216</v>
      </c>
      <c r="L501" s="122">
        <f ca="1"/>
        <v>1</v>
      </c>
      <c r="M501" s="120">
        <f ca="1"/>
        <v>0.18</v>
      </c>
      <c r="N501" s="121">
        <f ca="1"/>
        <v>45</v>
      </c>
      <c r="O501" s="123">
        <f ca="1"/>
        <v>45616</v>
      </c>
      <c r="P501" s="123" t="str">
        <f ca="1"/>
        <v>miércoles</v>
      </c>
      <c r="Q501" s="124">
        <f ca="1"/>
        <v>45609</v>
      </c>
      <c r="R501" s="124">
        <f ca="1"/>
        <v>45653</v>
      </c>
      <c r="S501" s="90">
        <f ca="1"/>
        <v>29</v>
      </c>
      <c r="T501" s="139">
        <f ca="1"/>
        <v>0.64444444444444449</v>
      </c>
      <c r="U501" s="131">
        <f ca="1"/>
        <v>216</v>
      </c>
      <c r="V501" s="120">
        <f ca="1"/>
        <v>38.879999999999995</v>
      </c>
      <c r="W501" s="140">
        <f ca="1"/>
        <v>7</v>
      </c>
      <c r="X501" s="139">
        <f ca="1"/>
        <v>0.84444444444444444</v>
      </c>
      <c r="Y501" s="141">
        <f ca="1"/>
        <v>0.30145500000000003</v>
      </c>
      <c r="Z501" s="141">
        <f ca="1"/>
        <v>0.30145500000000003</v>
      </c>
      <c r="AA501" s="142">
        <f ca="1"/>
        <v>11.7205704</v>
      </c>
      <c r="AB501" s="138">
        <f ca="1"/>
        <v>8</v>
      </c>
      <c r="AC501" s="103" t="str">
        <f ca="1"/>
        <v>VIGENTE</v>
      </c>
      <c r="AD501" s="150">
        <f ca="1"/>
        <v>3.8879999999999998E-2</v>
      </c>
    </row>
    <row r="502" spans="1:30">
      <c r="A502" s="111" t="str">
        <f ca="1"/>
        <v>MACHACHI</v>
      </c>
      <c r="B502" s="111" t="str">
        <f ca="1"/>
        <v>BEBIDAS LACTEAS</v>
      </c>
      <c r="C502" s="111" t="str">
        <f ca="1"/>
        <v xml:space="preserve">Luis Armendariz                         </v>
      </c>
      <c r="D502" s="111" t="str">
        <f ca="1"/>
        <v>REGENERIS</v>
      </c>
      <c r="E502" s="111" t="str">
        <f ca="1"/>
        <v>REGENERIS BEBIBLE BOTELLA FAMILIAR</v>
      </c>
      <c r="F502" s="120" t="str">
        <f ca="1"/>
        <v>GUAYAQUIL</v>
      </c>
      <c r="G502" s="120">
        <f ca="1"/>
        <v>7711</v>
      </c>
      <c r="H502" s="120">
        <f ca="1"/>
        <v>1001</v>
      </c>
      <c r="I502" s="120" t="str">
        <f ca="1"/>
        <v>4163</v>
      </c>
      <c r="J502" s="120" t="str">
        <f ca="1"/>
        <v>RGN BBLE FTLLA BOT 1000G</v>
      </c>
      <c r="K502" s="121">
        <f ca="1"/>
        <v>54</v>
      </c>
      <c r="L502" s="122">
        <f ca="1"/>
        <v>1</v>
      </c>
      <c r="M502" s="120">
        <f ca="1"/>
        <v>1</v>
      </c>
      <c r="N502" s="121">
        <f ca="1"/>
        <v>45</v>
      </c>
      <c r="O502" s="123">
        <f ca="1"/>
        <v>45608</v>
      </c>
      <c r="P502" s="123" t="str">
        <f ca="1"/>
        <v>martes</v>
      </c>
      <c r="Q502" s="124">
        <f ca="1"/>
        <v>45604</v>
      </c>
      <c r="R502" s="124">
        <f ca="1"/>
        <v>45648</v>
      </c>
      <c r="S502" s="90">
        <f ca="1"/>
        <v>24</v>
      </c>
      <c r="T502" s="139">
        <f ca="1"/>
        <v>0.53333333333333333</v>
      </c>
      <c r="U502" s="131">
        <f ca="1"/>
        <v>1</v>
      </c>
      <c r="V502" s="120">
        <f ca="1"/>
        <v>1</v>
      </c>
      <c r="W502" s="140">
        <f ca="1"/>
        <v>4</v>
      </c>
      <c r="X502" s="139">
        <f ca="1"/>
        <v>0.91111111111111109</v>
      </c>
      <c r="Y502" s="141">
        <f ca="1"/>
        <v>1.3619949999999998</v>
      </c>
      <c r="Z502" s="141">
        <f ca="1"/>
        <v>1.3619949999999998</v>
      </c>
      <c r="AA502" s="142">
        <f ca="1"/>
        <v>1.3619949999999998</v>
      </c>
      <c r="AB502" s="138">
        <f ca="1"/>
        <v>16</v>
      </c>
      <c r="AC502" s="103" t="str">
        <f ca="1"/>
        <v>PROXIMOS FECHA CORTA</v>
      </c>
      <c r="AD502" s="150">
        <f ca="1"/>
        <v>1E-3</v>
      </c>
    </row>
    <row r="503" spans="1:30">
      <c r="A503" s="111" t="str">
        <f ca="1"/>
        <v>MACHACHI</v>
      </c>
      <c r="B503" s="111" t="str">
        <f ca="1"/>
        <v>BEBIDAS LACTEAS</v>
      </c>
      <c r="C503" s="111" t="str">
        <f ca="1"/>
        <v xml:space="preserve">Luis Armendariz                         </v>
      </c>
      <c r="D503" s="111" t="str">
        <f ca="1"/>
        <v>REGENERIS</v>
      </c>
      <c r="E503" s="111" t="str">
        <f ca="1"/>
        <v>REGENERIS BEBIBLE BOTELLA FAMILIAR</v>
      </c>
      <c r="F503" s="120" t="str">
        <f ca="1"/>
        <v>GUAYAQUIL</v>
      </c>
      <c r="G503" s="120">
        <f ca="1"/>
        <v>7711</v>
      </c>
      <c r="H503" s="120">
        <f ca="1"/>
        <v>1001</v>
      </c>
      <c r="I503" s="120" t="str">
        <f ca="1"/>
        <v>4163</v>
      </c>
      <c r="J503" s="120" t="str">
        <f ca="1"/>
        <v>RGN BBLE FTLLA BOT 1000G</v>
      </c>
      <c r="K503" s="121">
        <f ca="1"/>
        <v>72</v>
      </c>
      <c r="L503" s="122">
        <f ca="1"/>
        <v>1</v>
      </c>
      <c r="M503" s="120">
        <f ca="1"/>
        <v>1</v>
      </c>
      <c r="N503" s="121">
        <f ca="1"/>
        <v>45</v>
      </c>
      <c r="O503" s="123">
        <f ca="1"/>
        <v>45612</v>
      </c>
      <c r="P503" s="123" t="str">
        <f ca="1"/>
        <v>sábado</v>
      </c>
      <c r="Q503" s="124">
        <f ca="1"/>
        <v>45610</v>
      </c>
      <c r="R503" s="124">
        <f ca="1"/>
        <v>45654</v>
      </c>
      <c r="S503" s="90">
        <f ca="1"/>
        <v>30</v>
      </c>
      <c r="T503" s="139">
        <f ca="1"/>
        <v>0.66666666666666663</v>
      </c>
      <c r="U503" s="131">
        <f ca="1"/>
        <v>42</v>
      </c>
      <c r="V503" s="120">
        <f ca="1"/>
        <v>42</v>
      </c>
      <c r="W503" s="140">
        <f ca="1"/>
        <v>2</v>
      </c>
      <c r="X503" s="139">
        <f ca="1"/>
        <v>0.9555555555555556</v>
      </c>
      <c r="Y503" s="141">
        <f ca="1"/>
        <v>1.3619949999999998</v>
      </c>
      <c r="Z503" s="141">
        <f ca="1"/>
        <v>1.3619949999999998</v>
      </c>
      <c r="AA503" s="142">
        <f ca="1"/>
        <v>57.203789999999991</v>
      </c>
      <c r="AB503" s="138">
        <f ca="1"/>
        <v>12</v>
      </c>
      <c r="AC503" s="103" t="str">
        <f ca="1"/>
        <v>VIGENTE</v>
      </c>
      <c r="AD503" s="150">
        <f ca="1"/>
        <v>4.2000000000000003E-2</v>
      </c>
    </row>
    <row r="504" spans="1:30">
      <c r="A504" s="111" t="str">
        <f ca="1"/>
        <v>MACHACHI</v>
      </c>
      <c r="B504" s="111" t="str">
        <f ca="1"/>
        <v>BEBIDAS LACTEAS</v>
      </c>
      <c r="C504" s="111" t="str">
        <f ca="1"/>
        <v xml:space="preserve">Luis Armendariz                         </v>
      </c>
      <c r="D504" s="111" t="str">
        <f ca="1"/>
        <v>REGENERIS</v>
      </c>
      <c r="E504" s="111" t="str">
        <f ca="1"/>
        <v>REGENERIS BEBIBLE BOTELLA FAMILIAR</v>
      </c>
      <c r="F504" s="120" t="str">
        <f ca="1"/>
        <v>GUAYAQUIL</v>
      </c>
      <c r="G504" s="120">
        <f ca="1"/>
        <v>7711</v>
      </c>
      <c r="H504" s="120">
        <f ca="1"/>
        <v>1001</v>
      </c>
      <c r="I504" s="120" t="str">
        <f ca="1"/>
        <v>4163</v>
      </c>
      <c r="J504" s="120" t="str">
        <f ca="1"/>
        <v>RGN BBLE FTLLA BOT 1000G</v>
      </c>
      <c r="K504" s="121">
        <f ca="1"/>
        <v>72</v>
      </c>
      <c r="L504" s="122">
        <f ca="1"/>
        <v>1</v>
      </c>
      <c r="M504" s="120">
        <f ca="1"/>
        <v>1</v>
      </c>
      <c r="N504" s="121">
        <f ca="1"/>
        <v>45</v>
      </c>
      <c r="O504" s="123">
        <f ca="1"/>
        <v>45615</v>
      </c>
      <c r="P504" s="123" t="str">
        <f ca="1"/>
        <v>martes</v>
      </c>
      <c r="Q504" s="124">
        <f ca="1"/>
        <v>45610</v>
      </c>
      <c r="R504" s="124">
        <f ca="1"/>
        <v>45654</v>
      </c>
      <c r="S504" s="90">
        <f ca="1"/>
        <v>30</v>
      </c>
      <c r="T504" s="139">
        <f ca="1"/>
        <v>0.66666666666666663</v>
      </c>
      <c r="U504" s="131">
        <f ca="1"/>
        <v>72</v>
      </c>
      <c r="V504" s="120">
        <f ca="1"/>
        <v>72</v>
      </c>
      <c r="W504" s="140">
        <f ca="1"/>
        <v>5</v>
      </c>
      <c r="X504" s="139">
        <f ca="1"/>
        <v>0.88888888888888884</v>
      </c>
      <c r="Y504" s="141">
        <f ca="1"/>
        <v>1.3619949999999998</v>
      </c>
      <c r="Z504" s="141">
        <f ca="1"/>
        <v>1.3619949999999998</v>
      </c>
      <c r="AA504" s="142">
        <f ca="1"/>
        <v>98.063639999999992</v>
      </c>
      <c r="AB504" s="138">
        <f ca="1"/>
        <v>9</v>
      </c>
      <c r="AC504" s="103" t="str">
        <f ca="1"/>
        <v>VIGENTE</v>
      </c>
      <c r="AD504" s="150">
        <f ca="1"/>
        <v>7.1999999999999995E-2</v>
      </c>
    </row>
    <row r="505" spans="1:30">
      <c r="A505" s="111" t="str">
        <f ca="1"/>
        <v>MACHACHI</v>
      </c>
      <c r="B505" s="111" t="str">
        <f ca="1"/>
        <v>BEBIDAS LACTEAS</v>
      </c>
      <c r="C505" s="111" t="str">
        <f ca="1"/>
        <v xml:space="preserve">Luis Armendariz                         </v>
      </c>
      <c r="D505" s="111" t="str">
        <f ca="1"/>
        <v>REGENERIS</v>
      </c>
      <c r="E505" s="111" t="str">
        <f ca="1"/>
        <v>REGENERIS BEBIBLE BOTELLA FAMILIAR</v>
      </c>
      <c r="F505" s="120" t="str">
        <f ca="1"/>
        <v>GUAYAQUIL</v>
      </c>
      <c r="G505" s="120">
        <f ca="1"/>
        <v>7711</v>
      </c>
      <c r="H505" s="120">
        <f ca="1"/>
        <v>1001</v>
      </c>
      <c r="I505" s="120" t="str">
        <f ca="1"/>
        <v>4163</v>
      </c>
      <c r="J505" s="120" t="str">
        <f ca="1"/>
        <v>RGN BBLE FTLLA BOT 1000G</v>
      </c>
      <c r="K505" s="121">
        <f ca="1"/>
        <v>54</v>
      </c>
      <c r="L505" s="122">
        <f ca="1"/>
        <v>1</v>
      </c>
      <c r="M505" s="120">
        <f ca="1"/>
        <v>1</v>
      </c>
      <c r="N505" s="121">
        <f ca="1"/>
        <v>45</v>
      </c>
      <c r="O505" s="123">
        <f ca="1"/>
        <v>45616</v>
      </c>
      <c r="P505" s="123" t="str">
        <f ca="1"/>
        <v>miércoles</v>
      </c>
      <c r="Q505" s="124">
        <f ca="1"/>
        <v>45615</v>
      </c>
      <c r="R505" s="124">
        <f ca="1"/>
        <v>45659</v>
      </c>
      <c r="S505" s="90">
        <f ca="1"/>
        <v>35</v>
      </c>
      <c r="T505" s="139">
        <f ca="1"/>
        <v>0.77777777777777779</v>
      </c>
      <c r="U505" s="131">
        <f ca="1"/>
        <v>54</v>
      </c>
      <c r="V505" s="120">
        <f ca="1"/>
        <v>54</v>
      </c>
      <c r="W505" s="140">
        <f ca="1"/>
        <v>1</v>
      </c>
      <c r="X505" s="139">
        <f ca="1"/>
        <v>0.97777777777777775</v>
      </c>
      <c r="Y505" s="141">
        <f ca="1"/>
        <v>1.3619949999999998</v>
      </c>
      <c r="Z505" s="141">
        <f ca="1"/>
        <v>1.3619949999999998</v>
      </c>
      <c r="AA505" s="142">
        <f ca="1"/>
        <v>73.547729999999987</v>
      </c>
      <c r="AB505" s="138">
        <f ca="1"/>
        <v>8</v>
      </c>
      <c r="AC505" s="103" t="str">
        <f ca="1"/>
        <v>VIGENTE</v>
      </c>
      <c r="AD505" s="150">
        <f ca="1"/>
        <v>5.3999999999999999E-2</v>
      </c>
    </row>
    <row r="506" spans="1:30">
      <c r="A506" s="111" t="str">
        <f ca="1"/>
        <v>MACHACHI</v>
      </c>
      <c r="B506" s="111" t="str">
        <f ca="1"/>
        <v>BEBIDAS LACTEAS</v>
      </c>
      <c r="C506" s="111" t="str">
        <f ca="1"/>
        <v xml:space="preserve">Luis Armendariz                         </v>
      </c>
      <c r="D506" s="111" t="str">
        <f ca="1"/>
        <v>REGENERIS</v>
      </c>
      <c r="E506" s="111" t="str">
        <f ca="1"/>
        <v>REGENERIS REGULAR BOTELLA FAMILIAR</v>
      </c>
      <c r="F506" s="120" t="str">
        <f ca="1"/>
        <v>GUAYAQUIL</v>
      </c>
      <c r="G506" s="120">
        <f ca="1"/>
        <v>7711</v>
      </c>
      <c r="H506" s="120">
        <f ca="1"/>
        <v>1001</v>
      </c>
      <c r="I506" s="120" t="str">
        <f ca="1"/>
        <v>4247</v>
      </c>
      <c r="J506" s="120" t="str">
        <f ca="1"/>
        <v>RGN TZOS MOR BOT 1750G</v>
      </c>
      <c r="K506" s="121">
        <f ca="1"/>
        <v>84</v>
      </c>
      <c r="L506" s="122">
        <f ca="1"/>
        <v>1</v>
      </c>
      <c r="M506" s="120">
        <f ca="1"/>
        <v>1.75</v>
      </c>
      <c r="N506" s="121">
        <f ca="1"/>
        <v>45</v>
      </c>
      <c r="O506" s="123">
        <f ca="1"/>
        <v>45596</v>
      </c>
      <c r="P506" s="123" t="str">
        <f ca="1"/>
        <v>jueves</v>
      </c>
      <c r="Q506" s="124">
        <f ca="1"/>
        <v>45587</v>
      </c>
      <c r="R506" s="124">
        <f ca="1"/>
        <v>45631</v>
      </c>
      <c r="S506" s="90">
        <f ca="1"/>
        <v>7</v>
      </c>
      <c r="T506" s="139">
        <f ca="1"/>
        <v>0.15555555555555556</v>
      </c>
      <c r="U506" s="131">
        <f ca="1"/>
        <v>9</v>
      </c>
      <c r="V506" s="120">
        <f ca="1"/>
        <v>15.75</v>
      </c>
      <c r="W506" s="140">
        <f ca="1"/>
        <v>9</v>
      </c>
      <c r="X506" s="139">
        <f ca="1"/>
        <v>0.8</v>
      </c>
      <c r="Y506" s="141">
        <f ca="1"/>
        <v>2.3769900000000002</v>
      </c>
      <c r="Z506" s="141">
        <f ca="1"/>
        <v>2.3769900000000002</v>
      </c>
      <c r="AA506" s="142">
        <f ca="1"/>
        <v>37.437592500000001</v>
      </c>
      <c r="AB506" s="138">
        <f ca="1"/>
        <v>28</v>
      </c>
      <c r="AC506" s="103" t="str">
        <f ca="1"/>
        <v>FECHA CORTA</v>
      </c>
      <c r="AD506" s="150">
        <f ca="1"/>
        <v>1.575E-2</v>
      </c>
    </row>
    <row r="507" spans="1:30">
      <c r="A507" s="111" t="str">
        <f ca="1"/>
        <v>MACHACHI</v>
      </c>
      <c r="B507" s="111" t="str">
        <f ca="1"/>
        <v>BEBIDAS LACTEAS</v>
      </c>
      <c r="C507" s="111" t="str">
        <f ca="1"/>
        <v xml:space="preserve">Luis Armendariz                         </v>
      </c>
      <c r="D507" s="111" t="str">
        <f ca="1"/>
        <v>REGENERIS</v>
      </c>
      <c r="E507" s="111" t="str">
        <f ca="1"/>
        <v>REGENERIS REGULAR BOTELLA FAMILIAR</v>
      </c>
      <c r="F507" s="120" t="str">
        <f ca="1"/>
        <v>GUAYAQUIL</v>
      </c>
      <c r="G507" s="120">
        <f ca="1"/>
        <v>7711</v>
      </c>
      <c r="H507" s="120">
        <f ca="1"/>
        <v>1001</v>
      </c>
      <c r="I507" s="120" t="str">
        <f ca="1"/>
        <v>4247</v>
      </c>
      <c r="J507" s="120" t="str">
        <f ca="1"/>
        <v>RGN TZOS MOR BOT 1750G</v>
      </c>
      <c r="K507" s="121">
        <f ca="1"/>
        <v>144</v>
      </c>
      <c r="L507" s="122">
        <f ca="1"/>
        <v>1</v>
      </c>
      <c r="M507" s="120">
        <f ca="1"/>
        <v>1.75</v>
      </c>
      <c r="N507" s="121">
        <f ca="1"/>
        <v>45</v>
      </c>
      <c r="O507" s="123">
        <f ca="1"/>
        <v>45605</v>
      </c>
      <c r="P507" s="123" t="str">
        <f ca="1"/>
        <v>sábado</v>
      </c>
      <c r="Q507" s="124">
        <f ca="1"/>
        <v>45596</v>
      </c>
      <c r="R507" s="124">
        <f ca="1"/>
        <v>45640</v>
      </c>
      <c r="S507" s="90">
        <f ca="1"/>
        <v>16</v>
      </c>
      <c r="T507" s="139">
        <f ca="1"/>
        <v>0.35555555555555557</v>
      </c>
      <c r="U507" s="131">
        <f ca="1"/>
        <v>101</v>
      </c>
      <c r="V507" s="120">
        <f ca="1"/>
        <v>176.75</v>
      </c>
      <c r="W507" s="140">
        <f ca="1"/>
        <v>9</v>
      </c>
      <c r="X507" s="139">
        <f ca="1"/>
        <v>0.8</v>
      </c>
      <c r="Y507" s="141">
        <f ca="1"/>
        <v>2.3769900000000002</v>
      </c>
      <c r="Z507" s="141">
        <f ca="1"/>
        <v>2.3769900000000002</v>
      </c>
      <c r="AA507" s="142">
        <f ca="1"/>
        <v>420.13298250000003</v>
      </c>
      <c r="AB507" s="138">
        <f ca="1"/>
        <v>19</v>
      </c>
      <c r="AC507" s="103" t="str">
        <f ca="1"/>
        <v>FECHA CORTA</v>
      </c>
      <c r="AD507" s="150">
        <f ca="1"/>
        <v>0.17674999999999999</v>
      </c>
    </row>
    <row r="508" spans="1:30">
      <c r="A508" s="111" t="str">
        <f ca="1"/>
        <v>MACHACHI</v>
      </c>
      <c r="B508" s="111" t="str">
        <f ca="1"/>
        <v>BEBIDAS LACTEAS</v>
      </c>
      <c r="C508" s="111" t="str">
        <f ca="1"/>
        <v xml:space="preserve">Luis Armendariz                         </v>
      </c>
      <c r="D508" s="111" t="str">
        <f ca="1"/>
        <v>REGENERIS</v>
      </c>
      <c r="E508" s="111" t="str">
        <f ca="1"/>
        <v>REGENERIS REGULAR BOTELLA FAMILIAR</v>
      </c>
      <c r="F508" s="120" t="str">
        <f ca="1"/>
        <v>GUAYAQUIL</v>
      </c>
      <c r="G508" s="120">
        <f ca="1"/>
        <v>7711</v>
      </c>
      <c r="H508" s="120">
        <f ca="1"/>
        <v>1001</v>
      </c>
      <c r="I508" s="120" t="str">
        <f ca="1"/>
        <v>4247</v>
      </c>
      <c r="J508" s="120" t="str">
        <f ca="1"/>
        <v>RGN TZOS MOR BOT 1750G</v>
      </c>
      <c r="K508" s="121">
        <f ca="1"/>
        <v>72</v>
      </c>
      <c r="L508" s="122">
        <f ca="1"/>
        <v>1</v>
      </c>
      <c r="M508" s="120">
        <f ca="1"/>
        <v>1.75</v>
      </c>
      <c r="N508" s="121">
        <f ca="1"/>
        <v>45</v>
      </c>
      <c r="O508" s="123">
        <f ca="1"/>
        <v>45616</v>
      </c>
      <c r="P508" s="123" t="str">
        <f ca="1"/>
        <v>miércoles</v>
      </c>
      <c r="Q508" s="124">
        <f ca="1"/>
        <v>45608</v>
      </c>
      <c r="R508" s="124">
        <f ca="1"/>
        <v>45652</v>
      </c>
      <c r="S508" s="90">
        <f ca="1"/>
        <v>28</v>
      </c>
      <c r="T508" s="139">
        <f ca="1"/>
        <v>0.62222222222222223</v>
      </c>
      <c r="U508" s="131">
        <f ca="1"/>
        <v>65</v>
      </c>
      <c r="V508" s="120">
        <f ca="1"/>
        <v>113.75</v>
      </c>
      <c r="W508" s="140">
        <f ca="1"/>
        <v>8</v>
      </c>
      <c r="X508" s="139">
        <f ca="1"/>
        <v>0.82222222222222219</v>
      </c>
      <c r="Y508" s="141">
        <f ca="1"/>
        <v>2.3769900000000002</v>
      </c>
      <c r="Z508" s="141">
        <f ca="1"/>
        <v>2.3769900000000002</v>
      </c>
      <c r="AA508" s="142">
        <f ca="1"/>
        <v>270.38261249999999</v>
      </c>
      <c r="AB508" s="138">
        <f ca="1"/>
        <v>8</v>
      </c>
      <c r="AC508" s="103" t="str">
        <f ca="1"/>
        <v>VIGENTE</v>
      </c>
      <c r="AD508" s="150">
        <f ca="1"/>
        <v>0.11375</v>
      </c>
    </row>
    <row r="509" spans="1:30">
      <c r="A509" s="111" t="str">
        <f ca="1"/>
        <v>MACHACHI</v>
      </c>
      <c r="B509" s="111" t="str">
        <f ca="1"/>
        <v>BEBIDAS LACTEAS</v>
      </c>
      <c r="C509" s="111" t="str">
        <f ca="1"/>
        <v xml:space="preserve">Luis Armendariz                         </v>
      </c>
      <c r="D509" s="111" t="str">
        <f ca="1"/>
        <v>REGENERIS</v>
      </c>
      <c r="E509" s="111" t="str">
        <f ca="1"/>
        <v>REGENERIS REGULAR BOTELLA FAMILIAR</v>
      </c>
      <c r="F509" s="120" t="str">
        <f ca="1"/>
        <v>GUAYAQUIL</v>
      </c>
      <c r="G509" s="120">
        <f ca="1"/>
        <v>7711</v>
      </c>
      <c r="H509" s="120">
        <f ca="1"/>
        <v>1001</v>
      </c>
      <c r="I509" s="120" t="str">
        <f ca="1"/>
        <v>4248</v>
      </c>
      <c r="J509" s="120" t="str">
        <f ca="1"/>
        <v>RGN TZOS DZNO BOT 1750G</v>
      </c>
      <c r="K509" s="121">
        <f ca="1"/>
        <v>180</v>
      </c>
      <c r="L509" s="122">
        <f ca="1"/>
        <v>1</v>
      </c>
      <c r="M509" s="120">
        <f ca="1"/>
        <v>1.75</v>
      </c>
      <c r="N509" s="121">
        <f ca="1"/>
        <v>45</v>
      </c>
      <c r="O509" s="123">
        <f ca="1"/>
        <v>45616</v>
      </c>
      <c r="P509" s="123" t="str">
        <f ca="1"/>
        <v>miércoles</v>
      </c>
      <c r="Q509" s="124">
        <f ca="1"/>
        <v>45615</v>
      </c>
      <c r="R509" s="124">
        <f ca="1"/>
        <v>45659</v>
      </c>
      <c r="S509" s="90">
        <f ca="1"/>
        <v>35</v>
      </c>
      <c r="T509" s="139">
        <f ca="1"/>
        <v>0.77777777777777779</v>
      </c>
      <c r="U509" s="131">
        <f ca="1"/>
        <v>174</v>
      </c>
      <c r="V509" s="120">
        <f ca="1"/>
        <v>304.5</v>
      </c>
      <c r="W509" s="140">
        <f ca="1"/>
        <v>1</v>
      </c>
      <c r="X509" s="139">
        <f ca="1"/>
        <v>0.97777777777777775</v>
      </c>
      <c r="Y509" s="141">
        <f ca="1"/>
        <v>2.36903</v>
      </c>
      <c r="Z509" s="141">
        <f ca="1"/>
        <v>2.36903</v>
      </c>
      <c r="AA509" s="142">
        <f ca="1"/>
        <v>721.36963500000002</v>
      </c>
      <c r="AB509" s="138">
        <f ca="1"/>
        <v>8</v>
      </c>
      <c r="AC509" s="103" t="str">
        <f ca="1"/>
        <v>VIGENTE</v>
      </c>
      <c r="AD509" s="150">
        <f ca="1"/>
        <v>0.30449999999999999</v>
      </c>
    </row>
    <row r="510" spans="1:30">
      <c r="A510" s="111" t="str">
        <f ca="1"/>
        <v>MACHACHI</v>
      </c>
      <c r="B510" s="111" t="str">
        <f ca="1"/>
        <v>BEBIDAS LACTEAS</v>
      </c>
      <c r="C510" s="111" t="str">
        <f ca="1"/>
        <v xml:space="preserve">Luis Armendariz                         </v>
      </c>
      <c r="D510" s="111" t="str">
        <f ca="1"/>
        <v>REGENERIS</v>
      </c>
      <c r="E510" s="111" t="str">
        <f ca="1"/>
        <v>REGENERIS REGULAR BOTELLA FAMILIAR</v>
      </c>
      <c r="F510" s="120" t="str">
        <f ca="1"/>
        <v>GUAYAQUIL</v>
      </c>
      <c r="G510" s="120">
        <f ca="1"/>
        <v>7711</v>
      </c>
      <c r="H510" s="120">
        <f ca="1"/>
        <v>1001</v>
      </c>
      <c r="I510" s="120" t="str">
        <f ca="1"/>
        <v>4889</v>
      </c>
      <c r="J510" s="120" t="str">
        <f ca="1"/>
        <v>RGN TZOS MOR BOT 1000G</v>
      </c>
      <c r="K510" s="121">
        <f ca="1"/>
        <v>18</v>
      </c>
      <c r="L510" s="122">
        <f ca="1"/>
        <v>1</v>
      </c>
      <c r="M510" s="120">
        <f ca="1"/>
        <v>1</v>
      </c>
      <c r="N510" s="121">
        <f ca="1"/>
        <v>45</v>
      </c>
      <c r="O510" s="123">
        <f ca="1"/>
        <v>45604</v>
      </c>
      <c r="P510" s="123" t="str">
        <f ca="1"/>
        <v>viernes</v>
      </c>
      <c r="Q510" s="124">
        <f ca="1"/>
        <v>45596</v>
      </c>
      <c r="R510" s="124">
        <f ca="1"/>
        <v>45640</v>
      </c>
      <c r="S510" s="90">
        <f ca="1"/>
        <v>16</v>
      </c>
      <c r="T510" s="139">
        <f ca="1"/>
        <v>0.35555555555555557</v>
      </c>
      <c r="U510" s="131">
        <f ca="1"/>
        <v>0</v>
      </c>
      <c r="V510" s="120">
        <f ca="1"/>
        <v>0</v>
      </c>
      <c r="W510" s="140">
        <f ca="1"/>
        <v>8</v>
      </c>
      <c r="X510" s="139">
        <f ca="1"/>
        <v>0.82222222222222219</v>
      </c>
      <c r="Y510" s="141">
        <f ca="1"/>
        <v>1.4067150000000002</v>
      </c>
      <c r="Z510" s="141">
        <f ca="1"/>
        <v>1.4067150000000002</v>
      </c>
      <c r="AA510" s="142">
        <f ca="1"/>
        <v>0</v>
      </c>
      <c r="AB510" s="138">
        <f ca="1"/>
        <v>20</v>
      </c>
      <c r="AC510" s="103" t="str">
        <f ca="1"/>
        <v>FECHA CORTA</v>
      </c>
      <c r="AD510" s="150">
        <f ca="1"/>
        <v>0</v>
      </c>
    </row>
    <row r="511" spans="1:30">
      <c r="A511" s="111" t="str">
        <f ca="1"/>
        <v>MACHACHI</v>
      </c>
      <c r="B511" s="111" t="str">
        <f ca="1"/>
        <v>BEBIDAS LACTEAS</v>
      </c>
      <c r="C511" s="111" t="str">
        <f ca="1"/>
        <v xml:space="preserve">Luis Armendariz                         </v>
      </c>
      <c r="D511" s="111" t="str">
        <f ca="1"/>
        <v>REGENERIS</v>
      </c>
      <c r="E511" s="111" t="str">
        <f ca="1"/>
        <v>REGENERIS REGULAR BOTELLA FAMILIAR</v>
      </c>
      <c r="F511" s="120" t="str">
        <f ca="1"/>
        <v>GUAYAQUIL</v>
      </c>
      <c r="G511" s="120">
        <f ca="1"/>
        <v>7711</v>
      </c>
      <c r="H511" s="120">
        <f ca="1"/>
        <v>1001</v>
      </c>
      <c r="I511" s="120" t="str">
        <f ca="1"/>
        <v>4889</v>
      </c>
      <c r="J511" s="120" t="str">
        <f ca="1"/>
        <v>RGN TZOS MOR BOT 1000G</v>
      </c>
      <c r="K511" s="121">
        <f ca="1"/>
        <v>18</v>
      </c>
      <c r="L511" s="122">
        <f ca="1"/>
        <v>1</v>
      </c>
      <c r="M511" s="120">
        <f ca="1"/>
        <v>1</v>
      </c>
      <c r="N511" s="121">
        <f ca="1"/>
        <v>45</v>
      </c>
      <c r="O511" s="123">
        <f ca="1"/>
        <v>45605</v>
      </c>
      <c r="P511" s="123" t="str">
        <f ca="1"/>
        <v>sábado</v>
      </c>
      <c r="Q511" s="124">
        <f ca="1"/>
        <v>45596</v>
      </c>
      <c r="R511" s="124">
        <f ca="1"/>
        <v>45640</v>
      </c>
      <c r="S511" s="90">
        <f ca="1"/>
        <v>16</v>
      </c>
      <c r="T511" s="139">
        <f ca="1"/>
        <v>0.35555555555555557</v>
      </c>
      <c r="U511" s="131">
        <f ca="1"/>
        <v>18</v>
      </c>
      <c r="V511" s="120">
        <f ca="1"/>
        <v>18</v>
      </c>
      <c r="W511" s="140">
        <f ca="1"/>
        <v>9</v>
      </c>
      <c r="X511" s="139">
        <f ca="1"/>
        <v>0.8</v>
      </c>
      <c r="Y511" s="141">
        <f ca="1"/>
        <v>1.4067150000000002</v>
      </c>
      <c r="Z511" s="141">
        <f ca="1"/>
        <v>1.4067150000000002</v>
      </c>
      <c r="AA511" s="142">
        <f ca="1"/>
        <v>25.320870000000003</v>
      </c>
      <c r="AB511" s="138">
        <f ca="1"/>
        <v>19</v>
      </c>
      <c r="AC511" s="103" t="str">
        <f ca="1"/>
        <v>FECHA CORTA</v>
      </c>
      <c r="AD511" s="150">
        <f ca="1"/>
        <v>1.7999999999999999E-2</v>
      </c>
    </row>
    <row r="512" spans="1:30">
      <c r="A512" s="111" t="str">
        <f ca="1"/>
        <v>MACHACHI</v>
      </c>
      <c r="B512" s="111" t="str">
        <f ca="1"/>
        <v>BEBIDAS LACTEAS</v>
      </c>
      <c r="C512" s="111" t="str">
        <f ca="1"/>
        <v xml:space="preserve">Luis Armendariz                         </v>
      </c>
      <c r="D512" s="111" t="str">
        <f ca="1"/>
        <v>REGENERIS</v>
      </c>
      <c r="E512" s="111" t="str">
        <f ca="1"/>
        <v>REGENERIS REGULAR BOTELLA FAMILIAR</v>
      </c>
      <c r="F512" s="120" t="str">
        <f ca="1"/>
        <v>GUAYAQUIL</v>
      </c>
      <c r="G512" s="120">
        <f ca="1"/>
        <v>7711</v>
      </c>
      <c r="H512" s="120">
        <f ca="1"/>
        <v>1001</v>
      </c>
      <c r="I512" s="120" t="str">
        <f ca="1"/>
        <v>4889</v>
      </c>
      <c r="J512" s="120" t="str">
        <f ca="1"/>
        <v>RGN TZOS MOR BOT 1000G</v>
      </c>
      <c r="K512" s="121">
        <f ca="1"/>
        <v>90</v>
      </c>
      <c r="L512" s="122">
        <f ca="1"/>
        <v>1</v>
      </c>
      <c r="M512" s="120">
        <f ca="1"/>
        <v>1</v>
      </c>
      <c r="N512" s="121">
        <f ca="1"/>
        <v>45</v>
      </c>
      <c r="O512" s="123">
        <f ca="1"/>
        <v>45616</v>
      </c>
      <c r="P512" s="123" t="str">
        <f ca="1"/>
        <v>miércoles</v>
      </c>
      <c r="Q512" s="124">
        <f ca="1"/>
        <v>45610</v>
      </c>
      <c r="R512" s="124">
        <f ca="1"/>
        <v>45654</v>
      </c>
      <c r="S512" s="90">
        <f ca="1"/>
        <v>30</v>
      </c>
      <c r="T512" s="139">
        <f ca="1"/>
        <v>0.66666666666666663</v>
      </c>
      <c r="U512" s="131">
        <f ca="1"/>
        <v>89</v>
      </c>
      <c r="V512" s="120">
        <f ca="1"/>
        <v>89</v>
      </c>
      <c r="W512" s="140">
        <f ca="1"/>
        <v>6</v>
      </c>
      <c r="X512" s="139">
        <f ca="1"/>
        <v>0.8666666666666667</v>
      </c>
      <c r="Y512" s="141">
        <f ca="1"/>
        <v>1.4067150000000002</v>
      </c>
      <c r="Z512" s="141">
        <f ca="1"/>
        <v>1.4067150000000002</v>
      </c>
      <c r="AA512" s="142">
        <f ca="1"/>
        <v>125.19763500000002</v>
      </c>
      <c r="AB512" s="138">
        <f ca="1"/>
        <v>8</v>
      </c>
      <c r="AC512" s="103" t="str">
        <f ca="1"/>
        <v>VIGENTE</v>
      </c>
      <c r="AD512" s="150">
        <f ca="1"/>
        <v>8.8999999999999996E-2</v>
      </c>
    </row>
    <row r="513" spans="1:30">
      <c r="A513" s="111" t="str">
        <f ca="1"/>
        <v>MACHACHI</v>
      </c>
      <c r="B513" s="111" t="str">
        <f ca="1"/>
        <v>BEBIDAS LACTEAS</v>
      </c>
      <c r="C513" s="111" t="str">
        <f ca="1"/>
        <v xml:space="preserve">Luis Armendariz                         </v>
      </c>
      <c r="D513" s="111" t="str">
        <f ca="1"/>
        <v>REGENERIS</v>
      </c>
      <c r="E513" s="111" t="str">
        <f ca="1"/>
        <v>REGENERIS REGULAR BOTELLA FAMILIAR</v>
      </c>
      <c r="F513" s="120" t="str">
        <f ca="1"/>
        <v>GUAYAQUIL</v>
      </c>
      <c r="G513" s="120">
        <f ca="1"/>
        <v>7711</v>
      </c>
      <c r="H513" s="120">
        <f ca="1"/>
        <v>1001</v>
      </c>
      <c r="I513" s="120" t="str">
        <f ca="1"/>
        <v>4894</v>
      </c>
      <c r="J513" s="120" t="str">
        <f ca="1"/>
        <v>RGN TZOS FTLLA BOT 1000G</v>
      </c>
      <c r="K513" s="121">
        <f ca="1"/>
        <v>90</v>
      </c>
      <c r="L513" s="122">
        <f ca="1"/>
        <v>1</v>
      </c>
      <c r="M513" s="120">
        <f ca="1"/>
        <v>1</v>
      </c>
      <c r="N513" s="121">
        <f ca="1"/>
        <v>45</v>
      </c>
      <c r="O513" s="123">
        <f ca="1"/>
        <v>45612</v>
      </c>
      <c r="P513" s="123" t="str">
        <f ca="1"/>
        <v>sábado</v>
      </c>
      <c r="Q513" s="124">
        <f ca="1"/>
        <v>45608</v>
      </c>
      <c r="R513" s="124">
        <f ca="1"/>
        <v>45652</v>
      </c>
      <c r="S513" s="90">
        <f ca="1"/>
        <v>28</v>
      </c>
      <c r="T513" s="139">
        <f ca="1"/>
        <v>0.62222222222222223</v>
      </c>
      <c r="U513" s="131">
        <f ca="1"/>
        <v>25</v>
      </c>
      <c r="V513" s="120">
        <f ca="1"/>
        <v>25</v>
      </c>
      <c r="W513" s="140">
        <f ca="1"/>
        <v>4</v>
      </c>
      <c r="X513" s="139">
        <f ca="1"/>
        <v>0.91111111111111109</v>
      </c>
      <c r="Y513" s="141">
        <f ca="1"/>
        <v>1.3933150000000001</v>
      </c>
      <c r="Z513" s="141">
        <f ca="1"/>
        <v>1.3933150000000001</v>
      </c>
      <c r="AA513" s="142">
        <f ca="1"/>
        <v>34.832875000000001</v>
      </c>
      <c r="AB513" s="138">
        <f ca="1"/>
        <v>12</v>
      </c>
      <c r="AC513" s="103" t="str">
        <f ca="1"/>
        <v>VIGENTE</v>
      </c>
      <c r="AD513" s="150">
        <f ca="1"/>
        <v>2.5000000000000001E-2</v>
      </c>
    </row>
    <row r="514" spans="1:30">
      <c r="A514" s="111" t="str">
        <f ca="1"/>
        <v>MACHACHI</v>
      </c>
      <c r="B514" s="111" t="str">
        <f ca="1"/>
        <v>BEBIDAS LACTEAS</v>
      </c>
      <c r="C514" s="111" t="str">
        <f ca="1"/>
        <v xml:space="preserve">Luis Armendariz                         </v>
      </c>
      <c r="D514" s="111" t="str">
        <f ca="1"/>
        <v>REGENERIS</v>
      </c>
      <c r="E514" s="111" t="str">
        <f ca="1"/>
        <v>REGENERIS REGULAR BOTELLA FAMILIAR</v>
      </c>
      <c r="F514" s="120" t="str">
        <f ca="1"/>
        <v>GUAYAQUIL</v>
      </c>
      <c r="G514" s="120">
        <f ca="1"/>
        <v>7711</v>
      </c>
      <c r="H514" s="120">
        <f ca="1"/>
        <v>1001</v>
      </c>
      <c r="I514" s="120" t="str">
        <f ca="1"/>
        <v>4894</v>
      </c>
      <c r="J514" s="120" t="str">
        <f ca="1"/>
        <v>RGN TZOS FTLLA BOT 1000G</v>
      </c>
      <c r="K514" s="121">
        <f ca="1"/>
        <v>108</v>
      </c>
      <c r="L514" s="122">
        <f ca="1"/>
        <v>1</v>
      </c>
      <c r="M514" s="120">
        <f ca="1"/>
        <v>1</v>
      </c>
      <c r="N514" s="121">
        <f ca="1"/>
        <v>45</v>
      </c>
      <c r="O514" s="123">
        <f ca="1"/>
        <v>45615</v>
      </c>
      <c r="P514" s="123" t="str">
        <f ca="1"/>
        <v>martes</v>
      </c>
      <c r="Q514" s="124">
        <f ca="1"/>
        <v>45610</v>
      </c>
      <c r="R514" s="124">
        <f ca="1"/>
        <v>45654</v>
      </c>
      <c r="S514" s="90">
        <f ca="1"/>
        <v>30</v>
      </c>
      <c r="T514" s="139">
        <f ca="1"/>
        <v>0.66666666666666663</v>
      </c>
      <c r="U514" s="131">
        <f ca="1"/>
        <v>108</v>
      </c>
      <c r="V514" s="120">
        <f ca="1"/>
        <v>108</v>
      </c>
      <c r="W514" s="140">
        <f ca="1"/>
        <v>5</v>
      </c>
      <c r="X514" s="139">
        <f ca="1"/>
        <v>0.88888888888888884</v>
      </c>
      <c r="Y514" s="141">
        <f ca="1"/>
        <v>1.3933150000000001</v>
      </c>
      <c r="Z514" s="141">
        <f ca="1"/>
        <v>1.3933150000000001</v>
      </c>
      <c r="AA514" s="142">
        <f ca="1"/>
        <v>150.47802000000001</v>
      </c>
      <c r="AB514" s="138">
        <f ca="1"/>
        <v>9</v>
      </c>
      <c r="AC514" s="103" t="str">
        <f ca="1"/>
        <v>VIGENTE</v>
      </c>
      <c r="AD514" s="150">
        <f ca="1"/>
        <v>0.108</v>
      </c>
    </row>
    <row r="515" spans="1:30">
      <c r="A515" s="111" t="str">
        <f ca="1"/>
        <v>MACHACHI</v>
      </c>
      <c r="B515" s="111" t="str">
        <f ca="1"/>
        <v>BEBIDAS LACTEAS</v>
      </c>
      <c r="C515" s="111" t="str">
        <f ca="1"/>
        <v xml:space="preserve">Luis Armendariz                         </v>
      </c>
      <c r="D515" s="111" t="str">
        <f ca="1"/>
        <v>REGENERIS</v>
      </c>
      <c r="E515" s="111" t="str">
        <f ca="1"/>
        <v>REGENERIS REGULAR BOTELLA FAMILIAR</v>
      </c>
      <c r="F515" s="120" t="str">
        <f ca="1"/>
        <v>GUAYAQUIL</v>
      </c>
      <c r="G515" s="120">
        <f ca="1"/>
        <v>7711</v>
      </c>
      <c r="H515" s="120">
        <f ca="1"/>
        <v>1001</v>
      </c>
      <c r="I515" s="120" t="str">
        <f ca="1"/>
        <v>4894</v>
      </c>
      <c r="J515" s="120" t="str">
        <f ca="1"/>
        <v>RGN TZOS FTLLA BOT 1000G</v>
      </c>
      <c r="K515" s="121">
        <f ca="1"/>
        <v>72</v>
      </c>
      <c r="L515" s="122">
        <f ca="1"/>
        <v>1</v>
      </c>
      <c r="M515" s="120">
        <f ca="1"/>
        <v>1</v>
      </c>
      <c r="N515" s="121">
        <f ca="1"/>
        <v>45</v>
      </c>
      <c r="O515" s="123">
        <f ca="1"/>
        <v>45616</v>
      </c>
      <c r="P515" s="123" t="str">
        <f ca="1"/>
        <v>miércoles</v>
      </c>
      <c r="Q515" s="124">
        <f ca="1"/>
        <v>45610</v>
      </c>
      <c r="R515" s="124">
        <f ca="1"/>
        <v>45654</v>
      </c>
      <c r="S515" s="90">
        <f ca="1"/>
        <v>30</v>
      </c>
      <c r="T515" s="139">
        <f ca="1"/>
        <v>0.66666666666666663</v>
      </c>
      <c r="U515" s="131">
        <f ca="1"/>
        <v>72</v>
      </c>
      <c r="V515" s="120">
        <f ca="1"/>
        <v>72</v>
      </c>
      <c r="W515" s="140">
        <f ca="1"/>
        <v>6</v>
      </c>
      <c r="X515" s="139">
        <f ca="1"/>
        <v>0.8666666666666667</v>
      </c>
      <c r="Y515" s="141">
        <f ca="1"/>
        <v>1.3933150000000001</v>
      </c>
      <c r="Z515" s="141">
        <f ca="1"/>
        <v>1.3933150000000001</v>
      </c>
      <c r="AA515" s="142">
        <f ca="1"/>
        <v>100.31868</v>
      </c>
      <c r="AB515" s="138">
        <f ca="1"/>
        <v>8</v>
      </c>
      <c r="AC515" s="103" t="str">
        <f ca="1"/>
        <v>VIGENTE</v>
      </c>
      <c r="AD515" s="150">
        <f ca="1"/>
        <v>7.1999999999999995E-2</v>
      </c>
    </row>
    <row r="516" spans="1:30">
      <c r="A516" s="111" t="str">
        <f ca="1"/>
        <v>MACHACHI</v>
      </c>
      <c r="B516" s="111" t="str">
        <f ca="1"/>
        <v>BEBIDAS LACTEAS</v>
      </c>
      <c r="C516" s="111" t="str">
        <f ca="1"/>
        <v xml:space="preserve">Luis Armendariz                         </v>
      </c>
      <c r="D516" s="111" t="str">
        <f ca="1"/>
        <v>REGENERIS</v>
      </c>
      <c r="E516" s="111" t="str">
        <f ca="1"/>
        <v>REGENERIS REGULAR BOTELLA FAMILIAR</v>
      </c>
      <c r="F516" s="120" t="str">
        <f ca="1"/>
        <v>GUAYAQUIL</v>
      </c>
      <c r="G516" s="120">
        <f ca="1"/>
        <v>7711</v>
      </c>
      <c r="H516" s="120">
        <f ca="1"/>
        <v>1001</v>
      </c>
      <c r="I516" s="120" t="str">
        <f ca="1"/>
        <v>4894</v>
      </c>
      <c r="J516" s="120" t="str">
        <f ca="1"/>
        <v>RGN TZOS FTLLA BOT 1000G</v>
      </c>
      <c r="K516" s="121">
        <f ca="1"/>
        <v>72</v>
      </c>
      <c r="L516" s="122">
        <f ca="1"/>
        <v>1</v>
      </c>
      <c r="M516" s="120">
        <f ca="1"/>
        <v>1</v>
      </c>
      <c r="N516" s="121">
        <f ca="1"/>
        <v>45</v>
      </c>
      <c r="O516" s="123">
        <f ca="1"/>
        <v>45617</v>
      </c>
      <c r="P516" s="123" t="str">
        <f ca="1"/>
        <v>jueves</v>
      </c>
      <c r="Q516" s="124">
        <f ca="1"/>
        <v>45615</v>
      </c>
      <c r="R516" s="124">
        <f ca="1"/>
        <v>45659</v>
      </c>
      <c r="S516" s="90">
        <f ca="1"/>
        <v>35</v>
      </c>
      <c r="T516" s="139">
        <f ca="1"/>
        <v>0.77777777777777779</v>
      </c>
      <c r="U516" s="131">
        <f ca="1"/>
        <v>36</v>
      </c>
      <c r="V516" s="120">
        <f ca="1"/>
        <v>36</v>
      </c>
      <c r="W516" s="140">
        <f ca="1"/>
        <v>2</v>
      </c>
      <c r="X516" s="139">
        <f ca="1"/>
        <v>0.9555555555555556</v>
      </c>
      <c r="Y516" s="141">
        <f ca="1"/>
        <v>1.3933150000000001</v>
      </c>
      <c r="Z516" s="141">
        <f ca="1"/>
        <v>1.3933150000000001</v>
      </c>
      <c r="AA516" s="142">
        <f ca="1"/>
        <v>50.15934</v>
      </c>
      <c r="AB516" s="138">
        <f ca="1"/>
        <v>7</v>
      </c>
      <c r="AC516" s="103" t="str">
        <f ca="1"/>
        <v>VIGENTE</v>
      </c>
      <c r="AD516" s="150">
        <f ca="1"/>
        <v>3.5999999999999997E-2</v>
      </c>
    </row>
    <row r="517" spans="1:30">
      <c r="A517" s="111" t="str">
        <f ca="1"/>
        <v>MACHACHI</v>
      </c>
      <c r="B517" s="111" t="str">
        <f ca="1"/>
        <v>BEBIDAS LACTEAS</v>
      </c>
      <c r="C517" s="111" t="str">
        <f ca="1"/>
        <v xml:space="preserve">Luis Armendariz                         </v>
      </c>
      <c r="D517" s="111" t="str">
        <f ca="1"/>
        <v>REGENERIS</v>
      </c>
      <c r="E517" s="111" t="str">
        <f ca="1"/>
        <v>REGENERIS REGULAR BOTELLA FAMILIAR</v>
      </c>
      <c r="F517" s="120" t="str">
        <f ca="1"/>
        <v>GUAYAQUIL</v>
      </c>
      <c r="G517" s="120">
        <f ca="1"/>
        <v>7711</v>
      </c>
      <c r="H517" s="120">
        <f ca="1"/>
        <v>1001</v>
      </c>
      <c r="I517" s="120" t="str">
        <f ca="1"/>
        <v>4895</v>
      </c>
      <c r="J517" s="120" t="str">
        <f ca="1"/>
        <v>RGN TZOS DZNO BOT 1000G</v>
      </c>
      <c r="K517" s="121">
        <f ca="1"/>
        <v>126</v>
      </c>
      <c r="L517" s="122">
        <f ca="1"/>
        <v>1</v>
      </c>
      <c r="M517" s="120">
        <f ca="1"/>
        <v>1</v>
      </c>
      <c r="N517" s="121">
        <f ca="1"/>
        <v>45</v>
      </c>
      <c r="O517" s="123">
        <f ca="1"/>
        <v>45597</v>
      </c>
      <c r="P517" s="123" t="str">
        <f ca="1"/>
        <v>viernes</v>
      </c>
      <c r="Q517" s="124">
        <f ca="1"/>
        <v>45588</v>
      </c>
      <c r="R517" s="124">
        <f ca="1"/>
        <v>45632</v>
      </c>
      <c r="S517" s="90">
        <f ca="1"/>
        <v>8</v>
      </c>
      <c r="T517" s="139">
        <f ca="1"/>
        <v>0.17777777777777778</v>
      </c>
      <c r="U517" s="131">
        <f ca="1"/>
        <v>51</v>
      </c>
      <c r="V517" s="120">
        <f ca="1"/>
        <v>51</v>
      </c>
      <c r="W517" s="140">
        <f ca="1"/>
        <v>9</v>
      </c>
      <c r="X517" s="139">
        <f ca="1"/>
        <v>0.8</v>
      </c>
      <c r="Y517" s="141">
        <f ca="1"/>
        <v>1.4128499999999997</v>
      </c>
      <c r="Z517" s="141">
        <f ca="1"/>
        <v>1.4128499999999997</v>
      </c>
      <c r="AA517" s="142">
        <f ca="1"/>
        <v>72.05534999999999</v>
      </c>
      <c r="AB517" s="138">
        <f ca="1"/>
        <v>27</v>
      </c>
      <c r="AC517" s="103" t="str">
        <f ca="1"/>
        <v>FECHA CORTA</v>
      </c>
      <c r="AD517" s="150">
        <f ca="1"/>
        <v>5.0999999999999997E-2</v>
      </c>
    </row>
    <row r="518" spans="1:30">
      <c r="A518" s="111" t="str">
        <f ca="1"/>
        <v>MACHACHI</v>
      </c>
      <c r="B518" s="111" t="str">
        <f ca="1"/>
        <v>BEBIDAS LACTEAS</v>
      </c>
      <c r="C518" s="111" t="str">
        <f ca="1"/>
        <v xml:space="preserve">Luis Armendariz                         </v>
      </c>
      <c r="D518" s="111" t="str">
        <f ca="1"/>
        <v>REGENERIS</v>
      </c>
      <c r="E518" s="111" t="str">
        <f ca="1"/>
        <v>REGENERIS REGULAR BOTELLA FAMILIAR</v>
      </c>
      <c r="F518" s="120" t="str">
        <f ca="1"/>
        <v>GUAYAQUIL</v>
      </c>
      <c r="G518" s="120">
        <f ca="1"/>
        <v>7711</v>
      </c>
      <c r="H518" s="120">
        <f ca="1"/>
        <v>1001</v>
      </c>
      <c r="I518" s="120" t="str">
        <f ca="1"/>
        <v>4895</v>
      </c>
      <c r="J518" s="120" t="str">
        <f ca="1"/>
        <v>RGN TZOS DZNO BOT 1000G</v>
      </c>
      <c r="K518" s="121">
        <f ca="1"/>
        <v>90</v>
      </c>
      <c r="L518" s="122">
        <f ca="1"/>
        <v>1</v>
      </c>
      <c r="M518" s="120">
        <f ca="1"/>
        <v>1</v>
      </c>
      <c r="N518" s="121">
        <f ca="1"/>
        <v>45</v>
      </c>
      <c r="O518" s="123">
        <f ca="1"/>
        <v>45615</v>
      </c>
      <c r="P518" s="123" t="str">
        <f ca="1"/>
        <v>martes</v>
      </c>
      <c r="Q518" s="124">
        <f ca="1"/>
        <v>45608</v>
      </c>
      <c r="R518" s="124">
        <f ca="1"/>
        <v>45652</v>
      </c>
      <c r="S518" s="90">
        <f ca="1"/>
        <v>28</v>
      </c>
      <c r="T518" s="139">
        <f ca="1"/>
        <v>0.62222222222222223</v>
      </c>
      <c r="U518" s="131">
        <f ca="1"/>
        <v>51</v>
      </c>
      <c r="V518" s="120">
        <f ca="1"/>
        <v>51</v>
      </c>
      <c r="W518" s="140">
        <f ca="1"/>
        <v>7</v>
      </c>
      <c r="X518" s="139">
        <f ca="1"/>
        <v>0.84444444444444444</v>
      </c>
      <c r="Y518" s="141">
        <f ca="1"/>
        <v>1.4128499999999997</v>
      </c>
      <c r="Z518" s="141">
        <f ca="1"/>
        <v>1.4128499999999997</v>
      </c>
      <c r="AA518" s="142">
        <f ca="1"/>
        <v>72.05534999999999</v>
      </c>
      <c r="AB518" s="138">
        <f ca="1"/>
        <v>9</v>
      </c>
      <c r="AC518" s="103" t="str">
        <f ca="1"/>
        <v>VIGENTE</v>
      </c>
      <c r="AD518" s="150">
        <f ca="1"/>
        <v>5.0999999999999997E-2</v>
      </c>
    </row>
    <row r="519" spans="1:30">
      <c r="A519" s="111" t="str">
        <f ca="1"/>
        <v>MACHACHI</v>
      </c>
      <c r="B519" s="111" t="str">
        <f ca="1"/>
        <v>BEBIDAS LACTEAS</v>
      </c>
      <c r="C519" s="111" t="str">
        <f ca="1"/>
        <v xml:space="preserve">Luis Armendariz                         </v>
      </c>
      <c r="D519" s="111" t="str">
        <f ca="1"/>
        <v>REGENERIS</v>
      </c>
      <c r="E519" s="111" t="str">
        <f ca="1"/>
        <v>REGENERIS REGULAR BOTELLA FAMILIAR</v>
      </c>
      <c r="F519" s="120" t="str">
        <f ca="1"/>
        <v>GUAYAQUIL</v>
      </c>
      <c r="G519" s="120">
        <f ca="1"/>
        <v>7711</v>
      </c>
      <c r="H519" s="120">
        <f ca="1"/>
        <v>1001</v>
      </c>
      <c r="I519" s="120" t="str">
        <f ca="1"/>
        <v>4895</v>
      </c>
      <c r="J519" s="120" t="str">
        <f ca="1"/>
        <v>RGN TZOS DZNO BOT 1000G</v>
      </c>
      <c r="K519" s="121">
        <f ca="1"/>
        <v>162</v>
      </c>
      <c r="L519" s="122">
        <f ca="1"/>
        <v>1</v>
      </c>
      <c r="M519" s="120">
        <f ca="1"/>
        <v>1</v>
      </c>
      <c r="N519" s="121">
        <f ca="1"/>
        <v>45</v>
      </c>
      <c r="O519" s="123">
        <f ca="1"/>
        <v>45616</v>
      </c>
      <c r="P519" s="123" t="str">
        <f ca="1"/>
        <v>miércoles</v>
      </c>
      <c r="Q519" s="124">
        <f ca="1"/>
        <v>45610</v>
      </c>
      <c r="R519" s="124">
        <f ca="1"/>
        <v>45654</v>
      </c>
      <c r="S519" s="90">
        <f ca="1"/>
        <v>30</v>
      </c>
      <c r="T519" s="139">
        <f ca="1"/>
        <v>0.66666666666666663</v>
      </c>
      <c r="U519" s="131">
        <f ca="1"/>
        <v>108</v>
      </c>
      <c r="V519" s="120">
        <f ca="1"/>
        <v>108</v>
      </c>
      <c r="W519" s="140">
        <f ca="1"/>
        <v>6</v>
      </c>
      <c r="X519" s="139">
        <f ca="1"/>
        <v>0.8666666666666667</v>
      </c>
      <c r="Y519" s="141">
        <f ca="1"/>
        <v>1.4128499999999997</v>
      </c>
      <c r="Z519" s="141">
        <f ca="1"/>
        <v>1.4128499999999997</v>
      </c>
      <c r="AA519" s="142">
        <f ca="1"/>
        <v>152.58779999999996</v>
      </c>
      <c r="AB519" s="138">
        <f ca="1"/>
        <v>8</v>
      </c>
      <c r="AC519" s="103" t="str">
        <f ca="1"/>
        <v>VIGENTE</v>
      </c>
      <c r="AD519" s="150">
        <f ca="1"/>
        <v>0.108</v>
      </c>
    </row>
    <row r="520" spans="1:30">
      <c r="A520" s="111" t="str">
        <f ca="1"/>
        <v>MACHACHI</v>
      </c>
      <c r="B520" s="111" t="str">
        <f ca="1"/>
        <v>BEBIDAS LACTEAS</v>
      </c>
      <c r="C520" s="111" t="str">
        <f ca="1"/>
        <v xml:space="preserve">Luis Armendariz                         </v>
      </c>
      <c r="D520" s="111" t="str">
        <f ca="1"/>
        <v>REGENERIS</v>
      </c>
      <c r="E520" s="111" t="str">
        <f ca="1"/>
        <v>REGENERIS REGULAR BOTELLA FAMILIAR</v>
      </c>
      <c r="F520" s="120" t="str">
        <f ca="1"/>
        <v>GUAYAQUIL</v>
      </c>
      <c r="G520" s="120">
        <f ca="1"/>
        <v>7711</v>
      </c>
      <c r="H520" s="120">
        <f ca="1"/>
        <v>1001</v>
      </c>
      <c r="I520" s="120" t="str">
        <f ca="1"/>
        <v>4895</v>
      </c>
      <c r="J520" s="120" t="str">
        <f ca="1"/>
        <v>RGN TZOS DZNO BOT 1000G</v>
      </c>
      <c r="K520" s="121">
        <f ca="1"/>
        <v>54</v>
      </c>
      <c r="L520" s="122">
        <f ca="1"/>
        <v>1</v>
      </c>
      <c r="M520" s="120">
        <f ca="1"/>
        <v>1</v>
      </c>
      <c r="N520" s="121">
        <f ca="1"/>
        <v>45</v>
      </c>
      <c r="O520" s="123">
        <f ca="1"/>
        <v>45617</v>
      </c>
      <c r="P520" s="123" t="str">
        <f ca="1"/>
        <v>jueves</v>
      </c>
      <c r="Q520" s="124">
        <f ca="1"/>
        <v>45610</v>
      </c>
      <c r="R520" s="124">
        <f ca="1"/>
        <v>45654</v>
      </c>
      <c r="S520" s="90">
        <f ca="1"/>
        <v>30</v>
      </c>
      <c r="T520" s="139">
        <f ca="1"/>
        <v>0.66666666666666663</v>
      </c>
      <c r="U520" s="131">
        <f ca="1"/>
        <v>54</v>
      </c>
      <c r="V520" s="120">
        <f ca="1"/>
        <v>54</v>
      </c>
      <c r="W520" s="140">
        <f ca="1"/>
        <v>7</v>
      </c>
      <c r="X520" s="139">
        <f ca="1"/>
        <v>0.84444444444444444</v>
      </c>
      <c r="Y520" s="141">
        <f ca="1"/>
        <v>1.4128499999999997</v>
      </c>
      <c r="Z520" s="141">
        <f ca="1"/>
        <v>1.4128499999999997</v>
      </c>
      <c r="AA520" s="142">
        <f ca="1"/>
        <v>76.293899999999979</v>
      </c>
      <c r="AB520" s="138">
        <f ca="1"/>
        <v>7</v>
      </c>
      <c r="AC520" s="103" t="str">
        <f ca="1"/>
        <v>VIGENTE</v>
      </c>
      <c r="AD520" s="150">
        <f ca="1"/>
        <v>5.3999999999999999E-2</v>
      </c>
    </row>
    <row r="521" spans="1:30">
      <c r="A521" s="111" t="str">
        <f ca="1"/>
        <v>MACHACHI</v>
      </c>
      <c r="B521" s="111" t="str">
        <f ca="1"/>
        <v>BEBIDAS LACTEAS</v>
      </c>
      <c r="C521" s="111" t="str">
        <f ca="1"/>
        <v xml:space="preserve">Luis Armendariz                         </v>
      </c>
      <c r="D521" s="111" t="str">
        <f ca="1"/>
        <v>REGENERIS</v>
      </c>
      <c r="E521" s="111" t="str">
        <f ca="1"/>
        <v>REGENERIS REGULAR VASO</v>
      </c>
      <c r="F521" s="120" t="str">
        <f ca="1"/>
        <v>GUAYAQUIL</v>
      </c>
      <c r="G521" s="120">
        <f ca="1"/>
        <v>7711</v>
      </c>
      <c r="H521" s="120">
        <f ca="1"/>
        <v>1001</v>
      </c>
      <c r="I521" s="120" t="str">
        <f ca="1"/>
        <v>4920</v>
      </c>
      <c r="J521" s="120" t="str">
        <f ca="1"/>
        <v>RGN TZOS DZNO VASO 150G</v>
      </c>
      <c r="K521" s="121">
        <f ca="1"/>
        <v>108</v>
      </c>
      <c r="L521" s="122">
        <f ca="1"/>
        <v>1</v>
      </c>
      <c r="M521" s="120">
        <f ca="1"/>
        <v>0.15</v>
      </c>
      <c r="N521" s="121">
        <f ca="1"/>
        <v>45</v>
      </c>
      <c r="O521" s="123">
        <f ca="1"/>
        <v>45609</v>
      </c>
      <c r="P521" s="123" t="str">
        <f ca="1"/>
        <v>miércoles</v>
      </c>
      <c r="Q521" s="124">
        <f ca="1"/>
        <v>45601</v>
      </c>
      <c r="R521" s="124">
        <f ca="1"/>
        <v>45645</v>
      </c>
      <c r="S521" s="90">
        <f ca="1"/>
        <v>21</v>
      </c>
      <c r="T521" s="139">
        <f ca="1"/>
        <v>0.46666666666666667</v>
      </c>
      <c r="U521" s="131">
        <f ca="1"/>
        <v>31</v>
      </c>
      <c r="V521" s="120">
        <f ca="1"/>
        <v>4.6499999999999995</v>
      </c>
      <c r="W521" s="140">
        <f ca="1"/>
        <v>8</v>
      </c>
      <c r="X521" s="139">
        <f ca="1"/>
        <v>0.82222222222222219</v>
      </c>
      <c r="Y521" s="141">
        <f ca="1"/>
        <v>0.231765</v>
      </c>
      <c r="Z521" s="141">
        <f ca="1"/>
        <v>0.231765</v>
      </c>
      <c r="AA521" s="142">
        <f ca="1"/>
        <v>1.0777072499999998</v>
      </c>
      <c r="AB521" s="138">
        <f ca="1"/>
        <v>15</v>
      </c>
      <c r="AC521" s="103" t="str">
        <f ca="1"/>
        <v>FECHA CORTA</v>
      </c>
      <c r="AD521" s="150">
        <f ca="1"/>
        <v>4.6499999999999996E-3</v>
      </c>
    </row>
    <row r="522" spans="1:30">
      <c r="A522" s="111" t="str">
        <f ca="1"/>
        <v>MACHACHI</v>
      </c>
      <c r="B522" s="111" t="str">
        <f ca="1"/>
        <v>BEBIDAS LACTEAS</v>
      </c>
      <c r="C522" s="111" t="str">
        <f ca="1"/>
        <v xml:space="preserve">Luis Armendariz                         </v>
      </c>
      <c r="D522" s="111" t="str">
        <f ca="1"/>
        <v>REGENERIS</v>
      </c>
      <c r="E522" s="111" t="str">
        <f ca="1"/>
        <v>REGENERIS REGULAR VASO</v>
      </c>
      <c r="F522" s="120" t="str">
        <f ca="1"/>
        <v>GUAYAQUIL</v>
      </c>
      <c r="G522" s="120">
        <f ca="1"/>
        <v>7711</v>
      </c>
      <c r="H522" s="120">
        <f ca="1"/>
        <v>1001</v>
      </c>
      <c r="I522" s="120" t="str">
        <f ca="1"/>
        <v>4920</v>
      </c>
      <c r="J522" s="120" t="str">
        <f ca="1"/>
        <v>RGN TZOS DZNO VASO 150G</v>
      </c>
      <c r="K522" s="121">
        <f ca="1"/>
        <v>108</v>
      </c>
      <c r="L522" s="122">
        <f ca="1"/>
        <v>1</v>
      </c>
      <c r="M522" s="120">
        <f ca="1"/>
        <v>0.15</v>
      </c>
      <c r="N522" s="121">
        <f ca="1"/>
        <v>45</v>
      </c>
      <c r="O522" s="123">
        <f ca="1"/>
        <v>45612</v>
      </c>
      <c r="P522" s="123" t="str">
        <f ca="1"/>
        <v>sábado</v>
      </c>
      <c r="Q522" s="124">
        <f ca="1"/>
        <v>45604</v>
      </c>
      <c r="R522" s="124">
        <f ca="1"/>
        <v>45648</v>
      </c>
      <c r="S522" s="90">
        <f ca="1"/>
        <v>24</v>
      </c>
      <c r="T522" s="139">
        <f ca="1"/>
        <v>0.53333333333333333</v>
      </c>
      <c r="U522" s="131">
        <f ca="1"/>
        <v>108</v>
      </c>
      <c r="V522" s="120">
        <f ca="1"/>
        <v>16.2</v>
      </c>
      <c r="W522" s="140">
        <f ca="1"/>
        <v>8</v>
      </c>
      <c r="X522" s="139">
        <f ca="1"/>
        <v>0.82222222222222219</v>
      </c>
      <c r="Y522" s="141">
        <f ca="1"/>
        <v>0.231765</v>
      </c>
      <c r="Z522" s="141">
        <f ca="1"/>
        <v>0.231765</v>
      </c>
      <c r="AA522" s="142">
        <f ca="1"/>
        <v>3.7545929999999998</v>
      </c>
      <c r="AB522" s="138">
        <f ca="1"/>
        <v>12</v>
      </c>
      <c r="AC522" s="103" t="str">
        <f ca="1"/>
        <v>PROXIMOS FECHA CORTA</v>
      </c>
      <c r="AD522" s="150">
        <f ca="1"/>
        <v>1.6199999999999999E-2</v>
      </c>
    </row>
    <row r="523" spans="1:30">
      <c r="A523" s="111" t="str">
        <f ca="1"/>
        <v>MACHACHI</v>
      </c>
      <c r="B523" s="111" t="str">
        <f ca="1"/>
        <v>BEBIDAS LACTEAS</v>
      </c>
      <c r="C523" s="111" t="str">
        <f ca="1"/>
        <v xml:space="preserve">Luis Armendariz                         </v>
      </c>
      <c r="D523" s="111" t="str">
        <f ca="1"/>
        <v>REGENERIS</v>
      </c>
      <c r="E523" s="111" t="str">
        <f ca="1"/>
        <v>REGENERIS REGULAR VASO</v>
      </c>
      <c r="F523" s="120" t="str">
        <f ca="1"/>
        <v>GUAYAQUIL</v>
      </c>
      <c r="G523" s="120">
        <f ca="1"/>
        <v>7711</v>
      </c>
      <c r="H523" s="120">
        <f ca="1"/>
        <v>1001</v>
      </c>
      <c r="I523" s="120" t="str">
        <f ca="1"/>
        <v>4920</v>
      </c>
      <c r="J523" s="120" t="str">
        <f ca="1"/>
        <v>RGN TZOS DZNO VASO 150G</v>
      </c>
      <c r="K523" s="121">
        <f ca="1"/>
        <v>108</v>
      </c>
      <c r="L523" s="122">
        <f ca="1"/>
        <v>1</v>
      </c>
      <c r="M523" s="120">
        <f ca="1"/>
        <v>0.15</v>
      </c>
      <c r="N523" s="121">
        <f ca="1"/>
        <v>45</v>
      </c>
      <c r="O523" s="123">
        <f ca="1"/>
        <v>45611</v>
      </c>
      <c r="P523" s="123" t="str">
        <f ca="1"/>
        <v>viernes</v>
      </c>
      <c r="Q523" s="124">
        <f ca="1"/>
        <v>45604</v>
      </c>
      <c r="R523" s="124">
        <f ca="1"/>
        <v>45648</v>
      </c>
      <c r="S523" s="90">
        <f ca="1"/>
        <v>24</v>
      </c>
      <c r="T523" s="139">
        <f ca="1"/>
        <v>0.53333333333333333</v>
      </c>
      <c r="U523" s="131">
        <f ca="1"/>
        <v>96</v>
      </c>
      <c r="V523" s="120">
        <f ca="1"/>
        <v>14.399999999999999</v>
      </c>
      <c r="W523" s="140">
        <f ca="1"/>
        <v>7</v>
      </c>
      <c r="X523" s="139">
        <f ca="1"/>
        <v>0.84444444444444444</v>
      </c>
      <c r="Y523" s="141">
        <f ca="1"/>
        <v>0.231765</v>
      </c>
      <c r="Z523" s="141">
        <f ca="1"/>
        <v>0.231765</v>
      </c>
      <c r="AA523" s="142">
        <f ca="1"/>
        <v>3.3374159999999997</v>
      </c>
      <c r="AB523" s="138">
        <f ca="1"/>
        <v>13</v>
      </c>
      <c r="AC523" s="103" t="str">
        <f ca="1"/>
        <v>PROXIMOS FECHA CORTA</v>
      </c>
      <c r="AD523" s="150">
        <f ca="1"/>
        <v>1.4399999999999998E-2</v>
      </c>
    </row>
    <row r="524" spans="1:30">
      <c r="A524" s="111" t="str">
        <f ca="1"/>
        <v>MACHACHI</v>
      </c>
      <c r="B524" s="111" t="str">
        <f ca="1"/>
        <v>BEBIDAS LACTEAS</v>
      </c>
      <c r="C524" s="111" t="str">
        <f ca="1"/>
        <v xml:space="preserve">Luis Armendariz                         </v>
      </c>
      <c r="D524" s="111" t="str">
        <f ca="1"/>
        <v>REGENERIS</v>
      </c>
      <c r="E524" s="111" t="str">
        <f ca="1"/>
        <v>REGENERIS REGULAR VASO</v>
      </c>
      <c r="F524" s="120" t="str">
        <f ca="1"/>
        <v>GUAYAQUIL</v>
      </c>
      <c r="G524" s="120">
        <f ca="1"/>
        <v>7711</v>
      </c>
      <c r="H524" s="120">
        <f ca="1"/>
        <v>1001</v>
      </c>
      <c r="I524" s="120" t="str">
        <f ca="1"/>
        <v>4920</v>
      </c>
      <c r="J524" s="120" t="str">
        <f ca="1"/>
        <v>RGN TZOS DZNO VASO 150G</v>
      </c>
      <c r="K524" s="121">
        <f ca="1"/>
        <v>108</v>
      </c>
      <c r="L524" s="122">
        <f ca="1"/>
        <v>1</v>
      </c>
      <c r="M524" s="120">
        <f ca="1"/>
        <v>0.15</v>
      </c>
      <c r="N524" s="121">
        <f ca="1"/>
        <v>45</v>
      </c>
      <c r="O524" s="123">
        <f ca="1"/>
        <v>45610</v>
      </c>
      <c r="P524" s="123" t="str">
        <f ca="1"/>
        <v>jueves</v>
      </c>
      <c r="Q524" s="124">
        <f ca="1"/>
        <v>45601</v>
      </c>
      <c r="R524" s="124">
        <f ca="1"/>
        <v>45645</v>
      </c>
      <c r="S524" s="90">
        <f ca="1"/>
        <v>21</v>
      </c>
      <c r="T524" s="139">
        <f ca="1"/>
        <v>0.46666666666666667</v>
      </c>
      <c r="U524" s="131">
        <f ca="1"/>
        <v>108</v>
      </c>
      <c r="V524" s="120">
        <f ca="1"/>
        <v>16.2</v>
      </c>
      <c r="W524" s="140">
        <f ca="1"/>
        <v>9</v>
      </c>
      <c r="X524" s="139">
        <f ca="1"/>
        <v>0.8</v>
      </c>
      <c r="Y524" s="141">
        <f ca="1"/>
        <v>0.231765</v>
      </c>
      <c r="Z524" s="141">
        <f ca="1"/>
        <v>0.231765</v>
      </c>
      <c r="AA524" s="142">
        <f ca="1"/>
        <v>3.7545929999999998</v>
      </c>
      <c r="AB524" s="138">
        <f ca="1"/>
        <v>14</v>
      </c>
      <c r="AC524" s="103" t="str">
        <f ca="1"/>
        <v>FECHA CORTA</v>
      </c>
      <c r="AD524" s="150">
        <f ca="1"/>
        <v>1.6199999999999999E-2</v>
      </c>
    </row>
    <row r="525" spans="1:30">
      <c r="A525" s="111" t="str">
        <f ca="1"/>
        <v>MACHACHI</v>
      </c>
      <c r="B525" s="111" t="str">
        <f ca="1"/>
        <v>BEBIDAS LACTEAS</v>
      </c>
      <c r="C525" s="111" t="str">
        <f ca="1"/>
        <v xml:space="preserve">Luis Armendariz                         </v>
      </c>
      <c r="D525" s="111" t="str">
        <f ca="1"/>
        <v>REGENERIS</v>
      </c>
      <c r="E525" s="111" t="str">
        <f ca="1"/>
        <v>REGENERIS REGULAR VASO</v>
      </c>
      <c r="F525" s="120" t="str">
        <f ca="1"/>
        <v>GUAYAQUIL</v>
      </c>
      <c r="G525" s="120">
        <f ca="1"/>
        <v>7711</v>
      </c>
      <c r="H525" s="120">
        <f ca="1"/>
        <v>1001</v>
      </c>
      <c r="I525" s="120" t="str">
        <f ca="1"/>
        <v>4920</v>
      </c>
      <c r="J525" s="120" t="str">
        <f ca="1"/>
        <v>RGN TZOS DZNO VASO 150G</v>
      </c>
      <c r="K525" s="121">
        <f ca="1"/>
        <v>216</v>
      </c>
      <c r="L525" s="122">
        <f ca="1"/>
        <v>1</v>
      </c>
      <c r="M525" s="120">
        <f ca="1"/>
        <v>0.15</v>
      </c>
      <c r="N525" s="121">
        <f ca="1"/>
        <v>45</v>
      </c>
      <c r="O525" s="123">
        <f ca="1"/>
        <v>45615</v>
      </c>
      <c r="P525" s="123" t="str">
        <f ca="1"/>
        <v>martes</v>
      </c>
      <c r="Q525" s="124">
        <f ca="1"/>
        <v>45604</v>
      </c>
      <c r="R525" s="124">
        <f ca="1"/>
        <v>45648</v>
      </c>
      <c r="S525" s="90">
        <f ca="1"/>
        <v>24</v>
      </c>
      <c r="T525" s="139">
        <f ca="1"/>
        <v>0.53333333333333333</v>
      </c>
      <c r="U525" s="131">
        <f ca="1"/>
        <v>216</v>
      </c>
      <c r="V525" s="120">
        <f ca="1"/>
        <v>32.4</v>
      </c>
      <c r="W525" s="140">
        <f ca="1"/>
        <v>11</v>
      </c>
      <c r="X525" s="139">
        <f ca="1"/>
        <v>0.75555555555555554</v>
      </c>
      <c r="Y525" s="141">
        <f ca="1"/>
        <v>0.231765</v>
      </c>
      <c r="Z525" s="141">
        <f ca="1"/>
        <v>0.231765</v>
      </c>
      <c r="AA525" s="142">
        <f ca="1"/>
        <v>7.5091859999999997</v>
      </c>
      <c r="AB525" s="138">
        <f ca="1"/>
        <v>9</v>
      </c>
      <c r="AC525" s="103" t="str">
        <f ca="1"/>
        <v>PROXIMOS FECHA CORTA</v>
      </c>
      <c r="AD525" s="150">
        <f ca="1"/>
        <v>3.2399999999999998E-2</v>
      </c>
    </row>
    <row r="526" spans="1:30">
      <c r="A526" s="111" t="str">
        <f ca="1"/>
        <v>MACHACHI</v>
      </c>
      <c r="B526" s="111" t="str">
        <f ca="1"/>
        <v>BEBIDAS LACTEAS</v>
      </c>
      <c r="C526" s="111" t="str">
        <f ca="1"/>
        <v xml:space="preserve">Luis Armendariz                         </v>
      </c>
      <c r="D526" s="111" t="str">
        <f ca="1"/>
        <v>REGENERIS</v>
      </c>
      <c r="E526" s="111" t="str">
        <f ca="1"/>
        <v>REGENERIS REGULAR VASO</v>
      </c>
      <c r="F526" s="120" t="str">
        <f ca="1"/>
        <v>GUAYAQUIL</v>
      </c>
      <c r="G526" s="120">
        <f ca="1"/>
        <v>7711</v>
      </c>
      <c r="H526" s="120">
        <f ca="1"/>
        <v>1001</v>
      </c>
      <c r="I526" s="120" t="str">
        <f ca="1"/>
        <v>4921</v>
      </c>
      <c r="J526" s="120" t="str">
        <f ca="1"/>
        <v>RGN TZOS FTLLA VASO 150G</v>
      </c>
      <c r="K526" s="121">
        <f ca="1"/>
        <v>216</v>
      </c>
      <c r="L526" s="122">
        <f ca="1"/>
        <v>1</v>
      </c>
      <c r="M526" s="120">
        <f ca="1"/>
        <v>0.15</v>
      </c>
      <c r="N526" s="121">
        <f ca="1"/>
        <v>45</v>
      </c>
      <c r="O526" s="123">
        <f ca="1"/>
        <v>45603</v>
      </c>
      <c r="P526" s="123" t="str">
        <f ca="1"/>
        <v>jueves</v>
      </c>
      <c r="Q526" s="124">
        <f ca="1"/>
        <v>45595</v>
      </c>
      <c r="R526" s="124">
        <f ca="1"/>
        <v>45639</v>
      </c>
      <c r="S526" s="90">
        <f ca="1"/>
        <v>15</v>
      </c>
      <c r="T526" s="139">
        <f ca="1"/>
        <v>0.33333333333333331</v>
      </c>
      <c r="U526" s="131">
        <f ca="1"/>
        <v>155</v>
      </c>
      <c r="V526" s="120">
        <f ca="1"/>
        <v>23.25</v>
      </c>
      <c r="W526" s="140">
        <f ca="1"/>
        <v>8</v>
      </c>
      <c r="X526" s="139">
        <f ca="1"/>
        <v>0.82222222222222219</v>
      </c>
      <c r="Y526" s="141">
        <f ca="1"/>
        <v>0.234985</v>
      </c>
      <c r="Z526" s="141">
        <f ca="1"/>
        <v>0.234985</v>
      </c>
      <c r="AA526" s="142">
        <f ca="1"/>
        <v>5.4634012500000004</v>
      </c>
      <c r="AB526" s="138">
        <f ca="1"/>
        <v>21</v>
      </c>
      <c r="AC526" s="103" t="str">
        <f ca="1"/>
        <v>FECHA CORTA</v>
      </c>
      <c r="AD526" s="150">
        <f ca="1"/>
        <v>2.325E-2</v>
      </c>
    </row>
    <row r="527" spans="1:30">
      <c r="A527" s="111" t="str">
        <f ca="1"/>
        <v>MACHACHI</v>
      </c>
      <c r="B527" s="111" t="str">
        <f ca="1"/>
        <v>BEBIDAS LACTEAS</v>
      </c>
      <c r="C527" s="111" t="str">
        <f ca="1"/>
        <v xml:space="preserve">Luis Armendariz                         </v>
      </c>
      <c r="D527" s="111" t="str">
        <f ca="1"/>
        <v>REGENERIS</v>
      </c>
      <c r="E527" s="111" t="str">
        <f ca="1"/>
        <v>REGENERIS REGULAR VASO</v>
      </c>
      <c r="F527" s="120" t="str">
        <f ca="1"/>
        <v>GUAYAQUIL</v>
      </c>
      <c r="G527" s="120">
        <f ca="1"/>
        <v>7711</v>
      </c>
      <c r="H527" s="120">
        <f ca="1"/>
        <v>1001</v>
      </c>
      <c r="I527" s="120" t="str">
        <f ca="1"/>
        <v>4921</v>
      </c>
      <c r="J527" s="120" t="str">
        <f ca="1"/>
        <v>RGN TZOS FTLLA VASO 150G</v>
      </c>
      <c r="K527" s="121">
        <f ca="1"/>
        <v>108</v>
      </c>
      <c r="L527" s="122">
        <f ca="1"/>
        <v>1</v>
      </c>
      <c r="M527" s="120">
        <f ca="1"/>
        <v>0.15</v>
      </c>
      <c r="N527" s="121">
        <f ca="1"/>
        <v>45</v>
      </c>
      <c r="O527" s="123">
        <f ca="1"/>
        <v>45605</v>
      </c>
      <c r="P527" s="123" t="str">
        <f ca="1"/>
        <v>sábado</v>
      </c>
      <c r="Q527" s="124">
        <f ca="1"/>
        <v>45600</v>
      </c>
      <c r="R527" s="124">
        <f ca="1"/>
        <v>45644</v>
      </c>
      <c r="S527" s="90">
        <f ca="1"/>
        <v>20</v>
      </c>
      <c r="T527" s="139">
        <f ca="1"/>
        <v>0.44444444444444442</v>
      </c>
      <c r="U527" s="131">
        <f ca="1"/>
        <v>110</v>
      </c>
      <c r="V527" s="120">
        <f ca="1"/>
        <v>16.5</v>
      </c>
      <c r="W527" s="140">
        <f ca="1"/>
        <v>5</v>
      </c>
      <c r="X527" s="139">
        <f ca="1"/>
        <v>0.88888888888888884</v>
      </c>
      <c r="Y527" s="141">
        <f ca="1"/>
        <v>0.234985</v>
      </c>
      <c r="Z527" s="141">
        <f ca="1"/>
        <v>0.234985</v>
      </c>
      <c r="AA527" s="142">
        <f ca="1"/>
        <v>3.8772525</v>
      </c>
      <c r="AB527" s="138">
        <f ca="1"/>
        <v>19</v>
      </c>
      <c r="AC527" s="103" t="str">
        <f ca="1"/>
        <v>FECHA CORTA</v>
      </c>
      <c r="AD527" s="150">
        <f ca="1"/>
        <v>1.6500000000000001E-2</v>
      </c>
    </row>
    <row r="528" spans="1:30">
      <c r="A528" s="111" t="str">
        <f ca="1"/>
        <v>MACHACHI</v>
      </c>
      <c r="B528" s="111" t="str">
        <f ca="1"/>
        <v>BEBIDAS LACTEAS</v>
      </c>
      <c r="C528" s="111" t="str">
        <f ca="1"/>
        <v xml:space="preserve">Luis Armendariz                         </v>
      </c>
      <c r="D528" s="111" t="str">
        <f ca="1"/>
        <v>REGENERIS</v>
      </c>
      <c r="E528" s="111" t="str">
        <f ca="1"/>
        <v>REGENERIS REGULAR VASO</v>
      </c>
      <c r="F528" s="120" t="str">
        <f ca="1"/>
        <v>GUAYAQUIL</v>
      </c>
      <c r="G528" s="120">
        <f ca="1"/>
        <v>7711</v>
      </c>
      <c r="H528" s="120">
        <f ca="1"/>
        <v>1001</v>
      </c>
      <c r="I528" s="120" t="str">
        <f ca="1"/>
        <v>4921</v>
      </c>
      <c r="J528" s="120" t="str">
        <f ca="1"/>
        <v>RGN TZOS FTLLA VASO 150G</v>
      </c>
      <c r="K528" s="121">
        <f ca="1"/>
        <v>108</v>
      </c>
      <c r="L528" s="122">
        <f ca="1"/>
        <v>1</v>
      </c>
      <c r="M528" s="120">
        <f ca="1"/>
        <v>0.15</v>
      </c>
      <c r="N528" s="121">
        <f ca="1"/>
        <v>45</v>
      </c>
      <c r="O528" s="123">
        <f ca="1"/>
        <v>45608</v>
      </c>
      <c r="P528" s="123" t="str">
        <f ca="1"/>
        <v>martes</v>
      </c>
      <c r="Q528" s="124">
        <f ca="1"/>
        <v>45596</v>
      </c>
      <c r="R528" s="124">
        <f ca="1"/>
        <v>45640</v>
      </c>
      <c r="S528" s="90">
        <f ca="1"/>
        <v>16</v>
      </c>
      <c r="T528" s="139">
        <f ca="1"/>
        <v>0.35555555555555557</v>
      </c>
      <c r="U528" s="131">
        <f ca="1"/>
        <v>73</v>
      </c>
      <c r="V528" s="120">
        <f ca="1"/>
        <v>10.95</v>
      </c>
      <c r="W528" s="140">
        <f ca="1"/>
        <v>12</v>
      </c>
      <c r="X528" s="139">
        <f ca="1"/>
        <v>0.73333333333333339</v>
      </c>
      <c r="Y528" s="141">
        <f ca="1"/>
        <v>0.234985</v>
      </c>
      <c r="Z528" s="141">
        <f ca="1"/>
        <v>0.234985</v>
      </c>
      <c r="AA528" s="142">
        <f ca="1"/>
        <v>2.5730857499999997</v>
      </c>
      <c r="AB528" s="138">
        <f ca="1"/>
        <v>16</v>
      </c>
      <c r="AC528" s="103" t="str">
        <f ca="1"/>
        <v>FECHA CORTA</v>
      </c>
      <c r="AD528" s="150">
        <f ca="1"/>
        <v>1.095E-2</v>
      </c>
    </row>
    <row r="529" spans="1:30">
      <c r="A529" s="111" t="str">
        <f ca="1"/>
        <v>MACHACHI</v>
      </c>
      <c r="B529" s="111" t="str">
        <f ca="1"/>
        <v>BEBIDAS LACTEAS</v>
      </c>
      <c r="C529" s="111" t="str">
        <f ca="1"/>
        <v xml:space="preserve">Luis Armendariz                         </v>
      </c>
      <c r="D529" s="111" t="str">
        <f ca="1"/>
        <v>REGENERIS</v>
      </c>
      <c r="E529" s="111" t="str">
        <f ca="1"/>
        <v>REGENERIS REGULAR VASO</v>
      </c>
      <c r="F529" s="120" t="str">
        <f ca="1"/>
        <v>GUAYAQUIL</v>
      </c>
      <c r="G529" s="120">
        <f ca="1"/>
        <v>7711</v>
      </c>
      <c r="H529" s="120">
        <f ca="1"/>
        <v>1001</v>
      </c>
      <c r="I529" s="120" t="str">
        <f ca="1"/>
        <v>4921</v>
      </c>
      <c r="J529" s="120" t="str">
        <f ca="1"/>
        <v>RGN TZOS FTLLA VASO 150G</v>
      </c>
      <c r="K529" s="121">
        <f ca="1"/>
        <v>108</v>
      </c>
      <c r="L529" s="122">
        <f ca="1"/>
        <v>1</v>
      </c>
      <c r="M529" s="120">
        <f ca="1"/>
        <v>0.15</v>
      </c>
      <c r="N529" s="121">
        <f ca="1"/>
        <v>45</v>
      </c>
      <c r="O529" s="123">
        <f ca="1"/>
        <v>45612</v>
      </c>
      <c r="P529" s="123" t="str">
        <f ca="1"/>
        <v>sábado</v>
      </c>
      <c r="Q529" s="124">
        <f ca="1"/>
        <v>45601</v>
      </c>
      <c r="R529" s="124">
        <f ca="1"/>
        <v>45645</v>
      </c>
      <c r="S529" s="90">
        <f ca="1"/>
        <v>21</v>
      </c>
      <c r="T529" s="139">
        <f ca="1"/>
        <v>0.46666666666666667</v>
      </c>
      <c r="U529" s="131">
        <f ca="1"/>
        <v>108</v>
      </c>
      <c r="V529" s="120">
        <f ca="1"/>
        <v>16.2</v>
      </c>
      <c r="W529" s="140">
        <f ca="1"/>
        <v>11</v>
      </c>
      <c r="X529" s="139">
        <f ca="1"/>
        <v>0.75555555555555554</v>
      </c>
      <c r="Y529" s="141">
        <f ca="1"/>
        <v>0.234985</v>
      </c>
      <c r="Z529" s="141">
        <f ca="1"/>
        <v>0.234985</v>
      </c>
      <c r="AA529" s="142">
        <f ca="1"/>
        <v>3.8067569999999997</v>
      </c>
      <c r="AB529" s="138">
        <f ca="1"/>
        <v>12</v>
      </c>
      <c r="AC529" s="103" t="str">
        <f ca="1"/>
        <v>FECHA CORTA</v>
      </c>
      <c r="AD529" s="150">
        <f ca="1"/>
        <v>1.6199999999999999E-2</v>
      </c>
    </row>
    <row r="530" spans="1:30">
      <c r="A530" s="111" t="str">
        <f ca="1"/>
        <v>MACHACHI</v>
      </c>
      <c r="B530" s="111" t="str">
        <f ca="1"/>
        <v>BEBIDAS LACTEAS</v>
      </c>
      <c r="C530" s="111" t="str">
        <f ca="1"/>
        <v xml:space="preserve">Luis Armendariz                         </v>
      </c>
      <c r="D530" s="111" t="str">
        <f ca="1"/>
        <v>REGENERIS</v>
      </c>
      <c r="E530" s="111" t="str">
        <f ca="1"/>
        <v>REGENERIS REGULAR VASO</v>
      </c>
      <c r="F530" s="120" t="str">
        <f ca="1"/>
        <v>GUAYAQUIL</v>
      </c>
      <c r="G530" s="120">
        <f ca="1"/>
        <v>7711</v>
      </c>
      <c r="H530" s="120">
        <f ca="1"/>
        <v>1001</v>
      </c>
      <c r="I530" s="120" t="str">
        <f ca="1"/>
        <v>4921</v>
      </c>
      <c r="J530" s="120" t="str">
        <f ca="1"/>
        <v>RGN TZOS FTLLA VASO 150G</v>
      </c>
      <c r="K530" s="121">
        <f ca="1"/>
        <v>216</v>
      </c>
      <c r="L530" s="122">
        <f ca="1"/>
        <v>1</v>
      </c>
      <c r="M530" s="120">
        <f ca="1"/>
        <v>0.15</v>
      </c>
      <c r="N530" s="121">
        <f ca="1"/>
        <v>45</v>
      </c>
      <c r="O530" s="123">
        <f ca="1"/>
        <v>45611</v>
      </c>
      <c r="P530" s="123" t="str">
        <f ca="1"/>
        <v>viernes</v>
      </c>
      <c r="Q530" s="124">
        <f ca="1"/>
        <v>45601</v>
      </c>
      <c r="R530" s="124">
        <f ca="1"/>
        <v>45645</v>
      </c>
      <c r="S530" s="90">
        <f ca="1"/>
        <v>21</v>
      </c>
      <c r="T530" s="139">
        <f ca="1"/>
        <v>0.46666666666666667</v>
      </c>
      <c r="U530" s="131">
        <f ca="1"/>
        <v>192</v>
      </c>
      <c r="V530" s="120">
        <f ca="1"/>
        <v>28.799999999999997</v>
      </c>
      <c r="W530" s="140">
        <f ca="1"/>
        <v>10</v>
      </c>
      <c r="X530" s="139">
        <f ca="1"/>
        <v>0.77777777777777779</v>
      </c>
      <c r="Y530" s="141">
        <f ca="1"/>
        <v>0.234985</v>
      </c>
      <c r="Z530" s="141">
        <f ca="1"/>
        <v>0.234985</v>
      </c>
      <c r="AA530" s="142">
        <f ca="1"/>
        <v>6.7675679999999989</v>
      </c>
      <c r="AB530" s="138">
        <f ca="1"/>
        <v>13</v>
      </c>
      <c r="AC530" s="103" t="str">
        <f ca="1"/>
        <v>FECHA CORTA</v>
      </c>
      <c r="AD530" s="150">
        <f ca="1"/>
        <v>2.8799999999999996E-2</v>
      </c>
    </row>
    <row r="531" spans="1:30">
      <c r="A531" s="111" t="str">
        <f ca="1"/>
        <v>MACHACHI</v>
      </c>
      <c r="B531" s="111" t="str">
        <f ca="1"/>
        <v>BEBIDAS LACTEAS</v>
      </c>
      <c r="C531" s="111" t="str">
        <f ca="1"/>
        <v xml:space="preserve">Luis Armendariz                         </v>
      </c>
      <c r="D531" s="111" t="str">
        <f ca="1"/>
        <v>REGENERIS</v>
      </c>
      <c r="E531" s="111" t="str">
        <f ca="1"/>
        <v>REGENERIS REGULAR VASO</v>
      </c>
      <c r="F531" s="120" t="str">
        <f ca="1"/>
        <v>GUAYAQUIL</v>
      </c>
      <c r="G531" s="120">
        <f ca="1"/>
        <v>7711</v>
      </c>
      <c r="H531" s="120">
        <f ca="1"/>
        <v>1001</v>
      </c>
      <c r="I531" s="120" t="str">
        <f ca="1"/>
        <v>4921</v>
      </c>
      <c r="J531" s="120" t="str">
        <f ca="1"/>
        <v>RGN TZOS FTLLA VASO 150G</v>
      </c>
      <c r="K531" s="121">
        <f ca="1"/>
        <v>216</v>
      </c>
      <c r="L531" s="122">
        <f ca="1"/>
        <v>1</v>
      </c>
      <c r="M531" s="120">
        <f ca="1"/>
        <v>0.15</v>
      </c>
      <c r="N531" s="121">
        <f ca="1"/>
        <v>45</v>
      </c>
      <c r="O531" s="123">
        <f ca="1"/>
        <v>45615</v>
      </c>
      <c r="P531" s="123" t="str">
        <f ca="1"/>
        <v>martes</v>
      </c>
      <c r="Q531" s="124">
        <f ca="1"/>
        <v>45603</v>
      </c>
      <c r="R531" s="124">
        <f ca="1"/>
        <v>45647</v>
      </c>
      <c r="S531" s="90">
        <f ca="1"/>
        <v>23</v>
      </c>
      <c r="T531" s="139">
        <f ca="1"/>
        <v>0.51111111111111107</v>
      </c>
      <c r="U531" s="131">
        <f ca="1"/>
        <v>204</v>
      </c>
      <c r="V531" s="120">
        <f ca="1"/>
        <v>30.599999999999998</v>
      </c>
      <c r="W531" s="140">
        <f ca="1"/>
        <v>12</v>
      </c>
      <c r="X531" s="139">
        <f ca="1"/>
        <v>0.73333333333333339</v>
      </c>
      <c r="Y531" s="141">
        <f ca="1"/>
        <v>0.234985</v>
      </c>
      <c r="Z531" s="141">
        <f ca="1"/>
        <v>0.234985</v>
      </c>
      <c r="AA531" s="142">
        <f ca="1"/>
        <v>7.1905409999999996</v>
      </c>
      <c r="AB531" s="138">
        <f ca="1"/>
        <v>9</v>
      </c>
      <c r="AC531" s="103" t="str">
        <f ca="1"/>
        <v>PROXIMOS FECHA CORTA</v>
      </c>
      <c r="AD531" s="150">
        <f ca="1"/>
        <v>3.0599999999999999E-2</v>
      </c>
    </row>
    <row r="532" spans="1:30">
      <c r="A532" s="111" t="str">
        <f ca="1"/>
        <v>MACHACHI</v>
      </c>
      <c r="B532" s="111" t="str">
        <f ca="1"/>
        <v>BEBIDAS LACTEAS</v>
      </c>
      <c r="C532" s="111" t="str">
        <f ca="1"/>
        <v xml:space="preserve">Luis Armendariz                         </v>
      </c>
      <c r="D532" s="111" t="str">
        <f ca="1"/>
        <v>REGENERIS</v>
      </c>
      <c r="E532" s="111" t="str">
        <f ca="1"/>
        <v>REGENERIS REGULAR VASO</v>
      </c>
      <c r="F532" s="120" t="str">
        <f ca="1"/>
        <v>GUAYAQUIL</v>
      </c>
      <c r="G532" s="120">
        <f ca="1"/>
        <v>7711</v>
      </c>
      <c r="H532" s="120">
        <f ca="1"/>
        <v>1001</v>
      </c>
      <c r="I532" s="120" t="str">
        <f ca="1"/>
        <v>4923</v>
      </c>
      <c r="J532" s="120" t="str">
        <f ca="1"/>
        <v>RGN TZOS MOR VASO 150 G</v>
      </c>
      <c r="K532" s="121">
        <f ca="1"/>
        <v>108</v>
      </c>
      <c r="L532" s="122">
        <f ca="1"/>
        <v>1</v>
      </c>
      <c r="M532" s="120">
        <f ca="1"/>
        <v>0.15</v>
      </c>
      <c r="N532" s="121">
        <f ca="1"/>
        <v>45</v>
      </c>
      <c r="O532" s="123">
        <f ca="1"/>
        <v>45597</v>
      </c>
      <c r="P532" s="123" t="str">
        <f ca="1"/>
        <v>viernes</v>
      </c>
      <c r="Q532" s="124">
        <f ca="1"/>
        <v>45588</v>
      </c>
      <c r="R532" s="124">
        <f ca="1"/>
        <v>45632</v>
      </c>
      <c r="S532" s="90">
        <f ca="1"/>
        <v>8</v>
      </c>
      <c r="T532" s="139">
        <f ca="1"/>
        <v>0.17777777777777778</v>
      </c>
      <c r="U532" s="131">
        <f ca="1"/>
        <v>78</v>
      </c>
      <c r="V532" s="120">
        <f ca="1"/>
        <v>11.7</v>
      </c>
      <c r="W532" s="140">
        <f ca="1"/>
        <v>9</v>
      </c>
      <c r="X532" s="139">
        <f ca="1"/>
        <v>0.8</v>
      </c>
      <c r="Y532" s="141">
        <f ca="1"/>
        <v>0.231685</v>
      </c>
      <c r="Z532" s="141">
        <f ca="1"/>
        <v>0.231685</v>
      </c>
      <c r="AA532" s="142">
        <f ca="1"/>
        <v>2.7107144999999999</v>
      </c>
      <c r="AB532" s="138">
        <f ca="1"/>
        <v>27</v>
      </c>
      <c r="AC532" s="103" t="str">
        <f ca="1"/>
        <v>FECHA CORTA</v>
      </c>
      <c r="AD532" s="150">
        <f ca="1"/>
        <v>1.1699999999999999E-2</v>
      </c>
    </row>
    <row r="533" spans="1:30">
      <c r="A533" s="111" t="str">
        <f ca="1"/>
        <v>MACHACHI</v>
      </c>
      <c r="B533" s="111" t="str">
        <f ca="1"/>
        <v>BEBIDAS LACTEAS</v>
      </c>
      <c r="C533" s="111" t="str">
        <f ca="1"/>
        <v xml:space="preserve">Luis Armendariz                         </v>
      </c>
      <c r="D533" s="111" t="str">
        <f ca="1"/>
        <v>REGENERIS</v>
      </c>
      <c r="E533" s="111" t="str">
        <f ca="1"/>
        <v>REGENERIS REGULAR VASO</v>
      </c>
      <c r="F533" s="120" t="str">
        <f ca="1"/>
        <v>GUAYAQUIL</v>
      </c>
      <c r="G533" s="120">
        <f ca="1"/>
        <v>7711</v>
      </c>
      <c r="H533" s="120">
        <f ca="1"/>
        <v>1001</v>
      </c>
      <c r="I533" s="120" t="str">
        <f ca="1"/>
        <v>4923</v>
      </c>
      <c r="J533" s="120" t="str">
        <f ca="1"/>
        <v>RGN TZOS MOR VASO 150 G</v>
      </c>
      <c r="K533" s="121">
        <f ca="1"/>
        <v>108</v>
      </c>
      <c r="L533" s="122">
        <f ca="1"/>
        <v>1</v>
      </c>
      <c r="M533" s="120">
        <f ca="1"/>
        <v>0.15</v>
      </c>
      <c r="N533" s="121">
        <f ca="1"/>
        <v>45</v>
      </c>
      <c r="O533" s="123">
        <f ca="1"/>
        <v>45601</v>
      </c>
      <c r="P533" s="123" t="str">
        <f ca="1"/>
        <v>martes</v>
      </c>
      <c r="Q533" s="124">
        <f ca="1"/>
        <v>45591</v>
      </c>
      <c r="R533" s="124">
        <f ca="1"/>
        <v>45635</v>
      </c>
      <c r="S533" s="90">
        <f ca="1"/>
        <v>11</v>
      </c>
      <c r="T533" s="139">
        <f ca="1"/>
        <v>0.24444444444444444</v>
      </c>
      <c r="U533" s="131">
        <f ca="1"/>
        <v>56</v>
      </c>
      <c r="V533" s="120">
        <f ca="1"/>
        <v>8.4</v>
      </c>
      <c r="W533" s="140">
        <f ca="1"/>
        <v>10</v>
      </c>
      <c r="X533" s="139">
        <f ca="1"/>
        <v>0.77777777777777779</v>
      </c>
      <c r="Y533" s="141">
        <f ca="1"/>
        <v>0.231685</v>
      </c>
      <c r="Z533" s="141">
        <f ca="1"/>
        <v>0.231685</v>
      </c>
      <c r="AA533" s="142">
        <f ca="1"/>
        <v>1.9461540000000002</v>
      </c>
      <c r="AB533" s="138">
        <f ca="1"/>
        <v>23</v>
      </c>
      <c r="AC533" s="103" t="str">
        <f ca="1"/>
        <v>FECHA CORTA</v>
      </c>
      <c r="AD533" s="150">
        <f ca="1"/>
        <v>8.4000000000000012E-3</v>
      </c>
    </row>
    <row r="534" spans="1:30">
      <c r="A534" s="111" t="str">
        <f ca="1"/>
        <v>MACHACHI</v>
      </c>
      <c r="B534" s="111" t="str">
        <f ca="1"/>
        <v>BEBIDAS LACTEAS</v>
      </c>
      <c r="C534" s="111" t="str">
        <f ca="1"/>
        <v xml:space="preserve">Luis Armendariz                         </v>
      </c>
      <c r="D534" s="111" t="str">
        <f ca="1"/>
        <v>REGENERIS</v>
      </c>
      <c r="E534" s="111" t="str">
        <f ca="1"/>
        <v>REGENERIS REGULAR VASO</v>
      </c>
      <c r="F534" s="120" t="str">
        <f ca="1"/>
        <v>GUAYAQUIL</v>
      </c>
      <c r="G534" s="120">
        <f ca="1"/>
        <v>7711</v>
      </c>
      <c r="H534" s="120">
        <f ca="1"/>
        <v>1001</v>
      </c>
      <c r="I534" s="120" t="str">
        <f ca="1"/>
        <v>4923</v>
      </c>
      <c r="J534" s="120" t="str">
        <f ca="1"/>
        <v>RGN TZOS MOR VASO 150 G</v>
      </c>
      <c r="K534" s="121">
        <f ca="1"/>
        <v>108</v>
      </c>
      <c r="L534" s="122">
        <f ca="1"/>
        <v>1</v>
      </c>
      <c r="M534" s="120">
        <f ca="1"/>
        <v>0.15</v>
      </c>
      <c r="N534" s="121">
        <f ca="1"/>
        <v>45</v>
      </c>
      <c r="O534" s="123">
        <f ca="1"/>
        <v>45609</v>
      </c>
      <c r="P534" s="123" t="str">
        <f ca="1"/>
        <v>miércoles</v>
      </c>
      <c r="Q534" s="124">
        <f ca="1"/>
        <v>45601</v>
      </c>
      <c r="R534" s="124">
        <f ca="1"/>
        <v>45645</v>
      </c>
      <c r="S534" s="90">
        <f ca="1"/>
        <v>21</v>
      </c>
      <c r="T534" s="139">
        <f ca="1"/>
        <v>0.46666666666666667</v>
      </c>
      <c r="U534" s="131">
        <f ca="1"/>
        <v>84</v>
      </c>
      <c r="V534" s="120">
        <f ca="1"/>
        <v>12.6</v>
      </c>
      <c r="W534" s="140">
        <f ca="1"/>
        <v>8</v>
      </c>
      <c r="X534" s="139">
        <f ca="1"/>
        <v>0.82222222222222219</v>
      </c>
      <c r="Y534" s="141">
        <f ca="1"/>
        <v>0.231685</v>
      </c>
      <c r="Z534" s="141">
        <f ca="1"/>
        <v>0.231685</v>
      </c>
      <c r="AA534" s="142">
        <f ca="1"/>
        <v>2.9192309999999999</v>
      </c>
      <c r="AB534" s="138">
        <f ca="1"/>
        <v>15</v>
      </c>
      <c r="AC534" s="103" t="str">
        <f ca="1"/>
        <v>FECHA CORTA</v>
      </c>
      <c r="AD534" s="150">
        <f ca="1"/>
        <v>1.26E-2</v>
      </c>
    </row>
    <row r="535" spans="1:30">
      <c r="A535" s="111" t="str">
        <f ca="1"/>
        <v>MACHACHI</v>
      </c>
      <c r="B535" s="111" t="str">
        <f ca="1"/>
        <v>BEBIDAS LACTEAS</v>
      </c>
      <c r="C535" s="111" t="str">
        <f ca="1"/>
        <v xml:space="preserve">Luis Armendariz                         </v>
      </c>
      <c r="D535" s="111" t="str">
        <f ca="1"/>
        <v>REGENERIS</v>
      </c>
      <c r="E535" s="111" t="str">
        <f ca="1"/>
        <v>REGENERIS REGULAR VASO</v>
      </c>
      <c r="F535" s="120" t="str">
        <f ca="1"/>
        <v>GUAYAQUIL</v>
      </c>
      <c r="G535" s="120">
        <f ca="1"/>
        <v>7711</v>
      </c>
      <c r="H535" s="120">
        <f ca="1"/>
        <v>1001</v>
      </c>
      <c r="I535" s="120" t="str">
        <f ca="1"/>
        <v>4923</v>
      </c>
      <c r="J535" s="120" t="str">
        <f ca="1"/>
        <v>RGN TZOS MOR VASO 150 G</v>
      </c>
      <c r="K535" s="121">
        <f ca="1"/>
        <v>108</v>
      </c>
      <c r="L535" s="122">
        <f ca="1"/>
        <v>1</v>
      </c>
      <c r="M535" s="120">
        <f ca="1"/>
        <v>0.15</v>
      </c>
      <c r="N535" s="121">
        <f ca="1"/>
        <v>45</v>
      </c>
      <c r="O535" s="123">
        <f ca="1"/>
        <v>45612</v>
      </c>
      <c r="P535" s="123" t="str">
        <f ca="1"/>
        <v>sábado</v>
      </c>
      <c r="Q535" s="124">
        <f ca="1"/>
        <v>45601</v>
      </c>
      <c r="R535" s="124">
        <f ca="1"/>
        <v>45645</v>
      </c>
      <c r="S535" s="90">
        <f ca="1"/>
        <v>21</v>
      </c>
      <c r="T535" s="139">
        <f ca="1"/>
        <v>0.46666666666666667</v>
      </c>
      <c r="U535" s="131">
        <f ca="1"/>
        <v>108</v>
      </c>
      <c r="V535" s="120">
        <f ca="1"/>
        <v>16.2</v>
      </c>
      <c r="W535" s="140">
        <f ca="1"/>
        <v>11</v>
      </c>
      <c r="X535" s="139">
        <f ca="1"/>
        <v>0.75555555555555554</v>
      </c>
      <c r="Y535" s="141">
        <f ca="1"/>
        <v>0.231685</v>
      </c>
      <c r="Z535" s="141">
        <f ca="1"/>
        <v>0.231685</v>
      </c>
      <c r="AA535" s="142">
        <f ca="1"/>
        <v>3.7532969999999999</v>
      </c>
      <c r="AB535" s="138">
        <f ca="1"/>
        <v>12</v>
      </c>
      <c r="AC535" s="103" t="str">
        <f ca="1"/>
        <v>FECHA CORTA</v>
      </c>
      <c r="AD535" s="150">
        <f ca="1"/>
        <v>1.6199999999999999E-2</v>
      </c>
    </row>
    <row r="536" spans="1:30">
      <c r="A536" s="111" t="str">
        <f ca="1"/>
        <v>MACHACHI</v>
      </c>
      <c r="B536" s="111" t="str">
        <f ca="1"/>
        <v>BEBIDAS LACTEAS</v>
      </c>
      <c r="C536" s="111" t="str">
        <f ca="1"/>
        <v xml:space="preserve">Luis Armendariz                         </v>
      </c>
      <c r="D536" s="111" t="str">
        <f ca="1"/>
        <v>REGENERIS</v>
      </c>
      <c r="E536" s="111" t="str">
        <f ca="1"/>
        <v>REGENERIS REGULAR VASO</v>
      </c>
      <c r="F536" s="120" t="str">
        <f ca="1"/>
        <v>GUAYAQUIL</v>
      </c>
      <c r="G536" s="120">
        <f ca="1"/>
        <v>7711</v>
      </c>
      <c r="H536" s="120">
        <f ca="1"/>
        <v>1001</v>
      </c>
      <c r="I536" s="120" t="str">
        <f ca="1"/>
        <v>4923</v>
      </c>
      <c r="J536" s="120" t="str">
        <f ca="1"/>
        <v>RGN TZOS MOR VASO 150 G</v>
      </c>
      <c r="K536" s="121">
        <f ca="1"/>
        <v>108</v>
      </c>
      <c r="L536" s="122">
        <f ca="1"/>
        <v>1</v>
      </c>
      <c r="M536" s="120">
        <f ca="1"/>
        <v>0.15</v>
      </c>
      <c r="N536" s="121">
        <f ca="1"/>
        <v>45</v>
      </c>
      <c r="O536" s="123">
        <f ca="1"/>
        <v>45611</v>
      </c>
      <c r="P536" s="123" t="str">
        <f ca="1"/>
        <v>viernes</v>
      </c>
      <c r="Q536" s="124">
        <f ca="1"/>
        <v>45601</v>
      </c>
      <c r="R536" s="124">
        <f ca="1"/>
        <v>45645</v>
      </c>
      <c r="S536" s="90">
        <f ca="1"/>
        <v>21</v>
      </c>
      <c r="T536" s="139">
        <f ca="1"/>
        <v>0.46666666666666667</v>
      </c>
      <c r="U536" s="131">
        <f ca="1"/>
        <v>108</v>
      </c>
      <c r="V536" s="120">
        <f ca="1"/>
        <v>16.2</v>
      </c>
      <c r="W536" s="140">
        <f ca="1"/>
        <v>10</v>
      </c>
      <c r="X536" s="139">
        <f ca="1"/>
        <v>0.77777777777777779</v>
      </c>
      <c r="Y536" s="141">
        <f ca="1"/>
        <v>0.231685</v>
      </c>
      <c r="Z536" s="141">
        <f ca="1"/>
        <v>0.231685</v>
      </c>
      <c r="AA536" s="142">
        <f ca="1"/>
        <v>3.7532969999999999</v>
      </c>
      <c r="AB536" s="138">
        <f ca="1"/>
        <v>13</v>
      </c>
      <c r="AC536" s="103" t="str">
        <f ca="1"/>
        <v>FECHA CORTA</v>
      </c>
      <c r="AD536" s="150">
        <f ca="1"/>
        <v>1.6199999999999999E-2</v>
      </c>
    </row>
    <row r="537" spans="1:30">
      <c r="A537" s="111" t="str">
        <f ca="1"/>
        <v>MACHACHI</v>
      </c>
      <c r="B537" s="111" t="str">
        <f ca="1"/>
        <v>BEBIDAS LACTEAS</v>
      </c>
      <c r="C537" s="111" t="str">
        <f ca="1"/>
        <v xml:space="preserve">Luis Armendariz                         </v>
      </c>
      <c r="D537" s="111" t="str">
        <f ca="1"/>
        <v>REGENERIS</v>
      </c>
      <c r="E537" s="111" t="str">
        <f ca="1"/>
        <v>REGENERIS REGULAR VASO</v>
      </c>
      <c r="F537" s="120" t="str">
        <f ca="1"/>
        <v>GUAYAQUIL</v>
      </c>
      <c r="G537" s="120">
        <f ca="1"/>
        <v>7711</v>
      </c>
      <c r="H537" s="120">
        <f ca="1"/>
        <v>1001</v>
      </c>
      <c r="I537" s="120" t="str">
        <f ca="1"/>
        <v>4923</v>
      </c>
      <c r="J537" s="120" t="str">
        <f ca="1"/>
        <v>RGN TZOS MOR VASO 150 G</v>
      </c>
      <c r="K537" s="121">
        <f ca="1"/>
        <v>108</v>
      </c>
      <c r="L537" s="122">
        <f ca="1"/>
        <v>1</v>
      </c>
      <c r="M537" s="120">
        <f ca="1"/>
        <v>0.15</v>
      </c>
      <c r="N537" s="121">
        <f ca="1"/>
        <v>45</v>
      </c>
      <c r="O537" s="123">
        <f ca="1"/>
        <v>45610</v>
      </c>
      <c r="P537" s="123" t="str">
        <f ca="1"/>
        <v>jueves</v>
      </c>
      <c r="Q537" s="124">
        <f ca="1"/>
        <v>45601</v>
      </c>
      <c r="R537" s="124">
        <f ca="1"/>
        <v>45645</v>
      </c>
      <c r="S537" s="90">
        <f ca="1"/>
        <v>21</v>
      </c>
      <c r="T537" s="139">
        <f ca="1"/>
        <v>0.46666666666666667</v>
      </c>
      <c r="U537" s="131">
        <f ca="1"/>
        <v>108</v>
      </c>
      <c r="V537" s="120">
        <f ca="1"/>
        <v>16.2</v>
      </c>
      <c r="W537" s="140">
        <f ca="1"/>
        <v>9</v>
      </c>
      <c r="X537" s="139">
        <f ca="1"/>
        <v>0.8</v>
      </c>
      <c r="Y537" s="141">
        <f ca="1"/>
        <v>0.231685</v>
      </c>
      <c r="Z537" s="141">
        <f ca="1"/>
        <v>0.231685</v>
      </c>
      <c r="AA537" s="142">
        <f ca="1"/>
        <v>3.7532969999999999</v>
      </c>
      <c r="AB537" s="138">
        <f ca="1"/>
        <v>14</v>
      </c>
      <c r="AC537" s="103" t="str">
        <f ca="1"/>
        <v>FECHA CORTA</v>
      </c>
      <c r="AD537" s="150">
        <f ca="1"/>
        <v>1.6199999999999999E-2</v>
      </c>
    </row>
    <row r="538" spans="1:30">
      <c r="A538" s="111" t="str">
        <f ca="1"/>
        <v>MACHACHI</v>
      </c>
      <c r="B538" s="111" t="str">
        <f ca="1"/>
        <v>BEBIDAS LACTEAS</v>
      </c>
      <c r="C538" s="111" t="str">
        <f ca="1"/>
        <v xml:space="preserve">Luis Armendariz                         </v>
      </c>
      <c r="D538" s="111" t="str">
        <f ca="1"/>
        <v>REGENERIS</v>
      </c>
      <c r="E538" s="111" t="str">
        <f ca="1"/>
        <v>REGENERIS REGULAR VASO</v>
      </c>
      <c r="F538" s="120" t="str">
        <f ca="1"/>
        <v>GUAYAQUIL</v>
      </c>
      <c r="G538" s="120">
        <f ca="1"/>
        <v>7711</v>
      </c>
      <c r="H538" s="120">
        <f ca="1"/>
        <v>1001</v>
      </c>
      <c r="I538" s="120" t="str">
        <f ca="1"/>
        <v>4923</v>
      </c>
      <c r="J538" s="120" t="str">
        <f ca="1"/>
        <v>RGN TZOS MOR VASO 150 G</v>
      </c>
      <c r="K538" s="121">
        <f ca="1"/>
        <v>108</v>
      </c>
      <c r="L538" s="122">
        <f ca="1"/>
        <v>1</v>
      </c>
      <c r="M538" s="120">
        <f ca="1"/>
        <v>0.15</v>
      </c>
      <c r="N538" s="121">
        <f ca="1"/>
        <v>45</v>
      </c>
      <c r="O538" s="123">
        <f ca="1"/>
        <v>45615</v>
      </c>
      <c r="P538" s="123" t="str">
        <f ca="1"/>
        <v>martes</v>
      </c>
      <c r="Q538" s="124">
        <f ca="1"/>
        <v>45604</v>
      </c>
      <c r="R538" s="124">
        <f ca="1"/>
        <v>45648</v>
      </c>
      <c r="S538" s="90">
        <f ca="1"/>
        <v>24</v>
      </c>
      <c r="T538" s="139">
        <f ca="1"/>
        <v>0.53333333333333333</v>
      </c>
      <c r="U538" s="131">
        <f ca="1"/>
        <v>102</v>
      </c>
      <c r="V538" s="120">
        <f ca="1"/>
        <v>15.299999999999999</v>
      </c>
      <c r="W538" s="140">
        <f ca="1"/>
        <v>11</v>
      </c>
      <c r="X538" s="139">
        <f ca="1"/>
        <v>0.75555555555555554</v>
      </c>
      <c r="Y538" s="141">
        <f ca="1"/>
        <v>0.231685</v>
      </c>
      <c r="Z538" s="141">
        <f ca="1"/>
        <v>0.231685</v>
      </c>
      <c r="AA538" s="142">
        <f ca="1"/>
        <v>3.5447804999999999</v>
      </c>
      <c r="AB538" s="138">
        <f ca="1"/>
        <v>9</v>
      </c>
      <c r="AC538" s="103" t="str">
        <f ca="1"/>
        <v>PROXIMOS FECHA CORTA</v>
      </c>
      <c r="AD538" s="150">
        <f ca="1"/>
        <v>1.5299999999999999E-2</v>
      </c>
    </row>
    <row r="539" spans="1:30">
      <c r="A539" s="111" t="str">
        <f ca="1"/>
        <v>MULTIEMPAQUE</v>
      </c>
      <c r="B539" s="111" t="str">
        <f ca="1"/>
        <v>BEBIDAS LACTEAS</v>
      </c>
      <c r="C539" s="111" t="str">
        <f ca="1"/>
        <v xml:space="preserve">Luis Armendariz                         </v>
      </c>
      <c r="D539" s="111" t="str">
        <f ca="1"/>
        <v>AVENA ALPINA</v>
      </c>
      <c r="E539" s="111" t="str">
        <f ca="1"/>
        <v>AVENA VASO</v>
      </c>
      <c r="F539" s="120" t="str">
        <f ca="1"/>
        <v>GUAYAQUIL</v>
      </c>
      <c r="G539" s="120">
        <f ca="1"/>
        <v>7711</v>
      </c>
      <c r="H539" s="120">
        <f ca="1"/>
        <v>1001</v>
      </c>
      <c r="I539" s="120" t="str">
        <f ca="1"/>
        <v>11085</v>
      </c>
      <c r="J539" s="120" t="str">
        <f ca="1"/>
        <v>MPLX4 AVENA CAN VASO 250G</v>
      </c>
      <c r="K539" s="121">
        <f ca="1"/>
        <v>24</v>
      </c>
      <c r="L539" s="122">
        <f ca="1"/>
        <v>1</v>
      </c>
      <c r="M539" s="120">
        <f ca="1"/>
        <v>1</v>
      </c>
      <c r="N539" s="121">
        <f ca="1"/>
        <v>180</v>
      </c>
      <c r="O539" s="123">
        <f ca="1"/>
        <v>45518</v>
      </c>
      <c r="P539" s="123" t="str">
        <f ca="1"/>
        <v>miércoles</v>
      </c>
      <c r="Q539" s="124">
        <f ca="1"/>
        <v>45484</v>
      </c>
      <c r="R539" s="124">
        <f ca="1"/>
        <v>45663</v>
      </c>
      <c r="S539" s="90">
        <f ca="1"/>
        <v>39</v>
      </c>
      <c r="T539" s="139">
        <f ca="1"/>
        <v>0.21666666666666667</v>
      </c>
      <c r="U539" s="131">
        <f ca="1"/>
        <v>7</v>
      </c>
      <c r="V539" s="120">
        <f ca="1"/>
        <v>7</v>
      </c>
      <c r="W539" s="140">
        <f ca="1"/>
        <v>34</v>
      </c>
      <c r="X539" s="139">
        <f ca="1"/>
        <v>0.81111111111111112</v>
      </c>
      <c r="Y539" s="141">
        <f ca="1"/>
        <v>1.795145</v>
      </c>
      <c r="Z539" s="141">
        <f ca="1"/>
        <v>1.795145</v>
      </c>
      <c r="AA539" s="142">
        <f ca="1"/>
        <v>12.566015</v>
      </c>
      <c r="AB539" s="138">
        <f ca="1"/>
        <v>106</v>
      </c>
      <c r="AC539" s="103" t="str">
        <f ca="1"/>
        <v>VIGENTE</v>
      </c>
      <c r="AD539" s="150">
        <f ca="1"/>
        <v>7.0000000000000001E-3</v>
      </c>
    </row>
    <row r="540" spans="1:30">
      <c r="A540" s="111" t="str">
        <f ca="1"/>
        <v>MULTIEMPAQUE</v>
      </c>
      <c r="B540" s="111" t="str">
        <f ca="1"/>
        <v>BEBIDAS LACTEAS</v>
      </c>
      <c r="C540" s="111" t="str">
        <f ca="1"/>
        <v xml:space="preserve">Luis Armendariz                         </v>
      </c>
      <c r="D540" s="111" t="str">
        <f ca="1"/>
        <v>AVENA ALPINA</v>
      </c>
      <c r="E540" s="111" t="str">
        <f ca="1"/>
        <v>AVENA VASO</v>
      </c>
      <c r="F540" s="120" t="str">
        <f ca="1"/>
        <v>GUAYAQUIL</v>
      </c>
      <c r="G540" s="120">
        <f ca="1"/>
        <v>7711</v>
      </c>
      <c r="H540" s="120">
        <f ca="1"/>
        <v>1001</v>
      </c>
      <c r="I540" s="120" t="str">
        <f ca="1"/>
        <v>11085</v>
      </c>
      <c r="J540" s="120" t="str">
        <f ca="1"/>
        <v>MPLX4 AVENA CAN VASO 250G</v>
      </c>
      <c r="K540" s="121">
        <f ca="1"/>
        <v>36</v>
      </c>
      <c r="L540" s="122">
        <f ca="1"/>
        <v>1</v>
      </c>
      <c r="M540" s="120">
        <f ca="1"/>
        <v>1</v>
      </c>
      <c r="N540" s="121">
        <f ca="1"/>
        <v>180</v>
      </c>
      <c r="O540" s="123">
        <f ca="1"/>
        <v>45588</v>
      </c>
      <c r="P540" s="123" t="str">
        <f ca="1"/>
        <v>miércoles</v>
      </c>
      <c r="Q540" s="124">
        <f ca="1"/>
        <v>45526</v>
      </c>
      <c r="R540" s="124">
        <f ca="1"/>
        <v>45705</v>
      </c>
      <c r="S540" s="90">
        <f ca="1"/>
        <v>81</v>
      </c>
      <c r="T540" s="139">
        <f ca="1"/>
        <v>0.45</v>
      </c>
      <c r="U540" s="131">
        <f ca="1"/>
        <v>9</v>
      </c>
      <c r="V540" s="120">
        <f ca="1"/>
        <v>9</v>
      </c>
      <c r="W540" s="140">
        <f ca="1"/>
        <v>62</v>
      </c>
      <c r="X540" s="139">
        <f ca="1"/>
        <v>0.65555555555555556</v>
      </c>
      <c r="Y540" s="141">
        <f ca="1"/>
        <v>1.795145</v>
      </c>
      <c r="Z540" s="141">
        <f ca="1"/>
        <v>1.795145</v>
      </c>
      <c r="AA540" s="142">
        <f ca="1"/>
        <v>16.156305</v>
      </c>
      <c r="AB540" s="138">
        <f ca="1"/>
        <v>36</v>
      </c>
      <c r="AC540" s="103" t="str">
        <f ca="1"/>
        <v>VIGENTE</v>
      </c>
      <c r="AD540" s="150">
        <f ca="1"/>
        <v>8.9999999999999993E-3</v>
      </c>
    </row>
    <row r="541" spans="1:30">
      <c r="A541" s="111" t="str">
        <f ca="1"/>
        <v>MULTIEMPAQUE</v>
      </c>
      <c r="B541" s="111" t="str">
        <f ca="1"/>
        <v>BEBIDAS LACTEAS</v>
      </c>
      <c r="C541" s="111" t="str">
        <f ca="1"/>
        <v xml:space="preserve">Luis Armendariz                         </v>
      </c>
      <c r="D541" s="111" t="str">
        <f ca="1"/>
        <v>AVENA ALPINA</v>
      </c>
      <c r="E541" s="111" t="str">
        <f ca="1"/>
        <v>AVENA VASO</v>
      </c>
      <c r="F541" s="120" t="str">
        <f ca="1"/>
        <v>GUAYAQUIL</v>
      </c>
      <c r="G541" s="120">
        <f ca="1"/>
        <v>7711</v>
      </c>
      <c r="H541" s="120">
        <f ca="1"/>
        <v>1001</v>
      </c>
      <c r="I541" s="120" t="str">
        <f ca="1"/>
        <v>11085</v>
      </c>
      <c r="J541" s="120" t="str">
        <f ca="1"/>
        <v>MPLX4 AVENA CAN VASO 250G</v>
      </c>
      <c r="K541" s="121">
        <f ca="1"/>
        <v>24</v>
      </c>
      <c r="L541" s="122">
        <f ca="1"/>
        <v>1</v>
      </c>
      <c r="M541" s="120">
        <f ca="1"/>
        <v>1</v>
      </c>
      <c r="N541" s="121">
        <f ca="1"/>
        <v>180</v>
      </c>
      <c r="O541" s="123">
        <f ca="1"/>
        <v>45608</v>
      </c>
      <c r="P541" s="123" t="str">
        <f ca="1"/>
        <v>martes</v>
      </c>
      <c r="Q541" s="124">
        <f ca="1"/>
        <v>45584</v>
      </c>
      <c r="R541" s="124">
        <f ca="1"/>
        <v>45763</v>
      </c>
      <c r="S541" s="90">
        <f ca="1"/>
        <v>139</v>
      </c>
      <c r="T541" s="139">
        <f ca="1"/>
        <v>0.77222222222222225</v>
      </c>
      <c r="U541" s="131">
        <f ca="1"/>
        <v>21</v>
      </c>
      <c r="V541" s="120">
        <f ca="1"/>
        <v>21</v>
      </c>
      <c r="W541" s="140">
        <f ca="1"/>
        <v>24</v>
      </c>
      <c r="X541" s="139">
        <f ca="1"/>
        <v>0.8666666666666667</v>
      </c>
      <c r="Y541" s="141">
        <f ca="1"/>
        <v>1.795145</v>
      </c>
      <c r="Z541" s="141">
        <f ca="1"/>
        <v>1.795145</v>
      </c>
      <c r="AA541" s="142">
        <f ca="1"/>
        <v>37.698045</v>
      </c>
      <c r="AB541" s="138">
        <f ca="1"/>
        <v>16</v>
      </c>
      <c r="AC541" s="103" t="str">
        <f ca="1"/>
        <v>VIGENTE</v>
      </c>
      <c r="AD541" s="150">
        <f ca="1"/>
        <v>2.1000000000000001E-2</v>
      </c>
    </row>
    <row r="542" spans="1:30">
      <c r="A542" s="111" t="str">
        <f ca="1"/>
        <v>MACHACHI</v>
      </c>
      <c r="B542" s="111" t="str">
        <f ca="1"/>
        <v>BEBIDAS LACTEAS</v>
      </c>
      <c r="C542" s="111" t="str">
        <f ca="1"/>
        <v xml:space="preserve">Luis Armendariz                         </v>
      </c>
      <c r="D542" s="111" t="str">
        <f ca="1"/>
        <v>REGENERIS</v>
      </c>
      <c r="E542" s="111" t="str">
        <f ca="1"/>
        <v>REGENERIS CEREAL BOTELLA PERSONAL</v>
      </c>
      <c r="F542" s="120" t="str">
        <f ca="1"/>
        <v>GUAYAQUIL</v>
      </c>
      <c r="G542" s="120">
        <f ca="1"/>
        <v>7711</v>
      </c>
      <c r="H542" s="120">
        <f ca="1"/>
        <v>1001</v>
      </c>
      <c r="I542" s="120" t="str">
        <f ca="1"/>
        <v>12530</v>
      </c>
      <c r="J542" s="120" t="str">
        <f ca="1"/>
        <v>RGN CER GDLLA BOT 180G</v>
      </c>
      <c r="K542" s="121">
        <f ca="1"/>
        <v>108</v>
      </c>
      <c r="L542" s="122">
        <f ca="1"/>
        <v>1</v>
      </c>
      <c r="M542" s="120">
        <f ca="1"/>
        <v>0.18</v>
      </c>
      <c r="N542" s="121">
        <f ca="1"/>
        <v>45</v>
      </c>
      <c r="O542" s="123">
        <f ca="1"/>
        <v>45591</v>
      </c>
      <c r="P542" s="123" t="str">
        <f ca="1"/>
        <v>sábado</v>
      </c>
      <c r="Q542" s="124">
        <f ca="1"/>
        <v>45590</v>
      </c>
      <c r="R542" s="124">
        <f ca="1"/>
        <v>45634</v>
      </c>
      <c r="S542" s="90">
        <f ca="1"/>
        <v>10</v>
      </c>
      <c r="T542" s="139">
        <f ca="1"/>
        <v>0.22222222222222221</v>
      </c>
      <c r="U542" s="131">
        <f ca="1"/>
        <v>22</v>
      </c>
      <c r="V542" s="120">
        <f ca="1"/>
        <v>3.96</v>
      </c>
      <c r="W542" s="140">
        <f ca="1"/>
        <v>1</v>
      </c>
      <c r="X542" s="139">
        <f ca="1"/>
        <v>0.97777777777777775</v>
      </c>
      <c r="Y542" s="141">
        <f ca="1"/>
        <v>0.28275</v>
      </c>
      <c r="Z542" s="141">
        <f ca="1"/>
        <v>0.28275</v>
      </c>
      <c r="AA542" s="142">
        <f ca="1"/>
        <v>1.1196900000000001</v>
      </c>
      <c r="AB542" s="138">
        <f ca="1"/>
        <v>33</v>
      </c>
      <c r="AC542" s="103" t="str">
        <f ca="1"/>
        <v>FECHA CORTA</v>
      </c>
      <c r="AD542" s="150">
        <f ca="1"/>
        <v>3.96E-3</v>
      </c>
    </row>
    <row r="543" spans="1:30">
      <c r="A543" s="111" t="str">
        <f ca="1"/>
        <v>MACHACHI</v>
      </c>
      <c r="B543" s="111" t="str">
        <f ca="1"/>
        <v>BEBIDAS LACTEAS</v>
      </c>
      <c r="C543" s="111" t="str">
        <f ca="1"/>
        <v xml:space="preserve">Luis Armendariz                         </v>
      </c>
      <c r="D543" s="111" t="str">
        <f ca="1"/>
        <v>REGENERIS</v>
      </c>
      <c r="E543" s="111" t="str">
        <f ca="1"/>
        <v>REGENERIS CEREAL BOTELLA PERSONAL</v>
      </c>
      <c r="F543" s="120" t="str">
        <f ca="1"/>
        <v>GUAYAQUIL</v>
      </c>
      <c r="G543" s="120">
        <f ca="1"/>
        <v>7711</v>
      </c>
      <c r="H543" s="120">
        <f ca="1"/>
        <v>1001</v>
      </c>
      <c r="I543" s="120" t="str">
        <f ca="1"/>
        <v>12530</v>
      </c>
      <c r="J543" s="120" t="str">
        <f ca="1"/>
        <v>RGN CER GDLLA BOT 180G</v>
      </c>
      <c r="K543" s="121">
        <f ca="1"/>
        <v>108</v>
      </c>
      <c r="L543" s="122">
        <f ca="1"/>
        <v>1</v>
      </c>
      <c r="M543" s="120">
        <f ca="1"/>
        <v>0.18</v>
      </c>
      <c r="N543" s="121">
        <f ca="1"/>
        <v>45</v>
      </c>
      <c r="O543" s="123">
        <f ca="1"/>
        <v>45608</v>
      </c>
      <c r="P543" s="123" t="str">
        <f ca="1"/>
        <v>martes</v>
      </c>
      <c r="Q543" s="124">
        <f ca="1"/>
        <v>45603</v>
      </c>
      <c r="R543" s="124">
        <f ca="1"/>
        <v>45647</v>
      </c>
      <c r="S543" s="90">
        <f ca="1"/>
        <v>23</v>
      </c>
      <c r="T543" s="139">
        <f ca="1"/>
        <v>0.51111111111111107</v>
      </c>
      <c r="U543" s="131">
        <f ca="1"/>
        <v>77</v>
      </c>
      <c r="V543" s="120">
        <f ca="1"/>
        <v>13.86</v>
      </c>
      <c r="W543" s="140">
        <f ca="1"/>
        <v>5</v>
      </c>
      <c r="X543" s="139">
        <f ca="1"/>
        <v>0.88888888888888884</v>
      </c>
      <c r="Y543" s="141">
        <f ca="1"/>
        <v>0.28275</v>
      </c>
      <c r="Z543" s="141">
        <f ca="1"/>
        <v>0.28275</v>
      </c>
      <c r="AA543" s="142">
        <f ca="1"/>
        <v>3.9189149999999997</v>
      </c>
      <c r="AB543" s="138">
        <f ca="1"/>
        <v>16</v>
      </c>
      <c r="AC543" s="103" t="str">
        <f ca="1"/>
        <v>PROXIMOS FECHA CORTA</v>
      </c>
      <c r="AD543" s="150">
        <f ca="1"/>
        <v>1.3859999999999999E-2</v>
      </c>
    </row>
    <row r="544" spans="1:30">
      <c r="A544" s="111" t="str">
        <f ca="1"/>
        <v>MACHACHI</v>
      </c>
      <c r="B544" s="111" t="str">
        <f ca="1"/>
        <v>BEBIDAS LACTEAS</v>
      </c>
      <c r="C544" s="111" t="str">
        <f ca="1"/>
        <v xml:space="preserve">Luis Armendariz                         </v>
      </c>
      <c r="D544" s="111" t="str">
        <f ca="1"/>
        <v>BON YURT</v>
      </c>
      <c r="E544" s="111" t="str">
        <f ca="1"/>
        <v>BON YURT MINI</v>
      </c>
      <c r="F544" s="120" t="str">
        <f ca="1"/>
        <v>GUAYAQUIL</v>
      </c>
      <c r="G544" s="120">
        <f ca="1"/>
        <v>7711</v>
      </c>
      <c r="H544" s="120">
        <f ca="1"/>
        <v>1001</v>
      </c>
      <c r="I544" s="120" t="str">
        <f ca="1"/>
        <v>17115</v>
      </c>
      <c r="J544" s="120" t="str">
        <f ca="1"/>
        <v>BY MINI CRUNFRE VASO 90G</v>
      </c>
      <c r="K544" s="121">
        <f ca="1"/>
        <v>980</v>
      </c>
      <c r="L544" s="122">
        <f ca="1"/>
        <v>1</v>
      </c>
      <c r="M544" s="120">
        <f ca="1"/>
        <v>0.09</v>
      </c>
      <c r="N544" s="121">
        <f ca="1"/>
        <v>45</v>
      </c>
      <c r="O544" s="123">
        <f ca="1"/>
        <v>45608</v>
      </c>
      <c r="P544" s="123" t="str">
        <f ca="1"/>
        <v>martes</v>
      </c>
      <c r="Q544" s="124">
        <f ca="1"/>
        <v>45596</v>
      </c>
      <c r="R544" s="124">
        <f ca="1"/>
        <v>45640</v>
      </c>
      <c r="S544" s="90">
        <f ca="1"/>
        <v>16</v>
      </c>
      <c r="T544" s="139">
        <f ca="1"/>
        <v>0.35555555555555557</v>
      </c>
      <c r="U544" s="131">
        <f ca="1"/>
        <v>22</v>
      </c>
      <c r="V544" s="120">
        <f ca="1"/>
        <v>1.98</v>
      </c>
      <c r="W544" s="140">
        <f ca="1"/>
        <v>12</v>
      </c>
      <c r="X544" s="139">
        <f ca="1"/>
        <v>0.73333333333333339</v>
      </c>
      <c r="Y544" s="141">
        <f ca="1"/>
        <v>0.20507500000000001</v>
      </c>
      <c r="Z544" s="141">
        <f ca="1"/>
        <v>0.20507500000000001</v>
      </c>
      <c r="AA544" s="142">
        <f ca="1"/>
        <v>0.40604850000000003</v>
      </c>
      <c r="AB544" s="138">
        <f ca="1"/>
        <v>16</v>
      </c>
      <c r="AC544" s="103" t="str">
        <f ca="1"/>
        <v>FECHA CORTA</v>
      </c>
      <c r="AD544" s="150">
        <f ca="1"/>
        <v>1.98E-3</v>
      </c>
    </row>
    <row r="545" spans="1:30">
      <c r="A545" s="111" t="str">
        <f ca="1"/>
        <v>MACHACHI</v>
      </c>
      <c r="B545" s="111" t="str">
        <f ca="1"/>
        <v>BEBIDAS LACTEAS</v>
      </c>
      <c r="C545" s="111" t="str">
        <f ca="1"/>
        <v xml:space="preserve">Luis Armendariz                         </v>
      </c>
      <c r="D545" s="111" t="str">
        <f ca="1"/>
        <v>BON YURT</v>
      </c>
      <c r="E545" s="111" t="str">
        <f ca="1"/>
        <v>BON YURT MINI</v>
      </c>
      <c r="F545" s="120" t="str">
        <f ca="1"/>
        <v>GUAYAQUIL</v>
      </c>
      <c r="G545" s="120">
        <f ca="1"/>
        <v>7711</v>
      </c>
      <c r="H545" s="120">
        <f ca="1"/>
        <v>1001</v>
      </c>
      <c r="I545" s="120" t="str">
        <f ca="1"/>
        <v>17115</v>
      </c>
      <c r="J545" s="120" t="str">
        <f ca="1"/>
        <v>BY MINI CRUNFRE VASO 90G</v>
      </c>
      <c r="K545" s="121">
        <f ca="1"/>
        <v>700</v>
      </c>
      <c r="L545" s="122">
        <f ca="1"/>
        <v>1</v>
      </c>
      <c r="M545" s="120">
        <f ca="1"/>
        <v>0.09</v>
      </c>
      <c r="N545" s="121">
        <f ca="1"/>
        <v>45</v>
      </c>
      <c r="O545" s="123">
        <f ca="1"/>
        <v>45612</v>
      </c>
      <c r="P545" s="123" t="str">
        <f ca="1"/>
        <v>sábado</v>
      </c>
      <c r="Q545" s="124">
        <f ca="1"/>
        <v>45603</v>
      </c>
      <c r="R545" s="124">
        <f ca="1"/>
        <v>45647</v>
      </c>
      <c r="S545" s="90">
        <f ca="1"/>
        <v>23</v>
      </c>
      <c r="T545" s="139">
        <f ca="1"/>
        <v>0.51111111111111107</v>
      </c>
      <c r="U545" s="131">
        <f ca="1"/>
        <v>700</v>
      </c>
      <c r="V545" s="120">
        <f ca="1"/>
        <v>63</v>
      </c>
      <c r="W545" s="140">
        <f ca="1"/>
        <v>9</v>
      </c>
      <c r="X545" s="139">
        <f ca="1"/>
        <v>0.8</v>
      </c>
      <c r="Y545" s="141">
        <f ca="1"/>
        <v>0.20507500000000001</v>
      </c>
      <c r="Z545" s="141">
        <f ca="1"/>
        <v>0.20507500000000001</v>
      </c>
      <c r="AA545" s="142">
        <f ca="1"/>
        <v>12.919725</v>
      </c>
      <c r="AB545" s="138">
        <f ca="1"/>
        <v>12</v>
      </c>
      <c r="AC545" s="103" t="str">
        <f ca="1"/>
        <v>PROXIMOS FECHA CORTA</v>
      </c>
      <c r="AD545" s="150">
        <f ca="1"/>
        <v>6.3E-2</v>
      </c>
    </row>
    <row r="546" spans="1:30">
      <c r="A546" s="111" t="str">
        <f ca="1"/>
        <v>MACHACHI</v>
      </c>
      <c r="B546" s="111" t="str">
        <f ca="1"/>
        <v>BEBIDAS LACTEAS</v>
      </c>
      <c r="C546" s="111" t="str">
        <f ca="1"/>
        <v xml:space="preserve">Luis Armendariz                         </v>
      </c>
      <c r="D546" s="111" t="str">
        <f ca="1"/>
        <v>BON YURT</v>
      </c>
      <c r="E546" s="111" t="str">
        <f ca="1"/>
        <v>BON YURT MINI</v>
      </c>
      <c r="F546" s="120" t="str">
        <f ca="1"/>
        <v>GUAYAQUIL</v>
      </c>
      <c r="G546" s="120">
        <f ca="1"/>
        <v>7711</v>
      </c>
      <c r="H546" s="120">
        <f ca="1"/>
        <v>1001</v>
      </c>
      <c r="I546" s="120" t="str">
        <f ca="1"/>
        <v>17115</v>
      </c>
      <c r="J546" s="120" t="str">
        <f ca="1"/>
        <v>BY MINI CRUNFRE VASO 90G</v>
      </c>
      <c r="K546" s="121">
        <f ca="1"/>
        <v>840</v>
      </c>
      <c r="L546" s="122">
        <f ca="1"/>
        <v>1</v>
      </c>
      <c r="M546" s="120">
        <f ca="1"/>
        <v>0.09</v>
      </c>
      <c r="N546" s="121">
        <f ca="1"/>
        <v>45</v>
      </c>
      <c r="O546" s="123">
        <f ca="1"/>
        <v>45611</v>
      </c>
      <c r="P546" s="123" t="str">
        <f ca="1"/>
        <v>viernes</v>
      </c>
      <c r="Q546" s="124">
        <f ca="1"/>
        <v>45603</v>
      </c>
      <c r="R546" s="124">
        <f ca="1"/>
        <v>45647</v>
      </c>
      <c r="S546" s="90">
        <f ca="1"/>
        <v>23</v>
      </c>
      <c r="T546" s="139">
        <f ca="1"/>
        <v>0.51111111111111107</v>
      </c>
      <c r="U546" s="131">
        <f ca="1"/>
        <v>733</v>
      </c>
      <c r="V546" s="120">
        <f ca="1"/>
        <v>65.97</v>
      </c>
      <c r="W546" s="140">
        <f ca="1"/>
        <v>8</v>
      </c>
      <c r="X546" s="139">
        <f ca="1"/>
        <v>0.82222222222222219</v>
      </c>
      <c r="Y546" s="141">
        <f ca="1"/>
        <v>0.20507500000000001</v>
      </c>
      <c r="Z546" s="141">
        <f ca="1"/>
        <v>0.20507500000000001</v>
      </c>
      <c r="AA546" s="142">
        <f ca="1"/>
        <v>13.528797750000001</v>
      </c>
      <c r="AB546" s="138">
        <f ca="1"/>
        <v>13</v>
      </c>
      <c r="AC546" s="103" t="str">
        <f ca="1"/>
        <v>PROXIMOS FECHA CORTA</v>
      </c>
      <c r="AD546" s="150">
        <f ca="1"/>
        <v>6.5970000000000001E-2</v>
      </c>
    </row>
    <row r="547" spans="1:30">
      <c r="A547" s="111" t="str">
        <f ca="1"/>
        <v>MACHACHI</v>
      </c>
      <c r="B547" s="111" t="str">
        <f ca="1"/>
        <v>BEBIDAS LACTEAS</v>
      </c>
      <c r="C547" s="111" t="str">
        <f ca="1"/>
        <v xml:space="preserve">Luis Armendariz                         </v>
      </c>
      <c r="D547" s="111" t="str">
        <f ca="1"/>
        <v>BON YURT</v>
      </c>
      <c r="E547" s="111" t="str">
        <f ca="1"/>
        <v>BON YURT MINI</v>
      </c>
      <c r="F547" s="120" t="str">
        <f ca="1"/>
        <v>GUAYAQUIL</v>
      </c>
      <c r="G547" s="120">
        <f ca="1"/>
        <v>7711</v>
      </c>
      <c r="H547" s="120">
        <f ca="1"/>
        <v>1001</v>
      </c>
      <c r="I547" s="120" t="str">
        <f ca="1"/>
        <v>17115</v>
      </c>
      <c r="J547" s="120" t="str">
        <f ca="1"/>
        <v>BY MINI CRUNFRE VASO 90G</v>
      </c>
      <c r="K547" s="121">
        <f ca="1"/>
        <v>1050</v>
      </c>
      <c r="L547" s="122">
        <f ca="1"/>
        <v>1</v>
      </c>
      <c r="M547" s="120">
        <f ca="1"/>
        <v>0.09</v>
      </c>
      <c r="N547" s="121">
        <f ca="1"/>
        <v>45</v>
      </c>
      <c r="O547" s="123">
        <f ca="1"/>
        <v>45615</v>
      </c>
      <c r="P547" s="123" t="str">
        <f ca="1"/>
        <v>martes</v>
      </c>
      <c r="Q547" s="124">
        <f ca="1"/>
        <v>45603</v>
      </c>
      <c r="R547" s="124">
        <f ca="1"/>
        <v>45647</v>
      </c>
      <c r="S547" s="90">
        <f ca="1"/>
        <v>23</v>
      </c>
      <c r="T547" s="139">
        <f ca="1"/>
        <v>0.51111111111111107</v>
      </c>
      <c r="U547" s="131">
        <f ca="1"/>
        <v>1050</v>
      </c>
      <c r="V547" s="120">
        <f ca="1"/>
        <v>94.5</v>
      </c>
      <c r="W547" s="140">
        <f ca="1"/>
        <v>12</v>
      </c>
      <c r="X547" s="139">
        <f ca="1"/>
        <v>0.73333333333333339</v>
      </c>
      <c r="Y547" s="141">
        <f ca="1"/>
        <v>0.20507500000000001</v>
      </c>
      <c r="Z547" s="141">
        <f ca="1"/>
        <v>0.20507500000000001</v>
      </c>
      <c r="AA547" s="142">
        <f ca="1"/>
        <v>19.3795875</v>
      </c>
      <c r="AB547" s="138">
        <f ca="1"/>
        <v>9</v>
      </c>
      <c r="AC547" s="103" t="str">
        <f ca="1"/>
        <v>PROXIMOS FECHA CORTA</v>
      </c>
      <c r="AD547" s="150">
        <f ca="1"/>
        <v>9.4500000000000001E-2</v>
      </c>
    </row>
    <row r="548" spans="1:30">
      <c r="A548" s="111" t="str">
        <f ca="1"/>
        <v>MACHACHI</v>
      </c>
      <c r="B548" s="111" t="str">
        <f ca="1"/>
        <v>BEBIDAS LACTEAS</v>
      </c>
      <c r="C548" s="111" t="str">
        <f ca="1"/>
        <v xml:space="preserve">Luis Armendariz                         </v>
      </c>
      <c r="D548" s="111" t="str">
        <f ca="1"/>
        <v>BON YURT</v>
      </c>
      <c r="E548" s="111" t="str">
        <f ca="1"/>
        <v>BON YURT MINI</v>
      </c>
      <c r="F548" s="120" t="str">
        <f ca="1"/>
        <v>GUAYAQUIL</v>
      </c>
      <c r="G548" s="120">
        <f ca="1"/>
        <v>7711</v>
      </c>
      <c r="H548" s="120">
        <f ca="1"/>
        <v>1001</v>
      </c>
      <c r="I548" s="120" t="str">
        <f ca="1"/>
        <v>17115</v>
      </c>
      <c r="J548" s="120" t="str">
        <f ca="1"/>
        <v>BY MINI CRUNFRE VASO 90G</v>
      </c>
      <c r="K548" s="121">
        <f ca="1"/>
        <v>630</v>
      </c>
      <c r="L548" s="122">
        <f ca="1"/>
        <v>1</v>
      </c>
      <c r="M548" s="120">
        <f ca="1"/>
        <v>0.09</v>
      </c>
      <c r="N548" s="121">
        <f ca="1"/>
        <v>45</v>
      </c>
      <c r="O548" s="123">
        <f ca="1"/>
        <v>45616</v>
      </c>
      <c r="P548" s="123" t="str">
        <f ca="1"/>
        <v>miércoles</v>
      </c>
      <c r="Q548" s="124">
        <f ca="1"/>
        <v>45610</v>
      </c>
      <c r="R548" s="124">
        <f ca="1"/>
        <v>45654</v>
      </c>
      <c r="S548" s="90">
        <f ca="1"/>
        <v>30</v>
      </c>
      <c r="T548" s="139">
        <f ca="1"/>
        <v>0.66666666666666663</v>
      </c>
      <c r="U548" s="131">
        <f ca="1"/>
        <v>70</v>
      </c>
      <c r="V548" s="120">
        <f ca="1"/>
        <v>6.3</v>
      </c>
      <c r="W548" s="140">
        <f ca="1"/>
        <v>6</v>
      </c>
      <c r="X548" s="139">
        <f ca="1"/>
        <v>0.8666666666666667</v>
      </c>
      <c r="Y548" s="141">
        <f ca="1"/>
        <v>0.20507500000000001</v>
      </c>
      <c r="Z548" s="141">
        <f ca="1"/>
        <v>0.20507500000000001</v>
      </c>
      <c r="AA548" s="142">
        <f ca="1"/>
        <v>1.2919725</v>
      </c>
      <c r="AB548" s="138">
        <f ca="1"/>
        <v>8</v>
      </c>
      <c r="AC548" s="103" t="str">
        <f ca="1"/>
        <v>VIGENTE</v>
      </c>
      <c r="AD548" s="150">
        <f ca="1"/>
        <v>6.3E-3</v>
      </c>
    </row>
    <row r="549" spans="1:30">
      <c r="A549" s="111" t="str">
        <f ca="1"/>
        <v>MACHACHI</v>
      </c>
      <c r="B549" s="111" t="str">
        <f ca="1"/>
        <v>BEBIDAS LACTEAS</v>
      </c>
      <c r="C549" s="111" t="str">
        <f ca="1"/>
        <v xml:space="preserve">Luis Armendariz                         </v>
      </c>
      <c r="D549" s="111" t="str">
        <f ca="1"/>
        <v>BON YURT</v>
      </c>
      <c r="E549" s="111" t="str">
        <f ca="1"/>
        <v>BON YURT MINI</v>
      </c>
      <c r="F549" s="120" t="str">
        <f ca="1"/>
        <v>GUAYAQUIL</v>
      </c>
      <c r="G549" s="120">
        <f ca="1"/>
        <v>7711</v>
      </c>
      <c r="H549" s="120">
        <f ca="1"/>
        <v>1001</v>
      </c>
      <c r="I549" s="120" t="str">
        <f ca="1"/>
        <v>17115</v>
      </c>
      <c r="J549" s="120" t="str">
        <f ca="1"/>
        <v>BY MINI CRUNFRE VASO 90G</v>
      </c>
      <c r="K549" s="121">
        <f ca="1"/>
        <v>560</v>
      </c>
      <c r="L549" s="122">
        <f ca="1"/>
        <v>1</v>
      </c>
      <c r="M549" s="120">
        <f ca="1"/>
        <v>0.09</v>
      </c>
      <c r="N549" s="121">
        <f ca="1"/>
        <v>45</v>
      </c>
      <c r="O549" s="123">
        <f ca="1"/>
        <v>45617</v>
      </c>
      <c r="P549" s="123" t="str">
        <f ca="1"/>
        <v>jueves</v>
      </c>
      <c r="Q549" s="124">
        <f ca="1"/>
        <v>45610</v>
      </c>
      <c r="R549" s="124">
        <f ca="1"/>
        <v>45654</v>
      </c>
      <c r="S549" s="90">
        <f ca="1"/>
        <v>30</v>
      </c>
      <c r="T549" s="139">
        <f ca="1"/>
        <v>0.66666666666666663</v>
      </c>
      <c r="U549" s="131">
        <f ca="1"/>
        <v>560</v>
      </c>
      <c r="V549" s="120">
        <f ca="1"/>
        <v>50.4</v>
      </c>
      <c r="W549" s="140">
        <f ca="1"/>
        <v>7</v>
      </c>
      <c r="X549" s="139">
        <f ca="1"/>
        <v>0.84444444444444444</v>
      </c>
      <c r="Y549" s="141">
        <f ca="1"/>
        <v>0.20507500000000001</v>
      </c>
      <c r="Z549" s="141">
        <f ca="1"/>
        <v>0.20507500000000001</v>
      </c>
      <c r="AA549" s="142">
        <f ca="1"/>
        <v>10.33578</v>
      </c>
      <c r="AB549" s="138">
        <f ca="1"/>
        <v>7</v>
      </c>
      <c r="AC549" s="103" t="str">
        <f ca="1"/>
        <v>VIGENTE</v>
      </c>
      <c r="AD549" s="150">
        <f ca="1"/>
        <v>5.04E-2</v>
      </c>
    </row>
    <row r="550" spans="1:30">
      <c r="A550" s="111" t="str">
        <f ca="1"/>
        <v>SAN GABRIEL</v>
      </c>
      <c r="B550" s="111" t="str">
        <f ca="1"/>
        <v>QUESOS Y GRASAS</v>
      </c>
      <c r="C550" s="111" t="str">
        <f ca="1"/>
        <v xml:space="preserve">Esteban Montenegro                      </v>
      </c>
      <c r="D550" s="111" t="str">
        <f ca="1"/>
        <v>QUESO MOZARELLA KIOSKO</v>
      </c>
      <c r="E550" s="111" t="str">
        <f ca="1"/>
        <v>QUESO MOZARELLA PIZZA KIOSKO BLOQUE</v>
      </c>
      <c r="F550" s="120" t="str">
        <f ca="1"/>
        <v>GUAYAQUIL</v>
      </c>
      <c r="G550" s="120">
        <f ca="1"/>
        <v>7711</v>
      </c>
      <c r="H550" s="120">
        <f ca="1"/>
        <v>1001</v>
      </c>
      <c r="I550" s="120" t="str">
        <f ca="1"/>
        <v>5745</v>
      </c>
      <c r="J550" s="120" t="str">
        <f ca="1"/>
        <v>Q MOZAR PIZZ KIOSKO AL PESO</v>
      </c>
      <c r="K550" s="121">
        <f ca="1"/>
        <v>64</v>
      </c>
      <c r="L550" s="122">
        <f ca="1"/>
        <v>3</v>
      </c>
      <c r="M550" s="120">
        <f ca="1"/>
        <v>1</v>
      </c>
      <c r="N550" s="121">
        <f ca="1"/>
        <v>40</v>
      </c>
      <c r="O550" s="123">
        <f ca="1"/>
        <v>45615</v>
      </c>
      <c r="P550" s="123" t="str">
        <f ca="1"/>
        <v>martes</v>
      </c>
      <c r="Q550" s="124">
        <f ca="1"/>
        <v>45610</v>
      </c>
      <c r="R550" s="124">
        <f ca="1"/>
        <v>45649</v>
      </c>
      <c r="S550" s="90">
        <f ca="1"/>
        <v>25</v>
      </c>
      <c r="T550" s="139">
        <f ca="1"/>
        <v>0.625</v>
      </c>
      <c r="U550" s="131">
        <f ca="1"/>
        <v>20</v>
      </c>
      <c r="V550" s="120">
        <f ca="1"/>
        <v>60</v>
      </c>
      <c r="W550" s="140">
        <f ca="1"/>
        <v>5</v>
      </c>
      <c r="X550" s="139">
        <f ca="1"/>
        <v>0.875</v>
      </c>
      <c r="Y550" s="141">
        <f ca="1"/>
        <v>5.7276199999999999</v>
      </c>
      <c r="Z550" s="141">
        <f ca="1"/>
        <v>17.182859999999998</v>
      </c>
      <c r="AA550" s="142">
        <f ca="1"/>
        <v>1030.9715999999999</v>
      </c>
      <c r="AB550" s="138">
        <f ca="1"/>
        <v>9</v>
      </c>
      <c r="AC550" s="103" t="str">
        <f ca="1"/>
        <v>PROXIMOS FECHA CORTA</v>
      </c>
      <c r="AD550" s="150">
        <f ca="1"/>
        <v>0.06</v>
      </c>
    </row>
    <row r="551" spans="1:30">
      <c r="A551" s="111" t="str">
        <f ca="1"/>
        <v>SAN GABRIEL</v>
      </c>
      <c r="B551" s="111" t="str">
        <f ca="1"/>
        <v>QUESOS Y GRASAS</v>
      </c>
      <c r="C551" s="111" t="str">
        <f ca="1"/>
        <v xml:space="preserve">Esteban Montenegro                      </v>
      </c>
      <c r="D551" s="111" t="str">
        <f ca="1"/>
        <v>QUESO MOZARELLA KIOSKO</v>
      </c>
      <c r="E551" s="111" t="str">
        <f ca="1"/>
        <v>QUESO MOZARELLA PIZZA KIOSKO BLOQUE</v>
      </c>
      <c r="F551" s="120" t="str">
        <f ca="1"/>
        <v>GUAYAQUIL</v>
      </c>
      <c r="G551" s="120">
        <f ca="1"/>
        <v>7711</v>
      </c>
      <c r="H551" s="120">
        <f ca="1"/>
        <v>1001</v>
      </c>
      <c r="I551" s="120" t="str">
        <f ca="1"/>
        <v>5745</v>
      </c>
      <c r="J551" s="120" t="str">
        <f ca="1"/>
        <v>Q MOZAR PIZZ KIOSKO AL PESO</v>
      </c>
      <c r="K551" s="121">
        <f ca="1"/>
        <v>100</v>
      </c>
      <c r="L551" s="122">
        <f ca="1"/>
        <v>3</v>
      </c>
      <c r="M551" s="120">
        <f ca="1"/>
        <v>1</v>
      </c>
      <c r="N551" s="121">
        <f ca="1"/>
        <v>40</v>
      </c>
      <c r="O551" s="123">
        <f ca="1"/>
        <v>45616</v>
      </c>
      <c r="P551" s="123" t="str">
        <f ca="1"/>
        <v>miércoles</v>
      </c>
      <c r="Q551" s="124">
        <f ca="1"/>
        <v>45610</v>
      </c>
      <c r="R551" s="124">
        <f ca="1"/>
        <v>45649</v>
      </c>
      <c r="S551" s="90">
        <f ca="1"/>
        <v>25</v>
      </c>
      <c r="T551" s="139">
        <f ca="1"/>
        <v>0.625</v>
      </c>
      <c r="U551" s="131">
        <f ca="1"/>
        <v>100</v>
      </c>
      <c r="V551" s="120">
        <f ca="1"/>
        <v>300</v>
      </c>
      <c r="W551" s="140">
        <f ca="1"/>
        <v>6</v>
      </c>
      <c r="X551" s="139">
        <f ca="1"/>
        <v>0.85</v>
      </c>
      <c r="Y551" s="141">
        <f ca="1"/>
        <v>5.7276199999999999</v>
      </c>
      <c r="Z551" s="141">
        <f ca="1"/>
        <v>17.182859999999998</v>
      </c>
      <c r="AA551" s="142">
        <f ca="1"/>
        <v>5154.8579999999993</v>
      </c>
      <c r="AB551" s="138">
        <f ca="1"/>
        <v>8</v>
      </c>
      <c r="AC551" s="103" t="str">
        <f ca="1"/>
        <v>PROXIMOS FECHA CORTA</v>
      </c>
      <c r="AD551" s="150">
        <f ca="1"/>
        <v>0.3</v>
      </c>
    </row>
    <row r="552" spans="1:30">
      <c r="A552" s="111" t="str">
        <f ca="1"/>
        <v>SAN GABRIEL</v>
      </c>
      <c r="B552" s="111" t="str">
        <f ca="1"/>
        <v>QUESOS Y GRASAS</v>
      </c>
      <c r="C552" s="111" t="str">
        <f ca="1"/>
        <v xml:space="preserve">Esteban Montenegro                      </v>
      </c>
      <c r="D552" s="111" t="str">
        <f ca="1"/>
        <v>QUESO MOZARELLA KIOSKO</v>
      </c>
      <c r="E552" s="111" t="str">
        <f ca="1"/>
        <v>QUESO MOZARELLA PIZZA KIOSKO BLOQUE</v>
      </c>
      <c r="F552" s="120" t="str">
        <f ca="1"/>
        <v>GUAYAQUIL</v>
      </c>
      <c r="G552" s="120">
        <f ca="1"/>
        <v>7711</v>
      </c>
      <c r="H552" s="120">
        <f ca="1"/>
        <v>1001</v>
      </c>
      <c r="I552" s="120" t="str">
        <f ca="1"/>
        <v>5745</v>
      </c>
      <c r="J552" s="120" t="str">
        <f ca="1"/>
        <v>Q MOZAR PIZZ KIOSKO AL PESO</v>
      </c>
      <c r="K552" s="121">
        <f ca="1"/>
        <v>190</v>
      </c>
      <c r="L552" s="122">
        <f ca="1"/>
        <v>3</v>
      </c>
      <c r="M552" s="120">
        <f ca="1"/>
        <v>1</v>
      </c>
      <c r="N552" s="121">
        <f ca="1"/>
        <v>40</v>
      </c>
      <c r="O552" s="123">
        <f ca="1"/>
        <v>45617</v>
      </c>
      <c r="P552" s="123" t="str">
        <f ca="1"/>
        <v>jueves</v>
      </c>
      <c r="Q552" s="124">
        <f ca="1"/>
        <v>45611</v>
      </c>
      <c r="R552" s="124">
        <f ca="1"/>
        <v>45650</v>
      </c>
      <c r="S552" s="90">
        <f ca="1"/>
        <v>26</v>
      </c>
      <c r="T552" s="139">
        <f ca="1"/>
        <v>0.65</v>
      </c>
      <c r="U552" s="131">
        <f ca="1"/>
        <v>190</v>
      </c>
      <c r="V552" s="120">
        <f ca="1"/>
        <v>570</v>
      </c>
      <c r="W552" s="140">
        <f ca="1"/>
        <v>6</v>
      </c>
      <c r="X552" s="139">
        <f ca="1"/>
        <v>0.85</v>
      </c>
      <c r="Y552" s="141">
        <f ca="1"/>
        <v>5.7276199999999999</v>
      </c>
      <c r="Z552" s="141">
        <f ca="1"/>
        <v>17.182859999999998</v>
      </c>
      <c r="AA552" s="142">
        <f ca="1"/>
        <v>9794.2301999999981</v>
      </c>
      <c r="AB552" s="138">
        <f ca="1"/>
        <v>7</v>
      </c>
      <c r="AC552" s="103" t="str">
        <f ca="1"/>
        <v>PROXIMOS FECHA CORTA</v>
      </c>
      <c r="AD552" s="150">
        <f ca="1"/>
        <v>0.56999999999999995</v>
      </c>
    </row>
    <row r="553" spans="1:30">
      <c r="A553" s="111" t="str">
        <f ca="1"/>
        <v>SAN GABRIEL</v>
      </c>
      <c r="B553" s="111" t="str">
        <f ca="1"/>
        <v>QUESOS Y GRASAS</v>
      </c>
      <c r="C553" s="111" t="str">
        <f ca="1"/>
        <v xml:space="preserve">Esteban Montenegro                      </v>
      </c>
      <c r="D553" s="111" t="str">
        <f ca="1"/>
        <v>QUESO SEMIMADURO KIOSKO</v>
      </c>
      <c r="E553" s="111" t="str">
        <f ca="1"/>
        <v>QUESO ANDINO KIOSKO BLOQUE</v>
      </c>
      <c r="F553" s="120" t="str">
        <f ca="1"/>
        <v>GUAYAQUIL</v>
      </c>
      <c r="G553" s="120">
        <f ca="1"/>
        <v>7711</v>
      </c>
      <c r="H553" s="120">
        <f ca="1"/>
        <v>1001</v>
      </c>
      <c r="I553" s="120" t="str">
        <f ca="1"/>
        <v>16371</v>
      </c>
      <c r="J553" s="120" t="str">
        <f ca="1"/>
        <v>Q ANDINO KIOSKO RUEDA 450G</v>
      </c>
      <c r="K553" s="121">
        <f ca="1"/>
        <v>36</v>
      </c>
      <c r="L553" s="122">
        <f ca="1"/>
        <v>1</v>
      </c>
      <c r="M553" s="120">
        <f ca="1"/>
        <v>0.45</v>
      </c>
      <c r="N553" s="121">
        <f ca="1"/>
        <v>90</v>
      </c>
      <c r="O553" s="123">
        <f ca="1"/>
        <v>45615</v>
      </c>
      <c r="P553" s="123" t="str">
        <f ca="1"/>
        <v>martes</v>
      </c>
      <c r="Q553" s="124">
        <f ca="1"/>
        <v>45610</v>
      </c>
      <c r="R553" s="124">
        <f ca="1"/>
        <v>45699</v>
      </c>
      <c r="S553" s="90">
        <f ca="1"/>
        <v>75</v>
      </c>
      <c r="T553" s="139">
        <f ca="1"/>
        <v>0.83333333333333337</v>
      </c>
      <c r="U553" s="131">
        <f ca="1"/>
        <v>19</v>
      </c>
      <c r="V553" s="120">
        <f ca="1"/>
        <v>8.5500000000000007</v>
      </c>
      <c r="W553" s="140">
        <f ca="1"/>
        <v>5</v>
      </c>
      <c r="X553" s="139">
        <f ca="1"/>
        <v>0.94444444444444442</v>
      </c>
      <c r="Y553" s="141">
        <f ca="1"/>
        <v>3.27454</v>
      </c>
      <c r="Z553" s="141">
        <f ca="1"/>
        <v>3.27454</v>
      </c>
      <c r="AA553" s="142">
        <f ca="1"/>
        <v>27.997317000000002</v>
      </c>
      <c r="AB553" s="138">
        <f ca="1"/>
        <v>9</v>
      </c>
      <c r="AC553" s="103" t="str">
        <f ca="1"/>
        <v>VIGENTE</v>
      </c>
      <c r="AD553" s="150">
        <f ca="1"/>
        <v>8.5500000000000003E-3</v>
      </c>
    </row>
    <row r="554" spans="1:30">
      <c r="A554" s="111" t="str">
        <f ca="1"/>
        <v>SAN GABRIEL</v>
      </c>
      <c r="B554" s="111" t="str">
        <f ca="1"/>
        <v>QUESOS Y GRASAS</v>
      </c>
      <c r="C554" s="111" t="str">
        <f ca="1"/>
        <v xml:space="preserve">Esteban Montenegro                      </v>
      </c>
      <c r="D554" s="111" t="str">
        <f ca="1"/>
        <v>QUESO SEMIMADURO KIOSKO</v>
      </c>
      <c r="E554" s="111" t="str">
        <f ca="1"/>
        <v>QUESO ANDINO KIOSKO BLOQUE</v>
      </c>
      <c r="F554" s="120" t="str">
        <f ca="1"/>
        <v>GUAYAQUIL</v>
      </c>
      <c r="G554" s="120">
        <f ca="1"/>
        <v>7711</v>
      </c>
      <c r="H554" s="120">
        <f ca="1"/>
        <v>1001</v>
      </c>
      <c r="I554" s="120" t="str">
        <f ca="1"/>
        <v>16371</v>
      </c>
      <c r="J554" s="120" t="str">
        <f ca="1"/>
        <v>Q ANDINO KIOSKO RUEDA 450G</v>
      </c>
      <c r="K554" s="121">
        <f ca="1"/>
        <v>36</v>
      </c>
      <c r="L554" s="122">
        <f ca="1"/>
        <v>1</v>
      </c>
      <c r="M554" s="120">
        <f ca="1"/>
        <v>0.45</v>
      </c>
      <c r="N554" s="121">
        <f ca="1"/>
        <v>90</v>
      </c>
      <c r="O554" s="123">
        <f ca="1"/>
        <v>45617</v>
      </c>
      <c r="P554" s="123" t="str">
        <f ca="1"/>
        <v>jueves</v>
      </c>
      <c r="Q554" s="124">
        <f ca="1"/>
        <v>45610</v>
      </c>
      <c r="R554" s="124">
        <f ca="1"/>
        <v>45699</v>
      </c>
      <c r="S554" s="90">
        <f ca="1"/>
        <v>75</v>
      </c>
      <c r="T554" s="139">
        <f ca="1"/>
        <v>0.83333333333333337</v>
      </c>
      <c r="U554" s="131">
        <f ca="1"/>
        <v>36</v>
      </c>
      <c r="V554" s="120">
        <f ca="1"/>
        <v>16.2</v>
      </c>
      <c r="W554" s="140">
        <f ca="1"/>
        <v>7</v>
      </c>
      <c r="X554" s="139">
        <f ca="1"/>
        <v>0.92222222222222228</v>
      </c>
      <c r="Y554" s="141">
        <f ca="1"/>
        <v>3.27454</v>
      </c>
      <c r="Z554" s="141">
        <f ca="1"/>
        <v>3.27454</v>
      </c>
      <c r="AA554" s="142">
        <f ca="1"/>
        <v>53.047547999999999</v>
      </c>
      <c r="AB554" s="138">
        <f ca="1"/>
        <v>7</v>
      </c>
      <c r="AC554" s="103" t="str">
        <f ca="1"/>
        <v>VIGENTE</v>
      </c>
      <c r="AD554" s="150">
        <f ca="1"/>
        <v>1.6199999999999999E-2</v>
      </c>
    </row>
    <row r="555" spans="1:30">
      <c r="A555" s="111" t="str">
        <f ca="1"/>
        <v>SAN GABRIEL</v>
      </c>
      <c r="B555" s="111" t="str">
        <f ca="1"/>
        <v>QUESOS Y GRASAS</v>
      </c>
      <c r="C555" s="111" t="str">
        <f ca="1"/>
        <v xml:space="preserve">Esteban Montenegro                      </v>
      </c>
      <c r="D555" s="111" t="str">
        <f ca="1"/>
        <v>QUESO FUNDIDO</v>
      </c>
      <c r="E555" s="111" t="str">
        <f ca="1"/>
        <v>QUESO FUNDIDO</v>
      </c>
      <c r="F555" s="120" t="str">
        <f ca="1"/>
        <v>GUAYAQUIL</v>
      </c>
      <c r="G555" s="120">
        <f ca="1"/>
        <v>7711</v>
      </c>
      <c r="H555" s="120">
        <f ca="1"/>
        <v>1001</v>
      </c>
      <c r="I555" s="120" t="str">
        <f ca="1"/>
        <v>16407</v>
      </c>
      <c r="J555" s="120" t="str">
        <f ca="1"/>
        <v>Q ESPAR CHED KIOSKO DOYP 200G</v>
      </c>
      <c r="K555" s="121">
        <f ca="1"/>
        <v>140</v>
      </c>
      <c r="L555" s="122">
        <f ca="1"/>
        <v>1</v>
      </c>
      <c r="M555" s="120">
        <f ca="1"/>
        <v>0.2</v>
      </c>
      <c r="N555" s="121">
        <f ca="1"/>
        <v>90</v>
      </c>
      <c r="O555" s="123">
        <f ca="1"/>
        <v>45604</v>
      </c>
      <c r="P555" s="123" t="str">
        <f ca="1"/>
        <v>viernes</v>
      </c>
      <c r="Q555" s="124">
        <f ca="1"/>
        <v>45597</v>
      </c>
      <c r="R555" s="124">
        <f ca="1"/>
        <v>45686</v>
      </c>
      <c r="S555" s="90">
        <f ca="1"/>
        <v>62</v>
      </c>
      <c r="T555" s="139">
        <f ca="1"/>
        <v>0.68888888888888888</v>
      </c>
      <c r="U555" s="131">
        <f ca="1"/>
        <v>83</v>
      </c>
      <c r="V555" s="120">
        <f ca="1"/>
        <v>16.600000000000001</v>
      </c>
      <c r="W555" s="140">
        <f ca="1"/>
        <v>7</v>
      </c>
      <c r="X555" s="139">
        <f ca="1"/>
        <v>0.92222222222222228</v>
      </c>
      <c r="Y555" s="141">
        <f ca="1"/>
        <v>0.47434500000000002</v>
      </c>
      <c r="Z555" s="141">
        <f ca="1"/>
        <v>0.47434500000000002</v>
      </c>
      <c r="AA555" s="142">
        <f ca="1"/>
        <v>7.8741270000000005</v>
      </c>
      <c r="AB555" s="138">
        <f ca="1"/>
        <v>20</v>
      </c>
      <c r="AC555" s="103" t="str">
        <f ca="1"/>
        <v>VIGENTE</v>
      </c>
      <c r="AD555" s="150">
        <f ca="1"/>
        <v>1.66E-2</v>
      </c>
    </row>
    <row r="556" spans="1:30">
      <c r="A556" s="111" t="str">
        <f ca="1"/>
        <v>SAN GABRIEL</v>
      </c>
      <c r="B556" s="111" t="str">
        <f ca="1"/>
        <v>QUESOS Y GRASAS</v>
      </c>
      <c r="C556" s="111" t="str">
        <f ca="1"/>
        <v xml:space="preserve">Esteban Montenegro                      </v>
      </c>
      <c r="D556" s="111" t="str">
        <f ca="1"/>
        <v>QUESO FUNDIDO</v>
      </c>
      <c r="E556" s="111" t="str">
        <f ca="1"/>
        <v>QUESO FUNDIDO</v>
      </c>
      <c r="F556" s="120" t="str">
        <f ca="1"/>
        <v>GUAYAQUIL</v>
      </c>
      <c r="G556" s="120">
        <f ca="1"/>
        <v>7711</v>
      </c>
      <c r="H556" s="120">
        <f ca="1"/>
        <v>1001</v>
      </c>
      <c r="I556" s="120" t="str">
        <f ca="1"/>
        <v>16407</v>
      </c>
      <c r="J556" s="120" t="str">
        <f ca="1"/>
        <v>Q ESPAR CHED KIOSKO DOYP 200G</v>
      </c>
      <c r="K556" s="121">
        <f ca="1"/>
        <v>70</v>
      </c>
      <c r="L556" s="122">
        <f ca="1"/>
        <v>1</v>
      </c>
      <c r="M556" s="120">
        <f ca="1"/>
        <v>0.2</v>
      </c>
      <c r="N556" s="121">
        <f ca="1"/>
        <v>90</v>
      </c>
      <c r="O556" s="123">
        <f ca="1"/>
        <v>45610</v>
      </c>
      <c r="P556" s="123" t="str">
        <f ca="1"/>
        <v>jueves</v>
      </c>
      <c r="Q556" s="124">
        <f ca="1"/>
        <v>45597</v>
      </c>
      <c r="R556" s="124">
        <f ca="1"/>
        <v>45686</v>
      </c>
      <c r="S556" s="90">
        <f ca="1"/>
        <v>62</v>
      </c>
      <c r="T556" s="139">
        <f ca="1"/>
        <v>0.68888888888888888</v>
      </c>
      <c r="U556" s="131">
        <f ca="1"/>
        <v>70</v>
      </c>
      <c r="V556" s="120">
        <f ca="1"/>
        <v>14</v>
      </c>
      <c r="W556" s="140">
        <f ca="1"/>
        <v>13</v>
      </c>
      <c r="X556" s="139">
        <f ca="1"/>
        <v>0.85555555555555562</v>
      </c>
      <c r="Y556" s="141">
        <f ca="1"/>
        <v>0.47434500000000002</v>
      </c>
      <c r="Z556" s="141">
        <f ca="1"/>
        <v>0.47434500000000002</v>
      </c>
      <c r="AA556" s="142">
        <f ca="1"/>
        <v>6.6408300000000002</v>
      </c>
      <c r="AB556" s="138">
        <f ca="1"/>
        <v>14</v>
      </c>
      <c r="AC556" s="103" t="str">
        <f ca="1"/>
        <v>VIGENTE</v>
      </c>
      <c r="AD556" s="150">
        <f ca="1"/>
        <v>1.4E-2</v>
      </c>
    </row>
    <row r="557" spans="1:30">
      <c r="A557" s="111" t="str">
        <f ca="1"/>
        <v>SAN GABRIEL</v>
      </c>
      <c r="B557" s="111" t="str">
        <f ca="1"/>
        <v>QUESOS Y GRASAS</v>
      </c>
      <c r="C557" s="111" t="str">
        <f ca="1"/>
        <v xml:space="preserve">Esteban Montenegro                      </v>
      </c>
      <c r="D557" s="111" t="str">
        <f ca="1"/>
        <v>QUESO FUNDIDO</v>
      </c>
      <c r="E557" s="111" t="str">
        <f ca="1"/>
        <v>QUESO FUNDIDO</v>
      </c>
      <c r="F557" s="120" t="str">
        <f ca="1"/>
        <v>GUAYAQUIL</v>
      </c>
      <c r="G557" s="120">
        <f ca="1"/>
        <v>7711</v>
      </c>
      <c r="H557" s="120">
        <f ca="1"/>
        <v>1001</v>
      </c>
      <c r="I557" s="120" t="str">
        <f ca="1"/>
        <v>16407</v>
      </c>
      <c r="J557" s="120" t="str">
        <f ca="1"/>
        <v>Q ESPAR CHED KIOSKO DOYP 200G</v>
      </c>
      <c r="K557" s="121">
        <f ca="1"/>
        <v>140</v>
      </c>
      <c r="L557" s="122">
        <f ca="1"/>
        <v>1</v>
      </c>
      <c r="M557" s="120">
        <f ca="1"/>
        <v>0.2</v>
      </c>
      <c r="N557" s="121">
        <f ca="1"/>
        <v>90</v>
      </c>
      <c r="O557" s="123">
        <f ca="1"/>
        <v>45615</v>
      </c>
      <c r="P557" s="123" t="str">
        <f ca="1"/>
        <v>martes</v>
      </c>
      <c r="Q557" s="124">
        <f ca="1"/>
        <v>45611</v>
      </c>
      <c r="R557" s="124">
        <f ca="1"/>
        <v>45700</v>
      </c>
      <c r="S557" s="90">
        <f ca="1"/>
        <v>76</v>
      </c>
      <c r="T557" s="139">
        <f ca="1"/>
        <v>0.84444444444444444</v>
      </c>
      <c r="U557" s="131">
        <f ca="1"/>
        <v>140</v>
      </c>
      <c r="V557" s="120">
        <f ca="1"/>
        <v>28</v>
      </c>
      <c r="W557" s="140">
        <f ca="1"/>
        <v>4</v>
      </c>
      <c r="X557" s="139">
        <f ca="1"/>
        <v>0.9555555555555556</v>
      </c>
      <c r="Y557" s="141">
        <f ca="1"/>
        <v>0.47434500000000002</v>
      </c>
      <c r="Z557" s="141">
        <f ca="1"/>
        <v>0.47434500000000002</v>
      </c>
      <c r="AA557" s="142">
        <f ca="1"/>
        <v>13.28166</v>
      </c>
      <c r="AB557" s="138">
        <f ca="1"/>
        <v>9</v>
      </c>
      <c r="AC557" s="103" t="str">
        <f ca="1"/>
        <v>VIGENTE</v>
      </c>
      <c r="AD557" s="150">
        <f ca="1"/>
        <v>2.8000000000000001E-2</v>
      </c>
    </row>
    <row r="558" spans="1:30">
      <c r="A558" s="111" t="str">
        <f ca="1"/>
        <v>SAN GABRIEL</v>
      </c>
      <c r="B558" s="111" t="str">
        <f ca="1"/>
        <v>QUESOS Y GRASAS</v>
      </c>
      <c r="C558" s="111" t="str">
        <f ca="1"/>
        <v xml:space="preserve">Esteban Montenegro                      </v>
      </c>
      <c r="D558" s="111" t="str">
        <f ca="1"/>
        <v>QUESO FUNDIDO</v>
      </c>
      <c r="E558" s="111" t="str">
        <f ca="1"/>
        <v>QUESO FUNDIDO</v>
      </c>
      <c r="F558" s="120" t="str">
        <f ca="1"/>
        <v>GUAYAQUIL</v>
      </c>
      <c r="G558" s="120">
        <f ca="1"/>
        <v>7711</v>
      </c>
      <c r="H558" s="120">
        <f ca="1"/>
        <v>1001</v>
      </c>
      <c r="I558" s="120" t="str">
        <f ca="1"/>
        <v>16407</v>
      </c>
      <c r="J558" s="120" t="str">
        <f ca="1"/>
        <v>Q ESPAR CHED KIOSKO DOYP 200G</v>
      </c>
      <c r="K558" s="121">
        <f ca="1"/>
        <v>70</v>
      </c>
      <c r="L558" s="122">
        <f ca="1"/>
        <v>1</v>
      </c>
      <c r="M558" s="120">
        <f ca="1"/>
        <v>0.2</v>
      </c>
      <c r="N558" s="121">
        <f ca="1"/>
        <v>90</v>
      </c>
      <c r="O558" s="123">
        <f ca="1"/>
        <v>45616</v>
      </c>
      <c r="P558" s="123" t="str">
        <f ca="1"/>
        <v>miércoles</v>
      </c>
      <c r="Q558" s="124">
        <f ca="1"/>
        <v>45611</v>
      </c>
      <c r="R558" s="124">
        <f ca="1"/>
        <v>45700</v>
      </c>
      <c r="S558" s="90">
        <f ca="1"/>
        <v>76</v>
      </c>
      <c r="T558" s="139">
        <f ca="1"/>
        <v>0.84444444444444444</v>
      </c>
      <c r="U558" s="131">
        <f ca="1"/>
        <v>70</v>
      </c>
      <c r="V558" s="120">
        <f ca="1"/>
        <v>14</v>
      </c>
      <c r="W558" s="140">
        <f ca="1"/>
        <v>5</v>
      </c>
      <c r="X558" s="139">
        <f ca="1"/>
        <v>0.94444444444444442</v>
      </c>
      <c r="Y558" s="141">
        <f ca="1"/>
        <v>0.47434500000000002</v>
      </c>
      <c r="Z558" s="141">
        <f ca="1"/>
        <v>0.47434500000000002</v>
      </c>
      <c r="AA558" s="142">
        <f ca="1"/>
        <v>6.6408300000000002</v>
      </c>
      <c r="AB558" s="138">
        <f ca="1"/>
        <v>8</v>
      </c>
      <c r="AC558" s="103" t="str">
        <f ca="1"/>
        <v>VIGENTE</v>
      </c>
      <c r="AD558" s="150">
        <f ca="1"/>
        <v>1.4E-2</v>
      </c>
    </row>
    <row r="559" spans="1:30">
      <c r="A559" s="111" t="str">
        <f ca="1"/>
        <v>SAN GABRIEL</v>
      </c>
      <c r="B559" s="111" t="str">
        <f ca="1"/>
        <v>QUESOS Y GRASAS</v>
      </c>
      <c r="C559" s="111" t="str">
        <f ca="1"/>
        <v xml:space="preserve">Esteban Montenegro                      </v>
      </c>
      <c r="D559" s="111" t="str">
        <f ca="1"/>
        <v>QUESO FUNDIDO</v>
      </c>
      <c r="E559" s="111" t="str">
        <f ca="1"/>
        <v>QUESO FUNDIDO</v>
      </c>
      <c r="F559" s="120" t="str">
        <f ca="1"/>
        <v>GUAYAQUIL</v>
      </c>
      <c r="G559" s="120">
        <f ca="1"/>
        <v>7711</v>
      </c>
      <c r="H559" s="120">
        <f ca="1"/>
        <v>1001</v>
      </c>
      <c r="I559" s="120" t="str">
        <f ca="1"/>
        <v>16407</v>
      </c>
      <c r="J559" s="120" t="str">
        <f ca="1"/>
        <v>Q ESPAR CHED KIOSKO DOYP 200G</v>
      </c>
      <c r="K559" s="121">
        <f ca="1"/>
        <v>70</v>
      </c>
      <c r="L559" s="122">
        <f ca="1"/>
        <v>1</v>
      </c>
      <c r="M559" s="120">
        <f ca="1"/>
        <v>0.2</v>
      </c>
      <c r="N559" s="121">
        <f ca="1"/>
        <v>90</v>
      </c>
      <c r="O559" s="123">
        <f ca="1"/>
        <v>45617</v>
      </c>
      <c r="P559" s="123" t="str">
        <f ca="1"/>
        <v>jueves</v>
      </c>
      <c r="Q559" s="124">
        <f ca="1"/>
        <v>45611</v>
      </c>
      <c r="R559" s="124">
        <f ca="1"/>
        <v>45700</v>
      </c>
      <c r="S559" s="90">
        <f ca="1"/>
        <v>76</v>
      </c>
      <c r="T559" s="139">
        <f ca="1"/>
        <v>0.84444444444444444</v>
      </c>
      <c r="U559" s="131">
        <f ca="1"/>
        <v>70</v>
      </c>
      <c r="V559" s="120">
        <f ca="1"/>
        <v>14</v>
      </c>
      <c r="W559" s="140">
        <f ca="1"/>
        <v>6</v>
      </c>
      <c r="X559" s="139">
        <f ca="1"/>
        <v>0.93333333333333335</v>
      </c>
      <c r="Y559" s="141">
        <f ca="1"/>
        <v>0.47434500000000002</v>
      </c>
      <c r="Z559" s="141">
        <f ca="1"/>
        <v>0.47434500000000002</v>
      </c>
      <c r="AA559" s="142">
        <f ca="1"/>
        <v>6.6408300000000002</v>
      </c>
      <c r="AB559" s="138">
        <f ca="1"/>
        <v>7</v>
      </c>
      <c r="AC559" s="103" t="str">
        <f ca="1"/>
        <v>VIGENTE</v>
      </c>
      <c r="AD559" s="150">
        <f ca="1"/>
        <v>1.4E-2</v>
      </c>
    </row>
    <row r="560" spans="1:30">
      <c r="A560" s="111" t="str">
        <f ca="1"/>
        <v>SAN GABRIEL</v>
      </c>
      <c r="B560" s="111" t="str">
        <f ca="1"/>
        <v>QUESOS Y GRASAS</v>
      </c>
      <c r="C560" s="111" t="str">
        <f ca="1"/>
        <v xml:space="preserve">Esteban Montenegro                      </v>
      </c>
      <c r="D560" s="111" t="str">
        <f ca="1"/>
        <v>QUESO MOZARELLA KIOSKO</v>
      </c>
      <c r="E560" s="111" t="str">
        <f ca="1"/>
        <v>QUESO MOZARELLA PIZZA KIOSKO TAJADO</v>
      </c>
      <c r="F560" s="120" t="str">
        <f ca="1"/>
        <v>GUAYAQUIL</v>
      </c>
      <c r="G560" s="120">
        <f ca="1"/>
        <v>7711</v>
      </c>
      <c r="H560" s="120">
        <f ca="1"/>
        <v>1001</v>
      </c>
      <c r="I560" s="120" t="str">
        <f ca="1"/>
        <v>12035</v>
      </c>
      <c r="J560" s="120" t="str">
        <f ca="1"/>
        <v>Q MOZAR KIOSKO 10 LONJ 150G</v>
      </c>
      <c r="K560" s="121">
        <f ca="1"/>
        <v>0</v>
      </c>
      <c r="L560" s="122">
        <f ca="1"/>
        <v>1</v>
      </c>
      <c r="M560" s="120">
        <f ca="1"/>
        <v>0.15</v>
      </c>
      <c r="N560" s="121">
        <f ca="1"/>
        <v>30</v>
      </c>
      <c r="O560" s="123">
        <f ca="1"/>
        <v>45603</v>
      </c>
      <c r="P560" s="123" t="str">
        <f ca="1"/>
        <v>jueves</v>
      </c>
      <c r="Q560" s="124">
        <f ca="1"/>
        <v>45603</v>
      </c>
      <c r="R560" s="124">
        <f ca="1"/>
        <v>45632</v>
      </c>
      <c r="S560" s="90">
        <f ca="1"/>
        <v>8</v>
      </c>
      <c r="T560" s="139">
        <f ca="1"/>
        <v>0.26666666666666666</v>
      </c>
      <c r="U560" s="131">
        <f ca="1"/>
        <v>38</v>
      </c>
      <c r="V560" s="120">
        <f ca="1"/>
        <v>5.7</v>
      </c>
      <c r="W560" s="140">
        <f ca="1"/>
        <v>0</v>
      </c>
      <c r="X560" s="139">
        <f ca="1"/>
        <v>1</v>
      </c>
      <c r="Y560" s="141">
        <f ca="1"/>
        <v>1.178895</v>
      </c>
      <c r="Z560" s="141">
        <f ca="1"/>
        <v>1.178895</v>
      </c>
      <c r="AA560" s="142">
        <f ca="1"/>
        <v>6.7197015000000002</v>
      </c>
      <c r="AB560" s="138">
        <f ca="1"/>
        <v>21</v>
      </c>
      <c r="AC560" s="103" t="str">
        <f ca="1"/>
        <v>FECHA CORTA</v>
      </c>
      <c r="AD560" s="150">
        <f ca="1"/>
        <v>5.7000000000000002E-3</v>
      </c>
    </row>
    <row r="561" spans="1:30">
      <c r="A561" s="111" t="str">
        <f ca="1"/>
        <v>SAN GABRIEL</v>
      </c>
      <c r="B561" s="111" t="str">
        <f ca="1"/>
        <v>QUESOS Y GRASAS</v>
      </c>
      <c r="C561" s="111" t="str">
        <f ca="1"/>
        <v xml:space="preserve">Esteban Montenegro                      </v>
      </c>
      <c r="D561" s="111" t="str">
        <f ca="1"/>
        <v>QUESO MOZARELLA KIOSKO</v>
      </c>
      <c r="E561" s="111" t="str">
        <f ca="1"/>
        <v>QUESO MOZARELLA PIZZA KIOSKO TAJADO</v>
      </c>
      <c r="F561" s="120" t="str">
        <f ca="1"/>
        <v>GUAYAQUIL</v>
      </c>
      <c r="G561" s="120">
        <f ca="1"/>
        <v>7711</v>
      </c>
      <c r="H561" s="120">
        <f ca="1"/>
        <v>1001</v>
      </c>
      <c r="I561" s="120" t="str">
        <f ca="1"/>
        <v>12035</v>
      </c>
      <c r="J561" s="120" t="str">
        <f ca="1"/>
        <v>Q MOZAR KIOSKO 10 LONJ 150G</v>
      </c>
      <c r="K561" s="121">
        <f ca="1"/>
        <v>830</v>
      </c>
      <c r="L561" s="122">
        <f ca="1"/>
        <v>1</v>
      </c>
      <c r="M561" s="120">
        <f ca="1"/>
        <v>0.15</v>
      </c>
      <c r="N561" s="121">
        <f ca="1"/>
        <v>30</v>
      </c>
      <c r="O561" s="123">
        <f ca="1"/>
        <v>45611</v>
      </c>
      <c r="P561" s="123" t="str">
        <f ca="1"/>
        <v>viernes</v>
      </c>
      <c r="Q561" s="124">
        <f ca="1"/>
        <v>45608</v>
      </c>
      <c r="R561" s="124">
        <f ca="1"/>
        <v>45637</v>
      </c>
      <c r="S561" s="90">
        <f ca="1"/>
        <v>13</v>
      </c>
      <c r="T561" s="139">
        <f ca="1"/>
        <v>0.43333333333333335</v>
      </c>
      <c r="U561" s="131">
        <f ca="1"/>
        <v>28</v>
      </c>
      <c r="V561" s="120">
        <f ca="1"/>
        <v>4.2</v>
      </c>
      <c r="W561" s="140">
        <f ca="1"/>
        <v>3</v>
      </c>
      <c r="X561" s="139">
        <f ca="1"/>
        <v>0.9</v>
      </c>
      <c r="Y561" s="141">
        <f ca="1"/>
        <v>1.178895</v>
      </c>
      <c r="Z561" s="141">
        <f ca="1"/>
        <v>1.178895</v>
      </c>
      <c r="AA561" s="142">
        <f ca="1"/>
        <v>4.9513590000000001</v>
      </c>
      <c r="AB561" s="138">
        <f ca="1"/>
        <v>13</v>
      </c>
      <c r="AC561" s="103" t="str">
        <f ca="1"/>
        <v>FECHA CORTA</v>
      </c>
      <c r="AD561" s="150">
        <f ca="1"/>
        <v>4.2000000000000006E-3</v>
      </c>
    </row>
    <row r="562" spans="1:30">
      <c r="A562" s="111" t="str">
        <f ca="1"/>
        <v>SAN GABRIEL</v>
      </c>
      <c r="B562" s="111" t="str">
        <f ca="1"/>
        <v>QUESOS Y GRASAS</v>
      </c>
      <c r="C562" s="111" t="str">
        <f ca="1"/>
        <v xml:space="preserve">Esteban Montenegro                      </v>
      </c>
      <c r="D562" s="111" t="str">
        <f ca="1"/>
        <v>QUESO MOZARELLA KIOSKO</v>
      </c>
      <c r="E562" s="111" t="str">
        <f ca="1"/>
        <v>QUESO MOZARELLA PIZZA KIOSKO TAJADO</v>
      </c>
      <c r="F562" s="120" t="str">
        <f ca="1"/>
        <v>GUAYAQUIL</v>
      </c>
      <c r="G562" s="120">
        <f ca="1"/>
        <v>7711</v>
      </c>
      <c r="H562" s="120">
        <f ca="1"/>
        <v>1001</v>
      </c>
      <c r="I562" s="120" t="str">
        <f ca="1"/>
        <v>12035</v>
      </c>
      <c r="J562" s="120" t="str">
        <f ca="1"/>
        <v>Q MOZAR KIOSKO 10 LONJ 150G</v>
      </c>
      <c r="K562" s="121">
        <f ca="1"/>
        <v>220</v>
      </c>
      <c r="L562" s="122">
        <f ca="1"/>
        <v>1</v>
      </c>
      <c r="M562" s="120">
        <f ca="1"/>
        <v>0.15</v>
      </c>
      <c r="N562" s="121">
        <f ca="1"/>
        <v>30</v>
      </c>
      <c r="O562" s="123">
        <f ca="1"/>
        <v>45611</v>
      </c>
      <c r="P562" s="123" t="str">
        <f ca="1"/>
        <v>viernes</v>
      </c>
      <c r="Q562" s="124">
        <f ca="1"/>
        <v>45609</v>
      </c>
      <c r="R562" s="124">
        <f ca="1"/>
        <v>45638</v>
      </c>
      <c r="S562" s="90">
        <f ca="1"/>
        <v>14</v>
      </c>
      <c r="T562" s="139">
        <f ca="1"/>
        <v>0.46666666666666667</v>
      </c>
      <c r="U562" s="131">
        <f ca="1"/>
        <v>220</v>
      </c>
      <c r="V562" s="120">
        <f ca="1"/>
        <v>33</v>
      </c>
      <c r="W562" s="140">
        <f ca="1"/>
        <v>2</v>
      </c>
      <c r="X562" s="139">
        <f ca="1"/>
        <v>0.93333333333333335</v>
      </c>
      <c r="Y562" s="141">
        <f ca="1"/>
        <v>1.178895</v>
      </c>
      <c r="Z562" s="141">
        <f ca="1"/>
        <v>1.178895</v>
      </c>
      <c r="AA562" s="142">
        <f ca="1"/>
        <v>38.903534999999998</v>
      </c>
      <c r="AB562" s="138">
        <f ca="1"/>
        <v>13</v>
      </c>
      <c r="AC562" s="103" t="str">
        <f ca="1"/>
        <v>FECHA CORTA</v>
      </c>
      <c r="AD562" s="150">
        <f ca="1"/>
        <v>3.3000000000000002E-2</v>
      </c>
    </row>
    <row r="563" spans="1:30">
      <c r="A563" s="111" t="str">
        <f ca="1"/>
        <v>SAN GABRIEL</v>
      </c>
      <c r="B563" s="111" t="str">
        <f ca="1"/>
        <v>QUESOS Y GRASAS</v>
      </c>
      <c r="C563" s="111" t="str">
        <f ca="1"/>
        <v xml:space="preserve">Esteban Montenegro                      </v>
      </c>
      <c r="D563" s="111" t="str">
        <f ca="1"/>
        <v>QUESO MOZARELLA KIOSKO</v>
      </c>
      <c r="E563" s="111" t="str">
        <f ca="1"/>
        <v>QUESO MOZARELLA PIZZA KIOSKO TAJADO</v>
      </c>
      <c r="F563" s="120" t="str">
        <f ca="1"/>
        <v>GUAYAQUIL</v>
      </c>
      <c r="G563" s="120">
        <f ca="1"/>
        <v>7711</v>
      </c>
      <c r="H563" s="120">
        <f ca="1"/>
        <v>1001</v>
      </c>
      <c r="I563" s="120" t="str">
        <f ca="1"/>
        <v>12035</v>
      </c>
      <c r="J563" s="120" t="str">
        <f ca="1"/>
        <v>Q MOZAR KIOSKO 10 LONJ 150G</v>
      </c>
      <c r="K563" s="121">
        <f ca="1"/>
        <v>139</v>
      </c>
      <c r="L563" s="122">
        <f ca="1"/>
        <v>1</v>
      </c>
      <c r="M563" s="120">
        <f ca="1"/>
        <v>0.15</v>
      </c>
      <c r="N563" s="121">
        <f ca="1"/>
        <v>30</v>
      </c>
      <c r="O563" s="123">
        <f ca="1"/>
        <v>45615</v>
      </c>
      <c r="P563" s="123" t="str">
        <f ca="1"/>
        <v>martes</v>
      </c>
      <c r="Q563" s="124">
        <f ca="1"/>
        <v>45611</v>
      </c>
      <c r="R563" s="124">
        <f ca="1"/>
        <v>45640</v>
      </c>
      <c r="S563" s="90">
        <f ca="1"/>
        <v>16</v>
      </c>
      <c r="T563" s="139">
        <f ca="1"/>
        <v>0.53333333333333333</v>
      </c>
      <c r="U563" s="131">
        <f ca="1"/>
        <v>139</v>
      </c>
      <c r="V563" s="120">
        <f ca="1"/>
        <v>20.849999999999998</v>
      </c>
      <c r="W563" s="140">
        <f ca="1"/>
        <v>4</v>
      </c>
      <c r="X563" s="139">
        <f ca="1"/>
        <v>0.8666666666666667</v>
      </c>
      <c r="Y563" s="141">
        <f ca="1"/>
        <v>1.178895</v>
      </c>
      <c r="Z563" s="141">
        <f ca="1"/>
        <v>1.178895</v>
      </c>
      <c r="AA563" s="142">
        <f ca="1"/>
        <v>24.579960749999998</v>
      </c>
      <c r="AB563" s="138">
        <f ca="1"/>
        <v>9</v>
      </c>
      <c r="AC563" s="103" t="str">
        <f ca="1"/>
        <v>FECHA CORTA</v>
      </c>
      <c r="AD563" s="150">
        <f ca="1"/>
        <v>2.0849999999999997E-2</v>
      </c>
    </row>
    <row r="564" spans="1:30">
      <c r="A564" s="111" t="str">
        <f ca="1"/>
        <v>SAN GABRIEL</v>
      </c>
      <c r="B564" s="111" t="str">
        <f ca="1"/>
        <v>QUESOS Y GRASAS</v>
      </c>
      <c r="C564" s="111" t="str">
        <f ca="1"/>
        <v xml:space="preserve">Esteban Montenegro                      </v>
      </c>
      <c r="D564" s="111" t="str">
        <f ca="1"/>
        <v>QUESO MOZARELLA KIOSKO</v>
      </c>
      <c r="E564" s="111" t="str">
        <f ca="1"/>
        <v>QUESO MOZARELLA PIZZA KIOSKO TAJADO</v>
      </c>
      <c r="F564" s="120" t="str">
        <f ca="1"/>
        <v>GUAYAQUIL</v>
      </c>
      <c r="G564" s="120">
        <f ca="1"/>
        <v>7711</v>
      </c>
      <c r="H564" s="120">
        <f ca="1"/>
        <v>1001</v>
      </c>
      <c r="I564" s="120" t="str">
        <f ca="1"/>
        <v>12035</v>
      </c>
      <c r="J564" s="120" t="str">
        <f ca="1"/>
        <v>Q MOZAR KIOSKO 10 LONJ 150G</v>
      </c>
      <c r="K564" s="121">
        <f ca="1"/>
        <v>161</v>
      </c>
      <c r="L564" s="122">
        <f ca="1"/>
        <v>1</v>
      </c>
      <c r="M564" s="120">
        <f ca="1"/>
        <v>0.15</v>
      </c>
      <c r="N564" s="121">
        <f ca="1"/>
        <v>30</v>
      </c>
      <c r="O564" s="123">
        <f ca="1"/>
        <v>45615</v>
      </c>
      <c r="P564" s="123" t="str">
        <f ca="1"/>
        <v>martes</v>
      </c>
      <c r="Q564" s="124">
        <f ca="1"/>
        <v>45609</v>
      </c>
      <c r="R564" s="124">
        <f ca="1"/>
        <v>45638</v>
      </c>
      <c r="S564" s="90">
        <f ca="1"/>
        <v>14</v>
      </c>
      <c r="T564" s="139">
        <f ca="1"/>
        <v>0.46666666666666667</v>
      </c>
      <c r="U564" s="131">
        <f ca="1"/>
        <v>161</v>
      </c>
      <c r="V564" s="120">
        <f ca="1"/>
        <v>24.15</v>
      </c>
      <c r="W564" s="140">
        <f ca="1"/>
        <v>6</v>
      </c>
      <c r="X564" s="139">
        <f ca="1"/>
        <v>0.8</v>
      </c>
      <c r="Y564" s="141">
        <f ca="1"/>
        <v>1.178895</v>
      </c>
      <c r="Z564" s="141">
        <f ca="1"/>
        <v>1.178895</v>
      </c>
      <c r="AA564" s="142">
        <f ca="1"/>
        <v>28.470314249999998</v>
      </c>
      <c r="AB564" s="138">
        <f ca="1"/>
        <v>9</v>
      </c>
      <c r="AC564" s="103" t="str">
        <f ca="1"/>
        <v>FECHA CORTA</v>
      </c>
      <c r="AD564" s="150">
        <f ca="1"/>
        <v>2.4149999999999998E-2</v>
      </c>
    </row>
    <row r="565" spans="1:30">
      <c r="A565" s="111" t="str">
        <f ca="1"/>
        <v>SAN GABRIEL</v>
      </c>
      <c r="B565" s="111" t="str">
        <f ca="1"/>
        <v>QUESOS Y GRASAS</v>
      </c>
      <c r="C565" s="111" t="str">
        <f ca="1"/>
        <v xml:space="preserve">Esteban Montenegro                      </v>
      </c>
      <c r="D565" s="111" t="str">
        <f ca="1"/>
        <v>QUESO MOZARELLA KIOSKO</v>
      </c>
      <c r="E565" s="111" t="str">
        <f ca="1"/>
        <v>QUESO MOZARELLA PIZZA KIOSKO TAJADO</v>
      </c>
      <c r="F565" s="120" t="str">
        <f ca="1"/>
        <v>GUAYAQUIL</v>
      </c>
      <c r="G565" s="120">
        <f ca="1"/>
        <v>7711</v>
      </c>
      <c r="H565" s="120">
        <f ca="1"/>
        <v>1001</v>
      </c>
      <c r="I565" s="120" t="str">
        <f ca="1"/>
        <v>12035</v>
      </c>
      <c r="J565" s="120" t="str">
        <f ca="1"/>
        <v>Q MOZAR KIOSKO 10 LONJ 150G</v>
      </c>
      <c r="K565" s="121">
        <f ca="1"/>
        <v>300</v>
      </c>
      <c r="L565" s="122">
        <f ca="1"/>
        <v>1</v>
      </c>
      <c r="M565" s="120">
        <f ca="1"/>
        <v>0.15</v>
      </c>
      <c r="N565" s="121">
        <f ca="1"/>
        <v>30</v>
      </c>
      <c r="O565" s="123">
        <f ca="1"/>
        <v>45616</v>
      </c>
      <c r="P565" s="123" t="str">
        <f ca="1"/>
        <v>miércoles</v>
      </c>
      <c r="Q565" s="124">
        <f ca="1"/>
        <v>45611</v>
      </c>
      <c r="R565" s="124">
        <f ca="1"/>
        <v>45640</v>
      </c>
      <c r="S565" s="90">
        <f ca="1"/>
        <v>16</v>
      </c>
      <c r="T565" s="139">
        <f ca="1"/>
        <v>0.53333333333333333</v>
      </c>
      <c r="U565" s="131">
        <f ca="1"/>
        <v>300</v>
      </c>
      <c r="V565" s="120">
        <f ca="1"/>
        <v>45</v>
      </c>
      <c r="W565" s="140">
        <f ca="1"/>
        <v>5</v>
      </c>
      <c r="X565" s="139">
        <f ca="1"/>
        <v>0.83333333333333337</v>
      </c>
      <c r="Y565" s="141">
        <f ca="1"/>
        <v>1.178895</v>
      </c>
      <c r="Z565" s="141">
        <f ca="1"/>
        <v>1.178895</v>
      </c>
      <c r="AA565" s="142">
        <f ca="1"/>
        <v>53.050274999999999</v>
      </c>
      <c r="AB565" s="138">
        <f ca="1"/>
        <v>8</v>
      </c>
      <c r="AC565" s="103" t="str">
        <f ca="1"/>
        <v>FECHA CORTA</v>
      </c>
      <c r="AD565" s="150">
        <f ca="1"/>
        <v>4.4999999999999998E-2</v>
      </c>
    </row>
    <row r="566" spans="1:30">
      <c r="A566" s="111" t="str">
        <f ca="1"/>
        <v>SAN GABRIEL</v>
      </c>
      <c r="B566" s="111" t="str">
        <f ca="1"/>
        <v>QUESOS Y GRASAS</v>
      </c>
      <c r="C566" s="111" t="str">
        <f ca="1"/>
        <v xml:space="preserve">Esteban Montenegro                      </v>
      </c>
      <c r="D566" s="111" t="str">
        <f ca="1"/>
        <v>QUESO MOZARELLA KIOSKO</v>
      </c>
      <c r="E566" s="111" t="str">
        <f ca="1"/>
        <v>QUESO MOZARELLA PIZZA KIOSKO TAJADO</v>
      </c>
      <c r="F566" s="120" t="str">
        <f ca="1"/>
        <v>GUAYAQUIL</v>
      </c>
      <c r="G566" s="120">
        <f ca="1"/>
        <v>7711</v>
      </c>
      <c r="H566" s="120">
        <f ca="1"/>
        <v>1001</v>
      </c>
      <c r="I566" s="120" t="str">
        <f ca="1"/>
        <v>12035</v>
      </c>
      <c r="J566" s="120" t="str">
        <f ca="1"/>
        <v>Q MOZAR KIOSKO 10 LONJ 150G</v>
      </c>
      <c r="K566" s="121">
        <f ca="1"/>
        <v>300</v>
      </c>
      <c r="L566" s="122">
        <f ca="1"/>
        <v>1</v>
      </c>
      <c r="M566" s="120">
        <f ca="1"/>
        <v>0.15</v>
      </c>
      <c r="N566" s="121">
        <f ca="1"/>
        <v>30</v>
      </c>
      <c r="O566" s="123">
        <f ca="1"/>
        <v>45617</v>
      </c>
      <c r="P566" s="123" t="str">
        <f ca="1"/>
        <v>jueves</v>
      </c>
      <c r="Q566" s="124">
        <f ca="1"/>
        <v>45615</v>
      </c>
      <c r="R566" s="124">
        <f ca="1"/>
        <v>45644</v>
      </c>
      <c r="S566" s="90">
        <f ca="1"/>
        <v>20</v>
      </c>
      <c r="T566" s="139">
        <f ca="1"/>
        <v>0.66666666666666663</v>
      </c>
      <c r="U566" s="131">
        <f ca="1"/>
        <v>300</v>
      </c>
      <c r="V566" s="120">
        <f ca="1"/>
        <v>45</v>
      </c>
      <c r="W566" s="140">
        <f ca="1"/>
        <v>2</v>
      </c>
      <c r="X566" s="139">
        <f ca="1"/>
        <v>0.93333333333333335</v>
      </c>
      <c r="Y566" s="141">
        <f ca="1"/>
        <v>1.178895</v>
      </c>
      <c r="Z566" s="141">
        <f ca="1"/>
        <v>1.178895</v>
      </c>
      <c r="AA566" s="142">
        <f ca="1"/>
        <v>53.050274999999999</v>
      </c>
      <c r="AB566" s="138">
        <f ca="1"/>
        <v>7</v>
      </c>
      <c r="AC566" s="103" t="str">
        <f ca="1"/>
        <v>FECHA CORTA</v>
      </c>
      <c r="AD566" s="150">
        <f ca="1"/>
        <v>4.4999999999999998E-2</v>
      </c>
    </row>
    <row r="567" spans="1:30">
      <c r="A567" s="111" t="str">
        <f ca="1"/>
        <v>MACHACHI</v>
      </c>
      <c r="B567" s="111" t="str">
        <f ca="1"/>
        <v>BEBIDAS LACTEAS</v>
      </c>
      <c r="C567" s="111" t="str">
        <f ca="1"/>
        <v xml:space="preserve">Luis Armendariz                         </v>
      </c>
      <c r="D567" s="111" t="str">
        <f ca="1"/>
        <v>YOGURT FINESSE</v>
      </c>
      <c r="E567" s="111" t="str">
        <f ca="1"/>
        <v>YOGURT FINESSE DESLACT BOTELLA FAMILIAR</v>
      </c>
      <c r="F567" s="120" t="str">
        <f ca="1"/>
        <v>GUAYAQUIL</v>
      </c>
      <c r="G567" s="120">
        <f ca="1"/>
        <v>7711</v>
      </c>
      <c r="H567" s="120">
        <f ca="1"/>
        <v>1001</v>
      </c>
      <c r="I567" s="120" t="str">
        <f ca="1"/>
        <v>16018</v>
      </c>
      <c r="J567" s="120" t="str">
        <f ca="1"/>
        <v>YOG FNSSE DURAZNO BOT 950G</v>
      </c>
      <c r="K567" s="121">
        <f ca="1"/>
        <v>36</v>
      </c>
      <c r="L567" s="122">
        <f ca="1"/>
        <v>1</v>
      </c>
      <c r="M567" s="120">
        <f ca="1"/>
        <v>0.95</v>
      </c>
      <c r="N567" s="121">
        <f ca="1"/>
        <v>45</v>
      </c>
      <c r="O567" s="123">
        <f ca="1"/>
        <v>45612</v>
      </c>
      <c r="P567" s="123" t="str">
        <f ca="1"/>
        <v>sábado</v>
      </c>
      <c r="Q567" s="124">
        <f ca="1"/>
        <v>45611</v>
      </c>
      <c r="R567" s="124">
        <f ca="1"/>
        <v>45655</v>
      </c>
      <c r="S567" s="90">
        <f ca="1"/>
        <v>31</v>
      </c>
      <c r="T567" s="139">
        <f ca="1"/>
        <v>0.68888888888888888</v>
      </c>
      <c r="U567" s="131">
        <f ca="1"/>
        <v>36</v>
      </c>
      <c r="V567" s="120">
        <f ca="1"/>
        <v>34.199999999999996</v>
      </c>
      <c r="W567" s="140">
        <f ca="1"/>
        <v>1</v>
      </c>
      <c r="X567" s="139">
        <f ca="1"/>
        <v>0.97777777777777775</v>
      </c>
      <c r="Y567" s="141">
        <f ca="1"/>
        <v>1.4163950000000001</v>
      </c>
      <c r="Z567" s="141">
        <f ca="1"/>
        <v>1.4163950000000001</v>
      </c>
      <c r="AA567" s="142">
        <f ca="1"/>
        <v>48.440708999999998</v>
      </c>
      <c r="AB567" s="138">
        <f ca="1"/>
        <v>12</v>
      </c>
      <c r="AC567" s="103" t="str">
        <f ca="1"/>
        <v>VIGENTE</v>
      </c>
      <c r="AD567" s="150">
        <f ca="1"/>
        <v>3.4199999999999994E-2</v>
      </c>
    </row>
    <row r="568" spans="1:30">
      <c r="A568" s="111" t="str">
        <f ca="1"/>
        <v>MACHACHI</v>
      </c>
      <c r="B568" s="111" t="str">
        <f ca="1"/>
        <v>BEBIDAS LACTEAS</v>
      </c>
      <c r="C568" s="111" t="str">
        <f ca="1"/>
        <v xml:space="preserve">Luis Armendariz                         </v>
      </c>
      <c r="D568" s="111" t="str">
        <f ca="1"/>
        <v>YOGURT FINESSE</v>
      </c>
      <c r="E568" s="111" t="str">
        <f ca="1"/>
        <v>YOGURT FINESSE DESLACT BOTELLA FAMILIAR</v>
      </c>
      <c r="F568" s="120" t="str">
        <f ca="1"/>
        <v>GUAYAQUIL</v>
      </c>
      <c r="G568" s="120">
        <f ca="1"/>
        <v>7711</v>
      </c>
      <c r="H568" s="120">
        <f ca="1"/>
        <v>1001</v>
      </c>
      <c r="I568" s="120" t="str">
        <f ca="1"/>
        <v>16018</v>
      </c>
      <c r="J568" s="120" t="str">
        <f ca="1"/>
        <v>YOG FNSSE DURAZNO BOT 950G</v>
      </c>
      <c r="K568" s="121">
        <f ca="1"/>
        <v>54</v>
      </c>
      <c r="L568" s="122">
        <f ca="1"/>
        <v>1</v>
      </c>
      <c r="M568" s="120">
        <f ca="1"/>
        <v>0.95</v>
      </c>
      <c r="N568" s="121">
        <f ca="1"/>
        <v>45</v>
      </c>
      <c r="O568" s="123">
        <f ca="1"/>
        <v>45615</v>
      </c>
      <c r="P568" s="123" t="str">
        <f ca="1"/>
        <v>martes</v>
      </c>
      <c r="Q568" s="124">
        <f ca="1"/>
        <v>45611</v>
      </c>
      <c r="R568" s="124">
        <f ca="1"/>
        <v>45655</v>
      </c>
      <c r="S568" s="90">
        <f ca="1"/>
        <v>31</v>
      </c>
      <c r="T568" s="139">
        <f ca="1"/>
        <v>0.68888888888888888</v>
      </c>
      <c r="U568" s="131">
        <f ca="1"/>
        <v>54</v>
      </c>
      <c r="V568" s="120">
        <f ca="1"/>
        <v>51.3</v>
      </c>
      <c r="W568" s="140">
        <f ca="1"/>
        <v>4</v>
      </c>
      <c r="X568" s="139">
        <f ca="1"/>
        <v>0.91111111111111109</v>
      </c>
      <c r="Y568" s="141">
        <f ca="1"/>
        <v>1.4163950000000001</v>
      </c>
      <c r="Z568" s="141">
        <f ca="1"/>
        <v>1.4163950000000001</v>
      </c>
      <c r="AA568" s="142">
        <f ca="1"/>
        <v>72.661063499999997</v>
      </c>
      <c r="AB568" s="138">
        <f ca="1"/>
        <v>9</v>
      </c>
      <c r="AC568" s="103" t="str">
        <f ca="1"/>
        <v>VIGENTE</v>
      </c>
      <c r="AD568" s="150">
        <f ca="1"/>
        <v>5.1299999999999998E-2</v>
      </c>
    </row>
    <row r="569" spans="1:30">
      <c r="A569" s="111" t="str">
        <f ca="1"/>
        <v>MACHACHI</v>
      </c>
      <c r="B569" s="111" t="str">
        <f ca="1"/>
        <v>BEBIDAS LACTEAS</v>
      </c>
      <c r="C569" s="111" t="str">
        <f ca="1"/>
        <v xml:space="preserve">Luis Armendariz                         </v>
      </c>
      <c r="D569" s="111" t="str">
        <f ca="1"/>
        <v>YOGURT FINESSE</v>
      </c>
      <c r="E569" s="111" t="str">
        <f ca="1"/>
        <v>YOGURT FINESSE DESLACT BOTELLA FAMILIAR</v>
      </c>
      <c r="F569" s="120" t="str">
        <f ca="1"/>
        <v>GUAYAQUIL</v>
      </c>
      <c r="G569" s="120">
        <f ca="1"/>
        <v>7711</v>
      </c>
      <c r="H569" s="120">
        <f ca="1"/>
        <v>1001</v>
      </c>
      <c r="I569" s="120" t="str">
        <f ca="1"/>
        <v>16017</v>
      </c>
      <c r="J569" s="120" t="str">
        <f ca="1"/>
        <v>YOG FNSSE DURAZNO BOT 1670G</v>
      </c>
      <c r="K569" s="121">
        <f ca="1"/>
        <v>24</v>
      </c>
      <c r="L569" s="122">
        <f ca="1"/>
        <v>1</v>
      </c>
      <c r="M569" s="120">
        <f ca="1"/>
        <v>1.67</v>
      </c>
      <c r="N569" s="121">
        <f ca="1"/>
        <v>45</v>
      </c>
      <c r="O569" s="123">
        <f ca="1"/>
        <v>45615</v>
      </c>
      <c r="P569" s="123" t="str">
        <f ca="1"/>
        <v>martes</v>
      </c>
      <c r="Q569" s="124">
        <f ca="1"/>
        <v>45609</v>
      </c>
      <c r="R569" s="124">
        <f ca="1"/>
        <v>45653</v>
      </c>
      <c r="S569" s="90">
        <f ca="1"/>
        <v>29</v>
      </c>
      <c r="T569" s="139">
        <f ca="1"/>
        <v>0.64444444444444449</v>
      </c>
      <c r="U569" s="131">
        <f ca="1"/>
        <v>21</v>
      </c>
      <c r="V569" s="120">
        <f ca="1"/>
        <v>35.07</v>
      </c>
      <c r="W569" s="140">
        <f ca="1"/>
        <v>6</v>
      </c>
      <c r="X569" s="139">
        <f ca="1"/>
        <v>0.8666666666666667</v>
      </c>
      <c r="Y569" s="141">
        <f ca="1"/>
        <v>2.4125399999999999</v>
      </c>
      <c r="Z569" s="141">
        <f ca="1"/>
        <v>2.4125399999999999</v>
      </c>
      <c r="AA569" s="142">
        <f ca="1"/>
        <v>84.607777799999994</v>
      </c>
      <c r="AB569" s="138">
        <f ca="1"/>
        <v>9</v>
      </c>
      <c r="AC569" s="103" t="str">
        <f ca="1"/>
        <v>VIGENTE</v>
      </c>
      <c r="AD569" s="150">
        <f ca="1"/>
        <v>3.5069999999999997E-2</v>
      </c>
    </row>
    <row r="570" spans="1:30">
      <c r="A570" s="111" t="str">
        <f ca="1"/>
        <v>MACHACHI</v>
      </c>
      <c r="B570" s="111" t="str">
        <f ca="1"/>
        <v>BEBIDAS LACTEAS</v>
      </c>
      <c r="C570" s="111" t="str">
        <f ca="1"/>
        <v xml:space="preserve">Luis Armendariz                         </v>
      </c>
      <c r="D570" s="111" t="str">
        <f ca="1"/>
        <v>YOGURT FINESSE</v>
      </c>
      <c r="E570" s="111" t="str">
        <f ca="1"/>
        <v>YOGURT FINESSE DESLACT BOTELLA FAMILIAR</v>
      </c>
      <c r="F570" s="120" t="str">
        <f ca="1"/>
        <v>GUAYAQUIL</v>
      </c>
      <c r="G570" s="120">
        <f ca="1"/>
        <v>7711</v>
      </c>
      <c r="H570" s="120">
        <f ca="1"/>
        <v>1001</v>
      </c>
      <c r="I570" s="120" t="str">
        <f ca="1"/>
        <v>16017</v>
      </c>
      <c r="J570" s="120" t="str">
        <f ca="1"/>
        <v>YOG FNSSE DURAZNO BOT 1670G</v>
      </c>
      <c r="K570" s="121">
        <f ca="1"/>
        <v>72</v>
      </c>
      <c r="L570" s="122">
        <f ca="1"/>
        <v>1</v>
      </c>
      <c r="M570" s="120">
        <f ca="1"/>
        <v>1.67</v>
      </c>
      <c r="N570" s="121">
        <f ca="1"/>
        <v>45</v>
      </c>
      <c r="O570" s="123">
        <f ca="1"/>
        <v>45616</v>
      </c>
      <c r="P570" s="123" t="str">
        <f ca="1"/>
        <v>miércoles</v>
      </c>
      <c r="Q570" s="124">
        <f ca="1"/>
        <v>45609</v>
      </c>
      <c r="R570" s="124">
        <f ca="1"/>
        <v>45653</v>
      </c>
      <c r="S570" s="90">
        <f ca="1"/>
        <v>29</v>
      </c>
      <c r="T570" s="139">
        <f ca="1"/>
        <v>0.64444444444444449</v>
      </c>
      <c r="U570" s="131">
        <f ca="1"/>
        <v>72</v>
      </c>
      <c r="V570" s="120">
        <f ca="1"/>
        <v>120.24</v>
      </c>
      <c r="W570" s="140">
        <f ca="1"/>
        <v>7</v>
      </c>
      <c r="X570" s="139">
        <f ca="1"/>
        <v>0.84444444444444444</v>
      </c>
      <c r="Y570" s="141">
        <f ca="1"/>
        <v>2.4125399999999999</v>
      </c>
      <c r="Z570" s="141">
        <f ca="1"/>
        <v>2.4125399999999999</v>
      </c>
      <c r="AA570" s="142">
        <f ca="1"/>
        <v>290.0838096</v>
      </c>
      <c r="AB570" s="138">
        <f ca="1"/>
        <v>8</v>
      </c>
      <c r="AC570" s="103" t="str">
        <f ca="1"/>
        <v>VIGENTE</v>
      </c>
      <c r="AD570" s="150">
        <f ca="1"/>
        <v>0.12024</v>
      </c>
    </row>
    <row r="571" spans="1:30">
      <c r="A571" s="111" t="str">
        <f ca="1"/>
        <v>SAN GABRIEL</v>
      </c>
      <c r="B571" s="111" t="str">
        <f ca="1"/>
        <v>QUESOS Y GRASAS</v>
      </c>
      <c r="C571" s="111" t="str">
        <f ca="1"/>
        <v xml:space="preserve">Esteban Montenegro                      </v>
      </c>
      <c r="D571" s="111" t="str">
        <f ca="1"/>
        <v>QUESO SEMIMADURO KIOSKO</v>
      </c>
      <c r="E571" s="111" t="str">
        <f ca="1"/>
        <v>QUESO SEMIMADURO HIERBAS KIOSKO BLOQUE</v>
      </c>
      <c r="F571" s="120" t="str">
        <f ca="1"/>
        <v>GUAYAQUIL</v>
      </c>
      <c r="G571" s="120">
        <f ca="1"/>
        <v>7711</v>
      </c>
      <c r="H571" s="120">
        <f ca="1"/>
        <v>1001</v>
      </c>
      <c r="I571" s="120" t="str">
        <f ca="1"/>
        <v>16234</v>
      </c>
      <c r="J571" s="120" t="str">
        <f ca="1"/>
        <v>Q HIERBAS SEMIMAD KIOSKO 400G</v>
      </c>
      <c r="K571" s="121">
        <f ca="1"/>
        <v>36</v>
      </c>
      <c r="L571" s="122">
        <f ca="1"/>
        <v>1</v>
      </c>
      <c r="M571" s="120">
        <f ca="1"/>
        <v>0.4</v>
      </c>
      <c r="N571" s="121">
        <f ca="1"/>
        <v>90</v>
      </c>
      <c r="O571" s="123">
        <f ca="1"/>
        <v>45611</v>
      </c>
      <c r="P571" s="123" t="str">
        <f ca="1"/>
        <v>viernes</v>
      </c>
      <c r="Q571" s="124">
        <f ca="1"/>
        <v>45596</v>
      </c>
      <c r="R571" s="124">
        <f ca="1"/>
        <v>45685</v>
      </c>
      <c r="S571" s="90">
        <f ca="1"/>
        <v>61</v>
      </c>
      <c r="T571" s="139">
        <f ca="1"/>
        <v>0.67777777777777781</v>
      </c>
      <c r="U571" s="131">
        <f ca="1"/>
        <v>13</v>
      </c>
      <c r="V571" s="120">
        <f ca="1"/>
        <v>5.2</v>
      </c>
      <c r="W571" s="140">
        <f ca="1"/>
        <v>15</v>
      </c>
      <c r="X571" s="139">
        <f ca="1"/>
        <v>0.83333333333333337</v>
      </c>
      <c r="Y571" s="141">
        <f ca="1"/>
        <v>3.6822549999999996</v>
      </c>
      <c r="Z571" s="141">
        <f ca="1"/>
        <v>3.6822549999999996</v>
      </c>
      <c r="AA571" s="142">
        <f ca="1"/>
        <v>19.147725999999999</v>
      </c>
      <c r="AB571" s="138">
        <f ca="1"/>
        <v>13</v>
      </c>
      <c r="AC571" s="103" t="str">
        <f ca="1"/>
        <v>VIGENTE</v>
      </c>
      <c r="AD571" s="150">
        <f ca="1"/>
        <v>5.1999999999999998E-3</v>
      </c>
    </row>
    <row r="572" spans="1:30">
      <c r="A572" s="111" t="str">
        <f ca="1"/>
        <v>SAN GABRIEL</v>
      </c>
      <c r="B572" s="111" t="str">
        <f ca="1"/>
        <v>QUESOS Y GRASAS</v>
      </c>
      <c r="C572" s="111" t="str">
        <f ca="1"/>
        <v xml:space="preserve">Esteban Montenegro                      </v>
      </c>
      <c r="D572" s="111" t="str">
        <f ca="1"/>
        <v>QUESO SEMIMADURO KIOSKO</v>
      </c>
      <c r="E572" s="111" t="str">
        <f ca="1"/>
        <v>QUESO PROVOLONE KIOSKO TAJADO</v>
      </c>
      <c r="F572" s="120" t="str">
        <f ca="1"/>
        <v>GUAYAQUIL</v>
      </c>
      <c r="G572" s="120">
        <f ca="1"/>
        <v>7711</v>
      </c>
      <c r="H572" s="120">
        <f ca="1"/>
        <v>1001</v>
      </c>
      <c r="I572" s="120" t="str">
        <f ca="1"/>
        <v>12319</v>
      </c>
      <c r="J572" s="120" t="str">
        <f ca="1"/>
        <v>Q PROVO AHUM KIOSKO 10 LONJ 150G</v>
      </c>
      <c r="K572" s="121">
        <f ca="1"/>
        <v>110</v>
      </c>
      <c r="L572" s="122">
        <f ca="1"/>
        <v>1</v>
      </c>
      <c r="M572" s="120">
        <f ca="1"/>
        <v>0.15</v>
      </c>
      <c r="N572" s="121">
        <f ca="1"/>
        <v>60</v>
      </c>
      <c r="O572" s="123">
        <f ca="1"/>
        <v>45615</v>
      </c>
      <c r="P572" s="123" t="str">
        <f ca="1"/>
        <v>martes</v>
      </c>
      <c r="Q572" s="124">
        <f ca="1"/>
        <v>45602</v>
      </c>
      <c r="R572" s="124">
        <f ca="1"/>
        <v>45661</v>
      </c>
      <c r="S572" s="90">
        <f ca="1"/>
        <v>37</v>
      </c>
      <c r="T572" s="139">
        <f ca="1"/>
        <v>0.6166666666666667</v>
      </c>
      <c r="U572" s="131">
        <f ca="1"/>
        <v>96</v>
      </c>
      <c r="V572" s="120">
        <f ca="1"/>
        <v>14.399999999999999</v>
      </c>
      <c r="W572" s="140">
        <f ca="1"/>
        <v>13</v>
      </c>
      <c r="X572" s="139">
        <f ca="1"/>
        <v>0.78333333333333333</v>
      </c>
      <c r="Y572" s="141">
        <f ca="1"/>
        <v>1.219535</v>
      </c>
      <c r="Z572" s="141">
        <f ca="1"/>
        <v>1.219535</v>
      </c>
      <c r="AA572" s="142">
        <f ca="1"/>
        <v>17.561304</v>
      </c>
      <c r="AB572" s="138">
        <f ca="1"/>
        <v>9</v>
      </c>
      <c r="AC572" s="103" t="str">
        <f ca="1"/>
        <v>VIGENTE</v>
      </c>
      <c r="AD572" s="150">
        <f ca="1"/>
        <v>1.4399999999999998E-2</v>
      </c>
    </row>
    <row r="573" spans="1:30">
      <c r="A573" s="111" t="str">
        <f ca="1"/>
        <v>SAN GABRIEL</v>
      </c>
      <c r="B573" s="111" t="str">
        <f ca="1"/>
        <v>QUESOS Y GRASAS</v>
      </c>
      <c r="C573" s="111" t="str">
        <f ca="1"/>
        <v xml:space="preserve">Esteban Montenegro                      </v>
      </c>
      <c r="D573" s="111" t="str">
        <f ca="1"/>
        <v>QUESO SEMIMADURO KIOSKO</v>
      </c>
      <c r="E573" s="111" t="str">
        <f ca="1"/>
        <v>QUESO PROVOLONE KIOSKO TAJADO</v>
      </c>
      <c r="F573" s="120" t="str">
        <f ca="1"/>
        <v>GUAYAQUIL</v>
      </c>
      <c r="G573" s="120">
        <f ca="1"/>
        <v>7711</v>
      </c>
      <c r="H573" s="120">
        <f ca="1"/>
        <v>1001</v>
      </c>
      <c r="I573" s="120" t="str">
        <f ca="1"/>
        <v>12319</v>
      </c>
      <c r="J573" s="120" t="str">
        <f ca="1"/>
        <v>Q PROVO AHUM KIOSKO 10 LONJ 150G</v>
      </c>
      <c r="K573" s="121">
        <f ca="1"/>
        <v>40</v>
      </c>
      <c r="L573" s="122">
        <f ca="1"/>
        <v>1</v>
      </c>
      <c r="M573" s="120">
        <f ca="1"/>
        <v>0.15</v>
      </c>
      <c r="N573" s="121">
        <f ca="1"/>
        <v>60</v>
      </c>
      <c r="O573" s="123">
        <f ca="1"/>
        <v>45615</v>
      </c>
      <c r="P573" s="123" t="str">
        <f ca="1"/>
        <v>martes</v>
      </c>
      <c r="Q573" s="124">
        <f ca="1"/>
        <v>45608</v>
      </c>
      <c r="R573" s="124">
        <f ca="1"/>
        <v>45667</v>
      </c>
      <c r="S573" s="90">
        <f ca="1"/>
        <v>43</v>
      </c>
      <c r="T573" s="139">
        <f ca="1"/>
        <v>0.71666666666666667</v>
      </c>
      <c r="U573" s="131">
        <f ca="1"/>
        <v>40</v>
      </c>
      <c r="V573" s="120">
        <f ca="1"/>
        <v>6</v>
      </c>
      <c r="W573" s="140">
        <f ca="1"/>
        <v>7</v>
      </c>
      <c r="X573" s="139">
        <f ca="1"/>
        <v>0.8833333333333333</v>
      </c>
      <c r="Y573" s="141">
        <f ca="1"/>
        <v>1.219535</v>
      </c>
      <c r="Z573" s="141">
        <f ca="1"/>
        <v>1.219535</v>
      </c>
      <c r="AA573" s="142">
        <f ca="1"/>
        <v>7.3172100000000002</v>
      </c>
      <c r="AB573" s="138">
        <f ca="1"/>
        <v>9</v>
      </c>
      <c r="AC573" s="103" t="str">
        <f ca="1"/>
        <v>VIGENTE</v>
      </c>
      <c r="AD573" s="150">
        <f ca="1"/>
        <v>6.0000000000000001E-3</v>
      </c>
    </row>
    <row r="574" spans="1:30">
      <c r="A574" s="111" t="str">
        <f ca="1"/>
        <v>MACHACHI</v>
      </c>
      <c r="B574" s="111" t="str">
        <f ca="1"/>
        <v>BEBIDAS LACTEAS</v>
      </c>
      <c r="C574" s="111" t="str">
        <f ca="1"/>
        <v xml:space="preserve">Luis Armendariz                         </v>
      </c>
      <c r="D574" s="111" t="str">
        <f ca="1"/>
        <v>YOGURT FINESSE</v>
      </c>
      <c r="E574" s="111" t="str">
        <f ca="1"/>
        <v>YOGURT FINESSE DESLACT BOTELLA PERSONAL</v>
      </c>
      <c r="F574" s="120" t="str">
        <f ca="1"/>
        <v>GUAYAQUIL</v>
      </c>
      <c r="G574" s="120">
        <f ca="1"/>
        <v>7711</v>
      </c>
      <c r="H574" s="120">
        <f ca="1"/>
        <v>1001</v>
      </c>
      <c r="I574" s="120" t="str">
        <f ca="1"/>
        <v>11954</v>
      </c>
      <c r="J574" s="120" t="str">
        <f ca="1"/>
        <v>YOG FNSSE FRTROJ BOT 180G</v>
      </c>
      <c r="K574" s="121">
        <f ca="1"/>
        <v>216</v>
      </c>
      <c r="L574" s="122">
        <f ca="1"/>
        <v>1</v>
      </c>
      <c r="M574" s="120">
        <f ca="1"/>
        <v>0.18</v>
      </c>
      <c r="N574" s="121">
        <f ca="1"/>
        <v>45</v>
      </c>
      <c r="O574" s="123">
        <f ca="1"/>
        <v>45608</v>
      </c>
      <c r="P574" s="123" t="str">
        <f ca="1"/>
        <v>martes</v>
      </c>
      <c r="Q574" s="124">
        <f ca="1"/>
        <v>45596</v>
      </c>
      <c r="R574" s="124">
        <f ca="1"/>
        <v>45640</v>
      </c>
      <c r="S574" s="90">
        <f ca="1"/>
        <v>16</v>
      </c>
      <c r="T574" s="139">
        <f ca="1"/>
        <v>0.35555555555555557</v>
      </c>
      <c r="U574" s="131">
        <f ca="1"/>
        <v>36</v>
      </c>
      <c r="V574" s="120">
        <f ca="1"/>
        <v>6.4799999999999995</v>
      </c>
      <c r="W574" s="140">
        <f ca="1"/>
        <v>12</v>
      </c>
      <c r="X574" s="139">
        <f ca="1"/>
        <v>0.73333333333333339</v>
      </c>
      <c r="Y574" s="141">
        <f ca="1"/>
        <v>0.30833500000000003</v>
      </c>
      <c r="Z574" s="141">
        <f ca="1"/>
        <v>0.30833500000000003</v>
      </c>
      <c r="AA574" s="142">
        <f ca="1"/>
        <v>1.9980108000000001</v>
      </c>
      <c r="AB574" s="138">
        <f ca="1"/>
        <v>16</v>
      </c>
      <c r="AC574" s="103" t="str">
        <f ca="1"/>
        <v>FECHA CORTA</v>
      </c>
      <c r="AD574" s="150">
        <f ca="1"/>
        <v>6.4799999999999996E-3</v>
      </c>
    </row>
    <row r="575" spans="1:30">
      <c r="A575" s="111" t="str">
        <f ca="1"/>
        <v>MACHACHI</v>
      </c>
      <c r="B575" s="111" t="str">
        <f ca="1"/>
        <v>BEBIDAS LACTEAS</v>
      </c>
      <c r="C575" s="111" t="str">
        <f ca="1"/>
        <v xml:space="preserve">Luis Armendariz                         </v>
      </c>
      <c r="D575" s="111" t="str">
        <f ca="1"/>
        <v>YOGURT FINESSE</v>
      </c>
      <c r="E575" s="111" t="str">
        <f ca="1"/>
        <v>YOGURT FINESSE DESLACT BOTELLA PERSONAL</v>
      </c>
      <c r="F575" s="120" t="str">
        <f ca="1"/>
        <v>GUAYAQUIL</v>
      </c>
      <c r="G575" s="120">
        <f ca="1"/>
        <v>7711</v>
      </c>
      <c r="H575" s="120">
        <f ca="1"/>
        <v>1001</v>
      </c>
      <c r="I575" s="120" t="str">
        <f ca="1"/>
        <v>11954</v>
      </c>
      <c r="J575" s="120" t="str">
        <f ca="1"/>
        <v>YOG FNSSE FRTROJ BOT 180G</v>
      </c>
      <c r="K575" s="121">
        <f ca="1"/>
        <v>216</v>
      </c>
      <c r="L575" s="122">
        <f ca="1"/>
        <v>1</v>
      </c>
      <c r="M575" s="120">
        <f ca="1"/>
        <v>0.18</v>
      </c>
      <c r="N575" s="121">
        <f ca="1"/>
        <v>45</v>
      </c>
      <c r="O575" s="123">
        <f ca="1"/>
        <v>45612</v>
      </c>
      <c r="P575" s="123" t="str">
        <f ca="1"/>
        <v>sábado</v>
      </c>
      <c r="Q575" s="124">
        <f ca="1"/>
        <v>45609</v>
      </c>
      <c r="R575" s="124">
        <f ca="1"/>
        <v>45653</v>
      </c>
      <c r="S575" s="90">
        <f ca="1"/>
        <v>29</v>
      </c>
      <c r="T575" s="139">
        <f ca="1"/>
        <v>0.64444444444444449</v>
      </c>
      <c r="U575" s="131">
        <f ca="1"/>
        <v>84</v>
      </c>
      <c r="V575" s="120">
        <f ca="1"/>
        <v>15.12</v>
      </c>
      <c r="W575" s="140">
        <f ca="1"/>
        <v>3</v>
      </c>
      <c r="X575" s="139">
        <f ca="1"/>
        <v>0.93333333333333335</v>
      </c>
      <c r="Y575" s="141">
        <f ca="1"/>
        <v>0.30833500000000003</v>
      </c>
      <c r="Z575" s="141">
        <f ca="1"/>
        <v>0.30833500000000003</v>
      </c>
      <c r="AA575" s="142">
        <f ca="1"/>
        <v>4.6620252000000004</v>
      </c>
      <c r="AB575" s="138">
        <f ca="1"/>
        <v>12</v>
      </c>
      <c r="AC575" s="103" t="str">
        <f ca="1"/>
        <v>VIGENTE</v>
      </c>
      <c r="AD575" s="150">
        <f ca="1"/>
        <v>1.512E-2</v>
      </c>
    </row>
    <row r="576" spans="1:30">
      <c r="A576" s="111" t="str">
        <f ca="1"/>
        <v>MACHACHI</v>
      </c>
      <c r="B576" s="111" t="str">
        <f ca="1"/>
        <v>BEBIDAS LACTEAS</v>
      </c>
      <c r="C576" s="111" t="str">
        <f ca="1"/>
        <v xml:space="preserve">Luis Armendariz                         </v>
      </c>
      <c r="D576" s="111" t="str">
        <f ca="1"/>
        <v>YOGURT FINESSE</v>
      </c>
      <c r="E576" s="111" t="str">
        <f ca="1"/>
        <v>YOGURT FINESSE DESLACT BOTELLA PERSONAL</v>
      </c>
      <c r="F576" s="120" t="str">
        <f ca="1"/>
        <v>GUAYAQUIL</v>
      </c>
      <c r="G576" s="120">
        <f ca="1"/>
        <v>7711</v>
      </c>
      <c r="H576" s="120">
        <f ca="1"/>
        <v>1001</v>
      </c>
      <c r="I576" s="120" t="str">
        <f ca="1"/>
        <v>11954</v>
      </c>
      <c r="J576" s="120" t="str">
        <f ca="1"/>
        <v>YOG FNSSE FRTROJ BOT 180G</v>
      </c>
      <c r="K576" s="121">
        <f ca="1"/>
        <v>108</v>
      </c>
      <c r="L576" s="122">
        <f ca="1"/>
        <v>1</v>
      </c>
      <c r="M576" s="120">
        <f ca="1"/>
        <v>0.18</v>
      </c>
      <c r="N576" s="121">
        <f ca="1"/>
        <v>45</v>
      </c>
      <c r="O576" s="123">
        <f ca="1"/>
        <v>45616</v>
      </c>
      <c r="P576" s="123" t="str">
        <f ca="1"/>
        <v>miércoles</v>
      </c>
      <c r="Q576" s="124">
        <f ca="1"/>
        <v>45609</v>
      </c>
      <c r="R576" s="124">
        <f ca="1"/>
        <v>45653</v>
      </c>
      <c r="S576" s="90">
        <f ca="1"/>
        <v>29</v>
      </c>
      <c r="T576" s="139">
        <f ca="1"/>
        <v>0.64444444444444449</v>
      </c>
      <c r="U576" s="131">
        <f ca="1"/>
        <v>108</v>
      </c>
      <c r="V576" s="120">
        <f ca="1"/>
        <v>19.439999999999998</v>
      </c>
      <c r="W576" s="140">
        <f ca="1"/>
        <v>7</v>
      </c>
      <c r="X576" s="139">
        <f ca="1"/>
        <v>0.84444444444444444</v>
      </c>
      <c r="Y576" s="141">
        <f ca="1"/>
        <v>0.30833500000000003</v>
      </c>
      <c r="Z576" s="141">
        <f ca="1"/>
        <v>0.30833500000000003</v>
      </c>
      <c r="AA576" s="142">
        <f ca="1"/>
        <v>5.9940324</v>
      </c>
      <c r="AB576" s="138">
        <f ca="1"/>
        <v>8</v>
      </c>
      <c r="AC576" s="103" t="str">
        <f ca="1"/>
        <v>VIGENTE</v>
      </c>
      <c r="AD576" s="150">
        <f ca="1"/>
        <v>1.9439999999999999E-2</v>
      </c>
    </row>
    <row r="577" spans="1:30">
      <c r="A577" s="111" t="str">
        <f ca="1"/>
        <v>MACHACHI</v>
      </c>
      <c r="B577" s="111" t="str">
        <f ca="1"/>
        <v>BEBIDAS LACTEAS</v>
      </c>
      <c r="C577" s="111" t="str">
        <f ca="1"/>
        <v xml:space="preserve">Luis Armendariz                         </v>
      </c>
      <c r="D577" s="111" t="str">
        <f ca="1"/>
        <v>YOGURT FINESSE</v>
      </c>
      <c r="E577" s="111" t="str">
        <f ca="1"/>
        <v>YOGURT FINESSE DESLACT BOTELLA PERSONAL</v>
      </c>
      <c r="F577" s="120" t="str">
        <f ca="1"/>
        <v>GUAYAQUIL</v>
      </c>
      <c r="G577" s="120">
        <f ca="1"/>
        <v>7711</v>
      </c>
      <c r="H577" s="120">
        <f ca="1"/>
        <v>1001</v>
      </c>
      <c r="I577" s="120" t="str">
        <f ca="1"/>
        <v>11954</v>
      </c>
      <c r="J577" s="120" t="str">
        <f ca="1"/>
        <v>YOG FNSSE FRTROJ BOT 180G</v>
      </c>
      <c r="K577" s="121">
        <f ca="1"/>
        <v>108</v>
      </c>
      <c r="L577" s="122">
        <f ca="1"/>
        <v>1</v>
      </c>
      <c r="M577" s="120">
        <f ca="1"/>
        <v>0.18</v>
      </c>
      <c r="N577" s="121">
        <f ca="1"/>
        <v>45</v>
      </c>
      <c r="O577" s="123">
        <f ca="1"/>
        <v>45617</v>
      </c>
      <c r="P577" s="123" t="str">
        <f ca="1"/>
        <v>jueves</v>
      </c>
      <c r="Q577" s="124">
        <f ca="1"/>
        <v>45609</v>
      </c>
      <c r="R577" s="124">
        <f ca="1"/>
        <v>45653</v>
      </c>
      <c r="S577" s="90">
        <f ca="1"/>
        <v>29</v>
      </c>
      <c r="T577" s="139">
        <f ca="1"/>
        <v>0.64444444444444449</v>
      </c>
      <c r="U577" s="131">
        <f ca="1"/>
        <v>108</v>
      </c>
      <c r="V577" s="120">
        <f ca="1"/>
        <v>19.439999999999998</v>
      </c>
      <c r="W577" s="140">
        <f ca="1"/>
        <v>8</v>
      </c>
      <c r="X577" s="139">
        <f ca="1"/>
        <v>0.82222222222222219</v>
      </c>
      <c r="Y577" s="141">
        <f ca="1"/>
        <v>0.30833500000000003</v>
      </c>
      <c r="Z577" s="141">
        <f ca="1"/>
        <v>0.30833500000000003</v>
      </c>
      <c r="AA577" s="142">
        <f ca="1"/>
        <v>5.9940324</v>
      </c>
      <c r="AB577" s="138">
        <f ca="1"/>
        <v>7</v>
      </c>
      <c r="AC577" s="103" t="str">
        <f ca="1"/>
        <v>VIGENTE</v>
      </c>
      <c r="AD577" s="150">
        <f ca="1"/>
        <v>1.9439999999999999E-2</v>
      </c>
    </row>
    <row r="578" spans="1:30">
      <c r="A578" s="111" t="str">
        <f ca="1"/>
        <v>MACHACHI</v>
      </c>
      <c r="B578" s="111" t="str">
        <f ca="1"/>
        <v>BEBIDAS LACTEAS</v>
      </c>
      <c r="C578" s="111" t="str">
        <f ca="1"/>
        <v xml:space="preserve">Luis Armendariz                         </v>
      </c>
      <c r="D578" s="111" t="str">
        <f ca="1"/>
        <v>REGENERIS</v>
      </c>
      <c r="E578" s="111" t="str">
        <f ca="1"/>
        <v>REGENERIS CEREAL BOTELLA FAMILIAR</v>
      </c>
      <c r="F578" s="120" t="str">
        <f ca="1"/>
        <v>GUAYAQUIL</v>
      </c>
      <c r="G578" s="120">
        <f ca="1"/>
        <v>7711</v>
      </c>
      <c r="H578" s="120">
        <f ca="1"/>
        <v>1001</v>
      </c>
      <c r="I578" s="120" t="str">
        <f ca="1"/>
        <v>2123</v>
      </c>
      <c r="J578" s="120" t="str">
        <f ca="1"/>
        <v>RGN CER PITA BOT 1750G ECU</v>
      </c>
      <c r="K578" s="121">
        <f ca="1"/>
        <v>120</v>
      </c>
      <c r="L578" s="122">
        <f ca="1"/>
        <v>1</v>
      </c>
      <c r="M578" s="120">
        <f ca="1"/>
        <v>1.75</v>
      </c>
      <c r="N578" s="121">
        <f ca="1"/>
        <v>45</v>
      </c>
      <c r="O578" s="123">
        <f ca="1"/>
        <v>45595</v>
      </c>
      <c r="P578" s="123" t="str">
        <f ca="1"/>
        <v>miércoles</v>
      </c>
      <c r="Q578" s="124">
        <f ca="1"/>
        <v>45590</v>
      </c>
      <c r="R578" s="124">
        <f ca="1"/>
        <v>45634</v>
      </c>
      <c r="S578" s="90">
        <f ca="1"/>
        <v>10</v>
      </c>
      <c r="T578" s="139">
        <f ca="1"/>
        <v>0.22222222222222221</v>
      </c>
      <c r="U578" s="131">
        <f ca="1"/>
        <v>102</v>
      </c>
      <c r="V578" s="120">
        <f ca="1"/>
        <v>178.5</v>
      </c>
      <c r="W578" s="140">
        <f ca="1"/>
        <v>5</v>
      </c>
      <c r="X578" s="139">
        <f ca="1"/>
        <v>0.88888888888888884</v>
      </c>
      <c r="Y578" s="141">
        <f ca="1"/>
        <v>2.48414</v>
      </c>
      <c r="Z578" s="141">
        <f ca="1"/>
        <v>2.48414</v>
      </c>
      <c r="AA578" s="142">
        <f ca="1"/>
        <v>443.41899000000001</v>
      </c>
      <c r="AB578" s="138">
        <f ca="1"/>
        <v>29</v>
      </c>
      <c r="AC578" s="103" t="str">
        <f ca="1"/>
        <v>FECHA CORTA</v>
      </c>
      <c r="AD578" s="150">
        <f ca="1"/>
        <v>0.17849999999999999</v>
      </c>
    </row>
    <row r="579" spans="1:30">
      <c r="A579" s="111" t="str">
        <f ca="1"/>
        <v>MACHACHI</v>
      </c>
      <c r="B579" s="111" t="str">
        <f ca="1"/>
        <v>BEBIDAS LACTEAS</v>
      </c>
      <c r="C579" s="111" t="str">
        <f ca="1"/>
        <v xml:space="preserve">Luis Armendariz                         </v>
      </c>
      <c r="D579" s="111" t="str">
        <f ca="1"/>
        <v>REGENERIS</v>
      </c>
      <c r="E579" s="111" t="str">
        <f ca="1"/>
        <v>REGENERIS CEREAL BOTELLA FAMILIAR</v>
      </c>
      <c r="F579" s="120" t="str">
        <f ca="1"/>
        <v>GUAYAQUIL</v>
      </c>
      <c r="G579" s="120">
        <f ca="1"/>
        <v>7711</v>
      </c>
      <c r="H579" s="120">
        <f ca="1"/>
        <v>1001</v>
      </c>
      <c r="I579" s="120" t="str">
        <f ca="1"/>
        <v>2123</v>
      </c>
      <c r="J579" s="120" t="str">
        <f ca="1"/>
        <v>RGN CER PITA BOT 1750G ECU</v>
      </c>
      <c r="K579" s="121">
        <f ca="1"/>
        <v>24</v>
      </c>
      <c r="L579" s="122">
        <f ca="1"/>
        <v>1</v>
      </c>
      <c r="M579" s="120">
        <f ca="1"/>
        <v>1.75</v>
      </c>
      <c r="N579" s="121">
        <f ca="1"/>
        <v>45</v>
      </c>
      <c r="O579" s="123">
        <f ca="1"/>
        <v>45597</v>
      </c>
      <c r="P579" s="123" t="str">
        <f ca="1"/>
        <v>viernes</v>
      </c>
      <c r="Q579" s="124">
        <f ca="1"/>
        <v>45597</v>
      </c>
      <c r="R579" s="124">
        <f ca="1"/>
        <v>45641</v>
      </c>
      <c r="S579" s="90">
        <f ca="1"/>
        <v>17</v>
      </c>
      <c r="T579" s="139">
        <f ca="1"/>
        <v>0.37777777777777777</v>
      </c>
      <c r="U579" s="131">
        <f ca="1"/>
        <v>3</v>
      </c>
      <c r="V579" s="120">
        <f ca="1"/>
        <v>5.25</v>
      </c>
      <c r="W579" s="140">
        <f ca="1"/>
        <v>0</v>
      </c>
      <c r="X579" s="139">
        <f ca="1"/>
        <v>1</v>
      </c>
      <c r="Y579" s="141">
        <f ca="1"/>
        <v>2.48414</v>
      </c>
      <c r="Z579" s="141">
        <f ca="1"/>
        <v>2.48414</v>
      </c>
      <c r="AA579" s="142">
        <f ca="1"/>
        <v>13.041734999999999</v>
      </c>
      <c r="AB579" s="138">
        <f ca="1"/>
        <v>27</v>
      </c>
      <c r="AC579" s="103" t="str">
        <f ca="1"/>
        <v>FECHA CORTA</v>
      </c>
      <c r="AD579" s="150">
        <f ca="1"/>
        <v>5.2500000000000003E-3</v>
      </c>
    </row>
    <row r="580" spans="1:30">
      <c r="A580" s="111" t="str">
        <f ca="1"/>
        <v>MACHACHI</v>
      </c>
      <c r="B580" s="111" t="str">
        <f ca="1"/>
        <v>BEBIDAS LACTEAS</v>
      </c>
      <c r="C580" s="111" t="str">
        <f ca="1"/>
        <v xml:space="preserve">Luis Armendariz                         </v>
      </c>
      <c r="D580" s="111" t="str">
        <f ca="1"/>
        <v>REGENERIS</v>
      </c>
      <c r="E580" s="111" t="str">
        <f ca="1"/>
        <v>REGENERIS CEREAL BOTELLA FAMILIAR</v>
      </c>
      <c r="F580" s="120" t="str">
        <f ca="1"/>
        <v>GUAYAQUIL</v>
      </c>
      <c r="G580" s="120">
        <f ca="1"/>
        <v>7711</v>
      </c>
      <c r="H580" s="120">
        <f ca="1"/>
        <v>1001</v>
      </c>
      <c r="I580" s="120" t="str">
        <f ca="1"/>
        <v>2123</v>
      </c>
      <c r="J580" s="120" t="str">
        <f ca="1"/>
        <v>RGN CER PITA BOT 1750G ECU</v>
      </c>
      <c r="K580" s="121">
        <f ca="1"/>
        <v>156</v>
      </c>
      <c r="L580" s="122">
        <f ca="1"/>
        <v>1</v>
      </c>
      <c r="M580" s="120">
        <f ca="1"/>
        <v>1.75</v>
      </c>
      <c r="N580" s="121">
        <f ca="1"/>
        <v>45</v>
      </c>
      <c r="O580" s="123">
        <f ca="1"/>
        <v>45597</v>
      </c>
      <c r="P580" s="123" t="str">
        <f ca="1"/>
        <v>viernes</v>
      </c>
      <c r="Q580" s="124">
        <f ca="1"/>
        <v>45596</v>
      </c>
      <c r="R580" s="124">
        <f ca="1"/>
        <v>45640</v>
      </c>
      <c r="S580" s="90">
        <f ca="1"/>
        <v>16</v>
      </c>
      <c r="T580" s="139">
        <f ca="1"/>
        <v>0.35555555555555557</v>
      </c>
      <c r="U580" s="131">
        <f ca="1"/>
        <v>69</v>
      </c>
      <c r="V580" s="120">
        <f ca="1"/>
        <v>120.75</v>
      </c>
      <c r="W580" s="140">
        <f ca="1"/>
        <v>1</v>
      </c>
      <c r="X580" s="139">
        <f ca="1"/>
        <v>0.97777777777777775</v>
      </c>
      <c r="Y580" s="141">
        <f ca="1"/>
        <v>2.48414</v>
      </c>
      <c r="Z580" s="141">
        <f ca="1"/>
        <v>2.48414</v>
      </c>
      <c r="AA580" s="142">
        <f ca="1"/>
        <v>299.95990499999999</v>
      </c>
      <c r="AB580" s="138">
        <f ca="1"/>
        <v>27</v>
      </c>
      <c r="AC580" s="103" t="str">
        <f ca="1"/>
        <v>FECHA CORTA</v>
      </c>
      <c r="AD580" s="150">
        <f ca="1"/>
        <v>0.12075</v>
      </c>
    </row>
    <row r="581" spans="1:30">
      <c r="A581" s="111" t="str">
        <f ca="1"/>
        <v>MACHACHI</v>
      </c>
      <c r="B581" s="111" t="str">
        <f ca="1"/>
        <v>BEBIDAS LACTEAS</v>
      </c>
      <c r="C581" s="111" t="str">
        <f ca="1"/>
        <v xml:space="preserve">Luis Armendariz                         </v>
      </c>
      <c r="D581" s="111" t="str">
        <f ca="1"/>
        <v>REGENERIS</v>
      </c>
      <c r="E581" s="111" t="str">
        <f ca="1"/>
        <v>REGENERIS CEREAL BOTELLA FAMILIAR</v>
      </c>
      <c r="F581" s="120" t="str">
        <f ca="1"/>
        <v>GUAYAQUIL</v>
      </c>
      <c r="G581" s="120">
        <f ca="1"/>
        <v>7711</v>
      </c>
      <c r="H581" s="120">
        <f ca="1"/>
        <v>1001</v>
      </c>
      <c r="I581" s="120" t="str">
        <f ca="1"/>
        <v>2123</v>
      </c>
      <c r="J581" s="120" t="str">
        <f ca="1"/>
        <v>RGN CER PITA BOT 1750G ECU</v>
      </c>
      <c r="K581" s="121">
        <f ca="1"/>
        <v>84</v>
      </c>
      <c r="L581" s="122">
        <f ca="1"/>
        <v>1</v>
      </c>
      <c r="M581" s="120">
        <f ca="1"/>
        <v>1.75</v>
      </c>
      <c r="N581" s="121">
        <f ca="1"/>
        <v>45</v>
      </c>
      <c r="O581" s="123">
        <f ca="1"/>
        <v>45601</v>
      </c>
      <c r="P581" s="123" t="str">
        <f ca="1"/>
        <v>martes</v>
      </c>
      <c r="Q581" s="124">
        <f ca="1"/>
        <v>45597</v>
      </c>
      <c r="R581" s="124">
        <f ca="1"/>
        <v>45641</v>
      </c>
      <c r="S581" s="90">
        <f ca="1"/>
        <v>17</v>
      </c>
      <c r="T581" s="139">
        <f ca="1"/>
        <v>0.37777777777777777</v>
      </c>
      <c r="U581" s="131">
        <f ca="1"/>
        <v>84</v>
      </c>
      <c r="V581" s="120">
        <f ca="1"/>
        <v>147</v>
      </c>
      <c r="W581" s="140">
        <f ca="1"/>
        <v>4</v>
      </c>
      <c r="X581" s="139">
        <f ca="1"/>
        <v>0.91111111111111109</v>
      </c>
      <c r="Y581" s="141">
        <f ca="1"/>
        <v>2.48414</v>
      </c>
      <c r="Z581" s="141">
        <f ca="1"/>
        <v>2.48414</v>
      </c>
      <c r="AA581" s="142">
        <f ca="1"/>
        <v>365.16858000000002</v>
      </c>
      <c r="AB581" s="138">
        <f ca="1"/>
        <v>23</v>
      </c>
      <c r="AC581" s="103" t="str">
        <f ca="1"/>
        <v>FECHA CORTA</v>
      </c>
      <c r="AD581" s="150">
        <f ca="1"/>
        <v>0.14699999999999999</v>
      </c>
    </row>
    <row r="582" spans="1:30">
      <c r="A582" s="111" t="str">
        <f ca="1"/>
        <v>MACHACHI</v>
      </c>
      <c r="B582" s="111" t="str">
        <f ca="1"/>
        <v>BEBIDAS LACTEAS</v>
      </c>
      <c r="C582" s="111" t="str">
        <f ca="1"/>
        <v xml:space="preserve">Luis Armendariz                         </v>
      </c>
      <c r="D582" s="111" t="str">
        <f ca="1"/>
        <v>REGENERIS</v>
      </c>
      <c r="E582" s="111" t="str">
        <f ca="1"/>
        <v>REGENERIS CEREAL BOTELLA FAMILIAR</v>
      </c>
      <c r="F582" s="120" t="str">
        <f ca="1"/>
        <v>GUAYAQUIL</v>
      </c>
      <c r="G582" s="120">
        <f ca="1"/>
        <v>7711</v>
      </c>
      <c r="H582" s="120">
        <f ca="1"/>
        <v>1001</v>
      </c>
      <c r="I582" s="120" t="str">
        <f ca="1"/>
        <v>2123</v>
      </c>
      <c r="J582" s="120" t="str">
        <f ca="1"/>
        <v>RGN CER PITA BOT 1750G ECU</v>
      </c>
      <c r="K582" s="121">
        <f ca="1"/>
        <v>180</v>
      </c>
      <c r="L582" s="122">
        <f ca="1"/>
        <v>1</v>
      </c>
      <c r="M582" s="120">
        <f ca="1"/>
        <v>1.75</v>
      </c>
      <c r="N582" s="121">
        <f ca="1"/>
        <v>45</v>
      </c>
      <c r="O582" s="123">
        <f ca="1"/>
        <v>45616</v>
      </c>
      <c r="P582" s="123" t="str">
        <f ca="1"/>
        <v>miércoles</v>
      </c>
      <c r="Q582" s="124">
        <f ca="1"/>
        <v>45615</v>
      </c>
      <c r="R582" s="124">
        <f ca="1"/>
        <v>45659</v>
      </c>
      <c r="S582" s="90">
        <f ca="1"/>
        <v>35</v>
      </c>
      <c r="T582" s="139">
        <f ca="1"/>
        <v>0.77777777777777779</v>
      </c>
      <c r="U582" s="131">
        <f ca="1"/>
        <v>127</v>
      </c>
      <c r="V582" s="120">
        <f ca="1"/>
        <v>222.25</v>
      </c>
      <c r="W582" s="140">
        <f ca="1"/>
        <v>1</v>
      </c>
      <c r="X582" s="139">
        <f ca="1"/>
        <v>0.97777777777777775</v>
      </c>
      <c r="Y582" s="141">
        <f ca="1"/>
        <v>2.48414</v>
      </c>
      <c r="Z582" s="141">
        <f ca="1"/>
        <v>2.48414</v>
      </c>
      <c r="AA582" s="142">
        <f ca="1"/>
        <v>552.10011499999996</v>
      </c>
      <c r="AB582" s="138">
        <f ca="1"/>
        <v>8</v>
      </c>
      <c r="AC582" s="103" t="str">
        <f ca="1"/>
        <v>VIGENTE</v>
      </c>
      <c r="AD582" s="150">
        <f ca="1"/>
        <v>0.22225</v>
      </c>
    </row>
    <row r="583" spans="1:30">
      <c r="A583" s="111" t="str">
        <f ca="1"/>
        <v>MACHACHI</v>
      </c>
      <c r="B583" s="111" t="str">
        <f ca="1"/>
        <v>BEBIDAS LACTEAS</v>
      </c>
      <c r="C583" s="111" t="str">
        <f ca="1"/>
        <v xml:space="preserve">Luis Armendariz                         </v>
      </c>
      <c r="D583" s="111" t="str">
        <f ca="1"/>
        <v>REGENERIS</v>
      </c>
      <c r="E583" s="111" t="str">
        <f ca="1"/>
        <v>REGENERIS CEREAL BOTELLA FAMILIAR</v>
      </c>
      <c r="F583" s="120" t="str">
        <f ca="1"/>
        <v>GUAYAQUIL</v>
      </c>
      <c r="G583" s="120">
        <f ca="1"/>
        <v>7711</v>
      </c>
      <c r="H583" s="120">
        <f ca="1"/>
        <v>1001</v>
      </c>
      <c r="I583" s="120" t="str">
        <f ca="1"/>
        <v>2123</v>
      </c>
      <c r="J583" s="120" t="str">
        <f ca="1"/>
        <v>RGN CER PITA BOT 1750G ECU</v>
      </c>
      <c r="K583" s="121">
        <f ca="1"/>
        <v>48</v>
      </c>
      <c r="L583" s="122">
        <f ca="1"/>
        <v>1</v>
      </c>
      <c r="M583" s="120">
        <f ca="1"/>
        <v>1.75</v>
      </c>
      <c r="N583" s="121">
        <f ca="1"/>
        <v>45</v>
      </c>
      <c r="O583" s="123">
        <f ca="1"/>
        <v>45617</v>
      </c>
      <c r="P583" s="123" t="str">
        <f ca="1"/>
        <v>jueves</v>
      </c>
      <c r="Q583" s="124">
        <f ca="1"/>
        <v>45615</v>
      </c>
      <c r="R583" s="124">
        <f ca="1"/>
        <v>45659</v>
      </c>
      <c r="S583" s="90">
        <f ca="1"/>
        <v>35</v>
      </c>
      <c r="T583" s="139">
        <f ca="1"/>
        <v>0.77777777777777779</v>
      </c>
      <c r="U583" s="131">
        <f ca="1"/>
        <v>48</v>
      </c>
      <c r="V583" s="120">
        <f ca="1"/>
        <v>84</v>
      </c>
      <c r="W583" s="140">
        <f ca="1"/>
        <v>2</v>
      </c>
      <c r="X583" s="139">
        <f ca="1"/>
        <v>0.9555555555555556</v>
      </c>
      <c r="Y583" s="141">
        <f ca="1"/>
        <v>2.48414</v>
      </c>
      <c r="Z583" s="141">
        <f ca="1"/>
        <v>2.48414</v>
      </c>
      <c r="AA583" s="142">
        <f ca="1"/>
        <v>208.66775999999999</v>
      </c>
      <c r="AB583" s="138">
        <f ca="1"/>
        <v>7</v>
      </c>
      <c r="AC583" s="103" t="str">
        <f ca="1"/>
        <v>VIGENTE</v>
      </c>
      <c r="AD583" s="150">
        <f ca="1"/>
        <v>8.4000000000000005E-2</v>
      </c>
    </row>
    <row r="584" spans="1:30">
      <c r="A584" s="111" t="str">
        <f ca="1"/>
        <v>MULTIEMPAQUE_MACH</v>
      </c>
      <c r="B584" s="111" t="str">
        <f ca="1"/>
        <v>BEBIDAS LACTEAS</v>
      </c>
      <c r="C584" s="111" t="str">
        <f ca="1"/>
        <v xml:space="preserve">Luis Armendariz                         </v>
      </c>
      <c r="D584" s="111" t="str">
        <f ca="1"/>
        <v>REGENERIS</v>
      </c>
      <c r="E584" s="111" t="str">
        <f ca="1"/>
        <v>REGENERIS REGULAR VASO</v>
      </c>
      <c r="F584" s="120" t="str">
        <f ca="1"/>
        <v>GUAYAQUIL</v>
      </c>
      <c r="G584" s="120">
        <f ca="1"/>
        <v>7711</v>
      </c>
      <c r="H584" s="120">
        <f ca="1"/>
        <v>1001</v>
      </c>
      <c r="I584" s="120" t="str">
        <f ca="1"/>
        <v>4133</v>
      </c>
      <c r="J584" s="120" t="str">
        <f ca="1"/>
        <v>MPLX6 RGN TZOS MULTSAB VASO 150G</v>
      </c>
      <c r="K584" s="121">
        <f ca="1"/>
        <v>36</v>
      </c>
      <c r="L584" s="122">
        <f ca="1"/>
        <v>1</v>
      </c>
      <c r="M584" s="120">
        <f ca="1"/>
        <v>0.9</v>
      </c>
      <c r="N584" s="121">
        <f ca="1"/>
        <v>45</v>
      </c>
      <c r="O584" s="123">
        <f ca="1"/>
        <v>45608</v>
      </c>
      <c r="P584" s="123" t="str">
        <f ca="1"/>
        <v>martes</v>
      </c>
      <c r="Q584" s="124">
        <f ca="1"/>
        <v>45595</v>
      </c>
      <c r="R584" s="124">
        <f ca="1"/>
        <v>45639</v>
      </c>
      <c r="S584" s="90">
        <f ca="1"/>
        <v>15</v>
      </c>
      <c r="T584" s="139">
        <f ca="1"/>
        <v>0.33333333333333331</v>
      </c>
      <c r="U584" s="131">
        <f ca="1"/>
        <v>10</v>
      </c>
      <c r="V584" s="120">
        <f ca="1"/>
        <v>9</v>
      </c>
      <c r="W584" s="140">
        <f ca="1"/>
        <v>13</v>
      </c>
      <c r="X584" s="139">
        <f ca="1"/>
        <v>0.71111111111111114</v>
      </c>
      <c r="Y584" s="141">
        <f ca="1"/>
        <v>1.50911</v>
      </c>
      <c r="Z584" s="141">
        <f ca="1"/>
        <v>1.50911</v>
      </c>
      <c r="AA584" s="142">
        <f ca="1"/>
        <v>13.581989999999999</v>
      </c>
      <c r="AB584" s="138">
        <f ca="1"/>
        <v>16</v>
      </c>
      <c r="AC584" s="103" t="str">
        <f ca="1"/>
        <v>FECHA CORTA</v>
      </c>
      <c r="AD584" s="150">
        <f ca="1"/>
        <v>8.9999999999999993E-3</v>
      </c>
    </row>
    <row r="585" spans="1:30">
      <c r="A585" s="111" t="str">
        <f ca="1"/>
        <v>MULTIEMPAQUE_MACH</v>
      </c>
      <c r="B585" s="111" t="str">
        <f ca="1"/>
        <v>BEBIDAS LACTEAS</v>
      </c>
      <c r="C585" s="111" t="str">
        <f ca="1"/>
        <v xml:space="preserve">Luis Armendariz                         </v>
      </c>
      <c r="D585" s="111" t="str">
        <f ca="1"/>
        <v>REGENERIS</v>
      </c>
      <c r="E585" s="111" t="str">
        <f ca="1"/>
        <v>REGENERIS REGULAR VASO</v>
      </c>
      <c r="F585" s="120" t="str">
        <f ca="1"/>
        <v>GUAYAQUIL</v>
      </c>
      <c r="G585" s="120">
        <f ca="1"/>
        <v>7711</v>
      </c>
      <c r="H585" s="120">
        <f ca="1"/>
        <v>1001</v>
      </c>
      <c r="I585" s="120" t="str">
        <f ca="1"/>
        <v>4133</v>
      </c>
      <c r="J585" s="120" t="str">
        <f ca="1"/>
        <v>MPLX6 RGN TZOS MULTSAB VASO 150G</v>
      </c>
      <c r="K585" s="121">
        <f ca="1"/>
        <v>360</v>
      </c>
      <c r="L585" s="122">
        <f ca="1"/>
        <v>1</v>
      </c>
      <c r="M585" s="120">
        <f ca="1"/>
        <v>0.9</v>
      </c>
      <c r="N585" s="121">
        <f ca="1"/>
        <v>45</v>
      </c>
      <c r="O585" s="123">
        <f ca="1"/>
        <v>45617</v>
      </c>
      <c r="P585" s="123" t="str">
        <f ca="1"/>
        <v>jueves</v>
      </c>
      <c r="Q585" s="124">
        <f ca="1"/>
        <v>45612</v>
      </c>
      <c r="R585" s="124">
        <f ca="1"/>
        <v>45656</v>
      </c>
      <c r="S585" s="90">
        <f ca="1"/>
        <v>32</v>
      </c>
      <c r="T585" s="139">
        <f ca="1"/>
        <v>0.71111111111111114</v>
      </c>
      <c r="U585" s="131">
        <f ca="1"/>
        <v>50</v>
      </c>
      <c r="V585" s="120">
        <f ca="1"/>
        <v>45</v>
      </c>
      <c r="W585" s="140">
        <f ca="1"/>
        <v>5</v>
      </c>
      <c r="X585" s="139">
        <f ca="1"/>
        <v>0.88888888888888884</v>
      </c>
      <c r="Y585" s="141">
        <f ca="1"/>
        <v>1.50911</v>
      </c>
      <c r="Z585" s="141">
        <f ca="1"/>
        <v>1.50911</v>
      </c>
      <c r="AA585" s="142">
        <f ca="1"/>
        <v>67.909949999999995</v>
      </c>
      <c r="AB585" s="138">
        <f ca="1"/>
        <v>7</v>
      </c>
      <c r="AC585" s="103" t="str">
        <f ca="1"/>
        <v>VIGENTE</v>
      </c>
      <c r="AD585" s="150">
        <f ca="1"/>
        <v>4.4999999999999998E-2</v>
      </c>
    </row>
    <row r="586" spans="1:30">
      <c r="A586" s="111" t="str">
        <f ca="1"/>
        <v>MACHACHI</v>
      </c>
      <c r="B586" s="111" t="str">
        <f ca="1"/>
        <v>BEBIDAS LACTEAS</v>
      </c>
      <c r="C586" s="111" t="str">
        <f ca="1"/>
        <v xml:space="preserve">Luis Armendariz                         </v>
      </c>
      <c r="D586" s="111" t="str">
        <f ca="1"/>
        <v>BON YURT</v>
      </c>
      <c r="E586" s="111" t="str">
        <f ca="1"/>
        <v>BON YURT MINI</v>
      </c>
      <c r="F586" s="120" t="str">
        <f ca="1"/>
        <v>GUAYAQUIL</v>
      </c>
      <c r="G586" s="120">
        <f ca="1"/>
        <v>7711</v>
      </c>
      <c r="H586" s="120">
        <f ca="1"/>
        <v>1001</v>
      </c>
      <c r="I586" s="120" t="str">
        <f ca="1"/>
        <v>17114</v>
      </c>
      <c r="J586" s="120" t="str">
        <f ca="1"/>
        <v>BON YURT MINI HOJUELAS 87G</v>
      </c>
      <c r="K586" s="121">
        <f ca="1"/>
        <v>630</v>
      </c>
      <c r="L586" s="122">
        <f ca="1"/>
        <v>1</v>
      </c>
      <c r="M586" s="120">
        <f ca="1"/>
        <v>8.6999999999999994E-2</v>
      </c>
      <c r="N586" s="121">
        <f ca="1"/>
        <v>45</v>
      </c>
      <c r="O586" s="123">
        <f ca="1"/>
        <v>45608</v>
      </c>
      <c r="P586" s="123" t="str">
        <f ca="1"/>
        <v>martes</v>
      </c>
      <c r="Q586" s="124">
        <f ca="1"/>
        <v>45596</v>
      </c>
      <c r="R586" s="124">
        <f ca="1"/>
        <v>45640</v>
      </c>
      <c r="S586" s="90">
        <f ca="1"/>
        <v>16</v>
      </c>
      <c r="T586" s="139">
        <f ca="1"/>
        <v>0.35555555555555557</v>
      </c>
      <c r="U586" s="131">
        <f ca="1"/>
        <v>7</v>
      </c>
      <c r="V586" s="120">
        <f ca="1"/>
        <v>0.60899999999999999</v>
      </c>
      <c r="W586" s="140">
        <f ca="1"/>
        <v>12</v>
      </c>
      <c r="X586" s="139">
        <f ca="1"/>
        <v>0.73333333333333339</v>
      </c>
      <c r="Y586" s="141">
        <f ca="1"/>
        <v>0.20752000000000001</v>
      </c>
      <c r="Z586" s="141">
        <f ca="1"/>
        <v>0.20752000000000001</v>
      </c>
      <c r="AA586" s="142">
        <f ca="1"/>
        <v>0.12637967999999999</v>
      </c>
      <c r="AB586" s="138">
        <f ca="1"/>
        <v>16</v>
      </c>
      <c r="AC586" s="103" t="str">
        <f ca="1"/>
        <v>FECHA CORTA</v>
      </c>
      <c r="AD586" s="150">
        <f ca="1"/>
        <v>6.0899999999999995E-4</v>
      </c>
    </row>
    <row r="587" spans="1:30">
      <c r="A587" s="111" t="str">
        <f ca="1"/>
        <v>MACHACHI</v>
      </c>
      <c r="B587" s="111" t="str">
        <f ca="1"/>
        <v>BEBIDAS LACTEAS</v>
      </c>
      <c r="C587" s="111" t="str">
        <f ca="1"/>
        <v xml:space="preserve">Luis Armendariz                         </v>
      </c>
      <c r="D587" s="111" t="str">
        <f ca="1"/>
        <v>BON YURT</v>
      </c>
      <c r="E587" s="111" t="str">
        <f ca="1"/>
        <v>BON YURT MINI</v>
      </c>
      <c r="F587" s="120" t="str">
        <f ca="1"/>
        <v>GUAYAQUIL</v>
      </c>
      <c r="G587" s="120">
        <f ca="1"/>
        <v>7711</v>
      </c>
      <c r="H587" s="120">
        <f ca="1"/>
        <v>1001</v>
      </c>
      <c r="I587" s="120" t="str">
        <f ca="1"/>
        <v>17114</v>
      </c>
      <c r="J587" s="120" t="str">
        <f ca="1"/>
        <v>BON YURT MINI HOJUELAS 87G</v>
      </c>
      <c r="K587" s="121">
        <f ca="1"/>
        <v>420</v>
      </c>
      <c r="L587" s="122">
        <f ca="1"/>
        <v>1</v>
      </c>
      <c r="M587" s="120">
        <f ca="1"/>
        <v>8.6999999999999994E-2</v>
      </c>
      <c r="N587" s="121">
        <f ca="1"/>
        <v>45</v>
      </c>
      <c r="O587" s="123">
        <f ca="1"/>
        <v>45612</v>
      </c>
      <c r="P587" s="123" t="str">
        <f ca="1"/>
        <v>sábado</v>
      </c>
      <c r="Q587" s="124">
        <f ca="1"/>
        <v>45603</v>
      </c>
      <c r="R587" s="124">
        <f ca="1"/>
        <v>45647</v>
      </c>
      <c r="S587" s="90">
        <f ca="1"/>
        <v>23</v>
      </c>
      <c r="T587" s="139">
        <f ca="1"/>
        <v>0.51111111111111107</v>
      </c>
      <c r="U587" s="131">
        <f ca="1"/>
        <v>318</v>
      </c>
      <c r="V587" s="120">
        <f ca="1"/>
        <v>27.665999999999997</v>
      </c>
      <c r="W587" s="140">
        <f ca="1"/>
        <v>9</v>
      </c>
      <c r="X587" s="139">
        <f ca="1"/>
        <v>0.8</v>
      </c>
      <c r="Y587" s="141">
        <f ca="1"/>
        <v>0.20752000000000001</v>
      </c>
      <c r="Z587" s="141">
        <f ca="1"/>
        <v>0.20752000000000001</v>
      </c>
      <c r="AA587" s="142">
        <f ca="1"/>
        <v>5.7412483199999995</v>
      </c>
      <c r="AB587" s="138">
        <f ca="1"/>
        <v>12</v>
      </c>
      <c r="AC587" s="103" t="str">
        <f ca="1"/>
        <v>PROXIMOS FECHA CORTA</v>
      </c>
      <c r="AD587" s="150">
        <f ca="1"/>
        <v>2.7665999999999996E-2</v>
      </c>
    </row>
    <row r="588" spans="1:30">
      <c r="A588" s="111" t="str">
        <f ca="1"/>
        <v>MACHACHI</v>
      </c>
      <c r="B588" s="111" t="str">
        <f ca="1"/>
        <v>BEBIDAS LACTEAS</v>
      </c>
      <c r="C588" s="111" t="str">
        <f ca="1"/>
        <v xml:space="preserve">Luis Armendariz                         </v>
      </c>
      <c r="D588" s="111" t="str">
        <f ca="1"/>
        <v>BON YURT</v>
      </c>
      <c r="E588" s="111" t="str">
        <f ca="1"/>
        <v>BON YURT MINI</v>
      </c>
      <c r="F588" s="120" t="str">
        <f ca="1"/>
        <v>GUAYAQUIL</v>
      </c>
      <c r="G588" s="120">
        <f ca="1"/>
        <v>7711</v>
      </c>
      <c r="H588" s="120">
        <f ca="1"/>
        <v>1001</v>
      </c>
      <c r="I588" s="120" t="str">
        <f ca="1"/>
        <v>17114</v>
      </c>
      <c r="J588" s="120" t="str">
        <f ca="1"/>
        <v>BON YURT MINI HOJUELAS 87G</v>
      </c>
      <c r="K588" s="121">
        <f ca="1"/>
        <v>1050</v>
      </c>
      <c r="L588" s="122">
        <f ca="1"/>
        <v>1</v>
      </c>
      <c r="M588" s="120">
        <f ca="1"/>
        <v>8.6999999999999994E-2</v>
      </c>
      <c r="N588" s="121">
        <f ca="1"/>
        <v>45</v>
      </c>
      <c r="O588" s="123">
        <f ca="1"/>
        <v>45615</v>
      </c>
      <c r="P588" s="123" t="str">
        <f ca="1"/>
        <v>martes</v>
      </c>
      <c r="Q588" s="124">
        <f ca="1"/>
        <v>45603</v>
      </c>
      <c r="R588" s="124">
        <f ca="1"/>
        <v>45647</v>
      </c>
      <c r="S588" s="90">
        <f ca="1"/>
        <v>23</v>
      </c>
      <c r="T588" s="139">
        <f ca="1"/>
        <v>0.51111111111111107</v>
      </c>
      <c r="U588" s="131">
        <f ca="1"/>
        <v>1050</v>
      </c>
      <c r="V588" s="120">
        <f ca="1"/>
        <v>91.35</v>
      </c>
      <c r="W588" s="140">
        <f ca="1"/>
        <v>12</v>
      </c>
      <c r="X588" s="139">
        <f ca="1"/>
        <v>0.73333333333333339</v>
      </c>
      <c r="Y588" s="141">
        <f ca="1"/>
        <v>0.20752000000000001</v>
      </c>
      <c r="Z588" s="141">
        <f ca="1"/>
        <v>0.20752000000000001</v>
      </c>
      <c r="AA588" s="142">
        <f ca="1"/>
        <v>18.956952000000001</v>
      </c>
      <c r="AB588" s="138">
        <f ca="1"/>
        <v>9</v>
      </c>
      <c r="AC588" s="103" t="str">
        <f ca="1"/>
        <v>PROXIMOS FECHA CORTA</v>
      </c>
      <c r="AD588" s="150">
        <f ca="1"/>
        <v>9.1350000000000001E-2</v>
      </c>
    </row>
    <row r="589" spans="1:30">
      <c r="A589" s="111" t="str">
        <f ca="1"/>
        <v>MACHACHI</v>
      </c>
      <c r="B589" s="111" t="str">
        <f ca="1"/>
        <v>BEBIDAS LACTEAS</v>
      </c>
      <c r="C589" s="111" t="str">
        <f ca="1"/>
        <v xml:space="preserve">Luis Armendariz                         </v>
      </c>
      <c r="D589" s="111" t="str">
        <f ca="1"/>
        <v>BON YURT</v>
      </c>
      <c r="E589" s="111" t="str">
        <f ca="1"/>
        <v>BON YURT MINI</v>
      </c>
      <c r="F589" s="120" t="str">
        <f ca="1"/>
        <v>GUAYAQUIL</v>
      </c>
      <c r="G589" s="120">
        <f ca="1"/>
        <v>7711</v>
      </c>
      <c r="H589" s="120">
        <f ca="1"/>
        <v>1001</v>
      </c>
      <c r="I589" s="120" t="str">
        <f ca="1"/>
        <v>17114</v>
      </c>
      <c r="J589" s="120" t="str">
        <f ca="1"/>
        <v>BON YURT MINI HOJUELAS 87G</v>
      </c>
      <c r="K589" s="121">
        <f ca="1"/>
        <v>560</v>
      </c>
      <c r="L589" s="122">
        <f ca="1"/>
        <v>1</v>
      </c>
      <c r="M589" s="120">
        <f ca="1"/>
        <v>8.6999999999999994E-2</v>
      </c>
      <c r="N589" s="121">
        <f ca="1"/>
        <v>45</v>
      </c>
      <c r="O589" s="123">
        <f ca="1"/>
        <v>45616</v>
      </c>
      <c r="P589" s="123" t="str">
        <f ca="1"/>
        <v>miércoles</v>
      </c>
      <c r="Q589" s="124">
        <f ca="1"/>
        <v>45610</v>
      </c>
      <c r="R589" s="124">
        <f ca="1"/>
        <v>45654</v>
      </c>
      <c r="S589" s="90">
        <f ca="1"/>
        <v>30</v>
      </c>
      <c r="T589" s="139">
        <f ca="1"/>
        <v>0.66666666666666663</v>
      </c>
      <c r="U589" s="131">
        <f ca="1"/>
        <v>560</v>
      </c>
      <c r="V589" s="120">
        <f ca="1"/>
        <v>48.72</v>
      </c>
      <c r="W589" s="140">
        <f ca="1"/>
        <v>6</v>
      </c>
      <c r="X589" s="139">
        <f ca="1"/>
        <v>0.8666666666666667</v>
      </c>
      <c r="Y589" s="141">
        <f ca="1"/>
        <v>0.20752000000000001</v>
      </c>
      <c r="Z589" s="141">
        <f ca="1"/>
        <v>0.20752000000000001</v>
      </c>
      <c r="AA589" s="142">
        <f ca="1"/>
        <v>10.1103744</v>
      </c>
      <c r="AB589" s="138">
        <f ca="1"/>
        <v>8</v>
      </c>
      <c r="AC589" s="103" t="str">
        <f ca="1"/>
        <v>VIGENTE</v>
      </c>
      <c r="AD589" s="150">
        <f ca="1"/>
        <v>4.8719999999999999E-2</v>
      </c>
    </row>
    <row r="590" spans="1:30">
      <c r="A590" s="111" t="str">
        <f ca="1"/>
        <v>MACHACHI</v>
      </c>
      <c r="B590" s="111" t="str">
        <f ca="1"/>
        <v>BEBIDAS LACTEAS</v>
      </c>
      <c r="C590" s="111" t="str">
        <f ca="1"/>
        <v xml:space="preserve">Luis Armendariz                         </v>
      </c>
      <c r="D590" s="111" t="str">
        <f ca="1"/>
        <v>BON YURT</v>
      </c>
      <c r="E590" s="111" t="str">
        <f ca="1"/>
        <v>BON YURT MINI</v>
      </c>
      <c r="F590" s="120" t="str">
        <f ca="1"/>
        <v>GUAYAQUIL</v>
      </c>
      <c r="G590" s="120">
        <f ca="1"/>
        <v>7711</v>
      </c>
      <c r="H590" s="120">
        <f ca="1"/>
        <v>1001</v>
      </c>
      <c r="I590" s="120" t="str">
        <f ca="1"/>
        <v>17114</v>
      </c>
      <c r="J590" s="120" t="str">
        <f ca="1"/>
        <v>BON YURT MINI HOJUELAS 87G</v>
      </c>
      <c r="K590" s="121">
        <f ca="1"/>
        <v>420</v>
      </c>
      <c r="L590" s="122">
        <f ca="1"/>
        <v>1</v>
      </c>
      <c r="M590" s="120">
        <f ca="1"/>
        <v>8.6999999999999994E-2</v>
      </c>
      <c r="N590" s="121">
        <f ca="1"/>
        <v>45</v>
      </c>
      <c r="O590" s="123">
        <f ca="1"/>
        <v>45617</v>
      </c>
      <c r="P590" s="123" t="str">
        <f ca="1"/>
        <v>jueves</v>
      </c>
      <c r="Q590" s="124">
        <f ca="1"/>
        <v>45610</v>
      </c>
      <c r="R590" s="124">
        <f ca="1"/>
        <v>45654</v>
      </c>
      <c r="S590" s="90">
        <f ca="1"/>
        <v>30</v>
      </c>
      <c r="T590" s="139">
        <f ca="1"/>
        <v>0.66666666666666663</v>
      </c>
      <c r="U590" s="131">
        <f ca="1"/>
        <v>420</v>
      </c>
      <c r="V590" s="120">
        <f ca="1"/>
        <v>36.54</v>
      </c>
      <c r="W590" s="140">
        <f ca="1"/>
        <v>7</v>
      </c>
      <c r="X590" s="139">
        <f ca="1"/>
        <v>0.84444444444444444</v>
      </c>
      <c r="Y590" s="141">
        <f ca="1"/>
        <v>0.20752000000000001</v>
      </c>
      <c r="Z590" s="141">
        <f ca="1"/>
        <v>0.20752000000000001</v>
      </c>
      <c r="AA590" s="142">
        <f ca="1"/>
        <v>7.5827808000000001</v>
      </c>
      <c r="AB590" s="138">
        <f ca="1"/>
        <v>7</v>
      </c>
      <c r="AC590" s="103" t="str">
        <f ca="1"/>
        <v>VIGENTE</v>
      </c>
      <c r="AD590" s="150">
        <f ca="1"/>
        <v>3.6539999999999996E-2</v>
      </c>
    </row>
    <row r="591" spans="1:30">
      <c r="A591" s="111" t="str">
        <f ca="1"/>
        <v>MACHACHI</v>
      </c>
      <c r="B591" s="111" t="str">
        <f ca="1"/>
        <v>BEBIDAS LACTEAS</v>
      </c>
      <c r="C591" s="111" t="str">
        <f ca="1"/>
        <v xml:space="preserve">Luis Armendariz                         </v>
      </c>
      <c r="D591" s="111" t="str">
        <f ca="1"/>
        <v>YOGURT FINESSE</v>
      </c>
      <c r="E591" s="111" t="str">
        <f ca="1"/>
        <v>YOGURT FINESSE DESLACT BOTELLA FAMILIAR</v>
      </c>
      <c r="F591" s="120" t="str">
        <f ca="1"/>
        <v>GUAYAQUIL</v>
      </c>
      <c r="G591" s="120">
        <f ca="1"/>
        <v>7711</v>
      </c>
      <c r="H591" s="120">
        <f ca="1"/>
        <v>1001</v>
      </c>
      <c r="I591" s="120" t="str">
        <f ca="1"/>
        <v>16367</v>
      </c>
      <c r="J591" s="120" t="str">
        <f ca="1"/>
        <v>YOG FNSSE VAINILLA 950</v>
      </c>
      <c r="K591" s="121">
        <f ca="1"/>
        <v>54</v>
      </c>
      <c r="L591" s="122">
        <f ca="1"/>
        <v>1</v>
      </c>
      <c r="M591" s="120">
        <f ca="1"/>
        <v>0.95</v>
      </c>
      <c r="N591" s="121">
        <f ca="1"/>
        <v>45</v>
      </c>
      <c r="O591" s="123">
        <f ca="1"/>
        <v>45612</v>
      </c>
      <c r="P591" s="123" t="str">
        <f ca="1"/>
        <v>sábado</v>
      </c>
      <c r="Q591" s="124">
        <f ca="1"/>
        <v>45609</v>
      </c>
      <c r="R591" s="124">
        <f ca="1"/>
        <v>45653</v>
      </c>
      <c r="S591" s="90">
        <f ca="1"/>
        <v>29</v>
      </c>
      <c r="T591" s="139">
        <f ca="1"/>
        <v>0.64444444444444449</v>
      </c>
      <c r="U591" s="131">
        <f ca="1"/>
        <v>13</v>
      </c>
      <c r="V591" s="120">
        <f ca="1"/>
        <v>12.35</v>
      </c>
      <c r="W591" s="140">
        <f ca="1"/>
        <v>3</v>
      </c>
      <c r="X591" s="139">
        <f ca="1"/>
        <v>0.93333333333333335</v>
      </c>
      <c r="Y591" s="141">
        <f ca="1"/>
        <v>1.24322</v>
      </c>
      <c r="Z591" s="141">
        <f ca="1"/>
        <v>1.24322</v>
      </c>
      <c r="AA591" s="142">
        <f ca="1"/>
        <v>15.353766999999999</v>
      </c>
      <c r="AB591" s="138">
        <f ca="1"/>
        <v>12</v>
      </c>
      <c r="AC591" s="103" t="str">
        <f ca="1"/>
        <v>VIGENTE</v>
      </c>
      <c r="AD591" s="150">
        <f ca="1"/>
        <v>1.235E-2</v>
      </c>
    </row>
    <row r="592" spans="1:30">
      <c r="A592" s="111" t="str">
        <f ca="1"/>
        <v>MACHACHI</v>
      </c>
      <c r="B592" s="111" t="str">
        <f ca="1"/>
        <v>BEBIDAS LACTEAS</v>
      </c>
      <c r="C592" s="111" t="str">
        <f ca="1"/>
        <v xml:space="preserve">Luis Armendariz                         </v>
      </c>
      <c r="D592" s="111" t="str">
        <f ca="1"/>
        <v>YOGURT FINESSE</v>
      </c>
      <c r="E592" s="111" t="str">
        <f ca="1"/>
        <v>YOGURT FINESSE DESLACT BOTELLA FAMILIAR</v>
      </c>
      <c r="F592" s="120" t="str">
        <f ca="1"/>
        <v>GUAYAQUIL</v>
      </c>
      <c r="G592" s="120">
        <f ca="1"/>
        <v>7711</v>
      </c>
      <c r="H592" s="120">
        <f ca="1"/>
        <v>1001</v>
      </c>
      <c r="I592" s="120" t="str">
        <f ca="1"/>
        <v>16367</v>
      </c>
      <c r="J592" s="120" t="str">
        <f ca="1"/>
        <v>YOG FNSSE VAINILLA 950</v>
      </c>
      <c r="K592" s="121">
        <f ca="1"/>
        <v>54</v>
      </c>
      <c r="L592" s="122">
        <f ca="1"/>
        <v>1</v>
      </c>
      <c r="M592" s="120">
        <f ca="1"/>
        <v>0.95</v>
      </c>
      <c r="N592" s="121">
        <f ca="1"/>
        <v>45</v>
      </c>
      <c r="O592" s="123">
        <f ca="1"/>
        <v>45615</v>
      </c>
      <c r="P592" s="123" t="str">
        <f ca="1"/>
        <v>martes</v>
      </c>
      <c r="Q592" s="124">
        <f ca="1"/>
        <v>45609</v>
      </c>
      <c r="R592" s="124">
        <f ca="1"/>
        <v>45653</v>
      </c>
      <c r="S592" s="90">
        <f ca="1"/>
        <v>29</v>
      </c>
      <c r="T592" s="139">
        <f ca="1"/>
        <v>0.64444444444444449</v>
      </c>
      <c r="U592" s="131">
        <f ca="1"/>
        <v>54</v>
      </c>
      <c r="V592" s="120">
        <f ca="1"/>
        <v>51.3</v>
      </c>
      <c r="W592" s="140">
        <f ca="1"/>
        <v>6</v>
      </c>
      <c r="X592" s="139">
        <f ca="1"/>
        <v>0.8666666666666667</v>
      </c>
      <c r="Y592" s="141">
        <f ca="1"/>
        <v>1.24322</v>
      </c>
      <c r="Z592" s="141">
        <f ca="1"/>
        <v>1.24322</v>
      </c>
      <c r="AA592" s="142">
        <f ca="1"/>
        <v>63.777185999999993</v>
      </c>
      <c r="AB592" s="138">
        <f ca="1"/>
        <v>9</v>
      </c>
      <c r="AC592" s="103" t="str">
        <f ca="1"/>
        <v>VIGENTE</v>
      </c>
      <c r="AD592" s="150">
        <f ca="1"/>
        <v>5.1299999999999998E-2</v>
      </c>
    </row>
    <row r="593" spans="1:30">
      <c r="A593" s="111" t="str">
        <f ca="1"/>
        <v>MACHACHI</v>
      </c>
      <c r="B593" s="111" t="str">
        <f ca="1"/>
        <v>BEBIDAS LACTEAS</v>
      </c>
      <c r="C593" s="111" t="str">
        <f ca="1"/>
        <v xml:space="preserve">Luis Armendariz                         </v>
      </c>
      <c r="D593" s="111" t="str">
        <f ca="1"/>
        <v>YOGURT FINESSE</v>
      </c>
      <c r="E593" s="111" t="str">
        <f ca="1"/>
        <v>YOGURT FINESSE DESLACT BOTELLA FAMILIAR</v>
      </c>
      <c r="F593" s="120" t="str">
        <f ca="1"/>
        <v>GUAYAQUIL</v>
      </c>
      <c r="G593" s="120">
        <f ca="1"/>
        <v>7711</v>
      </c>
      <c r="H593" s="120">
        <f ca="1"/>
        <v>1001</v>
      </c>
      <c r="I593" s="120" t="str">
        <f ca="1"/>
        <v>16367</v>
      </c>
      <c r="J593" s="120" t="str">
        <f ca="1"/>
        <v>YOG FNSSE VAINILLA 950</v>
      </c>
      <c r="K593" s="121">
        <f ca="1"/>
        <v>36</v>
      </c>
      <c r="L593" s="122">
        <f ca="1"/>
        <v>1</v>
      </c>
      <c r="M593" s="120">
        <f ca="1"/>
        <v>0.95</v>
      </c>
      <c r="N593" s="121">
        <f ca="1"/>
        <v>45</v>
      </c>
      <c r="O593" s="123">
        <f ca="1"/>
        <v>45616</v>
      </c>
      <c r="P593" s="123" t="str">
        <f ca="1"/>
        <v>miércoles</v>
      </c>
      <c r="Q593" s="124">
        <f ca="1"/>
        <v>45611</v>
      </c>
      <c r="R593" s="124">
        <f ca="1"/>
        <v>45655</v>
      </c>
      <c r="S593" s="90">
        <f ca="1"/>
        <v>31</v>
      </c>
      <c r="T593" s="139">
        <f ca="1"/>
        <v>0.68888888888888888</v>
      </c>
      <c r="U593" s="131">
        <f ca="1"/>
        <v>0</v>
      </c>
      <c r="V593" s="120">
        <f ca="1"/>
        <v>0</v>
      </c>
      <c r="W593" s="140">
        <f ca="1"/>
        <v>5</v>
      </c>
      <c r="X593" s="139">
        <f ca="1"/>
        <v>0.88888888888888884</v>
      </c>
      <c r="Y593" s="141">
        <f ca="1"/>
        <v>1.24322</v>
      </c>
      <c r="Z593" s="141">
        <f ca="1"/>
        <v>1.24322</v>
      </c>
      <c r="AA593" s="142">
        <f ca="1"/>
        <v>0</v>
      </c>
      <c r="AB593" s="138">
        <f ca="1"/>
        <v>8</v>
      </c>
      <c r="AC593" s="103" t="str">
        <f ca="1"/>
        <v>VIGENTE</v>
      </c>
      <c r="AD593" s="150">
        <f ca="1"/>
        <v>0</v>
      </c>
    </row>
    <row r="594" spans="1:30">
      <c r="A594" s="111" t="str">
        <f ca="1"/>
        <v>MACHACHI</v>
      </c>
      <c r="B594" s="111" t="str">
        <f ca="1"/>
        <v>BEBIDAS LACTEAS</v>
      </c>
      <c r="C594" s="111" t="str">
        <f ca="1"/>
        <v xml:space="preserve">Luis Armendariz                         </v>
      </c>
      <c r="D594" s="111" t="str">
        <f ca="1"/>
        <v>YOGURT FINESSE</v>
      </c>
      <c r="E594" s="111" t="str">
        <f ca="1"/>
        <v>YOGURT FINESSE DESLACT BOTELLA FAMILIAR</v>
      </c>
      <c r="F594" s="120" t="str">
        <f ca="1"/>
        <v>GUAYAQUIL</v>
      </c>
      <c r="G594" s="120">
        <f ca="1"/>
        <v>7711</v>
      </c>
      <c r="H594" s="120">
        <f ca="1"/>
        <v>1001</v>
      </c>
      <c r="I594" s="120" t="str">
        <f ca="1"/>
        <v>16367</v>
      </c>
      <c r="J594" s="120" t="str">
        <f ca="1"/>
        <v>YOG FNSSE VAINILLA 950</v>
      </c>
      <c r="K594" s="121">
        <f ca="1"/>
        <v>36</v>
      </c>
      <c r="L594" s="122">
        <f ca="1"/>
        <v>1</v>
      </c>
      <c r="M594" s="120">
        <f ca="1"/>
        <v>0.95</v>
      </c>
      <c r="N594" s="121">
        <f ca="1"/>
        <v>45</v>
      </c>
      <c r="O594" s="123">
        <f ca="1"/>
        <v>45617</v>
      </c>
      <c r="P594" s="123" t="str">
        <f ca="1"/>
        <v>jueves</v>
      </c>
      <c r="Q594" s="124">
        <f ca="1"/>
        <v>45611</v>
      </c>
      <c r="R594" s="124">
        <f ca="1"/>
        <v>45655</v>
      </c>
      <c r="S594" s="90">
        <f ca="1"/>
        <v>31</v>
      </c>
      <c r="T594" s="139">
        <f ca="1"/>
        <v>0.68888888888888888</v>
      </c>
      <c r="U594" s="131">
        <f ca="1"/>
        <v>36</v>
      </c>
      <c r="V594" s="120">
        <f ca="1"/>
        <v>34.199999999999996</v>
      </c>
      <c r="W594" s="140">
        <f ca="1"/>
        <v>6</v>
      </c>
      <c r="X594" s="139">
        <f ca="1"/>
        <v>0.8666666666666667</v>
      </c>
      <c r="Y594" s="141">
        <f ca="1"/>
        <v>1.24322</v>
      </c>
      <c r="Z594" s="141">
        <f ca="1"/>
        <v>1.24322</v>
      </c>
      <c r="AA594" s="142">
        <f ca="1"/>
        <v>42.518123999999993</v>
      </c>
      <c r="AB594" s="138">
        <f ca="1"/>
        <v>7</v>
      </c>
      <c r="AC594" s="103" t="str">
        <f ca="1"/>
        <v>VIGENTE</v>
      </c>
      <c r="AD594" s="150">
        <f ca="1"/>
        <v>3.4199999999999994E-2</v>
      </c>
    </row>
    <row r="595" spans="1:30">
      <c r="A595" s="111" t="str">
        <f ca="1"/>
        <v>SAN GABRIEL</v>
      </c>
      <c r="B595" s="111" t="str">
        <f ca="1"/>
        <v>QUESOS Y GRASAS</v>
      </c>
      <c r="C595" s="111" t="str">
        <f ca="1"/>
        <v xml:space="preserve">Esteban Montenegro                      </v>
      </c>
      <c r="D595" s="111" t="str">
        <f ca="1"/>
        <v>QUESO MOZARELLA KIOSKO</v>
      </c>
      <c r="E595" s="111" t="str">
        <f ca="1"/>
        <v>QUESO MOZARELLA PIZZA KIOSKO TAJADO</v>
      </c>
      <c r="F595" s="120" t="str">
        <f ca="1"/>
        <v>GUAYAQUIL</v>
      </c>
      <c r="G595" s="120">
        <f ca="1"/>
        <v>7711</v>
      </c>
      <c r="H595" s="120">
        <f ca="1"/>
        <v>1001</v>
      </c>
      <c r="I595" s="120" t="str">
        <f ca="1"/>
        <v>14715</v>
      </c>
      <c r="J595" s="120" t="str">
        <f ca="1"/>
        <v>Q MOZAR PIZZ KIOSKO LONJ AL PESO COR</v>
      </c>
      <c r="K595" s="121">
        <f ca="1"/>
        <v>12</v>
      </c>
      <c r="L595" s="122">
        <f ca="1"/>
        <v>2.7</v>
      </c>
      <c r="M595" s="120">
        <f ca="1"/>
        <v>1</v>
      </c>
      <c r="N595" s="121">
        <f ca="1"/>
        <v>30</v>
      </c>
      <c r="O595" s="123">
        <f ca="1"/>
        <v>45615</v>
      </c>
      <c r="P595" s="123" t="str">
        <f ca="1"/>
        <v>martes</v>
      </c>
      <c r="Q595" s="124">
        <f ca="1"/>
        <v>45613</v>
      </c>
      <c r="R595" s="124">
        <f ca="1"/>
        <v>45642</v>
      </c>
      <c r="S595" s="90">
        <f ca="1"/>
        <v>18</v>
      </c>
      <c r="T595" s="139">
        <f ca="1"/>
        <v>0.6</v>
      </c>
      <c r="U595" s="131">
        <f ca="1"/>
        <v>12</v>
      </c>
      <c r="V595" s="120">
        <f ca="1"/>
        <v>32.400000000000006</v>
      </c>
      <c r="W595" s="140">
        <f ca="1"/>
        <v>2</v>
      </c>
      <c r="X595" s="139">
        <f ca="1"/>
        <v>0.93333333333333335</v>
      </c>
      <c r="Y595" s="141">
        <f ca="1"/>
        <v>7.2692399999999999</v>
      </c>
      <c r="Z595" s="141">
        <f ca="1"/>
        <v>19.626948000000002</v>
      </c>
      <c r="AA595" s="142">
        <f ca="1"/>
        <v>635.91311520000022</v>
      </c>
      <c r="AB595" s="138">
        <f ca="1"/>
        <v>9</v>
      </c>
      <c r="AC595" s="103" t="str">
        <f ca="1"/>
        <v>FECHA CORTA</v>
      </c>
      <c r="AD595" s="150">
        <f ca="1"/>
        <v>3.2400000000000005E-2</v>
      </c>
    </row>
    <row r="596" spans="1:30">
      <c r="A596" s="111" t="str">
        <f ca="1"/>
        <v>SAN GABRIEL</v>
      </c>
      <c r="B596" s="111" t="str">
        <f ca="1"/>
        <v>QUESOS Y GRASAS</v>
      </c>
      <c r="C596" s="111" t="str">
        <f ca="1"/>
        <v xml:space="preserve">Esteban Montenegro                      </v>
      </c>
      <c r="D596" s="111" t="str">
        <f ca="1"/>
        <v>QUESO MOZARELLA KIOSKO</v>
      </c>
      <c r="E596" s="111" t="str">
        <f ca="1"/>
        <v>QUESO MOZARELLA PIZZA KIOSKO TAJADO</v>
      </c>
      <c r="F596" s="120" t="str">
        <f ca="1"/>
        <v>GUAYAQUIL</v>
      </c>
      <c r="G596" s="120">
        <f ca="1"/>
        <v>7711</v>
      </c>
      <c r="H596" s="120">
        <f ca="1"/>
        <v>1001</v>
      </c>
      <c r="I596" s="120" t="str">
        <f ca="1"/>
        <v>14715</v>
      </c>
      <c r="J596" s="120" t="str">
        <f ca="1"/>
        <v>Q MOZAR PIZZ KIOSKO LONJ AL PESO COR</v>
      </c>
      <c r="K596" s="121">
        <f ca="1"/>
        <v>10</v>
      </c>
      <c r="L596" s="122">
        <f ca="1"/>
        <v>2.7</v>
      </c>
      <c r="M596" s="120">
        <f ca="1"/>
        <v>1</v>
      </c>
      <c r="N596" s="121">
        <f ca="1"/>
        <v>30</v>
      </c>
      <c r="O596" s="123">
        <f ca="1"/>
        <v>45617</v>
      </c>
      <c r="P596" s="123" t="str">
        <f ca="1"/>
        <v>jueves</v>
      </c>
      <c r="Q596" s="124">
        <f ca="1"/>
        <v>45616</v>
      </c>
      <c r="R596" s="124">
        <f ca="1"/>
        <v>45645</v>
      </c>
      <c r="S596" s="90">
        <f ca="1"/>
        <v>21</v>
      </c>
      <c r="T596" s="139">
        <f ca="1"/>
        <v>0.7</v>
      </c>
      <c r="U596" s="131">
        <f ca="1"/>
        <v>10</v>
      </c>
      <c r="V596" s="120">
        <f ca="1"/>
        <v>27</v>
      </c>
      <c r="W596" s="140">
        <f ca="1"/>
        <v>1</v>
      </c>
      <c r="X596" s="139">
        <f ca="1"/>
        <v>0.96666666666666667</v>
      </c>
      <c r="Y596" s="141">
        <f ca="1"/>
        <v>7.2692399999999999</v>
      </c>
      <c r="Z596" s="141">
        <f ca="1"/>
        <v>19.626948000000002</v>
      </c>
      <c r="AA596" s="142">
        <f ca="1"/>
        <v>529.92759600000011</v>
      </c>
      <c r="AB596" s="138">
        <f ca="1"/>
        <v>7</v>
      </c>
      <c r="AC596" s="103" t="str">
        <f ca="1"/>
        <v>FECHA CORTA</v>
      </c>
      <c r="AD596" s="150">
        <f ca="1"/>
        <v>2.7E-2</v>
      </c>
    </row>
    <row r="597" spans="1:30">
      <c r="A597" s="111" t="str">
        <f ca="1"/>
        <v>SAN GABRIEL</v>
      </c>
      <c r="B597" s="111" t="str">
        <f ca="1"/>
        <v>QUESOS Y GRASAS</v>
      </c>
      <c r="C597" s="111" t="str">
        <f ca="1"/>
        <v xml:space="preserve">Esteban Montenegro                      </v>
      </c>
      <c r="D597" s="111" t="str">
        <f ca="1"/>
        <v>QUESO SEMIMADURO KIOSKO</v>
      </c>
      <c r="E597" s="111" t="str">
        <f ca="1"/>
        <v>QUESO HOLANDES BLOQUE</v>
      </c>
      <c r="F597" s="120" t="str">
        <f ca="1"/>
        <v>GUAYAQUIL</v>
      </c>
      <c r="G597" s="120">
        <f ca="1"/>
        <v>7711</v>
      </c>
      <c r="H597" s="120">
        <f ca="1"/>
        <v>1001</v>
      </c>
      <c r="I597" s="120" t="str">
        <f ca="1"/>
        <v>17014</v>
      </c>
      <c r="J597" s="120" t="str">
        <f ca="1"/>
        <v>Q HOLANDES KIOSKO RALLADO 1500G</v>
      </c>
      <c r="K597" s="121">
        <f ca="1"/>
        <v>10</v>
      </c>
      <c r="L597" s="122">
        <f ca="1"/>
        <v>1</v>
      </c>
      <c r="M597" s="120">
        <f ca="1"/>
        <v>1.5</v>
      </c>
      <c r="N597" s="121">
        <f ca="1"/>
        <v>60</v>
      </c>
      <c r="O597" s="123">
        <f ca="1"/>
        <v>45608</v>
      </c>
      <c r="P597" s="123" t="str">
        <f ca="1"/>
        <v>martes</v>
      </c>
      <c r="Q597" s="124">
        <f ca="1"/>
        <v>45604</v>
      </c>
      <c r="R597" s="124">
        <f ca="1"/>
        <v>45663</v>
      </c>
      <c r="S597" s="90">
        <f ca="1"/>
        <v>39</v>
      </c>
      <c r="T597" s="139">
        <f ca="1"/>
        <v>0.65</v>
      </c>
      <c r="U597" s="131">
        <f ca="1"/>
        <v>4</v>
      </c>
      <c r="V597" s="120">
        <f ca="1"/>
        <v>6</v>
      </c>
      <c r="W597" s="140">
        <f ca="1"/>
        <v>4</v>
      </c>
      <c r="X597" s="139">
        <f ca="1"/>
        <v>0.93333333333333335</v>
      </c>
      <c r="Y597" s="141">
        <f ca="1"/>
        <v>10.058565</v>
      </c>
      <c r="Z597" s="141">
        <f ca="1"/>
        <v>10.058565</v>
      </c>
      <c r="AA597" s="142">
        <f ca="1"/>
        <v>60.351389999999995</v>
      </c>
      <c r="AB597" s="138">
        <f ca="1"/>
        <v>16</v>
      </c>
      <c r="AC597" s="103" t="str">
        <f ca="1"/>
        <v>VIGENTE</v>
      </c>
      <c r="AD597" s="150">
        <f ca="1"/>
        <v>6.0000000000000001E-3</v>
      </c>
    </row>
    <row r="598" spans="1:30">
      <c r="A598" s="111" t="str">
        <f ca="1"/>
        <v>SAN GABRIEL</v>
      </c>
      <c r="B598" s="111" t="str">
        <f ca="1"/>
        <v>QUESOS Y GRASAS</v>
      </c>
      <c r="C598" s="111" t="str">
        <f ca="1"/>
        <v xml:space="preserve">Esteban Montenegro                      </v>
      </c>
      <c r="D598" s="111" t="str">
        <f ca="1"/>
        <v>QUESO SEMIMADURO KIOSKO</v>
      </c>
      <c r="E598" s="111" t="str">
        <f ca="1"/>
        <v>QUESO HOLANDES BLOQUE</v>
      </c>
      <c r="F598" s="120" t="str">
        <f ca="1"/>
        <v>GUAYAQUIL</v>
      </c>
      <c r="G598" s="120">
        <f ca="1"/>
        <v>7711</v>
      </c>
      <c r="H598" s="120">
        <f ca="1"/>
        <v>1001</v>
      </c>
      <c r="I598" s="120" t="str">
        <f ca="1"/>
        <v>17014</v>
      </c>
      <c r="J598" s="120" t="str">
        <f ca="1"/>
        <v>Q HOLANDES KIOSKO RALLADO 1500G</v>
      </c>
      <c r="K598" s="121">
        <f ca="1"/>
        <v>150</v>
      </c>
      <c r="L598" s="122">
        <f ca="1"/>
        <v>1</v>
      </c>
      <c r="M598" s="120">
        <f ca="1"/>
        <v>1.5</v>
      </c>
      <c r="N598" s="121">
        <f ca="1"/>
        <v>60</v>
      </c>
      <c r="O598" s="123">
        <f ca="1"/>
        <v>45610</v>
      </c>
      <c r="P598" s="123" t="str">
        <f ca="1"/>
        <v>jueves</v>
      </c>
      <c r="Q598" s="124">
        <f ca="1"/>
        <v>45609</v>
      </c>
      <c r="R598" s="124">
        <f ca="1"/>
        <v>45668</v>
      </c>
      <c r="S598" s="90">
        <f ca="1"/>
        <v>44</v>
      </c>
      <c r="T598" s="139">
        <f ca="1"/>
        <v>0.73333333333333328</v>
      </c>
      <c r="U598" s="131">
        <f ca="1"/>
        <v>150</v>
      </c>
      <c r="V598" s="120">
        <f ca="1"/>
        <v>225</v>
      </c>
      <c r="W598" s="140">
        <f ca="1"/>
        <v>1</v>
      </c>
      <c r="X598" s="139">
        <f ca="1"/>
        <v>0.98333333333333328</v>
      </c>
      <c r="Y598" s="141">
        <f ca="1"/>
        <v>10.058565</v>
      </c>
      <c r="Z598" s="141">
        <f ca="1"/>
        <v>10.058565</v>
      </c>
      <c r="AA598" s="142">
        <f ca="1"/>
        <v>2263.1771250000002</v>
      </c>
      <c r="AB598" s="138">
        <f ca="1"/>
        <v>14</v>
      </c>
      <c r="AC598" s="103" t="str">
        <f ca="1"/>
        <v>VIGENTE</v>
      </c>
      <c r="AD598" s="150">
        <f ca="1"/>
        <v>0.22500000000000001</v>
      </c>
    </row>
    <row r="599" spans="1:30">
      <c r="A599" s="111" t="str">
        <f ca="1"/>
        <v>SAN GABRIEL</v>
      </c>
      <c r="B599" s="111" t="str">
        <f ca="1"/>
        <v>QUESOS Y GRASAS</v>
      </c>
      <c r="C599" s="111" t="str">
        <f ca="1"/>
        <v xml:space="preserve">Esteban Montenegro                      </v>
      </c>
      <c r="D599" s="111" t="str">
        <f ca="1"/>
        <v>QUESO SEMIMADURO KIOSKO</v>
      </c>
      <c r="E599" s="111" t="str">
        <f ca="1"/>
        <v>QUESO HOLANDES BLOQUE</v>
      </c>
      <c r="F599" s="120" t="str">
        <f ca="1"/>
        <v>GUAYAQUIL</v>
      </c>
      <c r="G599" s="120">
        <f ca="1"/>
        <v>7711</v>
      </c>
      <c r="H599" s="120">
        <f ca="1"/>
        <v>1001</v>
      </c>
      <c r="I599" s="120" t="str">
        <f ca="1"/>
        <v>17014</v>
      </c>
      <c r="J599" s="120" t="str">
        <f ca="1"/>
        <v>Q HOLANDES KIOSKO RALLADO 1500G</v>
      </c>
      <c r="K599" s="121">
        <f ca="1"/>
        <v>5</v>
      </c>
      <c r="L599" s="122">
        <f ca="1"/>
        <v>1</v>
      </c>
      <c r="M599" s="120">
        <f ca="1"/>
        <v>1.5</v>
      </c>
      <c r="N599" s="121">
        <f ca="1"/>
        <v>60</v>
      </c>
      <c r="O599" s="123">
        <f ca="1"/>
        <v>45615</v>
      </c>
      <c r="P599" s="123" t="str">
        <f ca="1"/>
        <v>martes</v>
      </c>
      <c r="Q599" s="124">
        <f ca="1"/>
        <v>45613</v>
      </c>
      <c r="R599" s="124">
        <f ca="1"/>
        <v>45672</v>
      </c>
      <c r="S599" s="90">
        <f ca="1"/>
        <v>48</v>
      </c>
      <c r="T599" s="139">
        <f ca="1"/>
        <v>0.8</v>
      </c>
      <c r="U599" s="131">
        <f ca="1"/>
        <v>5</v>
      </c>
      <c r="V599" s="120">
        <f ca="1"/>
        <v>7.5</v>
      </c>
      <c r="W599" s="140">
        <f ca="1"/>
        <v>2</v>
      </c>
      <c r="X599" s="139">
        <f ca="1"/>
        <v>0.96666666666666667</v>
      </c>
      <c r="Y599" s="141">
        <f ca="1"/>
        <v>10.058565</v>
      </c>
      <c r="Z599" s="141">
        <f ca="1"/>
        <v>10.058565</v>
      </c>
      <c r="AA599" s="142">
        <f ca="1"/>
        <v>75.439237500000004</v>
      </c>
      <c r="AB599" s="138">
        <f ca="1"/>
        <v>9</v>
      </c>
      <c r="AC599" s="103" t="str">
        <f ca="1"/>
        <v>VIGENTE</v>
      </c>
      <c r="AD599" s="150">
        <f ca="1"/>
        <v>7.4999999999999997E-3</v>
      </c>
    </row>
    <row r="600" spans="1:30">
      <c r="A600" s="111" t="str">
        <f ca="1"/>
        <v>SAN GABRIEL</v>
      </c>
      <c r="B600" s="111" t="str">
        <f ca="1"/>
        <v>QUESOS Y GRASAS</v>
      </c>
      <c r="C600" s="111" t="str">
        <f ca="1"/>
        <v xml:space="preserve">Esteban Montenegro                      </v>
      </c>
      <c r="D600" s="111" t="str">
        <f ca="1"/>
        <v>QUESO SEMIMADURO KIOSKO</v>
      </c>
      <c r="E600" s="111" t="str">
        <f ca="1"/>
        <v>QUESO HOLANDES BLOQUE</v>
      </c>
      <c r="F600" s="120" t="str">
        <f ca="1"/>
        <v>GUAYAQUIL</v>
      </c>
      <c r="G600" s="120">
        <f ca="1"/>
        <v>7711</v>
      </c>
      <c r="H600" s="120">
        <f ca="1"/>
        <v>1001</v>
      </c>
      <c r="I600" s="120" t="str">
        <f ca="1"/>
        <v>17014</v>
      </c>
      <c r="J600" s="120" t="str">
        <f ca="1"/>
        <v>Q HOLANDES KIOSKO RALLADO 1500G</v>
      </c>
      <c r="K600" s="121">
        <f ca="1"/>
        <v>200</v>
      </c>
      <c r="L600" s="122">
        <f ca="1"/>
        <v>1</v>
      </c>
      <c r="M600" s="120">
        <f ca="1"/>
        <v>1.5</v>
      </c>
      <c r="N600" s="121">
        <f ca="1"/>
        <v>60</v>
      </c>
      <c r="O600" s="123">
        <f ca="1"/>
        <v>45617</v>
      </c>
      <c r="P600" s="123" t="str">
        <f ca="1"/>
        <v>jueves</v>
      </c>
      <c r="Q600" s="124">
        <f ca="1"/>
        <v>45616</v>
      </c>
      <c r="R600" s="124">
        <f ca="1"/>
        <v>45675</v>
      </c>
      <c r="S600" s="90">
        <f ca="1"/>
        <v>51</v>
      </c>
      <c r="T600" s="139">
        <f ca="1"/>
        <v>0.85</v>
      </c>
      <c r="U600" s="131">
        <f ca="1"/>
        <v>200</v>
      </c>
      <c r="V600" s="120">
        <f ca="1"/>
        <v>300</v>
      </c>
      <c r="W600" s="140">
        <f ca="1"/>
        <v>1</v>
      </c>
      <c r="X600" s="139">
        <f ca="1"/>
        <v>0.98333333333333328</v>
      </c>
      <c r="Y600" s="141">
        <f ca="1"/>
        <v>10.058565</v>
      </c>
      <c r="Z600" s="141">
        <f ca="1"/>
        <v>10.058565</v>
      </c>
      <c r="AA600" s="142">
        <f ca="1"/>
        <v>3017.5695000000001</v>
      </c>
      <c r="AB600" s="138">
        <f ca="1"/>
        <v>7</v>
      </c>
      <c r="AC600" s="103" t="str">
        <f ca="1"/>
        <v>VIGENTE</v>
      </c>
      <c r="AD600" s="150">
        <f ca="1"/>
        <v>0.3</v>
      </c>
    </row>
    <row r="601" spans="1:30">
      <c r="A601" s="111" t="str">
        <f ca="1"/>
        <v>SAN GABRIEL</v>
      </c>
      <c r="B601" s="111" t="str">
        <f ca="1"/>
        <v>QUESOS Y GRASAS</v>
      </c>
      <c r="C601" s="111" t="str">
        <f ca="1"/>
        <v xml:space="preserve">Esteban Montenegro                      </v>
      </c>
      <c r="D601" s="111" t="str">
        <f ca="1"/>
        <v>QUESO SEMIMADURO KIOSKO</v>
      </c>
      <c r="E601" s="111" t="str">
        <f ca="1"/>
        <v>QUESO SEMIMADURO HIERBAS KIOSKO TAJADO</v>
      </c>
      <c r="F601" s="120" t="str">
        <f ca="1"/>
        <v>GUAYAQUIL</v>
      </c>
      <c r="G601" s="120">
        <f ca="1"/>
        <v>7711</v>
      </c>
      <c r="H601" s="120">
        <f ca="1"/>
        <v>1001</v>
      </c>
      <c r="I601" s="120" t="str">
        <f ca="1"/>
        <v>5757</v>
      </c>
      <c r="J601" s="120" t="str">
        <f ca="1"/>
        <v>Q HIERBAS KIOSKO LONJ AL PESO</v>
      </c>
      <c r="K601" s="121">
        <f ca="1"/>
        <v>20</v>
      </c>
      <c r="L601" s="122">
        <f ca="1"/>
        <v>2.5</v>
      </c>
      <c r="M601" s="120">
        <f ca="1"/>
        <v>1</v>
      </c>
      <c r="N601" s="121">
        <f ca="1"/>
        <v>90</v>
      </c>
      <c r="O601" s="123">
        <f ca="1"/>
        <v>45608</v>
      </c>
      <c r="P601" s="123" t="str">
        <f ca="1"/>
        <v>martes</v>
      </c>
      <c r="Q601" s="124">
        <f ca="1"/>
        <v>45603</v>
      </c>
      <c r="R601" s="124">
        <f ca="1"/>
        <v>45692</v>
      </c>
      <c r="S601" s="90">
        <f ca="1"/>
        <v>68</v>
      </c>
      <c r="T601" s="139">
        <f ca="1"/>
        <v>0.75555555555555554</v>
      </c>
      <c r="U601" s="131">
        <f ca="1"/>
        <v>9</v>
      </c>
      <c r="V601" s="120">
        <f ca="1"/>
        <v>22.5</v>
      </c>
      <c r="W601" s="140">
        <f ca="1"/>
        <v>5</v>
      </c>
      <c r="X601" s="139">
        <f ca="1"/>
        <v>0.94444444444444442</v>
      </c>
      <c r="Y601" s="141">
        <f ca="1"/>
        <v>7.4059249999999999</v>
      </c>
      <c r="Z601" s="141">
        <f ca="1"/>
        <v>18.514812499999998</v>
      </c>
      <c r="AA601" s="142">
        <f ca="1"/>
        <v>416.58328124999997</v>
      </c>
      <c r="AB601" s="138">
        <f ca="1"/>
        <v>16</v>
      </c>
      <c r="AC601" s="103" t="str">
        <f ca="1"/>
        <v>VIGENTE</v>
      </c>
      <c r="AD601" s="150">
        <f ca="1"/>
        <v>2.2499999999999999E-2</v>
      </c>
    </row>
    <row r="602" spans="1:30">
      <c r="A602" s="111" t="str">
        <f ca="1"/>
        <v>SAN GABRIEL</v>
      </c>
      <c r="B602" s="111" t="str">
        <f ca="1"/>
        <v>QUESOS Y GRASAS</v>
      </c>
      <c r="C602" s="111" t="str">
        <f ca="1"/>
        <v xml:space="preserve">Esteban Montenegro                      </v>
      </c>
      <c r="D602" s="111" t="str">
        <f ca="1"/>
        <v>QUESO SEMIMADURO KIOSKO</v>
      </c>
      <c r="E602" s="111" t="str">
        <f ca="1"/>
        <v>QUESO SEMIMADURO HIERBAS KIOSKO TAJADO</v>
      </c>
      <c r="F602" s="120" t="str">
        <f ca="1"/>
        <v>GUAYAQUIL</v>
      </c>
      <c r="G602" s="120">
        <f ca="1"/>
        <v>7711</v>
      </c>
      <c r="H602" s="120">
        <f ca="1"/>
        <v>1001</v>
      </c>
      <c r="I602" s="120" t="str">
        <f ca="1"/>
        <v>5757</v>
      </c>
      <c r="J602" s="120" t="str">
        <f ca="1"/>
        <v>Q HIERBAS KIOSKO LONJ AL PESO</v>
      </c>
      <c r="K602" s="121">
        <f ca="1"/>
        <v>10</v>
      </c>
      <c r="L602" s="122">
        <f ca="1"/>
        <v>2.5</v>
      </c>
      <c r="M602" s="120">
        <f ca="1"/>
        <v>1</v>
      </c>
      <c r="N602" s="121">
        <f ca="1"/>
        <v>90</v>
      </c>
      <c r="O602" s="123">
        <f ca="1"/>
        <v>45611</v>
      </c>
      <c r="P602" s="123" t="str">
        <f ca="1"/>
        <v>viernes</v>
      </c>
      <c r="Q602" s="124">
        <f ca="1"/>
        <v>45609</v>
      </c>
      <c r="R602" s="124">
        <f ca="1"/>
        <v>45698</v>
      </c>
      <c r="S602" s="90">
        <f ca="1"/>
        <v>74</v>
      </c>
      <c r="T602" s="139">
        <f ca="1"/>
        <v>0.82222222222222219</v>
      </c>
      <c r="U602" s="131">
        <f ca="1"/>
        <v>10</v>
      </c>
      <c r="V602" s="120">
        <f ca="1"/>
        <v>25</v>
      </c>
      <c r="W602" s="140">
        <f ca="1"/>
        <v>2</v>
      </c>
      <c r="X602" s="139">
        <f ca="1"/>
        <v>0.97777777777777775</v>
      </c>
      <c r="Y602" s="141">
        <f ca="1"/>
        <v>7.4059249999999999</v>
      </c>
      <c r="Z602" s="141">
        <f ca="1"/>
        <v>18.514812499999998</v>
      </c>
      <c r="AA602" s="142">
        <f ca="1"/>
        <v>462.87031249999995</v>
      </c>
      <c r="AB602" s="138">
        <f ca="1"/>
        <v>13</v>
      </c>
      <c r="AC602" s="103" t="str">
        <f ca="1"/>
        <v>VIGENTE</v>
      </c>
      <c r="AD602" s="150">
        <f ca="1"/>
        <v>2.5000000000000001E-2</v>
      </c>
    </row>
    <row r="603" spans="1:30">
      <c r="A603" s="111" t="str">
        <f ca="1"/>
        <v>SAN GABRIEL</v>
      </c>
      <c r="B603" s="111" t="str">
        <f ca="1"/>
        <v>QUESOS Y GRASAS</v>
      </c>
      <c r="C603" s="111" t="str">
        <f ca="1"/>
        <v xml:space="preserve">Esteban Montenegro                      </v>
      </c>
      <c r="D603" s="111" t="str">
        <f ca="1"/>
        <v>QUESO FUNDIDO</v>
      </c>
      <c r="E603" s="111" t="str">
        <f ca="1"/>
        <v>QUESO FUNDIDO</v>
      </c>
      <c r="F603" s="120" t="str">
        <f ca="1"/>
        <v>GUAYAQUIL</v>
      </c>
      <c r="G603" s="120">
        <f ca="1"/>
        <v>7711</v>
      </c>
      <c r="H603" s="120">
        <f ca="1"/>
        <v>1001</v>
      </c>
      <c r="I603" s="120" t="str">
        <f ca="1"/>
        <v>11322</v>
      </c>
      <c r="J603" s="120" t="str">
        <f ca="1"/>
        <v>Q ESPAR CHED KIOSKO VASO 45G</v>
      </c>
      <c r="K603" s="121">
        <f ca="1"/>
        <v>300</v>
      </c>
      <c r="L603" s="122">
        <f ca="1"/>
        <v>1</v>
      </c>
      <c r="M603" s="120">
        <f ca="1"/>
        <v>4.4999999999999998E-2</v>
      </c>
      <c r="N603" s="121">
        <f ca="1"/>
        <v>90</v>
      </c>
      <c r="O603" s="123">
        <f ca="1"/>
        <v>45603</v>
      </c>
      <c r="P603" s="123" t="str">
        <f ca="1"/>
        <v>jueves</v>
      </c>
      <c r="Q603" s="124">
        <f ca="1"/>
        <v>45562</v>
      </c>
      <c r="R603" s="124">
        <f ca="1"/>
        <v>45651</v>
      </c>
      <c r="S603" s="90">
        <f ca="1"/>
        <v>27</v>
      </c>
      <c r="T603" s="139">
        <f ca="1"/>
        <v>0.3</v>
      </c>
      <c r="U603" s="131">
        <f ca="1"/>
        <v>180</v>
      </c>
      <c r="V603" s="120">
        <f ca="1"/>
        <v>8.1</v>
      </c>
      <c r="W603" s="140">
        <f ca="1"/>
        <v>41</v>
      </c>
      <c r="X603" s="139">
        <f ca="1"/>
        <v>0.54444444444444451</v>
      </c>
      <c r="Y603" s="141">
        <f ca="1"/>
        <v>0.14824500000000002</v>
      </c>
      <c r="Z603" s="141">
        <f ca="1"/>
        <v>0.14824500000000002</v>
      </c>
      <c r="AA603" s="142">
        <f ca="1"/>
        <v>1.2007845000000001</v>
      </c>
      <c r="AB603" s="138">
        <f ca="1"/>
        <v>21</v>
      </c>
      <c r="AC603" s="103" t="str">
        <f ca="1"/>
        <v>VIGENTE</v>
      </c>
      <c r="AD603" s="150">
        <f ca="1"/>
        <v>8.0999999999999996E-3</v>
      </c>
    </row>
    <row r="604" spans="1:30">
      <c r="A604" s="111" t="str">
        <f ca="1"/>
        <v>MULTIEMPAQUE_MACH</v>
      </c>
      <c r="B604" s="111" t="str">
        <f ca="1"/>
        <v>BEBIDAS LACTEAS</v>
      </c>
      <c r="C604" s="111" t="str">
        <f ca="1"/>
        <v xml:space="preserve">Luis Armendariz                         </v>
      </c>
      <c r="D604" s="111" t="str">
        <f ca="1"/>
        <v>BON YURT</v>
      </c>
      <c r="E604" s="111" t="str">
        <f ca="1"/>
        <v>BON YURT REGULAR</v>
      </c>
      <c r="F604" s="120" t="str">
        <f ca="1"/>
        <v>GUAYAQUIL</v>
      </c>
      <c r="G604" s="120">
        <f ca="1"/>
        <v>7711</v>
      </c>
      <c r="H604" s="120">
        <f ca="1"/>
        <v>1001</v>
      </c>
      <c r="I604" s="120" t="str">
        <f ca="1"/>
        <v>11037</v>
      </c>
      <c r="J604" s="120" t="str">
        <f ca="1"/>
        <v>MPLX4 BY NEON VASO 170G</v>
      </c>
      <c r="K604" s="121">
        <f ca="1"/>
        <v>16</v>
      </c>
      <c r="L604" s="122">
        <f ca="1"/>
        <v>1</v>
      </c>
      <c r="M604" s="120">
        <f ca="1"/>
        <v>0.68</v>
      </c>
      <c r="N604" s="121">
        <f ca="1"/>
        <v>45</v>
      </c>
      <c r="O604" s="123">
        <f ca="1"/>
        <v>45611</v>
      </c>
      <c r="P604" s="123" t="str">
        <f ca="1"/>
        <v>viernes</v>
      </c>
      <c r="Q604" s="124">
        <f ca="1"/>
        <v>45605</v>
      </c>
      <c r="R604" s="124">
        <f ca="1"/>
        <v>45649</v>
      </c>
      <c r="S604" s="90">
        <f ca="1"/>
        <v>25</v>
      </c>
      <c r="T604" s="139">
        <f ca="1"/>
        <v>0.55555555555555558</v>
      </c>
      <c r="U604" s="131">
        <f ca="1"/>
        <v>6</v>
      </c>
      <c r="V604" s="120">
        <f ca="1"/>
        <v>4.08</v>
      </c>
      <c r="W604" s="140">
        <f ca="1"/>
        <v>6</v>
      </c>
      <c r="X604" s="139">
        <f ca="1"/>
        <v>0.8666666666666667</v>
      </c>
      <c r="Y604" s="141">
        <f ca="1"/>
        <v>1.6522000000000001</v>
      </c>
      <c r="Z604" s="141">
        <f ca="1"/>
        <v>1.6522000000000001</v>
      </c>
      <c r="AA604" s="142">
        <f ca="1"/>
        <v>6.7409760000000007</v>
      </c>
      <c r="AB604" s="138">
        <f ca="1"/>
        <v>13</v>
      </c>
      <c r="AC604" s="103" t="str">
        <f ca="1"/>
        <v>PROXIMOS FECHA CORTA</v>
      </c>
      <c r="AD604" s="150">
        <f ca="1"/>
        <v>4.0800000000000003E-3</v>
      </c>
    </row>
    <row r="605" spans="1:30">
      <c r="A605" s="111" t="str">
        <f ca="1"/>
        <v>MACHACHI</v>
      </c>
      <c r="B605" s="111" t="str">
        <f ca="1"/>
        <v>BEBIDAS LACTEAS</v>
      </c>
      <c r="C605" s="111" t="str">
        <f ca="1"/>
        <v xml:space="preserve">Luis Armendariz                         </v>
      </c>
      <c r="D605" s="111" t="str">
        <f ca="1"/>
        <v>YOGURT FINESSE</v>
      </c>
      <c r="E605" s="111" t="str">
        <f ca="1"/>
        <v>YOGURT FINESSE DESLACT BOTELLA FAMILIAR</v>
      </c>
      <c r="F605" s="120" t="str">
        <f ca="1"/>
        <v>GUAYAQUIL</v>
      </c>
      <c r="G605" s="120">
        <f ca="1"/>
        <v>7711</v>
      </c>
      <c r="H605" s="120">
        <f ca="1"/>
        <v>1001</v>
      </c>
      <c r="I605" s="120" t="str">
        <f ca="1"/>
        <v>12548</v>
      </c>
      <c r="J605" s="120" t="str">
        <f ca="1"/>
        <v>YOG FNSSE SBILA BOT 1670G</v>
      </c>
      <c r="K605" s="121">
        <f ca="1"/>
        <v>24</v>
      </c>
      <c r="L605" s="122">
        <f ca="1"/>
        <v>1</v>
      </c>
      <c r="M605" s="120">
        <f ca="1"/>
        <v>1.67</v>
      </c>
      <c r="N605" s="121">
        <f ca="1"/>
        <v>45</v>
      </c>
      <c r="O605" s="123">
        <f ca="1"/>
        <v>45594</v>
      </c>
      <c r="P605" s="123" t="str">
        <f ca="1"/>
        <v>martes</v>
      </c>
      <c r="Q605" s="124">
        <f ca="1"/>
        <v>45588</v>
      </c>
      <c r="R605" s="124">
        <f ca="1"/>
        <v>45632</v>
      </c>
      <c r="S605" s="90">
        <f ca="1"/>
        <v>8</v>
      </c>
      <c r="T605" s="139">
        <f ca="1"/>
        <v>0.17777777777777778</v>
      </c>
      <c r="U605" s="131">
        <f ca="1"/>
        <v>14</v>
      </c>
      <c r="V605" s="120">
        <f ca="1"/>
        <v>23.38</v>
      </c>
      <c r="W605" s="140">
        <f ca="1"/>
        <v>6</v>
      </c>
      <c r="X605" s="139">
        <f ca="1"/>
        <v>0.8666666666666667</v>
      </c>
      <c r="Y605" s="141">
        <f ca="1"/>
        <v>2.4703599999999999</v>
      </c>
      <c r="Z605" s="141">
        <f ca="1"/>
        <v>2.4703599999999999</v>
      </c>
      <c r="AA605" s="142">
        <f ca="1"/>
        <v>57.757016799999995</v>
      </c>
      <c r="AB605" s="138">
        <f ca="1"/>
        <v>30</v>
      </c>
      <c r="AC605" s="103" t="str">
        <f ca="1"/>
        <v>FECHA CORTA</v>
      </c>
      <c r="AD605" s="150">
        <f ca="1"/>
        <v>2.3379999999999998E-2</v>
      </c>
    </row>
    <row r="606" spans="1:30">
      <c r="A606" s="111" t="str">
        <f ca="1"/>
        <v>MACHACHI</v>
      </c>
      <c r="B606" s="111" t="str">
        <f ca="1"/>
        <v>BEBIDAS LACTEAS</v>
      </c>
      <c r="C606" s="111" t="str">
        <f ca="1"/>
        <v xml:space="preserve">Luis Armendariz                         </v>
      </c>
      <c r="D606" s="111" t="str">
        <f ca="1"/>
        <v>YOGURT FINESSE</v>
      </c>
      <c r="E606" s="111" t="str">
        <f ca="1"/>
        <v>YOGURT FINESSE DESLACT BOTELLA FAMILIAR</v>
      </c>
      <c r="F606" s="120" t="str">
        <f ca="1"/>
        <v>GUAYAQUIL</v>
      </c>
      <c r="G606" s="120">
        <f ca="1"/>
        <v>7711</v>
      </c>
      <c r="H606" s="120">
        <f ca="1"/>
        <v>1001</v>
      </c>
      <c r="I606" s="120" t="str">
        <f ca="1"/>
        <v>12548</v>
      </c>
      <c r="J606" s="120" t="str">
        <f ca="1"/>
        <v>YOG FNSSE SBILA BOT 1670G</v>
      </c>
      <c r="K606" s="121">
        <f ca="1"/>
        <v>12</v>
      </c>
      <c r="L606" s="122">
        <f ca="1"/>
        <v>1</v>
      </c>
      <c r="M606" s="120">
        <f ca="1"/>
        <v>1.67</v>
      </c>
      <c r="N606" s="121">
        <f ca="1"/>
        <v>45</v>
      </c>
      <c r="O606" s="123">
        <f ca="1"/>
        <v>45596</v>
      </c>
      <c r="P606" s="123" t="str">
        <f ca="1"/>
        <v>jueves</v>
      </c>
      <c r="Q606" s="124">
        <f ca="1"/>
        <v>45590</v>
      </c>
      <c r="R606" s="124">
        <f ca="1"/>
        <v>45634</v>
      </c>
      <c r="S606" s="90">
        <f ca="1"/>
        <v>10</v>
      </c>
      <c r="T606" s="139">
        <f ca="1"/>
        <v>0.22222222222222221</v>
      </c>
      <c r="U606" s="131">
        <f ca="1"/>
        <v>5</v>
      </c>
      <c r="V606" s="120">
        <f ca="1"/>
        <v>8.35</v>
      </c>
      <c r="W606" s="140">
        <f ca="1"/>
        <v>6</v>
      </c>
      <c r="X606" s="139">
        <f ca="1"/>
        <v>0.8666666666666667</v>
      </c>
      <c r="Y606" s="141">
        <f ca="1"/>
        <v>2.4703599999999999</v>
      </c>
      <c r="Z606" s="141">
        <f ca="1"/>
        <v>2.4703599999999999</v>
      </c>
      <c r="AA606" s="142">
        <f ca="1"/>
        <v>20.627505999999997</v>
      </c>
      <c r="AB606" s="138">
        <f ca="1"/>
        <v>28</v>
      </c>
      <c r="AC606" s="103" t="str">
        <f ca="1"/>
        <v>FECHA CORTA</v>
      </c>
      <c r="AD606" s="150">
        <f ca="1"/>
        <v>8.3499999999999998E-3</v>
      </c>
    </row>
    <row r="607" spans="1:30">
      <c r="A607" s="111" t="str">
        <f ca="1"/>
        <v>MACHACHI</v>
      </c>
      <c r="B607" s="111" t="str">
        <f ca="1"/>
        <v>BEBIDAS LACTEAS</v>
      </c>
      <c r="C607" s="111" t="str">
        <f ca="1"/>
        <v xml:space="preserve">Luis Armendariz                         </v>
      </c>
      <c r="D607" s="111" t="str">
        <f ca="1"/>
        <v>YOGURT FINESSE</v>
      </c>
      <c r="E607" s="111" t="str">
        <f ca="1"/>
        <v>YOGURT FINESSE DESLACT BOTELLA FAMILIAR</v>
      </c>
      <c r="F607" s="120" t="str">
        <f ca="1"/>
        <v>GUAYAQUIL</v>
      </c>
      <c r="G607" s="120">
        <f ca="1"/>
        <v>7711</v>
      </c>
      <c r="H607" s="120">
        <f ca="1"/>
        <v>1001</v>
      </c>
      <c r="I607" s="120" t="str">
        <f ca="1"/>
        <v>12548</v>
      </c>
      <c r="J607" s="120" t="str">
        <f ca="1"/>
        <v>YOG FNSSE SBILA BOT 1670G</v>
      </c>
      <c r="K607" s="121">
        <f ca="1"/>
        <v>12</v>
      </c>
      <c r="L607" s="122">
        <f ca="1"/>
        <v>1</v>
      </c>
      <c r="M607" s="120">
        <f ca="1"/>
        <v>1.67</v>
      </c>
      <c r="N607" s="121">
        <f ca="1"/>
        <v>45</v>
      </c>
      <c r="O607" s="123">
        <f ca="1"/>
        <v>45597</v>
      </c>
      <c r="P607" s="123" t="str">
        <f ca="1"/>
        <v>viernes</v>
      </c>
      <c r="Q607" s="124">
        <f ca="1"/>
        <v>45590</v>
      </c>
      <c r="R607" s="124">
        <f ca="1"/>
        <v>45634</v>
      </c>
      <c r="S607" s="90">
        <f ca="1"/>
        <v>10</v>
      </c>
      <c r="T607" s="139">
        <f ca="1"/>
        <v>0.22222222222222221</v>
      </c>
      <c r="U607" s="131">
        <f ca="1"/>
        <v>12</v>
      </c>
      <c r="V607" s="120">
        <f ca="1"/>
        <v>20.04</v>
      </c>
      <c r="W607" s="140">
        <f ca="1"/>
        <v>7</v>
      </c>
      <c r="X607" s="139">
        <f ca="1"/>
        <v>0.84444444444444444</v>
      </c>
      <c r="Y607" s="141">
        <f ca="1"/>
        <v>2.4703599999999999</v>
      </c>
      <c r="Z607" s="141">
        <f ca="1"/>
        <v>2.4703599999999999</v>
      </c>
      <c r="AA607" s="142">
        <f ca="1"/>
        <v>49.506014399999998</v>
      </c>
      <c r="AB607" s="138">
        <f ca="1"/>
        <v>27</v>
      </c>
      <c r="AC607" s="103" t="str">
        <f ca="1"/>
        <v>FECHA CORTA</v>
      </c>
      <c r="AD607" s="150">
        <f ca="1"/>
        <v>2.0039999999999999E-2</v>
      </c>
    </row>
    <row r="608" spans="1:30">
      <c r="A608" s="111" t="str">
        <f ca="1"/>
        <v>MACHACHI</v>
      </c>
      <c r="B608" s="111" t="str">
        <f ca="1"/>
        <v>BEBIDAS LACTEAS</v>
      </c>
      <c r="C608" s="111" t="str">
        <f ca="1"/>
        <v xml:space="preserve">Luis Armendariz                         </v>
      </c>
      <c r="D608" s="111" t="str">
        <f ca="1"/>
        <v>YOGURT FINESSE</v>
      </c>
      <c r="E608" s="111" t="str">
        <f ca="1"/>
        <v>YOGURT FINESSE DESLACT BOTELLA FAMILIAR</v>
      </c>
      <c r="F608" s="120" t="str">
        <f ca="1"/>
        <v>GUAYAQUIL</v>
      </c>
      <c r="G608" s="120">
        <f ca="1"/>
        <v>7711</v>
      </c>
      <c r="H608" s="120">
        <f ca="1"/>
        <v>1001</v>
      </c>
      <c r="I608" s="120" t="str">
        <f ca="1"/>
        <v>12548</v>
      </c>
      <c r="J608" s="120" t="str">
        <f ca="1"/>
        <v>YOG FNSSE SBILA BOT 1670G</v>
      </c>
      <c r="K608" s="121">
        <f ca="1"/>
        <v>12</v>
      </c>
      <c r="L608" s="122">
        <f ca="1"/>
        <v>1</v>
      </c>
      <c r="M608" s="120">
        <f ca="1"/>
        <v>1.67</v>
      </c>
      <c r="N608" s="121">
        <f ca="1"/>
        <v>45</v>
      </c>
      <c r="O608" s="123">
        <f ca="1"/>
        <v>45612</v>
      </c>
      <c r="P608" s="123" t="str">
        <f ca="1"/>
        <v>sábado</v>
      </c>
      <c r="Q608" s="124">
        <f ca="1"/>
        <v>45604</v>
      </c>
      <c r="R608" s="124">
        <f ca="1"/>
        <v>45648</v>
      </c>
      <c r="S608" s="90">
        <f ca="1"/>
        <v>24</v>
      </c>
      <c r="T608" s="139">
        <f ca="1"/>
        <v>0.53333333333333333</v>
      </c>
      <c r="U608" s="131">
        <f ca="1"/>
        <v>6</v>
      </c>
      <c r="V608" s="120">
        <f ca="1"/>
        <v>10.02</v>
      </c>
      <c r="W608" s="140">
        <f ca="1"/>
        <v>8</v>
      </c>
      <c r="X608" s="139">
        <f ca="1"/>
        <v>0.82222222222222219</v>
      </c>
      <c r="Y608" s="141">
        <f ca="1"/>
        <v>2.4703599999999999</v>
      </c>
      <c r="Z608" s="141">
        <f ca="1"/>
        <v>2.4703599999999999</v>
      </c>
      <c r="AA608" s="142">
        <f ca="1"/>
        <v>24.753007199999999</v>
      </c>
      <c r="AB608" s="138">
        <f ca="1"/>
        <v>12</v>
      </c>
      <c r="AC608" s="103" t="str">
        <f ca="1"/>
        <v>PROXIMOS FECHA CORTA</v>
      </c>
      <c r="AD608" s="150">
        <f ca="1"/>
        <v>1.0019999999999999E-2</v>
      </c>
    </row>
    <row r="609" spans="1:30">
      <c r="A609" s="111" t="str">
        <f ca="1"/>
        <v>MACHACHI</v>
      </c>
      <c r="B609" s="111" t="str">
        <f ca="1"/>
        <v>BEBIDAS LACTEAS</v>
      </c>
      <c r="C609" s="111" t="str">
        <f ca="1"/>
        <v xml:space="preserve">Luis Armendariz                         </v>
      </c>
      <c r="D609" s="111" t="str">
        <f ca="1"/>
        <v>YOGURT FINESSE</v>
      </c>
      <c r="E609" s="111" t="str">
        <f ca="1"/>
        <v>YOGURT FINESSE DESLACT BOTELLA FAMILIAR</v>
      </c>
      <c r="F609" s="120" t="str">
        <f ca="1"/>
        <v>GUAYAQUIL</v>
      </c>
      <c r="G609" s="120">
        <f ca="1"/>
        <v>7711</v>
      </c>
      <c r="H609" s="120">
        <f ca="1"/>
        <v>1001</v>
      </c>
      <c r="I609" s="120" t="str">
        <f ca="1"/>
        <v>12548</v>
      </c>
      <c r="J609" s="120" t="str">
        <f ca="1"/>
        <v>YOG FNSSE SBILA BOT 1670G</v>
      </c>
      <c r="K609" s="121">
        <f ca="1"/>
        <v>36</v>
      </c>
      <c r="L609" s="122">
        <f ca="1"/>
        <v>1</v>
      </c>
      <c r="M609" s="120">
        <f ca="1"/>
        <v>1.67</v>
      </c>
      <c r="N609" s="121">
        <f ca="1"/>
        <v>45</v>
      </c>
      <c r="O609" s="123">
        <f ca="1"/>
        <v>45616</v>
      </c>
      <c r="P609" s="123" t="str">
        <f ca="1"/>
        <v>miércoles</v>
      </c>
      <c r="Q609" s="124">
        <f ca="1"/>
        <v>45609</v>
      </c>
      <c r="R609" s="124">
        <f ca="1"/>
        <v>45653</v>
      </c>
      <c r="S609" s="90">
        <f ca="1"/>
        <v>29</v>
      </c>
      <c r="T609" s="139">
        <f ca="1"/>
        <v>0.64444444444444449</v>
      </c>
      <c r="U609" s="131">
        <f ca="1"/>
        <v>36</v>
      </c>
      <c r="V609" s="120">
        <f ca="1"/>
        <v>60.12</v>
      </c>
      <c r="W609" s="140">
        <f ca="1"/>
        <v>7</v>
      </c>
      <c r="X609" s="139">
        <f ca="1"/>
        <v>0.84444444444444444</v>
      </c>
      <c r="Y609" s="141">
        <f ca="1"/>
        <v>2.4703599999999999</v>
      </c>
      <c r="Z609" s="141">
        <f ca="1"/>
        <v>2.4703599999999999</v>
      </c>
      <c r="AA609" s="142">
        <f ca="1"/>
        <v>148.51804319999999</v>
      </c>
      <c r="AB609" s="138">
        <f ca="1"/>
        <v>8</v>
      </c>
      <c r="AC609" s="103" t="str">
        <f ca="1"/>
        <v>VIGENTE</v>
      </c>
      <c r="AD609" s="150">
        <f ca="1"/>
        <v>6.012E-2</v>
      </c>
    </row>
    <row r="610" spans="1:30">
      <c r="A610" s="111" t="str">
        <f ca="1"/>
        <v>SAN GABRIEL</v>
      </c>
      <c r="B610" s="111" t="str">
        <f ca="1"/>
        <v>QUESOS Y GRASAS</v>
      </c>
      <c r="C610" s="111" t="str">
        <f ca="1"/>
        <v xml:space="preserve">Esteban Montenegro                      </v>
      </c>
      <c r="D610" s="111" t="str">
        <f ca="1"/>
        <v>QUESO MOZARELLA KIOSKO</v>
      </c>
      <c r="E610" s="111" t="str">
        <f ca="1"/>
        <v>QUESO MOZARELLA LIGHT KIOSKO BLOQUE</v>
      </c>
      <c r="F610" s="120" t="str">
        <f ca="1"/>
        <v>GUAYAQUIL</v>
      </c>
      <c r="G610" s="120">
        <f ca="1"/>
        <v>7711</v>
      </c>
      <c r="H610" s="120">
        <f ca="1"/>
        <v>1001</v>
      </c>
      <c r="I610" s="120" t="str">
        <f ca="1"/>
        <v>5737</v>
      </c>
      <c r="J610" s="120" t="str">
        <f ca="1"/>
        <v>Q MOZAR LGHT KIOSKO BLOQ 700G</v>
      </c>
      <c r="K610" s="121">
        <f ca="1"/>
        <v>0</v>
      </c>
      <c r="L610" s="122">
        <f ca="1"/>
        <v>1</v>
      </c>
      <c r="M610" s="120">
        <f ca="1"/>
        <v>0.7</v>
      </c>
      <c r="N610" s="121">
        <f ca="1"/>
        <v>40</v>
      </c>
      <c r="O610" s="123">
        <f ca="1"/>
        <v>45600</v>
      </c>
      <c r="P610" s="123" t="str">
        <f ca="1"/>
        <v>lunes</v>
      </c>
      <c r="Q610" s="124">
        <f ca="1"/>
        <v>45740</v>
      </c>
      <c r="R610" s="124">
        <f ca="1"/>
        <v>45779</v>
      </c>
      <c r="S610" s="90">
        <f ca="1"/>
        <v>155</v>
      </c>
      <c r="T610" s="139">
        <f ca="1"/>
        <v>3.875</v>
      </c>
      <c r="U610" s="131">
        <f ca="1"/>
        <v>21</v>
      </c>
      <c r="V610" s="120">
        <f ca="1"/>
        <v>14.7</v>
      </c>
      <c r="W610" s="140">
        <f ca="1"/>
        <v>-140</v>
      </c>
      <c r="X610" s="139">
        <f ca="1"/>
        <v>4.5</v>
      </c>
      <c r="Y610" s="141">
        <f ca="1"/>
        <v>3.8565149999999999</v>
      </c>
      <c r="Z610" s="141">
        <f ca="1"/>
        <v>3.8565149999999999</v>
      </c>
      <c r="AA610" s="142">
        <f ca="1"/>
        <v>56.690770499999999</v>
      </c>
      <c r="AB610" s="138">
        <f ca="1"/>
        <v>24</v>
      </c>
      <c r="AC610" s="103" t="str">
        <f ca="1"/>
        <v>VIGENTE</v>
      </c>
      <c r="AD610" s="150">
        <f ca="1"/>
        <v>1.47E-2</v>
      </c>
    </row>
    <row r="611" spans="1:30">
      <c r="A611" s="111" t="str">
        <f ca="1"/>
        <v>SAN GABRIEL</v>
      </c>
      <c r="B611" s="111" t="str">
        <f ca="1"/>
        <v>QUESOS Y GRASAS</v>
      </c>
      <c r="C611" s="111" t="str">
        <f ca="1"/>
        <v xml:space="preserve">Esteban Montenegro                      </v>
      </c>
      <c r="D611" s="111" t="str">
        <f ca="1"/>
        <v>QUESO MOZARELLA KIOSKO</v>
      </c>
      <c r="E611" s="111" t="str">
        <f ca="1"/>
        <v>QUESO MOZARELLA LIGHT KIOSKO BLOQUE</v>
      </c>
      <c r="F611" s="120" t="str">
        <f ca="1"/>
        <v>GUAYAQUIL</v>
      </c>
      <c r="G611" s="120">
        <f ca="1"/>
        <v>7711</v>
      </c>
      <c r="H611" s="120">
        <f ca="1"/>
        <v>1001</v>
      </c>
      <c r="I611" s="120" t="str">
        <f ca="1"/>
        <v>5737</v>
      </c>
      <c r="J611" s="120" t="str">
        <f ca="1"/>
        <v>Q MOZAR LGHT KIOSKO BLOQ 700G</v>
      </c>
      <c r="K611" s="121">
        <f ca="1"/>
        <v>216</v>
      </c>
      <c r="L611" s="122">
        <f ca="1"/>
        <v>1</v>
      </c>
      <c r="M611" s="120">
        <f ca="1"/>
        <v>0.7</v>
      </c>
      <c r="N611" s="121">
        <f ca="1"/>
        <v>40</v>
      </c>
      <c r="O611" s="123">
        <f ca="1"/>
        <v>45615</v>
      </c>
      <c r="P611" s="123" t="str">
        <f ca="1"/>
        <v>martes</v>
      </c>
      <c r="Q611" s="124">
        <f ca="1"/>
        <v>45612</v>
      </c>
      <c r="R611" s="124">
        <f ca="1"/>
        <v>45651</v>
      </c>
      <c r="S611" s="90">
        <f ca="1"/>
        <v>27</v>
      </c>
      <c r="T611" s="139">
        <f ca="1"/>
        <v>0.67500000000000004</v>
      </c>
      <c r="U611" s="131">
        <f ca="1"/>
        <v>184</v>
      </c>
      <c r="V611" s="120">
        <f ca="1"/>
        <v>128.79999999999998</v>
      </c>
      <c r="W611" s="140">
        <f ca="1"/>
        <v>3</v>
      </c>
      <c r="X611" s="139">
        <f ca="1"/>
        <v>0.92500000000000004</v>
      </c>
      <c r="Y611" s="141">
        <f ca="1"/>
        <v>3.8565149999999999</v>
      </c>
      <c r="Z611" s="141">
        <f ca="1"/>
        <v>3.8565149999999999</v>
      </c>
      <c r="AA611" s="142">
        <f ca="1"/>
        <v>496.71913199999995</v>
      </c>
      <c r="AB611" s="138">
        <f ca="1"/>
        <v>9</v>
      </c>
      <c r="AC611" s="103" t="str">
        <f ca="1"/>
        <v>VIGENTE</v>
      </c>
      <c r="AD611" s="150">
        <f ca="1"/>
        <v>0.12879999999999997</v>
      </c>
    </row>
    <row r="612" spans="1:30">
      <c r="A612" s="111" t="str">
        <f ca="1"/>
        <v>SAN GABRIEL</v>
      </c>
      <c r="B612" s="111" t="str">
        <f ca="1"/>
        <v>QUESOS Y GRASAS</v>
      </c>
      <c r="C612" s="111" t="str">
        <f ca="1"/>
        <v xml:space="preserve">Esteban Montenegro                      </v>
      </c>
      <c r="D612" s="111" t="str">
        <f ca="1"/>
        <v>QUESO MOZARELLA KIOSKO</v>
      </c>
      <c r="E612" s="111" t="str">
        <f ca="1"/>
        <v>QUESO MOZARELLA LIGHT KIOSKO BLOQUE</v>
      </c>
      <c r="F612" s="120" t="str">
        <f ca="1"/>
        <v>GUAYAQUIL</v>
      </c>
      <c r="G612" s="120">
        <f ca="1"/>
        <v>7711</v>
      </c>
      <c r="H612" s="120">
        <f ca="1"/>
        <v>1001</v>
      </c>
      <c r="I612" s="120" t="str">
        <f ca="1"/>
        <v>5737</v>
      </c>
      <c r="J612" s="120" t="str">
        <f ca="1"/>
        <v>Q MOZAR LGHT KIOSKO BLOQ 700G</v>
      </c>
      <c r="K612" s="121">
        <f ca="1"/>
        <v>54</v>
      </c>
      <c r="L612" s="122">
        <f ca="1"/>
        <v>1</v>
      </c>
      <c r="M612" s="120">
        <f ca="1"/>
        <v>0.7</v>
      </c>
      <c r="N612" s="121">
        <f ca="1"/>
        <v>40</v>
      </c>
      <c r="O612" s="123">
        <f ca="1"/>
        <v>45616</v>
      </c>
      <c r="P612" s="123" t="str">
        <f ca="1"/>
        <v>miércoles</v>
      </c>
      <c r="Q612" s="124">
        <f ca="1"/>
        <v>45612</v>
      </c>
      <c r="R612" s="124">
        <f ca="1"/>
        <v>45651</v>
      </c>
      <c r="S612" s="90">
        <f ca="1"/>
        <v>27</v>
      </c>
      <c r="T612" s="139">
        <f ca="1"/>
        <v>0.67500000000000004</v>
      </c>
      <c r="U612" s="131">
        <f ca="1"/>
        <v>54</v>
      </c>
      <c r="V612" s="120">
        <f ca="1"/>
        <v>37.799999999999997</v>
      </c>
      <c r="W612" s="140">
        <f ca="1"/>
        <v>4</v>
      </c>
      <c r="X612" s="139">
        <f ca="1"/>
        <v>0.9</v>
      </c>
      <c r="Y612" s="141">
        <f ca="1"/>
        <v>3.8565149999999999</v>
      </c>
      <c r="Z612" s="141">
        <f ca="1"/>
        <v>3.8565149999999999</v>
      </c>
      <c r="AA612" s="142">
        <f ca="1"/>
        <v>145.77626699999999</v>
      </c>
      <c r="AB612" s="138">
        <f ca="1"/>
        <v>8</v>
      </c>
      <c r="AC612" s="103" t="str">
        <f ca="1"/>
        <v>VIGENTE</v>
      </c>
      <c r="AD612" s="150">
        <f ca="1"/>
        <v>3.78E-2</v>
      </c>
    </row>
    <row r="613" spans="1:30">
      <c r="A613" s="111" t="str">
        <f ca="1"/>
        <v>SAN GABRIEL</v>
      </c>
      <c r="B613" s="111" t="str">
        <f ca="1"/>
        <v>QUESOS Y GRASAS</v>
      </c>
      <c r="C613" s="111" t="str">
        <f ca="1"/>
        <v xml:space="preserve">Esteban Montenegro                      </v>
      </c>
      <c r="D613" s="111" t="str">
        <f ca="1"/>
        <v>QUESO MOZARELLA KIOSKO</v>
      </c>
      <c r="E613" s="111" t="str">
        <f ca="1"/>
        <v>QUESO MOZARELLA LIGHT KIOSKO BLOQUE</v>
      </c>
      <c r="F613" s="120" t="str">
        <f ca="1"/>
        <v>GUAYAQUIL</v>
      </c>
      <c r="G613" s="120">
        <f ca="1"/>
        <v>7711</v>
      </c>
      <c r="H613" s="120">
        <f ca="1"/>
        <v>1001</v>
      </c>
      <c r="I613" s="120" t="str">
        <f ca="1"/>
        <v>5737</v>
      </c>
      <c r="J613" s="120" t="str">
        <f ca="1"/>
        <v>Q MOZAR LGHT KIOSKO BLOQ 700G</v>
      </c>
      <c r="K613" s="121">
        <f ca="1"/>
        <v>108</v>
      </c>
      <c r="L613" s="122">
        <f ca="1"/>
        <v>1</v>
      </c>
      <c r="M613" s="120">
        <f ca="1"/>
        <v>0.7</v>
      </c>
      <c r="N613" s="121">
        <f ca="1"/>
        <v>40</v>
      </c>
      <c r="O613" s="123">
        <f ca="1"/>
        <v>45617</v>
      </c>
      <c r="P613" s="123" t="str">
        <f ca="1"/>
        <v>jueves</v>
      </c>
      <c r="Q613" s="124">
        <f ca="1"/>
        <v>45612</v>
      </c>
      <c r="R613" s="124">
        <f ca="1"/>
        <v>45651</v>
      </c>
      <c r="S613" s="90">
        <f ca="1"/>
        <v>27</v>
      </c>
      <c r="T613" s="139">
        <f ca="1"/>
        <v>0.67500000000000004</v>
      </c>
      <c r="U613" s="131">
        <f ca="1"/>
        <v>108</v>
      </c>
      <c r="V613" s="120">
        <f ca="1"/>
        <v>75.599999999999994</v>
      </c>
      <c r="W613" s="140">
        <f ca="1"/>
        <v>5</v>
      </c>
      <c r="X613" s="139">
        <f ca="1"/>
        <v>0.875</v>
      </c>
      <c r="Y613" s="141">
        <f ca="1"/>
        <v>3.8565149999999999</v>
      </c>
      <c r="Z613" s="141">
        <f ca="1"/>
        <v>3.8565149999999999</v>
      </c>
      <c r="AA613" s="142">
        <f ca="1"/>
        <v>291.55253399999998</v>
      </c>
      <c r="AB613" s="138">
        <f ca="1"/>
        <v>7</v>
      </c>
      <c r="AC613" s="103" t="str">
        <f ca="1"/>
        <v>VIGENTE</v>
      </c>
      <c r="AD613" s="150">
        <f ca="1"/>
        <v>7.5600000000000001E-2</v>
      </c>
    </row>
    <row r="614" spans="1:30">
      <c r="A614" s="111" t="str">
        <f ca="1"/>
        <v>COLOMBIA</v>
      </c>
      <c r="B614" s="111" t="str">
        <f ca="1"/>
        <v>POSTRES</v>
      </c>
      <c r="C614" s="111" t="str">
        <f ca="1"/>
        <v xml:space="preserve">Luis Armendariz                         </v>
      </c>
      <c r="D614" s="111" t="str">
        <f ca="1"/>
        <v>ALPINETTE</v>
      </c>
      <c r="E614" s="111" t="str">
        <f ca="1"/>
        <v>ALPINETTE</v>
      </c>
      <c r="F614" s="120" t="str">
        <f ca="1"/>
        <v>GUAYAQUIL</v>
      </c>
      <c r="G614" s="120">
        <f ca="1"/>
        <v>7711</v>
      </c>
      <c r="H614" s="120">
        <f ca="1"/>
        <v>1001</v>
      </c>
      <c r="I614" s="120" t="str">
        <f ca="1"/>
        <v>6219239</v>
      </c>
      <c r="J614" s="120" t="str">
        <f ca="1"/>
        <v>ALPINETTE FRESA 140G ECU</v>
      </c>
      <c r="K614" s="121">
        <f ca="1"/>
        <v>120</v>
      </c>
      <c r="L614" s="122">
        <f ca="1"/>
        <v>1</v>
      </c>
      <c r="M614" s="120">
        <f ca="1"/>
        <v>0.14000000000000001</v>
      </c>
      <c r="N614" s="121">
        <f ca="1"/>
        <v>60</v>
      </c>
      <c r="O614" s="123">
        <f ca="1"/>
        <v>45604</v>
      </c>
      <c r="P614" s="123" t="str">
        <f ca="1"/>
        <v>viernes</v>
      </c>
      <c r="Q614" s="124">
        <f ca="1"/>
        <v>45573</v>
      </c>
      <c r="R614" s="124">
        <f ca="1"/>
        <v>45632</v>
      </c>
      <c r="S614" s="90">
        <f ca="1"/>
        <v>8</v>
      </c>
      <c r="T614" s="139">
        <f ca="1"/>
        <v>0.13333333333333333</v>
      </c>
      <c r="U614" s="131">
        <f ca="1"/>
        <v>91</v>
      </c>
      <c r="V614" s="120">
        <f ca="1"/>
        <v>12.740000000000002</v>
      </c>
      <c r="W614" s="140">
        <f ca="1"/>
        <v>31</v>
      </c>
      <c r="X614" s="139">
        <f ca="1"/>
        <v>0.48333333333333328</v>
      </c>
      <c r="Y614" s="141">
        <f ca="1"/>
        <v>0.46937499999999999</v>
      </c>
      <c r="Z614" s="141">
        <f ca="1"/>
        <v>0.46937499999999999</v>
      </c>
      <c r="AA614" s="142">
        <f ca="1"/>
        <v>5.9798375000000004</v>
      </c>
      <c r="AB614" s="138">
        <f ca="1"/>
        <v>20</v>
      </c>
      <c r="AC614" s="103" t="str">
        <f ca="1"/>
        <v>FECHA CORTA</v>
      </c>
      <c r="AD614" s="150">
        <f ca="1"/>
        <v>1.2740000000000001E-2</v>
      </c>
    </row>
    <row r="615" spans="1:30">
      <c r="A615" s="111" t="str">
        <f ca="1"/>
        <v>MULTIEMPAQUE_MACH</v>
      </c>
      <c r="B615" s="111" t="str">
        <f ca="1"/>
        <v>BEBIDAS LACTEAS</v>
      </c>
      <c r="C615" s="111" t="str">
        <f ca="1"/>
        <v xml:space="preserve">Luis Armendariz                         </v>
      </c>
      <c r="D615" s="111" t="str">
        <f ca="1"/>
        <v>YOGURT KIOSKO</v>
      </c>
      <c r="E615" s="111" t="str">
        <f ca="1"/>
        <v>BEBIDA DE YOGURT KIOSKO BOTELLA PERSONAL</v>
      </c>
      <c r="F615" s="120" t="str">
        <f ca="1"/>
        <v>GUAYAQUIL</v>
      </c>
      <c r="G615" s="120">
        <f ca="1"/>
        <v>7711</v>
      </c>
      <c r="H615" s="120">
        <f ca="1"/>
        <v>1001</v>
      </c>
      <c r="I615" s="120" t="str">
        <f ca="1"/>
        <v>10992</v>
      </c>
      <c r="J615" s="120" t="str">
        <f ca="1"/>
        <v>MPX6 YOG BBLE KID KK MULTSAB BOT 120G</v>
      </c>
      <c r="K615" s="121">
        <f ca="1"/>
        <v>308</v>
      </c>
      <c r="L615" s="122">
        <f ca="1"/>
        <v>1</v>
      </c>
      <c r="M615" s="120">
        <f ca="1"/>
        <v>0.72</v>
      </c>
      <c r="N615" s="121">
        <f ca="1"/>
        <v>45</v>
      </c>
      <c r="O615" s="123">
        <f ca="1"/>
        <v>45615</v>
      </c>
      <c r="P615" s="123" t="str">
        <f ca="1"/>
        <v>martes</v>
      </c>
      <c r="Q615" s="124">
        <f ca="1"/>
        <v>45610</v>
      </c>
      <c r="R615" s="124">
        <f ca="1"/>
        <v>45654</v>
      </c>
      <c r="S615" s="90">
        <f ca="1"/>
        <v>30</v>
      </c>
      <c r="T615" s="139">
        <f ca="1"/>
        <v>0.66666666666666663</v>
      </c>
      <c r="U615" s="131">
        <f ca="1"/>
        <v>282</v>
      </c>
      <c r="V615" s="120">
        <f ca="1"/>
        <v>203.04</v>
      </c>
      <c r="W615" s="140">
        <f ca="1"/>
        <v>5</v>
      </c>
      <c r="X615" s="139">
        <f ca="1"/>
        <v>0.88888888888888884</v>
      </c>
      <c r="Y615" s="141">
        <f ca="1"/>
        <v>1.6533599999999999</v>
      </c>
      <c r="Z615" s="141">
        <f ca="1"/>
        <v>1.6533599999999999</v>
      </c>
      <c r="AA615" s="142">
        <f ca="1"/>
        <v>335.69821439999998</v>
      </c>
      <c r="AB615" s="138">
        <f ca="1"/>
        <v>9</v>
      </c>
      <c r="AC615" s="103" t="str">
        <f ca="1"/>
        <v>VIGENTE</v>
      </c>
      <c r="AD615" s="150">
        <f ca="1"/>
        <v>0.20304</v>
      </c>
    </row>
    <row r="616" spans="1:30">
      <c r="A616" s="111" t="str">
        <f ca="1"/>
        <v>MACHACHI</v>
      </c>
      <c r="B616" s="111" t="str">
        <f ca="1"/>
        <v>BEBIDAS LACTEAS</v>
      </c>
      <c r="C616" s="111" t="str">
        <f ca="1"/>
        <v xml:space="preserve">Luis Armendariz                         </v>
      </c>
      <c r="D616" s="111" t="str">
        <f ca="1"/>
        <v>YOGURT FINESSE</v>
      </c>
      <c r="E616" s="111" t="str">
        <f ca="1"/>
        <v>YOGURT FINESSE DESLACT BOTELLA PERSONAL</v>
      </c>
      <c r="F616" s="120" t="str">
        <f ca="1"/>
        <v>GUAYAQUIL</v>
      </c>
      <c r="G616" s="120">
        <f ca="1"/>
        <v>7711</v>
      </c>
      <c r="H616" s="120">
        <f ca="1"/>
        <v>1001</v>
      </c>
      <c r="I616" s="120" t="str">
        <f ca="1"/>
        <v>16019</v>
      </c>
      <c r="J616" s="120" t="str">
        <f ca="1"/>
        <v>YOG FNSSE DURAZNO BOT 180G</v>
      </c>
      <c r="K616" s="121">
        <f ca="1"/>
        <v>324</v>
      </c>
      <c r="L616" s="122">
        <f ca="1"/>
        <v>1</v>
      </c>
      <c r="M616" s="120">
        <f ca="1"/>
        <v>0.18</v>
      </c>
      <c r="N616" s="121">
        <f ca="1"/>
        <v>45</v>
      </c>
      <c r="O616" s="123">
        <f ca="1"/>
        <v>45612</v>
      </c>
      <c r="P616" s="123" t="str">
        <f ca="1"/>
        <v>sábado</v>
      </c>
      <c r="Q616" s="124">
        <f ca="1"/>
        <v>45611</v>
      </c>
      <c r="R616" s="124">
        <f ca="1"/>
        <v>45655</v>
      </c>
      <c r="S616" s="90">
        <f ca="1"/>
        <v>31</v>
      </c>
      <c r="T616" s="139">
        <f ca="1"/>
        <v>0.68888888888888888</v>
      </c>
      <c r="U616" s="131">
        <f ca="1"/>
        <v>101</v>
      </c>
      <c r="V616" s="120">
        <f ca="1"/>
        <v>18.18</v>
      </c>
      <c r="W616" s="140">
        <f ca="1"/>
        <v>1</v>
      </c>
      <c r="X616" s="139">
        <f ca="1"/>
        <v>0.97777777777777775</v>
      </c>
      <c r="Y616" s="141">
        <f ca="1"/>
        <v>0.31489500000000004</v>
      </c>
      <c r="Z616" s="141">
        <f ca="1"/>
        <v>0.31489500000000004</v>
      </c>
      <c r="AA616" s="142">
        <f ca="1"/>
        <v>5.7247911000000009</v>
      </c>
      <c r="AB616" s="138">
        <f ca="1"/>
        <v>12</v>
      </c>
      <c r="AC616" s="103" t="str">
        <f ca="1"/>
        <v>VIGENTE</v>
      </c>
      <c r="AD616" s="150">
        <f ca="1"/>
        <v>1.8179999999999998E-2</v>
      </c>
    </row>
    <row r="617" spans="1:30">
      <c r="A617" s="111" t="str">
        <f ca="1"/>
        <v>MACHACHI</v>
      </c>
      <c r="B617" s="111" t="str">
        <f ca="1"/>
        <v>BEBIDAS LACTEAS</v>
      </c>
      <c r="C617" s="111" t="str">
        <f ca="1"/>
        <v xml:space="preserve">Luis Armendariz                         </v>
      </c>
      <c r="D617" s="111" t="str">
        <f ca="1"/>
        <v>REGENERIS</v>
      </c>
      <c r="E617" s="111" t="str">
        <f ca="1"/>
        <v>REGENERIS CEREAL BOTELLA FAMILIAR</v>
      </c>
      <c r="F617" s="120" t="str">
        <f ca="1"/>
        <v>GUAYAQUIL</v>
      </c>
      <c r="G617" s="120">
        <f ca="1"/>
        <v>7711</v>
      </c>
      <c r="H617" s="120">
        <f ca="1"/>
        <v>1001</v>
      </c>
      <c r="I617" s="120" t="str">
        <f ca="1"/>
        <v>12528</v>
      </c>
      <c r="J617" s="120" t="str">
        <f ca="1"/>
        <v>RGN CER GDLLA BOT 1750G</v>
      </c>
      <c r="K617" s="121">
        <f ca="1"/>
        <v>12</v>
      </c>
      <c r="L617" s="122">
        <f ca="1"/>
        <v>1</v>
      </c>
      <c r="M617" s="120">
        <f ca="1"/>
        <v>1.75</v>
      </c>
      <c r="N617" s="121">
        <f ca="1"/>
        <v>45</v>
      </c>
      <c r="O617" s="123">
        <f ca="1"/>
        <v>45602</v>
      </c>
      <c r="P617" s="123" t="str">
        <f ca="1"/>
        <v>miércoles</v>
      </c>
      <c r="Q617" s="124">
        <f ca="1"/>
        <v>45597</v>
      </c>
      <c r="R617" s="124">
        <f ca="1"/>
        <v>45641</v>
      </c>
      <c r="S617" s="90">
        <f ca="1"/>
        <v>17</v>
      </c>
      <c r="T617" s="139">
        <f ca="1"/>
        <v>0.37777777777777777</v>
      </c>
      <c r="U617" s="131">
        <f ca="1"/>
        <v>13</v>
      </c>
      <c r="V617" s="120">
        <f ca="1"/>
        <v>22.75</v>
      </c>
      <c r="W617" s="140">
        <f ca="1"/>
        <v>5</v>
      </c>
      <c r="X617" s="139">
        <f ca="1"/>
        <v>0.88888888888888884</v>
      </c>
      <c r="Y617" s="141">
        <f ca="1"/>
        <v>2.164625</v>
      </c>
      <c r="Z617" s="141">
        <f ca="1"/>
        <v>2.164625</v>
      </c>
      <c r="AA617" s="142">
        <f ca="1"/>
        <v>49.245218749999999</v>
      </c>
      <c r="AB617" s="138">
        <f ca="1"/>
        <v>22</v>
      </c>
      <c r="AC617" s="103" t="str">
        <f ca="1"/>
        <v>FECHA CORTA</v>
      </c>
      <c r="AD617" s="150">
        <f ca="1"/>
        <v>2.2749999999999999E-2</v>
      </c>
    </row>
    <row r="618" spans="1:30">
      <c r="A618" s="111" t="str">
        <f ca="1"/>
        <v>SAN GABRIEL</v>
      </c>
      <c r="B618" s="111" t="str">
        <f ca="1"/>
        <v>QUESOS Y GRASAS</v>
      </c>
      <c r="C618" s="111" t="str">
        <f ca="1"/>
        <v xml:space="preserve">Esteban Montenegro                      </v>
      </c>
      <c r="D618" s="111" t="str">
        <f ca="1"/>
        <v>QUESO MOZARELLA KIOSKO</v>
      </c>
      <c r="E618" s="111" t="str">
        <f ca="1"/>
        <v>QUESO MOZARELLA PIZZA KIOSKO TAJADO</v>
      </c>
      <c r="F618" s="120" t="str">
        <f ca="1"/>
        <v>GUAYAQUIL</v>
      </c>
      <c r="G618" s="120">
        <f ca="1"/>
        <v>7711</v>
      </c>
      <c r="H618" s="120">
        <f ca="1"/>
        <v>1001</v>
      </c>
      <c r="I618" s="120" t="str">
        <f ca="1"/>
        <v>5746</v>
      </c>
      <c r="J618" s="120" t="str">
        <f ca="1"/>
        <v>Q MOZAR PIZZ KIOSKO 20 LONJ 300G</v>
      </c>
      <c r="K618" s="121">
        <f ca="1"/>
        <v>10</v>
      </c>
      <c r="L618" s="122">
        <f ca="1"/>
        <v>1</v>
      </c>
      <c r="M618" s="120">
        <f ca="1"/>
        <v>0.3</v>
      </c>
      <c r="N618" s="121">
        <f ca="1"/>
        <v>30</v>
      </c>
      <c r="O618" s="123">
        <f ca="1"/>
        <v>45616</v>
      </c>
      <c r="P618" s="123" t="str">
        <f ca="1"/>
        <v>miércoles</v>
      </c>
      <c r="Q618" s="124">
        <f ca="1"/>
        <v>45610</v>
      </c>
      <c r="R618" s="124">
        <f ca="1"/>
        <v>45639</v>
      </c>
      <c r="S618" s="90">
        <f ca="1"/>
        <v>15</v>
      </c>
      <c r="T618" s="139">
        <f ca="1"/>
        <v>0.5</v>
      </c>
      <c r="U618" s="131">
        <f ca="1"/>
        <v>0</v>
      </c>
      <c r="V618" s="120">
        <f ca="1"/>
        <v>0</v>
      </c>
      <c r="W618" s="140">
        <f ca="1"/>
        <v>6</v>
      </c>
      <c r="X618" s="139">
        <f ca="1"/>
        <v>0.8</v>
      </c>
      <c r="Y618" s="141">
        <f ca="1"/>
        <v>2.2262750000000002</v>
      </c>
      <c r="Z618" s="141">
        <f ca="1"/>
        <v>2.2262750000000002</v>
      </c>
      <c r="AA618" s="142">
        <f ca="1"/>
        <v>0</v>
      </c>
      <c r="AB618" s="138">
        <f ca="1"/>
        <v>8</v>
      </c>
      <c r="AC618" s="103" t="str">
        <f ca="1"/>
        <v>FECHA CORTA</v>
      </c>
      <c r="AD618" s="150">
        <f ca="1"/>
        <v>0</v>
      </c>
    </row>
    <row r="619" spans="1:30">
      <c r="A619" s="111" t="str">
        <f ca="1"/>
        <v>SAN GABRIEL</v>
      </c>
      <c r="B619" s="111" t="str">
        <f ca="1"/>
        <v>QUESOS Y GRASAS</v>
      </c>
      <c r="C619" s="111" t="str">
        <f ca="1"/>
        <v xml:space="preserve">Esteban Montenegro                      </v>
      </c>
      <c r="D619" s="111" t="str">
        <f ca="1"/>
        <v>QUESO MOZARELLA KIOSKO</v>
      </c>
      <c r="E619" s="111" t="str">
        <f ca="1"/>
        <v>QUESO MOZARELLA PIZZA KIOSKO TAJADO</v>
      </c>
      <c r="F619" s="120" t="str">
        <f ca="1"/>
        <v>GUAYAQUIL</v>
      </c>
      <c r="G619" s="120">
        <f ca="1"/>
        <v>7711</v>
      </c>
      <c r="H619" s="120">
        <f ca="1"/>
        <v>1001</v>
      </c>
      <c r="I619" s="120" t="str">
        <f ca="1"/>
        <v>5746</v>
      </c>
      <c r="J619" s="120" t="str">
        <f ca="1"/>
        <v>Q MOZAR PIZZ KIOSKO 20 LONJ 300G</v>
      </c>
      <c r="K619" s="121">
        <f ca="1"/>
        <v>20</v>
      </c>
      <c r="L619" s="122">
        <f ca="1"/>
        <v>1</v>
      </c>
      <c r="M619" s="120">
        <f ca="1"/>
        <v>0.3</v>
      </c>
      <c r="N619" s="121">
        <f ca="1"/>
        <v>30</v>
      </c>
      <c r="O619" s="123">
        <f ca="1"/>
        <v>45617</v>
      </c>
      <c r="P619" s="123" t="str">
        <f ca="1"/>
        <v>jueves</v>
      </c>
      <c r="Q619" s="124">
        <f ca="1"/>
        <v>45610</v>
      </c>
      <c r="R619" s="124">
        <f ca="1"/>
        <v>45639</v>
      </c>
      <c r="S619" s="90">
        <f ca="1"/>
        <v>15</v>
      </c>
      <c r="T619" s="139">
        <f ca="1"/>
        <v>0.5</v>
      </c>
      <c r="U619" s="131">
        <f ca="1"/>
        <v>20</v>
      </c>
      <c r="V619" s="120">
        <f ca="1"/>
        <v>6</v>
      </c>
      <c r="W619" s="140">
        <f ca="1"/>
        <v>7</v>
      </c>
      <c r="X619" s="139">
        <f ca="1"/>
        <v>0.76666666666666661</v>
      </c>
      <c r="Y619" s="141">
        <f ca="1"/>
        <v>2.2262750000000002</v>
      </c>
      <c r="Z619" s="141">
        <f ca="1"/>
        <v>2.2262750000000002</v>
      </c>
      <c r="AA619" s="142">
        <f ca="1"/>
        <v>13.357650000000001</v>
      </c>
      <c r="AB619" s="138">
        <f ca="1"/>
        <v>7</v>
      </c>
      <c r="AC619" s="103" t="str">
        <f ca="1"/>
        <v>FECHA CORTA</v>
      </c>
      <c r="AD619" s="150">
        <f ca="1"/>
        <v>6.0000000000000001E-3</v>
      </c>
    </row>
    <row r="620" spans="1:30">
      <c r="A620" s="111" t="str">
        <f ca="1"/>
        <v>MULTIEMPAQUE_MACH</v>
      </c>
      <c r="B620" s="111" t="str">
        <f ca="1"/>
        <v>BEBIDAS LACTEAS</v>
      </c>
      <c r="C620" s="111" t="str">
        <f ca="1"/>
        <v xml:space="preserve">Luis Armendariz                         </v>
      </c>
      <c r="D620" s="111" t="str">
        <f ca="1"/>
        <v>BON YURT</v>
      </c>
      <c r="E620" s="111" t="str">
        <f ca="1"/>
        <v>BON YURT REGULAR</v>
      </c>
      <c r="F620" s="120" t="str">
        <f ca="1"/>
        <v>GUAYAQUIL</v>
      </c>
      <c r="G620" s="120">
        <f ca="1"/>
        <v>7711</v>
      </c>
      <c r="H620" s="120">
        <f ca="1"/>
        <v>1001</v>
      </c>
      <c r="I620" s="120" t="str">
        <f ca="1"/>
        <v>9088</v>
      </c>
      <c r="J620" s="120" t="str">
        <f ca="1"/>
        <v>MPLX4 BY MULTSAB VASO ECU</v>
      </c>
      <c r="K620" s="121">
        <f ca="1"/>
        <v>16</v>
      </c>
      <c r="L620" s="122">
        <f ca="1"/>
        <v>1</v>
      </c>
      <c r="M620" s="120">
        <f ca="1"/>
        <v>0.68</v>
      </c>
      <c r="N620" s="121">
        <f ca="1"/>
        <v>45</v>
      </c>
      <c r="O620" s="123">
        <f ca="1"/>
        <v>45597</v>
      </c>
      <c r="P620" s="123" t="str">
        <f ca="1"/>
        <v>viernes</v>
      </c>
      <c r="Q620" s="124">
        <f ca="1"/>
        <v>45587</v>
      </c>
      <c r="R620" s="124">
        <f ca="1"/>
        <v>45631</v>
      </c>
      <c r="S620" s="90">
        <f ca="1"/>
        <v>7</v>
      </c>
      <c r="T620" s="139">
        <f ca="1"/>
        <v>0.15555555555555556</v>
      </c>
      <c r="U620" s="131">
        <f ca="1"/>
        <v>5</v>
      </c>
      <c r="V620" s="120">
        <f ca="1"/>
        <v>3.4000000000000004</v>
      </c>
      <c r="W620" s="140">
        <f ca="1"/>
        <v>10</v>
      </c>
      <c r="X620" s="139">
        <f ca="1"/>
        <v>0.77777777777777779</v>
      </c>
      <c r="Y620" s="141">
        <f ca="1"/>
        <v>1.3252700000000002</v>
      </c>
      <c r="Z620" s="141">
        <f ca="1"/>
        <v>1.3252700000000002</v>
      </c>
      <c r="AA620" s="142">
        <f ca="1"/>
        <v>4.5059180000000012</v>
      </c>
      <c r="AB620" s="138">
        <f ca="1"/>
        <v>27</v>
      </c>
      <c r="AC620" s="103" t="str">
        <f ca="1"/>
        <v>FECHA CORTA</v>
      </c>
      <c r="AD620" s="150">
        <f ca="1"/>
        <v>3.4000000000000002E-3</v>
      </c>
    </row>
    <row r="621" spans="1:30">
      <c r="A621" s="111" t="str">
        <f ca="1"/>
        <v>MULTIEMPAQUE_MACH</v>
      </c>
      <c r="B621" s="111" t="str">
        <f ca="1"/>
        <v>BEBIDAS LACTEAS</v>
      </c>
      <c r="C621" s="111" t="str">
        <f ca="1"/>
        <v xml:space="preserve">Luis Armendariz                         </v>
      </c>
      <c r="D621" s="111" t="str">
        <f ca="1"/>
        <v>BON YURT</v>
      </c>
      <c r="E621" s="111" t="str">
        <f ca="1"/>
        <v>BON YURT REGULAR</v>
      </c>
      <c r="F621" s="120" t="str">
        <f ca="1"/>
        <v>GUAYAQUIL</v>
      </c>
      <c r="G621" s="120">
        <f ca="1"/>
        <v>7711</v>
      </c>
      <c r="H621" s="120">
        <f ca="1"/>
        <v>1001</v>
      </c>
      <c r="I621" s="120" t="str">
        <f ca="1"/>
        <v>9088</v>
      </c>
      <c r="J621" s="120" t="str">
        <f ca="1"/>
        <v>MPLX4 BY MULTSAB VASO ECU</v>
      </c>
      <c r="K621" s="121">
        <f ca="1"/>
        <v>16</v>
      </c>
      <c r="L621" s="122">
        <f ca="1"/>
        <v>1</v>
      </c>
      <c r="M621" s="120">
        <f ca="1"/>
        <v>0.68</v>
      </c>
      <c r="N621" s="121">
        <f ca="1"/>
        <v>45</v>
      </c>
      <c r="O621" s="123">
        <f ca="1"/>
        <v>45604</v>
      </c>
      <c r="P621" s="123" t="str">
        <f ca="1"/>
        <v>viernes</v>
      </c>
      <c r="Q621" s="124">
        <f ca="1"/>
        <v>45597</v>
      </c>
      <c r="R621" s="124">
        <f ca="1"/>
        <v>45641</v>
      </c>
      <c r="S621" s="90">
        <f ca="1"/>
        <v>17</v>
      </c>
      <c r="T621" s="139">
        <f ca="1"/>
        <v>0.37777777777777777</v>
      </c>
      <c r="U621" s="131">
        <f ca="1"/>
        <v>8</v>
      </c>
      <c r="V621" s="120">
        <f ca="1"/>
        <v>5.44</v>
      </c>
      <c r="W621" s="140">
        <f ca="1"/>
        <v>7</v>
      </c>
      <c r="X621" s="139">
        <f ca="1"/>
        <v>0.84444444444444444</v>
      </c>
      <c r="Y621" s="141">
        <f ca="1"/>
        <v>1.3252700000000002</v>
      </c>
      <c r="Z621" s="141">
        <f ca="1"/>
        <v>1.3252700000000002</v>
      </c>
      <c r="AA621" s="142">
        <f ca="1"/>
        <v>7.2094688000000016</v>
      </c>
      <c r="AB621" s="138">
        <f ca="1"/>
        <v>20</v>
      </c>
      <c r="AC621" s="103" t="str">
        <f ca="1"/>
        <v>FECHA CORTA</v>
      </c>
      <c r="AD621" s="150">
        <f ca="1"/>
        <v>5.4400000000000004E-3</v>
      </c>
    </row>
    <row r="622" spans="1:30">
      <c r="A622" s="111" t="str">
        <f ca="1"/>
        <v>MULTIEMPAQUE_MACH</v>
      </c>
      <c r="B622" s="111" t="str">
        <f ca="1"/>
        <v>BEBIDAS LACTEAS</v>
      </c>
      <c r="C622" s="111" t="str">
        <f ca="1"/>
        <v xml:space="preserve">Luis Armendariz                         </v>
      </c>
      <c r="D622" s="111" t="str">
        <f ca="1"/>
        <v>BON YURT</v>
      </c>
      <c r="E622" s="111" t="str">
        <f ca="1"/>
        <v>BON YURT REGULAR</v>
      </c>
      <c r="F622" s="120" t="str">
        <f ca="1"/>
        <v>GUAYAQUIL</v>
      </c>
      <c r="G622" s="120">
        <f ca="1"/>
        <v>7711</v>
      </c>
      <c r="H622" s="120">
        <f ca="1"/>
        <v>1001</v>
      </c>
      <c r="I622" s="120" t="str">
        <f ca="1"/>
        <v>9088</v>
      </c>
      <c r="J622" s="120" t="str">
        <f ca="1"/>
        <v>MPLX4 BY MULTSAB VASO ECU</v>
      </c>
      <c r="K622" s="121">
        <f ca="1"/>
        <v>16</v>
      </c>
      <c r="L622" s="122">
        <f ca="1"/>
        <v>1</v>
      </c>
      <c r="M622" s="120">
        <f ca="1"/>
        <v>0.68</v>
      </c>
      <c r="N622" s="121">
        <f ca="1"/>
        <v>45</v>
      </c>
      <c r="O622" s="123">
        <f ca="1"/>
        <v>45615</v>
      </c>
      <c r="P622" s="123" t="str">
        <f ca="1"/>
        <v>martes</v>
      </c>
      <c r="Q622" s="124">
        <f ca="1"/>
        <v>45611</v>
      </c>
      <c r="R622" s="124">
        <f ca="1"/>
        <v>45655</v>
      </c>
      <c r="S622" s="90">
        <f ca="1"/>
        <v>31</v>
      </c>
      <c r="T622" s="139">
        <f ca="1"/>
        <v>0.68888888888888888</v>
      </c>
      <c r="U622" s="131">
        <f ca="1"/>
        <v>0</v>
      </c>
      <c r="V622" s="120">
        <f ca="1"/>
        <v>0</v>
      </c>
      <c r="W622" s="140">
        <f ca="1"/>
        <v>4</v>
      </c>
      <c r="X622" s="139">
        <f ca="1"/>
        <v>0.91111111111111109</v>
      </c>
      <c r="Y622" s="141">
        <f ca="1"/>
        <v>1.3252700000000002</v>
      </c>
      <c r="Z622" s="141">
        <f ca="1"/>
        <v>1.3252700000000002</v>
      </c>
      <c r="AA622" s="142">
        <f ca="1"/>
        <v>0</v>
      </c>
      <c r="AB622" s="138">
        <f ca="1"/>
        <v>9</v>
      </c>
      <c r="AC622" s="103" t="str">
        <f ca="1"/>
        <v>VIGENTE</v>
      </c>
      <c r="AD622" s="150">
        <f ca="1"/>
        <v>0</v>
      </c>
    </row>
    <row r="623" spans="1:30">
      <c r="A623" s="111" t="str">
        <f ca="1"/>
        <v>MULTIEMPAQUE_MACH</v>
      </c>
      <c r="B623" s="111" t="str">
        <f ca="1"/>
        <v>BEBIDAS LACTEAS</v>
      </c>
      <c r="C623" s="111" t="str">
        <f ca="1"/>
        <v xml:space="preserve">Luis Armendariz                         </v>
      </c>
      <c r="D623" s="111" t="str">
        <f ca="1"/>
        <v>BON YURT</v>
      </c>
      <c r="E623" s="111" t="str">
        <f ca="1"/>
        <v>BON YURT REGULAR</v>
      </c>
      <c r="F623" s="120" t="str">
        <f ca="1"/>
        <v>GUAYAQUIL</v>
      </c>
      <c r="G623" s="120">
        <f ca="1"/>
        <v>7711</v>
      </c>
      <c r="H623" s="120">
        <f ca="1"/>
        <v>1001</v>
      </c>
      <c r="I623" s="120" t="str">
        <f ca="1"/>
        <v>9088</v>
      </c>
      <c r="J623" s="120" t="str">
        <f ca="1"/>
        <v>MPLX4 BY MULTSAB VASO ECU</v>
      </c>
      <c r="K623" s="121">
        <f ca="1"/>
        <v>16</v>
      </c>
      <c r="L623" s="122">
        <f ca="1"/>
        <v>1</v>
      </c>
      <c r="M623" s="120">
        <f ca="1"/>
        <v>0.68</v>
      </c>
      <c r="N623" s="121">
        <f ca="1"/>
        <v>45</v>
      </c>
      <c r="O623" s="123">
        <f ca="1"/>
        <v>45616</v>
      </c>
      <c r="P623" s="123" t="str">
        <f ca="1"/>
        <v>miércoles</v>
      </c>
      <c r="Q623" s="124">
        <f ca="1"/>
        <v>45611</v>
      </c>
      <c r="R623" s="124">
        <f ca="1"/>
        <v>45655</v>
      </c>
      <c r="S623" s="90">
        <f ca="1"/>
        <v>31</v>
      </c>
      <c r="T623" s="139">
        <f ca="1"/>
        <v>0.68888888888888888</v>
      </c>
      <c r="U623" s="131">
        <f ca="1"/>
        <v>16</v>
      </c>
      <c r="V623" s="120">
        <f ca="1"/>
        <v>10.88</v>
      </c>
      <c r="W623" s="140">
        <f ca="1"/>
        <v>5</v>
      </c>
      <c r="X623" s="139">
        <f ca="1"/>
        <v>0.88888888888888884</v>
      </c>
      <c r="Y623" s="141">
        <f ca="1"/>
        <v>1.3252700000000002</v>
      </c>
      <c r="Z623" s="141">
        <f ca="1"/>
        <v>1.3252700000000002</v>
      </c>
      <c r="AA623" s="142">
        <f ca="1"/>
        <v>14.418937600000003</v>
      </c>
      <c r="AB623" s="138">
        <f ca="1"/>
        <v>8</v>
      </c>
      <c r="AC623" s="103" t="str">
        <f ca="1"/>
        <v>VIGENTE</v>
      </c>
      <c r="AD623" s="150">
        <f ca="1"/>
        <v>1.0880000000000001E-2</v>
      </c>
    </row>
    <row r="624" spans="1:30">
      <c r="A624" s="111" t="str">
        <f ca="1"/>
        <v>MULTIEMPAQUE_MACH</v>
      </c>
      <c r="B624" s="111" t="str">
        <f ca="1"/>
        <v>BEBIDAS LACTEAS</v>
      </c>
      <c r="C624" s="111" t="str">
        <f ca="1"/>
        <v xml:space="preserve">Luis Armendariz                         </v>
      </c>
      <c r="D624" s="111" t="str">
        <f ca="1"/>
        <v>BON YURT</v>
      </c>
      <c r="E624" s="111" t="str">
        <f ca="1"/>
        <v>BON YURT REGULAR</v>
      </c>
      <c r="F624" s="120" t="str">
        <f ca="1"/>
        <v>GUAYAQUIL</v>
      </c>
      <c r="G624" s="120">
        <f ca="1"/>
        <v>7711</v>
      </c>
      <c r="H624" s="120">
        <f ca="1"/>
        <v>1001</v>
      </c>
      <c r="I624" s="120" t="str">
        <f ca="1"/>
        <v>9088</v>
      </c>
      <c r="J624" s="120" t="str">
        <f ca="1"/>
        <v>MPLX4 BY MULTSAB VASO ECU</v>
      </c>
      <c r="K624" s="121">
        <f ca="1"/>
        <v>8</v>
      </c>
      <c r="L624" s="122">
        <f ca="1"/>
        <v>1</v>
      </c>
      <c r="M624" s="120">
        <f ca="1"/>
        <v>0.68</v>
      </c>
      <c r="N624" s="121">
        <f ca="1"/>
        <v>45</v>
      </c>
      <c r="O624" s="123">
        <f ca="1"/>
        <v>45617</v>
      </c>
      <c r="P624" s="123" t="str">
        <f ca="1"/>
        <v>jueves</v>
      </c>
      <c r="Q624" s="124">
        <f ca="1"/>
        <v>45611</v>
      </c>
      <c r="R624" s="124">
        <f ca="1"/>
        <v>45655</v>
      </c>
      <c r="S624" s="90">
        <f ca="1"/>
        <v>31</v>
      </c>
      <c r="T624" s="139">
        <f ca="1"/>
        <v>0.68888888888888888</v>
      </c>
      <c r="U624" s="131">
        <f ca="1"/>
        <v>8</v>
      </c>
      <c r="V624" s="120">
        <f ca="1"/>
        <v>5.44</v>
      </c>
      <c r="W624" s="140">
        <f ca="1"/>
        <v>6</v>
      </c>
      <c r="X624" s="139">
        <f ca="1"/>
        <v>0.8666666666666667</v>
      </c>
      <c r="Y624" s="141">
        <f ca="1"/>
        <v>1.3252700000000002</v>
      </c>
      <c r="Z624" s="141">
        <f ca="1"/>
        <v>1.3252700000000002</v>
      </c>
      <c r="AA624" s="142">
        <f ca="1"/>
        <v>7.2094688000000016</v>
      </c>
      <c r="AB624" s="138">
        <f ca="1"/>
        <v>7</v>
      </c>
      <c r="AC624" s="103" t="str">
        <f ca="1"/>
        <v>VIGENTE</v>
      </c>
      <c r="AD624" s="150">
        <f ca="1"/>
        <v>5.4400000000000004E-3</v>
      </c>
    </row>
    <row r="625" spans="1:30">
      <c r="A625" s="111" t="str">
        <f ca="1"/>
        <v>SAN GABRIEL</v>
      </c>
      <c r="B625" s="111" t="str">
        <f ca="1"/>
        <v>QUESOS Y GRASAS</v>
      </c>
      <c r="C625" s="111" t="str">
        <f ca="1"/>
        <v xml:space="preserve">Esteban Montenegro                      </v>
      </c>
      <c r="D625" s="111" t="str">
        <f ca="1"/>
        <v>QUESO MOZARELLA KIOSKO</v>
      </c>
      <c r="E625" s="111" t="str">
        <f ca="1"/>
        <v>QUESO MOZARELLA PIZZA KIOSKO TAJADO</v>
      </c>
      <c r="F625" s="120" t="str">
        <f ca="1"/>
        <v>GUAYAQUIL</v>
      </c>
      <c r="G625" s="120">
        <f ca="1"/>
        <v>7711</v>
      </c>
      <c r="H625" s="120">
        <f ca="1"/>
        <v>1001</v>
      </c>
      <c r="I625" s="120" t="str">
        <f ca="1"/>
        <v>5747</v>
      </c>
      <c r="J625" s="120" t="str">
        <f ca="1"/>
        <v>Q MOZAR PIZZ KIOSKO LONJ AL PESO</v>
      </c>
      <c r="K625" s="121">
        <f ca="1"/>
        <v>30</v>
      </c>
      <c r="L625" s="122">
        <f ca="1"/>
        <v>2.7</v>
      </c>
      <c r="M625" s="120">
        <f ca="1"/>
        <v>1</v>
      </c>
      <c r="N625" s="121">
        <f ca="1"/>
        <v>30</v>
      </c>
      <c r="O625" s="123">
        <f ca="1"/>
        <v>45616</v>
      </c>
      <c r="P625" s="123" t="str">
        <f ca="1"/>
        <v>miércoles</v>
      </c>
      <c r="Q625" s="124">
        <f ca="1"/>
        <v>45616</v>
      </c>
      <c r="R625" s="124">
        <f ca="1"/>
        <v>45645</v>
      </c>
      <c r="S625" s="90">
        <f ca="1"/>
        <v>21</v>
      </c>
      <c r="T625" s="139">
        <f ca="1"/>
        <v>0.7</v>
      </c>
      <c r="U625" s="131">
        <f ca="1"/>
        <v>8</v>
      </c>
      <c r="V625" s="120">
        <f ca="1"/>
        <v>21.6</v>
      </c>
      <c r="W625" s="140">
        <f ca="1"/>
        <v>0</v>
      </c>
      <c r="X625" s="139">
        <f ca="1"/>
        <v>1</v>
      </c>
      <c r="Y625" s="141">
        <f ca="1"/>
        <v>6.98916</v>
      </c>
      <c r="Z625" s="141">
        <f ca="1"/>
        <v>18.870732</v>
      </c>
      <c r="AA625" s="142">
        <f ca="1"/>
        <v>407.60781120000001</v>
      </c>
      <c r="AB625" s="138">
        <f ca="1"/>
        <v>8</v>
      </c>
      <c r="AC625" s="103" t="str">
        <f ca="1"/>
        <v>FECHA CORTA</v>
      </c>
      <c r="AD625" s="150">
        <f ca="1"/>
        <v>2.1600000000000001E-2</v>
      </c>
    </row>
    <row r="626" spans="1:30">
      <c r="A626" s="111" t="str">
        <f ca="1"/>
        <v>SAN GABRIEL</v>
      </c>
      <c r="B626" s="111" t="str">
        <f ca="1"/>
        <v>QUESOS Y GRASAS</v>
      </c>
      <c r="C626" s="111" t="str">
        <f ca="1"/>
        <v xml:space="preserve">Esteban Montenegro                      </v>
      </c>
      <c r="D626" s="111" t="str">
        <f ca="1"/>
        <v>QUESO MOZARELLA KIOSKO</v>
      </c>
      <c r="E626" s="111" t="str">
        <f ca="1"/>
        <v>QUESO MOZARELLA PIZZA KIOSKO TAJADO</v>
      </c>
      <c r="F626" s="120" t="str">
        <f ca="1"/>
        <v>GUAYAQUIL</v>
      </c>
      <c r="G626" s="120">
        <f ca="1"/>
        <v>7711</v>
      </c>
      <c r="H626" s="120">
        <f ca="1"/>
        <v>1001</v>
      </c>
      <c r="I626" s="120" t="str">
        <f ca="1"/>
        <v>5747</v>
      </c>
      <c r="J626" s="120" t="str">
        <f ca="1"/>
        <v>Q MOZAR PIZZ KIOSKO LONJ AL PESO</v>
      </c>
      <c r="K626" s="121">
        <f ca="1"/>
        <v>50</v>
      </c>
      <c r="L626" s="122">
        <f ca="1"/>
        <v>2.7</v>
      </c>
      <c r="M626" s="120">
        <f ca="1"/>
        <v>1</v>
      </c>
      <c r="N626" s="121">
        <f ca="1"/>
        <v>30</v>
      </c>
      <c r="O626" s="123">
        <f ca="1"/>
        <v>45617</v>
      </c>
      <c r="P626" s="123" t="str">
        <f ca="1"/>
        <v>jueves</v>
      </c>
      <c r="Q626" s="124">
        <f ca="1"/>
        <v>45617</v>
      </c>
      <c r="R626" s="124">
        <f ca="1"/>
        <v>45646</v>
      </c>
      <c r="S626" s="90">
        <f ca="1"/>
        <v>22</v>
      </c>
      <c r="T626" s="139">
        <f ca="1"/>
        <v>0.73333333333333328</v>
      </c>
      <c r="U626" s="131">
        <f ca="1"/>
        <v>50</v>
      </c>
      <c r="V626" s="120">
        <f ca="1"/>
        <v>135</v>
      </c>
      <c r="W626" s="140">
        <f ca="1"/>
        <v>0</v>
      </c>
      <c r="X626" s="139">
        <f ca="1"/>
        <v>1</v>
      </c>
      <c r="Y626" s="141">
        <f ca="1"/>
        <v>6.98916</v>
      </c>
      <c r="Z626" s="141">
        <f ca="1"/>
        <v>18.870732</v>
      </c>
      <c r="AA626" s="142">
        <f ca="1"/>
        <v>2547.54882</v>
      </c>
      <c r="AB626" s="138">
        <f ca="1"/>
        <v>7</v>
      </c>
      <c r="AC626" s="103" t="str">
        <f ca="1"/>
        <v>PROXIMOS FECHA CORTA</v>
      </c>
      <c r="AD626" s="150">
        <f ca="1"/>
        <v>0.13500000000000001</v>
      </c>
    </row>
    <row r="627" spans="1:30">
      <c r="A627" s="111" t="str">
        <f ca="1"/>
        <v>SAN GABRIEL</v>
      </c>
      <c r="B627" s="111" t="str">
        <f ca="1"/>
        <v>QUESOS Y GRASAS</v>
      </c>
      <c r="C627" s="111" t="str">
        <f ca="1"/>
        <v xml:space="preserve">Esteban Montenegro                      </v>
      </c>
      <c r="D627" s="111" t="str">
        <f ca="1"/>
        <v>QUESO SEMIMADURO KIOSKO</v>
      </c>
      <c r="E627" s="111" t="str">
        <f ca="1"/>
        <v>QUESO SEMIMADURO CHEDDAR KIOSKO TAJADO</v>
      </c>
      <c r="F627" s="120" t="str">
        <f ca="1"/>
        <v>GUAYAQUIL</v>
      </c>
      <c r="G627" s="120">
        <f ca="1"/>
        <v>7711</v>
      </c>
      <c r="H627" s="120">
        <f ca="1"/>
        <v>1001</v>
      </c>
      <c r="I627" s="120" t="str">
        <f ca="1"/>
        <v>16231</v>
      </c>
      <c r="J627" s="120" t="str">
        <f ca="1"/>
        <v>Q CHEDDAR KIOSKO LONJ 400G</v>
      </c>
      <c r="K627" s="121">
        <f ca="1"/>
        <v>2628</v>
      </c>
      <c r="L627" s="122">
        <f ca="1"/>
        <v>1</v>
      </c>
      <c r="M627" s="120">
        <f ca="1"/>
        <v>0.4</v>
      </c>
      <c r="N627" s="121">
        <f ca="1"/>
        <v>90</v>
      </c>
      <c r="O627" s="123">
        <f ca="1"/>
        <v>45616</v>
      </c>
      <c r="P627" s="123" t="str">
        <f ca="1"/>
        <v>miércoles</v>
      </c>
      <c r="Q627" s="124">
        <f ca="1"/>
        <v>45615</v>
      </c>
      <c r="R627" s="124">
        <f ca="1"/>
        <v>45704</v>
      </c>
      <c r="S627" s="90">
        <f ca="1"/>
        <v>80</v>
      </c>
      <c r="T627" s="139">
        <f ca="1"/>
        <v>0.88888888888888884</v>
      </c>
      <c r="U627" s="131">
        <f ca="1"/>
        <v>1060</v>
      </c>
      <c r="V627" s="120">
        <f ca="1"/>
        <v>424</v>
      </c>
      <c r="W627" s="140">
        <f ca="1"/>
        <v>1</v>
      </c>
      <c r="X627" s="139">
        <f ca="1"/>
        <v>0.98888888888888893</v>
      </c>
      <c r="Y627" s="141">
        <f ca="1"/>
        <v>3.05572</v>
      </c>
      <c r="Z627" s="141">
        <f ca="1"/>
        <v>3.05572</v>
      </c>
      <c r="AA627" s="142">
        <f ca="1"/>
        <v>1295.62528</v>
      </c>
      <c r="AB627" s="138">
        <f ca="1"/>
        <v>8</v>
      </c>
      <c r="AC627" s="103" t="str">
        <f ca="1"/>
        <v>VIGENTE</v>
      </c>
      <c r="AD627" s="150">
        <f ca="1"/>
        <v>0.42399999999999999</v>
      </c>
    </row>
    <row r="628" spans="1:30">
      <c r="A628" s="111" t="str">
        <f ca="1"/>
        <v>SAN GABRIEL</v>
      </c>
      <c r="B628" s="111" t="str">
        <f ca="1"/>
        <v>QUESOS Y GRASAS</v>
      </c>
      <c r="C628" s="111" t="str">
        <f ca="1"/>
        <v xml:space="preserve">Esteban Montenegro                      </v>
      </c>
      <c r="D628" s="111" t="str">
        <f ca="1"/>
        <v>QUESO SEMIMADURO KIOSKO</v>
      </c>
      <c r="E628" s="111" t="str">
        <f ca="1"/>
        <v>QUESO SEMIMADURO CHEDDAR KIOSKO TAJADO</v>
      </c>
      <c r="F628" s="120" t="str">
        <f ca="1"/>
        <v>GUAYAQUIL</v>
      </c>
      <c r="G628" s="120">
        <f ca="1"/>
        <v>7711</v>
      </c>
      <c r="H628" s="120">
        <f ca="1"/>
        <v>1001</v>
      </c>
      <c r="I628" s="120" t="str">
        <f ca="1"/>
        <v>16231</v>
      </c>
      <c r="J628" s="120" t="str">
        <f ca="1"/>
        <v>Q CHEDDAR KIOSKO LONJ 400G</v>
      </c>
      <c r="K628" s="121">
        <f ca="1"/>
        <v>36</v>
      </c>
      <c r="L628" s="122">
        <f ca="1"/>
        <v>1</v>
      </c>
      <c r="M628" s="120">
        <f ca="1"/>
        <v>0.4</v>
      </c>
      <c r="N628" s="121">
        <f ca="1"/>
        <v>90</v>
      </c>
      <c r="O628" s="123">
        <f ca="1"/>
        <v>45617</v>
      </c>
      <c r="P628" s="123" t="str">
        <f ca="1"/>
        <v>jueves</v>
      </c>
      <c r="Q628" s="124">
        <f ca="1"/>
        <v>45615</v>
      </c>
      <c r="R628" s="124">
        <f ca="1"/>
        <v>45704</v>
      </c>
      <c r="S628" s="90">
        <f ca="1"/>
        <v>80</v>
      </c>
      <c r="T628" s="139">
        <f ca="1"/>
        <v>0.88888888888888884</v>
      </c>
      <c r="U628" s="131">
        <f ca="1"/>
        <v>36</v>
      </c>
      <c r="V628" s="120">
        <f ca="1"/>
        <v>14.4</v>
      </c>
      <c r="W628" s="140">
        <f ca="1"/>
        <v>2</v>
      </c>
      <c r="X628" s="139">
        <f ca="1"/>
        <v>0.97777777777777775</v>
      </c>
      <c r="Y628" s="141">
        <f ca="1"/>
        <v>3.05572</v>
      </c>
      <c r="Z628" s="141">
        <f ca="1"/>
        <v>3.05572</v>
      </c>
      <c r="AA628" s="142">
        <f ca="1"/>
        <v>44.002368000000004</v>
      </c>
      <c r="AB628" s="138">
        <f ca="1"/>
        <v>7</v>
      </c>
      <c r="AC628" s="103" t="str">
        <f ca="1"/>
        <v>VIGENTE</v>
      </c>
      <c r="AD628" s="150">
        <f ca="1"/>
        <v>1.44E-2</v>
      </c>
    </row>
    <row r="629" spans="1:30">
      <c r="A629" s="111" t="str">
        <f ca="1"/>
        <v>SAN GABRIEL</v>
      </c>
      <c r="B629" s="111" t="str">
        <f ca="1"/>
        <v>QUESOS Y GRASAS</v>
      </c>
      <c r="C629" s="111" t="str">
        <f ca="1"/>
        <v xml:space="preserve">Esteban Montenegro                      </v>
      </c>
      <c r="D629" s="111" t="str">
        <f ca="1"/>
        <v>QUESO MOZARELLA KIOSKO</v>
      </c>
      <c r="E629" s="111" t="str">
        <f ca="1"/>
        <v>QUESO MOZARELLA PIZZA KIOSKO TAJADO</v>
      </c>
      <c r="F629" s="120" t="str">
        <f ca="1"/>
        <v>GUAYAQUIL</v>
      </c>
      <c r="G629" s="120">
        <f ca="1"/>
        <v>7711</v>
      </c>
      <c r="H629" s="120">
        <f ca="1"/>
        <v>1001</v>
      </c>
      <c r="I629" s="120" t="str">
        <f ca="1"/>
        <v>16529</v>
      </c>
      <c r="J629" s="120" t="str">
        <f ca="1"/>
        <v>Q MOZZARELLA HIERBAS LONJAS 150G</v>
      </c>
      <c r="K629" s="121">
        <f ca="1"/>
        <v>20</v>
      </c>
      <c r="L629" s="122">
        <f ca="1"/>
        <v>1</v>
      </c>
      <c r="M629" s="120">
        <f ca="1"/>
        <v>0.15</v>
      </c>
      <c r="N629" s="121">
        <f ca="1"/>
        <v>40</v>
      </c>
      <c r="O629" s="123">
        <f ca="1"/>
        <v>45615</v>
      </c>
      <c r="P629" s="123" t="str">
        <f ca="1"/>
        <v>martes</v>
      </c>
      <c r="Q629" s="124">
        <f ca="1"/>
        <v>45609</v>
      </c>
      <c r="R629" s="124">
        <f ca="1"/>
        <v>45648</v>
      </c>
      <c r="S629" s="90">
        <f ca="1"/>
        <v>24</v>
      </c>
      <c r="T629" s="139">
        <f ca="1"/>
        <v>0.6</v>
      </c>
      <c r="U629" s="131">
        <f ca="1"/>
        <v>5</v>
      </c>
      <c r="V629" s="120">
        <f ca="1"/>
        <v>0.75</v>
      </c>
      <c r="W629" s="140">
        <f ca="1"/>
        <v>6</v>
      </c>
      <c r="X629" s="139">
        <f ca="1"/>
        <v>0.85</v>
      </c>
      <c r="Y629" s="141">
        <f ca="1"/>
        <v>1.279185</v>
      </c>
      <c r="Z629" s="141">
        <f ca="1"/>
        <v>1.279185</v>
      </c>
      <c r="AA629" s="142">
        <f ca="1"/>
        <v>0.95938875000000001</v>
      </c>
      <c r="AB629" s="138">
        <f ca="1"/>
        <v>9</v>
      </c>
      <c r="AC629" s="103" t="str">
        <f ca="1"/>
        <v>PROXIMOS FECHA CORTA</v>
      </c>
      <c r="AD629" s="150">
        <f ca="1"/>
        <v>7.5000000000000002E-4</v>
      </c>
    </row>
    <row r="630" spans="1:30">
      <c r="A630" s="111" t="str">
        <f ca="1"/>
        <v>SAN GABRIEL</v>
      </c>
      <c r="B630" s="111" t="str">
        <f ca="1"/>
        <v>QUESOS Y GRASAS</v>
      </c>
      <c r="C630" s="111" t="str">
        <f ca="1"/>
        <v xml:space="preserve">Esteban Montenegro                      </v>
      </c>
      <c r="D630" s="111" t="str">
        <f ca="1"/>
        <v>QUESO MOZARELLA KIOSKO</v>
      </c>
      <c r="E630" s="111" t="str">
        <f ca="1"/>
        <v>QUESO MOZARELLA PIZZA KIOSKO TAJADO</v>
      </c>
      <c r="F630" s="120" t="str">
        <f ca="1"/>
        <v>GUAYAQUIL</v>
      </c>
      <c r="G630" s="120">
        <f ca="1"/>
        <v>7711</v>
      </c>
      <c r="H630" s="120">
        <f ca="1"/>
        <v>1001</v>
      </c>
      <c r="I630" s="120" t="str">
        <f ca="1"/>
        <v>16529</v>
      </c>
      <c r="J630" s="120" t="str">
        <f ca="1"/>
        <v>Q MOZZARELLA HIERBAS LONJAS 150G</v>
      </c>
      <c r="K630" s="121">
        <f ca="1"/>
        <v>10</v>
      </c>
      <c r="L630" s="122">
        <f ca="1"/>
        <v>1</v>
      </c>
      <c r="M630" s="120">
        <f ca="1"/>
        <v>0.15</v>
      </c>
      <c r="N630" s="121">
        <f ca="1"/>
        <v>40</v>
      </c>
      <c r="O630" s="123">
        <f ca="1"/>
        <v>45617</v>
      </c>
      <c r="P630" s="123" t="str">
        <f ca="1"/>
        <v>jueves</v>
      </c>
      <c r="Q630" s="124">
        <f ca="1"/>
        <v>45609</v>
      </c>
      <c r="R630" s="124">
        <f ca="1"/>
        <v>45648</v>
      </c>
      <c r="S630" s="90">
        <f ca="1"/>
        <v>24</v>
      </c>
      <c r="T630" s="139">
        <f ca="1"/>
        <v>0.6</v>
      </c>
      <c r="U630" s="131">
        <f ca="1"/>
        <v>10</v>
      </c>
      <c r="V630" s="120">
        <f ca="1"/>
        <v>1.5</v>
      </c>
      <c r="W630" s="140">
        <f ca="1"/>
        <v>8</v>
      </c>
      <c r="X630" s="139">
        <f ca="1"/>
        <v>0.8</v>
      </c>
      <c r="Y630" s="141">
        <f ca="1"/>
        <v>1.279185</v>
      </c>
      <c r="Z630" s="141">
        <f ca="1"/>
        <v>1.279185</v>
      </c>
      <c r="AA630" s="142">
        <f ca="1"/>
        <v>1.9187775</v>
      </c>
      <c r="AB630" s="138">
        <f ca="1"/>
        <v>7</v>
      </c>
      <c r="AC630" s="103" t="str">
        <f ca="1"/>
        <v>PROXIMOS FECHA CORTA</v>
      </c>
      <c r="AD630" s="150">
        <f ca="1"/>
        <v>1.5E-3</v>
      </c>
    </row>
    <row r="631" spans="1:30">
      <c r="A631" s="111" t="str">
        <f ca="1"/>
        <v>SAN GABRIEL</v>
      </c>
      <c r="B631" s="111" t="str">
        <f ca="1"/>
        <v>QUESOS Y GRASAS</v>
      </c>
      <c r="C631" s="111" t="str">
        <f ca="1"/>
        <v xml:space="preserve">Esteban Montenegro                      </v>
      </c>
      <c r="D631" s="111" t="str">
        <f ca="1"/>
        <v>QUESO SEMIMADURO KIOSKO</v>
      </c>
      <c r="E631" s="111" t="str">
        <f ca="1"/>
        <v>QUESO SEMIMADURO CHEDDAR KIOSKO TAJADO</v>
      </c>
      <c r="F631" s="120" t="str">
        <f ca="1"/>
        <v>GUAYAQUIL</v>
      </c>
      <c r="G631" s="120">
        <f ca="1"/>
        <v>7711</v>
      </c>
      <c r="H631" s="120">
        <f ca="1"/>
        <v>1001</v>
      </c>
      <c r="I631" s="120" t="str">
        <f ca="1"/>
        <v>17051</v>
      </c>
      <c r="J631" s="120" t="str">
        <f ca="1"/>
        <v>KIOSKO CHEDDAR LONJAS LINEA DIARIA 75G</v>
      </c>
      <c r="K631" s="121">
        <f ca="1"/>
        <v>120</v>
      </c>
      <c r="L631" s="122">
        <f ca="1"/>
        <v>1</v>
      </c>
      <c r="M631" s="120">
        <f ca="1"/>
        <v>7.4999999999999997E-2</v>
      </c>
      <c r="N631" s="121">
        <f ca="1"/>
        <v>90</v>
      </c>
      <c r="O631" s="123">
        <f ca="1"/>
        <v>45609</v>
      </c>
      <c r="P631" s="123" t="str">
        <f ca="1"/>
        <v>miércoles</v>
      </c>
      <c r="Q631" s="124">
        <f ca="1"/>
        <v>45603</v>
      </c>
      <c r="R631" s="124">
        <f ca="1"/>
        <v>45692</v>
      </c>
      <c r="S631" s="90">
        <f ca="1"/>
        <v>68</v>
      </c>
      <c r="T631" s="139">
        <f ca="1"/>
        <v>0.75555555555555554</v>
      </c>
      <c r="U631" s="131">
        <f ca="1"/>
        <v>46</v>
      </c>
      <c r="V631" s="120">
        <f ca="1"/>
        <v>3.4499999999999997</v>
      </c>
      <c r="W631" s="140">
        <f ca="1"/>
        <v>6</v>
      </c>
      <c r="X631" s="139">
        <f ca="1"/>
        <v>0.93333333333333335</v>
      </c>
      <c r="Y631" s="141">
        <f ca="1"/>
        <v>0.64679999999999993</v>
      </c>
      <c r="Z631" s="141">
        <f ca="1"/>
        <v>0.64679999999999993</v>
      </c>
      <c r="AA631" s="142">
        <f ca="1"/>
        <v>2.2314599999999998</v>
      </c>
      <c r="AB631" s="138">
        <f ca="1"/>
        <v>15</v>
      </c>
      <c r="AC631" s="103" t="str">
        <f ca="1"/>
        <v>VIGENTE</v>
      </c>
      <c r="AD631" s="150">
        <f ca="1"/>
        <v>3.4499999999999999E-3</v>
      </c>
    </row>
    <row r="632" spans="1:30">
      <c r="A632" s="111" t="str">
        <f ca="1"/>
        <v>SAN GABRIEL</v>
      </c>
      <c r="B632" s="111" t="str">
        <f ca="1"/>
        <v>QUESOS Y GRASAS</v>
      </c>
      <c r="C632" s="111" t="str">
        <f ca="1"/>
        <v xml:space="preserve">Esteban Montenegro                      </v>
      </c>
      <c r="D632" s="111" t="str">
        <f ca="1"/>
        <v>QUESO SEMIMADURO KIOSKO</v>
      </c>
      <c r="E632" s="111" t="str">
        <f ca="1"/>
        <v>QUESO SEMIMADURO CHEDDAR KIOSKO TAJADO</v>
      </c>
      <c r="F632" s="120" t="str">
        <f ca="1"/>
        <v>GUAYAQUIL</v>
      </c>
      <c r="G632" s="120">
        <f ca="1"/>
        <v>7711</v>
      </c>
      <c r="H632" s="120">
        <f ca="1"/>
        <v>1001</v>
      </c>
      <c r="I632" s="120" t="str">
        <f ca="1"/>
        <v>17051</v>
      </c>
      <c r="J632" s="120" t="str">
        <f ca="1"/>
        <v>KIOSKO CHEDDAR LONJAS LINEA DIARIA 75G</v>
      </c>
      <c r="K632" s="121">
        <f ca="1"/>
        <v>100</v>
      </c>
      <c r="L632" s="122">
        <f ca="1"/>
        <v>1</v>
      </c>
      <c r="M632" s="120">
        <f ca="1"/>
        <v>7.4999999999999997E-2</v>
      </c>
      <c r="N632" s="121">
        <f ca="1"/>
        <v>90</v>
      </c>
      <c r="O632" s="123">
        <f ca="1"/>
        <v>45615</v>
      </c>
      <c r="P632" s="123" t="str">
        <f ca="1"/>
        <v>martes</v>
      </c>
      <c r="Q632" s="124">
        <f ca="1"/>
        <v>45611</v>
      </c>
      <c r="R632" s="124">
        <f ca="1"/>
        <v>45700</v>
      </c>
      <c r="S632" s="90">
        <f ca="1"/>
        <v>76</v>
      </c>
      <c r="T632" s="139">
        <f ca="1"/>
        <v>0.84444444444444444</v>
      </c>
      <c r="U632" s="131">
        <f ca="1"/>
        <v>100</v>
      </c>
      <c r="V632" s="120">
        <f ca="1"/>
        <v>7.5</v>
      </c>
      <c r="W632" s="140">
        <f ca="1"/>
        <v>4</v>
      </c>
      <c r="X632" s="139">
        <f ca="1"/>
        <v>0.9555555555555556</v>
      </c>
      <c r="Y632" s="141">
        <f ca="1"/>
        <v>0.64679999999999993</v>
      </c>
      <c r="Z632" s="141">
        <f ca="1"/>
        <v>0.64679999999999993</v>
      </c>
      <c r="AA632" s="142">
        <f ca="1"/>
        <v>4.8509999999999991</v>
      </c>
      <c r="AB632" s="138">
        <f ca="1"/>
        <v>9</v>
      </c>
      <c r="AC632" s="103" t="str">
        <f ca="1"/>
        <v>VIGENTE</v>
      </c>
      <c r="AD632" s="150">
        <f ca="1"/>
        <v>7.4999999999999997E-3</v>
      </c>
    </row>
    <row r="633" spans="1:30">
      <c r="A633" s="111" t="str">
        <f ca="1"/>
        <v>SAN GABRIEL</v>
      </c>
      <c r="B633" s="111" t="str">
        <f ca="1"/>
        <v>QUESOS Y GRASAS</v>
      </c>
      <c r="C633" s="111" t="str">
        <f ca="1"/>
        <v xml:space="preserve">Esteban Montenegro                      </v>
      </c>
      <c r="D633" s="111" t="str">
        <f ca="1"/>
        <v>QUESO SEMIMADURO KIOSKO</v>
      </c>
      <c r="E633" s="111" t="str">
        <f ca="1"/>
        <v>QUESO HOLANDES KIOSKO TAJADO</v>
      </c>
      <c r="F633" s="120" t="str">
        <f ca="1"/>
        <v>GUAYAQUIL</v>
      </c>
      <c r="G633" s="120">
        <f ca="1"/>
        <v>7711</v>
      </c>
      <c r="H633" s="120">
        <f ca="1"/>
        <v>1001</v>
      </c>
      <c r="I633" s="120" t="str">
        <f ca="1"/>
        <v>16493</v>
      </c>
      <c r="J633" s="120" t="str">
        <f ca="1"/>
        <v>QUESO KIOSKO HOLANDES LONJ 1KG AL PESO</v>
      </c>
      <c r="K633" s="121">
        <f ca="1"/>
        <v>400</v>
      </c>
      <c r="L633" s="122">
        <f ca="1"/>
        <v>1</v>
      </c>
      <c r="M633" s="120">
        <f ca="1"/>
        <v>1</v>
      </c>
      <c r="N633" s="121">
        <f ca="1"/>
        <v>90</v>
      </c>
      <c r="O633" s="123">
        <f ca="1"/>
        <v>45610</v>
      </c>
      <c r="P633" s="123" t="str">
        <f ca="1"/>
        <v>jueves</v>
      </c>
      <c r="Q633" s="124">
        <f ca="1"/>
        <v>45609</v>
      </c>
      <c r="R633" s="124">
        <f ca="1"/>
        <v>45698</v>
      </c>
      <c r="S633" s="90">
        <f ca="1"/>
        <v>74</v>
      </c>
      <c r="T633" s="139">
        <f ca="1"/>
        <v>0.82222222222222219</v>
      </c>
      <c r="U633" s="131">
        <f ca="1"/>
        <v>202</v>
      </c>
      <c r="V633" s="120">
        <f ca="1"/>
        <v>202</v>
      </c>
      <c r="W633" s="140">
        <f ca="1"/>
        <v>1</v>
      </c>
      <c r="X633" s="139">
        <f ca="1"/>
        <v>0.98888888888888893</v>
      </c>
      <c r="Y633" s="141">
        <f ca="1"/>
        <v>7.1624999999999996</v>
      </c>
      <c r="Z633" s="141">
        <f ca="1"/>
        <v>7.1624999999999996</v>
      </c>
      <c r="AA633" s="142">
        <f ca="1"/>
        <v>1446.8249999999998</v>
      </c>
      <c r="AB633" s="138">
        <f ca="1"/>
        <v>14</v>
      </c>
      <c r="AC633" s="103" t="str">
        <f ca="1"/>
        <v>VIGENTE</v>
      </c>
      <c r="AD633" s="150">
        <f ca="1"/>
        <v>0.20200000000000001</v>
      </c>
    </row>
    <row r="634" spans="1:30">
      <c r="A634" s="111" t="str">
        <f ca="1"/>
        <v>SAN GABRIEL</v>
      </c>
      <c r="B634" s="111" t="str">
        <f ca="1"/>
        <v>QUESOS Y GRASAS</v>
      </c>
      <c r="C634" s="111" t="str">
        <f ca="1"/>
        <v xml:space="preserve">Esteban Montenegro                      </v>
      </c>
      <c r="D634" s="111" t="str">
        <f ca="1"/>
        <v>QUESO MOZARELLA KIOSKO</v>
      </c>
      <c r="E634" s="111" t="str">
        <f ca="1"/>
        <v>QUESO MOZARELLA KIOSKO BLOQUE</v>
      </c>
      <c r="F634" s="120" t="str">
        <f ca="1"/>
        <v>GUAYAQUIL</v>
      </c>
      <c r="G634" s="120">
        <f ca="1"/>
        <v>7711</v>
      </c>
      <c r="H634" s="120">
        <f ca="1"/>
        <v>1001</v>
      </c>
      <c r="I634" s="120" t="str">
        <f ca="1"/>
        <v>16236</v>
      </c>
      <c r="J634" s="120" t="str">
        <f ca="1"/>
        <v>Q MOZAR HIERBAS KIOSKO BLOQ 500G</v>
      </c>
      <c r="K634" s="121">
        <f ca="1"/>
        <v>90</v>
      </c>
      <c r="L634" s="122">
        <f ca="1"/>
        <v>1</v>
      </c>
      <c r="M634" s="120">
        <f ca="1"/>
        <v>0.5</v>
      </c>
      <c r="N634" s="121">
        <f ca="1"/>
        <v>40</v>
      </c>
      <c r="O634" s="123">
        <f ca="1"/>
        <v>45615</v>
      </c>
      <c r="P634" s="123" t="str">
        <f ca="1"/>
        <v>martes</v>
      </c>
      <c r="Q634" s="124">
        <f ca="1"/>
        <v>45611</v>
      </c>
      <c r="R634" s="124">
        <f ca="1"/>
        <v>45650</v>
      </c>
      <c r="S634" s="90">
        <f ca="1"/>
        <v>26</v>
      </c>
      <c r="T634" s="139">
        <f ca="1"/>
        <v>0.65</v>
      </c>
      <c r="U634" s="131">
        <f ca="1"/>
        <v>13</v>
      </c>
      <c r="V634" s="120">
        <f ca="1"/>
        <v>6.5</v>
      </c>
      <c r="W634" s="140">
        <f ca="1"/>
        <v>4</v>
      </c>
      <c r="X634" s="139">
        <f ca="1"/>
        <v>0.9</v>
      </c>
      <c r="Y634" s="141">
        <f ca="1"/>
        <v>2.4256149999999996</v>
      </c>
      <c r="Z634" s="141">
        <f ca="1"/>
        <v>2.4256149999999996</v>
      </c>
      <c r="AA634" s="142">
        <f ca="1"/>
        <v>15.766497499999998</v>
      </c>
      <c r="AB634" s="138">
        <f ca="1"/>
        <v>9</v>
      </c>
      <c r="AC634" s="103" t="str">
        <f ca="1"/>
        <v>PROXIMOS FECHA CORTA</v>
      </c>
      <c r="AD634" s="150">
        <f ca="1"/>
        <v>6.4999999999999997E-3</v>
      </c>
    </row>
    <row r="635" spans="1:30">
      <c r="A635" s="111" t="str">
        <f ca="1"/>
        <v>SAN GABRIEL</v>
      </c>
      <c r="B635" s="111" t="str">
        <f ca="1"/>
        <v>QUESOS Y GRASAS</v>
      </c>
      <c r="C635" s="111" t="str">
        <f ca="1"/>
        <v xml:space="preserve">Esteban Montenegro                      </v>
      </c>
      <c r="D635" s="111" t="str">
        <f ca="1"/>
        <v>QUESO MOZARELLA KIOSKO</v>
      </c>
      <c r="E635" s="111" t="str">
        <f ca="1"/>
        <v>QUESO MOZARELLA KIOSKO BLOQUE</v>
      </c>
      <c r="F635" s="120" t="str">
        <f ca="1"/>
        <v>GUAYAQUIL</v>
      </c>
      <c r="G635" s="120">
        <f ca="1"/>
        <v>7711</v>
      </c>
      <c r="H635" s="120">
        <f ca="1"/>
        <v>1001</v>
      </c>
      <c r="I635" s="120" t="str">
        <f ca="1"/>
        <v>16236</v>
      </c>
      <c r="J635" s="120" t="str">
        <f ca="1"/>
        <v>Q MOZAR HIERBAS KIOSKO BLOQ 500G</v>
      </c>
      <c r="K635" s="121">
        <f ca="1"/>
        <v>30</v>
      </c>
      <c r="L635" s="122">
        <f ca="1"/>
        <v>1</v>
      </c>
      <c r="M635" s="120">
        <f ca="1"/>
        <v>0.5</v>
      </c>
      <c r="N635" s="121">
        <f ca="1"/>
        <v>40</v>
      </c>
      <c r="O635" s="123">
        <f ca="1"/>
        <v>45617</v>
      </c>
      <c r="P635" s="123" t="str">
        <f ca="1"/>
        <v>jueves</v>
      </c>
      <c r="Q635" s="124">
        <f ca="1"/>
        <v>45611</v>
      </c>
      <c r="R635" s="124">
        <f ca="1"/>
        <v>45650</v>
      </c>
      <c r="S635" s="90">
        <f ca="1"/>
        <v>26</v>
      </c>
      <c r="T635" s="139">
        <f ca="1"/>
        <v>0.65</v>
      </c>
      <c r="U635" s="131">
        <f ca="1"/>
        <v>30</v>
      </c>
      <c r="V635" s="120">
        <f ca="1"/>
        <v>15</v>
      </c>
      <c r="W635" s="140">
        <f ca="1"/>
        <v>6</v>
      </c>
      <c r="X635" s="139">
        <f ca="1"/>
        <v>0.85</v>
      </c>
      <c r="Y635" s="141">
        <f ca="1"/>
        <v>2.4256149999999996</v>
      </c>
      <c r="Z635" s="141">
        <f ca="1"/>
        <v>2.4256149999999996</v>
      </c>
      <c r="AA635" s="142">
        <f ca="1"/>
        <v>36.384224999999994</v>
      </c>
      <c r="AB635" s="138">
        <f ca="1"/>
        <v>7</v>
      </c>
      <c r="AC635" s="103" t="str">
        <f ca="1"/>
        <v>PROXIMOS FECHA CORTA</v>
      </c>
      <c r="AD635" s="150">
        <f ca="1"/>
        <v>1.4999999999999999E-2</v>
      </c>
    </row>
    <row r="636" spans="1:30">
      <c r="A636" s="111" t="str">
        <f ca="1"/>
        <v>MACHACHI</v>
      </c>
      <c r="B636" s="111" t="str">
        <f ca="1"/>
        <v>BEBIDAS LACTEAS</v>
      </c>
      <c r="C636" s="111" t="str">
        <f ca="1"/>
        <v xml:space="preserve">Luis Armendariz                         </v>
      </c>
      <c r="D636" s="111" t="str">
        <f ca="1"/>
        <v>REGENERIS</v>
      </c>
      <c r="E636" s="111" t="str">
        <f ca="1"/>
        <v>REGENERIS REGULAR BOTELLA FAMILIAR</v>
      </c>
      <c r="F636" s="120" t="str">
        <f ca="1"/>
        <v>GUAYAQUIL</v>
      </c>
      <c r="G636" s="120">
        <f ca="1"/>
        <v>7711</v>
      </c>
      <c r="H636" s="120">
        <f ca="1"/>
        <v>1001</v>
      </c>
      <c r="I636" s="120" t="str">
        <f ca="1"/>
        <v>4249</v>
      </c>
      <c r="J636" s="120" t="str">
        <f ca="1"/>
        <v>RGN TZOS FTLLA BOT 1750G</v>
      </c>
      <c r="K636" s="121">
        <f ca="1"/>
        <v>144</v>
      </c>
      <c r="L636" s="122">
        <f ca="1"/>
        <v>1</v>
      </c>
      <c r="M636" s="120">
        <f ca="1"/>
        <v>1.75</v>
      </c>
      <c r="N636" s="121">
        <f ca="1"/>
        <v>45</v>
      </c>
      <c r="O636" s="123">
        <f ca="1"/>
        <v>45612</v>
      </c>
      <c r="P636" s="123" t="str">
        <f ca="1"/>
        <v>sábado</v>
      </c>
      <c r="Q636" s="124">
        <f ca="1"/>
        <v>45609</v>
      </c>
      <c r="R636" s="124">
        <f ca="1"/>
        <v>45653</v>
      </c>
      <c r="S636" s="90">
        <f ca="1"/>
        <v>29</v>
      </c>
      <c r="T636" s="139">
        <f ca="1"/>
        <v>0.64444444444444449</v>
      </c>
      <c r="U636" s="131">
        <f ca="1"/>
        <v>14</v>
      </c>
      <c r="V636" s="120">
        <f ca="1"/>
        <v>24.5</v>
      </c>
      <c r="W636" s="140">
        <f ca="1"/>
        <v>3</v>
      </c>
      <c r="X636" s="139">
        <f ca="1"/>
        <v>0.93333333333333335</v>
      </c>
      <c r="Y636" s="141">
        <f ca="1"/>
        <v>2.4097600000000003</v>
      </c>
      <c r="Z636" s="141">
        <f ca="1"/>
        <v>2.4097600000000003</v>
      </c>
      <c r="AA636" s="142">
        <f ca="1"/>
        <v>59.039120000000011</v>
      </c>
      <c r="AB636" s="138">
        <f ca="1"/>
        <v>12</v>
      </c>
      <c r="AC636" s="103" t="str">
        <f ca="1"/>
        <v>VIGENTE</v>
      </c>
      <c r="AD636" s="150">
        <f ca="1"/>
        <v>2.4500000000000001E-2</v>
      </c>
    </row>
    <row r="637" spans="1:30">
      <c r="A637" s="111" t="str">
        <f ca="1"/>
        <v>MACHACHI</v>
      </c>
      <c r="B637" s="111" t="str">
        <f ca="1"/>
        <v>BEBIDAS LACTEAS</v>
      </c>
      <c r="C637" s="111" t="str">
        <f ca="1"/>
        <v xml:space="preserve">Luis Armendariz                         </v>
      </c>
      <c r="D637" s="111" t="str">
        <f ca="1"/>
        <v>REGENERIS</v>
      </c>
      <c r="E637" s="111" t="str">
        <f ca="1"/>
        <v>REGENERIS REGULAR BOTELLA FAMILIAR</v>
      </c>
      <c r="F637" s="120" t="str">
        <f ca="1"/>
        <v>GUAYAQUIL</v>
      </c>
      <c r="G637" s="120">
        <f ca="1"/>
        <v>7711</v>
      </c>
      <c r="H637" s="120">
        <f ca="1"/>
        <v>1001</v>
      </c>
      <c r="I637" s="120" t="str">
        <f ca="1"/>
        <v>4249</v>
      </c>
      <c r="J637" s="120" t="str">
        <f ca="1"/>
        <v>RGN TZOS FTLLA BOT 1750G</v>
      </c>
      <c r="K637" s="121">
        <f ca="1"/>
        <v>120</v>
      </c>
      <c r="L637" s="122">
        <f ca="1"/>
        <v>1</v>
      </c>
      <c r="M637" s="120">
        <f ca="1"/>
        <v>1.75</v>
      </c>
      <c r="N637" s="121">
        <f ca="1"/>
        <v>45</v>
      </c>
      <c r="O637" s="123">
        <f ca="1"/>
        <v>45616</v>
      </c>
      <c r="P637" s="123" t="str">
        <f ca="1"/>
        <v>miércoles</v>
      </c>
      <c r="Q637" s="124">
        <f ca="1"/>
        <v>45615</v>
      </c>
      <c r="R637" s="124">
        <f ca="1"/>
        <v>45659</v>
      </c>
      <c r="S637" s="90">
        <f ca="1"/>
        <v>35</v>
      </c>
      <c r="T637" s="139">
        <f ca="1"/>
        <v>0.77777777777777779</v>
      </c>
      <c r="U637" s="131">
        <f ca="1"/>
        <v>120</v>
      </c>
      <c r="V637" s="120">
        <f ca="1"/>
        <v>210</v>
      </c>
      <c r="W637" s="140">
        <f ca="1"/>
        <v>1</v>
      </c>
      <c r="X637" s="139">
        <f ca="1"/>
        <v>0.97777777777777775</v>
      </c>
      <c r="Y637" s="141">
        <f ca="1"/>
        <v>2.4097600000000003</v>
      </c>
      <c r="Z637" s="141">
        <f ca="1"/>
        <v>2.4097600000000003</v>
      </c>
      <c r="AA637" s="142">
        <f ca="1"/>
        <v>506.04960000000005</v>
      </c>
      <c r="AB637" s="138">
        <f ca="1"/>
        <v>8</v>
      </c>
      <c r="AC637" s="103" t="str">
        <f ca="1"/>
        <v>VIGENTE</v>
      </c>
      <c r="AD637" s="150">
        <f ca="1"/>
        <v>0.21</v>
      </c>
    </row>
    <row r="638" spans="1:30">
      <c r="A638" s="111" t="str">
        <f ca="1"/>
        <v>COLOMBIA</v>
      </c>
      <c r="B638" s="111" t="str">
        <f ca="1"/>
        <v>POSTRES</v>
      </c>
      <c r="C638" s="111" t="str">
        <f ca="1"/>
        <v xml:space="preserve">Luis Armendariz                         </v>
      </c>
      <c r="D638" s="111" t="str">
        <f ca="1"/>
        <v>ALPINETTE</v>
      </c>
      <c r="E638" s="111" t="str">
        <f ca="1"/>
        <v>ALPINETTE</v>
      </c>
      <c r="F638" s="120" t="str">
        <f ca="1"/>
        <v>GUAYAQUIL</v>
      </c>
      <c r="G638" s="120">
        <f ca="1"/>
        <v>7711</v>
      </c>
      <c r="H638" s="120">
        <f ca="1"/>
        <v>1001</v>
      </c>
      <c r="I638" s="120" t="str">
        <f ca="1"/>
        <v>6226239</v>
      </c>
      <c r="J638" s="120" t="str">
        <f ca="1"/>
        <v>ALPINETTE MORA 140G ECU</v>
      </c>
      <c r="K638" s="121">
        <f ca="1"/>
        <v>660</v>
      </c>
      <c r="L638" s="122">
        <f ca="1"/>
        <v>1</v>
      </c>
      <c r="M638" s="120">
        <f ca="1"/>
        <v>0.14000000000000001</v>
      </c>
      <c r="N638" s="121">
        <f ca="1"/>
        <v>60</v>
      </c>
      <c r="O638" s="123">
        <f ca="1"/>
        <v>45608</v>
      </c>
      <c r="P638" s="123" t="str">
        <f ca="1"/>
        <v>martes</v>
      </c>
      <c r="Q638" s="124">
        <f ca="1"/>
        <v>45591</v>
      </c>
      <c r="R638" s="124">
        <f ca="1"/>
        <v>45650</v>
      </c>
      <c r="S638" s="90">
        <f ca="1"/>
        <v>26</v>
      </c>
      <c r="T638" s="139">
        <f ca="1"/>
        <v>0.43333333333333335</v>
      </c>
      <c r="U638" s="131">
        <f ca="1"/>
        <v>2</v>
      </c>
      <c r="V638" s="120">
        <f ca="1"/>
        <v>0.28000000000000003</v>
      </c>
      <c r="W638" s="140">
        <f ca="1"/>
        <v>17</v>
      </c>
      <c r="X638" s="139">
        <f ca="1"/>
        <v>0.71666666666666667</v>
      </c>
      <c r="Y638" s="141">
        <f ca="1"/>
        <v>0.47797999999999996</v>
      </c>
      <c r="Z638" s="141">
        <f ca="1"/>
        <v>0.47797999999999996</v>
      </c>
      <c r="AA638" s="142">
        <f ca="1"/>
        <v>0.13383439999999999</v>
      </c>
      <c r="AB638" s="138">
        <f ca="1"/>
        <v>16</v>
      </c>
      <c r="AC638" s="103" t="str">
        <f ca="1"/>
        <v>PROXIMOS FECHA CORTA</v>
      </c>
      <c r="AD638" s="150">
        <f ca="1"/>
        <v>2.8000000000000003E-4</v>
      </c>
    </row>
    <row r="639" spans="1:30">
      <c r="A639" s="111" t="str">
        <f ca="1"/>
        <v>MACHACHI</v>
      </c>
      <c r="B639" s="111" t="str">
        <f ca="1"/>
        <v>BEBIDAS LACTEAS</v>
      </c>
      <c r="C639" s="111" t="str">
        <f ca="1"/>
        <v xml:space="preserve">Luis Armendariz                         </v>
      </c>
      <c r="D639" s="111" t="str">
        <f ca="1"/>
        <v>YOGURT KIOSKO</v>
      </c>
      <c r="E639" s="111" t="str">
        <f ca="1"/>
        <v>BEBIDA DE YOGURT KIOSKO FUNDA FAMILI</v>
      </c>
      <c r="F639" s="120" t="str">
        <f ca="1"/>
        <v>GUAYAQUIL</v>
      </c>
      <c r="G639" s="120">
        <f ca="1"/>
        <v>7711</v>
      </c>
      <c r="H639" s="120">
        <f ca="1"/>
        <v>1001</v>
      </c>
      <c r="I639" s="120" t="str">
        <f ca="1"/>
        <v>10653</v>
      </c>
      <c r="J639" s="120" t="str">
        <f ca="1"/>
        <v>YOG BBLE KIOSKO FTLLA FUN 900G</v>
      </c>
      <c r="K639" s="121">
        <f ca="1"/>
        <v>900</v>
      </c>
      <c r="L639" s="122">
        <f ca="1"/>
        <v>1</v>
      </c>
      <c r="M639" s="120">
        <f ca="1"/>
        <v>0.9</v>
      </c>
      <c r="N639" s="121">
        <f ca="1"/>
        <v>45</v>
      </c>
      <c r="O639" s="123">
        <f ca="1"/>
        <v>45602</v>
      </c>
      <c r="P639" s="123" t="str">
        <f ca="1"/>
        <v>miércoles</v>
      </c>
      <c r="Q639" s="124">
        <f ca="1"/>
        <v>45594</v>
      </c>
      <c r="R639" s="124">
        <f ca="1"/>
        <v>45638</v>
      </c>
      <c r="S639" s="90">
        <f ca="1"/>
        <v>14</v>
      </c>
      <c r="T639" s="139">
        <f ca="1"/>
        <v>0.31111111111111112</v>
      </c>
      <c r="U639" s="131">
        <f ca="1"/>
        <v>7</v>
      </c>
      <c r="V639" s="120">
        <f ca="1"/>
        <v>6.3</v>
      </c>
      <c r="W639" s="140">
        <f ca="1"/>
        <v>8</v>
      </c>
      <c r="X639" s="139">
        <f ca="1"/>
        <v>0.82222222222222219</v>
      </c>
      <c r="Y639" s="141">
        <f ca="1"/>
        <v>0.62998500000000002</v>
      </c>
      <c r="Z639" s="141">
        <f ca="1"/>
        <v>0.62998500000000002</v>
      </c>
      <c r="AA639" s="142">
        <f ca="1"/>
        <v>3.9689055</v>
      </c>
      <c r="AB639" s="138">
        <f ca="1"/>
        <v>22</v>
      </c>
      <c r="AC639" s="103" t="str">
        <f ca="1"/>
        <v>FECHA CORTA</v>
      </c>
      <c r="AD639" s="150">
        <f ca="1"/>
        <v>6.3E-3</v>
      </c>
    </row>
    <row r="640" spans="1:30">
      <c r="A640" s="111" t="str">
        <f ca="1"/>
        <v>MACHACHI</v>
      </c>
      <c r="B640" s="111" t="str">
        <f ca="1"/>
        <v>BEBIDAS LACTEAS</v>
      </c>
      <c r="C640" s="111" t="str">
        <f ca="1"/>
        <v xml:space="preserve">Luis Armendariz                         </v>
      </c>
      <c r="D640" s="111" t="str">
        <f ca="1"/>
        <v>YOGURT KIOSKO</v>
      </c>
      <c r="E640" s="111" t="str">
        <f ca="1"/>
        <v>BEBIDA DE YOGURT KIOSKO FUNDA FAMILI</v>
      </c>
      <c r="F640" s="120" t="str">
        <f ca="1"/>
        <v>GUAYAQUIL</v>
      </c>
      <c r="G640" s="120">
        <f ca="1"/>
        <v>7711</v>
      </c>
      <c r="H640" s="120">
        <f ca="1"/>
        <v>1001</v>
      </c>
      <c r="I640" s="120" t="str">
        <f ca="1"/>
        <v>10653</v>
      </c>
      <c r="J640" s="120" t="str">
        <f ca="1"/>
        <v>YOG BBLE KIOSKO FTLLA FUN 900G</v>
      </c>
      <c r="K640" s="121">
        <f ca="1"/>
        <v>675</v>
      </c>
      <c r="L640" s="122">
        <f ca="1"/>
        <v>1</v>
      </c>
      <c r="M640" s="120">
        <f ca="1"/>
        <v>0.9</v>
      </c>
      <c r="N640" s="121">
        <f ca="1"/>
        <v>45</v>
      </c>
      <c r="O640" s="123">
        <f ca="1"/>
        <v>45609</v>
      </c>
      <c r="P640" s="123" t="str">
        <f ca="1"/>
        <v>miércoles</v>
      </c>
      <c r="Q640" s="124">
        <f ca="1"/>
        <v>45602</v>
      </c>
      <c r="R640" s="124">
        <f ca="1"/>
        <v>45646</v>
      </c>
      <c r="S640" s="90">
        <f ca="1"/>
        <v>22</v>
      </c>
      <c r="T640" s="139">
        <f ca="1"/>
        <v>0.48888888888888887</v>
      </c>
      <c r="U640" s="131">
        <f ca="1"/>
        <v>167</v>
      </c>
      <c r="V640" s="120">
        <f ca="1"/>
        <v>150.30000000000001</v>
      </c>
      <c r="W640" s="140">
        <f ca="1"/>
        <v>7</v>
      </c>
      <c r="X640" s="139">
        <f ca="1"/>
        <v>0.84444444444444444</v>
      </c>
      <c r="Y640" s="141">
        <f ca="1"/>
        <v>0.62998500000000002</v>
      </c>
      <c r="Z640" s="141">
        <f ca="1"/>
        <v>0.62998500000000002</v>
      </c>
      <c r="AA640" s="142">
        <f ca="1"/>
        <v>94.686745500000015</v>
      </c>
      <c r="AB640" s="138">
        <f ca="1"/>
        <v>15</v>
      </c>
      <c r="AC640" s="103" t="str">
        <f ca="1"/>
        <v>PROXIMOS FECHA CORTA</v>
      </c>
      <c r="AD640" s="150">
        <f ca="1"/>
        <v>0.15030000000000002</v>
      </c>
    </row>
    <row r="641" spans="1:30">
      <c r="A641" s="111" t="str">
        <f ca="1"/>
        <v>MACHACHI</v>
      </c>
      <c r="B641" s="111" t="str">
        <f ca="1"/>
        <v>BEBIDAS LACTEAS</v>
      </c>
      <c r="C641" s="111" t="str">
        <f ca="1"/>
        <v xml:space="preserve">Luis Armendariz                         </v>
      </c>
      <c r="D641" s="111" t="str">
        <f ca="1"/>
        <v>YOGURT KIOSKO</v>
      </c>
      <c r="E641" s="111" t="str">
        <f ca="1"/>
        <v>BEBIDA DE YOGURT KIOSKO FUNDA FAMILI</v>
      </c>
      <c r="F641" s="120" t="str">
        <f ca="1"/>
        <v>GUAYAQUIL</v>
      </c>
      <c r="G641" s="120">
        <f ca="1"/>
        <v>7711</v>
      </c>
      <c r="H641" s="120">
        <f ca="1"/>
        <v>1001</v>
      </c>
      <c r="I641" s="120" t="str">
        <f ca="1"/>
        <v>10653</v>
      </c>
      <c r="J641" s="120" t="str">
        <f ca="1"/>
        <v>YOG BBLE KIOSKO FTLLA FUN 900G</v>
      </c>
      <c r="K641" s="121">
        <f ca="1"/>
        <v>675</v>
      </c>
      <c r="L641" s="122">
        <f ca="1"/>
        <v>1</v>
      </c>
      <c r="M641" s="120">
        <f ca="1"/>
        <v>0.9</v>
      </c>
      <c r="N641" s="121">
        <f ca="1"/>
        <v>45</v>
      </c>
      <c r="O641" s="123">
        <f ca="1"/>
        <v>45609</v>
      </c>
      <c r="P641" s="123" t="str">
        <f ca="1"/>
        <v>miércoles</v>
      </c>
      <c r="Q641" s="124">
        <f ca="1"/>
        <v>45603</v>
      </c>
      <c r="R641" s="124">
        <f ca="1"/>
        <v>45647</v>
      </c>
      <c r="S641" s="90">
        <f ca="1"/>
        <v>23</v>
      </c>
      <c r="T641" s="139">
        <f ca="1"/>
        <v>0.51111111111111107</v>
      </c>
      <c r="U641" s="131">
        <f ca="1"/>
        <v>243</v>
      </c>
      <c r="V641" s="120">
        <f ca="1"/>
        <v>218.70000000000002</v>
      </c>
      <c r="W641" s="140">
        <f ca="1"/>
        <v>6</v>
      </c>
      <c r="X641" s="139">
        <f ca="1"/>
        <v>0.8666666666666667</v>
      </c>
      <c r="Y641" s="141">
        <f ca="1"/>
        <v>0.62998500000000002</v>
      </c>
      <c r="Z641" s="141">
        <f ca="1"/>
        <v>0.62998500000000002</v>
      </c>
      <c r="AA641" s="142">
        <f ca="1"/>
        <v>137.77771950000002</v>
      </c>
      <c r="AB641" s="138">
        <f ca="1"/>
        <v>15</v>
      </c>
      <c r="AC641" s="103" t="str">
        <f ca="1"/>
        <v>PROXIMOS FECHA CORTA</v>
      </c>
      <c r="AD641" s="150">
        <f ca="1"/>
        <v>0.21870000000000001</v>
      </c>
    </row>
    <row r="642" spans="1:30">
      <c r="A642" s="111" t="str">
        <f ca="1"/>
        <v>MACHACHI</v>
      </c>
      <c r="B642" s="111" t="str">
        <f ca="1"/>
        <v>BEBIDAS LACTEAS</v>
      </c>
      <c r="C642" s="111" t="str">
        <f ca="1"/>
        <v xml:space="preserve">Luis Armendariz                         </v>
      </c>
      <c r="D642" s="111" t="str">
        <f ca="1"/>
        <v>YOGURT KIOSKO</v>
      </c>
      <c r="E642" s="111" t="str">
        <f ca="1"/>
        <v>BEBIDA DE YOGURT KIOSKO FUNDA FAMILI</v>
      </c>
      <c r="F642" s="120" t="str">
        <f ca="1"/>
        <v>GUAYAQUIL</v>
      </c>
      <c r="G642" s="120">
        <f ca="1"/>
        <v>7711</v>
      </c>
      <c r="H642" s="120">
        <f ca="1"/>
        <v>1001</v>
      </c>
      <c r="I642" s="120" t="str">
        <f ca="1"/>
        <v>10653</v>
      </c>
      <c r="J642" s="120" t="str">
        <f ca="1"/>
        <v>YOG BBLE KIOSKO FTLLA FUN 900G</v>
      </c>
      <c r="K642" s="121">
        <f ca="1"/>
        <v>900</v>
      </c>
      <c r="L642" s="122">
        <f ca="1"/>
        <v>1</v>
      </c>
      <c r="M642" s="120">
        <f ca="1"/>
        <v>0.9</v>
      </c>
      <c r="N642" s="121">
        <f ca="1"/>
        <v>45</v>
      </c>
      <c r="O642" s="123">
        <f ca="1"/>
        <v>45612</v>
      </c>
      <c r="P642" s="123" t="str">
        <f ca="1"/>
        <v>sábado</v>
      </c>
      <c r="Q642" s="124">
        <f ca="1"/>
        <v>45604</v>
      </c>
      <c r="R642" s="124">
        <f ca="1"/>
        <v>45648</v>
      </c>
      <c r="S642" s="90">
        <f ca="1"/>
        <v>24</v>
      </c>
      <c r="T642" s="139">
        <f ca="1"/>
        <v>0.53333333333333333</v>
      </c>
      <c r="U642" s="131">
        <f ca="1"/>
        <v>900</v>
      </c>
      <c r="V642" s="120">
        <f ca="1"/>
        <v>810</v>
      </c>
      <c r="W642" s="140">
        <f ca="1"/>
        <v>8</v>
      </c>
      <c r="X642" s="139">
        <f ca="1"/>
        <v>0.82222222222222219</v>
      </c>
      <c r="Y642" s="141">
        <f ca="1"/>
        <v>0.62998500000000002</v>
      </c>
      <c r="Z642" s="141">
        <f ca="1"/>
        <v>0.62998500000000002</v>
      </c>
      <c r="AA642" s="142">
        <f ca="1"/>
        <v>510.28784999999999</v>
      </c>
      <c r="AB642" s="138">
        <f ca="1"/>
        <v>12</v>
      </c>
      <c r="AC642" s="103" t="str">
        <f ca="1"/>
        <v>PROXIMOS FECHA CORTA</v>
      </c>
      <c r="AD642" s="150">
        <f ca="1"/>
        <v>0.81</v>
      </c>
    </row>
    <row r="643" spans="1:30">
      <c r="A643" s="111" t="str">
        <f ca="1"/>
        <v>MACHACHI</v>
      </c>
      <c r="B643" s="111" t="str">
        <f ca="1"/>
        <v>BEBIDAS LACTEAS</v>
      </c>
      <c r="C643" s="111" t="str">
        <f ca="1"/>
        <v xml:space="preserve">Luis Armendariz                         </v>
      </c>
      <c r="D643" s="111" t="str">
        <f ca="1"/>
        <v>YOGURT KIOSKO</v>
      </c>
      <c r="E643" s="111" t="str">
        <f ca="1"/>
        <v>BEBIDA DE YOGURT KIOSKO FUNDA FAMILI</v>
      </c>
      <c r="F643" s="120" t="str">
        <f ca="1"/>
        <v>GUAYAQUIL</v>
      </c>
      <c r="G643" s="120">
        <f ca="1"/>
        <v>7711</v>
      </c>
      <c r="H643" s="120">
        <f ca="1"/>
        <v>1001</v>
      </c>
      <c r="I643" s="120" t="str">
        <f ca="1"/>
        <v>10653</v>
      </c>
      <c r="J643" s="120" t="str">
        <f ca="1"/>
        <v>YOG BBLE KIOSKO FTLLA FUN 900G</v>
      </c>
      <c r="K643" s="121">
        <f ca="1"/>
        <v>675</v>
      </c>
      <c r="L643" s="122">
        <f ca="1"/>
        <v>1</v>
      </c>
      <c r="M643" s="120">
        <f ca="1"/>
        <v>0.9</v>
      </c>
      <c r="N643" s="121">
        <f ca="1"/>
        <v>45</v>
      </c>
      <c r="O643" s="123">
        <f ca="1"/>
        <v>45611</v>
      </c>
      <c r="P643" s="123" t="str">
        <f ca="1"/>
        <v>viernes</v>
      </c>
      <c r="Q643" s="124">
        <f ca="1"/>
        <v>45604</v>
      </c>
      <c r="R643" s="124">
        <f ca="1"/>
        <v>45648</v>
      </c>
      <c r="S643" s="90">
        <f ca="1"/>
        <v>24</v>
      </c>
      <c r="T643" s="139">
        <f ca="1"/>
        <v>0.53333333333333333</v>
      </c>
      <c r="U643" s="131">
        <f ca="1"/>
        <v>733</v>
      </c>
      <c r="V643" s="120">
        <f ca="1"/>
        <v>659.7</v>
      </c>
      <c r="W643" s="140">
        <f ca="1"/>
        <v>7</v>
      </c>
      <c r="X643" s="139">
        <f ca="1"/>
        <v>0.84444444444444444</v>
      </c>
      <c r="Y643" s="141">
        <f ca="1"/>
        <v>0.62998500000000002</v>
      </c>
      <c r="Z643" s="141">
        <f ca="1"/>
        <v>0.62998500000000002</v>
      </c>
      <c r="AA643" s="142">
        <f ca="1"/>
        <v>415.60110450000002</v>
      </c>
      <c r="AB643" s="138">
        <f ca="1"/>
        <v>13</v>
      </c>
      <c r="AC643" s="103" t="str">
        <f ca="1"/>
        <v>PROXIMOS FECHA CORTA</v>
      </c>
      <c r="AD643" s="150">
        <f ca="1"/>
        <v>0.65970000000000006</v>
      </c>
    </row>
    <row r="644" spans="1:30">
      <c r="A644" s="111" t="str">
        <f ca="1"/>
        <v>MACHACHI</v>
      </c>
      <c r="B644" s="111" t="str">
        <f ca="1"/>
        <v>BEBIDAS LACTEAS</v>
      </c>
      <c r="C644" s="111" t="str">
        <f ca="1"/>
        <v xml:space="preserve">Luis Armendariz                         </v>
      </c>
      <c r="D644" s="111" t="str">
        <f ca="1"/>
        <v>YOGURT KIOSKO</v>
      </c>
      <c r="E644" s="111" t="str">
        <f ca="1"/>
        <v>BEBIDA DE YOGURT KIOSKO FUNDA FAMILI</v>
      </c>
      <c r="F644" s="120" t="str">
        <f ca="1"/>
        <v>GUAYAQUIL</v>
      </c>
      <c r="G644" s="120">
        <f ca="1"/>
        <v>7711</v>
      </c>
      <c r="H644" s="120">
        <f ca="1"/>
        <v>1001</v>
      </c>
      <c r="I644" s="120" t="str">
        <f ca="1"/>
        <v>10653</v>
      </c>
      <c r="J644" s="120" t="str">
        <f ca="1"/>
        <v>YOG BBLE KIOSKO FTLLA FUN 900G</v>
      </c>
      <c r="K644" s="121">
        <f ca="1"/>
        <v>675</v>
      </c>
      <c r="L644" s="122">
        <f ca="1"/>
        <v>1</v>
      </c>
      <c r="M644" s="120">
        <f ca="1"/>
        <v>0.9</v>
      </c>
      <c r="N644" s="121">
        <f ca="1"/>
        <v>45</v>
      </c>
      <c r="O644" s="123">
        <f ca="1"/>
        <v>45611</v>
      </c>
      <c r="P644" s="123" t="str">
        <f ca="1"/>
        <v>viernes</v>
      </c>
      <c r="Q644" s="124">
        <f ca="1"/>
        <v>45603</v>
      </c>
      <c r="R644" s="124">
        <f ca="1"/>
        <v>45647</v>
      </c>
      <c r="S644" s="90">
        <f ca="1"/>
        <v>23</v>
      </c>
      <c r="T644" s="139">
        <f ca="1"/>
        <v>0.51111111111111107</v>
      </c>
      <c r="U644" s="131">
        <f ca="1"/>
        <v>675</v>
      </c>
      <c r="V644" s="120">
        <f ca="1"/>
        <v>607.5</v>
      </c>
      <c r="W644" s="140">
        <f ca="1"/>
        <v>8</v>
      </c>
      <c r="X644" s="139">
        <f ca="1"/>
        <v>0.82222222222222219</v>
      </c>
      <c r="Y644" s="141">
        <f ca="1"/>
        <v>0.62998500000000002</v>
      </c>
      <c r="Z644" s="141">
        <f ca="1"/>
        <v>0.62998500000000002</v>
      </c>
      <c r="AA644" s="142">
        <f ca="1"/>
        <v>382.71588750000001</v>
      </c>
      <c r="AB644" s="138">
        <f ca="1"/>
        <v>13</v>
      </c>
      <c r="AC644" s="103" t="str">
        <f ca="1"/>
        <v>PROXIMOS FECHA CORTA</v>
      </c>
      <c r="AD644" s="150">
        <f ca="1"/>
        <v>0.60750000000000004</v>
      </c>
    </row>
    <row r="645" spans="1:30">
      <c r="A645" s="111" t="str">
        <f ca="1"/>
        <v>MACHACHI</v>
      </c>
      <c r="B645" s="111" t="str">
        <f ca="1"/>
        <v>BEBIDAS LACTEAS</v>
      </c>
      <c r="C645" s="111" t="str">
        <f ca="1"/>
        <v xml:space="preserve">Luis Armendariz                         </v>
      </c>
      <c r="D645" s="111" t="str">
        <f ca="1"/>
        <v>YOGURT KIOSKO</v>
      </c>
      <c r="E645" s="111" t="str">
        <f ca="1"/>
        <v>BEBIDA DE YOGURT KIOSKO FUNDA FAMILI</v>
      </c>
      <c r="F645" s="120" t="str">
        <f ca="1"/>
        <v>GUAYAQUIL</v>
      </c>
      <c r="G645" s="120">
        <f ca="1"/>
        <v>7711</v>
      </c>
      <c r="H645" s="120">
        <f ca="1"/>
        <v>1001</v>
      </c>
      <c r="I645" s="120" t="str">
        <f ca="1"/>
        <v>10653</v>
      </c>
      <c r="J645" s="120" t="str">
        <f ca="1"/>
        <v>YOG BBLE KIOSKO FTLLA FUN 900G</v>
      </c>
      <c r="K645" s="121">
        <f ca="1"/>
        <v>675</v>
      </c>
      <c r="L645" s="122">
        <f ca="1"/>
        <v>1</v>
      </c>
      <c r="M645" s="120">
        <f ca="1"/>
        <v>0.9</v>
      </c>
      <c r="N645" s="121">
        <f ca="1"/>
        <v>45</v>
      </c>
      <c r="O645" s="123">
        <f ca="1"/>
        <v>45610</v>
      </c>
      <c r="P645" s="123" t="str">
        <f ca="1"/>
        <v>jueves</v>
      </c>
      <c r="Q645" s="124">
        <f ca="1"/>
        <v>45603</v>
      </c>
      <c r="R645" s="124">
        <f ca="1"/>
        <v>45647</v>
      </c>
      <c r="S645" s="90">
        <f ca="1"/>
        <v>23</v>
      </c>
      <c r="T645" s="139">
        <f ca="1"/>
        <v>0.51111111111111107</v>
      </c>
      <c r="U645" s="131">
        <f ca="1"/>
        <v>675</v>
      </c>
      <c r="V645" s="120">
        <f ca="1"/>
        <v>607.5</v>
      </c>
      <c r="W645" s="140">
        <f ca="1"/>
        <v>7</v>
      </c>
      <c r="X645" s="139">
        <f ca="1"/>
        <v>0.84444444444444444</v>
      </c>
      <c r="Y645" s="141">
        <f ca="1"/>
        <v>0.62998500000000002</v>
      </c>
      <c r="Z645" s="141">
        <f ca="1"/>
        <v>0.62998500000000002</v>
      </c>
      <c r="AA645" s="142">
        <f ca="1"/>
        <v>382.71588750000001</v>
      </c>
      <c r="AB645" s="138">
        <f ca="1"/>
        <v>14</v>
      </c>
      <c r="AC645" s="103" t="str">
        <f ca="1"/>
        <v>PROXIMOS FECHA CORTA</v>
      </c>
      <c r="AD645" s="150">
        <f ca="1"/>
        <v>0.60750000000000004</v>
      </c>
    </row>
    <row r="646" spans="1:30">
      <c r="A646" s="111" t="str">
        <f ca="1"/>
        <v>MACHACHI</v>
      </c>
      <c r="B646" s="111" t="str">
        <f ca="1"/>
        <v>BEBIDAS LACTEAS</v>
      </c>
      <c r="C646" s="111" t="str">
        <f ca="1"/>
        <v xml:space="preserve">Luis Armendariz                         </v>
      </c>
      <c r="D646" s="111" t="str">
        <f ca="1"/>
        <v>YOGURT KIOSKO</v>
      </c>
      <c r="E646" s="111" t="str">
        <f ca="1"/>
        <v>BEBIDA DE YOGURT KIOSKO FUNDA FAMILI</v>
      </c>
      <c r="F646" s="120" t="str">
        <f ca="1"/>
        <v>GUAYAQUIL</v>
      </c>
      <c r="G646" s="120">
        <f ca="1"/>
        <v>7711</v>
      </c>
      <c r="H646" s="120">
        <f ca="1"/>
        <v>1001</v>
      </c>
      <c r="I646" s="120" t="str">
        <f ca="1"/>
        <v>10653</v>
      </c>
      <c r="J646" s="120" t="str">
        <f ca="1"/>
        <v>YOG BBLE KIOSKO FTLLA FUN 900G</v>
      </c>
      <c r="K646" s="121">
        <f ca="1"/>
        <v>900</v>
      </c>
      <c r="L646" s="122">
        <f ca="1"/>
        <v>1</v>
      </c>
      <c r="M646" s="120">
        <f ca="1"/>
        <v>0.9</v>
      </c>
      <c r="N646" s="121">
        <f ca="1"/>
        <v>45</v>
      </c>
      <c r="O646" s="123">
        <f ca="1"/>
        <v>45615</v>
      </c>
      <c r="P646" s="123" t="str">
        <f ca="1"/>
        <v>martes</v>
      </c>
      <c r="Q646" s="124">
        <f ca="1"/>
        <v>45609</v>
      </c>
      <c r="R646" s="124">
        <f ca="1"/>
        <v>45653</v>
      </c>
      <c r="S646" s="90">
        <f ca="1"/>
        <v>29</v>
      </c>
      <c r="T646" s="139">
        <f ca="1"/>
        <v>0.64444444444444449</v>
      </c>
      <c r="U646" s="131">
        <f ca="1"/>
        <v>900</v>
      </c>
      <c r="V646" s="120">
        <f ca="1"/>
        <v>810</v>
      </c>
      <c r="W646" s="140">
        <f ca="1"/>
        <v>6</v>
      </c>
      <c r="X646" s="139">
        <f ca="1"/>
        <v>0.8666666666666667</v>
      </c>
      <c r="Y646" s="141">
        <f ca="1"/>
        <v>0.62998500000000002</v>
      </c>
      <c r="Z646" s="141">
        <f ca="1"/>
        <v>0.62998500000000002</v>
      </c>
      <c r="AA646" s="142">
        <f ca="1"/>
        <v>510.28784999999999</v>
      </c>
      <c r="AB646" s="138">
        <f ca="1"/>
        <v>9</v>
      </c>
      <c r="AC646" s="103" t="str">
        <f ca="1"/>
        <v>VIGENTE</v>
      </c>
      <c r="AD646" s="150">
        <f ca="1"/>
        <v>0.81</v>
      </c>
    </row>
    <row r="647" spans="1:30">
      <c r="A647" s="111" t="str">
        <f ca="1"/>
        <v>MACHACHI</v>
      </c>
      <c r="B647" s="111" t="str">
        <f ca="1"/>
        <v>BEBIDAS LACTEAS</v>
      </c>
      <c r="C647" s="111" t="str">
        <f ca="1"/>
        <v xml:space="preserve">Luis Armendariz                         </v>
      </c>
      <c r="D647" s="111" t="str">
        <f ca="1"/>
        <v>YOGURT KIOSKO</v>
      </c>
      <c r="E647" s="111" t="str">
        <f ca="1"/>
        <v>BEBIDA DE YOGURT KIOSKO FUNDA FAMILI</v>
      </c>
      <c r="F647" s="120" t="str">
        <f ca="1"/>
        <v>GUAYAQUIL</v>
      </c>
      <c r="G647" s="120">
        <f ca="1"/>
        <v>7711</v>
      </c>
      <c r="H647" s="120">
        <f ca="1"/>
        <v>1001</v>
      </c>
      <c r="I647" s="120" t="str">
        <f ca="1"/>
        <v>10653</v>
      </c>
      <c r="J647" s="120" t="str">
        <f ca="1"/>
        <v>YOG BBLE KIOSKO FTLLA FUN 900G</v>
      </c>
      <c r="K647" s="121">
        <f ca="1"/>
        <v>675</v>
      </c>
      <c r="L647" s="122">
        <f ca="1"/>
        <v>1</v>
      </c>
      <c r="M647" s="120">
        <f ca="1"/>
        <v>0.9</v>
      </c>
      <c r="N647" s="121">
        <f ca="1"/>
        <v>45</v>
      </c>
      <c r="O647" s="123">
        <f ca="1"/>
        <v>45616</v>
      </c>
      <c r="P647" s="123" t="str">
        <f ca="1"/>
        <v>miércoles</v>
      </c>
      <c r="Q647" s="124">
        <f ca="1"/>
        <v>45610</v>
      </c>
      <c r="R647" s="124">
        <f ca="1"/>
        <v>45654</v>
      </c>
      <c r="S647" s="90">
        <f ca="1"/>
        <v>30</v>
      </c>
      <c r="T647" s="139">
        <f ca="1"/>
        <v>0.66666666666666663</v>
      </c>
      <c r="U647" s="131">
        <f ca="1"/>
        <v>675</v>
      </c>
      <c r="V647" s="120">
        <f ca="1"/>
        <v>607.5</v>
      </c>
      <c r="W647" s="140">
        <f ca="1"/>
        <v>6</v>
      </c>
      <c r="X647" s="139">
        <f ca="1"/>
        <v>0.8666666666666667</v>
      </c>
      <c r="Y647" s="141">
        <f ca="1"/>
        <v>0.62998500000000002</v>
      </c>
      <c r="Z647" s="141">
        <f ca="1"/>
        <v>0.62998500000000002</v>
      </c>
      <c r="AA647" s="142">
        <f ca="1"/>
        <v>382.71588750000001</v>
      </c>
      <c r="AB647" s="138">
        <f ca="1"/>
        <v>8</v>
      </c>
      <c r="AC647" s="103" t="str">
        <f ca="1"/>
        <v>VIGENTE</v>
      </c>
      <c r="AD647" s="150">
        <f ca="1"/>
        <v>0.60750000000000004</v>
      </c>
    </row>
    <row r="648" spans="1:30">
      <c r="A648" s="111" t="str">
        <f ca="1"/>
        <v>MACHACHI</v>
      </c>
      <c r="B648" s="111" t="str">
        <f ca="1"/>
        <v>BEBIDAS LACTEAS</v>
      </c>
      <c r="C648" s="111" t="str">
        <f ca="1"/>
        <v xml:space="preserve">Luis Armendariz                         </v>
      </c>
      <c r="D648" s="111" t="str">
        <f ca="1"/>
        <v>YOGURT KIOSKO</v>
      </c>
      <c r="E648" s="111" t="str">
        <f ca="1"/>
        <v>BEBIDA DE YOGURT KIOSKO FUNDA FAMILI</v>
      </c>
      <c r="F648" s="120" t="str">
        <f ca="1"/>
        <v>GUAYAQUIL</v>
      </c>
      <c r="G648" s="120">
        <f ca="1"/>
        <v>7711</v>
      </c>
      <c r="H648" s="120">
        <f ca="1"/>
        <v>1001</v>
      </c>
      <c r="I648" s="120" t="str">
        <f ca="1"/>
        <v>10654</v>
      </c>
      <c r="J648" s="120" t="str">
        <f ca="1"/>
        <v>YOG BBLE KIOSKO DZNO FUN 900G</v>
      </c>
      <c r="K648" s="121">
        <f ca="1"/>
        <v>600</v>
      </c>
      <c r="L648" s="122">
        <f ca="1"/>
        <v>1</v>
      </c>
      <c r="M648" s="120">
        <f ca="1"/>
        <v>0.9</v>
      </c>
      <c r="N648" s="121">
        <f ca="1"/>
        <v>45</v>
      </c>
      <c r="O648" s="123">
        <f ca="1"/>
        <v>45605</v>
      </c>
      <c r="P648" s="123" t="str">
        <f ca="1"/>
        <v>sábado</v>
      </c>
      <c r="Q648" s="124">
        <f ca="1"/>
        <v>45597</v>
      </c>
      <c r="R648" s="124">
        <f ca="1"/>
        <v>45641</v>
      </c>
      <c r="S648" s="90">
        <f ca="1"/>
        <v>17</v>
      </c>
      <c r="T648" s="139">
        <f ca="1"/>
        <v>0.37777777777777777</v>
      </c>
      <c r="U648" s="131">
        <f ca="1"/>
        <v>420</v>
      </c>
      <c r="V648" s="120">
        <f ca="1"/>
        <v>378</v>
      </c>
      <c r="W648" s="140">
        <f ca="1"/>
        <v>8</v>
      </c>
      <c r="X648" s="139">
        <f ca="1"/>
        <v>0.82222222222222219</v>
      </c>
      <c r="Y648" s="141">
        <f ca="1"/>
        <v>0.63201499999999999</v>
      </c>
      <c r="Z648" s="141">
        <f ca="1"/>
        <v>0.63201499999999999</v>
      </c>
      <c r="AA648" s="142">
        <f ca="1"/>
        <v>238.90167</v>
      </c>
      <c r="AB648" s="138">
        <f ca="1"/>
        <v>19</v>
      </c>
      <c r="AC648" s="103" t="str">
        <f ca="1"/>
        <v>FECHA CORTA</v>
      </c>
      <c r="AD648" s="150">
        <f ca="1"/>
        <v>0.378</v>
      </c>
    </row>
    <row r="649" spans="1:30">
      <c r="A649" s="111" t="str">
        <f ca="1"/>
        <v>MACHACHI</v>
      </c>
      <c r="B649" s="111" t="str">
        <f ca="1"/>
        <v>BEBIDAS LACTEAS</v>
      </c>
      <c r="C649" s="111" t="str">
        <f ca="1"/>
        <v xml:space="preserve">Luis Armendariz                         </v>
      </c>
      <c r="D649" s="111" t="str">
        <f ca="1"/>
        <v>YOGURT KIOSKO</v>
      </c>
      <c r="E649" s="111" t="str">
        <f ca="1"/>
        <v>BEBIDA DE YOGURT KIOSKO FUNDA FAMILI</v>
      </c>
      <c r="F649" s="120" t="str">
        <f ca="1"/>
        <v>GUAYAQUIL</v>
      </c>
      <c r="G649" s="120">
        <f ca="1"/>
        <v>7711</v>
      </c>
      <c r="H649" s="120">
        <f ca="1"/>
        <v>1001</v>
      </c>
      <c r="I649" s="120" t="str">
        <f ca="1"/>
        <v>10654</v>
      </c>
      <c r="J649" s="120" t="str">
        <f ca="1"/>
        <v>YOG BBLE KIOSKO DZNO FUN 900G</v>
      </c>
      <c r="K649" s="121">
        <f ca="1"/>
        <v>525</v>
      </c>
      <c r="L649" s="122">
        <f ca="1"/>
        <v>1</v>
      </c>
      <c r="M649" s="120">
        <f ca="1"/>
        <v>0.9</v>
      </c>
      <c r="N649" s="121">
        <f ca="1"/>
        <v>45</v>
      </c>
      <c r="O649" s="123">
        <f ca="1"/>
        <v>45612</v>
      </c>
      <c r="P649" s="123" t="str">
        <f ca="1"/>
        <v>sábado</v>
      </c>
      <c r="Q649" s="124">
        <f ca="1"/>
        <v>45608</v>
      </c>
      <c r="R649" s="124">
        <f ca="1"/>
        <v>45652</v>
      </c>
      <c r="S649" s="90">
        <f ca="1"/>
        <v>28</v>
      </c>
      <c r="T649" s="139">
        <f ca="1"/>
        <v>0.62222222222222223</v>
      </c>
      <c r="U649" s="131">
        <f ca="1"/>
        <v>525</v>
      </c>
      <c r="V649" s="120">
        <f ca="1"/>
        <v>472.5</v>
      </c>
      <c r="W649" s="140">
        <f ca="1"/>
        <v>4</v>
      </c>
      <c r="X649" s="139">
        <f ca="1"/>
        <v>0.91111111111111109</v>
      </c>
      <c r="Y649" s="141">
        <f ca="1"/>
        <v>0.63201499999999999</v>
      </c>
      <c r="Z649" s="141">
        <f ca="1"/>
        <v>0.63201499999999999</v>
      </c>
      <c r="AA649" s="142">
        <f ca="1"/>
        <v>298.62708750000002</v>
      </c>
      <c r="AB649" s="138">
        <f ca="1"/>
        <v>12</v>
      </c>
      <c r="AC649" s="103" t="str">
        <f ca="1"/>
        <v>VIGENTE</v>
      </c>
      <c r="AD649" s="150">
        <f ca="1"/>
        <v>0.47249999999999998</v>
      </c>
    </row>
    <row r="650" spans="1:30">
      <c r="A650" s="111" t="str">
        <f ca="1"/>
        <v>MACHACHI</v>
      </c>
      <c r="B650" s="111" t="str">
        <f ca="1"/>
        <v>BEBIDAS LACTEAS</v>
      </c>
      <c r="C650" s="111" t="str">
        <f ca="1"/>
        <v xml:space="preserve">Luis Armendariz                         </v>
      </c>
      <c r="D650" s="111" t="str">
        <f ca="1"/>
        <v>YOGURT KIOSKO</v>
      </c>
      <c r="E650" s="111" t="str">
        <f ca="1"/>
        <v>BEBIDA DE YOGURT KIOSKO FUNDA FAMILI</v>
      </c>
      <c r="F650" s="120" t="str">
        <f ca="1"/>
        <v>GUAYAQUIL</v>
      </c>
      <c r="G650" s="120">
        <f ca="1"/>
        <v>7711</v>
      </c>
      <c r="H650" s="120">
        <f ca="1"/>
        <v>1001</v>
      </c>
      <c r="I650" s="120" t="str">
        <f ca="1"/>
        <v>10654</v>
      </c>
      <c r="J650" s="120" t="str">
        <f ca="1"/>
        <v>YOG BBLE KIOSKO DZNO FUN 900G</v>
      </c>
      <c r="K650" s="121">
        <f ca="1"/>
        <v>900</v>
      </c>
      <c r="L650" s="122">
        <f ca="1"/>
        <v>1</v>
      </c>
      <c r="M650" s="120">
        <f ca="1"/>
        <v>0.9</v>
      </c>
      <c r="N650" s="121">
        <f ca="1"/>
        <v>45</v>
      </c>
      <c r="O650" s="123">
        <f ca="1"/>
        <v>45611</v>
      </c>
      <c r="P650" s="123" t="str">
        <f ca="1"/>
        <v>viernes</v>
      </c>
      <c r="Q650" s="124">
        <f ca="1"/>
        <v>45603</v>
      </c>
      <c r="R650" s="124">
        <f ca="1"/>
        <v>45647</v>
      </c>
      <c r="S650" s="90">
        <f ca="1"/>
        <v>23</v>
      </c>
      <c r="T650" s="139">
        <f ca="1"/>
        <v>0.51111111111111107</v>
      </c>
      <c r="U650" s="131">
        <f ca="1"/>
        <v>564</v>
      </c>
      <c r="V650" s="120">
        <f ca="1"/>
        <v>507.6</v>
      </c>
      <c r="W650" s="140">
        <f ca="1"/>
        <v>8</v>
      </c>
      <c r="X650" s="139">
        <f ca="1"/>
        <v>0.82222222222222219</v>
      </c>
      <c r="Y650" s="141">
        <f ca="1"/>
        <v>0.63201499999999999</v>
      </c>
      <c r="Z650" s="141">
        <f ca="1"/>
        <v>0.63201499999999999</v>
      </c>
      <c r="AA650" s="142">
        <f ca="1"/>
        <v>320.81081399999999</v>
      </c>
      <c r="AB650" s="138">
        <f ca="1"/>
        <v>13</v>
      </c>
      <c r="AC650" s="103" t="str">
        <f ca="1"/>
        <v>PROXIMOS FECHA CORTA</v>
      </c>
      <c r="AD650" s="150">
        <f ca="1"/>
        <v>0.50760000000000005</v>
      </c>
    </row>
    <row r="651" spans="1:30">
      <c r="A651" s="111" t="str">
        <f ca="1"/>
        <v>MACHACHI</v>
      </c>
      <c r="B651" s="111" t="str">
        <f ca="1"/>
        <v>BEBIDAS LACTEAS</v>
      </c>
      <c r="C651" s="111" t="str">
        <f ca="1"/>
        <v xml:space="preserve">Luis Armendariz                         </v>
      </c>
      <c r="D651" s="111" t="str">
        <f ca="1"/>
        <v>YOGURT KIOSKO</v>
      </c>
      <c r="E651" s="111" t="str">
        <f ca="1"/>
        <v>BEBIDA DE YOGURT KIOSKO FUNDA FAMILI</v>
      </c>
      <c r="F651" s="120" t="str">
        <f ca="1"/>
        <v>GUAYAQUIL</v>
      </c>
      <c r="G651" s="120">
        <f ca="1"/>
        <v>7711</v>
      </c>
      <c r="H651" s="120">
        <f ca="1"/>
        <v>1001</v>
      </c>
      <c r="I651" s="120" t="str">
        <f ca="1"/>
        <v>10654</v>
      </c>
      <c r="J651" s="120" t="str">
        <f ca="1"/>
        <v>YOG BBLE KIOSKO DZNO FUN 900G</v>
      </c>
      <c r="K651" s="121">
        <f ca="1"/>
        <v>900</v>
      </c>
      <c r="L651" s="122">
        <f ca="1"/>
        <v>1</v>
      </c>
      <c r="M651" s="120">
        <f ca="1"/>
        <v>0.9</v>
      </c>
      <c r="N651" s="121">
        <f ca="1"/>
        <v>45</v>
      </c>
      <c r="O651" s="123">
        <f ca="1"/>
        <v>45615</v>
      </c>
      <c r="P651" s="123" t="str">
        <f ca="1"/>
        <v>martes</v>
      </c>
      <c r="Q651" s="124">
        <f ca="1"/>
        <v>45609</v>
      </c>
      <c r="R651" s="124">
        <f ca="1"/>
        <v>45653</v>
      </c>
      <c r="S651" s="90">
        <f ca="1"/>
        <v>29</v>
      </c>
      <c r="T651" s="139">
        <f ca="1"/>
        <v>0.64444444444444449</v>
      </c>
      <c r="U651" s="131">
        <f ca="1"/>
        <v>900</v>
      </c>
      <c r="V651" s="120">
        <f ca="1"/>
        <v>810</v>
      </c>
      <c r="W651" s="140">
        <f ca="1"/>
        <v>6</v>
      </c>
      <c r="X651" s="139">
        <f ca="1"/>
        <v>0.8666666666666667</v>
      </c>
      <c r="Y651" s="141">
        <f ca="1"/>
        <v>0.63201499999999999</v>
      </c>
      <c r="Z651" s="141">
        <f ca="1"/>
        <v>0.63201499999999999</v>
      </c>
      <c r="AA651" s="142">
        <f ca="1"/>
        <v>511.93214999999998</v>
      </c>
      <c r="AB651" s="138">
        <f ca="1"/>
        <v>9</v>
      </c>
      <c r="AC651" s="103" t="str">
        <f ca="1"/>
        <v>VIGENTE</v>
      </c>
      <c r="AD651" s="150">
        <f ca="1"/>
        <v>0.81</v>
      </c>
    </row>
    <row r="652" spans="1:30">
      <c r="A652" s="111" t="str">
        <f ca="1"/>
        <v>MACHACHI</v>
      </c>
      <c r="B652" s="111" t="str">
        <f ca="1"/>
        <v>BEBIDAS LACTEAS</v>
      </c>
      <c r="C652" s="111" t="str">
        <f ca="1"/>
        <v xml:space="preserve">Luis Armendariz                         </v>
      </c>
      <c r="D652" s="111" t="str">
        <f ca="1"/>
        <v>YOGURT KIOSKO</v>
      </c>
      <c r="E652" s="111" t="str">
        <f ca="1"/>
        <v>BEBIDA DE YOGURT KIOSKO BOTELLA FAMILIAR</v>
      </c>
      <c r="F652" s="120" t="str">
        <f ca="1"/>
        <v>GUAYAQUIL</v>
      </c>
      <c r="G652" s="120">
        <f ca="1"/>
        <v>7711</v>
      </c>
      <c r="H652" s="120">
        <f ca="1"/>
        <v>1001</v>
      </c>
      <c r="I652" s="120" t="str">
        <f ca="1"/>
        <v>11106</v>
      </c>
      <c r="J652" s="120" t="str">
        <f ca="1"/>
        <v>YOG BBLE KIOSKO FTLLA BOT 1700G</v>
      </c>
      <c r="K652" s="121">
        <f ca="1"/>
        <v>12</v>
      </c>
      <c r="L652" s="122">
        <f ca="1"/>
        <v>1</v>
      </c>
      <c r="M652" s="120">
        <f ca="1"/>
        <v>1.7</v>
      </c>
      <c r="N652" s="121">
        <f ca="1"/>
        <v>45</v>
      </c>
      <c r="O652" s="123">
        <f ca="1"/>
        <v>45595</v>
      </c>
      <c r="P652" s="123" t="str">
        <f ca="1"/>
        <v>miércoles</v>
      </c>
      <c r="Q652" s="124">
        <f ca="1"/>
        <v>45590</v>
      </c>
      <c r="R652" s="124">
        <f ca="1"/>
        <v>45634</v>
      </c>
      <c r="S652" s="90">
        <f ca="1"/>
        <v>10</v>
      </c>
      <c r="T652" s="139">
        <f ca="1"/>
        <v>0.22222222222222221</v>
      </c>
      <c r="U652" s="131">
        <f ca="1"/>
        <v>0</v>
      </c>
      <c r="V652" s="120">
        <f ca="1"/>
        <v>0</v>
      </c>
      <c r="W652" s="140">
        <f ca="1"/>
        <v>5</v>
      </c>
      <c r="X652" s="139">
        <f ca="1"/>
        <v>0.88888888888888884</v>
      </c>
      <c r="Y652" s="141">
        <f ca="1"/>
        <v>1.7276500000000001</v>
      </c>
      <c r="Z652" s="141">
        <f ca="1"/>
        <v>1.7276500000000001</v>
      </c>
      <c r="AA652" s="142">
        <f ca="1"/>
        <v>0</v>
      </c>
      <c r="AB652" s="138">
        <f ca="1"/>
        <v>29</v>
      </c>
      <c r="AC652" s="103" t="str">
        <f ca="1"/>
        <v>FECHA CORTA</v>
      </c>
      <c r="AD652" s="150">
        <f ca="1"/>
        <v>0</v>
      </c>
    </row>
    <row r="653" spans="1:30">
      <c r="A653" s="111" t="str">
        <f ca="1"/>
        <v>MACHACHI</v>
      </c>
      <c r="B653" s="111" t="str">
        <f ca="1"/>
        <v>BEBIDAS LACTEAS</v>
      </c>
      <c r="C653" s="111" t="str">
        <f ca="1"/>
        <v xml:space="preserve">Luis Armendariz                         </v>
      </c>
      <c r="D653" s="111" t="str">
        <f ca="1"/>
        <v>YOGURT KIOSKO</v>
      </c>
      <c r="E653" s="111" t="str">
        <f ca="1"/>
        <v>BEBIDA DE YOGURT KIOSKO BOTELLA FAMILIAR</v>
      </c>
      <c r="F653" s="120" t="str">
        <f ca="1"/>
        <v>GUAYAQUIL</v>
      </c>
      <c r="G653" s="120">
        <f ca="1"/>
        <v>7711</v>
      </c>
      <c r="H653" s="120">
        <f ca="1"/>
        <v>1001</v>
      </c>
      <c r="I653" s="120" t="str">
        <f ca="1"/>
        <v>11106</v>
      </c>
      <c r="J653" s="120" t="str">
        <f ca="1"/>
        <v>YOG BBLE KIOSKO FTLLA BOT 1700G</v>
      </c>
      <c r="K653" s="121">
        <f ca="1"/>
        <v>12</v>
      </c>
      <c r="L653" s="122">
        <f ca="1"/>
        <v>1</v>
      </c>
      <c r="M653" s="120">
        <f ca="1"/>
        <v>1.7</v>
      </c>
      <c r="N653" s="121">
        <f ca="1"/>
        <v>45</v>
      </c>
      <c r="O653" s="123">
        <f ca="1"/>
        <v>45596</v>
      </c>
      <c r="P653" s="123" t="str">
        <f ca="1"/>
        <v>jueves</v>
      </c>
      <c r="Q653" s="124">
        <f ca="1"/>
        <v>45590</v>
      </c>
      <c r="R653" s="124">
        <f ca="1"/>
        <v>45634</v>
      </c>
      <c r="S653" s="90">
        <f ca="1"/>
        <v>10</v>
      </c>
      <c r="T653" s="139">
        <f ca="1"/>
        <v>0.22222222222222221</v>
      </c>
      <c r="U653" s="131">
        <f ca="1"/>
        <v>12</v>
      </c>
      <c r="V653" s="120">
        <f ca="1"/>
        <v>20.399999999999999</v>
      </c>
      <c r="W653" s="140">
        <f ca="1"/>
        <v>6</v>
      </c>
      <c r="X653" s="139">
        <f ca="1"/>
        <v>0.8666666666666667</v>
      </c>
      <c r="Y653" s="141">
        <f ca="1"/>
        <v>1.7276500000000001</v>
      </c>
      <c r="Z653" s="141">
        <f ca="1"/>
        <v>1.7276500000000001</v>
      </c>
      <c r="AA653" s="142">
        <f ca="1"/>
        <v>35.244059999999998</v>
      </c>
      <c r="AB653" s="138">
        <f ca="1"/>
        <v>28</v>
      </c>
      <c r="AC653" s="103" t="str">
        <f ca="1"/>
        <v>FECHA CORTA</v>
      </c>
      <c r="AD653" s="150">
        <f ca="1"/>
        <v>2.0399999999999998E-2</v>
      </c>
    </row>
    <row r="654" spans="1:30">
      <c r="A654" s="111" t="str">
        <f ca="1"/>
        <v>MACHACHI</v>
      </c>
      <c r="B654" s="111" t="str">
        <f ca="1"/>
        <v>BEBIDAS LACTEAS</v>
      </c>
      <c r="C654" s="111" t="str">
        <f ca="1"/>
        <v xml:space="preserve">Luis Armendariz                         </v>
      </c>
      <c r="D654" s="111" t="str">
        <f ca="1"/>
        <v>YOGURT KIOSKO</v>
      </c>
      <c r="E654" s="111" t="str">
        <f ca="1"/>
        <v>BEBIDA DE YOGURT KIOSKO BOTELLA FAMILIAR</v>
      </c>
      <c r="F654" s="120" t="str">
        <f ca="1"/>
        <v>GUAYAQUIL</v>
      </c>
      <c r="G654" s="120">
        <f ca="1"/>
        <v>7711</v>
      </c>
      <c r="H654" s="120">
        <f ca="1"/>
        <v>1001</v>
      </c>
      <c r="I654" s="120" t="str">
        <f ca="1"/>
        <v>11106</v>
      </c>
      <c r="J654" s="120" t="str">
        <f ca="1"/>
        <v>YOG BBLE KIOSKO FTLLA BOT 1700G</v>
      </c>
      <c r="K654" s="121">
        <f ca="1"/>
        <v>12</v>
      </c>
      <c r="L654" s="122">
        <f ca="1"/>
        <v>1</v>
      </c>
      <c r="M654" s="120">
        <f ca="1"/>
        <v>1.7</v>
      </c>
      <c r="N654" s="121">
        <f ca="1"/>
        <v>45</v>
      </c>
      <c r="O654" s="123">
        <f ca="1"/>
        <v>45603</v>
      </c>
      <c r="P654" s="123" t="str">
        <f ca="1"/>
        <v>jueves</v>
      </c>
      <c r="Q654" s="124">
        <f ca="1"/>
        <v>45596</v>
      </c>
      <c r="R654" s="124">
        <f ca="1"/>
        <v>45640</v>
      </c>
      <c r="S654" s="90">
        <f ca="1"/>
        <v>16</v>
      </c>
      <c r="T654" s="139">
        <f ca="1"/>
        <v>0.35555555555555557</v>
      </c>
      <c r="U654" s="131">
        <f ca="1"/>
        <v>4</v>
      </c>
      <c r="V654" s="120">
        <f ca="1"/>
        <v>6.8</v>
      </c>
      <c r="W654" s="140">
        <f ca="1"/>
        <v>7</v>
      </c>
      <c r="X654" s="139">
        <f ca="1"/>
        <v>0.84444444444444444</v>
      </c>
      <c r="Y654" s="141">
        <f ca="1"/>
        <v>1.7276500000000001</v>
      </c>
      <c r="Z654" s="141">
        <f ca="1"/>
        <v>1.7276500000000001</v>
      </c>
      <c r="AA654" s="142">
        <f ca="1"/>
        <v>11.74802</v>
      </c>
      <c r="AB654" s="138">
        <f ca="1"/>
        <v>21</v>
      </c>
      <c r="AC654" s="103" t="str">
        <f ca="1"/>
        <v>FECHA CORTA</v>
      </c>
      <c r="AD654" s="150">
        <f ca="1"/>
        <v>6.7999999999999996E-3</v>
      </c>
    </row>
    <row r="655" spans="1:30">
      <c r="A655" s="111" t="str">
        <f ca="1"/>
        <v>MACHACHI</v>
      </c>
      <c r="B655" s="111" t="str">
        <f ca="1"/>
        <v>BEBIDAS LACTEAS</v>
      </c>
      <c r="C655" s="111" t="str">
        <f ca="1"/>
        <v xml:space="preserve">Luis Armendariz                         </v>
      </c>
      <c r="D655" s="111" t="str">
        <f ca="1"/>
        <v>YOGURT KIOSKO</v>
      </c>
      <c r="E655" s="111" t="str">
        <f ca="1"/>
        <v>BEBIDA DE YOGURT KIOSKO BOTELLA FAMILIAR</v>
      </c>
      <c r="F655" s="120" t="str">
        <f ca="1"/>
        <v>GUAYAQUIL</v>
      </c>
      <c r="G655" s="120">
        <f ca="1"/>
        <v>7711</v>
      </c>
      <c r="H655" s="120">
        <f ca="1"/>
        <v>1001</v>
      </c>
      <c r="I655" s="120" t="str">
        <f ca="1"/>
        <v>11106</v>
      </c>
      <c r="J655" s="120" t="str">
        <f ca="1"/>
        <v>YOG BBLE KIOSKO FTLLA BOT 1700G</v>
      </c>
      <c r="K655" s="121">
        <f ca="1"/>
        <v>12</v>
      </c>
      <c r="L655" s="122">
        <f ca="1"/>
        <v>1</v>
      </c>
      <c r="M655" s="120">
        <f ca="1"/>
        <v>1.7</v>
      </c>
      <c r="N655" s="121">
        <f ca="1"/>
        <v>45</v>
      </c>
      <c r="O655" s="123">
        <f ca="1"/>
        <v>45605</v>
      </c>
      <c r="P655" s="123" t="str">
        <f ca="1"/>
        <v>sábado</v>
      </c>
      <c r="Q655" s="124">
        <f ca="1"/>
        <v>45596</v>
      </c>
      <c r="R655" s="124">
        <f ca="1"/>
        <v>45640</v>
      </c>
      <c r="S655" s="90">
        <f ca="1"/>
        <v>16</v>
      </c>
      <c r="T655" s="139">
        <f ca="1"/>
        <v>0.35555555555555557</v>
      </c>
      <c r="U655" s="131">
        <f ca="1"/>
        <v>12</v>
      </c>
      <c r="V655" s="120">
        <f ca="1"/>
        <v>20.399999999999999</v>
      </c>
      <c r="W655" s="140">
        <f ca="1"/>
        <v>9</v>
      </c>
      <c r="X655" s="139">
        <f ca="1"/>
        <v>0.8</v>
      </c>
      <c r="Y655" s="141">
        <f ca="1"/>
        <v>1.7276500000000001</v>
      </c>
      <c r="Z655" s="141">
        <f ca="1"/>
        <v>1.7276500000000001</v>
      </c>
      <c r="AA655" s="142">
        <f ca="1"/>
        <v>35.244059999999998</v>
      </c>
      <c r="AB655" s="138">
        <f ca="1"/>
        <v>19</v>
      </c>
      <c r="AC655" s="103" t="str">
        <f ca="1"/>
        <v>FECHA CORTA</v>
      </c>
      <c r="AD655" s="150">
        <f ca="1"/>
        <v>2.0399999999999998E-2</v>
      </c>
    </row>
    <row r="656" spans="1:30">
      <c r="A656" s="111" t="str">
        <f ca="1"/>
        <v>MULTIEMPAQUE_MACH</v>
      </c>
      <c r="B656" s="111" t="str">
        <f ca="1"/>
        <v>BEBIDAS LACTEAS</v>
      </c>
      <c r="C656" s="111" t="str">
        <f ca="1"/>
        <v xml:space="preserve">Luis Armendariz                         </v>
      </c>
      <c r="D656" s="111" t="str">
        <f ca="1"/>
        <v>BON YURT</v>
      </c>
      <c r="E656" s="111" t="str">
        <f ca="1"/>
        <v>BON YURT REGULAR</v>
      </c>
      <c r="F656" s="120" t="str">
        <f ca="1"/>
        <v>GUAYAQUIL</v>
      </c>
      <c r="G656" s="120">
        <f ca="1"/>
        <v>7711</v>
      </c>
      <c r="H656" s="120">
        <f ca="1"/>
        <v>1001</v>
      </c>
      <c r="I656" s="120" t="str">
        <f ca="1"/>
        <v>1224</v>
      </c>
      <c r="J656" s="120" t="str">
        <f ca="1"/>
        <v>MPLX4 BY BLCK VASO 165G</v>
      </c>
      <c r="K656" s="121">
        <f ca="1"/>
        <v>40</v>
      </c>
      <c r="L656" s="122">
        <f ca="1"/>
        <v>1</v>
      </c>
      <c r="M656" s="120">
        <f ca="1"/>
        <v>0.66</v>
      </c>
      <c r="N656" s="121">
        <f ca="1"/>
        <v>45</v>
      </c>
      <c r="O656" s="123">
        <f ca="1"/>
        <v>45597</v>
      </c>
      <c r="P656" s="123" t="str">
        <f ca="1"/>
        <v>viernes</v>
      </c>
      <c r="Q656" s="124">
        <f ca="1"/>
        <v>45587</v>
      </c>
      <c r="R656" s="124">
        <f ca="1"/>
        <v>45631</v>
      </c>
      <c r="S656" s="90">
        <f ca="1"/>
        <v>7</v>
      </c>
      <c r="T656" s="139">
        <f ca="1"/>
        <v>0.15555555555555556</v>
      </c>
      <c r="U656" s="131">
        <f ca="1"/>
        <v>11</v>
      </c>
      <c r="V656" s="120">
        <f ca="1"/>
        <v>7.2600000000000007</v>
      </c>
      <c r="W656" s="140">
        <f ca="1"/>
        <v>10</v>
      </c>
      <c r="X656" s="139">
        <f ca="1"/>
        <v>0.77777777777777779</v>
      </c>
      <c r="Y656" s="141">
        <f ca="1"/>
        <v>1.3975849999999999</v>
      </c>
      <c r="Z656" s="141">
        <f ca="1"/>
        <v>1.3975849999999999</v>
      </c>
      <c r="AA656" s="142">
        <f ca="1"/>
        <v>10.146467100000001</v>
      </c>
      <c r="AB656" s="138">
        <f ca="1"/>
        <v>27</v>
      </c>
      <c r="AC656" s="103" t="str">
        <f ca="1"/>
        <v>FECHA CORTA</v>
      </c>
      <c r="AD656" s="150">
        <f ca="1"/>
        <v>7.2600000000000008E-3</v>
      </c>
    </row>
    <row r="657" spans="1:30">
      <c r="A657" s="111" t="str">
        <f ca="1"/>
        <v>MULTIEMPAQUE_MACH</v>
      </c>
      <c r="B657" s="111" t="str">
        <f ca="1"/>
        <v>BEBIDAS LACTEAS</v>
      </c>
      <c r="C657" s="111" t="str">
        <f ca="1"/>
        <v xml:space="preserve">Luis Armendariz                         </v>
      </c>
      <c r="D657" s="111" t="str">
        <f ca="1"/>
        <v>BON YURT</v>
      </c>
      <c r="E657" s="111" t="str">
        <f ca="1"/>
        <v>BON YURT REGULAR</v>
      </c>
      <c r="F657" s="120" t="str">
        <f ca="1"/>
        <v>GUAYAQUIL</v>
      </c>
      <c r="G657" s="120">
        <f ca="1"/>
        <v>7711</v>
      </c>
      <c r="H657" s="120">
        <f ca="1"/>
        <v>1001</v>
      </c>
      <c r="I657" s="120" t="str">
        <f ca="1"/>
        <v>1224</v>
      </c>
      <c r="J657" s="120" t="str">
        <f ca="1"/>
        <v>MPLX4 BY BLCK VASO 165G</v>
      </c>
      <c r="K657" s="121">
        <f ca="1"/>
        <v>8</v>
      </c>
      <c r="L657" s="122">
        <f ca="1"/>
        <v>1</v>
      </c>
      <c r="M657" s="120">
        <f ca="1"/>
        <v>0.66</v>
      </c>
      <c r="N657" s="121">
        <f ca="1"/>
        <v>45</v>
      </c>
      <c r="O657" s="123">
        <f ca="1"/>
        <v>45612</v>
      </c>
      <c r="P657" s="123" t="str">
        <f ca="1"/>
        <v>sábado</v>
      </c>
      <c r="Q657" s="124">
        <f ca="1"/>
        <v>45601</v>
      </c>
      <c r="R657" s="124">
        <f ca="1"/>
        <v>45645</v>
      </c>
      <c r="S657" s="90">
        <f ca="1"/>
        <v>21</v>
      </c>
      <c r="T657" s="139">
        <f ca="1"/>
        <v>0.46666666666666667</v>
      </c>
      <c r="U657" s="131">
        <f ca="1"/>
        <v>8</v>
      </c>
      <c r="V657" s="120">
        <f ca="1"/>
        <v>5.28</v>
      </c>
      <c r="W657" s="140">
        <f ca="1"/>
        <v>11</v>
      </c>
      <c r="X657" s="139">
        <f ca="1"/>
        <v>0.75555555555555554</v>
      </c>
      <c r="Y657" s="141">
        <f ca="1"/>
        <v>1.3975849999999999</v>
      </c>
      <c r="Z657" s="141">
        <f ca="1"/>
        <v>1.3975849999999999</v>
      </c>
      <c r="AA657" s="142">
        <f ca="1"/>
        <v>7.3792487999999992</v>
      </c>
      <c r="AB657" s="138">
        <f ca="1"/>
        <v>12</v>
      </c>
      <c r="AC657" s="103" t="str">
        <f ca="1"/>
        <v>FECHA CORTA</v>
      </c>
      <c r="AD657" s="150">
        <f ca="1"/>
        <v>5.28E-3</v>
      </c>
    </row>
    <row r="658" spans="1:30">
      <c r="A658" s="111" t="str">
        <f ca="1"/>
        <v>MULTIEMPAQUE_MACH</v>
      </c>
      <c r="B658" s="111" t="str">
        <f ca="1"/>
        <v>BEBIDAS LACTEAS</v>
      </c>
      <c r="C658" s="111" t="str">
        <f ca="1"/>
        <v xml:space="preserve">Luis Armendariz                         </v>
      </c>
      <c r="D658" s="111" t="str">
        <f ca="1"/>
        <v>BON YURT</v>
      </c>
      <c r="E658" s="111" t="str">
        <f ca="1"/>
        <v>BON YURT REGULAR</v>
      </c>
      <c r="F658" s="120" t="str">
        <f ca="1"/>
        <v>GUAYAQUIL</v>
      </c>
      <c r="G658" s="120">
        <f ca="1"/>
        <v>7711</v>
      </c>
      <c r="H658" s="120">
        <f ca="1"/>
        <v>1001</v>
      </c>
      <c r="I658" s="120" t="str">
        <f ca="1"/>
        <v>1224</v>
      </c>
      <c r="J658" s="120" t="str">
        <f ca="1"/>
        <v>MPLX4 BY BLCK VASO 165G</v>
      </c>
      <c r="K658" s="121">
        <f ca="1"/>
        <v>56</v>
      </c>
      <c r="L658" s="122">
        <f ca="1"/>
        <v>1</v>
      </c>
      <c r="M658" s="120">
        <f ca="1"/>
        <v>0.66</v>
      </c>
      <c r="N658" s="121">
        <f ca="1"/>
        <v>45</v>
      </c>
      <c r="O658" s="123">
        <f ca="1"/>
        <v>45611</v>
      </c>
      <c r="P658" s="123" t="str">
        <f ca="1"/>
        <v>viernes</v>
      </c>
      <c r="Q658" s="124">
        <f ca="1"/>
        <v>45601</v>
      </c>
      <c r="R658" s="124">
        <f ca="1"/>
        <v>45645</v>
      </c>
      <c r="S658" s="90">
        <f ca="1"/>
        <v>21</v>
      </c>
      <c r="T658" s="139">
        <f ca="1"/>
        <v>0.46666666666666667</v>
      </c>
      <c r="U658" s="131">
        <f ca="1"/>
        <v>55</v>
      </c>
      <c r="V658" s="120">
        <f ca="1"/>
        <v>36.300000000000004</v>
      </c>
      <c r="W658" s="140">
        <f ca="1"/>
        <v>10</v>
      </c>
      <c r="X658" s="139">
        <f ca="1"/>
        <v>0.77777777777777779</v>
      </c>
      <c r="Y658" s="141">
        <f ca="1"/>
        <v>1.3975849999999999</v>
      </c>
      <c r="Z658" s="141">
        <f ca="1"/>
        <v>1.3975849999999999</v>
      </c>
      <c r="AA658" s="142">
        <f ca="1"/>
        <v>50.732335499999998</v>
      </c>
      <c r="AB658" s="138">
        <f ca="1"/>
        <v>13</v>
      </c>
      <c r="AC658" s="103" t="str">
        <f ca="1"/>
        <v>FECHA CORTA</v>
      </c>
      <c r="AD658" s="150">
        <f ca="1"/>
        <v>3.6300000000000006E-2</v>
      </c>
    </row>
    <row r="659" spans="1:30">
      <c r="A659" s="111" t="str">
        <f ca="1"/>
        <v>MULTIEMPAQUE_MACH</v>
      </c>
      <c r="B659" s="111" t="str">
        <f ca="1"/>
        <v>BEBIDAS LACTEAS</v>
      </c>
      <c r="C659" s="111" t="str">
        <f ca="1"/>
        <v xml:space="preserve">Luis Armendariz                         </v>
      </c>
      <c r="D659" s="111" t="str">
        <f ca="1"/>
        <v>BON YURT</v>
      </c>
      <c r="E659" s="111" t="str">
        <f ca="1"/>
        <v>BON YURT REGULAR</v>
      </c>
      <c r="F659" s="120" t="str">
        <f ca="1"/>
        <v>GUAYAQUIL</v>
      </c>
      <c r="G659" s="120">
        <f ca="1"/>
        <v>7711</v>
      </c>
      <c r="H659" s="120">
        <f ca="1"/>
        <v>1001</v>
      </c>
      <c r="I659" s="120" t="str">
        <f ca="1"/>
        <v>1224</v>
      </c>
      <c r="J659" s="120" t="str">
        <f ca="1"/>
        <v>MPLX4 BY BLCK VASO 165G</v>
      </c>
      <c r="K659" s="121">
        <f ca="1"/>
        <v>104</v>
      </c>
      <c r="L659" s="122">
        <f ca="1"/>
        <v>1</v>
      </c>
      <c r="M659" s="120">
        <f ca="1"/>
        <v>0.66</v>
      </c>
      <c r="N659" s="121">
        <f ca="1"/>
        <v>45</v>
      </c>
      <c r="O659" s="123">
        <f ca="1"/>
        <v>45616</v>
      </c>
      <c r="P659" s="123" t="str">
        <f ca="1"/>
        <v>miércoles</v>
      </c>
      <c r="Q659" s="124">
        <f ca="1"/>
        <v>45608</v>
      </c>
      <c r="R659" s="124">
        <f ca="1"/>
        <v>45652</v>
      </c>
      <c r="S659" s="90">
        <f ca="1"/>
        <v>28</v>
      </c>
      <c r="T659" s="139">
        <f ca="1"/>
        <v>0.62222222222222223</v>
      </c>
      <c r="U659" s="131">
        <f ca="1"/>
        <v>104</v>
      </c>
      <c r="V659" s="120">
        <f ca="1"/>
        <v>68.64</v>
      </c>
      <c r="W659" s="140">
        <f ca="1"/>
        <v>8</v>
      </c>
      <c r="X659" s="139">
        <f ca="1"/>
        <v>0.82222222222222219</v>
      </c>
      <c r="Y659" s="141">
        <f ca="1"/>
        <v>1.3975849999999999</v>
      </c>
      <c r="Z659" s="141">
        <f ca="1"/>
        <v>1.3975849999999999</v>
      </c>
      <c r="AA659" s="142">
        <f ca="1"/>
        <v>95.930234399999989</v>
      </c>
      <c r="AB659" s="138">
        <f ca="1"/>
        <v>8</v>
      </c>
      <c r="AC659" s="103" t="str">
        <f ca="1"/>
        <v>VIGENTE</v>
      </c>
      <c r="AD659" s="150">
        <f ca="1"/>
        <v>6.8640000000000007E-2</v>
      </c>
    </row>
    <row r="660" spans="1:30">
      <c r="A660" s="111" t="str">
        <f ca="1"/>
        <v>MACHACHI</v>
      </c>
      <c r="B660" s="111" t="str">
        <f ca="1"/>
        <v>BEBIDAS LACTEAS</v>
      </c>
      <c r="C660" s="111" t="str">
        <f ca="1"/>
        <v xml:space="preserve">Luis Armendariz                         </v>
      </c>
      <c r="D660" s="111" t="str">
        <f ca="1"/>
        <v>REGENERIS</v>
      </c>
      <c r="E660" s="111" t="str">
        <f ca="1"/>
        <v>REGENERIS CEREAL BOTELLA FAMILIAR</v>
      </c>
      <c r="F660" s="120" t="str">
        <f ca="1"/>
        <v>GUAYAQUIL</v>
      </c>
      <c r="G660" s="120">
        <f ca="1"/>
        <v>7711</v>
      </c>
      <c r="H660" s="120">
        <f ca="1"/>
        <v>1001</v>
      </c>
      <c r="I660" s="120" t="str">
        <f ca="1"/>
        <v>12529</v>
      </c>
      <c r="J660" s="120" t="str">
        <f ca="1"/>
        <v>RGN CER GDLLA BOT 1000G</v>
      </c>
      <c r="K660" s="121">
        <f ca="1"/>
        <v>18</v>
      </c>
      <c r="L660" s="122">
        <f ca="1"/>
        <v>1</v>
      </c>
      <c r="M660" s="120">
        <f ca="1"/>
        <v>1</v>
      </c>
      <c r="N660" s="121">
        <f ca="1"/>
        <v>45</v>
      </c>
      <c r="O660" s="123">
        <f ca="1"/>
        <v>45602</v>
      </c>
      <c r="P660" s="123" t="str">
        <f ca="1"/>
        <v>miércoles</v>
      </c>
      <c r="Q660" s="124">
        <f ca="1"/>
        <v>45591</v>
      </c>
      <c r="R660" s="124">
        <f ca="1"/>
        <v>45635</v>
      </c>
      <c r="S660" s="90">
        <f ca="1"/>
        <v>11</v>
      </c>
      <c r="T660" s="139">
        <f ca="1"/>
        <v>0.24444444444444444</v>
      </c>
      <c r="U660" s="131">
        <f ca="1"/>
        <v>3</v>
      </c>
      <c r="V660" s="120">
        <f ca="1"/>
        <v>3</v>
      </c>
      <c r="W660" s="140">
        <f ca="1"/>
        <v>11</v>
      </c>
      <c r="X660" s="139">
        <f ca="1"/>
        <v>0.75555555555555554</v>
      </c>
      <c r="Y660" s="141">
        <f ca="1"/>
        <v>1.39574</v>
      </c>
      <c r="Z660" s="141">
        <f ca="1"/>
        <v>1.39574</v>
      </c>
      <c r="AA660" s="142">
        <f ca="1"/>
        <v>4.1872199999999999</v>
      </c>
      <c r="AB660" s="138">
        <f ca="1"/>
        <v>22</v>
      </c>
      <c r="AC660" s="103" t="str">
        <f ca="1"/>
        <v>FECHA CORTA</v>
      </c>
      <c r="AD660" s="150">
        <f ca="1"/>
        <v>3.0000000000000001E-3</v>
      </c>
    </row>
    <row r="661" spans="1:30">
      <c r="A661" s="111" t="str">
        <f ca="1"/>
        <v>MACHACHI</v>
      </c>
      <c r="B661" s="111" t="str">
        <f ca="1"/>
        <v>BEBIDAS LACTEAS</v>
      </c>
      <c r="C661" s="111" t="str">
        <f ca="1"/>
        <v xml:space="preserve">Luis Armendariz                         </v>
      </c>
      <c r="D661" s="111" t="str">
        <f ca="1"/>
        <v>REGENERIS</v>
      </c>
      <c r="E661" s="111" t="str">
        <f ca="1"/>
        <v>REGENERIS CEREAL BOTELLA FAMILIAR</v>
      </c>
      <c r="F661" s="120" t="str">
        <f ca="1"/>
        <v>GUAYAQUIL</v>
      </c>
      <c r="G661" s="120">
        <f ca="1"/>
        <v>7711</v>
      </c>
      <c r="H661" s="120">
        <f ca="1"/>
        <v>1001</v>
      </c>
      <c r="I661" s="120" t="str">
        <f ca="1"/>
        <v>12529</v>
      </c>
      <c r="J661" s="120" t="str">
        <f ca="1"/>
        <v>RGN CER GDLLA BOT 1000G</v>
      </c>
      <c r="K661" s="121">
        <f ca="1"/>
        <v>18</v>
      </c>
      <c r="L661" s="122">
        <f ca="1"/>
        <v>1</v>
      </c>
      <c r="M661" s="120">
        <f ca="1"/>
        <v>1</v>
      </c>
      <c r="N661" s="121">
        <f ca="1"/>
        <v>45</v>
      </c>
      <c r="O661" s="123">
        <f ca="1"/>
        <v>45605</v>
      </c>
      <c r="P661" s="123" t="str">
        <f ca="1"/>
        <v>sábado</v>
      </c>
      <c r="Q661" s="124">
        <f ca="1"/>
        <v>45604</v>
      </c>
      <c r="R661" s="124">
        <f ca="1"/>
        <v>45648</v>
      </c>
      <c r="S661" s="90">
        <f ca="1"/>
        <v>24</v>
      </c>
      <c r="T661" s="139">
        <f ca="1"/>
        <v>0.53333333333333333</v>
      </c>
      <c r="U661" s="131">
        <f ca="1"/>
        <v>10</v>
      </c>
      <c r="V661" s="120">
        <f ca="1"/>
        <v>10</v>
      </c>
      <c r="W661" s="140">
        <f ca="1"/>
        <v>1</v>
      </c>
      <c r="X661" s="139">
        <f ca="1"/>
        <v>0.97777777777777775</v>
      </c>
      <c r="Y661" s="141">
        <f ca="1"/>
        <v>1.39574</v>
      </c>
      <c r="Z661" s="141">
        <f ca="1"/>
        <v>1.39574</v>
      </c>
      <c r="AA661" s="142">
        <f ca="1"/>
        <v>13.9574</v>
      </c>
      <c r="AB661" s="138">
        <f ca="1"/>
        <v>19</v>
      </c>
      <c r="AC661" s="103" t="str">
        <f ca="1"/>
        <v>PROXIMOS FECHA CORTA</v>
      </c>
      <c r="AD661" s="150">
        <f ca="1"/>
        <v>0.01</v>
      </c>
    </row>
    <row r="662" spans="1:30">
      <c r="A662" s="111" t="str">
        <f ca="1"/>
        <v>MACHACHI</v>
      </c>
      <c r="B662" s="111" t="str">
        <f ca="1"/>
        <v>BEBIDAS LACTEAS</v>
      </c>
      <c r="C662" s="111" t="str">
        <f ca="1"/>
        <v xml:space="preserve">Luis Armendariz                         </v>
      </c>
      <c r="D662" s="111" t="str">
        <f ca="1"/>
        <v>REGENERIS</v>
      </c>
      <c r="E662" s="111" t="str">
        <f ca="1"/>
        <v>REGENERIS CEREAL BOTELLA FAMILIAR</v>
      </c>
      <c r="F662" s="120" t="str">
        <f ca="1"/>
        <v>GUAYAQUIL</v>
      </c>
      <c r="G662" s="120">
        <f ca="1"/>
        <v>7711</v>
      </c>
      <c r="H662" s="120">
        <f ca="1"/>
        <v>1001</v>
      </c>
      <c r="I662" s="120" t="str">
        <f ca="1"/>
        <v>12529</v>
      </c>
      <c r="J662" s="120" t="str">
        <f ca="1"/>
        <v>RGN CER GDLLA BOT 1000G</v>
      </c>
      <c r="K662" s="121">
        <f ca="1"/>
        <v>18</v>
      </c>
      <c r="L662" s="122">
        <f ca="1"/>
        <v>1</v>
      </c>
      <c r="M662" s="120">
        <f ca="1"/>
        <v>1</v>
      </c>
      <c r="N662" s="121">
        <f ca="1"/>
        <v>45</v>
      </c>
      <c r="O662" s="123">
        <f ca="1"/>
        <v>45608</v>
      </c>
      <c r="P662" s="123" t="str">
        <f ca="1"/>
        <v>martes</v>
      </c>
      <c r="Q662" s="124">
        <f ca="1"/>
        <v>45604</v>
      </c>
      <c r="R662" s="124">
        <f ca="1"/>
        <v>45648</v>
      </c>
      <c r="S662" s="90">
        <f ca="1"/>
        <v>24</v>
      </c>
      <c r="T662" s="139">
        <f ca="1"/>
        <v>0.53333333333333333</v>
      </c>
      <c r="U662" s="131">
        <f ca="1"/>
        <v>18</v>
      </c>
      <c r="V662" s="120">
        <f ca="1"/>
        <v>18</v>
      </c>
      <c r="W662" s="140">
        <f ca="1"/>
        <v>4</v>
      </c>
      <c r="X662" s="139">
        <f ca="1"/>
        <v>0.91111111111111109</v>
      </c>
      <c r="Y662" s="141">
        <f ca="1"/>
        <v>1.39574</v>
      </c>
      <c r="Z662" s="141">
        <f ca="1"/>
        <v>1.39574</v>
      </c>
      <c r="AA662" s="142">
        <f ca="1"/>
        <v>25.12332</v>
      </c>
      <c r="AB662" s="138">
        <f ca="1"/>
        <v>16</v>
      </c>
      <c r="AC662" s="103" t="str">
        <f ca="1"/>
        <v>PROXIMOS FECHA CORTA</v>
      </c>
      <c r="AD662" s="150">
        <f ca="1"/>
        <v>1.7999999999999999E-2</v>
      </c>
    </row>
    <row r="663" spans="1:30">
      <c r="A663" s="111" t="str">
        <f ca="1"/>
        <v>SAN GABRIEL</v>
      </c>
      <c r="B663" s="111" t="str">
        <f ca="1"/>
        <v>QUESOS Y GRASAS</v>
      </c>
      <c r="C663" s="111" t="str">
        <f ca="1"/>
        <v xml:space="preserve">Esteban Montenegro                      </v>
      </c>
      <c r="D663" s="111" t="str">
        <f ca="1"/>
        <v>QUESO SEMIMADURO KIOSKO</v>
      </c>
      <c r="E663" s="111" t="str">
        <f ca="1"/>
        <v>QUESO PARMESANO KIOSKO RALLADO</v>
      </c>
      <c r="F663" s="120" t="str">
        <f ca="1"/>
        <v>GUAYAQUIL</v>
      </c>
      <c r="G663" s="120">
        <f ca="1"/>
        <v>7711</v>
      </c>
      <c r="H663" s="120">
        <f ca="1"/>
        <v>1001</v>
      </c>
      <c r="I663" s="120" t="str">
        <f ca="1"/>
        <v>5512</v>
      </c>
      <c r="J663" s="120" t="str">
        <f ca="1"/>
        <v>Q PARME KIOSKO RALL BOL 250G</v>
      </c>
      <c r="K663" s="121">
        <f ca="1"/>
        <v>40</v>
      </c>
      <c r="L663" s="122">
        <f ca="1"/>
        <v>1</v>
      </c>
      <c r="M663" s="120">
        <f ca="1"/>
        <v>0.25</v>
      </c>
      <c r="N663" s="121">
        <f ca="1"/>
        <v>180</v>
      </c>
      <c r="O663" s="123">
        <f ca="1"/>
        <v>45608</v>
      </c>
      <c r="P663" s="123" t="str">
        <f ca="1"/>
        <v>martes</v>
      </c>
      <c r="Q663" s="124">
        <f ca="1"/>
        <v>45604</v>
      </c>
      <c r="R663" s="124">
        <f ca="1"/>
        <v>45783</v>
      </c>
      <c r="S663" s="90">
        <f ca="1"/>
        <v>159</v>
      </c>
      <c r="T663" s="139">
        <f ca="1"/>
        <v>0.8833333333333333</v>
      </c>
      <c r="U663" s="131">
        <f ca="1"/>
        <v>1</v>
      </c>
      <c r="V663" s="120">
        <f ca="1"/>
        <v>0.25</v>
      </c>
      <c r="W663" s="140">
        <f ca="1"/>
        <v>4</v>
      </c>
      <c r="X663" s="139">
        <f ca="1"/>
        <v>0.97777777777777775</v>
      </c>
      <c r="Y663" s="141">
        <f ca="1"/>
        <v>2.3212000000000002</v>
      </c>
      <c r="Z663" s="141">
        <f ca="1"/>
        <v>2.3212000000000002</v>
      </c>
      <c r="AA663" s="142">
        <f ca="1"/>
        <v>0.58030000000000004</v>
      </c>
      <c r="AB663" s="138">
        <f ca="1"/>
        <v>16</v>
      </c>
      <c r="AC663" s="103" t="str">
        <f ca="1"/>
        <v>VIGENTE</v>
      </c>
      <c r="AD663" s="150">
        <f ca="1"/>
        <v>2.5000000000000001E-4</v>
      </c>
    </row>
    <row r="664" spans="1:30">
      <c r="A664" s="111" t="str">
        <f ca="1"/>
        <v>SAN GABRIEL</v>
      </c>
      <c r="B664" s="111" t="str">
        <f ca="1"/>
        <v>QUESOS Y GRASAS</v>
      </c>
      <c r="C664" s="111" t="str">
        <f ca="1"/>
        <v xml:space="preserve">Esteban Montenegro                      </v>
      </c>
      <c r="D664" s="111" t="str">
        <f ca="1"/>
        <v>QUESO SEMIMADURO KIOSKO</v>
      </c>
      <c r="E664" s="111" t="str">
        <f ca="1"/>
        <v>QUESO PARMESANO KIOSKO RALLADO</v>
      </c>
      <c r="F664" s="120" t="str">
        <f ca="1"/>
        <v>GUAYAQUIL</v>
      </c>
      <c r="G664" s="120">
        <f ca="1"/>
        <v>7711</v>
      </c>
      <c r="H664" s="120">
        <f ca="1"/>
        <v>1001</v>
      </c>
      <c r="I664" s="120" t="str">
        <f ca="1"/>
        <v>5512</v>
      </c>
      <c r="J664" s="120" t="str">
        <f ca="1"/>
        <v>Q PARME KIOSKO RALL BOL 250G</v>
      </c>
      <c r="K664" s="121">
        <f ca="1"/>
        <v>200</v>
      </c>
      <c r="L664" s="122">
        <f ca="1"/>
        <v>1</v>
      </c>
      <c r="M664" s="120">
        <f ca="1"/>
        <v>0.25</v>
      </c>
      <c r="N664" s="121">
        <f ca="1"/>
        <v>180</v>
      </c>
      <c r="O664" s="123">
        <f ca="1"/>
        <v>45611</v>
      </c>
      <c r="P664" s="123" t="str">
        <f ca="1"/>
        <v>viernes</v>
      </c>
      <c r="Q664" s="124">
        <f ca="1"/>
        <v>45610</v>
      </c>
      <c r="R664" s="124">
        <f ca="1"/>
        <v>45789</v>
      </c>
      <c r="S664" s="90">
        <f ca="1"/>
        <v>165</v>
      </c>
      <c r="T664" s="139">
        <f ca="1"/>
        <v>0.91666666666666663</v>
      </c>
      <c r="U664" s="131">
        <f ca="1"/>
        <v>200</v>
      </c>
      <c r="V664" s="120">
        <f ca="1"/>
        <v>50</v>
      </c>
      <c r="W664" s="140">
        <f ca="1"/>
        <v>1</v>
      </c>
      <c r="X664" s="139">
        <f ca="1"/>
        <v>0.99444444444444446</v>
      </c>
      <c r="Y664" s="141">
        <f ca="1"/>
        <v>2.3212000000000002</v>
      </c>
      <c r="Z664" s="141">
        <f ca="1"/>
        <v>2.3212000000000002</v>
      </c>
      <c r="AA664" s="142">
        <f ca="1"/>
        <v>116.06</v>
      </c>
      <c r="AB664" s="138">
        <f ca="1"/>
        <v>13</v>
      </c>
      <c r="AC664" s="103" t="str">
        <f ca="1"/>
        <v>VIGENTE</v>
      </c>
      <c r="AD664" s="150">
        <f ca="1"/>
        <v>0.05</v>
      </c>
    </row>
    <row r="665" spans="1:30">
      <c r="A665" s="111" t="str">
        <f ca="1"/>
        <v>SAN GABRIEL</v>
      </c>
      <c r="B665" s="111" t="str">
        <f ca="1"/>
        <v>QUESOS Y GRASAS</v>
      </c>
      <c r="C665" s="111" t="str">
        <f ca="1"/>
        <v xml:space="preserve">Esteban Montenegro                      </v>
      </c>
      <c r="D665" s="111" t="str">
        <f ca="1"/>
        <v>QUESO SEMIMADURO KIOSKO</v>
      </c>
      <c r="E665" s="111" t="str">
        <f ca="1"/>
        <v>QUESO PARMESANO KIOSKO RALLADO</v>
      </c>
      <c r="F665" s="120" t="str">
        <f ca="1"/>
        <v>GUAYAQUIL</v>
      </c>
      <c r="G665" s="120">
        <f ca="1"/>
        <v>7711</v>
      </c>
      <c r="H665" s="120">
        <f ca="1"/>
        <v>1001</v>
      </c>
      <c r="I665" s="120" t="str">
        <f ca="1"/>
        <v>5512</v>
      </c>
      <c r="J665" s="120" t="str">
        <f ca="1"/>
        <v>Q PARME KIOSKO RALL BOL 250G</v>
      </c>
      <c r="K665" s="121">
        <f ca="1"/>
        <v>200</v>
      </c>
      <c r="L665" s="122">
        <f ca="1"/>
        <v>1</v>
      </c>
      <c r="M665" s="120">
        <f ca="1"/>
        <v>0.25</v>
      </c>
      <c r="N665" s="121">
        <f ca="1"/>
        <v>180</v>
      </c>
      <c r="O665" s="123">
        <f ca="1"/>
        <v>45610</v>
      </c>
      <c r="P665" s="123" t="str">
        <f ca="1"/>
        <v>jueves</v>
      </c>
      <c r="Q665" s="124">
        <f ca="1"/>
        <v>45609</v>
      </c>
      <c r="R665" s="124">
        <f ca="1"/>
        <v>45788</v>
      </c>
      <c r="S665" s="90">
        <f ca="1"/>
        <v>164</v>
      </c>
      <c r="T665" s="139">
        <f ca="1"/>
        <v>0.91111111111111109</v>
      </c>
      <c r="U665" s="131">
        <f ca="1"/>
        <v>159</v>
      </c>
      <c r="V665" s="120">
        <f ca="1"/>
        <v>39.75</v>
      </c>
      <c r="W665" s="140">
        <f ca="1"/>
        <v>1</v>
      </c>
      <c r="X665" s="139">
        <f ca="1"/>
        <v>0.99444444444444446</v>
      </c>
      <c r="Y665" s="141">
        <f ca="1"/>
        <v>2.3212000000000002</v>
      </c>
      <c r="Z665" s="141">
        <f ca="1"/>
        <v>2.3212000000000002</v>
      </c>
      <c r="AA665" s="142">
        <f ca="1"/>
        <v>92.267700000000005</v>
      </c>
      <c r="AB665" s="138">
        <f ca="1"/>
        <v>14</v>
      </c>
      <c r="AC665" s="103" t="str">
        <f ca="1"/>
        <v>VIGENTE</v>
      </c>
      <c r="AD665" s="150">
        <f ca="1"/>
        <v>3.9750000000000001E-2</v>
      </c>
    </row>
    <row r="666" spans="1:30">
      <c r="A666" s="111" t="str">
        <f ca="1"/>
        <v>SAN GABRIEL</v>
      </c>
      <c r="B666" s="111" t="str">
        <f ca="1"/>
        <v>QUESOS Y GRASAS</v>
      </c>
      <c r="C666" s="111" t="str">
        <f ca="1"/>
        <v xml:space="preserve">Esteban Montenegro                      </v>
      </c>
      <c r="D666" s="111" t="str">
        <f ca="1"/>
        <v>QUESO SEMIMADURO KIOSKO</v>
      </c>
      <c r="E666" s="111" t="str">
        <f ca="1"/>
        <v>QUESO PARMESANO KIOSKO RALLADO</v>
      </c>
      <c r="F666" s="120" t="str">
        <f ca="1"/>
        <v>GUAYAQUIL</v>
      </c>
      <c r="G666" s="120">
        <f ca="1"/>
        <v>7711</v>
      </c>
      <c r="H666" s="120">
        <f ca="1"/>
        <v>1001</v>
      </c>
      <c r="I666" s="120" t="str">
        <f ca="1"/>
        <v>5512</v>
      </c>
      <c r="J666" s="120" t="str">
        <f ca="1"/>
        <v>Q PARME KIOSKO RALL BOL 250G</v>
      </c>
      <c r="K666" s="121">
        <f ca="1"/>
        <v>160</v>
      </c>
      <c r="L666" s="122">
        <f ca="1"/>
        <v>1</v>
      </c>
      <c r="M666" s="120">
        <f ca="1"/>
        <v>0.25</v>
      </c>
      <c r="N666" s="121">
        <f ca="1"/>
        <v>180</v>
      </c>
      <c r="O666" s="123">
        <f ca="1"/>
        <v>45615</v>
      </c>
      <c r="P666" s="123" t="str">
        <f ca="1"/>
        <v>martes</v>
      </c>
      <c r="Q666" s="124">
        <f ca="1"/>
        <v>45610</v>
      </c>
      <c r="R666" s="124">
        <f ca="1"/>
        <v>45789</v>
      </c>
      <c r="S666" s="90">
        <f ca="1"/>
        <v>165</v>
      </c>
      <c r="T666" s="139">
        <f ca="1"/>
        <v>0.91666666666666663</v>
      </c>
      <c r="U666" s="131">
        <f ca="1"/>
        <v>160</v>
      </c>
      <c r="V666" s="120">
        <f ca="1"/>
        <v>40</v>
      </c>
      <c r="W666" s="140">
        <f ca="1"/>
        <v>5</v>
      </c>
      <c r="X666" s="139">
        <f ca="1"/>
        <v>0.97222222222222221</v>
      </c>
      <c r="Y666" s="141">
        <f ca="1"/>
        <v>2.3212000000000002</v>
      </c>
      <c r="Z666" s="141">
        <f ca="1"/>
        <v>2.3212000000000002</v>
      </c>
      <c r="AA666" s="142">
        <f ca="1"/>
        <v>92.848000000000013</v>
      </c>
      <c r="AB666" s="138">
        <f ca="1"/>
        <v>9</v>
      </c>
      <c r="AC666" s="103" t="str">
        <f ca="1"/>
        <v>VIGENTE</v>
      </c>
      <c r="AD666" s="150">
        <f ca="1"/>
        <v>0.04</v>
      </c>
    </row>
    <row r="667" spans="1:30">
      <c r="A667" s="111" t="str">
        <f ca="1"/>
        <v>SAN GABRIEL</v>
      </c>
      <c r="B667" s="111" t="str">
        <f ca="1"/>
        <v>QUESOS Y GRASAS</v>
      </c>
      <c r="C667" s="111" t="str">
        <f ca="1"/>
        <v xml:space="preserve">Esteban Montenegro                      </v>
      </c>
      <c r="D667" s="111" t="str">
        <f ca="1"/>
        <v>QUESO SEMIMADURO KIOSKO</v>
      </c>
      <c r="E667" s="111" t="str">
        <f ca="1"/>
        <v>QUESO PARMESANO KIOSKO RALLADO</v>
      </c>
      <c r="F667" s="120" t="str">
        <f ca="1"/>
        <v>GUAYAQUIL</v>
      </c>
      <c r="G667" s="120">
        <f ca="1"/>
        <v>7711</v>
      </c>
      <c r="H667" s="120">
        <f ca="1"/>
        <v>1001</v>
      </c>
      <c r="I667" s="120" t="str">
        <f ca="1"/>
        <v>5512</v>
      </c>
      <c r="J667" s="120" t="str">
        <f ca="1"/>
        <v>Q PARME KIOSKO RALL BOL 250G</v>
      </c>
      <c r="K667" s="121">
        <f ca="1"/>
        <v>40</v>
      </c>
      <c r="L667" s="122">
        <f ca="1"/>
        <v>1</v>
      </c>
      <c r="M667" s="120">
        <f ca="1"/>
        <v>0.25</v>
      </c>
      <c r="N667" s="121">
        <f ca="1"/>
        <v>180</v>
      </c>
      <c r="O667" s="123">
        <f ca="1"/>
        <v>45616</v>
      </c>
      <c r="P667" s="123" t="str">
        <f ca="1"/>
        <v>miércoles</v>
      </c>
      <c r="Q667" s="124">
        <f ca="1"/>
        <v>45610</v>
      </c>
      <c r="R667" s="124">
        <f ca="1"/>
        <v>45789</v>
      </c>
      <c r="S667" s="90">
        <f ca="1"/>
        <v>165</v>
      </c>
      <c r="T667" s="139">
        <f ca="1"/>
        <v>0.91666666666666663</v>
      </c>
      <c r="U667" s="131">
        <f ca="1"/>
        <v>40</v>
      </c>
      <c r="V667" s="120">
        <f ca="1"/>
        <v>10</v>
      </c>
      <c r="W667" s="140">
        <f ca="1"/>
        <v>6</v>
      </c>
      <c r="X667" s="139">
        <f ca="1"/>
        <v>0.96666666666666667</v>
      </c>
      <c r="Y667" s="141">
        <f ca="1"/>
        <v>2.3212000000000002</v>
      </c>
      <c r="Z667" s="141">
        <f ca="1"/>
        <v>2.3212000000000002</v>
      </c>
      <c r="AA667" s="142">
        <f ca="1"/>
        <v>23.212000000000003</v>
      </c>
      <c r="AB667" s="138">
        <f ca="1"/>
        <v>8</v>
      </c>
      <c r="AC667" s="103" t="str">
        <f ca="1"/>
        <v>VIGENTE</v>
      </c>
      <c r="AD667" s="150">
        <f ca="1"/>
        <v>0.01</v>
      </c>
    </row>
    <row r="668" spans="1:30">
      <c r="A668" s="111" t="str">
        <f ca="1"/>
        <v>SAN GABRIEL</v>
      </c>
      <c r="B668" s="111" t="str">
        <f ca="1"/>
        <v>QUESOS Y GRASAS</v>
      </c>
      <c r="C668" s="111" t="str">
        <f ca="1"/>
        <v xml:space="preserve">Esteban Montenegro                      </v>
      </c>
      <c r="D668" s="111" t="str">
        <f ca="1"/>
        <v>QUESO SEMIMADURO KIOSKO</v>
      </c>
      <c r="E668" s="111" t="str">
        <f ca="1"/>
        <v>QUESO PARMESANO KIOSKO RALLADO</v>
      </c>
      <c r="F668" s="120" t="str">
        <f ca="1"/>
        <v>GUAYAQUIL</v>
      </c>
      <c r="G668" s="120">
        <f ca="1"/>
        <v>7711</v>
      </c>
      <c r="H668" s="120">
        <f ca="1"/>
        <v>1001</v>
      </c>
      <c r="I668" s="120" t="str">
        <f ca="1"/>
        <v>5512</v>
      </c>
      <c r="J668" s="120" t="str">
        <f ca="1"/>
        <v>Q PARME KIOSKO RALL BOL 250G</v>
      </c>
      <c r="K668" s="121">
        <f ca="1"/>
        <v>120</v>
      </c>
      <c r="L668" s="122">
        <f ca="1"/>
        <v>1</v>
      </c>
      <c r="M668" s="120">
        <f ca="1"/>
        <v>0.25</v>
      </c>
      <c r="N668" s="121">
        <f ca="1"/>
        <v>180</v>
      </c>
      <c r="O668" s="123">
        <f ca="1"/>
        <v>45617</v>
      </c>
      <c r="P668" s="123" t="str">
        <f ca="1"/>
        <v>jueves</v>
      </c>
      <c r="Q668" s="124">
        <f ca="1"/>
        <v>45610</v>
      </c>
      <c r="R668" s="124">
        <f ca="1"/>
        <v>45789</v>
      </c>
      <c r="S668" s="90">
        <f ca="1"/>
        <v>165</v>
      </c>
      <c r="T668" s="139">
        <f ca="1"/>
        <v>0.91666666666666663</v>
      </c>
      <c r="U668" s="131">
        <f ca="1"/>
        <v>120</v>
      </c>
      <c r="V668" s="120">
        <f ca="1"/>
        <v>30</v>
      </c>
      <c r="W668" s="140">
        <f ca="1"/>
        <v>7</v>
      </c>
      <c r="X668" s="139">
        <f ca="1"/>
        <v>0.96111111111111114</v>
      </c>
      <c r="Y668" s="141">
        <f ca="1"/>
        <v>2.3212000000000002</v>
      </c>
      <c r="Z668" s="141">
        <f ca="1"/>
        <v>2.3212000000000002</v>
      </c>
      <c r="AA668" s="142">
        <f ca="1"/>
        <v>69.63600000000001</v>
      </c>
      <c r="AB668" s="138">
        <f ca="1"/>
        <v>7</v>
      </c>
      <c r="AC668" s="103" t="str">
        <f ca="1"/>
        <v>VIGENTE</v>
      </c>
      <c r="AD668" s="150">
        <f ca="1"/>
        <v>0.03</v>
      </c>
    </row>
    <row r="669" spans="1:30">
      <c r="A669" s="111" t="str">
        <f ca="1"/>
        <v>MACHACHI</v>
      </c>
      <c r="B669" s="111" t="str">
        <f ca="1"/>
        <v>BEBIDAS LACTEAS</v>
      </c>
      <c r="C669" s="111" t="str">
        <f ca="1"/>
        <v xml:space="preserve">Luis Armendariz                         </v>
      </c>
      <c r="D669" s="111" t="str">
        <f ca="1"/>
        <v>YOGURT KIOSKO</v>
      </c>
      <c r="E669" s="111" t="str">
        <f ca="1"/>
        <v>BEBIDA DE YOGURT KIOSKO BOTELLA PERSONAL</v>
      </c>
      <c r="F669" s="120" t="str">
        <f ca="1"/>
        <v>GUAYAQUIL</v>
      </c>
      <c r="G669" s="120">
        <f ca="1"/>
        <v>7711</v>
      </c>
      <c r="H669" s="120">
        <f ca="1"/>
        <v>1001</v>
      </c>
      <c r="I669" s="120" t="str">
        <f ca="1"/>
        <v>17350</v>
      </c>
      <c r="J669" s="120" t="str">
        <f ca="1"/>
        <v>YOG BBLE KID KK BANANO BOT 180G</v>
      </c>
      <c r="K669" s="121">
        <f ca="1"/>
        <v>432</v>
      </c>
      <c r="L669" s="122">
        <f ca="1"/>
        <v>1</v>
      </c>
      <c r="M669" s="120">
        <f ca="1"/>
        <v>0.18</v>
      </c>
      <c r="N669" s="121">
        <f ca="1"/>
        <v>45</v>
      </c>
      <c r="O669" s="123">
        <f ca="1"/>
        <v>45609</v>
      </c>
      <c r="P669" s="123" t="str">
        <f ca="1"/>
        <v>miércoles</v>
      </c>
      <c r="Q669" s="124">
        <f ca="1"/>
        <v>45604</v>
      </c>
      <c r="R669" s="124">
        <f ca="1"/>
        <v>45648</v>
      </c>
      <c r="S669" s="90">
        <f ca="1"/>
        <v>24</v>
      </c>
      <c r="T669" s="139">
        <f ca="1"/>
        <v>0.53333333333333333</v>
      </c>
      <c r="U669" s="131">
        <f ca="1"/>
        <v>306</v>
      </c>
      <c r="V669" s="120">
        <f ca="1"/>
        <v>55.08</v>
      </c>
      <c r="W669" s="140">
        <f ca="1"/>
        <v>5</v>
      </c>
      <c r="X669" s="139">
        <f ca="1"/>
        <v>0.88888888888888884</v>
      </c>
      <c r="Y669" s="141">
        <f ca="1"/>
        <v>0.323905</v>
      </c>
      <c r="Z669" s="141">
        <f ca="1"/>
        <v>0.323905</v>
      </c>
      <c r="AA669" s="142">
        <f ca="1"/>
        <v>17.8406874</v>
      </c>
      <c r="AB669" s="138">
        <f ca="1"/>
        <v>15</v>
      </c>
      <c r="AC669" s="103" t="str">
        <f ca="1"/>
        <v>PROXIMOS FECHA CORTA</v>
      </c>
      <c r="AD669" s="150">
        <f ca="1"/>
        <v>5.5079999999999997E-2</v>
      </c>
    </row>
    <row r="670" spans="1:30">
      <c r="A670" s="111" t="str">
        <f ca="1"/>
        <v>MACHACHI</v>
      </c>
      <c r="B670" s="111" t="str">
        <f ca="1"/>
        <v>BEBIDAS LACTEAS</v>
      </c>
      <c r="C670" s="111" t="str">
        <f ca="1"/>
        <v xml:space="preserve">Luis Armendariz                         </v>
      </c>
      <c r="D670" s="111" t="str">
        <f ca="1"/>
        <v>YOGURT KIOSKO</v>
      </c>
      <c r="E670" s="111" t="str">
        <f ca="1"/>
        <v>BEBIDA DE YOGURT KIOSKO BOTELLA PERSONAL</v>
      </c>
      <c r="F670" s="120" t="str">
        <f ca="1"/>
        <v>GUAYAQUIL</v>
      </c>
      <c r="G670" s="120">
        <f ca="1"/>
        <v>7711</v>
      </c>
      <c r="H670" s="120">
        <f ca="1"/>
        <v>1001</v>
      </c>
      <c r="I670" s="120" t="str">
        <f ca="1"/>
        <v>17350</v>
      </c>
      <c r="J670" s="120" t="str">
        <f ca="1"/>
        <v>YOG BBLE KID KK BANANO BOT 180G</v>
      </c>
      <c r="K670" s="121">
        <f ca="1"/>
        <v>1080</v>
      </c>
      <c r="L670" s="122">
        <f ca="1"/>
        <v>1</v>
      </c>
      <c r="M670" s="120">
        <f ca="1"/>
        <v>0.18</v>
      </c>
      <c r="N670" s="121">
        <f ca="1"/>
        <v>45</v>
      </c>
      <c r="O670" s="123">
        <f ca="1"/>
        <v>45610</v>
      </c>
      <c r="P670" s="123" t="str">
        <f ca="1"/>
        <v>jueves</v>
      </c>
      <c r="Q670" s="124">
        <f ca="1"/>
        <v>45604</v>
      </c>
      <c r="R670" s="124">
        <f ca="1"/>
        <v>45648</v>
      </c>
      <c r="S670" s="90">
        <f ca="1"/>
        <v>24</v>
      </c>
      <c r="T670" s="139">
        <f ca="1"/>
        <v>0.53333333333333333</v>
      </c>
      <c r="U670" s="131">
        <f ca="1"/>
        <v>1080</v>
      </c>
      <c r="V670" s="120">
        <f ca="1"/>
        <v>194.4</v>
      </c>
      <c r="W670" s="140">
        <f ca="1"/>
        <v>6</v>
      </c>
      <c r="X670" s="139">
        <f ca="1"/>
        <v>0.8666666666666667</v>
      </c>
      <c r="Y670" s="141">
        <f ca="1"/>
        <v>0.323905</v>
      </c>
      <c r="Z670" s="141">
        <f ca="1"/>
        <v>0.323905</v>
      </c>
      <c r="AA670" s="142">
        <f ca="1"/>
        <v>62.967131999999999</v>
      </c>
      <c r="AB670" s="138">
        <f ca="1"/>
        <v>14</v>
      </c>
      <c r="AC670" s="103" t="str">
        <f ca="1"/>
        <v>PROXIMOS FECHA CORTA</v>
      </c>
      <c r="AD670" s="150">
        <f ca="1"/>
        <v>0.19440000000000002</v>
      </c>
    </row>
    <row r="671" spans="1:30">
      <c r="A671" s="111" t="str">
        <f ca="1"/>
        <v>SAN GABRIEL</v>
      </c>
      <c r="B671" s="111" t="str">
        <f ca="1"/>
        <v>QUESOS Y GRASAS</v>
      </c>
      <c r="C671" s="111" t="str">
        <f ca="1"/>
        <v xml:space="preserve">Esteban Montenegro                      </v>
      </c>
      <c r="D671" s="111" t="str">
        <f ca="1"/>
        <v>QUESO SEMIMADURO KIOSKO</v>
      </c>
      <c r="E671" s="111" t="str">
        <f ca="1"/>
        <v>QUESO SEMIMADURO KIOSKO MIX RALLADO</v>
      </c>
      <c r="F671" s="120" t="str">
        <f ca="1"/>
        <v>GUAYAQUIL</v>
      </c>
      <c r="G671" s="120">
        <f ca="1"/>
        <v>7711</v>
      </c>
      <c r="H671" s="120">
        <f ca="1"/>
        <v>1001</v>
      </c>
      <c r="I671" s="120" t="str">
        <f ca="1"/>
        <v>16272</v>
      </c>
      <c r="J671" s="120" t="str">
        <f ca="1"/>
        <v>Q KIOSKO MIX RALLADOS 300G</v>
      </c>
      <c r="K671" s="121">
        <f ca="1"/>
        <v>60</v>
      </c>
      <c r="L671" s="122">
        <f ca="1"/>
        <v>1</v>
      </c>
      <c r="M671" s="120">
        <f ca="1"/>
        <v>0.3</v>
      </c>
      <c r="N671" s="121">
        <f ca="1"/>
        <v>60</v>
      </c>
      <c r="O671" s="123">
        <f ca="1"/>
        <v>45616</v>
      </c>
      <c r="P671" s="123" t="str">
        <f ca="1"/>
        <v>miércoles</v>
      </c>
      <c r="Q671" s="124">
        <f ca="1"/>
        <v>45603</v>
      </c>
      <c r="R671" s="124">
        <f ca="1"/>
        <v>45662</v>
      </c>
      <c r="S671" s="90">
        <f ca="1"/>
        <v>38</v>
      </c>
      <c r="T671" s="139">
        <f ca="1"/>
        <v>0.6333333333333333</v>
      </c>
      <c r="U671" s="131">
        <f ca="1"/>
        <v>46</v>
      </c>
      <c r="V671" s="120">
        <f ca="1"/>
        <v>13.799999999999999</v>
      </c>
      <c r="W671" s="140">
        <f ca="1"/>
        <v>13</v>
      </c>
      <c r="X671" s="139">
        <f ca="1"/>
        <v>0.78333333333333333</v>
      </c>
      <c r="Y671" s="141">
        <f ca="1"/>
        <v>2.4202900000000001</v>
      </c>
      <c r="Z671" s="141">
        <f ca="1"/>
        <v>2.4202900000000001</v>
      </c>
      <c r="AA671" s="142">
        <f ca="1"/>
        <v>33.400002000000001</v>
      </c>
      <c r="AB671" s="138">
        <f ca="1"/>
        <v>8</v>
      </c>
      <c r="AC671" s="103" t="str">
        <f ca="1"/>
        <v>VIGENTE</v>
      </c>
      <c r="AD671" s="150">
        <f ca="1"/>
        <v>1.38E-2</v>
      </c>
    </row>
    <row r="672" spans="1:30">
      <c r="A672" s="111" t="str">
        <f ca="1"/>
        <v>SAN GABRIEL</v>
      </c>
      <c r="B672" s="111" t="str">
        <f ca="1"/>
        <v>QUESOS Y GRASAS</v>
      </c>
      <c r="C672" s="111" t="str">
        <f ca="1"/>
        <v xml:space="preserve">Esteban Montenegro                      </v>
      </c>
      <c r="D672" s="111" t="str">
        <f ca="1"/>
        <v>QUESO SEMIMADURO KIOSKO</v>
      </c>
      <c r="E672" s="111" t="str">
        <f ca="1"/>
        <v>QUESO SEMIMADURO KIOSKO MIX RALLADO</v>
      </c>
      <c r="F672" s="120" t="str">
        <f ca="1"/>
        <v>GUAYAQUIL</v>
      </c>
      <c r="G672" s="120">
        <f ca="1"/>
        <v>7711</v>
      </c>
      <c r="H672" s="120">
        <f ca="1"/>
        <v>1001</v>
      </c>
      <c r="I672" s="120" t="str">
        <f ca="1"/>
        <v>16272</v>
      </c>
      <c r="J672" s="120" t="str">
        <f ca="1"/>
        <v>Q KIOSKO MIX RALLADOS 300G</v>
      </c>
      <c r="K672" s="121">
        <f ca="1"/>
        <v>30</v>
      </c>
      <c r="L672" s="122">
        <f ca="1"/>
        <v>1</v>
      </c>
      <c r="M672" s="120">
        <f ca="1"/>
        <v>0.3</v>
      </c>
      <c r="N672" s="121">
        <f ca="1"/>
        <v>60</v>
      </c>
      <c r="O672" s="123">
        <f ca="1"/>
        <v>45617</v>
      </c>
      <c r="P672" s="123" t="str">
        <f ca="1"/>
        <v>jueves</v>
      </c>
      <c r="Q672" s="124">
        <f ca="1"/>
        <v>45603</v>
      </c>
      <c r="R672" s="124">
        <f ca="1"/>
        <v>45662</v>
      </c>
      <c r="S672" s="90">
        <f ca="1"/>
        <v>38</v>
      </c>
      <c r="T672" s="139">
        <f ca="1"/>
        <v>0.6333333333333333</v>
      </c>
      <c r="U672" s="131">
        <f ca="1"/>
        <v>30</v>
      </c>
      <c r="V672" s="120">
        <f ca="1"/>
        <v>9</v>
      </c>
      <c r="W672" s="140">
        <f ca="1"/>
        <v>14</v>
      </c>
      <c r="X672" s="139">
        <f ca="1"/>
        <v>0.76666666666666661</v>
      </c>
      <c r="Y672" s="141">
        <f ca="1"/>
        <v>2.4202900000000001</v>
      </c>
      <c r="Z672" s="141">
        <f ca="1"/>
        <v>2.4202900000000001</v>
      </c>
      <c r="AA672" s="142">
        <f ca="1"/>
        <v>21.782610000000002</v>
      </c>
      <c r="AB672" s="138">
        <f ca="1"/>
        <v>7</v>
      </c>
      <c r="AC672" s="103" t="str">
        <f ca="1"/>
        <v>VIGENTE</v>
      </c>
      <c r="AD672" s="150">
        <f ca="1"/>
        <v>8.9999999999999993E-3</v>
      </c>
    </row>
    <row r="673" spans="1:30">
      <c r="A673" s="111" t="str">
        <f ca="1"/>
        <v>MACHACHI</v>
      </c>
      <c r="B673" s="111" t="str">
        <f ca="1"/>
        <v>BEBIDAS LACTEAS</v>
      </c>
      <c r="C673" s="111" t="str">
        <f ca="1"/>
        <v xml:space="preserve">Luis Armendariz                         </v>
      </c>
      <c r="D673" s="111" t="str">
        <f ca="1"/>
        <v>REGENERIS</v>
      </c>
      <c r="E673" s="111" t="str">
        <f ca="1"/>
        <v>REGENERIS CEREAL BOTELLA FAMILIAR</v>
      </c>
      <c r="F673" s="120" t="str">
        <f ca="1"/>
        <v>GUAYAQUIL</v>
      </c>
      <c r="G673" s="120">
        <f ca="1"/>
        <v>7711</v>
      </c>
      <c r="H673" s="120">
        <f ca="1"/>
        <v>1001</v>
      </c>
      <c r="I673" s="120" t="str">
        <f ca="1"/>
        <v>2122</v>
      </c>
      <c r="J673" s="120" t="str">
        <f ca="1"/>
        <v>RGN CER PITA BOT 1000G</v>
      </c>
      <c r="K673" s="121">
        <f ca="1"/>
        <v>108</v>
      </c>
      <c r="L673" s="122">
        <f ca="1"/>
        <v>1</v>
      </c>
      <c r="M673" s="120">
        <f ca="1"/>
        <v>1</v>
      </c>
      <c r="N673" s="121">
        <f ca="1"/>
        <v>45</v>
      </c>
      <c r="O673" s="123">
        <f ca="1"/>
        <v>45609</v>
      </c>
      <c r="P673" s="123" t="str">
        <f ca="1"/>
        <v>miércoles</v>
      </c>
      <c r="Q673" s="124">
        <f ca="1"/>
        <v>45604</v>
      </c>
      <c r="R673" s="124">
        <f ca="1"/>
        <v>45648</v>
      </c>
      <c r="S673" s="90">
        <f ca="1"/>
        <v>24</v>
      </c>
      <c r="T673" s="139">
        <f ca="1"/>
        <v>0.53333333333333333</v>
      </c>
      <c r="U673" s="131">
        <f ca="1"/>
        <v>1</v>
      </c>
      <c r="V673" s="120">
        <f ca="1"/>
        <v>1</v>
      </c>
      <c r="W673" s="140">
        <f ca="1"/>
        <v>5</v>
      </c>
      <c r="X673" s="139">
        <f ca="1"/>
        <v>0.88888888888888884</v>
      </c>
      <c r="Y673" s="141">
        <f ca="1"/>
        <v>1.5184099999999998</v>
      </c>
      <c r="Z673" s="141">
        <f ca="1"/>
        <v>1.5184099999999998</v>
      </c>
      <c r="AA673" s="142">
        <f ca="1"/>
        <v>1.5184099999999998</v>
      </c>
      <c r="AB673" s="138">
        <f ca="1"/>
        <v>15</v>
      </c>
      <c r="AC673" s="103" t="str">
        <f ca="1"/>
        <v>PROXIMOS FECHA CORTA</v>
      </c>
      <c r="AD673" s="150">
        <f ca="1"/>
        <v>1E-3</v>
      </c>
    </row>
    <row r="674" spans="1:30">
      <c r="A674" s="111" t="str">
        <f ca="1"/>
        <v>MACHACHI</v>
      </c>
      <c r="B674" s="111" t="str">
        <f ca="1"/>
        <v>BEBIDAS LACTEAS</v>
      </c>
      <c r="C674" s="111" t="str">
        <f ca="1"/>
        <v xml:space="preserve">Luis Armendariz                         </v>
      </c>
      <c r="D674" s="111" t="str">
        <f ca="1"/>
        <v>REGENERIS</v>
      </c>
      <c r="E674" s="111" t="str">
        <f ca="1"/>
        <v>REGENERIS CEREAL BOTELLA FAMILIAR</v>
      </c>
      <c r="F674" s="120" t="str">
        <f ca="1"/>
        <v>GUAYAQUIL</v>
      </c>
      <c r="G674" s="120">
        <f ca="1"/>
        <v>7711</v>
      </c>
      <c r="H674" s="120">
        <f ca="1"/>
        <v>1001</v>
      </c>
      <c r="I674" s="120" t="str">
        <f ca="1"/>
        <v>2122</v>
      </c>
      <c r="J674" s="120" t="str">
        <f ca="1"/>
        <v>RGN CER PITA BOT 1000G</v>
      </c>
      <c r="K674" s="121">
        <f ca="1"/>
        <v>198</v>
      </c>
      <c r="L674" s="122">
        <f ca="1"/>
        <v>1</v>
      </c>
      <c r="M674" s="120">
        <f ca="1"/>
        <v>1</v>
      </c>
      <c r="N674" s="121">
        <f ca="1"/>
        <v>45</v>
      </c>
      <c r="O674" s="123">
        <f ca="1"/>
        <v>45612</v>
      </c>
      <c r="P674" s="123" t="str">
        <f ca="1"/>
        <v>sábado</v>
      </c>
      <c r="Q674" s="124">
        <f ca="1"/>
        <v>45611</v>
      </c>
      <c r="R674" s="124">
        <f ca="1"/>
        <v>45655</v>
      </c>
      <c r="S674" s="90">
        <f ca="1"/>
        <v>31</v>
      </c>
      <c r="T674" s="139">
        <f ca="1"/>
        <v>0.68888888888888888</v>
      </c>
      <c r="U674" s="131">
        <f ca="1"/>
        <v>118</v>
      </c>
      <c r="V674" s="120">
        <f ca="1"/>
        <v>118</v>
      </c>
      <c r="W674" s="140">
        <f ca="1"/>
        <v>1</v>
      </c>
      <c r="X674" s="139">
        <f ca="1"/>
        <v>0.97777777777777775</v>
      </c>
      <c r="Y674" s="141">
        <f ca="1"/>
        <v>1.5184099999999998</v>
      </c>
      <c r="Z674" s="141">
        <f ca="1"/>
        <v>1.5184099999999998</v>
      </c>
      <c r="AA674" s="142">
        <f ca="1"/>
        <v>179.17237999999998</v>
      </c>
      <c r="AB674" s="138">
        <f ca="1"/>
        <v>12</v>
      </c>
      <c r="AC674" s="103" t="str">
        <f ca="1"/>
        <v>VIGENTE</v>
      </c>
      <c r="AD674" s="150">
        <f ca="1"/>
        <v>0.11799999999999999</v>
      </c>
    </row>
    <row r="675" spans="1:30">
      <c r="A675" s="111" t="str">
        <f ca="1"/>
        <v>MACHACHI</v>
      </c>
      <c r="B675" s="111" t="str">
        <f ca="1"/>
        <v>BEBIDAS LACTEAS</v>
      </c>
      <c r="C675" s="111" t="str">
        <f ca="1"/>
        <v xml:space="preserve">Luis Armendariz                         </v>
      </c>
      <c r="D675" s="111" t="str">
        <f ca="1"/>
        <v>REGENERIS</v>
      </c>
      <c r="E675" s="111" t="str">
        <f ca="1"/>
        <v>REGENERIS CEREAL BOTELLA FAMILIAR</v>
      </c>
      <c r="F675" s="120" t="str">
        <f ca="1"/>
        <v>GUAYAQUIL</v>
      </c>
      <c r="G675" s="120">
        <f ca="1"/>
        <v>7711</v>
      </c>
      <c r="H675" s="120">
        <f ca="1"/>
        <v>1001</v>
      </c>
      <c r="I675" s="120" t="str">
        <f ca="1"/>
        <v>2122</v>
      </c>
      <c r="J675" s="120" t="str">
        <f ca="1"/>
        <v>RGN CER PITA BOT 1000G</v>
      </c>
      <c r="K675" s="121">
        <f ca="1"/>
        <v>252</v>
      </c>
      <c r="L675" s="122">
        <f ca="1"/>
        <v>1</v>
      </c>
      <c r="M675" s="120">
        <f ca="1"/>
        <v>1</v>
      </c>
      <c r="N675" s="121">
        <f ca="1"/>
        <v>45</v>
      </c>
      <c r="O675" s="123">
        <f ca="1"/>
        <v>45615</v>
      </c>
      <c r="P675" s="123" t="str">
        <f ca="1"/>
        <v>martes</v>
      </c>
      <c r="Q675" s="124">
        <f ca="1"/>
        <v>45611</v>
      </c>
      <c r="R675" s="124">
        <f ca="1"/>
        <v>45655</v>
      </c>
      <c r="S675" s="90">
        <f ca="1"/>
        <v>31</v>
      </c>
      <c r="T675" s="139">
        <f ca="1"/>
        <v>0.68888888888888888</v>
      </c>
      <c r="U675" s="131">
        <f ca="1"/>
        <v>252</v>
      </c>
      <c r="V675" s="120">
        <f ca="1"/>
        <v>252</v>
      </c>
      <c r="W675" s="140">
        <f ca="1"/>
        <v>4</v>
      </c>
      <c r="X675" s="139">
        <f ca="1"/>
        <v>0.91111111111111109</v>
      </c>
      <c r="Y675" s="141">
        <f ca="1"/>
        <v>1.5184099999999998</v>
      </c>
      <c r="Z675" s="141">
        <f ca="1"/>
        <v>1.5184099999999998</v>
      </c>
      <c r="AA675" s="142">
        <f ca="1"/>
        <v>382.63931999999994</v>
      </c>
      <c r="AB675" s="138">
        <f ca="1"/>
        <v>9</v>
      </c>
      <c r="AC675" s="103" t="str">
        <f ca="1"/>
        <v>VIGENTE</v>
      </c>
      <c r="AD675" s="150">
        <f ca="1"/>
        <v>0.252</v>
      </c>
    </row>
    <row r="676" spans="1:30">
      <c r="A676" s="111" t="str">
        <f ca="1"/>
        <v>MACHACHI</v>
      </c>
      <c r="B676" s="111" t="str">
        <f ca="1"/>
        <v>BEBIDAS LACTEAS</v>
      </c>
      <c r="C676" s="111" t="str">
        <f ca="1"/>
        <v xml:space="preserve">Luis Armendariz                         </v>
      </c>
      <c r="D676" s="111" t="str">
        <f ca="1"/>
        <v>REGENERIS</v>
      </c>
      <c r="E676" s="111" t="str">
        <f ca="1"/>
        <v>REGENERIS CEREAL BOTELLA FAMILIAR</v>
      </c>
      <c r="F676" s="120" t="str">
        <f ca="1"/>
        <v>GUAYAQUIL</v>
      </c>
      <c r="G676" s="120">
        <f ca="1"/>
        <v>7711</v>
      </c>
      <c r="H676" s="120">
        <f ca="1"/>
        <v>1001</v>
      </c>
      <c r="I676" s="120" t="str">
        <f ca="1"/>
        <v>2122</v>
      </c>
      <c r="J676" s="120" t="str">
        <f ca="1"/>
        <v>RGN CER PITA BOT 1000G</v>
      </c>
      <c r="K676" s="121">
        <f ca="1"/>
        <v>126</v>
      </c>
      <c r="L676" s="122">
        <f ca="1"/>
        <v>1</v>
      </c>
      <c r="M676" s="120">
        <f ca="1"/>
        <v>1</v>
      </c>
      <c r="N676" s="121">
        <f ca="1"/>
        <v>45</v>
      </c>
      <c r="O676" s="123">
        <f ca="1"/>
        <v>45616</v>
      </c>
      <c r="P676" s="123" t="str">
        <f ca="1"/>
        <v>miércoles</v>
      </c>
      <c r="Q676" s="124">
        <f ca="1"/>
        <v>45611</v>
      </c>
      <c r="R676" s="124">
        <f ca="1"/>
        <v>45655</v>
      </c>
      <c r="S676" s="90">
        <f ca="1"/>
        <v>31</v>
      </c>
      <c r="T676" s="139">
        <f ca="1"/>
        <v>0.68888888888888888</v>
      </c>
      <c r="U676" s="131">
        <f ca="1"/>
        <v>126</v>
      </c>
      <c r="V676" s="120">
        <f ca="1"/>
        <v>126</v>
      </c>
      <c r="W676" s="140">
        <f ca="1"/>
        <v>5</v>
      </c>
      <c r="X676" s="139">
        <f ca="1"/>
        <v>0.88888888888888884</v>
      </c>
      <c r="Y676" s="141">
        <f ca="1"/>
        <v>1.5184099999999998</v>
      </c>
      <c r="Z676" s="141">
        <f ca="1"/>
        <v>1.5184099999999998</v>
      </c>
      <c r="AA676" s="142">
        <f ca="1"/>
        <v>191.31965999999997</v>
      </c>
      <c r="AB676" s="138">
        <f ca="1"/>
        <v>8</v>
      </c>
      <c r="AC676" s="103" t="str">
        <f ca="1"/>
        <v>VIGENTE</v>
      </c>
      <c r="AD676" s="150">
        <f ca="1"/>
        <v>0.126</v>
      </c>
    </row>
    <row r="677" spans="1:30">
      <c r="A677" s="111" t="str">
        <f ca="1"/>
        <v>MULTIEMPAQUE</v>
      </c>
      <c r="B677" s="111" t="str">
        <f ca="1"/>
        <v>POSTRES</v>
      </c>
      <c r="C677" s="111" t="str">
        <f ca="1"/>
        <v xml:space="preserve">Luis Armendariz                         </v>
      </c>
      <c r="D677" s="111" t="str">
        <f ca="1"/>
        <v>ALPINETTE</v>
      </c>
      <c r="E677" s="111" t="str">
        <f ca="1"/>
        <v>ALPINETTE</v>
      </c>
      <c r="F677" s="120" t="str">
        <f ca="1"/>
        <v>GUAYAQUIL</v>
      </c>
      <c r="G677" s="120">
        <f ca="1"/>
        <v>7711</v>
      </c>
      <c r="H677" s="120">
        <f ca="1"/>
        <v>1001</v>
      </c>
      <c r="I677" s="120" t="str">
        <f ca="1"/>
        <v>14165</v>
      </c>
      <c r="J677" s="120" t="str">
        <f ca="1"/>
        <v>MPLX4 ALPINETTE CZA 140G</v>
      </c>
      <c r="K677" s="121">
        <f ca="1"/>
        <v>18</v>
      </c>
      <c r="L677" s="122">
        <f ca="1"/>
        <v>1</v>
      </c>
      <c r="M677" s="120">
        <f ca="1"/>
        <v>0.56000000000000005</v>
      </c>
      <c r="N677" s="121">
        <f ca="1"/>
        <v>60</v>
      </c>
      <c r="O677" s="123">
        <f ca="1"/>
        <v>45602</v>
      </c>
      <c r="P677" s="123" t="str">
        <f ca="1"/>
        <v>miércoles</v>
      </c>
      <c r="Q677" s="124">
        <f ca="1"/>
        <v>45573</v>
      </c>
      <c r="R677" s="124">
        <f ca="1"/>
        <v>45632</v>
      </c>
      <c r="S677" s="90">
        <f ca="1"/>
        <v>8</v>
      </c>
      <c r="T677" s="139">
        <f ca="1"/>
        <v>0.13333333333333333</v>
      </c>
      <c r="U677" s="131">
        <f ca="1"/>
        <v>18</v>
      </c>
      <c r="V677" s="120">
        <f ca="1"/>
        <v>10.080000000000002</v>
      </c>
      <c r="W677" s="140">
        <f ca="1"/>
        <v>29</v>
      </c>
      <c r="X677" s="139">
        <f ca="1"/>
        <v>0.51666666666666661</v>
      </c>
      <c r="Y677" s="141">
        <f ca="1"/>
        <v>2.0278900000000002</v>
      </c>
      <c r="Z677" s="141">
        <f ca="1"/>
        <v>2.0278900000000002</v>
      </c>
      <c r="AA677" s="142">
        <f ca="1"/>
        <v>20.441131200000004</v>
      </c>
      <c r="AB677" s="138">
        <f ca="1"/>
        <v>22</v>
      </c>
      <c r="AC677" s="103" t="str">
        <f ca="1"/>
        <v>FECHA CORTA</v>
      </c>
      <c r="AD677" s="150">
        <f ca="1"/>
        <v>1.0080000000000002E-2</v>
      </c>
    </row>
    <row r="678" spans="1:30">
      <c r="A678" s="111" t="str">
        <f ca="1"/>
        <v>MACHACHI</v>
      </c>
      <c r="B678" s="111" t="str">
        <f ca="1"/>
        <v>BEBIDAS LACTEAS</v>
      </c>
      <c r="C678" s="111" t="str">
        <f ca="1"/>
        <v xml:space="preserve">Luis Armendariz                         </v>
      </c>
      <c r="D678" s="111" t="str">
        <f ca="1"/>
        <v>YOGURT KIOSKO</v>
      </c>
      <c r="E678" s="111" t="str">
        <f ca="1"/>
        <v>BEBIDA DE YOGURT KIOSKO BOTELLA PERSONAL</v>
      </c>
      <c r="F678" s="120" t="str">
        <f ca="1"/>
        <v>GUAYAQUIL</v>
      </c>
      <c r="G678" s="120">
        <f ca="1"/>
        <v>7711</v>
      </c>
      <c r="H678" s="120">
        <f ca="1"/>
        <v>1001</v>
      </c>
      <c r="I678" s="120" t="str">
        <f ca="1"/>
        <v>16372</v>
      </c>
      <c r="J678" s="120" t="str">
        <f ca="1"/>
        <v>YOG BBLE KIOSKO FTILLA 180</v>
      </c>
      <c r="K678" s="121">
        <f ca="1"/>
        <v>216</v>
      </c>
      <c r="L678" s="122">
        <f ca="1"/>
        <v>1</v>
      </c>
      <c r="M678" s="120">
        <f ca="1"/>
        <v>0.18</v>
      </c>
      <c r="N678" s="121">
        <f ca="1"/>
        <v>45</v>
      </c>
      <c r="O678" s="123">
        <f ca="1"/>
        <v>45597</v>
      </c>
      <c r="P678" s="123" t="str">
        <f ca="1"/>
        <v>viernes</v>
      </c>
      <c r="Q678" s="124">
        <f ca="1"/>
        <v>45588</v>
      </c>
      <c r="R678" s="124">
        <f ca="1"/>
        <v>45632</v>
      </c>
      <c r="S678" s="90">
        <f ca="1"/>
        <v>8</v>
      </c>
      <c r="T678" s="139">
        <f ca="1"/>
        <v>0.17777777777777778</v>
      </c>
      <c r="U678" s="131">
        <f ca="1"/>
        <v>128</v>
      </c>
      <c r="V678" s="120">
        <f ca="1"/>
        <v>23.04</v>
      </c>
      <c r="W678" s="140">
        <f ca="1"/>
        <v>9</v>
      </c>
      <c r="X678" s="139">
        <f ca="1"/>
        <v>0.8</v>
      </c>
      <c r="Y678" s="141">
        <f ca="1"/>
        <v>0.24412500000000001</v>
      </c>
      <c r="Z678" s="141">
        <f ca="1"/>
        <v>0.24412500000000001</v>
      </c>
      <c r="AA678" s="142">
        <f ca="1"/>
        <v>5.6246400000000003</v>
      </c>
      <c r="AB678" s="138">
        <f ca="1"/>
        <v>27</v>
      </c>
      <c r="AC678" s="103" t="str">
        <f ca="1"/>
        <v>FECHA CORTA</v>
      </c>
      <c r="AD678" s="150">
        <f ca="1"/>
        <v>2.3039999999999998E-2</v>
      </c>
    </row>
    <row r="679" spans="1:30">
      <c r="A679" s="111" t="str">
        <f ca="1"/>
        <v>MACHACHI</v>
      </c>
      <c r="B679" s="111" t="str">
        <f ca="1"/>
        <v>BEBIDAS LACTEAS</v>
      </c>
      <c r="C679" s="111" t="str">
        <f ca="1"/>
        <v xml:space="preserve">Luis Armendariz                         </v>
      </c>
      <c r="D679" s="111" t="str">
        <f ca="1"/>
        <v>YOGURT KIOSKO</v>
      </c>
      <c r="E679" s="111" t="str">
        <f ca="1"/>
        <v>BEBIDA DE YOGURT KIOSKO BOTELLA PERSONAL</v>
      </c>
      <c r="F679" s="120" t="str">
        <f ca="1"/>
        <v>GUAYAQUIL</v>
      </c>
      <c r="G679" s="120">
        <f ca="1"/>
        <v>7711</v>
      </c>
      <c r="H679" s="120">
        <f ca="1"/>
        <v>1001</v>
      </c>
      <c r="I679" s="120" t="str">
        <f ca="1"/>
        <v>16372</v>
      </c>
      <c r="J679" s="120" t="str">
        <f ca="1"/>
        <v>YOG BBLE KIOSKO FTILLA 180</v>
      </c>
      <c r="K679" s="121">
        <f ca="1"/>
        <v>216</v>
      </c>
      <c r="L679" s="122">
        <f ca="1"/>
        <v>1</v>
      </c>
      <c r="M679" s="120">
        <f ca="1"/>
        <v>0.18</v>
      </c>
      <c r="N679" s="121">
        <f ca="1"/>
        <v>45</v>
      </c>
      <c r="O679" s="123">
        <f ca="1"/>
        <v>45601</v>
      </c>
      <c r="P679" s="123" t="str">
        <f ca="1"/>
        <v>martes</v>
      </c>
      <c r="Q679" s="124">
        <f ca="1"/>
        <v>45596</v>
      </c>
      <c r="R679" s="124">
        <f ca="1"/>
        <v>45640</v>
      </c>
      <c r="S679" s="90">
        <f ca="1"/>
        <v>16</v>
      </c>
      <c r="T679" s="139">
        <f ca="1"/>
        <v>0.35555555555555557</v>
      </c>
      <c r="U679" s="131">
        <f ca="1"/>
        <v>39</v>
      </c>
      <c r="V679" s="120">
        <f ca="1"/>
        <v>7.02</v>
      </c>
      <c r="W679" s="140">
        <f ca="1"/>
        <v>5</v>
      </c>
      <c r="X679" s="139">
        <f ca="1"/>
        <v>0.88888888888888884</v>
      </c>
      <c r="Y679" s="141">
        <f ca="1"/>
        <v>0.24412500000000001</v>
      </c>
      <c r="Z679" s="141">
        <f ca="1"/>
        <v>0.24412500000000001</v>
      </c>
      <c r="AA679" s="142">
        <f ca="1"/>
        <v>1.7137575</v>
      </c>
      <c r="AB679" s="138">
        <f ca="1"/>
        <v>23</v>
      </c>
      <c r="AC679" s="103" t="str">
        <f ca="1"/>
        <v>FECHA CORTA</v>
      </c>
      <c r="AD679" s="150">
        <f ca="1"/>
        <v>7.0199999999999993E-3</v>
      </c>
    </row>
    <row r="680" spans="1:30">
      <c r="A680" s="111" t="str">
        <f ca="1"/>
        <v>MACHACHI</v>
      </c>
      <c r="B680" s="111" t="str">
        <f ca="1"/>
        <v>BEBIDAS LACTEAS</v>
      </c>
      <c r="C680" s="111" t="str">
        <f ca="1"/>
        <v xml:space="preserve">Luis Armendariz                         </v>
      </c>
      <c r="D680" s="111" t="str">
        <f ca="1"/>
        <v>YOGURT KIOSKO</v>
      </c>
      <c r="E680" s="111" t="str">
        <f ca="1"/>
        <v>BEBIDA DE YOGURT KIOSKO BOTELLA PERSONAL</v>
      </c>
      <c r="F680" s="120" t="str">
        <f ca="1"/>
        <v>GUAYAQUIL</v>
      </c>
      <c r="G680" s="120">
        <f ca="1"/>
        <v>7711</v>
      </c>
      <c r="H680" s="120">
        <f ca="1"/>
        <v>1001</v>
      </c>
      <c r="I680" s="120" t="str">
        <f ca="1"/>
        <v>16372</v>
      </c>
      <c r="J680" s="120" t="str">
        <f ca="1"/>
        <v>YOG BBLE KIOSKO FTILLA 180</v>
      </c>
      <c r="K680" s="121">
        <f ca="1"/>
        <v>108</v>
      </c>
      <c r="L680" s="122">
        <f ca="1"/>
        <v>1</v>
      </c>
      <c r="M680" s="120">
        <f ca="1"/>
        <v>0.18</v>
      </c>
      <c r="N680" s="121">
        <f ca="1"/>
        <v>45</v>
      </c>
      <c r="O680" s="123">
        <f ca="1"/>
        <v>45617</v>
      </c>
      <c r="P680" s="123" t="str">
        <f ca="1"/>
        <v>jueves</v>
      </c>
      <c r="Q680" s="124">
        <f ca="1"/>
        <v>45611</v>
      </c>
      <c r="R680" s="124">
        <f ca="1"/>
        <v>45655</v>
      </c>
      <c r="S680" s="90">
        <f ca="1"/>
        <v>31</v>
      </c>
      <c r="T680" s="139">
        <f ca="1"/>
        <v>0.68888888888888888</v>
      </c>
      <c r="U680" s="131">
        <f ca="1"/>
        <v>36</v>
      </c>
      <c r="V680" s="120">
        <f ca="1"/>
        <v>6.4799999999999995</v>
      </c>
      <c r="W680" s="140">
        <f ca="1"/>
        <v>6</v>
      </c>
      <c r="X680" s="139">
        <f ca="1"/>
        <v>0.8666666666666667</v>
      </c>
      <c r="Y680" s="141">
        <f ca="1"/>
        <v>0.24412500000000001</v>
      </c>
      <c r="Z680" s="141">
        <f ca="1"/>
        <v>0.24412500000000001</v>
      </c>
      <c r="AA680" s="142">
        <f ca="1"/>
        <v>1.5819299999999998</v>
      </c>
      <c r="AB680" s="138">
        <f ca="1"/>
        <v>7</v>
      </c>
      <c r="AC680" s="103" t="str">
        <f ca="1"/>
        <v>VIGENTE</v>
      </c>
      <c r="AD680" s="150">
        <f ca="1"/>
        <v>6.4799999999999996E-3</v>
      </c>
    </row>
    <row r="681" spans="1:30">
      <c r="A681" s="111" t="str">
        <f ca="1"/>
        <v>PROMOCION</v>
      </c>
      <c r="B681" s="111" t="str">
        <f ca="1"/>
        <v>MULTIMARCA</v>
      </c>
      <c r="C681" s="111" t="str">
        <f ca="1"/>
        <v xml:space="preserve">Esteban Montenegro                      </v>
      </c>
      <c r="D681" s="111" t="str">
        <f ca="1"/>
        <v>MULTIMARCA</v>
      </c>
      <c r="E681" s="111" t="str">
        <f ca="1"/>
        <v>ARMADOS</v>
      </c>
      <c r="F681" s="120" t="str">
        <f ca="1"/>
        <v>GUAYAQUIL</v>
      </c>
      <c r="G681" s="120">
        <f ca="1"/>
        <v>7711</v>
      </c>
      <c r="H681" s="120">
        <f ca="1"/>
        <v>1001</v>
      </c>
      <c r="I681" s="120" t="str">
        <f ca="1"/>
        <v>17370</v>
      </c>
      <c r="J681" s="120" t="str">
        <f ca="1"/>
        <v>PACK TABLA+PARM 40G+ AMERIC 75G+SAN 75G</v>
      </c>
      <c r="K681" s="121">
        <f ca="1"/>
        <v>0</v>
      </c>
      <c r="L681" s="122">
        <f ca="1"/>
        <v>1</v>
      </c>
      <c r="M681" s="120">
        <f ca="1"/>
        <v>0.19</v>
      </c>
      <c r="N681" s="121">
        <f ca="1"/>
        <v>60</v>
      </c>
      <c r="O681" s="123">
        <f ca="1"/>
        <v>45619</v>
      </c>
      <c r="P681" s="123" t="str">
        <f ca="1"/>
        <v>sábado</v>
      </c>
      <c r="Q681" s="124">
        <f ca="1"/>
        <v>45619</v>
      </c>
      <c r="R681" s="124">
        <f ca="1"/>
        <v>45678</v>
      </c>
      <c r="S681" s="90">
        <f ca="1"/>
        <v>54</v>
      </c>
      <c r="T681" s="139">
        <f ca="1"/>
        <v>0.9</v>
      </c>
      <c r="U681" s="131">
        <f ca="1"/>
        <v>1</v>
      </c>
      <c r="V681" s="120">
        <f ca="1"/>
        <v>0.19</v>
      </c>
      <c r="W681" s="140">
        <f ca="1"/>
        <v>0</v>
      </c>
      <c r="X681" s="139">
        <f ca="1"/>
        <v>1</v>
      </c>
      <c r="Y681" s="141">
        <f ca="1"/>
        <v>3.4317950000000002</v>
      </c>
      <c r="Z681" s="141">
        <f ca="1"/>
        <v>3.4317950000000002</v>
      </c>
      <c r="AA681" s="142">
        <f ca="1"/>
        <v>0.65204105000000001</v>
      </c>
      <c r="AB681" s="138">
        <f ca="1"/>
        <v>5</v>
      </c>
      <c r="AC681" s="103" t="str">
        <f ca="1"/>
        <v>VIGENTE</v>
      </c>
      <c r="AD681" s="150">
        <f ca="1"/>
        <v>1.9000000000000001E-4</v>
      </c>
    </row>
    <row r="682" spans="1:30">
      <c r="A682" s="111" t="str">
        <f ca="1"/>
        <v>PROMOCION</v>
      </c>
      <c r="B682" s="111" t="str">
        <f ca="1"/>
        <v>MULTIMARCA</v>
      </c>
      <c r="C682" s="111" t="str">
        <f ca="1"/>
        <v xml:space="preserve">Esteban Montenegro                      </v>
      </c>
      <c r="D682" s="111" t="str">
        <f ca="1"/>
        <v>MULTIMARCA</v>
      </c>
      <c r="E682" s="111" t="str">
        <f ca="1"/>
        <v>ARMADOS</v>
      </c>
      <c r="F682" s="120" t="str">
        <f ca="1"/>
        <v>GUAYAQUIL</v>
      </c>
      <c r="G682" s="120">
        <f ca="1"/>
        <v>7711</v>
      </c>
      <c r="H682" s="120">
        <f ca="1"/>
        <v>1001</v>
      </c>
      <c r="I682" s="120" t="str">
        <f ca="1"/>
        <v>17370</v>
      </c>
      <c r="J682" s="120" t="str">
        <f ca="1"/>
        <v>PACK TABLA+PARM 40G+ AMERIC 75G+SAN 75G</v>
      </c>
      <c r="K682" s="121">
        <f ca="1"/>
        <v>476</v>
      </c>
      <c r="L682" s="122">
        <f ca="1"/>
        <v>1</v>
      </c>
      <c r="M682" s="120">
        <f ca="1"/>
        <v>0.19</v>
      </c>
      <c r="N682" s="121">
        <f ca="1"/>
        <v>60</v>
      </c>
      <c r="O682" s="123">
        <f ca="1"/>
        <v>45615</v>
      </c>
      <c r="P682" s="123" t="str">
        <f ca="1"/>
        <v>martes</v>
      </c>
      <c r="Q682" s="124">
        <f ca="1"/>
        <v>45601</v>
      </c>
      <c r="R682" s="124">
        <f ca="1"/>
        <v>45660</v>
      </c>
      <c r="S682" s="90">
        <f ca="1"/>
        <v>36</v>
      </c>
      <c r="T682" s="139">
        <f ca="1"/>
        <v>0.6</v>
      </c>
      <c r="U682" s="131">
        <f ca="1"/>
        <v>479</v>
      </c>
      <c r="V682" s="120">
        <f ca="1"/>
        <v>91.01</v>
      </c>
      <c r="W682" s="140">
        <f ca="1"/>
        <v>14</v>
      </c>
      <c r="X682" s="139">
        <f ca="1"/>
        <v>0.76666666666666661</v>
      </c>
      <c r="Y682" s="141">
        <f ca="1"/>
        <v>3.4317950000000002</v>
      </c>
      <c r="Z682" s="141">
        <f ca="1"/>
        <v>3.4317950000000002</v>
      </c>
      <c r="AA682" s="142">
        <f ca="1"/>
        <v>312.32766295000005</v>
      </c>
      <c r="AB682" s="138">
        <f ca="1"/>
        <v>9</v>
      </c>
      <c r="AC682" s="103" t="str">
        <f ca="1"/>
        <v>VIGENTE</v>
      </c>
      <c r="AD682" s="150">
        <f ca="1"/>
        <v>9.1010000000000008E-2</v>
      </c>
    </row>
    <row r="683" spans="1:30">
      <c r="A683" s="111" t="str">
        <f ca="1"/>
        <v>SAN GABRIEL</v>
      </c>
      <c r="B683" s="111" t="str">
        <f ca="1"/>
        <v>QUESOS Y GRASAS</v>
      </c>
      <c r="C683" s="111" t="str">
        <f ca="1"/>
        <v xml:space="preserve">Esteban Montenegro                      </v>
      </c>
      <c r="D683" s="111" t="str">
        <f ca="1"/>
        <v>QUESO FRESCO KIOSKO</v>
      </c>
      <c r="E683" s="111" t="str">
        <f ca="1"/>
        <v>QUESO RICOTTA KIOSKO BLOQUE</v>
      </c>
      <c r="F683" s="120" t="str">
        <f ca="1"/>
        <v>GUAYAQUIL</v>
      </c>
      <c r="G683" s="120">
        <f ca="1"/>
        <v>7711</v>
      </c>
      <c r="H683" s="120">
        <f ca="1"/>
        <v>1001</v>
      </c>
      <c r="I683" s="120" t="str">
        <f ca="1"/>
        <v>5750</v>
      </c>
      <c r="J683" s="120" t="str">
        <f ca="1"/>
        <v>Q RICOTTA KIOSKO BLOQ 250G</v>
      </c>
      <c r="K683" s="121">
        <f ca="1"/>
        <v>270</v>
      </c>
      <c r="L683" s="122">
        <f ca="1"/>
        <v>1</v>
      </c>
      <c r="M683" s="120">
        <f ca="1"/>
        <v>0.25</v>
      </c>
      <c r="N683" s="121">
        <f ca="1"/>
        <v>35</v>
      </c>
      <c r="O683" s="123">
        <f ca="1"/>
        <v>45615</v>
      </c>
      <c r="P683" s="123" t="str">
        <f ca="1"/>
        <v>martes</v>
      </c>
      <c r="Q683" s="124">
        <f ca="1"/>
        <v>45611</v>
      </c>
      <c r="R683" s="124">
        <f ca="1"/>
        <v>45645</v>
      </c>
      <c r="S683" s="90">
        <f ca="1"/>
        <v>21</v>
      </c>
      <c r="T683" s="139">
        <f ca="1"/>
        <v>0.6</v>
      </c>
      <c r="U683" s="131">
        <f ca="1"/>
        <v>171</v>
      </c>
      <c r="V683" s="120">
        <f ca="1"/>
        <v>42.75</v>
      </c>
      <c r="W683" s="140">
        <f ca="1"/>
        <v>4</v>
      </c>
      <c r="X683" s="139">
        <f ca="1"/>
        <v>0.88571428571428568</v>
      </c>
      <c r="Y683" s="141">
        <f ca="1"/>
        <v>0.69428000000000001</v>
      </c>
      <c r="Z683" s="141">
        <f ca="1"/>
        <v>0.69428000000000001</v>
      </c>
      <c r="AA683" s="142">
        <f ca="1"/>
        <v>29.68047</v>
      </c>
      <c r="AB683" s="138">
        <f ca="1"/>
        <v>9</v>
      </c>
      <c r="AC683" s="103" t="str">
        <f ca="1"/>
        <v>FECHA CORTA</v>
      </c>
      <c r="AD683" s="150">
        <f ca="1"/>
        <v>4.2750000000000003E-2</v>
      </c>
    </row>
    <row r="684" spans="1:30">
      <c r="A684" s="111" t="str">
        <f ca="1"/>
        <v>SAN GABRIEL</v>
      </c>
      <c r="B684" s="111" t="str">
        <f ca="1"/>
        <v>QUESOS Y GRASAS</v>
      </c>
      <c r="C684" s="111" t="str">
        <f ca="1"/>
        <v xml:space="preserve">Esteban Montenegro                      </v>
      </c>
      <c r="D684" s="111" t="str">
        <f ca="1"/>
        <v>QUESO FRESCO KIOSKO</v>
      </c>
      <c r="E684" s="111" t="str">
        <f ca="1"/>
        <v>QUESO RICOTTA KIOSKO BLOQUE</v>
      </c>
      <c r="F684" s="120" t="str">
        <f ca="1"/>
        <v>GUAYAQUIL</v>
      </c>
      <c r="G684" s="120">
        <f ca="1"/>
        <v>7711</v>
      </c>
      <c r="H684" s="120">
        <f ca="1"/>
        <v>1001</v>
      </c>
      <c r="I684" s="120" t="str">
        <f ca="1"/>
        <v>5750</v>
      </c>
      <c r="J684" s="120" t="str">
        <f ca="1"/>
        <v>Q RICOTTA KIOSKO BLOQ 250G</v>
      </c>
      <c r="K684" s="121">
        <f ca="1"/>
        <v>90</v>
      </c>
      <c r="L684" s="122">
        <f ca="1"/>
        <v>1</v>
      </c>
      <c r="M684" s="120">
        <f ca="1"/>
        <v>0.25</v>
      </c>
      <c r="N684" s="121">
        <f ca="1"/>
        <v>35</v>
      </c>
      <c r="O684" s="123">
        <f ca="1"/>
        <v>45616</v>
      </c>
      <c r="P684" s="123" t="str">
        <f ca="1"/>
        <v>miércoles</v>
      </c>
      <c r="Q684" s="124">
        <f ca="1"/>
        <v>45611</v>
      </c>
      <c r="R684" s="124">
        <f ca="1"/>
        <v>45645</v>
      </c>
      <c r="S684" s="90">
        <f ca="1"/>
        <v>21</v>
      </c>
      <c r="T684" s="139">
        <f ca="1"/>
        <v>0.6</v>
      </c>
      <c r="U684" s="131">
        <f ca="1"/>
        <v>90</v>
      </c>
      <c r="V684" s="120">
        <f ca="1"/>
        <v>22.5</v>
      </c>
      <c r="W684" s="140">
        <f ca="1"/>
        <v>5</v>
      </c>
      <c r="X684" s="139">
        <f ca="1"/>
        <v>0.85714285714285721</v>
      </c>
      <c r="Y684" s="141">
        <f ca="1"/>
        <v>0.69428000000000001</v>
      </c>
      <c r="Z684" s="141">
        <f ca="1"/>
        <v>0.69428000000000001</v>
      </c>
      <c r="AA684" s="142">
        <f ca="1"/>
        <v>15.6213</v>
      </c>
      <c r="AB684" s="138">
        <f ca="1"/>
        <v>8</v>
      </c>
      <c r="AC684" s="103" t="str">
        <f ca="1"/>
        <v>FECHA CORTA</v>
      </c>
      <c r="AD684" s="150">
        <f ca="1"/>
        <v>2.2499999999999999E-2</v>
      </c>
    </row>
    <row r="685" spans="1:30">
      <c r="A685" s="111" t="str">
        <f ca="1"/>
        <v>SAN GABRIEL</v>
      </c>
      <c r="B685" s="111" t="str">
        <f ca="1"/>
        <v>QUESOS Y GRASAS</v>
      </c>
      <c r="C685" s="111" t="str">
        <f ca="1"/>
        <v xml:space="preserve">Esteban Montenegro                      </v>
      </c>
      <c r="D685" s="111" t="str">
        <f ca="1"/>
        <v>QUESO FRESCO KIOSKO</v>
      </c>
      <c r="E685" s="111" t="str">
        <f ca="1"/>
        <v>QUESO RICOTTA KIOSKO BLOQUE</v>
      </c>
      <c r="F685" s="120" t="str">
        <f ca="1"/>
        <v>GUAYAQUIL</v>
      </c>
      <c r="G685" s="120">
        <f ca="1"/>
        <v>7711</v>
      </c>
      <c r="H685" s="120">
        <f ca="1"/>
        <v>1001</v>
      </c>
      <c r="I685" s="120" t="str">
        <f ca="1"/>
        <v>5750</v>
      </c>
      <c r="J685" s="120" t="str">
        <f ca="1"/>
        <v>Q RICOTTA KIOSKO BLOQ 250G</v>
      </c>
      <c r="K685" s="121">
        <f ca="1"/>
        <v>45</v>
      </c>
      <c r="L685" s="122">
        <f ca="1"/>
        <v>1</v>
      </c>
      <c r="M685" s="120">
        <f ca="1"/>
        <v>0.25</v>
      </c>
      <c r="N685" s="121">
        <f ca="1"/>
        <v>35</v>
      </c>
      <c r="O685" s="123">
        <f ca="1"/>
        <v>45617</v>
      </c>
      <c r="P685" s="123" t="str">
        <f ca="1"/>
        <v>jueves</v>
      </c>
      <c r="Q685" s="124">
        <f ca="1"/>
        <v>45616</v>
      </c>
      <c r="R685" s="124">
        <f ca="1"/>
        <v>45650</v>
      </c>
      <c r="S685" s="90">
        <f ca="1"/>
        <v>26</v>
      </c>
      <c r="T685" s="139">
        <f ca="1"/>
        <v>0.74285714285714288</v>
      </c>
      <c r="U685" s="131">
        <f ca="1"/>
        <v>45</v>
      </c>
      <c r="V685" s="120">
        <f ca="1"/>
        <v>11.25</v>
      </c>
      <c r="W685" s="140">
        <f ca="1"/>
        <v>1</v>
      </c>
      <c r="X685" s="139">
        <f ca="1"/>
        <v>0.97142857142857142</v>
      </c>
      <c r="Y685" s="141">
        <f ca="1"/>
        <v>0.69428000000000001</v>
      </c>
      <c r="Z685" s="141">
        <f ca="1"/>
        <v>0.69428000000000001</v>
      </c>
      <c r="AA685" s="142">
        <f ca="1"/>
        <v>7.8106499999999999</v>
      </c>
      <c r="AB685" s="138">
        <f ca="1"/>
        <v>7</v>
      </c>
      <c r="AC685" s="103" t="str">
        <f ca="1"/>
        <v>PROXIMOS FECHA CORTA</v>
      </c>
      <c r="AD685" s="150">
        <f ca="1"/>
        <v>1.125E-2</v>
      </c>
    </row>
    <row r="686" spans="1:30">
      <c r="A686" s="111" t="str">
        <f ca="1"/>
        <v>SAN GABRIEL</v>
      </c>
      <c r="B686" s="111" t="str">
        <f ca="1"/>
        <v>QUESOS Y GRASAS</v>
      </c>
      <c r="C686" s="111" t="str">
        <f ca="1"/>
        <v xml:space="preserve">Esteban Montenegro                      </v>
      </c>
      <c r="D686" s="111" t="str">
        <f ca="1"/>
        <v>QUESO FRESCO KIOSKO</v>
      </c>
      <c r="E686" s="111" t="str">
        <f ca="1"/>
        <v>QUESO RICOTTA KIOSKO BLOQUE</v>
      </c>
      <c r="F686" s="120" t="str">
        <f ca="1"/>
        <v>GUAYAQUIL</v>
      </c>
      <c r="G686" s="120">
        <f ca="1"/>
        <v>7711</v>
      </c>
      <c r="H686" s="120">
        <f ca="1"/>
        <v>1001</v>
      </c>
      <c r="I686" s="120" t="str">
        <f ca="1"/>
        <v>5750</v>
      </c>
      <c r="J686" s="120" t="str">
        <f ca="1"/>
        <v>Q RICOTTA KIOSKO BLOQ 250G</v>
      </c>
      <c r="K686" s="121">
        <f ca="1"/>
        <v>45</v>
      </c>
      <c r="L686" s="122">
        <f ca="1"/>
        <v>1</v>
      </c>
      <c r="M686" s="120">
        <f ca="1"/>
        <v>0.25</v>
      </c>
      <c r="N686" s="121">
        <f ca="1"/>
        <v>35</v>
      </c>
      <c r="O686" s="123">
        <f ca="1"/>
        <v>45617</v>
      </c>
      <c r="P686" s="123" t="str">
        <f ca="1"/>
        <v>jueves</v>
      </c>
      <c r="Q686" s="124">
        <f ca="1"/>
        <v>45611</v>
      </c>
      <c r="R686" s="124">
        <f ca="1"/>
        <v>45645</v>
      </c>
      <c r="S686" s="90">
        <f ca="1"/>
        <v>21</v>
      </c>
      <c r="T686" s="139">
        <f ca="1"/>
        <v>0.6</v>
      </c>
      <c r="U686" s="131">
        <f ca="1"/>
        <v>45</v>
      </c>
      <c r="V686" s="120">
        <f ca="1"/>
        <v>11.25</v>
      </c>
      <c r="W686" s="140">
        <f ca="1"/>
        <v>6</v>
      </c>
      <c r="X686" s="139">
        <f ca="1"/>
        <v>0.82857142857142851</v>
      </c>
      <c r="Y686" s="141">
        <f ca="1"/>
        <v>0.69428000000000001</v>
      </c>
      <c r="Z686" s="141">
        <f ca="1"/>
        <v>0.69428000000000001</v>
      </c>
      <c r="AA686" s="142">
        <f ca="1"/>
        <v>7.8106499999999999</v>
      </c>
      <c r="AB686" s="138">
        <f ca="1"/>
        <v>7</v>
      </c>
      <c r="AC686" s="103" t="str">
        <f ca="1"/>
        <v>FECHA CORTA</v>
      </c>
      <c r="AD686" s="150">
        <f ca="1"/>
        <v>1.125E-2</v>
      </c>
    </row>
    <row r="687" spans="1:30">
      <c r="A687" s="111" t="str">
        <f ca="1"/>
        <v>MACHACHI</v>
      </c>
      <c r="B687" s="111" t="str">
        <f ca="1"/>
        <v>BEBIDAS LACTEAS</v>
      </c>
      <c r="C687" s="111" t="str">
        <f ca="1"/>
        <v xml:space="preserve">Luis Armendariz                         </v>
      </c>
      <c r="D687" s="111" t="str">
        <f ca="1"/>
        <v>YOGURT KIOSKO</v>
      </c>
      <c r="E687" s="111" t="str">
        <f ca="1"/>
        <v>BEBIDA DE YOGURT KIOSKO BOTELLA FAMILIAR</v>
      </c>
      <c r="F687" s="120" t="str">
        <f ca="1"/>
        <v>GUAYAQUIL</v>
      </c>
      <c r="G687" s="120">
        <f ca="1"/>
        <v>7711</v>
      </c>
      <c r="H687" s="120">
        <f ca="1"/>
        <v>1001</v>
      </c>
      <c r="I687" s="120" t="str">
        <f ca="1"/>
        <v>11108</v>
      </c>
      <c r="J687" s="120" t="str">
        <f ca="1"/>
        <v>YOG BBLE KIOSKO DZNO BOT 1700G</v>
      </c>
      <c r="K687" s="121">
        <f ca="1"/>
        <v>12</v>
      </c>
      <c r="L687" s="122">
        <f ca="1"/>
        <v>1</v>
      </c>
      <c r="M687" s="120">
        <f ca="1"/>
        <v>1.7</v>
      </c>
      <c r="N687" s="121">
        <f ca="1"/>
        <v>45</v>
      </c>
      <c r="O687" s="123">
        <f ca="1"/>
        <v>45595</v>
      </c>
      <c r="P687" s="123" t="str">
        <f ca="1"/>
        <v>miércoles</v>
      </c>
      <c r="Q687" s="124">
        <f ca="1"/>
        <v>45590</v>
      </c>
      <c r="R687" s="124">
        <f ca="1"/>
        <v>45634</v>
      </c>
      <c r="S687" s="90">
        <f ca="1"/>
        <v>10</v>
      </c>
      <c r="T687" s="139">
        <f ca="1"/>
        <v>0.22222222222222221</v>
      </c>
      <c r="U687" s="131">
        <f ca="1"/>
        <v>0</v>
      </c>
      <c r="V687" s="120">
        <f ca="1"/>
        <v>0</v>
      </c>
      <c r="W687" s="140">
        <f ca="1"/>
        <v>5</v>
      </c>
      <c r="X687" s="139">
        <f ca="1"/>
        <v>0.88888888888888884</v>
      </c>
      <c r="Y687" s="141">
        <f ca="1"/>
        <v>1.751825</v>
      </c>
      <c r="Z687" s="141">
        <f ca="1"/>
        <v>1.751825</v>
      </c>
      <c r="AA687" s="142">
        <f ca="1"/>
        <v>0</v>
      </c>
      <c r="AB687" s="138">
        <f ca="1"/>
        <v>29</v>
      </c>
      <c r="AC687" s="103" t="str">
        <f ca="1"/>
        <v>FECHA CORTA</v>
      </c>
      <c r="AD687" s="150">
        <f ca="1"/>
        <v>0</v>
      </c>
    </row>
    <row r="688" spans="1:30">
      <c r="A688" s="111" t="str">
        <f ca="1"/>
        <v>MACHACHI</v>
      </c>
      <c r="B688" s="111" t="str">
        <f ca="1"/>
        <v>BEBIDAS LACTEAS</v>
      </c>
      <c r="C688" s="111" t="str">
        <f ca="1"/>
        <v xml:space="preserve">Luis Armendariz                         </v>
      </c>
      <c r="D688" s="111" t="str">
        <f ca="1"/>
        <v>YOGURT KIOSKO</v>
      </c>
      <c r="E688" s="111" t="str">
        <f ca="1"/>
        <v>BEBIDA DE YOGURT KIOSKO BOTELLA FAMILIAR</v>
      </c>
      <c r="F688" s="120" t="str">
        <f ca="1"/>
        <v>GUAYAQUIL</v>
      </c>
      <c r="G688" s="120">
        <f ca="1"/>
        <v>7711</v>
      </c>
      <c r="H688" s="120">
        <f ca="1"/>
        <v>1001</v>
      </c>
      <c r="I688" s="120" t="str">
        <f ca="1"/>
        <v>11108</v>
      </c>
      <c r="J688" s="120" t="str">
        <f ca="1"/>
        <v>YOG BBLE KIOSKO DZNO BOT 1700G</v>
      </c>
      <c r="K688" s="121">
        <f ca="1"/>
        <v>12</v>
      </c>
      <c r="L688" s="122">
        <f ca="1"/>
        <v>1</v>
      </c>
      <c r="M688" s="120">
        <f ca="1"/>
        <v>1.7</v>
      </c>
      <c r="N688" s="121">
        <f ca="1"/>
        <v>45</v>
      </c>
      <c r="O688" s="123">
        <f ca="1"/>
        <v>45596</v>
      </c>
      <c r="P688" s="123" t="str">
        <f ca="1"/>
        <v>jueves</v>
      </c>
      <c r="Q688" s="124">
        <f ca="1"/>
        <v>45590</v>
      </c>
      <c r="R688" s="124">
        <f ca="1"/>
        <v>45634</v>
      </c>
      <c r="S688" s="90">
        <f ca="1"/>
        <v>10</v>
      </c>
      <c r="T688" s="139">
        <f ca="1"/>
        <v>0.22222222222222221</v>
      </c>
      <c r="U688" s="131">
        <f ca="1"/>
        <v>12</v>
      </c>
      <c r="V688" s="120">
        <f ca="1"/>
        <v>20.399999999999999</v>
      </c>
      <c r="W688" s="140">
        <f ca="1"/>
        <v>6</v>
      </c>
      <c r="X688" s="139">
        <f ca="1"/>
        <v>0.8666666666666667</v>
      </c>
      <c r="Y688" s="141">
        <f ca="1"/>
        <v>1.751825</v>
      </c>
      <c r="Z688" s="141">
        <f ca="1"/>
        <v>1.751825</v>
      </c>
      <c r="AA688" s="142">
        <f ca="1"/>
        <v>35.737229999999997</v>
      </c>
      <c r="AB688" s="138">
        <f ca="1"/>
        <v>28</v>
      </c>
      <c r="AC688" s="103" t="str">
        <f ca="1"/>
        <v>FECHA CORTA</v>
      </c>
      <c r="AD688" s="150">
        <f ca="1"/>
        <v>2.0399999999999998E-2</v>
      </c>
    </row>
    <row r="689" spans="1:30">
      <c r="A689" s="111" t="str">
        <f ca="1"/>
        <v>MACHACHI</v>
      </c>
      <c r="B689" s="111" t="str">
        <f ca="1"/>
        <v>BEBIDAS LACTEAS</v>
      </c>
      <c r="C689" s="111" t="str">
        <f ca="1"/>
        <v xml:space="preserve">Luis Armendariz                         </v>
      </c>
      <c r="D689" s="111" t="str">
        <f ca="1"/>
        <v>YOGURT KIOSKO</v>
      </c>
      <c r="E689" s="111" t="str">
        <f ca="1"/>
        <v>BEBIDA DE YOGURT KIOSKO BOTELLA FAMILIAR</v>
      </c>
      <c r="F689" s="120" t="str">
        <f ca="1"/>
        <v>GUAYAQUIL</v>
      </c>
      <c r="G689" s="120">
        <f ca="1"/>
        <v>7711</v>
      </c>
      <c r="H689" s="120">
        <f ca="1"/>
        <v>1001</v>
      </c>
      <c r="I689" s="120" t="str">
        <f ca="1"/>
        <v>11108</v>
      </c>
      <c r="J689" s="120" t="str">
        <f ca="1"/>
        <v>YOG BBLE KIOSKO DZNO BOT 1700G</v>
      </c>
      <c r="K689" s="121">
        <f ca="1"/>
        <v>12</v>
      </c>
      <c r="L689" s="122">
        <f ca="1"/>
        <v>1</v>
      </c>
      <c r="M689" s="120">
        <f ca="1"/>
        <v>1.7</v>
      </c>
      <c r="N689" s="121">
        <f ca="1"/>
        <v>45</v>
      </c>
      <c r="O689" s="123">
        <f ca="1"/>
        <v>45597</v>
      </c>
      <c r="P689" s="123" t="str">
        <f ca="1"/>
        <v>viernes</v>
      </c>
      <c r="Q689" s="124">
        <f ca="1"/>
        <v>45590</v>
      </c>
      <c r="R689" s="124">
        <f ca="1"/>
        <v>45634</v>
      </c>
      <c r="S689" s="90">
        <f ca="1"/>
        <v>10</v>
      </c>
      <c r="T689" s="139">
        <f ca="1"/>
        <v>0.22222222222222221</v>
      </c>
      <c r="U689" s="131">
        <f ca="1"/>
        <v>12</v>
      </c>
      <c r="V689" s="120">
        <f ca="1"/>
        <v>20.399999999999999</v>
      </c>
      <c r="W689" s="140">
        <f ca="1"/>
        <v>7</v>
      </c>
      <c r="X689" s="139">
        <f ca="1"/>
        <v>0.84444444444444444</v>
      </c>
      <c r="Y689" s="141">
        <f ca="1"/>
        <v>1.751825</v>
      </c>
      <c r="Z689" s="141">
        <f ca="1"/>
        <v>1.751825</v>
      </c>
      <c r="AA689" s="142">
        <f ca="1"/>
        <v>35.737229999999997</v>
      </c>
      <c r="AB689" s="138">
        <f ca="1"/>
        <v>27</v>
      </c>
      <c r="AC689" s="103" t="str">
        <f ca="1"/>
        <v>FECHA CORTA</v>
      </c>
      <c r="AD689" s="150">
        <f ca="1"/>
        <v>2.0399999999999998E-2</v>
      </c>
    </row>
    <row r="690" spans="1:30">
      <c r="A690" s="111" t="str">
        <f ca="1"/>
        <v>MACHACHI</v>
      </c>
      <c r="B690" s="111" t="str">
        <f ca="1"/>
        <v>BEBIDAS LACTEAS</v>
      </c>
      <c r="C690" s="111" t="str">
        <f ca="1"/>
        <v xml:space="preserve">Luis Armendariz                         </v>
      </c>
      <c r="D690" s="111" t="str">
        <f ca="1"/>
        <v>YOGURT KIOSKO</v>
      </c>
      <c r="E690" s="111" t="str">
        <f ca="1"/>
        <v>BEBIDA DE YOGURT KIOSKO BOTELLA FAMILIAR</v>
      </c>
      <c r="F690" s="120" t="str">
        <f ca="1"/>
        <v>GUAYAQUIL</v>
      </c>
      <c r="G690" s="120">
        <f ca="1"/>
        <v>7711</v>
      </c>
      <c r="H690" s="120">
        <f ca="1"/>
        <v>1001</v>
      </c>
      <c r="I690" s="120" t="str">
        <f ca="1"/>
        <v>11108</v>
      </c>
      <c r="J690" s="120" t="str">
        <f ca="1"/>
        <v>YOG BBLE KIOSKO DZNO BOT 1700G</v>
      </c>
      <c r="K690" s="121">
        <f ca="1"/>
        <v>12</v>
      </c>
      <c r="L690" s="122">
        <f ca="1"/>
        <v>1</v>
      </c>
      <c r="M690" s="120">
        <f ca="1"/>
        <v>1.7</v>
      </c>
      <c r="N690" s="121">
        <f ca="1"/>
        <v>45</v>
      </c>
      <c r="O690" s="123">
        <f ca="1"/>
        <v>45605</v>
      </c>
      <c r="P690" s="123" t="str">
        <f ca="1"/>
        <v>sábado</v>
      </c>
      <c r="Q690" s="124">
        <f ca="1"/>
        <v>45596</v>
      </c>
      <c r="R690" s="124">
        <f ca="1"/>
        <v>45640</v>
      </c>
      <c r="S690" s="90">
        <f ca="1"/>
        <v>16</v>
      </c>
      <c r="T690" s="139">
        <f ca="1"/>
        <v>0.35555555555555557</v>
      </c>
      <c r="U690" s="131">
        <f ca="1"/>
        <v>3</v>
      </c>
      <c r="V690" s="120">
        <f ca="1"/>
        <v>5.0999999999999996</v>
      </c>
      <c r="W690" s="140">
        <f ca="1"/>
        <v>9</v>
      </c>
      <c r="X690" s="139">
        <f ca="1"/>
        <v>0.8</v>
      </c>
      <c r="Y690" s="141">
        <f ca="1"/>
        <v>1.751825</v>
      </c>
      <c r="Z690" s="141">
        <f ca="1"/>
        <v>1.751825</v>
      </c>
      <c r="AA690" s="142">
        <f ca="1"/>
        <v>8.9343074999999992</v>
      </c>
      <c r="AB690" s="138">
        <f ca="1"/>
        <v>19</v>
      </c>
      <c r="AC690" s="103" t="str">
        <f ca="1"/>
        <v>FECHA CORTA</v>
      </c>
      <c r="AD690" s="150">
        <f ca="1"/>
        <v>5.0999999999999995E-3</v>
      </c>
    </row>
    <row r="691" spans="1:30">
      <c r="A691" s="111" t="str">
        <f ca="1"/>
        <v>MACHACHI</v>
      </c>
      <c r="B691" s="111" t="str">
        <f ca="1"/>
        <v>BEBIDAS LACTEAS</v>
      </c>
      <c r="C691" s="111" t="str">
        <f ca="1"/>
        <v xml:space="preserve">Luis Armendariz                         </v>
      </c>
      <c r="D691" s="111" t="str">
        <f ca="1"/>
        <v>YOGURT KIOSKO</v>
      </c>
      <c r="E691" s="111" t="str">
        <f ca="1"/>
        <v>BEBIDA DE YOGURT KIOSKO BOTELLA FAMILIAR</v>
      </c>
      <c r="F691" s="120" t="str">
        <f ca="1"/>
        <v>GUAYAQUIL</v>
      </c>
      <c r="G691" s="120">
        <f ca="1"/>
        <v>7711</v>
      </c>
      <c r="H691" s="120">
        <f ca="1"/>
        <v>1001</v>
      </c>
      <c r="I691" s="120" t="str">
        <f ca="1"/>
        <v>11108</v>
      </c>
      <c r="J691" s="120" t="str">
        <f ca="1"/>
        <v>YOG BBLE KIOSKO DZNO BOT 1700G</v>
      </c>
      <c r="K691" s="121">
        <f ca="1"/>
        <v>12</v>
      </c>
      <c r="L691" s="122">
        <f ca="1"/>
        <v>1</v>
      </c>
      <c r="M691" s="120">
        <f ca="1"/>
        <v>1.7</v>
      </c>
      <c r="N691" s="121">
        <f ca="1"/>
        <v>45</v>
      </c>
      <c r="O691" s="123">
        <f ca="1"/>
        <v>45616</v>
      </c>
      <c r="P691" s="123" t="str">
        <f ca="1"/>
        <v>miércoles</v>
      </c>
      <c r="Q691" s="124">
        <f ca="1"/>
        <v>45611</v>
      </c>
      <c r="R691" s="124">
        <f ca="1"/>
        <v>45655</v>
      </c>
      <c r="S691" s="90">
        <f ca="1"/>
        <v>31</v>
      </c>
      <c r="T691" s="139">
        <f ca="1"/>
        <v>0.68888888888888888</v>
      </c>
      <c r="U691" s="131">
        <f ca="1"/>
        <v>5</v>
      </c>
      <c r="V691" s="120">
        <f ca="1"/>
        <v>8.5</v>
      </c>
      <c r="W691" s="140">
        <f ca="1"/>
        <v>5</v>
      </c>
      <c r="X691" s="139">
        <f ca="1"/>
        <v>0.88888888888888884</v>
      </c>
      <c r="Y691" s="141">
        <f ca="1"/>
        <v>1.751825</v>
      </c>
      <c r="Z691" s="141">
        <f ca="1"/>
        <v>1.751825</v>
      </c>
      <c r="AA691" s="142">
        <f ca="1"/>
        <v>14.8905125</v>
      </c>
      <c r="AB691" s="138">
        <f ca="1"/>
        <v>8</v>
      </c>
      <c r="AC691" s="103" t="str">
        <f ca="1"/>
        <v>VIGENTE</v>
      </c>
      <c r="AD691" s="150">
        <f ca="1"/>
        <v>8.5000000000000006E-3</v>
      </c>
    </row>
    <row r="692" spans="1:30">
      <c r="A692" s="111" t="str">
        <f ca="1"/>
        <v>SAN GABRIEL</v>
      </c>
      <c r="B692" s="111" t="str">
        <f ca="1"/>
        <v>QUESOS Y GRASAS</v>
      </c>
      <c r="C692" s="111" t="str">
        <f ca="1"/>
        <v xml:space="preserve">Esteban Montenegro                      </v>
      </c>
      <c r="D692" s="111" t="str">
        <f ca="1"/>
        <v>QUESO SEMIMADURO KIOSKO</v>
      </c>
      <c r="E692" s="111" t="str">
        <f ca="1"/>
        <v>QUESO AMERICANO KIOSKO TAJADO</v>
      </c>
      <c r="F692" s="120" t="str">
        <f ca="1"/>
        <v>GUAYAQUIL</v>
      </c>
      <c r="G692" s="120">
        <f ca="1"/>
        <v>7711</v>
      </c>
      <c r="H692" s="120">
        <f ca="1"/>
        <v>1001</v>
      </c>
      <c r="I692" s="120" t="str">
        <f ca="1"/>
        <v>14716</v>
      </c>
      <c r="J692" s="120" t="str">
        <f ca="1"/>
        <v>Q AMERIC KIOSKO LONJ AL PESO COR</v>
      </c>
      <c r="K692" s="121">
        <f ca="1"/>
        <v>15</v>
      </c>
      <c r="L692" s="122">
        <f ca="1"/>
        <v>1.7</v>
      </c>
      <c r="M692" s="120">
        <f ca="1"/>
        <v>1</v>
      </c>
      <c r="N692" s="121">
        <f ca="1"/>
        <v>60</v>
      </c>
      <c r="O692" s="123">
        <f ca="1"/>
        <v>45604</v>
      </c>
      <c r="P692" s="123" t="str">
        <f ca="1"/>
        <v>viernes</v>
      </c>
      <c r="Q692" s="124">
        <f ca="1"/>
        <v>45604</v>
      </c>
      <c r="R692" s="124">
        <f ca="1"/>
        <v>45663</v>
      </c>
      <c r="S692" s="90">
        <f ca="1"/>
        <v>39</v>
      </c>
      <c r="T692" s="139">
        <f ca="1"/>
        <v>0.65</v>
      </c>
      <c r="U692" s="131">
        <f ca="1"/>
        <v>6</v>
      </c>
      <c r="V692" s="120">
        <f ca="1"/>
        <v>10.199999999999999</v>
      </c>
      <c r="W692" s="140">
        <f ca="1"/>
        <v>0</v>
      </c>
      <c r="X692" s="139">
        <f ca="1"/>
        <v>1</v>
      </c>
      <c r="Y692" s="141">
        <f ca="1"/>
        <v>7.0906599999999997</v>
      </c>
      <c r="Z692" s="141">
        <f ca="1"/>
        <v>12.054122</v>
      </c>
      <c r="AA692" s="142">
        <f ca="1"/>
        <v>122.95204439999999</v>
      </c>
      <c r="AB692" s="138">
        <f ca="1"/>
        <v>20</v>
      </c>
      <c r="AC692" s="103" t="str">
        <f ca="1"/>
        <v>VIGENTE</v>
      </c>
      <c r="AD692" s="150">
        <f ca="1"/>
        <v>1.0199999999999999E-2</v>
      </c>
    </row>
    <row r="693" spans="1:30">
      <c r="A693" s="111" t="str">
        <f ca="1"/>
        <v>SAN GABRIEL</v>
      </c>
      <c r="B693" s="111" t="str">
        <f ca="1"/>
        <v>QUESOS Y GRASAS</v>
      </c>
      <c r="C693" s="111" t="str">
        <f ca="1"/>
        <v xml:space="preserve">Esteban Montenegro                      </v>
      </c>
      <c r="D693" s="111" t="str">
        <f ca="1"/>
        <v>QUESO SEMIMADURO KIOSKO</v>
      </c>
      <c r="E693" s="111" t="str">
        <f ca="1"/>
        <v>QUESO AMERICANO KIOSKO TAJADO</v>
      </c>
      <c r="F693" s="120" t="str">
        <f ca="1"/>
        <v>GUAYAQUIL</v>
      </c>
      <c r="G693" s="120">
        <f ca="1"/>
        <v>7711</v>
      </c>
      <c r="H693" s="120">
        <f ca="1"/>
        <v>1001</v>
      </c>
      <c r="I693" s="120" t="str">
        <f ca="1"/>
        <v>14716</v>
      </c>
      <c r="J693" s="120" t="str">
        <f ca="1"/>
        <v>Q AMERIC KIOSKO LONJ AL PESO COR</v>
      </c>
      <c r="K693" s="121">
        <f ca="1"/>
        <v>10</v>
      </c>
      <c r="L693" s="122">
        <f ca="1"/>
        <v>1.7</v>
      </c>
      <c r="M693" s="120">
        <f ca="1"/>
        <v>1</v>
      </c>
      <c r="N693" s="121">
        <f ca="1"/>
        <v>60</v>
      </c>
      <c r="O693" s="123">
        <f ca="1"/>
        <v>45610</v>
      </c>
      <c r="P693" s="123" t="str">
        <f ca="1"/>
        <v>jueves</v>
      </c>
      <c r="Q693" s="124">
        <f ca="1"/>
        <v>45609</v>
      </c>
      <c r="R693" s="124">
        <f ca="1"/>
        <v>45668</v>
      </c>
      <c r="S693" s="90">
        <f ca="1"/>
        <v>44</v>
      </c>
      <c r="T693" s="139">
        <f ca="1"/>
        <v>0.73333333333333328</v>
      </c>
      <c r="U693" s="131">
        <f ca="1"/>
        <v>10</v>
      </c>
      <c r="V693" s="120">
        <f ca="1"/>
        <v>17</v>
      </c>
      <c r="W693" s="140">
        <f ca="1"/>
        <v>1</v>
      </c>
      <c r="X693" s="139">
        <f ca="1"/>
        <v>0.98333333333333328</v>
      </c>
      <c r="Y693" s="141">
        <f ca="1"/>
        <v>7.0906599999999997</v>
      </c>
      <c r="Z693" s="141">
        <f ca="1"/>
        <v>12.054122</v>
      </c>
      <c r="AA693" s="142">
        <f ca="1"/>
        <v>204.920074</v>
      </c>
      <c r="AB693" s="138">
        <f ca="1"/>
        <v>14</v>
      </c>
      <c r="AC693" s="103" t="str">
        <f ca="1"/>
        <v>VIGENTE</v>
      </c>
      <c r="AD693" s="150">
        <f ca="1"/>
        <v>1.7000000000000001E-2</v>
      </c>
    </row>
    <row r="694" spans="1:30">
      <c r="A694" s="111" t="str">
        <f ca="1"/>
        <v>SAN GABRIEL</v>
      </c>
      <c r="B694" s="111" t="str">
        <f ca="1"/>
        <v>QUESOS Y GRASAS</v>
      </c>
      <c r="C694" s="111" t="str">
        <f ca="1"/>
        <v xml:space="preserve">Esteban Montenegro                      </v>
      </c>
      <c r="D694" s="111" t="str">
        <f ca="1"/>
        <v>QUESO SEMIMADURO KIOSKO</v>
      </c>
      <c r="E694" s="111" t="str">
        <f ca="1"/>
        <v>QUESO AMERICANO KIOSKO TAJADO</v>
      </c>
      <c r="F694" s="120" t="str">
        <f ca="1"/>
        <v>GUAYAQUIL</v>
      </c>
      <c r="G694" s="120">
        <f ca="1"/>
        <v>7711</v>
      </c>
      <c r="H694" s="120">
        <f ca="1"/>
        <v>1001</v>
      </c>
      <c r="I694" s="120" t="str">
        <f ca="1"/>
        <v>14716</v>
      </c>
      <c r="J694" s="120" t="str">
        <f ca="1"/>
        <v>Q AMERIC KIOSKO LONJ AL PESO COR</v>
      </c>
      <c r="K694" s="121">
        <f ca="1"/>
        <v>5</v>
      </c>
      <c r="L694" s="122">
        <f ca="1"/>
        <v>1.7</v>
      </c>
      <c r="M694" s="120">
        <f ca="1"/>
        <v>1</v>
      </c>
      <c r="N694" s="121">
        <f ca="1"/>
        <v>60</v>
      </c>
      <c r="O694" s="123">
        <f ca="1"/>
        <v>45615</v>
      </c>
      <c r="P694" s="123" t="str">
        <f ca="1"/>
        <v>martes</v>
      </c>
      <c r="Q694" s="124">
        <f ca="1"/>
        <v>45613</v>
      </c>
      <c r="R694" s="124">
        <f ca="1"/>
        <v>45672</v>
      </c>
      <c r="S694" s="90">
        <f ca="1"/>
        <v>48</v>
      </c>
      <c r="T694" s="139">
        <f ca="1"/>
        <v>0.8</v>
      </c>
      <c r="U694" s="131">
        <f ca="1"/>
        <v>5</v>
      </c>
      <c r="V694" s="120">
        <f ca="1"/>
        <v>8.5</v>
      </c>
      <c r="W694" s="140">
        <f ca="1"/>
        <v>2</v>
      </c>
      <c r="X694" s="139">
        <f ca="1"/>
        <v>0.96666666666666667</v>
      </c>
      <c r="Y694" s="141">
        <f ca="1"/>
        <v>7.0906599999999997</v>
      </c>
      <c r="Z694" s="141">
        <f ca="1"/>
        <v>12.054122</v>
      </c>
      <c r="AA694" s="142">
        <f ca="1"/>
        <v>102.460037</v>
      </c>
      <c r="AB694" s="138">
        <f ca="1"/>
        <v>9</v>
      </c>
      <c r="AC694" s="103" t="str">
        <f ca="1"/>
        <v>VIGENTE</v>
      </c>
      <c r="AD694" s="150">
        <f ca="1"/>
        <v>8.5000000000000006E-3</v>
      </c>
    </row>
    <row r="695" spans="1:30">
      <c r="A695" s="111" t="str">
        <f ca="1"/>
        <v>SAN GABRIEL</v>
      </c>
      <c r="B695" s="111" t="str">
        <f ca="1"/>
        <v>QUESOS Y GRASAS</v>
      </c>
      <c r="C695" s="111" t="str">
        <f ca="1"/>
        <v xml:space="preserve">Esteban Montenegro                      </v>
      </c>
      <c r="D695" s="111" t="str">
        <f ca="1"/>
        <v>QUESO SEMIMADURO KIOSKO</v>
      </c>
      <c r="E695" s="111" t="str">
        <f ca="1"/>
        <v>QUESO AMERICANO KIOSKO TAJADO</v>
      </c>
      <c r="F695" s="120" t="str">
        <f ca="1"/>
        <v>GUAYAQUIL</v>
      </c>
      <c r="G695" s="120">
        <f ca="1"/>
        <v>7711</v>
      </c>
      <c r="H695" s="120">
        <f ca="1"/>
        <v>1001</v>
      </c>
      <c r="I695" s="120" t="str">
        <f ca="1"/>
        <v>14716</v>
      </c>
      <c r="J695" s="120" t="str">
        <f ca="1"/>
        <v>Q AMERIC KIOSKO LONJ AL PESO COR</v>
      </c>
      <c r="K695" s="121">
        <f ca="1"/>
        <v>6</v>
      </c>
      <c r="L695" s="122">
        <f ca="1"/>
        <v>1.7</v>
      </c>
      <c r="M695" s="120">
        <f ca="1"/>
        <v>1</v>
      </c>
      <c r="N695" s="121">
        <f ca="1"/>
        <v>60</v>
      </c>
      <c r="O695" s="123">
        <f ca="1"/>
        <v>45617</v>
      </c>
      <c r="P695" s="123" t="str">
        <f ca="1"/>
        <v>jueves</v>
      </c>
      <c r="Q695" s="124">
        <f ca="1"/>
        <v>45616</v>
      </c>
      <c r="R695" s="124">
        <f ca="1"/>
        <v>45675</v>
      </c>
      <c r="S695" s="90">
        <f ca="1"/>
        <v>51</v>
      </c>
      <c r="T695" s="139">
        <f ca="1"/>
        <v>0.85</v>
      </c>
      <c r="U695" s="131">
        <f ca="1"/>
        <v>6</v>
      </c>
      <c r="V695" s="120">
        <f ca="1"/>
        <v>10.199999999999999</v>
      </c>
      <c r="W695" s="140">
        <f ca="1"/>
        <v>1</v>
      </c>
      <c r="X695" s="139">
        <f ca="1"/>
        <v>0.98333333333333328</v>
      </c>
      <c r="Y695" s="141">
        <f ca="1"/>
        <v>7.0906599999999997</v>
      </c>
      <c r="Z695" s="141">
        <f ca="1"/>
        <v>12.054122</v>
      </c>
      <c r="AA695" s="142">
        <f ca="1"/>
        <v>122.95204439999999</v>
      </c>
      <c r="AB695" s="138">
        <f ca="1"/>
        <v>7</v>
      </c>
      <c r="AC695" s="103" t="str">
        <f ca="1"/>
        <v>VIGENTE</v>
      </c>
      <c r="AD695" s="150">
        <f ca="1"/>
        <v>1.0199999999999999E-2</v>
      </c>
    </row>
    <row r="696" spans="1:30">
      <c r="A696" s="111" t="str">
        <f ca="1"/>
        <v>MACHACHI</v>
      </c>
      <c r="B696" s="111" t="str">
        <f ca="1"/>
        <v>BEBIDAS LACTEAS</v>
      </c>
      <c r="C696" s="111" t="str">
        <f ca="1"/>
        <v xml:space="preserve">Luis Armendariz                         </v>
      </c>
      <c r="D696" s="111" t="str">
        <f ca="1"/>
        <v>REGENERIS</v>
      </c>
      <c r="E696" s="111" t="str">
        <f ca="1"/>
        <v>REGENERIS BEBIBLE BOTELLA FAMILIAR</v>
      </c>
      <c r="F696" s="120" t="str">
        <f ca="1"/>
        <v>GUAYAQUIL</v>
      </c>
      <c r="G696" s="120">
        <f ca="1"/>
        <v>7711</v>
      </c>
      <c r="H696" s="120">
        <f ca="1"/>
        <v>1001</v>
      </c>
      <c r="I696" s="120" t="str">
        <f ca="1"/>
        <v>5244</v>
      </c>
      <c r="J696" s="120" t="str">
        <f ca="1"/>
        <v>RGN BBLE FTLLA BOT 1750G</v>
      </c>
      <c r="K696" s="121">
        <f ca="1"/>
        <v>24</v>
      </c>
      <c r="L696" s="122">
        <f ca="1"/>
        <v>1</v>
      </c>
      <c r="M696" s="120">
        <f ca="1"/>
        <v>1.75</v>
      </c>
      <c r="N696" s="121">
        <f ca="1"/>
        <v>45</v>
      </c>
      <c r="O696" s="123">
        <f ca="1"/>
        <v>45604</v>
      </c>
      <c r="P696" s="123" t="str">
        <f ca="1"/>
        <v>viernes</v>
      </c>
      <c r="Q696" s="124">
        <f ca="1"/>
        <v>45596</v>
      </c>
      <c r="R696" s="124">
        <f ca="1"/>
        <v>45640</v>
      </c>
      <c r="S696" s="90">
        <f ca="1"/>
        <v>16</v>
      </c>
      <c r="T696" s="139">
        <f ca="1"/>
        <v>0.35555555555555557</v>
      </c>
      <c r="U696" s="131">
        <f ca="1"/>
        <v>6</v>
      </c>
      <c r="V696" s="120">
        <f ca="1"/>
        <v>10.5</v>
      </c>
      <c r="W696" s="140">
        <f ca="1"/>
        <v>8</v>
      </c>
      <c r="X696" s="139">
        <f ca="1"/>
        <v>0.82222222222222219</v>
      </c>
      <c r="Y696" s="141">
        <f ca="1"/>
        <v>2.2867100000000002</v>
      </c>
      <c r="Z696" s="141">
        <f ca="1"/>
        <v>2.2867100000000002</v>
      </c>
      <c r="AA696" s="142">
        <f ca="1"/>
        <v>24.010455000000004</v>
      </c>
      <c r="AB696" s="138">
        <f ca="1"/>
        <v>20</v>
      </c>
      <c r="AC696" s="103" t="str">
        <f ca="1"/>
        <v>FECHA CORTA</v>
      </c>
      <c r="AD696" s="150">
        <f ca="1"/>
        <v>1.0500000000000001E-2</v>
      </c>
    </row>
    <row r="697" spans="1:30">
      <c r="A697" s="111" t="str">
        <f ca="1"/>
        <v>MACHACHI</v>
      </c>
      <c r="B697" s="111" t="str">
        <f ca="1"/>
        <v>BEBIDAS LACTEAS</v>
      </c>
      <c r="C697" s="111" t="str">
        <f ca="1"/>
        <v xml:space="preserve">Luis Armendariz                         </v>
      </c>
      <c r="D697" s="111" t="str">
        <f ca="1"/>
        <v>REGENERIS</v>
      </c>
      <c r="E697" s="111" t="str">
        <f ca="1"/>
        <v>REGENERIS BEBIBLE BOTELLA FAMILIAR</v>
      </c>
      <c r="F697" s="120" t="str">
        <f ca="1"/>
        <v>GUAYAQUIL</v>
      </c>
      <c r="G697" s="120">
        <f ca="1"/>
        <v>7711</v>
      </c>
      <c r="H697" s="120">
        <f ca="1"/>
        <v>1001</v>
      </c>
      <c r="I697" s="120" t="str">
        <f ca="1"/>
        <v>5244</v>
      </c>
      <c r="J697" s="120" t="str">
        <f ca="1"/>
        <v>RGN BBLE FTLLA BOT 1750G</v>
      </c>
      <c r="K697" s="121">
        <f ca="1"/>
        <v>36</v>
      </c>
      <c r="L697" s="122">
        <f ca="1"/>
        <v>1</v>
      </c>
      <c r="M697" s="120">
        <f ca="1"/>
        <v>1.75</v>
      </c>
      <c r="N697" s="121">
        <f ca="1"/>
        <v>45</v>
      </c>
      <c r="O697" s="123">
        <f ca="1"/>
        <v>45612</v>
      </c>
      <c r="P697" s="123" t="str">
        <f ca="1"/>
        <v>sábado</v>
      </c>
      <c r="Q697" s="124">
        <f ca="1"/>
        <v>45610</v>
      </c>
      <c r="R697" s="124">
        <f ca="1"/>
        <v>45654</v>
      </c>
      <c r="S697" s="90">
        <f ca="1"/>
        <v>30</v>
      </c>
      <c r="T697" s="139">
        <f ca="1"/>
        <v>0.66666666666666663</v>
      </c>
      <c r="U697" s="131">
        <f ca="1"/>
        <v>24</v>
      </c>
      <c r="V697" s="120">
        <f ca="1"/>
        <v>42</v>
      </c>
      <c r="W697" s="140">
        <f ca="1"/>
        <v>2</v>
      </c>
      <c r="X697" s="139">
        <f ca="1"/>
        <v>0.9555555555555556</v>
      </c>
      <c r="Y697" s="141">
        <f ca="1"/>
        <v>2.2867100000000002</v>
      </c>
      <c r="Z697" s="141">
        <f ca="1"/>
        <v>2.2867100000000002</v>
      </c>
      <c r="AA697" s="142">
        <f ca="1"/>
        <v>96.041820000000016</v>
      </c>
      <c r="AB697" s="138">
        <f ca="1"/>
        <v>12</v>
      </c>
      <c r="AC697" s="103" t="str">
        <f ca="1"/>
        <v>VIGENTE</v>
      </c>
      <c r="AD697" s="150">
        <f ca="1"/>
        <v>4.2000000000000003E-2</v>
      </c>
    </row>
    <row r="698" spans="1:30">
      <c r="A698" s="111" t="str">
        <f ca="1"/>
        <v>MACHACHI</v>
      </c>
      <c r="B698" s="111" t="str">
        <f ca="1"/>
        <v>BEBIDAS LACTEAS</v>
      </c>
      <c r="C698" s="111" t="str">
        <f ca="1"/>
        <v xml:space="preserve">Luis Armendariz                         </v>
      </c>
      <c r="D698" s="111" t="str">
        <f ca="1"/>
        <v>REGENERIS</v>
      </c>
      <c r="E698" s="111" t="str">
        <f ca="1"/>
        <v>REGENERIS BEBIBLE BOTELLA FAMILIAR</v>
      </c>
      <c r="F698" s="120" t="str">
        <f ca="1"/>
        <v>GUAYAQUIL</v>
      </c>
      <c r="G698" s="120">
        <f ca="1"/>
        <v>7711</v>
      </c>
      <c r="H698" s="120">
        <f ca="1"/>
        <v>1001</v>
      </c>
      <c r="I698" s="120" t="str">
        <f ca="1"/>
        <v>5244</v>
      </c>
      <c r="J698" s="120" t="str">
        <f ca="1"/>
        <v>RGN BBLE FTLLA BOT 1750G</v>
      </c>
      <c r="K698" s="121">
        <f ca="1"/>
        <v>12</v>
      </c>
      <c r="L698" s="122">
        <f ca="1"/>
        <v>1</v>
      </c>
      <c r="M698" s="120">
        <f ca="1"/>
        <v>1.75</v>
      </c>
      <c r="N698" s="121">
        <f ca="1"/>
        <v>45</v>
      </c>
      <c r="O698" s="123">
        <f ca="1"/>
        <v>45615</v>
      </c>
      <c r="P698" s="123" t="str">
        <f ca="1"/>
        <v>martes</v>
      </c>
      <c r="Q698" s="124">
        <f ca="1"/>
        <v>45610</v>
      </c>
      <c r="R698" s="124">
        <f ca="1"/>
        <v>45654</v>
      </c>
      <c r="S698" s="90">
        <f ca="1"/>
        <v>30</v>
      </c>
      <c r="T698" s="139">
        <f ca="1"/>
        <v>0.66666666666666663</v>
      </c>
      <c r="U698" s="131">
        <f ca="1"/>
        <v>12</v>
      </c>
      <c r="V698" s="120">
        <f ca="1"/>
        <v>21</v>
      </c>
      <c r="W698" s="140">
        <f ca="1"/>
        <v>5</v>
      </c>
      <c r="X698" s="139">
        <f ca="1"/>
        <v>0.88888888888888884</v>
      </c>
      <c r="Y698" s="141">
        <f ca="1"/>
        <v>2.2867100000000002</v>
      </c>
      <c r="Z698" s="141">
        <f ca="1"/>
        <v>2.2867100000000002</v>
      </c>
      <c r="AA698" s="142">
        <f ca="1"/>
        <v>48.020910000000008</v>
      </c>
      <c r="AB698" s="138">
        <f ca="1"/>
        <v>9</v>
      </c>
      <c r="AC698" s="103" t="str">
        <f ca="1"/>
        <v>VIGENTE</v>
      </c>
      <c r="AD698" s="150">
        <f ca="1"/>
        <v>2.1000000000000001E-2</v>
      </c>
    </row>
    <row r="699" spans="1:30">
      <c r="A699" s="111" t="str">
        <f ca="1"/>
        <v>MACHACHI</v>
      </c>
      <c r="B699" s="111" t="str">
        <f ca="1"/>
        <v>BEBIDAS LACTEAS</v>
      </c>
      <c r="C699" s="111" t="str">
        <f ca="1"/>
        <v xml:space="preserve">Luis Armendariz                         </v>
      </c>
      <c r="D699" s="111" t="str">
        <f ca="1"/>
        <v>REGENERIS</v>
      </c>
      <c r="E699" s="111" t="str">
        <f ca="1"/>
        <v>REGENERIS BEBIBLE BOTELLA FAMILIAR</v>
      </c>
      <c r="F699" s="120" t="str">
        <f ca="1"/>
        <v>GUAYAQUIL</v>
      </c>
      <c r="G699" s="120">
        <f ca="1"/>
        <v>7711</v>
      </c>
      <c r="H699" s="120">
        <f ca="1"/>
        <v>1001</v>
      </c>
      <c r="I699" s="120" t="str">
        <f ca="1"/>
        <v>5244</v>
      </c>
      <c r="J699" s="120" t="str">
        <f ca="1"/>
        <v>RGN BBLE FTLLA BOT 1750G</v>
      </c>
      <c r="K699" s="121">
        <f ca="1"/>
        <v>24</v>
      </c>
      <c r="L699" s="122">
        <f ca="1"/>
        <v>1</v>
      </c>
      <c r="M699" s="120">
        <f ca="1"/>
        <v>1.75</v>
      </c>
      <c r="N699" s="121">
        <f ca="1"/>
        <v>45</v>
      </c>
      <c r="O699" s="123">
        <f ca="1"/>
        <v>45616</v>
      </c>
      <c r="P699" s="123" t="str">
        <f ca="1"/>
        <v>miércoles</v>
      </c>
      <c r="Q699" s="124">
        <f ca="1"/>
        <v>45615</v>
      </c>
      <c r="R699" s="124">
        <f ca="1"/>
        <v>45659</v>
      </c>
      <c r="S699" s="90">
        <f ca="1"/>
        <v>35</v>
      </c>
      <c r="T699" s="139">
        <f ca="1"/>
        <v>0.77777777777777779</v>
      </c>
      <c r="U699" s="131">
        <f ca="1"/>
        <v>24</v>
      </c>
      <c r="V699" s="120">
        <f ca="1"/>
        <v>42</v>
      </c>
      <c r="W699" s="140">
        <f ca="1"/>
        <v>1</v>
      </c>
      <c r="X699" s="139">
        <f ca="1"/>
        <v>0.97777777777777775</v>
      </c>
      <c r="Y699" s="141">
        <f ca="1"/>
        <v>2.2867100000000002</v>
      </c>
      <c r="Z699" s="141">
        <f ca="1"/>
        <v>2.2867100000000002</v>
      </c>
      <c r="AA699" s="142">
        <f ca="1"/>
        <v>96.041820000000016</v>
      </c>
      <c r="AB699" s="138">
        <f ca="1"/>
        <v>8</v>
      </c>
      <c r="AC699" s="103" t="str">
        <f ca="1"/>
        <v>VIGENTE</v>
      </c>
      <c r="AD699" s="150">
        <f ca="1"/>
        <v>4.2000000000000003E-2</v>
      </c>
    </row>
    <row r="700" spans="1:30">
      <c r="A700" s="111" t="str">
        <f ca="1"/>
        <v>SAN GABRIEL</v>
      </c>
      <c r="B700" s="111" t="str">
        <f ca="1"/>
        <v>QUESOS Y GRASAS</v>
      </c>
      <c r="C700" s="111" t="str">
        <f ca="1"/>
        <v xml:space="preserve">Esteban Montenegro                      </v>
      </c>
      <c r="D700" s="111" t="str">
        <f ca="1"/>
        <v>CREMA DE LECHE</v>
      </c>
      <c r="E700" s="111" t="str">
        <f ca="1"/>
        <v>CREMA DE LECHE KIOSKO GALON</v>
      </c>
      <c r="F700" s="120" t="str">
        <f ca="1"/>
        <v>GUAYAQUIL</v>
      </c>
      <c r="G700" s="120">
        <f ca="1"/>
        <v>7711</v>
      </c>
      <c r="H700" s="120">
        <f ca="1"/>
        <v>1001</v>
      </c>
      <c r="I700" s="120" t="str">
        <f ca="1"/>
        <v>5701</v>
      </c>
      <c r="J700" s="120" t="str">
        <f ca="1"/>
        <v>CREM LCH AGRIA KIOSKO GAR 3.5KG</v>
      </c>
      <c r="K700" s="121">
        <f ca="1"/>
        <v>54</v>
      </c>
      <c r="L700" s="122">
        <f ca="1"/>
        <v>1</v>
      </c>
      <c r="M700" s="120">
        <f ca="1"/>
        <v>3.5</v>
      </c>
      <c r="N700" s="121">
        <f ca="1"/>
        <v>30</v>
      </c>
      <c r="O700" s="123">
        <f ca="1"/>
        <v>45611</v>
      </c>
      <c r="P700" s="123" t="str">
        <f ca="1"/>
        <v>viernes</v>
      </c>
      <c r="Q700" s="124">
        <f ca="1"/>
        <v>45610</v>
      </c>
      <c r="R700" s="124">
        <f ca="1"/>
        <v>45639</v>
      </c>
      <c r="S700" s="90">
        <f ca="1"/>
        <v>15</v>
      </c>
      <c r="T700" s="139">
        <f ca="1"/>
        <v>0.5</v>
      </c>
      <c r="U700" s="131">
        <f ca="1"/>
        <v>34</v>
      </c>
      <c r="V700" s="120">
        <f ca="1"/>
        <v>119</v>
      </c>
      <c r="W700" s="140">
        <f ca="1"/>
        <v>1</v>
      </c>
      <c r="X700" s="139">
        <f ca="1"/>
        <v>0.96666666666666667</v>
      </c>
      <c r="Y700" s="141">
        <f ca="1"/>
        <v>6.5987749999999998</v>
      </c>
      <c r="Z700" s="141">
        <f ca="1"/>
        <v>6.5987749999999998</v>
      </c>
      <c r="AA700" s="142">
        <f ca="1"/>
        <v>785.25422500000002</v>
      </c>
      <c r="AB700" s="138">
        <f ca="1"/>
        <v>13</v>
      </c>
      <c r="AC700" s="103" t="str">
        <f ca="1"/>
        <v>FECHA CORTA</v>
      </c>
      <c r="AD700" s="150">
        <f ca="1"/>
        <v>0.11899999999999999</v>
      </c>
    </row>
    <row r="701" spans="1:30">
      <c r="A701" s="111" t="str">
        <f ca="1"/>
        <v>SAN GABRIEL</v>
      </c>
      <c r="B701" s="111" t="str">
        <f ca="1"/>
        <v>QUESOS Y GRASAS</v>
      </c>
      <c r="C701" s="111" t="str">
        <f ca="1"/>
        <v xml:space="preserve">Esteban Montenegro                      </v>
      </c>
      <c r="D701" s="111" t="str">
        <f ca="1"/>
        <v>CREMA DE LECHE</v>
      </c>
      <c r="E701" s="111" t="str">
        <f ca="1"/>
        <v>CREMA DE LECHE KIOSKO GALON</v>
      </c>
      <c r="F701" s="120" t="str">
        <f ca="1"/>
        <v>GUAYAQUIL</v>
      </c>
      <c r="G701" s="120">
        <f ca="1"/>
        <v>7711</v>
      </c>
      <c r="H701" s="120">
        <f ca="1"/>
        <v>1001</v>
      </c>
      <c r="I701" s="120" t="str">
        <f ca="1"/>
        <v>5701</v>
      </c>
      <c r="J701" s="120" t="str">
        <f ca="1"/>
        <v>CREM LCH AGRIA KIOSKO GAR 3.5KG</v>
      </c>
      <c r="K701" s="121">
        <f ca="1"/>
        <v>30</v>
      </c>
      <c r="L701" s="122">
        <f ca="1"/>
        <v>1</v>
      </c>
      <c r="M701" s="120">
        <f ca="1"/>
        <v>3.5</v>
      </c>
      <c r="N701" s="121">
        <f ca="1"/>
        <v>30</v>
      </c>
      <c r="O701" s="123">
        <f ca="1"/>
        <v>45615</v>
      </c>
      <c r="P701" s="123" t="str">
        <f ca="1"/>
        <v>martes</v>
      </c>
      <c r="Q701" s="124">
        <f ca="1"/>
        <v>45610</v>
      </c>
      <c r="R701" s="124">
        <f ca="1"/>
        <v>45639</v>
      </c>
      <c r="S701" s="90">
        <f ca="1"/>
        <v>15</v>
      </c>
      <c r="T701" s="139">
        <f ca="1"/>
        <v>0.5</v>
      </c>
      <c r="U701" s="131">
        <f ca="1"/>
        <v>30</v>
      </c>
      <c r="V701" s="120">
        <f ca="1"/>
        <v>105</v>
      </c>
      <c r="W701" s="140">
        <f ca="1"/>
        <v>5</v>
      </c>
      <c r="X701" s="139">
        <f ca="1"/>
        <v>0.83333333333333337</v>
      </c>
      <c r="Y701" s="141">
        <f ca="1"/>
        <v>6.5987749999999998</v>
      </c>
      <c r="Z701" s="141">
        <f ca="1"/>
        <v>6.5987749999999998</v>
      </c>
      <c r="AA701" s="142">
        <f ca="1"/>
        <v>692.87137499999994</v>
      </c>
      <c r="AB701" s="138">
        <f ca="1"/>
        <v>9</v>
      </c>
      <c r="AC701" s="103" t="str">
        <f ca="1"/>
        <v>FECHA CORTA</v>
      </c>
      <c r="AD701" s="150">
        <f ca="1"/>
        <v>0.105</v>
      </c>
    </row>
    <row r="702" spans="1:30">
      <c r="A702" s="111" t="str">
        <f ca="1"/>
        <v>SAN GABRIEL</v>
      </c>
      <c r="B702" s="111" t="str">
        <f ca="1"/>
        <v>QUESOS Y GRASAS</v>
      </c>
      <c r="C702" s="111" t="str">
        <f ca="1"/>
        <v xml:space="preserve">Esteban Montenegro                      </v>
      </c>
      <c r="D702" s="111" t="str">
        <f ca="1"/>
        <v>CREMA DE LECHE</v>
      </c>
      <c r="E702" s="111" t="str">
        <f ca="1"/>
        <v>CREMA DE LECHE KIOSKO GALON</v>
      </c>
      <c r="F702" s="120" t="str">
        <f ca="1"/>
        <v>GUAYAQUIL</v>
      </c>
      <c r="G702" s="120">
        <f ca="1"/>
        <v>7711</v>
      </c>
      <c r="H702" s="120">
        <f ca="1"/>
        <v>1001</v>
      </c>
      <c r="I702" s="120" t="str">
        <f ca="1"/>
        <v>5701</v>
      </c>
      <c r="J702" s="120" t="str">
        <f ca="1"/>
        <v>CREM LCH AGRIA KIOSKO GAR 3.5KG</v>
      </c>
      <c r="K702" s="121">
        <f ca="1"/>
        <v>66</v>
      </c>
      <c r="L702" s="122">
        <f ca="1"/>
        <v>1</v>
      </c>
      <c r="M702" s="120">
        <f ca="1"/>
        <v>3.5</v>
      </c>
      <c r="N702" s="121">
        <f ca="1"/>
        <v>30</v>
      </c>
      <c r="O702" s="123">
        <f ca="1"/>
        <v>45617</v>
      </c>
      <c r="P702" s="123" t="str">
        <f ca="1"/>
        <v>jueves</v>
      </c>
      <c r="Q702" s="124">
        <f ca="1"/>
        <v>45616</v>
      </c>
      <c r="R702" s="124">
        <f ca="1"/>
        <v>45645</v>
      </c>
      <c r="S702" s="90">
        <f ca="1"/>
        <v>21</v>
      </c>
      <c r="T702" s="139">
        <f ca="1"/>
        <v>0.7</v>
      </c>
      <c r="U702" s="131">
        <f ca="1"/>
        <v>66</v>
      </c>
      <c r="V702" s="120">
        <f ca="1"/>
        <v>231</v>
      </c>
      <c r="W702" s="140">
        <f ca="1"/>
        <v>1</v>
      </c>
      <c r="X702" s="139">
        <f ca="1"/>
        <v>0.96666666666666667</v>
      </c>
      <c r="Y702" s="141">
        <f ca="1"/>
        <v>6.5987749999999998</v>
      </c>
      <c r="Z702" s="141">
        <f ca="1"/>
        <v>6.5987749999999998</v>
      </c>
      <c r="AA702" s="142">
        <f ca="1"/>
        <v>1524.3170250000001</v>
      </c>
      <c r="AB702" s="138">
        <f ca="1"/>
        <v>7</v>
      </c>
      <c r="AC702" s="103" t="str">
        <f ca="1"/>
        <v>FECHA CORTA</v>
      </c>
      <c r="AD702" s="150">
        <f ca="1"/>
        <v>0.23100000000000001</v>
      </c>
    </row>
    <row r="703" spans="1:30">
      <c r="A703" s="111" t="str">
        <f ca="1"/>
        <v>SAN GABRIEL</v>
      </c>
      <c r="B703" s="111" t="str">
        <f ca="1"/>
        <v>QUESOS Y GRASAS</v>
      </c>
      <c r="C703" s="111" t="str">
        <f ca="1"/>
        <v xml:space="preserve">Esteban Montenegro                      </v>
      </c>
      <c r="D703" s="111" t="str">
        <f ca="1"/>
        <v>QUESO FRESCO KIOSKO</v>
      </c>
      <c r="E703" s="111" t="str">
        <f ca="1"/>
        <v>QUESO FRESCO KIOSKO BLOQUE</v>
      </c>
      <c r="F703" s="120" t="str">
        <f ca="1"/>
        <v>GUAYAQUIL</v>
      </c>
      <c r="G703" s="120">
        <f ca="1"/>
        <v>7711</v>
      </c>
      <c r="H703" s="120">
        <f ca="1"/>
        <v>1001</v>
      </c>
      <c r="I703" s="120" t="str">
        <f ca="1"/>
        <v>5818</v>
      </c>
      <c r="J703" s="120" t="str">
        <f ca="1"/>
        <v>Q FRES KIOSKO BLOQ 450G</v>
      </c>
      <c r="K703" s="121">
        <f ca="1"/>
        <v>270</v>
      </c>
      <c r="L703" s="122">
        <f ca="1"/>
        <v>1</v>
      </c>
      <c r="M703" s="120">
        <f ca="1"/>
        <v>0.45</v>
      </c>
      <c r="N703" s="121">
        <f ca="1"/>
        <v>40</v>
      </c>
      <c r="O703" s="123">
        <f ca="1"/>
        <v>45615</v>
      </c>
      <c r="P703" s="123" t="str">
        <f ca="1"/>
        <v>martes</v>
      </c>
      <c r="Q703" s="124">
        <f ca="1"/>
        <v>45615</v>
      </c>
      <c r="R703" s="124">
        <f ca="1"/>
        <v>45654</v>
      </c>
      <c r="S703" s="90">
        <f ca="1"/>
        <v>30</v>
      </c>
      <c r="T703" s="139">
        <f ca="1"/>
        <v>0.75</v>
      </c>
      <c r="U703" s="131">
        <f ca="1"/>
        <v>103</v>
      </c>
      <c r="V703" s="120">
        <f ca="1"/>
        <v>46.35</v>
      </c>
      <c r="W703" s="140">
        <f ca="1"/>
        <v>0</v>
      </c>
      <c r="X703" s="139">
        <f ca="1"/>
        <v>1</v>
      </c>
      <c r="Y703" s="141">
        <f ca="1"/>
        <v>2.1672899999999999</v>
      </c>
      <c r="Z703" s="141">
        <f ca="1"/>
        <v>2.1672899999999999</v>
      </c>
      <c r="AA703" s="142">
        <f ca="1"/>
        <v>100.4538915</v>
      </c>
      <c r="AB703" s="138">
        <f ca="1"/>
        <v>9</v>
      </c>
      <c r="AC703" s="103" t="str">
        <f ca="1"/>
        <v>VIGENTE</v>
      </c>
      <c r="AD703" s="150">
        <f ca="1"/>
        <v>4.6350000000000002E-2</v>
      </c>
    </row>
    <row r="704" spans="1:30">
      <c r="A704" s="111" t="str">
        <f ca="1"/>
        <v>SAN GABRIEL</v>
      </c>
      <c r="B704" s="111" t="str">
        <f ca="1"/>
        <v>QUESOS Y GRASAS</v>
      </c>
      <c r="C704" s="111" t="str">
        <f ca="1"/>
        <v xml:space="preserve">Esteban Montenegro                      </v>
      </c>
      <c r="D704" s="111" t="str">
        <f ca="1"/>
        <v>QUESO FRESCO KIOSKO</v>
      </c>
      <c r="E704" s="111" t="str">
        <f ca="1"/>
        <v>QUESO FRESCO KIOSKO BLOQUE</v>
      </c>
      <c r="F704" s="120" t="str">
        <f ca="1"/>
        <v>GUAYAQUIL</v>
      </c>
      <c r="G704" s="120">
        <f ca="1"/>
        <v>7711</v>
      </c>
      <c r="H704" s="120">
        <f ca="1"/>
        <v>1001</v>
      </c>
      <c r="I704" s="120" t="str">
        <f ca="1"/>
        <v>5818</v>
      </c>
      <c r="J704" s="120" t="str">
        <f ca="1"/>
        <v>Q FRES KIOSKO BLOQ 450G</v>
      </c>
      <c r="K704" s="121">
        <f ca="1"/>
        <v>45</v>
      </c>
      <c r="L704" s="122">
        <f ca="1"/>
        <v>1</v>
      </c>
      <c r="M704" s="120">
        <f ca="1"/>
        <v>0.45</v>
      </c>
      <c r="N704" s="121">
        <f ca="1"/>
        <v>40</v>
      </c>
      <c r="O704" s="123">
        <f ca="1"/>
        <v>45616</v>
      </c>
      <c r="P704" s="123" t="str">
        <f ca="1"/>
        <v>miércoles</v>
      </c>
      <c r="Q704" s="124">
        <f ca="1"/>
        <v>45615</v>
      </c>
      <c r="R704" s="124">
        <f ca="1"/>
        <v>45654</v>
      </c>
      <c r="S704" s="90">
        <f ca="1"/>
        <v>30</v>
      </c>
      <c r="T704" s="139">
        <f ca="1"/>
        <v>0.75</v>
      </c>
      <c r="U704" s="131">
        <f ca="1"/>
        <v>45</v>
      </c>
      <c r="V704" s="120">
        <f ca="1"/>
        <v>20.25</v>
      </c>
      <c r="W704" s="140">
        <f ca="1"/>
        <v>1</v>
      </c>
      <c r="X704" s="139">
        <f ca="1"/>
        <v>0.97499999999999998</v>
      </c>
      <c r="Y704" s="141">
        <f ca="1"/>
        <v>2.1672899999999999</v>
      </c>
      <c r="Z704" s="141">
        <f ca="1"/>
        <v>2.1672899999999999</v>
      </c>
      <c r="AA704" s="142">
        <f ca="1"/>
        <v>43.887622499999999</v>
      </c>
      <c r="AB704" s="138">
        <f ca="1"/>
        <v>8</v>
      </c>
      <c r="AC704" s="103" t="str">
        <f ca="1"/>
        <v>VIGENTE</v>
      </c>
      <c r="AD704" s="150">
        <f ca="1"/>
        <v>2.0250000000000001E-2</v>
      </c>
    </row>
    <row r="705" spans="1:30">
      <c r="A705" s="111" t="str">
        <f ca="1"/>
        <v>SAN GABRIEL</v>
      </c>
      <c r="B705" s="111" t="str">
        <f ca="1"/>
        <v>QUESOS Y GRASAS</v>
      </c>
      <c r="C705" s="111" t="str">
        <f ca="1"/>
        <v xml:space="preserve">Esteban Montenegro                      </v>
      </c>
      <c r="D705" s="111" t="str">
        <f ca="1"/>
        <v>QUESO FRESCO KIOSKO</v>
      </c>
      <c r="E705" s="111" t="str">
        <f ca="1"/>
        <v>QUESO FRESCO KIOSKO BLOQUE</v>
      </c>
      <c r="F705" s="120" t="str">
        <f ca="1"/>
        <v>GUAYAQUIL</v>
      </c>
      <c r="G705" s="120">
        <f ca="1"/>
        <v>7711</v>
      </c>
      <c r="H705" s="120">
        <f ca="1"/>
        <v>1001</v>
      </c>
      <c r="I705" s="120" t="str">
        <f ca="1"/>
        <v>5818</v>
      </c>
      <c r="J705" s="120" t="str">
        <f ca="1"/>
        <v>Q FRES KIOSKO BLOQ 450G</v>
      </c>
      <c r="K705" s="121">
        <f ca="1"/>
        <v>270</v>
      </c>
      <c r="L705" s="122">
        <f ca="1"/>
        <v>1</v>
      </c>
      <c r="M705" s="120">
        <f ca="1"/>
        <v>0.45</v>
      </c>
      <c r="N705" s="121">
        <f ca="1"/>
        <v>40</v>
      </c>
      <c r="O705" s="123">
        <f ca="1"/>
        <v>45617</v>
      </c>
      <c r="P705" s="123" t="str">
        <f ca="1"/>
        <v>jueves</v>
      </c>
      <c r="Q705" s="124">
        <f ca="1"/>
        <v>45615</v>
      </c>
      <c r="R705" s="124">
        <f ca="1"/>
        <v>45654</v>
      </c>
      <c r="S705" s="90">
        <f ca="1"/>
        <v>30</v>
      </c>
      <c r="T705" s="139">
        <f ca="1"/>
        <v>0.75</v>
      </c>
      <c r="U705" s="131">
        <f ca="1"/>
        <v>270</v>
      </c>
      <c r="V705" s="120">
        <f ca="1"/>
        <v>121.5</v>
      </c>
      <c r="W705" s="140">
        <f ca="1"/>
        <v>2</v>
      </c>
      <c r="X705" s="139">
        <f ca="1"/>
        <v>0.95</v>
      </c>
      <c r="Y705" s="141">
        <f ca="1"/>
        <v>2.1672899999999999</v>
      </c>
      <c r="Z705" s="141">
        <f ca="1"/>
        <v>2.1672899999999999</v>
      </c>
      <c r="AA705" s="142">
        <f ca="1"/>
        <v>263.32573500000001</v>
      </c>
      <c r="AB705" s="138">
        <f ca="1"/>
        <v>7</v>
      </c>
      <c r="AC705" s="103" t="str">
        <f ca="1"/>
        <v>VIGENTE</v>
      </c>
      <c r="AD705" s="150">
        <f ca="1"/>
        <v>0.1215</v>
      </c>
    </row>
    <row r="706" spans="1:30">
      <c r="A706" s="111" t="str">
        <f ca="1"/>
        <v>SAN GABRIEL</v>
      </c>
      <c r="B706" s="111" t="str">
        <f ca="1"/>
        <v>QUESOS Y GRASAS</v>
      </c>
      <c r="C706" s="111" t="str">
        <f ca="1"/>
        <v xml:space="preserve">Esteban Montenegro                      </v>
      </c>
      <c r="D706" s="111" t="str">
        <f ca="1"/>
        <v>QUESO SEMIMADURO KIOSKO</v>
      </c>
      <c r="E706" s="111" t="str">
        <f ca="1"/>
        <v>QUESO SEMIMADURO KIOSKO MIX CUBOS</v>
      </c>
      <c r="F706" s="120" t="str">
        <f ca="1"/>
        <v>GUAYAQUIL</v>
      </c>
      <c r="G706" s="120">
        <f ca="1"/>
        <v>7711</v>
      </c>
      <c r="H706" s="120">
        <f ca="1"/>
        <v>1001</v>
      </c>
      <c r="I706" s="120" t="str">
        <f ca="1"/>
        <v>17262</v>
      </c>
      <c r="J706" s="120" t="str">
        <f ca="1"/>
        <v>Q MIX GOURMET KIOSKO CUBO BOL 150G</v>
      </c>
      <c r="K706" s="121">
        <f ca="1"/>
        <v>370</v>
      </c>
      <c r="L706" s="122">
        <f ca="1"/>
        <v>1</v>
      </c>
      <c r="M706" s="120">
        <f ca="1"/>
        <v>0.15</v>
      </c>
      <c r="N706" s="121">
        <f ca="1"/>
        <v>60</v>
      </c>
      <c r="O706" s="123">
        <f ca="1"/>
        <v>45595</v>
      </c>
      <c r="P706" s="123" t="str">
        <f ca="1"/>
        <v>miércoles</v>
      </c>
      <c r="Q706" s="124">
        <f ca="1"/>
        <v>45576</v>
      </c>
      <c r="R706" s="124">
        <f ca="1"/>
        <v>45635</v>
      </c>
      <c r="S706" s="90">
        <f ca="1"/>
        <v>11</v>
      </c>
      <c r="T706" s="139">
        <f ca="1"/>
        <v>0.18333333333333332</v>
      </c>
      <c r="U706" s="131">
        <f ca="1"/>
        <v>287</v>
      </c>
      <c r="V706" s="120">
        <f ca="1"/>
        <v>43.05</v>
      </c>
      <c r="W706" s="140">
        <f ca="1"/>
        <v>19</v>
      </c>
      <c r="X706" s="139">
        <f ca="1"/>
        <v>0.68333333333333335</v>
      </c>
      <c r="Y706" s="141">
        <f ca="1"/>
        <v>2.68</v>
      </c>
      <c r="Z706" s="141">
        <f ca="1"/>
        <v>2.68</v>
      </c>
      <c r="AA706" s="142">
        <f ca="1"/>
        <v>115.374</v>
      </c>
      <c r="AB706" s="138">
        <f ca="1"/>
        <v>29</v>
      </c>
      <c r="AC706" s="103" t="str">
        <f ca="1"/>
        <v>FECHA CORTA</v>
      </c>
      <c r="AD706" s="150">
        <f ca="1"/>
        <v>4.3049999999999998E-2</v>
      </c>
    </row>
    <row r="707" spans="1:30">
      <c r="A707" s="111" t="str">
        <f ca="1"/>
        <v>SAN GABRIEL</v>
      </c>
      <c r="B707" s="111" t="str">
        <f ca="1"/>
        <v>QUESOS Y GRASAS</v>
      </c>
      <c r="C707" s="111" t="str">
        <f ca="1"/>
        <v xml:space="preserve">Esteban Montenegro                      </v>
      </c>
      <c r="D707" s="111" t="str">
        <f ca="1"/>
        <v>QUESO SEMIMADURO KIOSKO</v>
      </c>
      <c r="E707" s="111" t="str">
        <f ca="1"/>
        <v>QUESO SEMIMADURO KIOSKO MIX CUBOS</v>
      </c>
      <c r="F707" s="120" t="str">
        <f ca="1"/>
        <v>GUAYAQUIL</v>
      </c>
      <c r="G707" s="120">
        <f ca="1"/>
        <v>7711</v>
      </c>
      <c r="H707" s="120">
        <f ca="1"/>
        <v>1001</v>
      </c>
      <c r="I707" s="120" t="str">
        <f ca="1"/>
        <v>17262</v>
      </c>
      <c r="J707" s="120" t="str">
        <f ca="1"/>
        <v>Q MIX GOURMET KIOSKO CUBO BOL 150G</v>
      </c>
      <c r="K707" s="121">
        <f ca="1"/>
        <v>300</v>
      </c>
      <c r="L707" s="122">
        <f ca="1"/>
        <v>1</v>
      </c>
      <c r="M707" s="120">
        <f ca="1"/>
        <v>0.15</v>
      </c>
      <c r="N707" s="121">
        <f ca="1"/>
        <v>60</v>
      </c>
      <c r="O707" s="123">
        <f ca="1"/>
        <v>45615</v>
      </c>
      <c r="P707" s="123" t="str">
        <f ca="1"/>
        <v>martes</v>
      </c>
      <c r="Q707" s="124">
        <f ca="1"/>
        <v>45611</v>
      </c>
      <c r="R707" s="124">
        <f ca="1"/>
        <v>45670</v>
      </c>
      <c r="S707" s="90">
        <f ca="1"/>
        <v>46</v>
      </c>
      <c r="T707" s="139">
        <f ca="1"/>
        <v>0.76666666666666672</v>
      </c>
      <c r="U707" s="131">
        <f ca="1"/>
        <v>29</v>
      </c>
      <c r="V707" s="120">
        <f ca="1"/>
        <v>4.3499999999999996</v>
      </c>
      <c r="W707" s="140">
        <f ca="1"/>
        <v>4</v>
      </c>
      <c r="X707" s="139">
        <f ca="1"/>
        <v>0.93333333333333335</v>
      </c>
      <c r="Y707" s="141">
        <f ca="1"/>
        <v>2.68</v>
      </c>
      <c r="Z707" s="141">
        <f ca="1"/>
        <v>2.68</v>
      </c>
      <c r="AA707" s="142">
        <f ca="1"/>
        <v>11.657999999999999</v>
      </c>
      <c r="AB707" s="138">
        <f ca="1"/>
        <v>9</v>
      </c>
      <c r="AC707" s="103" t="str">
        <f ca="1"/>
        <v>VIGENTE</v>
      </c>
      <c r="AD707" s="150">
        <f ca="1"/>
        <v>4.3499999999999997E-3</v>
      </c>
    </row>
    <row r="708" spans="1:30">
      <c r="A708" s="111" t="str">
        <f ca="1"/>
        <v>MACHACHI</v>
      </c>
      <c r="B708" s="111" t="str">
        <f ca="1"/>
        <v>BEBIDAS LACTEAS</v>
      </c>
      <c r="C708" s="111" t="str">
        <f ca="1"/>
        <v xml:space="preserve">Luis Armendariz                         </v>
      </c>
      <c r="D708" s="111" t="str">
        <f ca="1"/>
        <v>YOGURT KIOSKO</v>
      </c>
      <c r="E708" s="111" t="str">
        <f ca="1"/>
        <v>BEBIDA DE YOGURT KIOSKO GALONERA</v>
      </c>
      <c r="F708" s="120" t="str">
        <f ca="1"/>
        <v>GUAYAQUIL</v>
      </c>
      <c r="G708" s="120">
        <f ca="1"/>
        <v>7711</v>
      </c>
      <c r="H708" s="120">
        <f ca="1"/>
        <v>1001</v>
      </c>
      <c r="I708" s="120" t="str">
        <f ca="1"/>
        <v>12300</v>
      </c>
      <c r="J708" s="120" t="str">
        <f ca="1"/>
        <v>YOG BBLE KIOSKO MOR BOT 3.5KG</v>
      </c>
      <c r="K708" s="121">
        <f ca="1"/>
        <v>56</v>
      </c>
      <c r="L708" s="122">
        <f ca="1"/>
        <v>1</v>
      </c>
      <c r="M708" s="120">
        <f ca="1"/>
        <v>3.5</v>
      </c>
      <c r="N708" s="121">
        <f ca="1"/>
        <v>45</v>
      </c>
      <c r="O708" s="123">
        <f ca="1"/>
        <v>45612</v>
      </c>
      <c r="P708" s="123" t="str">
        <f ca="1"/>
        <v>sábado</v>
      </c>
      <c r="Q708" s="124">
        <f ca="1"/>
        <v>45610</v>
      </c>
      <c r="R708" s="124">
        <f ca="1"/>
        <v>45654</v>
      </c>
      <c r="S708" s="90">
        <f ca="1"/>
        <v>30</v>
      </c>
      <c r="T708" s="139">
        <f ca="1"/>
        <v>0.66666666666666663</v>
      </c>
      <c r="U708" s="131">
        <f ca="1"/>
        <v>56</v>
      </c>
      <c r="V708" s="120">
        <f ca="1"/>
        <v>196</v>
      </c>
      <c r="W708" s="140">
        <f ca="1"/>
        <v>2</v>
      </c>
      <c r="X708" s="139">
        <f ca="1"/>
        <v>0.9555555555555556</v>
      </c>
      <c r="Y708" s="141">
        <f ca="1"/>
        <v>2.9109100000000003</v>
      </c>
      <c r="Z708" s="141">
        <f ca="1"/>
        <v>2.9109100000000003</v>
      </c>
      <c r="AA708" s="142">
        <f ca="1"/>
        <v>570.53836000000001</v>
      </c>
      <c r="AB708" s="138">
        <f ca="1"/>
        <v>12</v>
      </c>
      <c r="AC708" s="103" t="str">
        <f ca="1"/>
        <v>VIGENTE</v>
      </c>
      <c r="AD708" s="150">
        <f ca="1"/>
        <v>0.19600000000000001</v>
      </c>
    </row>
    <row r="709" spans="1:30">
      <c r="A709" s="111" t="str">
        <f ca="1"/>
        <v>MACHACHI</v>
      </c>
      <c r="B709" s="111" t="str">
        <f ca="1"/>
        <v>BEBIDAS LACTEAS</v>
      </c>
      <c r="C709" s="111" t="str">
        <f ca="1"/>
        <v xml:space="preserve">Luis Armendariz                         </v>
      </c>
      <c r="D709" s="111" t="str">
        <f ca="1"/>
        <v>YOGURT KIOSKO</v>
      </c>
      <c r="E709" s="111" t="str">
        <f ca="1"/>
        <v>BEBIDA DE YOGURT KIOSKO GALONERA</v>
      </c>
      <c r="F709" s="120" t="str">
        <f ca="1"/>
        <v>GUAYAQUIL</v>
      </c>
      <c r="G709" s="120">
        <f ca="1"/>
        <v>7711</v>
      </c>
      <c r="H709" s="120">
        <f ca="1"/>
        <v>1001</v>
      </c>
      <c r="I709" s="120" t="str">
        <f ca="1"/>
        <v>12300</v>
      </c>
      <c r="J709" s="120" t="str">
        <f ca="1"/>
        <v>YOG BBLE KIOSKO MOR BOT 3.5KG</v>
      </c>
      <c r="K709" s="121">
        <f ca="1"/>
        <v>104</v>
      </c>
      <c r="L709" s="122">
        <f ca="1"/>
        <v>1</v>
      </c>
      <c r="M709" s="120">
        <f ca="1"/>
        <v>3.5</v>
      </c>
      <c r="N709" s="121">
        <f ca="1"/>
        <v>45</v>
      </c>
      <c r="O709" s="123">
        <f ca="1"/>
        <v>45611</v>
      </c>
      <c r="P709" s="123" t="str">
        <f ca="1"/>
        <v>viernes</v>
      </c>
      <c r="Q709" s="124">
        <f ca="1"/>
        <v>45610</v>
      </c>
      <c r="R709" s="124">
        <f ca="1"/>
        <v>45654</v>
      </c>
      <c r="S709" s="90">
        <f ca="1"/>
        <v>30</v>
      </c>
      <c r="T709" s="139">
        <f ca="1"/>
        <v>0.66666666666666663</v>
      </c>
      <c r="U709" s="131">
        <f ca="1"/>
        <v>16</v>
      </c>
      <c r="V709" s="120">
        <f ca="1"/>
        <v>56</v>
      </c>
      <c r="W709" s="140">
        <f ca="1"/>
        <v>1</v>
      </c>
      <c r="X709" s="139">
        <f ca="1"/>
        <v>0.97777777777777775</v>
      </c>
      <c r="Y709" s="141">
        <f ca="1"/>
        <v>2.9109100000000003</v>
      </c>
      <c r="Z709" s="141">
        <f ca="1"/>
        <v>2.9109100000000003</v>
      </c>
      <c r="AA709" s="142">
        <f ca="1"/>
        <v>163.01096000000001</v>
      </c>
      <c r="AB709" s="138">
        <f ca="1"/>
        <v>13</v>
      </c>
      <c r="AC709" s="103" t="str">
        <f ca="1"/>
        <v>VIGENTE</v>
      </c>
      <c r="AD709" s="150">
        <f ca="1"/>
        <v>5.6000000000000001E-2</v>
      </c>
    </row>
    <row r="710" spans="1:30">
      <c r="A710" s="111" t="str">
        <f ca="1"/>
        <v>MACHACHI</v>
      </c>
      <c r="B710" s="111" t="str">
        <f ca="1"/>
        <v>BEBIDAS LACTEAS</v>
      </c>
      <c r="C710" s="111" t="str">
        <f ca="1"/>
        <v xml:space="preserve">Luis Armendariz                         </v>
      </c>
      <c r="D710" s="111" t="str">
        <f ca="1"/>
        <v>YOGURT KIOSKO</v>
      </c>
      <c r="E710" s="111" t="str">
        <f ca="1"/>
        <v>BEBIDA DE YOGURT KIOSKO GALONERA</v>
      </c>
      <c r="F710" s="120" t="str">
        <f ca="1"/>
        <v>GUAYAQUIL</v>
      </c>
      <c r="G710" s="120">
        <f ca="1"/>
        <v>7711</v>
      </c>
      <c r="H710" s="120">
        <f ca="1"/>
        <v>1001</v>
      </c>
      <c r="I710" s="120" t="str">
        <f ca="1"/>
        <v>12300</v>
      </c>
      <c r="J710" s="120" t="str">
        <f ca="1"/>
        <v>YOG BBLE KIOSKO MOR BOT 3.5KG</v>
      </c>
      <c r="K710" s="121">
        <f ca="1"/>
        <v>104</v>
      </c>
      <c r="L710" s="122">
        <f ca="1"/>
        <v>1</v>
      </c>
      <c r="M710" s="120">
        <f ca="1"/>
        <v>3.5</v>
      </c>
      <c r="N710" s="121">
        <f ca="1"/>
        <v>45</v>
      </c>
      <c r="O710" s="123">
        <f ca="1"/>
        <v>45615</v>
      </c>
      <c r="P710" s="123" t="str">
        <f ca="1"/>
        <v>martes</v>
      </c>
      <c r="Q710" s="124">
        <f ca="1"/>
        <v>45610</v>
      </c>
      <c r="R710" s="124">
        <f ca="1"/>
        <v>45654</v>
      </c>
      <c r="S710" s="90">
        <f ca="1"/>
        <v>30</v>
      </c>
      <c r="T710" s="139">
        <f ca="1"/>
        <v>0.66666666666666663</v>
      </c>
      <c r="U710" s="131">
        <f ca="1"/>
        <v>104</v>
      </c>
      <c r="V710" s="120">
        <f ca="1"/>
        <v>364</v>
      </c>
      <c r="W710" s="140">
        <f ca="1"/>
        <v>5</v>
      </c>
      <c r="X710" s="139">
        <f ca="1"/>
        <v>0.88888888888888884</v>
      </c>
      <c r="Y710" s="141">
        <f ca="1"/>
        <v>2.9109100000000003</v>
      </c>
      <c r="Z710" s="141">
        <f ca="1"/>
        <v>2.9109100000000003</v>
      </c>
      <c r="AA710" s="142">
        <f ca="1"/>
        <v>1059.5712400000002</v>
      </c>
      <c r="AB710" s="138">
        <f ca="1"/>
        <v>9</v>
      </c>
      <c r="AC710" s="103" t="str">
        <f ca="1"/>
        <v>VIGENTE</v>
      </c>
      <c r="AD710" s="150">
        <f ca="1"/>
        <v>0.36399999999999999</v>
      </c>
    </row>
    <row r="711" spans="1:30">
      <c r="A711" s="111" t="str">
        <f ca="1"/>
        <v>SAN GABRIEL</v>
      </c>
      <c r="B711" s="111" t="str">
        <f ca="1"/>
        <v>QUESOS Y GRASAS</v>
      </c>
      <c r="C711" s="111" t="str">
        <f ca="1"/>
        <v xml:space="preserve">Esteban Montenegro                      </v>
      </c>
      <c r="D711" s="111" t="str">
        <f ca="1"/>
        <v>QUESO SEMIMADURO KIOSKO</v>
      </c>
      <c r="E711" s="111" t="str">
        <f ca="1"/>
        <v>QUESO PARMESANO KIOSKO RALLADO</v>
      </c>
      <c r="F711" s="120" t="str">
        <f ca="1"/>
        <v>GUAYAQUIL</v>
      </c>
      <c r="G711" s="120">
        <f ca="1"/>
        <v>7711</v>
      </c>
      <c r="H711" s="120">
        <f ca="1"/>
        <v>1001</v>
      </c>
      <c r="I711" s="120" t="str">
        <f ca="1"/>
        <v>5511</v>
      </c>
      <c r="J711" s="120" t="str">
        <f ca="1"/>
        <v>Q PARME KIOSKO RALL BOL 100G</v>
      </c>
      <c r="K711" s="121">
        <f ca="1"/>
        <v>400</v>
      </c>
      <c r="L711" s="122">
        <f ca="1"/>
        <v>1</v>
      </c>
      <c r="M711" s="120">
        <f ca="1"/>
        <v>0.1</v>
      </c>
      <c r="N711" s="121">
        <f ca="1"/>
        <v>180</v>
      </c>
      <c r="O711" s="123">
        <f ca="1"/>
        <v>45611</v>
      </c>
      <c r="P711" s="123" t="str">
        <f ca="1"/>
        <v>viernes</v>
      </c>
      <c r="Q711" s="124">
        <f ca="1"/>
        <v>45609</v>
      </c>
      <c r="R711" s="124">
        <f ca="1"/>
        <v>45788</v>
      </c>
      <c r="S711" s="90">
        <f ca="1"/>
        <v>164</v>
      </c>
      <c r="T711" s="139">
        <f ca="1"/>
        <v>0.91111111111111109</v>
      </c>
      <c r="U711" s="131">
        <f ca="1"/>
        <v>400</v>
      </c>
      <c r="V711" s="120">
        <f ca="1"/>
        <v>40</v>
      </c>
      <c r="W711" s="140">
        <f ca="1"/>
        <v>2</v>
      </c>
      <c r="X711" s="139">
        <f ca="1"/>
        <v>0.98888888888888893</v>
      </c>
      <c r="Y711" s="141">
        <f ca="1"/>
        <v>1.0460849999999999</v>
      </c>
      <c r="Z711" s="141">
        <f ca="1"/>
        <v>1.0460849999999999</v>
      </c>
      <c r="AA711" s="142">
        <f ca="1"/>
        <v>41.843399999999995</v>
      </c>
      <c r="AB711" s="138">
        <f ca="1"/>
        <v>13</v>
      </c>
      <c r="AC711" s="103" t="str">
        <f ca="1"/>
        <v>VIGENTE</v>
      </c>
      <c r="AD711" s="150">
        <f ca="1"/>
        <v>0.04</v>
      </c>
    </row>
    <row r="712" spans="1:30">
      <c r="A712" t="str">
        <f ca="1"/>
        <v>SAN GABRIEL</v>
      </c>
      <c r="B712" t="str">
        <f ca="1"/>
        <v>QUESOS Y GRASAS</v>
      </c>
      <c r="C712" t="str">
        <f ca="1"/>
        <v xml:space="preserve">Esteban Montenegro                      </v>
      </c>
      <c r="D712" t="str">
        <f ca="1"/>
        <v>QUESO SEMIMADURO KIOSKO</v>
      </c>
      <c r="E712" t="str">
        <f ca="1"/>
        <v>QUESO PARMESANO KIOSKO RALLADO</v>
      </c>
      <c r="F712" s="125" t="str">
        <f ca="1"/>
        <v>GUAYAQUIL</v>
      </c>
      <c r="G712" s="125">
        <f ca="1"/>
        <v>7711</v>
      </c>
      <c r="H712" s="125">
        <f ca="1"/>
        <v>1001</v>
      </c>
      <c r="I712" s="125" t="str">
        <f ca="1"/>
        <v>5511</v>
      </c>
      <c r="J712" s="125" t="str">
        <f ca="1"/>
        <v>Q PARME KIOSKO RALL BOL 100G</v>
      </c>
      <c r="K712" s="126">
        <f ca="1"/>
        <v>1100</v>
      </c>
      <c r="L712" s="127">
        <f ca="1"/>
        <v>1</v>
      </c>
      <c r="M712" s="125">
        <f ca="1"/>
        <v>0.1</v>
      </c>
      <c r="N712" s="126">
        <f ca="1"/>
        <v>180</v>
      </c>
      <c r="O712" s="128">
        <f ca="1"/>
        <v>45610</v>
      </c>
      <c r="P712" s="128" t="str">
        <f ca="1"/>
        <v>jueves</v>
      </c>
      <c r="Q712" s="129">
        <f ca="1"/>
        <v>45608</v>
      </c>
      <c r="R712" s="129">
        <f ca="1"/>
        <v>45787</v>
      </c>
      <c r="S712" s="89">
        <f ca="1"/>
        <v>163</v>
      </c>
      <c r="T712" s="143">
        <f ca="1"/>
        <v>0.90555555555555556</v>
      </c>
      <c r="U712" s="131">
        <f ca="1"/>
        <v>1018</v>
      </c>
      <c r="V712" s="125">
        <f ca="1"/>
        <v>101.80000000000001</v>
      </c>
      <c r="W712" s="144">
        <f ca="1"/>
        <v>2</v>
      </c>
      <c r="X712" s="143">
        <f ca="1"/>
        <v>0.98888888888888893</v>
      </c>
      <c r="Y712" s="145">
        <f ca="1"/>
        <v>1.0460849999999999</v>
      </c>
      <c r="Z712" s="145">
        <f ca="1"/>
        <v>1.0460849999999999</v>
      </c>
      <c r="AA712" s="125">
        <f ca="1"/>
        <v>106.49145300000001</v>
      </c>
      <c r="AB712" s="125">
        <f ca="1"/>
        <v>14</v>
      </c>
      <c r="AC712" s="98" t="str">
        <f ca="1"/>
        <v>VIGENTE</v>
      </c>
      <c r="AD712" s="147">
        <f ca="1"/>
        <v>0.10180000000000002</v>
      </c>
    </row>
    <row r="713" spans="1:30">
      <c r="A713" t="str">
        <f ca="1"/>
        <v>SAN GABRIEL</v>
      </c>
      <c r="B713" t="str">
        <f ca="1"/>
        <v>QUESOS Y GRASAS</v>
      </c>
      <c r="C713" t="str">
        <f ca="1"/>
        <v xml:space="preserve">Esteban Montenegro                      </v>
      </c>
      <c r="D713" t="str">
        <f ca="1"/>
        <v>QUESO SEMIMADURO KIOSKO</v>
      </c>
      <c r="E713" t="str">
        <f ca="1"/>
        <v>QUESO PARMESANO KIOSKO RALLADO</v>
      </c>
      <c r="F713" s="125" t="str">
        <f ca="1"/>
        <v>GUAYAQUIL</v>
      </c>
      <c r="G713" s="125">
        <f ca="1"/>
        <v>7711</v>
      </c>
      <c r="H713" s="125">
        <f ca="1"/>
        <v>1001</v>
      </c>
      <c r="I713" s="125" t="str">
        <f ca="1"/>
        <v>5511</v>
      </c>
      <c r="J713" s="125" t="str">
        <f ca="1"/>
        <v>Q PARME KIOSKO RALL BOL 100G</v>
      </c>
      <c r="K713" s="126">
        <f ca="1"/>
        <v>400</v>
      </c>
      <c r="L713" s="127">
        <f ca="1"/>
        <v>1</v>
      </c>
      <c r="M713" s="125">
        <f ca="1"/>
        <v>0.1</v>
      </c>
      <c r="N713" s="126">
        <f ca="1"/>
        <v>180</v>
      </c>
      <c r="O713" s="128">
        <f ca="1"/>
        <v>45610</v>
      </c>
      <c r="P713" s="128" t="str">
        <f ca="1"/>
        <v>jueves</v>
      </c>
      <c r="Q713" s="129">
        <f ca="1"/>
        <v>45609</v>
      </c>
      <c r="R713" s="129">
        <f ca="1"/>
        <v>45788</v>
      </c>
      <c r="S713" s="89">
        <f ca="1"/>
        <v>164</v>
      </c>
      <c r="T713" s="143">
        <f ca="1"/>
        <v>0.91111111111111109</v>
      </c>
      <c r="U713" s="131">
        <f ca="1"/>
        <v>400</v>
      </c>
      <c r="V713" s="125">
        <f ca="1"/>
        <v>40</v>
      </c>
      <c r="W713" s="144">
        <f ca="1"/>
        <v>1</v>
      </c>
      <c r="X713" s="143">
        <f ca="1"/>
        <v>0.99444444444444446</v>
      </c>
      <c r="Y713" s="145">
        <f ca="1"/>
        <v>1.0460849999999999</v>
      </c>
      <c r="Z713" s="145">
        <f ca="1"/>
        <v>1.0460849999999999</v>
      </c>
      <c r="AA713" s="125">
        <f ca="1"/>
        <v>41.843399999999995</v>
      </c>
      <c r="AB713" s="125">
        <f ca="1"/>
        <v>14</v>
      </c>
      <c r="AC713" s="98" t="str">
        <f ca="1"/>
        <v>VIGENTE</v>
      </c>
      <c r="AD713" s="147">
        <f ca="1"/>
        <v>0.04</v>
      </c>
    </row>
    <row r="714" spans="1:30">
      <c r="A714" t="str">
        <f ca="1"/>
        <v>SAN GABRIEL</v>
      </c>
      <c r="B714" t="str">
        <f ca="1"/>
        <v>QUESOS Y GRASAS</v>
      </c>
      <c r="C714" t="str">
        <f ca="1"/>
        <v xml:space="preserve">Esteban Montenegro                      </v>
      </c>
      <c r="D714" t="str">
        <f ca="1"/>
        <v>QUESO SEMIMADURO KIOSKO</v>
      </c>
      <c r="E714" t="str">
        <f ca="1"/>
        <v>QUESO PARMESANO KIOSKO RALLADO</v>
      </c>
      <c r="F714" s="125" t="str">
        <f ca="1"/>
        <v>GUAYAQUIL</v>
      </c>
      <c r="G714" s="125">
        <f ca="1"/>
        <v>7711</v>
      </c>
      <c r="H714" s="125">
        <f ca="1"/>
        <v>1001</v>
      </c>
      <c r="I714" s="125" t="str">
        <f ca="1"/>
        <v>5511</v>
      </c>
      <c r="J714" s="125" t="str">
        <f ca="1"/>
        <v>Q PARME KIOSKO RALL BOL 100G</v>
      </c>
      <c r="K714" s="126">
        <f ca="1"/>
        <v>500</v>
      </c>
      <c r="L714" s="127">
        <f ca="1"/>
        <v>1</v>
      </c>
      <c r="M714" s="125">
        <f ca="1"/>
        <v>0.1</v>
      </c>
      <c r="N714" s="126">
        <f ca="1"/>
        <v>180</v>
      </c>
      <c r="O714" s="128">
        <f ca="1"/>
        <v>45615</v>
      </c>
      <c r="P714" s="128" t="str">
        <f ca="1"/>
        <v>martes</v>
      </c>
      <c r="Q714" s="129">
        <f ca="1"/>
        <v>45610</v>
      </c>
      <c r="R714" s="129">
        <f ca="1"/>
        <v>45789</v>
      </c>
      <c r="S714" s="89">
        <f ca="1"/>
        <v>165</v>
      </c>
      <c r="T714" s="143">
        <f ca="1"/>
        <v>0.91666666666666663</v>
      </c>
      <c r="U714" s="131">
        <f ca="1"/>
        <v>503</v>
      </c>
      <c r="V714" s="125">
        <f ca="1"/>
        <v>50.300000000000004</v>
      </c>
      <c r="W714" s="144">
        <f ca="1"/>
        <v>5</v>
      </c>
      <c r="X714" s="143">
        <f ca="1"/>
        <v>0.97222222222222221</v>
      </c>
      <c r="Y714" s="145">
        <f ca="1"/>
        <v>1.0460849999999999</v>
      </c>
      <c r="Z714" s="145">
        <f ca="1"/>
        <v>1.0460849999999999</v>
      </c>
      <c r="AA714" s="125">
        <f ca="1"/>
        <v>52.618075500000003</v>
      </c>
      <c r="AB714" s="125">
        <f ca="1"/>
        <v>9</v>
      </c>
      <c r="AC714" s="98" t="str">
        <f ca="1"/>
        <v>VIGENTE</v>
      </c>
      <c r="AD714" s="147">
        <f ca="1"/>
        <v>5.0300000000000004E-2</v>
      </c>
    </row>
    <row r="715" spans="1:30">
      <c r="A715" t="str">
        <f ca="1"/>
        <v>SAN GABRIEL</v>
      </c>
      <c r="B715" t="str">
        <f ca="1"/>
        <v>QUESOS Y GRASAS</v>
      </c>
      <c r="C715" t="str">
        <f ca="1"/>
        <v xml:space="preserve">Esteban Montenegro                      </v>
      </c>
      <c r="D715" t="str">
        <f ca="1"/>
        <v>QUESO SEMIMADURO KIOSKO</v>
      </c>
      <c r="E715" t="str">
        <f ca="1"/>
        <v>QUESO PARMESANO KIOSKO RALLADO</v>
      </c>
      <c r="F715" s="125" t="str">
        <f ca="1"/>
        <v>GUAYAQUIL</v>
      </c>
      <c r="G715" s="125">
        <f ca="1"/>
        <v>7711</v>
      </c>
      <c r="H715" s="125">
        <f ca="1"/>
        <v>1001</v>
      </c>
      <c r="I715" s="125" t="str">
        <f ca="1"/>
        <v>5511</v>
      </c>
      <c r="J715" s="125" t="str">
        <f ca="1"/>
        <v>Q PARME KIOSKO RALL BOL 100G</v>
      </c>
      <c r="K715" s="126">
        <f ca="1"/>
        <v>400</v>
      </c>
      <c r="L715" s="127">
        <f ca="1"/>
        <v>1</v>
      </c>
      <c r="M715" s="125">
        <f ca="1"/>
        <v>0.1</v>
      </c>
      <c r="N715" s="126">
        <f ca="1"/>
        <v>180</v>
      </c>
      <c r="O715" s="128">
        <f ca="1"/>
        <v>45616</v>
      </c>
      <c r="P715" s="128" t="str">
        <f ca="1"/>
        <v>miércoles</v>
      </c>
      <c r="Q715" s="129">
        <f ca="1"/>
        <v>45611</v>
      </c>
      <c r="R715" s="129">
        <f ca="1"/>
        <v>45790</v>
      </c>
      <c r="S715" s="89">
        <f ca="1"/>
        <v>166</v>
      </c>
      <c r="T715" s="143">
        <f ca="1"/>
        <v>0.92222222222222228</v>
      </c>
      <c r="U715" s="131">
        <f ca="1"/>
        <v>400</v>
      </c>
      <c r="V715" s="125">
        <f ca="1"/>
        <v>40</v>
      </c>
      <c r="W715" s="144">
        <f ca="1"/>
        <v>5</v>
      </c>
      <c r="X715" s="143">
        <f ca="1"/>
        <v>0.97222222222222221</v>
      </c>
      <c r="Y715" s="145">
        <f ca="1"/>
        <v>1.0460849999999999</v>
      </c>
      <c r="Z715" s="145">
        <f ca="1"/>
        <v>1.0460849999999999</v>
      </c>
      <c r="AA715" s="125">
        <f ca="1"/>
        <v>41.843399999999995</v>
      </c>
      <c r="AB715" s="125">
        <f ca="1"/>
        <v>8</v>
      </c>
      <c r="AC715" s="98" t="str">
        <f ca="1"/>
        <v>VIGENTE</v>
      </c>
      <c r="AD715" s="147">
        <f ca="1"/>
        <v>0.04</v>
      </c>
    </row>
    <row r="716" spans="1:30">
      <c r="A716" t="str">
        <f ca="1"/>
        <v>SAN GABRIEL</v>
      </c>
      <c r="B716" t="str">
        <f ca="1"/>
        <v>QUESOS Y GRASAS</v>
      </c>
      <c r="C716" t="str">
        <f ca="1"/>
        <v xml:space="preserve">Esteban Montenegro                      </v>
      </c>
      <c r="D716" t="str">
        <f ca="1"/>
        <v>QUESO SEMIMADURO KIOSKO</v>
      </c>
      <c r="E716" t="str">
        <f ca="1"/>
        <v>QUESO PARMESANO KIOSKO RALLADO</v>
      </c>
      <c r="F716" s="125" t="str">
        <f ca="1"/>
        <v>GUAYAQUIL</v>
      </c>
      <c r="G716" s="125">
        <f ca="1"/>
        <v>7711</v>
      </c>
      <c r="H716" s="125">
        <f ca="1"/>
        <v>1001</v>
      </c>
      <c r="I716" s="125" t="str">
        <f ca="1"/>
        <v>5511</v>
      </c>
      <c r="J716" s="125" t="str">
        <f ca="1"/>
        <v>Q PARME KIOSKO RALL BOL 100G</v>
      </c>
      <c r="K716" s="126">
        <f ca="1"/>
        <v>400</v>
      </c>
      <c r="L716" s="127">
        <f ca="1"/>
        <v>1</v>
      </c>
      <c r="M716" s="125">
        <f ca="1"/>
        <v>0.1</v>
      </c>
      <c r="N716" s="126">
        <f ca="1"/>
        <v>180</v>
      </c>
      <c r="O716" s="128">
        <f ca="1"/>
        <v>45617</v>
      </c>
      <c r="P716" s="128" t="str">
        <f ca="1"/>
        <v>jueves</v>
      </c>
      <c r="Q716" s="129">
        <f ca="1"/>
        <v>45611</v>
      </c>
      <c r="R716" s="129">
        <f ca="1"/>
        <v>45790</v>
      </c>
      <c r="S716" s="89">
        <f ca="1"/>
        <v>166</v>
      </c>
      <c r="T716" s="143">
        <f ca="1"/>
        <v>0.92222222222222228</v>
      </c>
      <c r="U716" s="131">
        <f ca="1"/>
        <v>400</v>
      </c>
      <c r="V716" s="125">
        <f ca="1"/>
        <v>40</v>
      </c>
      <c r="W716" s="144">
        <f ca="1"/>
        <v>6</v>
      </c>
      <c r="X716" s="143">
        <f ca="1"/>
        <v>0.96666666666666667</v>
      </c>
      <c r="Y716" s="145">
        <f ca="1"/>
        <v>1.0460849999999999</v>
      </c>
      <c r="Z716" s="145">
        <f ca="1"/>
        <v>1.0460849999999999</v>
      </c>
      <c r="AA716" s="125">
        <f ca="1"/>
        <v>41.843399999999995</v>
      </c>
      <c r="AB716" s="125">
        <f ca="1"/>
        <v>7</v>
      </c>
      <c r="AC716" s="98" t="str">
        <f ca="1"/>
        <v>VIGENTE</v>
      </c>
      <c r="AD716" s="147">
        <f ca="1"/>
        <v>0.04</v>
      </c>
    </row>
    <row r="717" spans="1:30">
      <c r="A717" t="str">
        <f ca="1"/>
        <v>SAN GABRIEL</v>
      </c>
      <c r="B717" t="str">
        <f ca="1"/>
        <v>QUESOS Y GRASAS</v>
      </c>
      <c r="C717" t="str">
        <f ca="1"/>
        <v xml:space="preserve">Esteban Montenegro                      </v>
      </c>
      <c r="D717" t="str">
        <f ca="1"/>
        <v>QUESO SEMIMADURO KIOSKO</v>
      </c>
      <c r="E717" t="str">
        <f ca="1"/>
        <v>QUESO PARMESANO KIOSKO RALLADO</v>
      </c>
      <c r="F717" s="125" t="str">
        <f ca="1"/>
        <v>GUAYAQUIL</v>
      </c>
      <c r="G717" s="125">
        <f ca="1"/>
        <v>7711</v>
      </c>
      <c r="H717" s="125">
        <f ca="1"/>
        <v>1001</v>
      </c>
      <c r="I717" s="125" t="str">
        <f ca="1"/>
        <v>5511</v>
      </c>
      <c r="J717" s="125" t="str">
        <f ca="1"/>
        <v>Q PARME KIOSKO RALL BOL 100G</v>
      </c>
      <c r="K717" s="126">
        <f ca="1"/>
        <v>0</v>
      </c>
      <c r="L717" s="127">
        <f ca="1"/>
        <v>1</v>
      </c>
      <c r="M717" s="125">
        <f ca="1"/>
        <v>0.1</v>
      </c>
      <c r="N717" s="126">
        <f ca="1"/>
        <v>180</v>
      </c>
      <c r="O717" s="128">
        <f ca="1"/>
        <v>45606</v>
      </c>
      <c r="P717" s="128" t="str">
        <f ca="1"/>
        <v>domingo</v>
      </c>
      <c r="Q717" s="129">
        <f ca="1"/>
        <v>45606</v>
      </c>
      <c r="R717" s="129">
        <f ca="1"/>
        <v>45785</v>
      </c>
      <c r="S717" s="89">
        <f ca="1"/>
        <v>161</v>
      </c>
      <c r="T717" s="143">
        <f ca="1"/>
        <v>0.89444444444444449</v>
      </c>
      <c r="U717" s="131">
        <f ca="1"/>
        <v>2</v>
      </c>
      <c r="V717" s="125">
        <f ca="1"/>
        <v>0.2</v>
      </c>
      <c r="W717" s="144">
        <f ca="1"/>
        <v>0</v>
      </c>
      <c r="X717" s="143">
        <f ca="1"/>
        <v>1</v>
      </c>
      <c r="Y717" s="145">
        <f ca="1"/>
        <v>1.0460849999999999</v>
      </c>
      <c r="Z717" s="145">
        <f ca="1"/>
        <v>1.0460849999999999</v>
      </c>
      <c r="AA717" s="125">
        <f ca="1"/>
        <v>0.20921699999999999</v>
      </c>
      <c r="AB717" s="125">
        <f ca="1"/>
        <v>18</v>
      </c>
      <c r="AC717" s="98" t="str">
        <f ca="1"/>
        <v>VIGENTE</v>
      </c>
      <c r="AD717" s="147">
        <f ca="1"/>
        <v>2.0000000000000001E-4</v>
      </c>
    </row>
    <row r="718" spans="1:30">
      <c r="A718" t="str">
        <f ca="1"/>
        <v>SAN GABRIEL</v>
      </c>
      <c r="B718" t="str">
        <f ca="1"/>
        <v>QUESOS Y GRASAS</v>
      </c>
      <c r="C718" t="str">
        <f ca="1"/>
        <v xml:space="preserve">Esteban Montenegro                      </v>
      </c>
      <c r="D718" t="str">
        <f ca="1"/>
        <v>QUESO MOZARELLA KIOSKO</v>
      </c>
      <c r="E718" t="str">
        <f ca="1"/>
        <v>QUESO MOZARELLA PIZZA KIOSKO RALLADO</v>
      </c>
      <c r="F718" s="125" t="str">
        <f ca="1"/>
        <v>GUAYAQUIL</v>
      </c>
      <c r="G718" s="125">
        <f ca="1"/>
        <v>7711</v>
      </c>
      <c r="H718" s="125">
        <f ca="1"/>
        <v>1001</v>
      </c>
      <c r="I718" s="125" t="str">
        <f ca="1"/>
        <v>14714</v>
      </c>
      <c r="J718" s="125" t="str">
        <f ca="1"/>
        <v>Q MOZZARELLA PIZZ KIOSKO RALLADO 1.5K</v>
      </c>
      <c r="K718" s="126">
        <f ca="1"/>
        <v>0</v>
      </c>
      <c r="L718" s="127">
        <f ca="1"/>
        <v>1</v>
      </c>
      <c r="M718" s="125">
        <f ca="1"/>
        <v>1.5</v>
      </c>
      <c r="N718" s="126">
        <f ca="1"/>
        <v>30</v>
      </c>
      <c r="O718" s="128">
        <f ca="1"/>
        <v>45580</v>
      </c>
      <c r="P718" s="128" t="str">
        <f ca="1"/>
        <v>martes</v>
      </c>
      <c r="Q718" s="129">
        <f ca="1"/>
        <v>45730</v>
      </c>
      <c r="R718" s="129">
        <f ca="1"/>
        <v>45759</v>
      </c>
      <c r="S718" s="89">
        <f ca="1"/>
        <v>135</v>
      </c>
      <c r="T718" s="143">
        <f ca="1"/>
        <v>4.5</v>
      </c>
      <c r="U718" s="131">
        <f ca="1"/>
        <v>2</v>
      </c>
      <c r="V718" s="125">
        <f ca="1"/>
        <v>3</v>
      </c>
      <c r="W718" s="144">
        <f ca="1"/>
        <v>-150</v>
      </c>
      <c r="X718" s="143">
        <f ca="1"/>
        <v>6</v>
      </c>
      <c r="Y718" s="145">
        <f ca="1"/>
        <v>9.0726650000000006</v>
      </c>
      <c r="Z718" s="145">
        <f ca="1"/>
        <v>9.0726650000000006</v>
      </c>
      <c r="AA718" s="125">
        <f ca="1"/>
        <v>27.217995000000002</v>
      </c>
      <c r="AB718" s="125">
        <f ca="1"/>
        <v>44</v>
      </c>
      <c r="AC718" s="98" t="str">
        <f ca="1"/>
        <v>VIGENTE</v>
      </c>
      <c r="AD718" s="147">
        <f ca="1"/>
        <v>3.0000000000000001E-3</v>
      </c>
    </row>
    <row r="719" spans="1:30">
      <c r="A719" t="str">
        <f ca="1"/>
        <v>SAN GABRIEL</v>
      </c>
      <c r="B719" t="str">
        <f ca="1"/>
        <v>QUESOS Y GRASAS</v>
      </c>
      <c r="C719" t="str">
        <f ca="1"/>
        <v xml:space="preserve">Esteban Montenegro                      </v>
      </c>
      <c r="D719" t="str">
        <f ca="1"/>
        <v>QUESO MOZARELLA KIOSKO</v>
      </c>
      <c r="E719" t="str">
        <f ca="1"/>
        <v>QUESO MOZARELLA PIZZA KIOSKO RALLADO</v>
      </c>
      <c r="F719" s="125" t="str">
        <f ca="1"/>
        <v>GUAYAQUIL</v>
      </c>
      <c r="G719" s="125">
        <f ca="1"/>
        <v>7711</v>
      </c>
      <c r="H719" s="125">
        <f ca="1"/>
        <v>1001</v>
      </c>
      <c r="I719" s="125" t="str">
        <f ca="1"/>
        <v>14714</v>
      </c>
      <c r="J719" s="125" t="str">
        <f ca="1"/>
        <v>Q MOZZARELLA PIZZ KIOSKO RALLADO 1.5K</v>
      </c>
      <c r="K719" s="126">
        <f ca="1"/>
        <v>79</v>
      </c>
      <c r="L719" s="127">
        <f ca="1"/>
        <v>1</v>
      </c>
      <c r="M719" s="125">
        <f ca="1"/>
        <v>1.5</v>
      </c>
      <c r="N719" s="126">
        <f ca="1"/>
        <v>30</v>
      </c>
      <c r="O719" s="128">
        <f ca="1"/>
        <v>45610</v>
      </c>
      <c r="P719" s="128" t="str">
        <f ca="1"/>
        <v>jueves</v>
      </c>
      <c r="Q719" s="129">
        <f ca="1"/>
        <v>45609</v>
      </c>
      <c r="R719" s="129">
        <f ca="1"/>
        <v>45638</v>
      </c>
      <c r="S719" s="89">
        <f ca="1"/>
        <v>14</v>
      </c>
      <c r="T719" s="143">
        <f ca="1"/>
        <v>0.46666666666666667</v>
      </c>
      <c r="U719" s="131">
        <f ca="1"/>
        <v>60</v>
      </c>
      <c r="V719" s="125">
        <f ca="1"/>
        <v>90</v>
      </c>
      <c r="W719" s="144">
        <f ca="1"/>
        <v>1</v>
      </c>
      <c r="X719" s="143">
        <f ca="1"/>
        <v>0.96666666666666667</v>
      </c>
      <c r="Y719" s="145">
        <f ca="1"/>
        <v>9.0726650000000006</v>
      </c>
      <c r="Z719" s="145">
        <f ca="1"/>
        <v>9.0726650000000006</v>
      </c>
      <c r="AA719" s="125">
        <f ca="1"/>
        <v>816.53985000000011</v>
      </c>
      <c r="AB719" s="125">
        <f ca="1"/>
        <v>14</v>
      </c>
      <c r="AC719" s="98" t="str">
        <f ca="1"/>
        <v>FECHA CORTA</v>
      </c>
      <c r="AD719" s="147">
        <f ca="1"/>
        <v>0.09</v>
      </c>
    </row>
    <row r="720" spans="1:30">
      <c r="A720" t="str">
        <f ca="1"/>
        <v>SAN GABRIEL</v>
      </c>
      <c r="B720" t="str">
        <f ca="1"/>
        <v>QUESOS Y GRASAS</v>
      </c>
      <c r="C720" t="str">
        <f ca="1"/>
        <v xml:space="preserve">Esteban Montenegro                      </v>
      </c>
      <c r="D720" t="str">
        <f ca="1"/>
        <v>QUESO MOZARELLA KIOSKO</v>
      </c>
      <c r="E720" t="str">
        <f ca="1"/>
        <v>QUESO MOZARELLA PIZZA KIOSKO RALLADO</v>
      </c>
      <c r="F720" s="125" t="str">
        <f ca="1"/>
        <v>GUAYAQUIL</v>
      </c>
      <c r="G720" s="125">
        <f ca="1"/>
        <v>7711</v>
      </c>
      <c r="H720" s="125">
        <f ca="1"/>
        <v>1001</v>
      </c>
      <c r="I720" s="125" t="str">
        <f ca="1"/>
        <v>14714</v>
      </c>
      <c r="J720" s="125" t="str">
        <f ca="1"/>
        <v>Q MOZZARELLA PIZZ KIOSKO RALLADO 1.5K</v>
      </c>
      <c r="K720" s="126">
        <f ca="1"/>
        <v>40</v>
      </c>
      <c r="L720" s="127">
        <f ca="1"/>
        <v>1</v>
      </c>
      <c r="M720" s="125">
        <f ca="1"/>
        <v>1.5</v>
      </c>
      <c r="N720" s="126">
        <f ca="1"/>
        <v>30</v>
      </c>
      <c r="O720" s="128">
        <f ca="1"/>
        <v>45615</v>
      </c>
      <c r="P720" s="128" t="str">
        <f ca="1"/>
        <v>martes</v>
      </c>
      <c r="Q720" s="129">
        <f ca="1"/>
        <v>45613</v>
      </c>
      <c r="R720" s="129">
        <f ca="1"/>
        <v>45642</v>
      </c>
      <c r="S720" s="89">
        <f ca="1"/>
        <v>18</v>
      </c>
      <c r="T720" s="143">
        <f ca="1"/>
        <v>0.6</v>
      </c>
      <c r="U720" s="131">
        <f ca="1"/>
        <v>40</v>
      </c>
      <c r="V720" s="125">
        <f ca="1"/>
        <v>60</v>
      </c>
      <c r="W720" s="144">
        <f ca="1"/>
        <v>2</v>
      </c>
      <c r="X720" s="143">
        <f ca="1"/>
        <v>0.93333333333333335</v>
      </c>
      <c r="Y720" s="145">
        <f ca="1"/>
        <v>9.0726650000000006</v>
      </c>
      <c r="Z720" s="145">
        <f ca="1"/>
        <v>9.0726650000000006</v>
      </c>
      <c r="AA720" s="125">
        <f ca="1"/>
        <v>544.35990000000004</v>
      </c>
      <c r="AB720" s="125">
        <f ca="1"/>
        <v>9</v>
      </c>
      <c r="AC720" s="98" t="str">
        <f ca="1"/>
        <v>FECHA CORTA</v>
      </c>
      <c r="AD720" s="147">
        <f ca="1"/>
        <v>0.06</v>
      </c>
    </row>
    <row r="721" spans="1:30">
      <c r="A721" t="str">
        <f ca="1"/>
        <v>SAN GABRIEL</v>
      </c>
      <c r="B721" t="str">
        <f ca="1"/>
        <v>QUESOS Y GRASAS</v>
      </c>
      <c r="C721" t="str">
        <f ca="1"/>
        <v xml:space="preserve">Esteban Montenegro                      </v>
      </c>
      <c r="D721" t="str">
        <f ca="1"/>
        <v>QUESO MOZARELLA KIOSKO</v>
      </c>
      <c r="E721" t="str">
        <f ca="1"/>
        <v>QUESO MOZARELLA PIZZA KIOSKO RALLADO</v>
      </c>
      <c r="F721" s="125" t="str">
        <f ca="1"/>
        <v>GUAYAQUIL</v>
      </c>
      <c r="G721" s="125">
        <f ca="1"/>
        <v>7711</v>
      </c>
      <c r="H721" s="125">
        <f ca="1"/>
        <v>1001</v>
      </c>
      <c r="I721" s="125" t="str">
        <f ca="1"/>
        <v>14714</v>
      </c>
      <c r="J721" s="125" t="str">
        <f ca="1"/>
        <v>Q MOZZARELLA PIZZ KIOSKO RALLADO 1.5K</v>
      </c>
      <c r="K721" s="126">
        <f ca="1"/>
        <v>15</v>
      </c>
      <c r="L721" s="127">
        <f ca="1"/>
        <v>1</v>
      </c>
      <c r="M721" s="125">
        <f ca="1"/>
        <v>1.5</v>
      </c>
      <c r="N721" s="126">
        <f ca="1"/>
        <v>30</v>
      </c>
      <c r="O721" s="128">
        <f ca="1"/>
        <v>45617</v>
      </c>
      <c r="P721" s="128" t="str">
        <f ca="1"/>
        <v>jueves</v>
      </c>
      <c r="Q721" s="129">
        <f ca="1"/>
        <v>45616</v>
      </c>
      <c r="R721" s="129">
        <f ca="1"/>
        <v>45645</v>
      </c>
      <c r="S721" s="89">
        <f ca="1"/>
        <v>21</v>
      </c>
      <c r="T721" s="143">
        <f ca="1"/>
        <v>0.7</v>
      </c>
      <c r="U721" s="131">
        <f ca="1"/>
        <v>15</v>
      </c>
      <c r="V721" s="125">
        <f ca="1"/>
        <v>22.5</v>
      </c>
      <c r="W721" s="144">
        <f ca="1"/>
        <v>1</v>
      </c>
      <c r="X721" s="143">
        <f ca="1"/>
        <v>0.96666666666666667</v>
      </c>
      <c r="Y721" s="145">
        <f ca="1"/>
        <v>9.0726650000000006</v>
      </c>
      <c r="Z721" s="145">
        <f ca="1"/>
        <v>9.0726650000000006</v>
      </c>
      <c r="AA721" s="125">
        <f ca="1"/>
        <v>204.13496250000003</v>
      </c>
      <c r="AB721" s="125">
        <f ca="1"/>
        <v>7</v>
      </c>
      <c r="AC721" s="98" t="str">
        <f ca="1"/>
        <v>FECHA CORTA</v>
      </c>
      <c r="AD721" s="147">
        <f ca="1"/>
        <v>2.2499999999999999E-2</v>
      </c>
    </row>
    <row r="722" spans="1:30">
      <c r="A722" t="str">
        <f ca="1"/>
        <v>SAN GABRIEL</v>
      </c>
      <c r="B722" t="str">
        <f ca="1"/>
        <v>QUESOS Y GRASAS</v>
      </c>
      <c r="C722" t="str">
        <f ca="1"/>
        <v xml:space="preserve">Esteban Montenegro                      </v>
      </c>
      <c r="D722" t="str">
        <f ca="1"/>
        <v>QUESO SEMIMADURO KIOSKO</v>
      </c>
      <c r="E722" t="str">
        <f ca="1"/>
        <v>QUESO HOLANDES KIOSKO TAJADO</v>
      </c>
      <c r="F722" s="125" t="str">
        <f ca="1"/>
        <v>GUAYAQUIL</v>
      </c>
      <c r="G722" s="125">
        <f ca="1"/>
        <v>7711</v>
      </c>
      <c r="H722" s="125">
        <f ca="1"/>
        <v>1001</v>
      </c>
      <c r="I722" s="125" t="str">
        <f ca="1"/>
        <v>10518</v>
      </c>
      <c r="J722" s="125" t="str">
        <f ca="1"/>
        <v>Q HOLAN KIOSKO LONJ 500G BKING</v>
      </c>
      <c r="K722" s="126">
        <f ca="1"/>
        <v>36</v>
      </c>
      <c r="L722" s="127">
        <f ca="1"/>
        <v>1</v>
      </c>
      <c r="M722" s="125">
        <f ca="1"/>
        <v>0.5</v>
      </c>
      <c r="N722" s="126">
        <f ca="1"/>
        <v>90</v>
      </c>
      <c r="O722" s="128">
        <f ca="1"/>
        <v>45604</v>
      </c>
      <c r="P722" s="128" t="str">
        <f ca="1"/>
        <v>viernes</v>
      </c>
      <c r="Q722" s="129">
        <f ca="1"/>
        <v>45603</v>
      </c>
      <c r="R722" s="129">
        <f ca="1"/>
        <v>45692</v>
      </c>
      <c r="S722" s="89">
        <f ca="1"/>
        <v>68</v>
      </c>
      <c r="T722" s="143">
        <f ca="1"/>
        <v>0.75555555555555554</v>
      </c>
      <c r="U722" s="131">
        <f ca="1"/>
        <v>20</v>
      </c>
      <c r="V722" s="125">
        <f ca="1"/>
        <v>10</v>
      </c>
      <c r="W722" s="144">
        <f ca="1"/>
        <v>1</v>
      </c>
      <c r="X722" s="143">
        <f ca="1"/>
        <v>0.98888888888888893</v>
      </c>
      <c r="Y722" s="145">
        <f ca="1"/>
        <v>4.3248100000000003</v>
      </c>
      <c r="Z722" s="145">
        <f ca="1"/>
        <v>4.3248100000000003</v>
      </c>
      <c r="AA722" s="125">
        <f ca="1"/>
        <v>43.248100000000001</v>
      </c>
      <c r="AB722" s="125">
        <f ca="1"/>
        <v>20</v>
      </c>
      <c r="AC722" s="98" t="str">
        <f ca="1"/>
        <v>VIGENTE</v>
      </c>
      <c r="AD722" s="147">
        <f ca="1"/>
        <v>0.01</v>
      </c>
    </row>
    <row r="723" spans="1:30">
      <c r="A723" t="str">
        <f ca="1"/>
        <v>SAN GABRIEL</v>
      </c>
      <c r="B723" t="str">
        <f ca="1"/>
        <v>QUESOS Y GRASAS</v>
      </c>
      <c r="C723" t="str">
        <f ca="1"/>
        <v xml:space="preserve">Esteban Montenegro                      </v>
      </c>
      <c r="D723" t="str">
        <f ca="1"/>
        <v>QUESO SEMIMADURO KIOSKO</v>
      </c>
      <c r="E723" t="str">
        <f ca="1"/>
        <v>QUESO HOLANDES KIOSKO TAJADO</v>
      </c>
      <c r="F723" s="125" t="str">
        <f ca="1"/>
        <v>GUAYAQUIL</v>
      </c>
      <c r="G723" s="125">
        <f ca="1"/>
        <v>7711</v>
      </c>
      <c r="H723" s="125">
        <f ca="1"/>
        <v>1001</v>
      </c>
      <c r="I723" s="125" t="str">
        <f ca="1"/>
        <v>10518</v>
      </c>
      <c r="J723" s="125" t="str">
        <f ca="1"/>
        <v>Q HOLAN KIOSKO LONJ 500G BKING</v>
      </c>
      <c r="K723" s="126">
        <f ca="1"/>
        <v>12</v>
      </c>
      <c r="L723" s="127">
        <f ca="1"/>
        <v>1</v>
      </c>
      <c r="M723" s="125">
        <f ca="1"/>
        <v>0.5</v>
      </c>
      <c r="N723" s="126">
        <f ca="1"/>
        <v>90</v>
      </c>
      <c r="O723" s="128">
        <f ca="1"/>
        <v>45611</v>
      </c>
      <c r="P723" s="128" t="str">
        <f ca="1"/>
        <v>viernes</v>
      </c>
      <c r="Q723" s="129">
        <f ca="1"/>
        <v>45610</v>
      </c>
      <c r="R723" s="129">
        <f ca="1"/>
        <v>45699</v>
      </c>
      <c r="S723" s="89">
        <f ca="1"/>
        <v>75</v>
      </c>
      <c r="T723" s="143">
        <f ca="1"/>
        <v>0.83333333333333337</v>
      </c>
      <c r="U723" s="131">
        <f ca="1"/>
        <v>12</v>
      </c>
      <c r="V723" s="125">
        <f ca="1"/>
        <v>6</v>
      </c>
      <c r="W723" s="144">
        <f ca="1"/>
        <v>1</v>
      </c>
      <c r="X723" s="143">
        <f ca="1"/>
        <v>0.98888888888888893</v>
      </c>
      <c r="Y723" s="145">
        <f ca="1"/>
        <v>4.3248100000000003</v>
      </c>
      <c r="Z723" s="145">
        <f ca="1"/>
        <v>4.3248100000000003</v>
      </c>
      <c r="AA723" s="125">
        <f ca="1"/>
        <v>25.948860000000003</v>
      </c>
      <c r="AB723" s="125">
        <f ca="1"/>
        <v>13</v>
      </c>
      <c r="AC723" s="98" t="str">
        <f ca="1"/>
        <v>VIGENTE</v>
      </c>
      <c r="AD723" s="147">
        <f ca="1"/>
        <v>6.0000000000000001E-3</v>
      </c>
    </row>
    <row r="724" spans="1:30">
      <c r="A724" t="str">
        <f ca="1"/>
        <v>SAN GABRIEL</v>
      </c>
      <c r="B724" t="str">
        <f ca="1"/>
        <v>QUESOS Y GRASAS</v>
      </c>
      <c r="C724" t="str">
        <f ca="1"/>
        <v xml:space="preserve">Esteban Montenegro                      </v>
      </c>
      <c r="D724" t="str">
        <f ca="1"/>
        <v>QUESO SEMIMADURO KIOSKO</v>
      </c>
      <c r="E724" t="str">
        <f ca="1"/>
        <v>QUESO SEMIMADURO KIOSKO MIX CUBOS</v>
      </c>
      <c r="F724" s="125" t="str">
        <f ca="1"/>
        <v>GUAYAQUIL</v>
      </c>
      <c r="G724" s="125">
        <f ca="1"/>
        <v>7711</v>
      </c>
      <c r="H724" s="125">
        <f ca="1"/>
        <v>1001</v>
      </c>
      <c r="I724" s="125" t="str">
        <f ca="1"/>
        <v>5770</v>
      </c>
      <c r="J724" s="125" t="str">
        <f ca="1"/>
        <v>Q MIX ESPECIAL KIOSKO CUBO BOL 500G</v>
      </c>
      <c r="K724" s="126">
        <f ca="1"/>
        <v>30</v>
      </c>
      <c r="L724" s="127">
        <f ca="1"/>
        <v>1</v>
      </c>
      <c r="M724" s="125">
        <f ca="1"/>
        <v>0.5</v>
      </c>
      <c r="N724" s="126">
        <f ca="1"/>
        <v>60</v>
      </c>
      <c r="O724" s="128">
        <f ca="1"/>
        <v>45601</v>
      </c>
      <c r="P724" s="128" t="str">
        <f ca="1"/>
        <v>martes</v>
      </c>
      <c r="Q724" s="129">
        <f ca="1"/>
        <v>45595</v>
      </c>
      <c r="R724" s="129">
        <f ca="1"/>
        <v>45654</v>
      </c>
      <c r="S724" s="89">
        <f ca="1"/>
        <v>30</v>
      </c>
      <c r="T724" s="143">
        <f ca="1"/>
        <v>0.5</v>
      </c>
      <c r="U724" s="131">
        <f ca="1"/>
        <v>22</v>
      </c>
      <c r="V724" s="125">
        <f ca="1"/>
        <v>11</v>
      </c>
      <c r="W724" s="144">
        <f ca="1"/>
        <v>6</v>
      </c>
      <c r="X724" s="143">
        <f ca="1"/>
        <v>0.9</v>
      </c>
      <c r="Y724" s="145">
        <f ca="1"/>
        <v>3.3455399999999997</v>
      </c>
      <c r="Z724" s="145">
        <f ca="1"/>
        <v>3.3455399999999997</v>
      </c>
      <c r="AA724" s="125">
        <f ca="1"/>
        <v>36.800939999999997</v>
      </c>
      <c r="AB724" s="125">
        <f ca="1"/>
        <v>23</v>
      </c>
      <c r="AC724" s="98" t="str">
        <f ca="1"/>
        <v>VIGENTE</v>
      </c>
      <c r="AD724" s="147">
        <f ca="1"/>
        <v>1.0999999999999999E-2</v>
      </c>
    </row>
    <row r="725" spans="1:30">
      <c r="A725" t="str">
        <f ca="1"/>
        <v>SAN GABRIEL</v>
      </c>
      <c r="B725" t="str">
        <f ca="1"/>
        <v>QUESOS Y GRASAS</v>
      </c>
      <c r="C725" t="str">
        <f ca="1"/>
        <v xml:space="preserve">Esteban Montenegro                      </v>
      </c>
      <c r="D725" t="str">
        <f ca="1"/>
        <v>QUESO MOZARELLA KIOSKO</v>
      </c>
      <c r="E725" t="str">
        <f ca="1"/>
        <v>QUESO MOZARELLA SNACK</v>
      </c>
      <c r="F725" s="125" t="str">
        <f ca="1"/>
        <v>GUAYAQUIL</v>
      </c>
      <c r="G725" s="125">
        <f ca="1"/>
        <v>7711</v>
      </c>
      <c r="H725" s="125">
        <f ca="1"/>
        <v>1001</v>
      </c>
      <c r="I725" s="125" t="str">
        <f ca="1"/>
        <v>13828</v>
      </c>
      <c r="J725" s="125" t="str">
        <f ca="1"/>
        <v>QUESO MOZARELLA LIGHT KIOSKO 35 G</v>
      </c>
      <c r="K725" s="126">
        <f ca="1"/>
        <v>180</v>
      </c>
      <c r="L725" s="127">
        <f ca="1"/>
        <v>1</v>
      </c>
      <c r="M725" s="125">
        <f ca="1"/>
        <v>3.5000000000000003E-2</v>
      </c>
      <c r="N725" s="126">
        <f ca="1"/>
        <v>40</v>
      </c>
      <c r="O725" s="128">
        <f ca="1"/>
        <v>45616</v>
      </c>
      <c r="P725" s="128" t="str">
        <f ca="1"/>
        <v>miércoles</v>
      </c>
      <c r="Q725" s="129">
        <f ca="1"/>
        <v>45610</v>
      </c>
      <c r="R725" s="129">
        <f ca="1"/>
        <v>45649</v>
      </c>
      <c r="S725" s="89">
        <f ca="1"/>
        <v>25</v>
      </c>
      <c r="T725" s="143">
        <f ca="1"/>
        <v>0.625</v>
      </c>
      <c r="U725" s="131">
        <f ca="1"/>
        <v>89</v>
      </c>
      <c r="V725" s="125">
        <f ca="1"/>
        <v>3.1150000000000002</v>
      </c>
      <c r="W725" s="144">
        <f ca="1"/>
        <v>6</v>
      </c>
      <c r="X725" s="143">
        <f ca="1"/>
        <v>0.85</v>
      </c>
      <c r="Y725" s="145">
        <f ca="1"/>
        <v>0.228385</v>
      </c>
      <c r="Z725" s="145">
        <f ca="1"/>
        <v>0.228385</v>
      </c>
      <c r="AA725" s="125">
        <f ca="1"/>
        <v>0.71141927500000002</v>
      </c>
      <c r="AB725" s="125">
        <f ca="1"/>
        <v>8</v>
      </c>
      <c r="AC725" s="98" t="str">
        <f ca="1"/>
        <v>PROXIMOS FECHA CORTA</v>
      </c>
      <c r="AD725" s="147">
        <f ca="1"/>
        <v>3.1150000000000001E-3</v>
      </c>
    </row>
    <row r="726" spans="1:30">
      <c r="A726" t="str">
        <f ca="1"/>
        <v>SAN GABRIEL</v>
      </c>
      <c r="B726" t="str">
        <f ca="1"/>
        <v>QUESOS Y GRASAS</v>
      </c>
      <c r="C726" t="str">
        <f ca="1"/>
        <v xml:space="preserve">Esteban Montenegro                      </v>
      </c>
      <c r="D726" t="str">
        <f ca="1"/>
        <v>QUESO SEMIMADURO KIOSKO</v>
      </c>
      <c r="E726" t="str">
        <f ca="1"/>
        <v>QUESO JAVIERINO KIOSKO BLOQUE</v>
      </c>
      <c r="F726" s="125" t="str">
        <f ca="1"/>
        <v>GUAYAQUIL</v>
      </c>
      <c r="G726" s="125">
        <f ca="1"/>
        <v>7711</v>
      </c>
      <c r="H726" s="125">
        <f ca="1"/>
        <v>1001</v>
      </c>
      <c r="I726" s="125" t="str">
        <f ca="1"/>
        <v>5763</v>
      </c>
      <c r="J726" s="125" t="str">
        <f ca="1"/>
        <v>Q JAVIER KIOSKO BLOQ 320G</v>
      </c>
      <c r="K726" s="126">
        <f ca="1"/>
        <v>20</v>
      </c>
      <c r="L726" s="127">
        <f ca="1"/>
        <v>1</v>
      </c>
      <c r="M726" s="125">
        <f ca="1"/>
        <v>0.32</v>
      </c>
      <c r="N726" s="126">
        <f ca="1"/>
        <v>60</v>
      </c>
      <c r="O726" s="128">
        <f ca="1"/>
        <v>45610</v>
      </c>
      <c r="P726" s="128" t="str">
        <f ca="1"/>
        <v>jueves</v>
      </c>
      <c r="Q726" s="129">
        <f ca="1"/>
        <v>45633</v>
      </c>
      <c r="R726" s="129">
        <f ca="1"/>
        <v>45692</v>
      </c>
      <c r="S726" s="89">
        <f ca="1"/>
        <v>68</v>
      </c>
      <c r="T726" s="143">
        <f ca="1"/>
        <v>1.1333333333333333</v>
      </c>
      <c r="U726" s="131">
        <f ca="1"/>
        <v>2</v>
      </c>
      <c r="V726" s="125">
        <f ca="1"/>
        <v>0.64</v>
      </c>
      <c r="W726" s="144">
        <f ca="1"/>
        <v>-23</v>
      </c>
      <c r="X726" s="143">
        <f ca="1"/>
        <v>1.3833333333333333</v>
      </c>
      <c r="Y726" s="145">
        <f ca="1"/>
        <v>2.3771550000000001</v>
      </c>
      <c r="Z726" s="145">
        <f ca="1"/>
        <v>2.3771550000000001</v>
      </c>
      <c r="AA726" s="125">
        <f ca="1"/>
        <v>1.5213792000000002</v>
      </c>
      <c r="AB726" s="125">
        <f ca="1"/>
        <v>14</v>
      </c>
      <c r="AC726" s="98" t="str">
        <f ca="1"/>
        <v>VIGENTE</v>
      </c>
      <c r="AD726" s="147">
        <f ca="1"/>
        <v>6.4000000000000005E-4</v>
      </c>
    </row>
    <row r="727" spans="1:30">
      <c r="A727" t="str">
        <f ca="1"/>
        <v>MACHACHI</v>
      </c>
      <c r="B727" t="str">
        <f ca="1"/>
        <v>BEBIDAS LACTEAS</v>
      </c>
      <c r="C727" t="str">
        <f ca="1"/>
        <v xml:space="preserve">Luis Armendariz                         </v>
      </c>
      <c r="D727" t="str">
        <f ca="1"/>
        <v>YOGURT KIOSKO</v>
      </c>
      <c r="E727" t="str">
        <f ca="1"/>
        <v>BEBIDA DE YOGURT KIOSKO GALONERA</v>
      </c>
      <c r="F727" s="125" t="str">
        <f ca="1"/>
        <v>GUAYAQUIL</v>
      </c>
      <c r="G727" s="125">
        <f ca="1"/>
        <v>7711</v>
      </c>
      <c r="H727" s="125">
        <f ca="1"/>
        <v>1001</v>
      </c>
      <c r="I727" s="125" t="str">
        <f ca="1"/>
        <v>10829</v>
      </c>
      <c r="J727" s="125" t="str">
        <f ca="1"/>
        <v>YOG BBLE KIOSKO FTLLA BOT 3.5KG</v>
      </c>
      <c r="K727" s="126">
        <f ca="1"/>
        <v>152</v>
      </c>
      <c r="L727" s="127">
        <f ca="1"/>
        <v>1</v>
      </c>
      <c r="M727" s="125">
        <f ca="1"/>
        <v>3.5</v>
      </c>
      <c r="N727" s="126">
        <f ca="1"/>
        <v>45</v>
      </c>
      <c r="O727" s="128">
        <f ca="1"/>
        <v>45612</v>
      </c>
      <c r="P727" s="128" t="str">
        <f ca="1"/>
        <v>sábado</v>
      </c>
      <c r="Q727" s="129">
        <f ca="1"/>
        <v>45610</v>
      </c>
      <c r="R727" s="129">
        <f ca="1"/>
        <v>45654</v>
      </c>
      <c r="S727" s="89">
        <f ca="1"/>
        <v>30</v>
      </c>
      <c r="T727" s="143">
        <f ca="1"/>
        <v>0.66666666666666663</v>
      </c>
      <c r="U727" s="131">
        <f ca="1"/>
        <v>152</v>
      </c>
      <c r="V727" s="125">
        <f ca="1"/>
        <v>532</v>
      </c>
      <c r="W727" s="144">
        <f ca="1"/>
        <v>2</v>
      </c>
      <c r="X727" s="143">
        <f ca="1"/>
        <v>0.9555555555555556</v>
      </c>
      <c r="Y727" s="145">
        <f ca="1"/>
        <v>2.91994</v>
      </c>
      <c r="Z727" s="145">
        <f ca="1"/>
        <v>2.91994</v>
      </c>
      <c r="AA727" s="125">
        <f ca="1"/>
        <v>1553.4080799999999</v>
      </c>
      <c r="AB727" s="125">
        <f ca="1"/>
        <v>12</v>
      </c>
      <c r="AC727" s="98" t="str">
        <f ca="1"/>
        <v>VIGENTE</v>
      </c>
      <c r="AD727" s="147">
        <f ca="1"/>
        <v>0.53200000000000003</v>
      </c>
    </row>
    <row r="728" spans="1:30">
      <c r="A728" t="str">
        <f ca="1"/>
        <v>MACHACHI</v>
      </c>
      <c r="B728" t="str">
        <f ca="1"/>
        <v>BEBIDAS LACTEAS</v>
      </c>
      <c r="C728" t="str">
        <f ca="1"/>
        <v xml:space="preserve">Luis Armendariz                         </v>
      </c>
      <c r="D728" t="str">
        <f ca="1"/>
        <v>YOGURT KIOSKO</v>
      </c>
      <c r="E728" t="str">
        <f ca="1"/>
        <v>BEBIDA DE YOGURT KIOSKO GALONERA</v>
      </c>
      <c r="F728" s="125" t="str">
        <f ca="1"/>
        <v>GUAYAQUIL</v>
      </c>
      <c r="G728" s="125">
        <f ca="1"/>
        <v>7711</v>
      </c>
      <c r="H728" s="125">
        <f ca="1"/>
        <v>1001</v>
      </c>
      <c r="I728" s="125" t="str">
        <f ca="1"/>
        <v>10829</v>
      </c>
      <c r="J728" s="125" t="str">
        <f ca="1"/>
        <v>YOG BBLE KIOSKO FTLLA BOT 3.5KG</v>
      </c>
      <c r="K728" s="126">
        <f ca="1"/>
        <v>200</v>
      </c>
      <c r="L728" s="127">
        <f ca="1"/>
        <v>1</v>
      </c>
      <c r="M728" s="125">
        <f ca="1"/>
        <v>3.5</v>
      </c>
      <c r="N728" s="126">
        <f ca="1"/>
        <v>45</v>
      </c>
      <c r="O728" s="128">
        <f ca="1"/>
        <v>45611</v>
      </c>
      <c r="P728" s="128" t="str">
        <f ca="1"/>
        <v>viernes</v>
      </c>
      <c r="Q728" s="129">
        <f ca="1"/>
        <v>45610</v>
      </c>
      <c r="R728" s="129">
        <f ca="1"/>
        <v>45654</v>
      </c>
      <c r="S728" s="89">
        <f ca="1"/>
        <v>30</v>
      </c>
      <c r="T728" s="143">
        <f ca="1"/>
        <v>0.66666666666666663</v>
      </c>
      <c r="U728" s="131">
        <f ca="1"/>
        <v>20</v>
      </c>
      <c r="V728" s="125">
        <f ca="1"/>
        <v>70</v>
      </c>
      <c r="W728" s="144">
        <f ca="1"/>
        <v>1</v>
      </c>
      <c r="X728" s="143">
        <f ca="1"/>
        <v>0.97777777777777775</v>
      </c>
      <c r="Y728" s="145">
        <f ca="1"/>
        <v>2.91994</v>
      </c>
      <c r="Z728" s="145">
        <f ca="1"/>
        <v>2.91994</v>
      </c>
      <c r="AA728" s="125">
        <f ca="1"/>
        <v>204.39580000000001</v>
      </c>
      <c r="AB728" s="125">
        <f ca="1"/>
        <v>13</v>
      </c>
      <c r="AC728" s="98" t="str">
        <f ca="1"/>
        <v>VIGENTE</v>
      </c>
      <c r="AD728" s="147">
        <f ca="1"/>
        <v>7.0000000000000007E-2</v>
      </c>
    </row>
    <row r="729" spans="1:30">
      <c r="A729" t="str">
        <f ca="1"/>
        <v>MACHACHI</v>
      </c>
      <c r="B729" t="str">
        <f ca="1"/>
        <v>BEBIDAS LACTEAS</v>
      </c>
      <c r="C729" t="str">
        <f ca="1"/>
        <v xml:space="preserve">Luis Armendariz                         </v>
      </c>
      <c r="D729" t="str">
        <f ca="1"/>
        <v>YOGURT KIOSKO</v>
      </c>
      <c r="E729" t="str">
        <f ca="1"/>
        <v>BEBIDA DE YOGURT KIOSKO GALONERA</v>
      </c>
      <c r="F729" s="125" t="str">
        <f ca="1"/>
        <v>GUAYAQUIL</v>
      </c>
      <c r="G729" s="125">
        <f ca="1"/>
        <v>7711</v>
      </c>
      <c r="H729" s="125">
        <f ca="1"/>
        <v>1001</v>
      </c>
      <c r="I729" s="125" t="str">
        <f ca="1"/>
        <v>10829</v>
      </c>
      <c r="J729" s="125" t="str">
        <f ca="1"/>
        <v>YOG BBLE KIOSKO FTLLA BOT 3.5KG</v>
      </c>
      <c r="K729" s="126">
        <f ca="1"/>
        <v>200</v>
      </c>
      <c r="L729" s="127">
        <f ca="1"/>
        <v>1</v>
      </c>
      <c r="M729" s="125">
        <f ca="1"/>
        <v>3.5</v>
      </c>
      <c r="N729" s="126">
        <f ca="1"/>
        <v>45</v>
      </c>
      <c r="O729" s="128">
        <f ca="1"/>
        <v>45615</v>
      </c>
      <c r="P729" s="128" t="str">
        <f ca="1"/>
        <v>martes</v>
      </c>
      <c r="Q729" s="129">
        <f ca="1"/>
        <v>45611</v>
      </c>
      <c r="R729" s="129">
        <f ca="1"/>
        <v>45655</v>
      </c>
      <c r="S729" s="89">
        <f ca="1"/>
        <v>31</v>
      </c>
      <c r="T729" s="143">
        <f ca="1"/>
        <v>0.68888888888888888</v>
      </c>
      <c r="U729" s="131">
        <f ca="1"/>
        <v>200</v>
      </c>
      <c r="V729" s="125">
        <f ca="1"/>
        <v>700</v>
      </c>
      <c r="W729" s="144">
        <f ca="1"/>
        <v>4</v>
      </c>
      <c r="X729" s="143">
        <f ca="1"/>
        <v>0.91111111111111109</v>
      </c>
      <c r="Y729" s="145">
        <f ca="1"/>
        <v>2.91994</v>
      </c>
      <c r="Z729" s="145">
        <f ca="1"/>
        <v>2.91994</v>
      </c>
      <c r="AA729" s="125">
        <f ca="1"/>
        <v>2043.9580000000001</v>
      </c>
      <c r="AB729" s="125">
        <f ca="1"/>
        <v>9</v>
      </c>
      <c r="AC729" s="98" t="str">
        <f ca="1"/>
        <v>VIGENTE</v>
      </c>
      <c r="AD729" s="147">
        <f ca="1"/>
        <v>0.7</v>
      </c>
    </row>
    <row r="730" spans="1:30">
      <c r="A730" t="str">
        <f ca="1"/>
        <v>PROMOCION</v>
      </c>
      <c r="B730" t="str">
        <f ca="1"/>
        <v>MULTIMARCA</v>
      </c>
      <c r="C730" t="str">
        <f ca="1"/>
        <v xml:space="preserve">Esteban Montenegro                      </v>
      </c>
      <c r="D730" t="str">
        <f ca="1"/>
        <v>MULTIMARCA</v>
      </c>
      <c r="E730" t="str">
        <f ca="1"/>
        <v>ARMADOS</v>
      </c>
      <c r="F730" s="125" t="str">
        <f ca="1"/>
        <v>GUAYAQUIL</v>
      </c>
      <c r="G730" s="125">
        <f ca="1"/>
        <v>7711</v>
      </c>
      <c r="H730" s="125">
        <f ca="1"/>
        <v>1001</v>
      </c>
      <c r="I730" s="125" t="str">
        <f ca="1"/>
        <v>16919</v>
      </c>
      <c r="J730" s="125" t="str">
        <f ca="1"/>
        <v>PACK QUESOS KIOSKO NAVIDAD + TABLA</v>
      </c>
      <c r="K730" s="126">
        <f ca="1"/>
        <v>400</v>
      </c>
      <c r="L730" s="127">
        <f ca="1"/>
        <v>1</v>
      </c>
      <c r="M730" s="125">
        <f ca="1"/>
        <v>0.6</v>
      </c>
      <c r="N730" s="126">
        <f ca="1"/>
        <v>60</v>
      </c>
      <c r="O730" s="128">
        <f ca="1"/>
        <v>45604</v>
      </c>
      <c r="P730" s="128" t="str">
        <f ca="1"/>
        <v>viernes</v>
      </c>
      <c r="Q730" s="129">
        <f ca="1"/>
        <v>45603</v>
      </c>
      <c r="R730" s="129">
        <f ca="1"/>
        <v>45662</v>
      </c>
      <c r="S730" s="89">
        <f ca="1"/>
        <v>38</v>
      </c>
      <c r="T730" s="143">
        <f ca="1"/>
        <v>0.6333333333333333</v>
      </c>
      <c r="U730" s="131">
        <f ca="1"/>
        <v>65</v>
      </c>
      <c r="V730" s="125">
        <f ca="1"/>
        <v>39</v>
      </c>
      <c r="W730" s="144">
        <f ca="1"/>
        <v>1</v>
      </c>
      <c r="X730" s="143">
        <f ca="1"/>
        <v>0.98333333333333328</v>
      </c>
      <c r="Y730" s="145">
        <f ca="1"/>
        <v>3.4317950000000002</v>
      </c>
      <c r="Z730" s="145">
        <f ca="1"/>
        <v>3.4317950000000002</v>
      </c>
      <c r="AA730" s="125">
        <f ca="1"/>
        <v>133.84000500000002</v>
      </c>
      <c r="AB730" s="125">
        <f ca="1"/>
        <v>20</v>
      </c>
      <c r="AC730" s="98" t="str">
        <f ca="1"/>
        <v>VIGENTE</v>
      </c>
      <c r="AD730" s="147">
        <f ca="1"/>
        <v>3.9E-2</v>
      </c>
    </row>
    <row r="731" spans="1:30">
      <c r="A731" t="str">
        <f ca="1"/>
        <v>MACHACHI</v>
      </c>
      <c r="B731" t="str">
        <f ca="1"/>
        <v>BEBIDAS LACTEAS</v>
      </c>
      <c r="C731" t="str">
        <f ca="1"/>
        <v xml:space="preserve">Luis Armendariz                         </v>
      </c>
      <c r="D731" t="str">
        <f ca="1"/>
        <v>YOGURT FINESSE</v>
      </c>
      <c r="E731" t="str">
        <f ca="1"/>
        <v>YOGURT FINESSE VASO</v>
      </c>
      <c r="F731" s="125" t="str">
        <f ca="1"/>
        <v>GUAYAQUIL</v>
      </c>
      <c r="G731" s="125">
        <f ca="1"/>
        <v>7711</v>
      </c>
      <c r="H731" s="125">
        <f ca="1"/>
        <v>1001</v>
      </c>
      <c r="I731" s="125" t="str">
        <f ca="1"/>
        <v>17024</v>
      </c>
      <c r="J731" s="125" t="str">
        <f ca="1"/>
        <v>YOG FNSSE FRTROJ MUSLI 155G</v>
      </c>
      <c r="K731" s="126">
        <f ca="1"/>
        <v>180</v>
      </c>
      <c r="L731" s="127">
        <f ca="1"/>
        <v>1</v>
      </c>
      <c r="M731" s="125">
        <f ca="1"/>
        <v>0.16500000000000001</v>
      </c>
      <c r="N731" s="126">
        <f ca="1"/>
        <v>45</v>
      </c>
      <c r="O731" s="128">
        <f ca="1"/>
        <v>45604</v>
      </c>
      <c r="P731" s="128" t="str">
        <f ca="1"/>
        <v>viernes</v>
      </c>
      <c r="Q731" s="129">
        <f ca="1"/>
        <v>45604</v>
      </c>
      <c r="R731" s="129">
        <f ca="1"/>
        <v>45648</v>
      </c>
      <c r="S731" s="89">
        <f ca="1"/>
        <v>24</v>
      </c>
      <c r="T731" s="143">
        <f ca="1"/>
        <v>0.53333333333333333</v>
      </c>
      <c r="U731" s="131">
        <f ca="1"/>
        <v>52</v>
      </c>
      <c r="V731" s="125">
        <f ca="1"/>
        <v>8.58</v>
      </c>
      <c r="W731" s="144">
        <f ca="1"/>
        <v>0</v>
      </c>
      <c r="X731" s="143">
        <f ca="1"/>
        <v>1</v>
      </c>
      <c r="Y731" s="145">
        <f ca="1"/>
        <v>0.35993999999999998</v>
      </c>
      <c r="Z731" s="145">
        <f ca="1"/>
        <v>0.35993999999999998</v>
      </c>
      <c r="AA731" s="125">
        <f ca="1"/>
        <v>3.0882852000000001</v>
      </c>
      <c r="AB731" s="125">
        <f ca="1"/>
        <v>20</v>
      </c>
      <c r="AC731" s="98" t="str">
        <f ca="1"/>
        <v>PROXIMOS FECHA CORTA</v>
      </c>
      <c r="AD731" s="147">
        <f ca="1"/>
        <v>8.5800000000000008E-3</v>
      </c>
    </row>
    <row r="732" spans="1:30">
      <c r="A732" t="str">
        <f ca="1"/>
        <v>MACHACHI</v>
      </c>
      <c r="B732" t="str">
        <f ca="1"/>
        <v>BEBIDAS LACTEAS</v>
      </c>
      <c r="C732" t="str">
        <f ca="1"/>
        <v xml:space="preserve">Luis Armendariz                         </v>
      </c>
      <c r="D732" t="str">
        <f ca="1"/>
        <v>YOGURT FINESSE</v>
      </c>
      <c r="E732" t="str">
        <f ca="1"/>
        <v>YOGURT FINESSE VASO</v>
      </c>
      <c r="F732" s="125" t="str">
        <f ca="1"/>
        <v>GUAYAQUIL</v>
      </c>
      <c r="G732" s="125">
        <f ca="1"/>
        <v>7711</v>
      </c>
      <c r="H732" s="125">
        <f ca="1"/>
        <v>1001</v>
      </c>
      <c r="I732" s="125" t="str">
        <f ca="1"/>
        <v>17025</v>
      </c>
      <c r="J732" s="125" t="str">
        <f ca="1"/>
        <v>YOG FNSSE DURAZNO MUSLI 155G</v>
      </c>
      <c r="K732" s="126">
        <f ca="1"/>
        <v>120</v>
      </c>
      <c r="L732" s="127">
        <f ca="1"/>
        <v>1</v>
      </c>
      <c r="M732" s="125">
        <f ca="1"/>
        <v>0.16500000000000001</v>
      </c>
      <c r="N732" s="126">
        <f ca="1"/>
        <v>45</v>
      </c>
      <c r="O732" s="128">
        <f ca="1"/>
        <v>45617</v>
      </c>
      <c r="P732" s="128" t="str">
        <f ca="1"/>
        <v>jueves</v>
      </c>
      <c r="Q732" s="129">
        <f ca="1"/>
        <v>45604</v>
      </c>
      <c r="R732" s="129">
        <f ca="1"/>
        <v>45648</v>
      </c>
      <c r="S732" s="89">
        <f ca="1"/>
        <v>24</v>
      </c>
      <c r="T732" s="143">
        <f ca="1"/>
        <v>0.53333333333333333</v>
      </c>
      <c r="U732" s="131">
        <f ca="1"/>
        <v>39</v>
      </c>
      <c r="V732" s="125">
        <f ca="1"/>
        <v>6.4350000000000005</v>
      </c>
      <c r="W732" s="144">
        <f ca="1"/>
        <v>13</v>
      </c>
      <c r="X732" s="143">
        <f ca="1"/>
        <v>0.71111111111111114</v>
      </c>
      <c r="Y732" s="145">
        <f ca="1"/>
        <v>0.36751</v>
      </c>
      <c r="Z732" s="145">
        <f ca="1"/>
        <v>0.36751</v>
      </c>
      <c r="AA732" s="125">
        <f ca="1"/>
        <v>2.3649268500000002</v>
      </c>
      <c r="AB732" s="125">
        <f ca="1"/>
        <v>7</v>
      </c>
      <c r="AC732" s="98" t="str">
        <f ca="1"/>
        <v>PROXIMOS FECHA CORTA</v>
      </c>
      <c r="AD732" s="147">
        <f ca="1"/>
        <v>6.4350000000000006E-3</v>
      </c>
    </row>
    <row r="733" spans="1:30">
      <c r="A733" t="str">
        <f ca="1"/>
        <v>MULTIEMPAQUE_MACH</v>
      </c>
      <c r="B733" t="str">
        <f ca="1"/>
        <v>BEBIDAS LACTEAS</v>
      </c>
      <c r="C733" t="str">
        <f ca="1"/>
        <v xml:space="preserve">Luis Armendariz                         </v>
      </c>
      <c r="D733" t="str">
        <f ca="1"/>
        <v>BON YURT</v>
      </c>
      <c r="E733" t="str">
        <f ca="1"/>
        <v>BON YURT REGULAR</v>
      </c>
      <c r="F733" s="125" t="str">
        <f ca="1"/>
        <v>GUAYAQUIL</v>
      </c>
      <c r="G733" s="125">
        <f ca="1"/>
        <v>7711</v>
      </c>
      <c r="H733" s="125">
        <f ca="1"/>
        <v>1001</v>
      </c>
      <c r="I733" s="125" t="str">
        <f ca="1"/>
        <v>12550</v>
      </c>
      <c r="J733" s="125" t="str">
        <f ca="1"/>
        <v>MPLX4 BY MULTSAB VASO</v>
      </c>
      <c r="K733" s="126">
        <f ca="1"/>
        <v>6</v>
      </c>
      <c r="L733" s="127">
        <f ca="1"/>
        <v>1</v>
      </c>
      <c r="M733" s="125">
        <f ca="1"/>
        <v>0.66500000000000004</v>
      </c>
      <c r="N733" s="126">
        <f ca="1"/>
        <v>45</v>
      </c>
      <c r="O733" s="128">
        <f ca="1"/>
        <v>45608</v>
      </c>
      <c r="P733" s="128" t="str">
        <f ca="1"/>
        <v>martes</v>
      </c>
      <c r="Q733" s="129">
        <f ca="1"/>
        <v>45597</v>
      </c>
      <c r="R733" s="129">
        <f ca="1"/>
        <v>45641</v>
      </c>
      <c r="S733" s="89">
        <f ca="1"/>
        <v>17</v>
      </c>
      <c r="T733" s="143">
        <f ca="1"/>
        <v>0.37777777777777777</v>
      </c>
      <c r="U733" s="131">
        <f ca="1"/>
        <v>6</v>
      </c>
      <c r="V733" s="125">
        <f ca="1"/>
        <v>3.99</v>
      </c>
      <c r="W733" s="144">
        <f ca="1"/>
        <v>11</v>
      </c>
      <c r="X733" s="143">
        <f ca="1"/>
        <v>0.75555555555555554</v>
      </c>
      <c r="Y733" s="145">
        <f ca="1"/>
        <v>1.5265749999999998</v>
      </c>
      <c r="Z733" s="145">
        <f ca="1"/>
        <v>1.5265749999999998</v>
      </c>
      <c r="AA733" s="125">
        <f ca="1"/>
        <v>6.0910342499999999</v>
      </c>
      <c r="AB733" s="125">
        <f ca="1"/>
        <v>16</v>
      </c>
      <c r="AC733" s="98" t="str">
        <f ca="1"/>
        <v>FECHA CORTA</v>
      </c>
      <c r="AD733" s="147">
        <f ca="1"/>
        <v>3.9900000000000005E-3</v>
      </c>
    </row>
    <row r="734" spans="1:30">
      <c r="A734" t="str">
        <f ca="1"/>
        <v>SAN GABRIEL</v>
      </c>
      <c r="B734" t="str">
        <f ca="1"/>
        <v>QUESOS Y GRASAS</v>
      </c>
      <c r="C734" t="str">
        <f ca="1"/>
        <v xml:space="preserve">Esteban Montenegro                      </v>
      </c>
      <c r="D734" t="str">
        <f ca="1"/>
        <v>QUESO SEMIMADURO KIOSKO</v>
      </c>
      <c r="E734" t="str">
        <f ca="1"/>
        <v>QUESO MOZARELLA PIZZA KIOSKO TAJADO</v>
      </c>
      <c r="F734" s="125" t="str">
        <f ca="1"/>
        <v>GUAYAQUIL</v>
      </c>
      <c r="G734" s="125">
        <f ca="1"/>
        <v>7711</v>
      </c>
      <c r="H734" s="125">
        <f ca="1"/>
        <v>1001</v>
      </c>
      <c r="I734" s="125" t="str">
        <f ca="1"/>
        <v>16495</v>
      </c>
      <c r="J734" s="125" t="str">
        <f ca="1"/>
        <v>QUESO KIOSKO MOZZARELLA LONJ 1KG AL PESO</v>
      </c>
      <c r="K734" s="126">
        <f ca="1"/>
        <v>50</v>
      </c>
      <c r="L734" s="127">
        <f ca="1"/>
        <v>1</v>
      </c>
      <c r="M734" s="125">
        <f ca="1"/>
        <v>1</v>
      </c>
      <c r="N734" s="126">
        <f ca="1"/>
        <v>45</v>
      </c>
      <c r="O734" s="128">
        <f ca="1"/>
        <v>45609</v>
      </c>
      <c r="P734" s="128" t="str">
        <f ca="1"/>
        <v>miércoles</v>
      </c>
      <c r="Q734" s="129">
        <f ca="1"/>
        <v>45593</v>
      </c>
      <c r="R734" s="129">
        <f ca="1"/>
        <v>45637</v>
      </c>
      <c r="S734" s="89">
        <f ca="1"/>
        <v>13</v>
      </c>
      <c r="T734" s="143">
        <f ca="1"/>
        <v>0.28888888888888886</v>
      </c>
      <c r="U734" s="131">
        <f ca="1"/>
        <v>2</v>
      </c>
      <c r="V734" s="125">
        <f ca="1"/>
        <v>2</v>
      </c>
      <c r="W734" s="144">
        <f ca="1"/>
        <v>16</v>
      </c>
      <c r="X734" s="143">
        <f ca="1"/>
        <v>0.64444444444444438</v>
      </c>
      <c r="Y734" s="145">
        <f ca="1"/>
        <v>6.5915400000000002</v>
      </c>
      <c r="Z734" s="145">
        <f ca="1"/>
        <v>6.5915400000000002</v>
      </c>
      <c r="AA734" s="125">
        <f ca="1"/>
        <v>13.18308</v>
      </c>
      <c r="AB734" s="125">
        <f ca="1"/>
        <v>15</v>
      </c>
      <c r="AC734" s="98" t="str">
        <f ca="1"/>
        <v>FECHA CORTA</v>
      </c>
      <c r="AD734" s="147">
        <f ca="1"/>
        <v>2E-3</v>
      </c>
    </row>
    <row r="735" spans="1:30">
      <c r="A735" t="str">
        <f ca="1"/>
        <v>SAN GABRIEL</v>
      </c>
      <c r="B735" t="str">
        <f ca="1"/>
        <v>QUESOS Y GRASAS</v>
      </c>
      <c r="C735" t="str">
        <f ca="1"/>
        <v xml:space="preserve">Esteban Montenegro                      </v>
      </c>
      <c r="D735" t="str">
        <f ca="1"/>
        <v>QUESO SEMIMADURO KIOSKO</v>
      </c>
      <c r="E735" t="str">
        <f ca="1"/>
        <v>QUESO MOZARELLA PIZZA KIOSKO TAJADO</v>
      </c>
      <c r="F735" s="125" t="str">
        <f ca="1"/>
        <v>GUAYAQUIL</v>
      </c>
      <c r="G735" s="125">
        <f ca="1"/>
        <v>7711</v>
      </c>
      <c r="H735" s="125">
        <f ca="1"/>
        <v>1001</v>
      </c>
      <c r="I735" s="125" t="str">
        <f ca="1"/>
        <v>16495</v>
      </c>
      <c r="J735" s="125" t="str">
        <f ca="1"/>
        <v>QUESO KIOSKO MOZZARELLA LONJ 1KG AL PESO</v>
      </c>
      <c r="K735" s="126">
        <f ca="1"/>
        <v>20</v>
      </c>
      <c r="L735" s="127">
        <f ca="1"/>
        <v>1</v>
      </c>
      <c r="M735" s="125">
        <f ca="1"/>
        <v>1</v>
      </c>
      <c r="N735" s="126">
        <f ca="1"/>
        <v>45</v>
      </c>
      <c r="O735" s="128">
        <f ca="1"/>
        <v>45616</v>
      </c>
      <c r="P735" s="128" t="str">
        <f ca="1"/>
        <v>miércoles</v>
      </c>
      <c r="Q735" s="129">
        <f ca="1"/>
        <v>45600</v>
      </c>
      <c r="R735" s="129">
        <f ca="1"/>
        <v>45644</v>
      </c>
      <c r="S735" s="89">
        <f ca="1"/>
        <v>20</v>
      </c>
      <c r="T735" s="143">
        <f ca="1"/>
        <v>0.44444444444444442</v>
      </c>
      <c r="U735" s="131">
        <f ca="1"/>
        <v>20</v>
      </c>
      <c r="V735" s="125">
        <f ca="1"/>
        <v>20</v>
      </c>
      <c r="W735" s="144">
        <f ca="1"/>
        <v>16</v>
      </c>
      <c r="X735" s="143">
        <f ca="1"/>
        <v>0.64444444444444438</v>
      </c>
      <c r="Y735" s="145">
        <f ca="1"/>
        <v>6.5915400000000002</v>
      </c>
      <c r="Z735" s="145">
        <f ca="1"/>
        <v>6.5915400000000002</v>
      </c>
      <c r="AA735" s="125">
        <f ca="1"/>
        <v>131.83080000000001</v>
      </c>
      <c r="AB735" s="125">
        <f ca="1"/>
        <v>8</v>
      </c>
      <c r="AC735" s="98" t="str">
        <f ca="1"/>
        <v>FECHA CORTA</v>
      </c>
      <c r="AD735" s="147">
        <f ca="1"/>
        <v>0.02</v>
      </c>
    </row>
    <row r="736" spans="1:30">
      <c r="A736" t="str">
        <f ca="1"/>
        <v>SAN GABRIEL</v>
      </c>
      <c r="B736" t="str">
        <f ca="1"/>
        <v>QUESOS Y GRASAS</v>
      </c>
      <c r="C736" t="str">
        <f ca="1"/>
        <v xml:space="preserve">Esteban Montenegro                      </v>
      </c>
      <c r="D736" t="str">
        <f ca="1"/>
        <v>QUESO SEMIMADURO KIOSKO</v>
      </c>
      <c r="E736" t="str">
        <f ca="1"/>
        <v>QUESO SANDUCHE KIOSKO TAJADO</v>
      </c>
      <c r="F736" s="125" t="str">
        <f ca="1"/>
        <v>GUAYAQUIL</v>
      </c>
      <c r="G736" s="125">
        <f ca="1"/>
        <v>7711</v>
      </c>
      <c r="H736" s="125">
        <f ca="1"/>
        <v>1001</v>
      </c>
      <c r="I736" s="125" t="str">
        <f ca="1"/>
        <v>17053</v>
      </c>
      <c r="J736" s="125" t="str">
        <f ca="1"/>
        <v>KIOSKO SANDUCHE LONJAS LINEA DIARIA 75G</v>
      </c>
      <c r="K736" s="126">
        <f ca="1"/>
        <v>120</v>
      </c>
      <c r="L736" s="127">
        <f ca="1"/>
        <v>1</v>
      </c>
      <c r="M736" s="125">
        <f ca="1"/>
        <v>7.4999999999999997E-2</v>
      </c>
      <c r="N736" s="126">
        <f ca="1"/>
        <v>90</v>
      </c>
      <c r="O736" s="128">
        <f ca="1"/>
        <v>45609</v>
      </c>
      <c r="P736" s="128" t="str">
        <f ca="1"/>
        <v>miércoles</v>
      </c>
      <c r="Q736" s="129">
        <f ca="1"/>
        <v>45604</v>
      </c>
      <c r="R736" s="129">
        <f ca="1"/>
        <v>45693</v>
      </c>
      <c r="S736" s="89">
        <f ca="1"/>
        <v>69</v>
      </c>
      <c r="T736" s="143">
        <f ca="1"/>
        <v>0.76666666666666672</v>
      </c>
      <c r="U736" s="131">
        <f ca="1"/>
        <v>30</v>
      </c>
      <c r="V736" s="125">
        <f ca="1"/>
        <v>2.25</v>
      </c>
      <c r="W736" s="144">
        <f ca="1"/>
        <v>5</v>
      </c>
      <c r="X736" s="143">
        <f ca="1"/>
        <v>0.94444444444444442</v>
      </c>
      <c r="Y736" s="145">
        <f ca="1"/>
        <v>0.60429999999999995</v>
      </c>
      <c r="Z736" s="145">
        <f ca="1"/>
        <v>0.60429999999999995</v>
      </c>
      <c r="AA736" s="125">
        <f ca="1"/>
        <v>1.359675</v>
      </c>
      <c r="AB736" s="125">
        <f ca="1"/>
        <v>15</v>
      </c>
      <c r="AC736" s="98" t="str">
        <f ca="1"/>
        <v>VIGENTE</v>
      </c>
      <c r="AD736" s="147">
        <f ca="1"/>
        <v>2.2499999999999998E-3</v>
      </c>
    </row>
    <row r="737" spans="1:30">
      <c r="A737" t="str">
        <f ca="1"/>
        <v>SAN GABRIEL</v>
      </c>
      <c r="B737" t="str">
        <f ca="1"/>
        <v>QUESOS Y GRASAS</v>
      </c>
      <c r="C737" t="str">
        <f ca="1"/>
        <v xml:space="preserve">Esteban Montenegro                      </v>
      </c>
      <c r="D737" t="str">
        <f ca="1"/>
        <v>QUESO SEMIMADURO KIOSKO</v>
      </c>
      <c r="E737" t="str">
        <f ca="1"/>
        <v>QUESO SANDUCHE KIOSKO TAJADO</v>
      </c>
      <c r="F737" s="125" t="str">
        <f ca="1"/>
        <v>GUAYAQUIL</v>
      </c>
      <c r="G737" s="125">
        <f ca="1"/>
        <v>7711</v>
      </c>
      <c r="H737" s="125">
        <f ca="1"/>
        <v>1001</v>
      </c>
      <c r="I737" s="125" t="str">
        <f ca="1"/>
        <v>17053</v>
      </c>
      <c r="J737" s="125" t="str">
        <f ca="1"/>
        <v>KIOSKO SANDUCHE LONJAS LINEA DIARIA 75G</v>
      </c>
      <c r="K737" s="126">
        <f ca="1"/>
        <v>60</v>
      </c>
      <c r="L737" s="127">
        <f ca="1"/>
        <v>1</v>
      </c>
      <c r="M737" s="125">
        <f ca="1"/>
        <v>7.4999999999999997E-2</v>
      </c>
      <c r="N737" s="126">
        <f ca="1"/>
        <v>90</v>
      </c>
      <c r="O737" s="128">
        <f ca="1"/>
        <v>45617</v>
      </c>
      <c r="P737" s="128" t="str">
        <f ca="1"/>
        <v>jueves</v>
      </c>
      <c r="Q737" s="129">
        <f ca="1"/>
        <v>45608</v>
      </c>
      <c r="R737" s="129">
        <f ca="1"/>
        <v>45697</v>
      </c>
      <c r="S737" s="89">
        <f ca="1"/>
        <v>73</v>
      </c>
      <c r="T737" s="143">
        <f ca="1"/>
        <v>0.81111111111111112</v>
      </c>
      <c r="U737" s="131">
        <f ca="1"/>
        <v>60</v>
      </c>
      <c r="V737" s="125">
        <f ca="1"/>
        <v>4.5</v>
      </c>
      <c r="W737" s="144">
        <f ca="1"/>
        <v>9</v>
      </c>
      <c r="X737" s="143">
        <f ca="1"/>
        <v>0.9</v>
      </c>
      <c r="Y737" s="145">
        <f ca="1"/>
        <v>0.60429999999999995</v>
      </c>
      <c r="Z737" s="145">
        <f ca="1"/>
        <v>0.60429999999999995</v>
      </c>
      <c r="AA737" s="125">
        <f ca="1"/>
        <v>2.7193499999999999</v>
      </c>
      <c r="AB737" s="125">
        <f ca="1"/>
        <v>7</v>
      </c>
      <c r="AC737" s="98" t="str">
        <f ca="1"/>
        <v>VIGENTE</v>
      </c>
      <c r="AD737" s="147">
        <f ca="1"/>
        <v>4.4999999999999997E-3</v>
      </c>
    </row>
    <row r="738" spans="1:30">
      <c r="A738" t="str">
        <f ca="1"/>
        <v>SAN GABRIEL</v>
      </c>
      <c r="B738" t="str">
        <f ca="1"/>
        <v>QUESOS Y GRASAS</v>
      </c>
      <c r="C738" t="str">
        <f ca="1"/>
        <v xml:space="preserve">Esteban Montenegro                      </v>
      </c>
      <c r="D738" t="str">
        <f ca="1"/>
        <v>CREMA DE LECHE</v>
      </c>
      <c r="E738" t="str">
        <f ca="1"/>
        <v>CREMA DE LECHE KIOSKO FAMILIAR</v>
      </c>
      <c r="F738" s="125" t="str">
        <f ca="1"/>
        <v>GUAYAQUIL</v>
      </c>
      <c r="G738" s="125">
        <f ca="1"/>
        <v>7711</v>
      </c>
      <c r="H738" s="125">
        <f ca="1"/>
        <v>1001</v>
      </c>
      <c r="I738" s="125" t="str">
        <f ca="1"/>
        <v>16386</v>
      </c>
      <c r="J738" s="125" t="str">
        <f ca="1"/>
        <v>CREM LCH AGRIA KIOSKO DOYP 200G</v>
      </c>
      <c r="K738" s="126">
        <f ca="1"/>
        <v>210</v>
      </c>
      <c r="L738" s="127">
        <f ca="1"/>
        <v>1</v>
      </c>
      <c r="M738" s="125">
        <f ca="1"/>
        <v>0.2</v>
      </c>
      <c r="N738" s="126">
        <f ca="1"/>
        <v>60</v>
      </c>
      <c r="O738" s="128">
        <f ca="1"/>
        <v>45615</v>
      </c>
      <c r="P738" s="128" t="str">
        <f ca="1"/>
        <v>martes</v>
      </c>
      <c r="Q738" s="129">
        <f ca="1"/>
        <v>45611</v>
      </c>
      <c r="R738" s="129">
        <f ca="1"/>
        <v>45670</v>
      </c>
      <c r="S738" s="89">
        <f ca="1"/>
        <v>46</v>
      </c>
      <c r="T738" s="143">
        <f ca="1"/>
        <v>0.76666666666666672</v>
      </c>
      <c r="U738" s="131">
        <f ca="1"/>
        <v>17</v>
      </c>
      <c r="V738" s="125">
        <f ca="1"/>
        <v>3.4000000000000004</v>
      </c>
      <c r="W738" s="144">
        <f ca="1"/>
        <v>4</v>
      </c>
      <c r="X738" s="143">
        <f ca="1"/>
        <v>0.93333333333333335</v>
      </c>
      <c r="Y738" s="145">
        <f ca="1"/>
        <v>0.45100499999999999</v>
      </c>
      <c r="Z738" s="145">
        <f ca="1"/>
        <v>0.45100499999999999</v>
      </c>
      <c r="AA738" s="125">
        <f ca="1"/>
        <v>1.533417</v>
      </c>
      <c r="AB738" s="125">
        <f ca="1"/>
        <v>9</v>
      </c>
      <c r="AC738" s="98" t="str">
        <f ca="1"/>
        <v>VIGENTE</v>
      </c>
      <c r="AD738" s="147">
        <f ca="1"/>
        <v>3.4000000000000002E-3</v>
      </c>
    </row>
    <row r="739" spans="1:30">
      <c r="A739" t="str">
        <f ca="1"/>
        <v>SAN GABRIEL</v>
      </c>
      <c r="B739" t="str">
        <f ca="1"/>
        <v>QUESOS Y GRASAS</v>
      </c>
      <c r="C739" t="str">
        <f ca="1"/>
        <v xml:space="preserve">Esteban Montenegro                      </v>
      </c>
      <c r="D739" t="str">
        <f ca="1"/>
        <v>CREMA DE LECHE</v>
      </c>
      <c r="E739" t="str">
        <f ca="1"/>
        <v>CREMA DE LECHE KIOSKO FAMILIAR</v>
      </c>
      <c r="F739" s="125" t="str">
        <f ca="1"/>
        <v>GUAYAQUIL</v>
      </c>
      <c r="G739" s="125">
        <f ca="1"/>
        <v>7711</v>
      </c>
      <c r="H739" s="125">
        <f ca="1"/>
        <v>1001</v>
      </c>
      <c r="I739" s="125" t="str">
        <f ca="1"/>
        <v>16386</v>
      </c>
      <c r="J739" s="125" t="str">
        <f ca="1"/>
        <v>CREM LCH AGRIA KIOSKO DOYP 200G</v>
      </c>
      <c r="K739" s="126">
        <f ca="1"/>
        <v>140</v>
      </c>
      <c r="L739" s="127">
        <f ca="1"/>
        <v>1</v>
      </c>
      <c r="M739" s="125">
        <f ca="1"/>
        <v>0.2</v>
      </c>
      <c r="N739" s="126">
        <f ca="1"/>
        <v>60</v>
      </c>
      <c r="O739" s="128">
        <f ca="1"/>
        <v>45616</v>
      </c>
      <c r="P739" s="128" t="str">
        <f ca="1"/>
        <v>miércoles</v>
      </c>
      <c r="Q739" s="129">
        <f ca="1"/>
        <v>45611</v>
      </c>
      <c r="R739" s="129">
        <f ca="1"/>
        <v>45670</v>
      </c>
      <c r="S739" s="89">
        <f ca="1"/>
        <v>46</v>
      </c>
      <c r="T739" s="143">
        <f ca="1"/>
        <v>0.76666666666666672</v>
      </c>
      <c r="U739" s="131">
        <f ca="1"/>
        <v>140</v>
      </c>
      <c r="V739" s="125">
        <f ca="1"/>
        <v>28</v>
      </c>
      <c r="W739" s="144">
        <f ca="1"/>
        <v>5</v>
      </c>
      <c r="X739" s="143">
        <f ca="1"/>
        <v>0.91666666666666663</v>
      </c>
      <c r="Y739" s="145">
        <f ca="1"/>
        <v>0.45100499999999999</v>
      </c>
      <c r="Z739" s="145">
        <f ca="1"/>
        <v>0.45100499999999999</v>
      </c>
      <c r="AA739" s="125">
        <f ca="1"/>
        <v>12.62814</v>
      </c>
      <c r="AB739" s="125">
        <f ca="1"/>
        <v>8</v>
      </c>
      <c r="AC739" s="98" t="str">
        <f ca="1"/>
        <v>VIGENTE</v>
      </c>
      <c r="AD739" s="147">
        <f ca="1"/>
        <v>2.8000000000000001E-2</v>
      </c>
    </row>
    <row r="740" spans="1:30">
      <c r="A740" t="str">
        <f ca="1"/>
        <v>SAN GABRIEL</v>
      </c>
      <c r="B740" t="str">
        <f ca="1"/>
        <v>QUESOS Y GRASAS</v>
      </c>
      <c r="C740" t="str">
        <f ca="1"/>
        <v xml:space="preserve">Esteban Montenegro                      </v>
      </c>
      <c r="D740" t="str">
        <f ca="1"/>
        <v>CREMA DE LECHE</v>
      </c>
      <c r="E740" t="str">
        <f ca="1"/>
        <v>CREMA DE LECHE KIOSKO FAMILIAR</v>
      </c>
      <c r="F740" s="125" t="str">
        <f ca="1"/>
        <v>GUAYAQUIL</v>
      </c>
      <c r="G740" s="125">
        <f ca="1"/>
        <v>7711</v>
      </c>
      <c r="H740" s="125">
        <f ca="1"/>
        <v>1001</v>
      </c>
      <c r="I740" s="125" t="str">
        <f ca="1"/>
        <v>16386</v>
      </c>
      <c r="J740" s="125" t="str">
        <f ca="1"/>
        <v>CREM LCH AGRIA KIOSKO DOYP 200G</v>
      </c>
      <c r="K740" s="126">
        <f ca="1"/>
        <v>70</v>
      </c>
      <c r="L740" s="127">
        <f ca="1"/>
        <v>1</v>
      </c>
      <c r="M740" s="125">
        <f ca="1"/>
        <v>0.2</v>
      </c>
      <c r="N740" s="126">
        <f ca="1"/>
        <v>60</v>
      </c>
      <c r="O740" s="128">
        <f ca="1"/>
        <v>45617</v>
      </c>
      <c r="P740" s="128" t="str">
        <f ca="1"/>
        <v>jueves</v>
      </c>
      <c r="Q740" s="129">
        <f ca="1"/>
        <v>45611</v>
      </c>
      <c r="R740" s="129">
        <f ca="1"/>
        <v>45670</v>
      </c>
      <c r="S740" s="89">
        <f ca="1"/>
        <v>46</v>
      </c>
      <c r="T740" s="143">
        <f ca="1"/>
        <v>0.76666666666666672</v>
      </c>
      <c r="U740" s="131">
        <f ca="1"/>
        <v>70</v>
      </c>
      <c r="V740" s="125">
        <f ca="1"/>
        <v>14</v>
      </c>
      <c r="W740" s="144">
        <f ca="1"/>
        <v>6</v>
      </c>
      <c r="X740" s="143">
        <f ca="1"/>
        <v>0.9</v>
      </c>
      <c r="Y740" s="145">
        <f ca="1"/>
        <v>0.45100499999999999</v>
      </c>
      <c r="Z740" s="145">
        <f ca="1"/>
        <v>0.45100499999999999</v>
      </c>
      <c r="AA740" s="125">
        <f ca="1"/>
        <v>6.3140700000000001</v>
      </c>
      <c r="AB740" s="125">
        <f ca="1"/>
        <v>7</v>
      </c>
      <c r="AC740" s="98" t="str">
        <f ca="1"/>
        <v>VIGENTE</v>
      </c>
      <c r="AD740" s="147">
        <f ca="1"/>
        <v>1.4E-2</v>
      </c>
    </row>
    <row r="741" spans="1:30">
      <c r="A741" t="str">
        <f ca="1"/>
        <v>SAN GABRIEL</v>
      </c>
      <c r="B741" t="str">
        <f ca="1"/>
        <v>QUESOS Y GRASAS</v>
      </c>
      <c r="C741" t="str">
        <f ca="1"/>
        <v xml:space="preserve">Esteban Montenegro                      </v>
      </c>
      <c r="D741" t="str">
        <f ca="1"/>
        <v>QUESO MOZARELLA KIOSKO</v>
      </c>
      <c r="E741" t="str">
        <f ca="1"/>
        <v>QUESO MOZARELLA SNACK</v>
      </c>
      <c r="F741" s="125" t="str">
        <f ca="1"/>
        <v>GUAYAQUIL</v>
      </c>
      <c r="G741" s="125">
        <f ca="1"/>
        <v>7711</v>
      </c>
      <c r="H741" s="125">
        <f ca="1"/>
        <v>1001</v>
      </c>
      <c r="I741" s="125" t="str">
        <f ca="1"/>
        <v>16459</v>
      </c>
      <c r="J741" s="125" t="str">
        <f ca="1"/>
        <v>MOZZARELLA STICK AL GRANEL X 40 UN</v>
      </c>
      <c r="K741" s="126">
        <f ca="1"/>
        <v>5</v>
      </c>
      <c r="L741" s="127">
        <f ca="1"/>
        <v>1</v>
      </c>
      <c r="M741" s="125">
        <f ca="1"/>
        <v>1.4</v>
      </c>
      <c r="N741" s="126">
        <f ca="1"/>
        <v>40</v>
      </c>
      <c r="O741" s="128">
        <f ca="1"/>
        <v>45610</v>
      </c>
      <c r="P741" s="128" t="str">
        <f ca="1"/>
        <v>jueves</v>
      </c>
      <c r="Q741" s="129">
        <f ca="1"/>
        <v>45609</v>
      </c>
      <c r="R741" s="129">
        <f ca="1"/>
        <v>45648</v>
      </c>
      <c r="S741" s="89">
        <f ca="1"/>
        <v>24</v>
      </c>
      <c r="T741" s="143">
        <f ca="1"/>
        <v>0.6</v>
      </c>
      <c r="U741" s="131">
        <f ca="1"/>
        <v>3</v>
      </c>
      <c r="V741" s="125">
        <f ca="1"/>
        <v>4.1999999999999993</v>
      </c>
      <c r="W741" s="144">
        <f ca="1"/>
        <v>1</v>
      </c>
      <c r="X741" s="143">
        <f ca="1"/>
        <v>0.97499999999999998</v>
      </c>
      <c r="Y741" s="145">
        <f ca="1"/>
        <v>7.3991449999999999</v>
      </c>
      <c r="Z741" s="145">
        <f ca="1"/>
        <v>7.3991449999999999</v>
      </c>
      <c r="AA741" s="125">
        <f ca="1"/>
        <v>31.076408999999995</v>
      </c>
      <c r="AB741" s="125">
        <f ca="1"/>
        <v>14</v>
      </c>
      <c r="AC741" s="98" t="str">
        <f ca="1"/>
        <v>PROXIMOS FECHA CORTA</v>
      </c>
      <c r="AD741" s="147">
        <f ca="1"/>
        <v>4.1999999999999989E-3</v>
      </c>
    </row>
    <row r="742" spans="1:30">
      <c r="A742" t="str">
        <f ca="1"/>
        <v>SAN GABRIEL</v>
      </c>
      <c r="B742" t="str">
        <f ca="1"/>
        <v>QUESOS Y GRASAS</v>
      </c>
      <c r="C742" t="str">
        <f ca="1"/>
        <v xml:space="preserve">Esteban Montenegro                      </v>
      </c>
      <c r="D742" t="str">
        <f ca="1"/>
        <v>QUESO MOZARELLA KIOSKO</v>
      </c>
      <c r="E742" t="str">
        <f ca="1"/>
        <v>QUESO MOZARELLA SNACK</v>
      </c>
      <c r="F742" s="125" t="str">
        <f ca="1"/>
        <v>GUAYAQUIL</v>
      </c>
      <c r="G742" s="125">
        <f ca="1"/>
        <v>7711</v>
      </c>
      <c r="H742" s="125">
        <f ca="1"/>
        <v>1001</v>
      </c>
      <c r="I742" s="125" t="str">
        <f ca="1"/>
        <v>16459</v>
      </c>
      <c r="J742" s="125" t="str">
        <f ca="1"/>
        <v>MOZZARELLA STICK AL GRANEL X 40 UN</v>
      </c>
      <c r="K742" s="126">
        <f ca="1"/>
        <v>5</v>
      </c>
      <c r="L742" s="127">
        <f ca="1"/>
        <v>1</v>
      </c>
      <c r="M742" s="125">
        <f ca="1"/>
        <v>1.4</v>
      </c>
      <c r="N742" s="126">
        <f ca="1"/>
        <v>40</v>
      </c>
      <c r="O742" s="128">
        <f ca="1"/>
        <v>45617</v>
      </c>
      <c r="P742" s="128" t="str">
        <f ca="1"/>
        <v>jueves</v>
      </c>
      <c r="Q742" s="129">
        <f ca="1"/>
        <v>45616</v>
      </c>
      <c r="R742" s="129">
        <f ca="1"/>
        <v>45655</v>
      </c>
      <c r="S742" s="89">
        <f ca="1"/>
        <v>31</v>
      </c>
      <c r="T742" s="143">
        <f ca="1"/>
        <v>0.77500000000000002</v>
      </c>
      <c r="U742" s="131">
        <f ca="1"/>
        <v>5</v>
      </c>
      <c r="V742" s="125">
        <f ca="1"/>
        <v>7</v>
      </c>
      <c r="W742" s="144">
        <f ca="1"/>
        <v>1</v>
      </c>
      <c r="X742" s="143">
        <f ca="1"/>
        <v>0.97499999999999998</v>
      </c>
      <c r="Y742" s="145">
        <f ca="1"/>
        <v>7.3991449999999999</v>
      </c>
      <c r="Z742" s="145">
        <f ca="1"/>
        <v>7.3991449999999999</v>
      </c>
      <c r="AA742" s="125">
        <f ca="1"/>
        <v>51.794015000000002</v>
      </c>
      <c r="AB742" s="125">
        <f ca="1"/>
        <v>7</v>
      </c>
      <c r="AC742" s="98" t="str">
        <f ca="1"/>
        <v>VIGENTE</v>
      </c>
      <c r="AD742" s="147">
        <f ca="1"/>
        <v>7.0000000000000001E-3</v>
      </c>
    </row>
    <row r="743" spans="1:30">
      <c r="A743" t="str">
        <f ca="1"/>
        <v>SAN GABRIEL</v>
      </c>
      <c r="B743" t="str">
        <f ca="1"/>
        <v>QUESOS Y GRASAS</v>
      </c>
      <c r="C743" t="str">
        <f ca="1"/>
        <v xml:space="preserve">Esteban Montenegro                      </v>
      </c>
      <c r="D743" t="str">
        <f ca="1"/>
        <v>MANTEQUILLA</v>
      </c>
      <c r="E743" t="str">
        <f ca="1"/>
        <v>MANTEQUILLA INSTITUCIONAL</v>
      </c>
      <c r="F743" s="125" t="str">
        <f ca="1"/>
        <v>GUAYAQUIL</v>
      </c>
      <c r="G743" s="125">
        <f ca="1"/>
        <v>7711</v>
      </c>
      <c r="H743" s="125">
        <f ca="1"/>
        <v>1001</v>
      </c>
      <c r="I743" s="125" t="str">
        <f ca="1"/>
        <v>17155</v>
      </c>
      <c r="J743" s="125" t="str">
        <f ca="1"/>
        <v>MQUILLA NAT KIOSKO 1KG INST MOD OTROS</v>
      </c>
      <c r="K743" s="126">
        <f ca="1"/>
        <v>756</v>
      </c>
      <c r="L743" s="127">
        <f ca="1"/>
        <v>1</v>
      </c>
      <c r="M743" s="125">
        <f ca="1"/>
        <v>1</v>
      </c>
      <c r="N743" s="126">
        <f ca="1"/>
        <v>40</v>
      </c>
      <c r="O743" s="128">
        <f ca="1"/>
        <v>45616</v>
      </c>
      <c r="P743" s="128" t="str">
        <f ca="1"/>
        <v>miércoles</v>
      </c>
      <c r="Q743" s="129">
        <f ca="1"/>
        <v>45615</v>
      </c>
      <c r="R743" s="129">
        <f ca="1"/>
        <v>45654</v>
      </c>
      <c r="S743" s="89">
        <f ca="1"/>
        <v>30</v>
      </c>
      <c r="T743" s="143">
        <f ca="1"/>
        <v>0.75</v>
      </c>
      <c r="U743" s="131">
        <f ca="1"/>
        <v>41</v>
      </c>
      <c r="V743" s="125">
        <f ca="1"/>
        <v>41</v>
      </c>
      <c r="W743" s="144">
        <f ca="1"/>
        <v>1</v>
      </c>
      <c r="X743" s="143">
        <f ca="1"/>
        <v>0.97499999999999998</v>
      </c>
      <c r="Y743" s="145">
        <f ca="1"/>
        <v>4.1816800000000001</v>
      </c>
      <c r="Z743" s="145">
        <f ca="1"/>
        <v>4.1816800000000001</v>
      </c>
      <c r="AA743" s="125">
        <f ca="1"/>
        <v>171.44888</v>
      </c>
      <c r="AB743" s="125">
        <f ca="1"/>
        <v>8</v>
      </c>
      <c r="AC743" s="98" t="str">
        <f ca="1"/>
        <v>VIGENTE</v>
      </c>
      <c r="AD743" s="147">
        <f ca="1"/>
        <v>4.1000000000000002E-2</v>
      </c>
    </row>
    <row r="744" spans="1:30">
      <c r="A744" t="str">
        <f ca="1"/>
        <v>SAN GABRIEL</v>
      </c>
      <c r="B744" t="str">
        <f ca="1"/>
        <v>QUESOS Y GRASAS</v>
      </c>
      <c r="C744" t="str">
        <f ca="1"/>
        <v xml:space="preserve">Esteban Montenegro                      </v>
      </c>
      <c r="D744" t="str">
        <f ca="1"/>
        <v>MANTEQUILLA</v>
      </c>
      <c r="E744" t="str">
        <f ca="1"/>
        <v>MANTEQUILLA INSTITUCIONAL</v>
      </c>
      <c r="F744" s="125" t="str">
        <f ca="1"/>
        <v>GUAYAQUIL</v>
      </c>
      <c r="G744" s="125">
        <f ca="1"/>
        <v>7711</v>
      </c>
      <c r="H744" s="125">
        <f ca="1"/>
        <v>1001</v>
      </c>
      <c r="I744" s="125" t="str">
        <f ca="1"/>
        <v>17155</v>
      </c>
      <c r="J744" s="125" t="str">
        <f ca="1"/>
        <v>MQUILLA NAT KIOSKO 1KG INST MOD OTROS</v>
      </c>
      <c r="K744" s="126">
        <f ca="1"/>
        <v>224</v>
      </c>
      <c r="L744" s="127">
        <f ca="1"/>
        <v>1</v>
      </c>
      <c r="M744" s="125">
        <f ca="1"/>
        <v>1</v>
      </c>
      <c r="N744" s="126">
        <f ca="1"/>
        <v>40</v>
      </c>
      <c r="O744" s="128">
        <f ca="1"/>
        <v>45617</v>
      </c>
      <c r="P744" s="128" t="str">
        <f ca="1"/>
        <v>jueves</v>
      </c>
      <c r="Q744" s="129">
        <f ca="1"/>
        <v>45615</v>
      </c>
      <c r="R744" s="129">
        <f ca="1"/>
        <v>45654</v>
      </c>
      <c r="S744" s="89">
        <f ca="1"/>
        <v>30</v>
      </c>
      <c r="T744" s="143">
        <f ca="1"/>
        <v>0.75</v>
      </c>
      <c r="U744" s="131">
        <f ca="1"/>
        <v>224</v>
      </c>
      <c r="V744" s="125">
        <f ca="1"/>
        <v>224</v>
      </c>
      <c r="W744" s="144">
        <f ca="1"/>
        <v>2</v>
      </c>
      <c r="X744" s="143">
        <f ca="1"/>
        <v>0.95</v>
      </c>
      <c r="Y744" s="145">
        <f ca="1"/>
        <v>4.1816800000000001</v>
      </c>
      <c r="Z744" s="145">
        <f ca="1"/>
        <v>4.1816800000000001</v>
      </c>
      <c r="AA744" s="125">
        <f ca="1"/>
        <v>936.69632000000001</v>
      </c>
      <c r="AB744" s="125">
        <f ca="1"/>
        <v>7</v>
      </c>
      <c r="AC744" s="98" t="str">
        <f ca="1"/>
        <v>VIGENTE</v>
      </c>
      <c r="AD744" s="147">
        <f ca="1"/>
        <v>0.224</v>
      </c>
    </row>
    <row r="745" spans="1:30">
      <c r="A745" t="str">
        <f ca="1"/>
        <v>SAN GABRIEL</v>
      </c>
      <c r="B745" t="str">
        <f ca="1"/>
        <v>QUESOS Y GRASAS</v>
      </c>
      <c r="C745" t="str">
        <f ca="1"/>
        <v xml:space="preserve">Esteban Montenegro                      </v>
      </c>
      <c r="D745" t="str">
        <f ca="1"/>
        <v>MANTEQUILLA</v>
      </c>
      <c r="E745" t="str">
        <f ca="1"/>
        <v>MANTEQUILLA INSTITUCIONAL</v>
      </c>
      <c r="F745" s="125" t="str">
        <f ca="1"/>
        <v>GUAYAQUIL</v>
      </c>
      <c r="G745" s="125">
        <f ca="1"/>
        <v>7711</v>
      </c>
      <c r="H745" s="125">
        <f ca="1"/>
        <v>1001</v>
      </c>
      <c r="I745" s="125" t="str">
        <f ca="1"/>
        <v>5712</v>
      </c>
      <c r="J745" s="125" t="str">
        <f ca="1"/>
        <v>MQUILLA NAT KIOSKO AL PESO</v>
      </c>
      <c r="K745" s="126">
        <f ca="1"/>
        <v>160</v>
      </c>
      <c r="L745" s="127">
        <f ca="1"/>
        <v>1</v>
      </c>
      <c r="M745" s="125">
        <f ca="1"/>
        <v>1</v>
      </c>
      <c r="N745" s="126">
        <f ca="1"/>
        <v>40</v>
      </c>
      <c r="O745" s="128">
        <f ca="1"/>
        <v>45610</v>
      </c>
      <c r="P745" s="128" t="str">
        <f ca="1"/>
        <v>jueves</v>
      </c>
      <c r="Q745" s="129">
        <f ca="1"/>
        <v>45608</v>
      </c>
      <c r="R745" s="129">
        <f ca="1"/>
        <v>45647</v>
      </c>
      <c r="S745" s="89">
        <f ca="1"/>
        <v>23</v>
      </c>
      <c r="T745" s="143">
        <f ca="1"/>
        <v>0.57499999999999996</v>
      </c>
      <c r="U745" s="131">
        <f ca="1"/>
        <v>160</v>
      </c>
      <c r="V745" s="125">
        <f ca="1"/>
        <v>160</v>
      </c>
      <c r="W745" s="144">
        <f ca="1"/>
        <v>2</v>
      </c>
      <c r="X745" s="143">
        <f ca="1"/>
        <v>0.95</v>
      </c>
      <c r="Y745" s="145">
        <f ca="1"/>
        <v>4.3502849999999995</v>
      </c>
      <c r="Z745" s="145">
        <f ca="1"/>
        <v>4.3502849999999995</v>
      </c>
      <c r="AA745" s="125">
        <f ca="1"/>
        <v>696.04559999999992</v>
      </c>
      <c r="AB745" s="125">
        <f ca="1"/>
        <v>14</v>
      </c>
      <c r="AC745" s="98" t="str">
        <f ca="1"/>
        <v>PROXIMOS FECHA CORTA</v>
      </c>
      <c r="AD745" s="147">
        <f ca="1"/>
        <v>0.16</v>
      </c>
    </row>
    <row r="746" spans="1:30">
      <c r="A746" t="str">
        <f ca="1"/>
        <v>SAN GABRIEL</v>
      </c>
      <c r="B746" t="str">
        <f ca="1"/>
        <v>QUESOS Y GRASAS</v>
      </c>
      <c r="C746" t="str">
        <f ca="1"/>
        <v xml:space="preserve">Esteban Montenegro                      </v>
      </c>
      <c r="D746" t="str">
        <f ca="1"/>
        <v>QUESO FRESCO KIOSKO</v>
      </c>
      <c r="E746" t="str">
        <f ca="1"/>
        <v>QUESO AMASADO KIOSKO BLOQUE</v>
      </c>
      <c r="F746" s="125" t="str">
        <f ca="1"/>
        <v>GUAYAQUIL</v>
      </c>
      <c r="G746" s="125">
        <f ca="1"/>
        <v>7711</v>
      </c>
      <c r="H746" s="125">
        <f ca="1"/>
        <v>1001</v>
      </c>
      <c r="I746" s="125" t="str">
        <f ca="1"/>
        <v>12416</v>
      </c>
      <c r="J746" s="125" t="str">
        <f ca="1"/>
        <v>Q AMASADO KIOSKO BLOQ 450G</v>
      </c>
      <c r="K746" s="126">
        <f ca="1"/>
        <v>45</v>
      </c>
      <c r="L746" s="127">
        <f ca="1"/>
        <v>1</v>
      </c>
      <c r="M746" s="125">
        <f ca="1"/>
        <v>0.45</v>
      </c>
      <c r="N746" s="126">
        <f ca="1"/>
        <v>35</v>
      </c>
      <c r="O746" s="128">
        <f ca="1"/>
        <v>45615</v>
      </c>
      <c r="P746" s="128" t="str">
        <f ca="1"/>
        <v>martes</v>
      </c>
      <c r="Q746" s="129">
        <f ca="1"/>
        <v>45612</v>
      </c>
      <c r="R746" s="129">
        <f ca="1"/>
        <v>45646</v>
      </c>
      <c r="S746" s="89">
        <f ca="1"/>
        <v>22</v>
      </c>
      <c r="T746" s="143">
        <f ca="1"/>
        <v>0.62857142857142856</v>
      </c>
      <c r="U746" s="131">
        <f ca="1"/>
        <v>26</v>
      </c>
      <c r="V746" s="125">
        <f ca="1"/>
        <v>11.700000000000001</v>
      </c>
      <c r="W746" s="144">
        <f ca="1"/>
        <v>3</v>
      </c>
      <c r="X746" s="143">
        <f ca="1"/>
        <v>0.91428571428571426</v>
      </c>
      <c r="Y746" s="145">
        <f ca="1"/>
        <v>1.2293700000000001</v>
      </c>
      <c r="Z746" s="145">
        <f ca="1"/>
        <v>1.2293700000000001</v>
      </c>
      <c r="AA746" s="125">
        <f ca="1"/>
        <v>14.383629000000003</v>
      </c>
      <c r="AB746" s="125">
        <f ca="1"/>
        <v>9</v>
      </c>
      <c r="AC746" s="98" t="str">
        <f ca="1"/>
        <v>PROXIMOS FECHA CORTA</v>
      </c>
      <c r="AD746" s="147">
        <f ca="1"/>
        <v>1.17E-2</v>
      </c>
    </row>
    <row r="747" spans="1:30">
      <c r="A747" t="str">
        <f ca="1"/>
        <v>SAN GABRIEL</v>
      </c>
      <c r="B747" t="str">
        <f ca="1"/>
        <v>QUESOS Y GRASAS</v>
      </c>
      <c r="C747" t="str">
        <f ca="1"/>
        <v xml:space="preserve">Esteban Montenegro                      </v>
      </c>
      <c r="D747" t="str">
        <f ca="1"/>
        <v>QUESO FRESCO KIOSKO</v>
      </c>
      <c r="E747" t="str">
        <f ca="1"/>
        <v>QUESO AMASADO KIOSKO BLOQUE</v>
      </c>
      <c r="F747" s="125" t="str">
        <f ca="1"/>
        <v>GUAYAQUIL</v>
      </c>
      <c r="G747" s="125">
        <f ca="1"/>
        <v>7711</v>
      </c>
      <c r="H747" s="125">
        <f ca="1"/>
        <v>1001</v>
      </c>
      <c r="I747" s="125" t="str">
        <f ca="1"/>
        <v>12416</v>
      </c>
      <c r="J747" s="125" t="str">
        <f ca="1"/>
        <v>Q AMASADO KIOSKO BLOQ 450G</v>
      </c>
      <c r="K747" s="126">
        <f ca="1"/>
        <v>45</v>
      </c>
      <c r="L747" s="127">
        <f ca="1"/>
        <v>1</v>
      </c>
      <c r="M747" s="125">
        <f ca="1"/>
        <v>0.45</v>
      </c>
      <c r="N747" s="126">
        <f ca="1"/>
        <v>35</v>
      </c>
      <c r="O747" s="128">
        <f ca="1"/>
        <v>45617</v>
      </c>
      <c r="P747" s="128" t="str">
        <f ca="1"/>
        <v>jueves</v>
      </c>
      <c r="Q747" s="129">
        <f ca="1"/>
        <v>45612</v>
      </c>
      <c r="R747" s="129">
        <f ca="1"/>
        <v>45646</v>
      </c>
      <c r="S747" s="89">
        <f ca="1"/>
        <v>22</v>
      </c>
      <c r="T747" s="143">
        <f ca="1"/>
        <v>0.62857142857142856</v>
      </c>
      <c r="U747" s="131">
        <f ca="1"/>
        <v>45</v>
      </c>
      <c r="V747" s="125">
        <f ca="1"/>
        <v>20.25</v>
      </c>
      <c r="W747" s="144">
        <f ca="1"/>
        <v>5</v>
      </c>
      <c r="X747" s="143">
        <f ca="1"/>
        <v>0.85714285714285721</v>
      </c>
      <c r="Y747" s="145">
        <f ca="1"/>
        <v>1.2293700000000001</v>
      </c>
      <c r="Z747" s="145">
        <f ca="1"/>
        <v>1.2293700000000001</v>
      </c>
      <c r="AA747" s="125">
        <f ca="1"/>
        <v>24.894742500000003</v>
      </c>
      <c r="AB747" s="125">
        <f ca="1"/>
        <v>7</v>
      </c>
      <c r="AC747" s="98" t="str">
        <f ca="1"/>
        <v>PROXIMOS FECHA CORTA</v>
      </c>
      <c r="AD747" s="147">
        <f ca="1"/>
        <v>2.0250000000000001E-2</v>
      </c>
    </row>
    <row r="748" spans="1:30">
      <c r="A748" t="str">
        <f ca="1"/>
        <v>MACHACHI</v>
      </c>
      <c r="B748" t="str">
        <f ca="1"/>
        <v>BEBIDAS LACTEAS</v>
      </c>
      <c r="C748" t="str">
        <f ca="1"/>
        <v xml:space="preserve">Luis Armendariz                         </v>
      </c>
      <c r="D748" t="str">
        <f ca="1"/>
        <v>YOGURT KIOSKO</v>
      </c>
      <c r="E748" t="str">
        <f ca="1"/>
        <v>GRIEGO SABORIZADO</v>
      </c>
      <c r="F748" s="125" t="str">
        <f ca="1"/>
        <v>GUAYAQUIL</v>
      </c>
      <c r="G748" s="125">
        <f ca="1"/>
        <v>7711</v>
      </c>
      <c r="H748" s="125">
        <f ca="1"/>
        <v>1001</v>
      </c>
      <c r="I748" s="125" t="str">
        <f ca="1"/>
        <v>16515</v>
      </c>
      <c r="J748" s="125" t="str">
        <f ca="1"/>
        <v>GRIEG KIOSKO NATURAL 120</v>
      </c>
      <c r="K748" s="126">
        <f ca="1"/>
        <v>720</v>
      </c>
      <c r="L748" s="127">
        <f ca="1"/>
        <v>1</v>
      </c>
      <c r="M748" s="125">
        <f ca="1"/>
        <v>0.12</v>
      </c>
      <c r="N748" s="126">
        <f ca="1"/>
        <v>45</v>
      </c>
      <c r="O748" s="128">
        <f ca="1"/>
        <v>45612</v>
      </c>
      <c r="P748" s="128" t="str">
        <f ca="1"/>
        <v>sábado</v>
      </c>
      <c r="Q748" s="129">
        <f ca="1"/>
        <v>45611</v>
      </c>
      <c r="R748" s="129">
        <f ca="1"/>
        <v>45655</v>
      </c>
      <c r="S748" s="89">
        <f ca="1"/>
        <v>31</v>
      </c>
      <c r="T748" s="143">
        <f ca="1"/>
        <v>0.68888888888888888</v>
      </c>
      <c r="U748" s="131">
        <f ca="1"/>
        <v>200</v>
      </c>
      <c r="V748" s="125">
        <f ca="1"/>
        <v>24</v>
      </c>
      <c r="W748" s="144">
        <f ca="1"/>
        <v>1</v>
      </c>
      <c r="X748" s="143">
        <f ca="1"/>
        <v>0.97777777777777775</v>
      </c>
      <c r="Y748" s="145">
        <f ca="1"/>
        <v>0.32286000000000004</v>
      </c>
      <c r="Z748" s="145">
        <f ca="1"/>
        <v>0.32286000000000004</v>
      </c>
      <c r="AA748" s="125">
        <f ca="1"/>
        <v>7.7486400000000009</v>
      </c>
      <c r="AB748" s="125">
        <f ca="1"/>
        <v>12</v>
      </c>
      <c r="AC748" s="98" t="str">
        <f ca="1"/>
        <v>VIGENTE</v>
      </c>
      <c r="AD748" s="147">
        <f ca="1"/>
        <v>2.4E-2</v>
      </c>
    </row>
    <row r="749" spans="1:30">
      <c r="A749" t="str">
        <f ca="1"/>
        <v>MACHACHI</v>
      </c>
      <c r="B749" t="str">
        <f ca="1"/>
        <v>BEBIDAS LACTEAS</v>
      </c>
      <c r="C749" t="str">
        <f ca="1"/>
        <v xml:space="preserve">Luis Armendariz                         </v>
      </c>
      <c r="D749" t="str">
        <f ca="1"/>
        <v>YOGURT KIOSKO</v>
      </c>
      <c r="E749" t="str">
        <f ca="1"/>
        <v>GRIEGO SABORIZADO</v>
      </c>
      <c r="F749" s="125" t="str">
        <f ca="1"/>
        <v>GUAYAQUIL</v>
      </c>
      <c r="G749" s="125">
        <f ca="1"/>
        <v>7711</v>
      </c>
      <c r="H749" s="125">
        <f ca="1"/>
        <v>1001</v>
      </c>
      <c r="I749" s="125" t="str">
        <f ca="1"/>
        <v>16515</v>
      </c>
      <c r="J749" s="125" t="str">
        <f ca="1"/>
        <v>GRIEG KIOSKO NATURAL 120</v>
      </c>
      <c r="K749" s="126">
        <f ca="1"/>
        <v>120</v>
      </c>
      <c r="L749" s="127">
        <f ca="1"/>
        <v>1</v>
      </c>
      <c r="M749" s="125">
        <f ca="1"/>
        <v>0.12</v>
      </c>
      <c r="N749" s="126">
        <f ca="1"/>
        <v>45</v>
      </c>
      <c r="O749" s="128">
        <f ca="1"/>
        <v>45615</v>
      </c>
      <c r="P749" s="128" t="str">
        <f ca="1"/>
        <v>martes</v>
      </c>
      <c r="Q749" s="129">
        <f ca="1"/>
        <v>45611</v>
      </c>
      <c r="R749" s="129">
        <f ca="1"/>
        <v>45655</v>
      </c>
      <c r="S749" s="89">
        <f ca="1"/>
        <v>31</v>
      </c>
      <c r="T749" s="143">
        <f ca="1"/>
        <v>0.68888888888888888</v>
      </c>
      <c r="U749" s="131">
        <f ca="1"/>
        <v>120</v>
      </c>
      <c r="V749" s="125">
        <f ca="1"/>
        <v>14.399999999999999</v>
      </c>
      <c r="W749" s="144">
        <f ca="1"/>
        <v>4</v>
      </c>
      <c r="X749" s="143">
        <f ca="1"/>
        <v>0.91111111111111109</v>
      </c>
      <c r="Y749" s="145">
        <f ca="1"/>
        <v>0.32286000000000004</v>
      </c>
      <c r="Z749" s="145">
        <f ca="1"/>
        <v>0.32286000000000004</v>
      </c>
      <c r="AA749" s="125">
        <f ca="1"/>
        <v>4.649184</v>
      </c>
      <c r="AB749" s="125">
        <f ca="1"/>
        <v>9</v>
      </c>
      <c r="AC749" s="98" t="str">
        <f ca="1"/>
        <v>VIGENTE</v>
      </c>
      <c r="AD749" s="147">
        <f ca="1"/>
        <v>1.4399999999999998E-2</v>
      </c>
    </row>
    <row r="750" spans="1:30">
      <c r="A750" t="str">
        <f ca="1"/>
        <v>SAN GABRIEL</v>
      </c>
      <c r="B750" t="str">
        <f ca="1"/>
        <v>QUESOS Y GRASAS</v>
      </c>
      <c r="C750" t="str">
        <f ca="1"/>
        <v xml:space="preserve">Esteban Montenegro                      </v>
      </c>
      <c r="D750" t="str">
        <f ca="1"/>
        <v>QUESO SEMIMADURO KIOSKO</v>
      </c>
      <c r="E750" t="str">
        <f ca="1"/>
        <v>QUESO MIX KIOSKO TAJADO</v>
      </c>
      <c r="F750" s="125" t="str">
        <f ca="1"/>
        <v>GUAYAQUIL</v>
      </c>
      <c r="G750" s="125">
        <f ca="1"/>
        <v>7711</v>
      </c>
      <c r="H750" s="125">
        <f ca="1"/>
        <v>1001</v>
      </c>
      <c r="I750" s="125" t="str">
        <f ca="1"/>
        <v>16274</v>
      </c>
      <c r="J750" s="125" t="str">
        <f ca="1"/>
        <v>KIOSKO MIX LONJEADOS 400 G</v>
      </c>
      <c r="K750" s="126">
        <f ca="1"/>
        <v>10</v>
      </c>
      <c r="L750" s="127">
        <f ca="1"/>
        <v>1</v>
      </c>
      <c r="M750" s="125">
        <f ca="1"/>
        <v>0.4</v>
      </c>
      <c r="N750" s="126">
        <f ca="1"/>
        <v>90</v>
      </c>
      <c r="O750" s="128">
        <f ca="1"/>
        <v>45615</v>
      </c>
      <c r="P750" s="128" t="str">
        <f ca="1"/>
        <v>martes</v>
      </c>
      <c r="Q750" s="129">
        <f ca="1"/>
        <v>45603</v>
      </c>
      <c r="R750" s="129">
        <f ca="1"/>
        <v>45692</v>
      </c>
      <c r="S750" s="89">
        <f ca="1"/>
        <v>68</v>
      </c>
      <c r="T750" s="143">
        <f ca="1"/>
        <v>0.75555555555555554</v>
      </c>
      <c r="U750" s="131">
        <f ca="1"/>
        <v>10</v>
      </c>
      <c r="V750" s="125">
        <f ca="1"/>
        <v>4</v>
      </c>
      <c r="W750" s="144">
        <f ca="1"/>
        <v>12</v>
      </c>
      <c r="X750" s="143">
        <f ca="1"/>
        <v>0.8666666666666667</v>
      </c>
      <c r="Y750" s="145">
        <f ca="1"/>
        <v>3.1343899999999998</v>
      </c>
      <c r="Z750" s="145">
        <f ca="1"/>
        <v>3.1343899999999998</v>
      </c>
      <c r="AA750" s="125">
        <f ca="1"/>
        <v>12.537559999999999</v>
      </c>
      <c r="AB750" s="125">
        <f ca="1"/>
        <v>9</v>
      </c>
      <c r="AC750" s="98" t="str">
        <f ca="1"/>
        <v>VIGENTE</v>
      </c>
      <c r="AD750" s="147">
        <f ca="1"/>
        <v>4.0000000000000001E-3</v>
      </c>
    </row>
    <row r="751" spans="1:30">
      <c r="A751" t="str">
        <f ca="1"/>
        <v>SAN GABRIEL</v>
      </c>
      <c r="B751" t="str">
        <f ca="1"/>
        <v>QUESOS Y GRASAS</v>
      </c>
      <c r="C751" t="str">
        <f ca="1"/>
        <v xml:space="preserve">Esteban Montenegro                      </v>
      </c>
      <c r="D751" t="str">
        <f ca="1"/>
        <v>QUESO MOZARELLA KIOSKO</v>
      </c>
      <c r="E751" t="str">
        <f ca="1"/>
        <v>QUESO MOZARELLA PIZZA KIOSKO TAJADO</v>
      </c>
      <c r="F751" s="125" t="str">
        <f ca="1"/>
        <v>GUAYAQUIL</v>
      </c>
      <c r="G751" s="125">
        <f ca="1"/>
        <v>7711</v>
      </c>
      <c r="H751" s="125">
        <f ca="1"/>
        <v>1001</v>
      </c>
      <c r="I751" s="125" t="str">
        <f ca="1"/>
        <v>17052</v>
      </c>
      <c r="J751" s="125" t="str">
        <f ca="1"/>
        <v>KIOSKO MOZZARELL LONJAS LINEA DIARIA 75G</v>
      </c>
      <c r="K751" s="126">
        <f ca="1"/>
        <v>90</v>
      </c>
      <c r="L751" s="127">
        <f ca="1"/>
        <v>1</v>
      </c>
      <c r="M751" s="125">
        <f ca="1"/>
        <v>7.4999999999999997E-2</v>
      </c>
      <c r="N751" s="126">
        <f ca="1"/>
        <v>30</v>
      </c>
      <c r="O751" s="128">
        <f ca="1"/>
        <v>45615</v>
      </c>
      <c r="P751" s="128" t="str">
        <f ca="1"/>
        <v>martes</v>
      </c>
      <c r="Q751" s="129">
        <f ca="1"/>
        <v>45608</v>
      </c>
      <c r="R751" s="129">
        <f ca="1"/>
        <v>45637</v>
      </c>
      <c r="S751" s="89">
        <f ca="1"/>
        <v>13</v>
      </c>
      <c r="T751" s="143">
        <f ca="1"/>
        <v>0.43333333333333335</v>
      </c>
      <c r="U751" s="131">
        <f ca="1"/>
        <v>90</v>
      </c>
      <c r="V751" s="125">
        <f ca="1"/>
        <v>6.75</v>
      </c>
      <c r="W751" s="144">
        <f ca="1"/>
        <v>7</v>
      </c>
      <c r="X751" s="143">
        <f ca="1"/>
        <v>0.76666666666666661</v>
      </c>
      <c r="Y751" s="145">
        <f ca="1"/>
        <v>0.62214499999999995</v>
      </c>
      <c r="Z751" s="145">
        <f ca="1"/>
        <v>0.62214499999999995</v>
      </c>
      <c r="AA751" s="125">
        <f ca="1"/>
        <v>4.1994787499999999</v>
      </c>
      <c r="AB751" s="125">
        <f ca="1"/>
        <v>9</v>
      </c>
      <c r="AC751" s="98" t="str">
        <f ca="1"/>
        <v>FECHA CORTA</v>
      </c>
      <c r="AD751" s="147">
        <f ca="1"/>
        <v>6.7499999999999999E-3</v>
      </c>
    </row>
    <row r="752" spans="1:30">
      <c r="A752" t="str">
        <f ca="1"/>
        <v>SAN GABRIEL</v>
      </c>
      <c r="B752" t="str">
        <f ca="1"/>
        <v>QUESOS Y GRASAS</v>
      </c>
      <c r="C752" t="str">
        <f ca="1"/>
        <v xml:space="preserve">Esteban Montenegro                      </v>
      </c>
      <c r="D752" t="str">
        <f ca="1"/>
        <v>QUESO MOZARELLA KIOSKO</v>
      </c>
      <c r="E752" t="str">
        <f ca="1"/>
        <v>QUESO MOZARELLA PIZZA KIOSKO RALLADO</v>
      </c>
      <c r="F752" s="125" t="str">
        <f ca="1"/>
        <v>GUAYAQUIL</v>
      </c>
      <c r="G752" s="125">
        <f ca="1"/>
        <v>7711</v>
      </c>
      <c r="H752" s="125">
        <f ca="1"/>
        <v>1001</v>
      </c>
      <c r="I752" s="125" t="str">
        <f ca="1"/>
        <v>5748</v>
      </c>
      <c r="J752" s="125" t="str">
        <f ca="1"/>
        <v>Q MOZAR PIZZ KIOSKO RALL BOL 300G</v>
      </c>
      <c r="K752" s="126">
        <f ca="1"/>
        <v>60</v>
      </c>
      <c r="L752" s="127">
        <f ca="1"/>
        <v>1</v>
      </c>
      <c r="M752" s="125">
        <f ca="1"/>
        <v>0.3</v>
      </c>
      <c r="N752" s="126">
        <f ca="1"/>
        <v>30</v>
      </c>
      <c r="O752" s="128">
        <f ca="1"/>
        <v>45616</v>
      </c>
      <c r="P752" s="128" t="str">
        <f ca="1"/>
        <v>miércoles</v>
      </c>
      <c r="Q752" s="129">
        <f ca="1"/>
        <v>45615</v>
      </c>
      <c r="R752" s="129">
        <f ca="1"/>
        <v>45644</v>
      </c>
      <c r="S752" s="89">
        <f ca="1"/>
        <v>20</v>
      </c>
      <c r="T752" s="143">
        <f ca="1"/>
        <v>0.66666666666666663</v>
      </c>
      <c r="U752" s="131">
        <f ca="1"/>
        <v>38</v>
      </c>
      <c r="V752" s="125">
        <f ca="1"/>
        <v>11.4</v>
      </c>
      <c r="W752" s="144">
        <f ca="1"/>
        <v>1</v>
      </c>
      <c r="X752" s="143">
        <f ca="1"/>
        <v>0.96666666666666667</v>
      </c>
      <c r="Y752" s="145">
        <f ca="1"/>
        <v>2.0200649999999998</v>
      </c>
      <c r="Z752" s="145">
        <f ca="1"/>
        <v>2.0200649999999998</v>
      </c>
      <c r="AA752" s="125">
        <f ca="1"/>
        <v>23.028740999999997</v>
      </c>
      <c r="AB752" s="125">
        <f ca="1"/>
        <v>8</v>
      </c>
      <c r="AC752" s="98" t="str">
        <f ca="1"/>
        <v>FECHA CORTA</v>
      </c>
      <c r="AD752" s="147">
        <f ca="1"/>
        <v>1.14E-2</v>
      </c>
    </row>
    <row r="753" spans="1:30">
      <c r="A753" t="str">
        <f ca="1"/>
        <v>SAN GABRIEL</v>
      </c>
      <c r="B753" t="str">
        <f ca="1"/>
        <v>QUESOS Y GRASAS</v>
      </c>
      <c r="C753" t="str">
        <f ca="1"/>
        <v xml:space="preserve">Esteban Montenegro                      </v>
      </c>
      <c r="D753" t="str">
        <f ca="1"/>
        <v>QUESO MOZARELLA KIOSKO</v>
      </c>
      <c r="E753" t="str">
        <f ca="1"/>
        <v>QUESO MOZARELLA PIZZA KIOSKO RALLADO</v>
      </c>
      <c r="F753" s="125" t="str">
        <f ca="1"/>
        <v>GUAYAQUIL</v>
      </c>
      <c r="G753" s="125">
        <f ca="1"/>
        <v>7711</v>
      </c>
      <c r="H753" s="125">
        <f ca="1"/>
        <v>1001</v>
      </c>
      <c r="I753" s="125" t="str">
        <f ca="1"/>
        <v>5748</v>
      </c>
      <c r="J753" s="125" t="str">
        <f ca="1"/>
        <v>Q MOZAR PIZZ KIOSKO RALL BOL 300G</v>
      </c>
      <c r="K753" s="126">
        <f ca="1"/>
        <v>30</v>
      </c>
      <c r="L753" s="127">
        <f ca="1"/>
        <v>1</v>
      </c>
      <c r="M753" s="125">
        <f ca="1"/>
        <v>0.3</v>
      </c>
      <c r="N753" s="126">
        <f ca="1"/>
        <v>30</v>
      </c>
      <c r="O753" s="128">
        <f ca="1"/>
        <v>45617</v>
      </c>
      <c r="P753" s="128" t="str">
        <f ca="1"/>
        <v>jueves</v>
      </c>
      <c r="Q753" s="129">
        <f ca="1"/>
        <v>45615</v>
      </c>
      <c r="R753" s="129">
        <f ca="1"/>
        <v>45644</v>
      </c>
      <c r="S753" s="89">
        <f ca="1"/>
        <v>20</v>
      </c>
      <c r="T753" s="143">
        <f ca="1"/>
        <v>0.66666666666666663</v>
      </c>
      <c r="U753" s="131">
        <f ca="1"/>
        <v>30</v>
      </c>
      <c r="V753" s="125">
        <f ca="1"/>
        <v>9</v>
      </c>
      <c r="W753" s="144">
        <f ca="1"/>
        <v>2</v>
      </c>
      <c r="X753" s="143">
        <f ca="1"/>
        <v>0.93333333333333335</v>
      </c>
      <c r="Y753" s="145">
        <f ca="1"/>
        <v>2.0200649999999998</v>
      </c>
      <c r="Z753" s="145">
        <f ca="1"/>
        <v>2.0200649999999998</v>
      </c>
      <c r="AA753" s="125">
        <f ca="1"/>
        <v>18.180584999999997</v>
      </c>
      <c r="AB753" s="125">
        <f ca="1"/>
        <v>7</v>
      </c>
      <c r="AC753" s="98" t="str">
        <f ca="1"/>
        <v>FECHA CORTA</v>
      </c>
      <c r="AD753" s="147">
        <f ca="1"/>
        <v>8.9999999999999993E-3</v>
      </c>
    </row>
    <row r="754" spans="1:30">
      <c r="A754" t="str">
        <f ca="1"/>
        <v>COLOMBIA</v>
      </c>
      <c r="B754" t="str">
        <f ca="1"/>
        <v>POSTRES</v>
      </c>
      <c r="C754" t="str">
        <f ca="1"/>
        <v xml:space="preserve">Luis Armendariz                         </v>
      </c>
      <c r="D754" t="str">
        <f ca="1"/>
        <v>ALPINETTE</v>
      </c>
      <c r="E754" t="str">
        <f ca="1"/>
        <v>ALPINETTE</v>
      </c>
      <c r="F754" s="125" t="str">
        <f ca="1"/>
        <v>GUAYAQUIL</v>
      </c>
      <c r="G754" s="125">
        <f ca="1"/>
        <v>7711</v>
      </c>
      <c r="H754" s="125">
        <f ca="1"/>
        <v>1001</v>
      </c>
      <c r="I754" s="125" t="str">
        <f ca="1"/>
        <v>6221239</v>
      </c>
      <c r="J754" s="125" t="str">
        <f ca="1"/>
        <v>ALPINETTE CEREZA 140G ECU</v>
      </c>
      <c r="K754" s="126">
        <f ca="1"/>
        <v>750</v>
      </c>
      <c r="L754" s="127">
        <f ca="1"/>
        <v>1</v>
      </c>
      <c r="M754" s="125">
        <f ca="1"/>
        <v>0.14000000000000001</v>
      </c>
      <c r="N754" s="126">
        <f ca="1"/>
        <v>60</v>
      </c>
      <c r="O754" s="128">
        <f ca="1"/>
        <v>45608</v>
      </c>
      <c r="P754" s="128" t="str">
        <f ca="1"/>
        <v>martes</v>
      </c>
      <c r="Q754" s="129">
        <f ca="1"/>
        <v>45590</v>
      </c>
      <c r="R754" s="129">
        <f ca="1"/>
        <v>45649</v>
      </c>
      <c r="S754" s="89">
        <f ca="1"/>
        <v>25</v>
      </c>
      <c r="T754" s="143">
        <f ca="1"/>
        <v>0.41666666666666669</v>
      </c>
      <c r="U754" s="131">
        <f ca="1"/>
        <v>15</v>
      </c>
      <c r="V754" s="125">
        <f ca="1"/>
        <v>2.1</v>
      </c>
      <c r="W754" s="144">
        <f ca="1"/>
        <v>18</v>
      </c>
      <c r="X754" s="143">
        <f ca="1"/>
        <v>0.7</v>
      </c>
      <c r="Y754" s="145">
        <f ca="1"/>
        <v>0.48814500000000005</v>
      </c>
      <c r="Z754" s="145">
        <f ca="1"/>
        <v>0.48814500000000005</v>
      </c>
      <c r="AA754" s="125">
        <f ca="1"/>
        <v>1.0251045000000001</v>
      </c>
      <c r="AB754" s="125">
        <f ca="1"/>
        <v>16</v>
      </c>
      <c r="AC754" s="98" t="str">
        <f ca="1"/>
        <v>PROXIMOS FECHA CORTA</v>
      </c>
      <c r="AD754" s="147">
        <f ca="1"/>
        <v>2.1000000000000003E-3</v>
      </c>
    </row>
    <row r="755" spans="1:30">
      <c r="A755" t="str">
        <f ca="1"/>
        <v/>
      </c>
      <c r="B755" t="str">
        <f ca="1"/>
        <v/>
      </c>
      <c r="C755" t="str">
        <f ca="1"/>
        <v/>
      </c>
      <c r="D755" t="str">
        <f ca="1"/>
        <v/>
      </c>
      <c r="E755" t="str">
        <f ca="1"/>
        <v/>
      </c>
      <c r="F755" s="125" t="str">
        <f ca="1"/>
        <v/>
      </c>
      <c r="G755" s="125" t="str">
        <f ca="1"/>
        <v/>
      </c>
      <c r="H755" s="125" t="str">
        <f ca="1"/>
        <v/>
      </c>
      <c r="I755" s="125">
        <f ca="1"/>
        <v>0</v>
      </c>
      <c r="J755" s="125" t="str">
        <f ca="1"/>
        <v/>
      </c>
      <c r="K755" s="126">
        <f ca="1"/>
        <v>0</v>
      </c>
      <c r="L755" s="127" t="str">
        <f ca="1"/>
        <v/>
      </c>
      <c r="M755" s="125" t="str">
        <f ca="1"/>
        <v/>
      </c>
      <c r="N755" s="126" t="str">
        <f ca="1"/>
        <v/>
      </c>
      <c r="O755" s="128">
        <f ca="1"/>
        <v>0</v>
      </c>
      <c r="P755" s="128" t="str">
        <f ca="1"/>
        <v/>
      </c>
      <c r="Q755" s="129" t="str">
        <f ca="1"/>
        <v/>
      </c>
      <c r="R755" s="129">
        <f ca="1"/>
        <v>0</v>
      </c>
      <c r="S755" s="89" t="str">
        <f ca="1"/>
        <v/>
      </c>
      <c r="T755" s="143">
        <f ca="1"/>
        <v>0</v>
      </c>
      <c r="U755" s="131">
        <f ca="1"/>
        <v>0</v>
      </c>
      <c r="V755" s="125" t="str">
        <f ca="1"/>
        <v/>
      </c>
      <c r="W755" s="144">
        <f ca="1"/>
        <v>0</v>
      </c>
      <c r="X755" s="143" t="str">
        <f ca="1"/>
        <v/>
      </c>
      <c r="Y755" s="145">
        <f ca="1"/>
        <v>0</v>
      </c>
      <c r="Z755" s="145" t="str">
        <f ca="1"/>
        <v/>
      </c>
      <c r="AA755" s="125" t="str">
        <f ca="1"/>
        <v/>
      </c>
      <c r="AB755" s="125" t="str">
        <f ca="1"/>
        <v/>
      </c>
      <c r="AC755" s="98" t="str">
        <f ca="1"/>
        <v/>
      </c>
      <c r="AD755" s="147" t="e">
        <f ca="1"/>
        <v>#VALUE!</v>
      </c>
    </row>
    <row r="756" spans="1:30">
      <c r="A756" t="str">
        <f ca="1"/>
        <v/>
      </c>
      <c r="B756" t="str">
        <f ca="1"/>
        <v/>
      </c>
      <c r="C756" t="str">
        <f ca="1"/>
        <v/>
      </c>
      <c r="D756" t="str">
        <f ca="1"/>
        <v/>
      </c>
      <c r="E756" t="str">
        <f ca="1"/>
        <v/>
      </c>
      <c r="F756" s="125" t="str">
        <f ca="1"/>
        <v/>
      </c>
      <c r="G756" s="125" t="str">
        <f ca="1"/>
        <v/>
      </c>
      <c r="H756" s="125" t="str">
        <f ca="1"/>
        <v/>
      </c>
      <c r="I756" s="125">
        <f ca="1"/>
        <v>0</v>
      </c>
      <c r="J756" s="125" t="str">
        <f ca="1"/>
        <v/>
      </c>
      <c r="K756" s="126">
        <f ca="1"/>
        <v>0</v>
      </c>
      <c r="L756" s="127" t="str">
        <f ca="1"/>
        <v/>
      </c>
      <c r="M756" s="125" t="str">
        <f ca="1"/>
        <v/>
      </c>
      <c r="N756" s="126" t="str">
        <f ca="1"/>
        <v/>
      </c>
      <c r="O756" s="128">
        <f ca="1"/>
        <v>0</v>
      </c>
      <c r="P756" s="128" t="str">
        <f ca="1"/>
        <v/>
      </c>
      <c r="Q756" s="129" t="str">
        <f ca="1"/>
        <v/>
      </c>
      <c r="R756" s="129">
        <f ca="1"/>
        <v>0</v>
      </c>
      <c r="S756" s="89" t="str">
        <f ca="1"/>
        <v/>
      </c>
      <c r="T756" s="143">
        <f ca="1"/>
        <v>0</v>
      </c>
      <c r="U756" s="131">
        <f ca="1"/>
        <v>0</v>
      </c>
      <c r="V756" s="125" t="str">
        <f ca="1"/>
        <v/>
      </c>
      <c r="W756" s="144">
        <f ca="1"/>
        <v>0</v>
      </c>
      <c r="X756" s="143" t="str">
        <f ca="1"/>
        <v/>
      </c>
      <c r="Y756" s="145">
        <f ca="1"/>
        <v>0</v>
      </c>
      <c r="Z756" s="145" t="str">
        <f ca="1"/>
        <v/>
      </c>
      <c r="AA756" s="125" t="str">
        <f ca="1"/>
        <v/>
      </c>
      <c r="AB756" s="125" t="str">
        <f ca="1"/>
        <v/>
      </c>
      <c r="AC756" s="98" t="str">
        <f ca="1"/>
        <v/>
      </c>
      <c r="AD756" s="147" t="e">
        <f ca="1"/>
        <v>#VALUE!</v>
      </c>
    </row>
    <row r="757" spans="1:30">
      <c r="A757" t="str">
        <f ca="1"/>
        <v/>
      </c>
      <c r="B757" t="str">
        <f ca="1"/>
        <v/>
      </c>
      <c r="C757" t="str">
        <f ca="1"/>
        <v/>
      </c>
      <c r="D757" t="str">
        <f ca="1"/>
        <v/>
      </c>
      <c r="E757" t="str">
        <f ca="1"/>
        <v/>
      </c>
      <c r="F757" s="125" t="str">
        <f ca="1"/>
        <v/>
      </c>
      <c r="G757" s="125" t="str">
        <f ca="1"/>
        <v/>
      </c>
      <c r="H757" s="125" t="str">
        <f ca="1"/>
        <v/>
      </c>
      <c r="I757" s="125">
        <f ca="1"/>
        <v>0</v>
      </c>
      <c r="J757" s="125" t="str">
        <f ca="1"/>
        <v/>
      </c>
      <c r="K757" s="126">
        <f ca="1"/>
        <v>0</v>
      </c>
      <c r="L757" s="127" t="str">
        <f ca="1"/>
        <v/>
      </c>
      <c r="M757" s="125" t="str">
        <f ca="1"/>
        <v/>
      </c>
      <c r="N757" s="126" t="str">
        <f ca="1"/>
        <v/>
      </c>
      <c r="O757" s="128">
        <f ca="1"/>
        <v>0</v>
      </c>
      <c r="P757" s="128" t="str">
        <f ca="1"/>
        <v/>
      </c>
      <c r="Q757" s="129" t="str">
        <f ca="1"/>
        <v/>
      </c>
      <c r="R757" s="129">
        <f ca="1"/>
        <v>0</v>
      </c>
      <c r="S757" s="89" t="str">
        <f ca="1"/>
        <v/>
      </c>
      <c r="T757" s="143">
        <f ca="1"/>
        <v>0</v>
      </c>
      <c r="U757" s="131">
        <f ca="1"/>
        <v>0</v>
      </c>
      <c r="V757" s="125" t="str">
        <f ca="1"/>
        <v/>
      </c>
      <c r="W757" s="144">
        <f ca="1"/>
        <v>0</v>
      </c>
      <c r="X757" s="143" t="str">
        <f ca="1"/>
        <v/>
      </c>
      <c r="Y757" s="145">
        <f ca="1"/>
        <v>0</v>
      </c>
      <c r="Z757" s="145" t="str">
        <f ca="1"/>
        <v/>
      </c>
      <c r="AA757" s="125" t="str">
        <f ca="1"/>
        <v/>
      </c>
      <c r="AB757" s="125" t="str">
        <f ca="1"/>
        <v/>
      </c>
      <c r="AC757" s="98" t="str">
        <f ca="1"/>
        <v/>
      </c>
      <c r="AD757" s="147" t="e">
        <f ca="1"/>
        <v>#VALUE!</v>
      </c>
    </row>
    <row r="758" spans="1:30">
      <c r="A758" t="str">
        <f ca="1"/>
        <v/>
      </c>
      <c r="B758" t="str">
        <f ca="1"/>
        <v/>
      </c>
      <c r="C758" t="str">
        <f ca="1"/>
        <v/>
      </c>
      <c r="D758" t="str">
        <f ca="1"/>
        <v/>
      </c>
      <c r="E758" t="str">
        <f ca="1"/>
        <v/>
      </c>
      <c r="F758" s="125" t="str">
        <f ca="1"/>
        <v/>
      </c>
      <c r="G758" s="125" t="str">
        <f ca="1"/>
        <v/>
      </c>
      <c r="H758" s="125" t="str">
        <f ca="1"/>
        <v/>
      </c>
      <c r="I758" s="125">
        <f ca="1"/>
        <v>0</v>
      </c>
      <c r="J758" s="125" t="str">
        <f ca="1"/>
        <v/>
      </c>
      <c r="K758" s="126">
        <f ca="1"/>
        <v>0</v>
      </c>
      <c r="L758" s="127" t="str">
        <f ca="1"/>
        <v/>
      </c>
      <c r="M758" s="125" t="str">
        <f ca="1"/>
        <v/>
      </c>
      <c r="N758" s="126" t="str">
        <f ca="1"/>
        <v/>
      </c>
      <c r="O758" s="128">
        <f ca="1"/>
        <v>0</v>
      </c>
      <c r="P758" s="128" t="str">
        <f ca="1"/>
        <v/>
      </c>
      <c r="Q758" s="129" t="str">
        <f ca="1"/>
        <v/>
      </c>
      <c r="R758" s="129">
        <f ca="1"/>
        <v>0</v>
      </c>
      <c r="S758" s="89" t="str">
        <f ca="1"/>
        <v/>
      </c>
      <c r="T758" s="143">
        <f ca="1"/>
        <v>0</v>
      </c>
      <c r="U758" s="131">
        <f ca="1"/>
        <v>0</v>
      </c>
      <c r="V758" s="125" t="str">
        <f ca="1"/>
        <v/>
      </c>
      <c r="W758" s="144">
        <f ca="1"/>
        <v>0</v>
      </c>
      <c r="X758" s="143" t="str">
        <f ca="1"/>
        <v/>
      </c>
      <c r="Y758" s="145">
        <f ca="1"/>
        <v>0</v>
      </c>
      <c r="Z758" s="145" t="str">
        <f ca="1"/>
        <v/>
      </c>
      <c r="AA758" s="125" t="str">
        <f ca="1"/>
        <v/>
      </c>
      <c r="AB758" s="125" t="str">
        <f ca="1"/>
        <v/>
      </c>
      <c r="AC758" s="98" t="str">
        <f ca="1"/>
        <v/>
      </c>
      <c r="AD758" s="147" t="e">
        <f ca="1"/>
        <v>#VALUE!</v>
      </c>
    </row>
    <row r="759" spans="1:30">
      <c r="A759" t="str">
        <f ca="1"/>
        <v/>
      </c>
      <c r="B759" t="str">
        <f ca="1"/>
        <v/>
      </c>
      <c r="C759" t="str">
        <f ca="1"/>
        <v/>
      </c>
      <c r="D759" t="str">
        <f ca="1"/>
        <v/>
      </c>
      <c r="E759" t="str">
        <f ca="1"/>
        <v/>
      </c>
      <c r="F759" s="125" t="str">
        <f ca="1"/>
        <v/>
      </c>
      <c r="G759" s="125" t="str">
        <f ca="1"/>
        <v/>
      </c>
      <c r="H759" s="125" t="str">
        <f ca="1"/>
        <v/>
      </c>
      <c r="I759" s="125">
        <f ca="1"/>
        <v>0</v>
      </c>
      <c r="J759" s="125" t="str">
        <f ca="1"/>
        <v/>
      </c>
      <c r="K759" s="126">
        <f ca="1"/>
        <v>0</v>
      </c>
      <c r="L759" s="127" t="str">
        <f ca="1"/>
        <v/>
      </c>
      <c r="M759" s="125" t="str">
        <f ca="1"/>
        <v/>
      </c>
      <c r="N759" s="126" t="str">
        <f ca="1"/>
        <v/>
      </c>
      <c r="O759" s="128">
        <f ca="1"/>
        <v>0</v>
      </c>
      <c r="P759" s="128" t="str">
        <f ca="1"/>
        <v/>
      </c>
      <c r="Q759" s="129" t="str">
        <f ca="1"/>
        <v/>
      </c>
      <c r="R759" s="129">
        <f ca="1"/>
        <v>0</v>
      </c>
      <c r="S759" s="89" t="str">
        <f ca="1"/>
        <v/>
      </c>
      <c r="T759" s="143">
        <f ca="1"/>
        <v>0</v>
      </c>
      <c r="U759" s="131">
        <f ca="1"/>
        <v>0</v>
      </c>
      <c r="V759" s="125" t="str">
        <f ca="1"/>
        <v/>
      </c>
      <c r="W759" s="144">
        <f ca="1"/>
        <v>0</v>
      </c>
      <c r="X759" s="143" t="str">
        <f ca="1"/>
        <v/>
      </c>
      <c r="Y759" s="145">
        <f ca="1"/>
        <v>0</v>
      </c>
      <c r="Z759" s="145" t="str">
        <f ca="1"/>
        <v/>
      </c>
      <c r="AA759" s="125" t="str">
        <f ca="1"/>
        <v/>
      </c>
      <c r="AB759" s="125" t="str">
        <f ca="1"/>
        <v/>
      </c>
      <c r="AC759" s="98" t="str">
        <f ca="1"/>
        <v/>
      </c>
      <c r="AD759" s="147" t="e">
        <f ca="1"/>
        <v>#VALUE!</v>
      </c>
    </row>
    <row r="760" spans="1:30">
      <c r="A760" t="str">
        <f ca="1"/>
        <v/>
      </c>
      <c r="B760" t="str">
        <f ca="1"/>
        <v/>
      </c>
      <c r="C760" t="str">
        <f ca="1"/>
        <v/>
      </c>
      <c r="D760" t="str">
        <f ca="1"/>
        <v/>
      </c>
      <c r="E760" t="str">
        <f ca="1"/>
        <v/>
      </c>
      <c r="F760" s="125" t="str">
        <f ca="1"/>
        <v/>
      </c>
      <c r="G760" s="125" t="str">
        <f ca="1"/>
        <v/>
      </c>
      <c r="H760" s="125" t="str">
        <f ca="1"/>
        <v/>
      </c>
      <c r="I760" s="125">
        <f ca="1"/>
        <v>0</v>
      </c>
      <c r="J760" s="125" t="str">
        <f ca="1"/>
        <v/>
      </c>
      <c r="K760" s="126">
        <f ca="1"/>
        <v>0</v>
      </c>
      <c r="L760" s="127" t="str">
        <f ca="1"/>
        <v/>
      </c>
      <c r="M760" s="125" t="str">
        <f ca="1"/>
        <v/>
      </c>
      <c r="N760" s="126" t="str">
        <f ca="1"/>
        <v/>
      </c>
      <c r="O760" s="128">
        <f ca="1"/>
        <v>0</v>
      </c>
      <c r="P760" s="128" t="str">
        <f ca="1"/>
        <v/>
      </c>
      <c r="Q760" s="129" t="str">
        <f ca="1"/>
        <v/>
      </c>
      <c r="R760" s="129">
        <f ca="1"/>
        <v>0</v>
      </c>
      <c r="S760" s="89" t="str">
        <f ca="1"/>
        <v/>
      </c>
      <c r="T760" s="143">
        <f ca="1"/>
        <v>0</v>
      </c>
      <c r="U760" s="131">
        <f ca="1"/>
        <v>0</v>
      </c>
      <c r="V760" s="125" t="str">
        <f ca="1"/>
        <v/>
      </c>
      <c r="W760" s="144">
        <f ca="1"/>
        <v>0</v>
      </c>
      <c r="X760" s="143" t="str">
        <f ca="1"/>
        <v/>
      </c>
      <c r="Y760" s="145">
        <f ca="1"/>
        <v>0</v>
      </c>
      <c r="Z760" s="145" t="str">
        <f ca="1"/>
        <v/>
      </c>
      <c r="AA760" s="125" t="str">
        <f ca="1"/>
        <v/>
      </c>
      <c r="AB760" s="125" t="str">
        <f ca="1"/>
        <v/>
      </c>
      <c r="AC760" s="98" t="str">
        <f ca="1"/>
        <v/>
      </c>
      <c r="AD760" s="147" t="e">
        <f ca="1"/>
        <v>#VALUE!</v>
      </c>
    </row>
    <row r="761" spans="1:30">
      <c r="A761" t="str">
        <f ca="1"/>
        <v/>
      </c>
      <c r="B761" t="str">
        <f ca="1"/>
        <v/>
      </c>
      <c r="C761" t="str">
        <f ca="1"/>
        <v/>
      </c>
      <c r="D761" t="str">
        <f ca="1"/>
        <v/>
      </c>
      <c r="E761" t="str">
        <f ca="1"/>
        <v/>
      </c>
      <c r="F761" s="125" t="str">
        <f ca="1"/>
        <v/>
      </c>
      <c r="G761" s="125" t="str">
        <f ca="1"/>
        <v/>
      </c>
      <c r="H761" s="125" t="str">
        <f ca="1"/>
        <v/>
      </c>
      <c r="I761" s="125">
        <f ca="1"/>
        <v>0</v>
      </c>
      <c r="J761" s="125" t="str">
        <f ca="1"/>
        <v/>
      </c>
      <c r="K761" s="126">
        <f ca="1"/>
        <v>0</v>
      </c>
      <c r="L761" s="127" t="str">
        <f ca="1"/>
        <v/>
      </c>
      <c r="M761" s="125" t="str">
        <f ca="1"/>
        <v/>
      </c>
      <c r="N761" s="126" t="str">
        <f ca="1"/>
        <v/>
      </c>
      <c r="O761" s="128">
        <f ca="1"/>
        <v>0</v>
      </c>
      <c r="P761" s="128" t="str">
        <f ca="1"/>
        <v/>
      </c>
      <c r="Q761" s="129" t="str">
        <f ca="1"/>
        <v/>
      </c>
      <c r="R761" s="129">
        <f ca="1"/>
        <v>0</v>
      </c>
      <c r="S761" s="89" t="str">
        <f ca="1"/>
        <v/>
      </c>
      <c r="T761" s="143">
        <f ca="1"/>
        <v>0</v>
      </c>
      <c r="U761" s="131">
        <f ca="1"/>
        <v>0</v>
      </c>
      <c r="V761" s="125" t="str">
        <f ca="1"/>
        <v/>
      </c>
      <c r="W761" s="144">
        <f ca="1"/>
        <v>0</v>
      </c>
      <c r="X761" s="143" t="str">
        <f ca="1"/>
        <v/>
      </c>
      <c r="Y761" s="145">
        <f ca="1"/>
        <v>0</v>
      </c>
      <c r="Z761" s="145" t="str">
        <f ca="1"/>
        <v/>
      </c>
      <c r="AA761" s="125" t="str">
        <f ca="1"/>
        <v/>
      </c>
      <c r="AB761" s="125" t="str">
        <f ca="1"/>
        <v/>
      </c>
      <c r="AC761" s="98" t="str">
        <f ca="1"/>
        <v/>
      </c>
      <c r="AD761" s="147" t="e">
        <f ca="1"/>
        <v>#VALUE!</v>
      </c>
    </row>
    <row r="762" spans="1:30">
      <c r="A762" t="str">
        <f ca="1"/>
        <v/>
      </c>
      <c r="B762" t="str">
        <f ca="1"/>
        <v/>
      </c>
      <c r="C762" t="str">
        <f ca="1"/>
        <v/>
      </c>
      <c r="D762" t="str">
        <f ca="1"/>
        <v/>
      </c>
      <c r="E762" t="str">
        <f ca="1"/>
        <v/>
      </c>
      <c r="F762" s="125" t="str">
        <f ca="1"/>
        <v/>
      </c>
      <c r="G762" s="125" t="str">
        <f ca="1"/>
        <v/>
      </c>
      <c r="H762" s="125" t="str">
        <f ca="1"/>
        <v/>
      </c>
      <c r="I762" s="125">
        <f ca="1"/>
        <v>0</v>
      </c>
      <c r="J762" s="125" t="str">
        <f ca="1"/>
        <v/>
      </c>
      <c r="K762" s="126">
        <f ca="1"/>
        <v>0</v>
      </c>
      <c r="L762" s="127" t="str">
        <f ca="1"/>
        <v/>
      </c>
      <c r="M762" s="125" t="str">
        <f ca="1"/>
        <v/>
      </c>
      <c r="N762" s="126" t="str">
        <f ca="1"/>
        <v/>
      </c>
      <c r="O762" s="128">
        <f ca="1"/>
        <v>0</v>
      </c>
      <c r="P762" s="128" t="str">
        <f ca="1"/>
        <v/>
      </c>
      <c r="Q762" s="129" t="str">
        <f ca="1"/>
        <v/>
      </c>
      <c r="R762" s="129">
        <f ca="1"/>
        <v>0</v>
      </c>
      <c r="S762" s="89" t="str">
        <f ca="1"/>
        <v/>
      </c>
      <c r="T762" s="143">
        <f ca="1"/>
        <v>0</v>
      </c>
      <c r="U762" s="131">
        <f ca="1"/>
        <v>0</v>
      </c>
      <c r="V762" s="125" t="str">
        <f ca="1"/>
        <v/>
      </c>
      <c r="W762" s="144">
        <f ca="1"/>
        <v>0</v>
      </c>
      <c r="X762" s="143" t="str">
        <f ca="1"/>
        <v/>
      </c>
      <c r="Y762" s="145">
        <f ca="1"/>
        <v>0</v>
      </c>
      <c r="Z762" s="145" t="str">
        <f ca="1"/>
        <v/>
      </c>
      <c r="AA762" s="125" t="str">
        <f ca="1"/>
        <v/>
      </c>
      <c r="AB762" s="125" t="str">
        <f ca="1"/>
        <v/>
      </c>
      <c r="AC762" s="98" t="str">
        <f ca="1"/>
        <v/>
      </c>
      <c r="AD762" s="147" t="e">
        <f ca="1"/>
        <v>#VALUE!</v>
      </c>
    </row>
    <row r="763" spans="1:30">
      <c r="A763" t="str">
        <f ca="1"/>
        <v/>
      </c>
      <c r="B763" t="str">
        <f ca="1"/>
        <v/>
      </c>
      <c r="C763" t="str">
        <f ca="1"/>
        <v/>
      </c>
      <c r="D763" t="str">
        <f ca="1"/>
        <v/>
      </c>
      <c r="E763" t="str">
        <f ca="1"/>
        <v/>
      </c>
      <c r="F763" s="125" t="str">
        <f ca="1"/>
        <v/>
      </c>
      <c r="G763" s="125" t="str">
        <f ca="1"/>
        <v/>
      </c>
      <c r="H763" s="125" t="str">
        <f ca="1"/>
        <v/>
      </c>
      <c r="I763" s="125">
        <f ca="1"/>
        <v>0</v>
      </c>
      <c r="J763" s="125" t="str">
        <f ca="1"/>
        <v/>
      </c>
      <c r="K763" s="126">
        <f ca="1"/>
        <v>0</v>
      </c>
      <c r="L763" s="127" t="str">
        <f ca="1"/>
        <v/>
      </c>
      <c r="M763" s="125" t="str">
        <f ca="1"/>
        <v/>
      </c>
      <c r="N763" s="126" t="str">
        <f ca="1"/>
        <v/>
      </c>
      <c r="O763" s="128">
        <f ca="1"/>
        <v>0</v>
      </c>
      <c r="P763" s="128" t="str">
        <f ca="1"/>
        <v/>
      </c>
      <c r="Q763" s="129" t="str">
        <f ca="1"/>
        <v/>
      </c>
      <c r="R763" s="129">
        <f ca="1"/>
        <v>0</v>
      </c>
      <c r="S763" s="89" t="str">
        <f ca="1"/>
        <v/>
      </c>
      <c r="T763" s="143">
        <f ca="1"/>
        <v>0</v>
      </c>
      <c r="U763" s="131">
        <f ca="1"/>
        <v>0</v>
      </c>
      <c r="V763" s="125" t="str">
        <f ca="1"/>
        <v/>
      </c>
      <c r="W763" s="144">
        <f ca="1"/>
        <v>0</v>
      </c>
      <c r="X763" s="143" t="str">
        <f ca="1"/>
        <v/>
      </c>
      <c r="Y763" s="145">
        <f ca="1"/>
        <v>0</v>
      </c>
      <c r="Z763" s="145" t="str">
        <f ca="1"/>
        <v/>
      </c>
      <c r="AA763" s="125" t="str">
        <f ca="1"/>
        <v/>
      </c>
      <c r="AB763" s="125" t="str">
        <f ca="1"/>
        <v/>
      </c>
      <c r="AC763" s="98" t="str">
        <f ca="1"/>
        <v/>
      </c>
      <c r="AD763" s="147" t="e">
        <f ca="1"/>
        <v>#VALUE!</v>
      </c>
    </row>
    <row r="764" spans="1:30">
      <c r="A764" t="str">
        <f ca="1"/>
        <v/>
      </c>
      <c r="B764" t="str">
        <f ca="1"/>
        <v/>
      </c>
      <c r="C764" t="str">
        <f ca="1"/>
        <v/>
      </c>
      <c r="D764" t="str">
        <f ca="1"/>
        <v/>
      </c>
      <c r="E764" t="str">
        <f ca="1"/>
        <v/>
      </c>
      <c r="F764" s="125" t="str">
        <f ca="1"/>
        <v/>
      </c>
      <c r="G764" s="125" t="str">
        <f ca="1"/>
        <v/>
      </c>
      <c r="H764" s="125" t="str">
        <f ca="1"/>
        <v/>
      </c>
      <c r="I764" s="125">
        <f ca="1"/>
        <v>0</v>
      </c>
      <c r="J764" s="125" t="str">
        <f ca="1"/>
        <v/>
      </c>
      <c r="K764" s="126">
        <f ca="1"/>
        <v>0</v>
      </c>
      <c r="L764" s="127" t="str">
        <f ca="1"/>
        <v/>
      </c>
      <c r="M764" s="125" t="str">
        <f ca="1"/>
        <v/>
      </c>
      <c r="N764" s="126" t="str">
        <f ca="1"/>
        <v/>
      </c>
      <c r="O764" s="128">
        <f ca="1"/>
        <v>0</v>
      </c>
      <c r="P764" s="128" t="str">
        <f ca="1"/>
        <v/>
      </c>
      <c r="Q764" s="129" t="str">
        <f ca="1"/>
        <v/>
      </c>
      <c r="R764" s="129">
        <f ca="1"/>
        <v>0</v>
      </c>
      <c r="S764" s="89" t="str">
        <f ca="1"/>
        <v/>
      </c>
      <c r="T764" s="143">
        <f ca="1"/>
        <v>0</v>
      </c>
      <c r="U764" s="131">
        <f ca="1"/>
        <v>0</v>
      </c>
      <c r="V764" s="125" t="str">
        <f ca="1"/>
        <v/>
      </c>
      <c r="W764" s="144">
        <f ca="1"/>
        <v>0</v>
      </c>
      <c r="X764" s="143" t="str">
        <f ca="1"/>
        <v/>
      </c>
      <c r="Y764" s="145">
        <f ca="1"/>
        <v>0</v>
      </c>
      <c r="Z764" s="145" t="str">
        <f ca="1"/>
        <v/>
      </c>
      <c r="AA764" s="125" t="str">
        <f ca="1"/>
        <v/>
      </c>
      <c r="AB764" s="125" t="str">
        <f ca="1"/>
        <v/>
      </c>
      <c r="AC764" s="98" t="str">
        <f ca="1"/>
        <v/>
      </c>
      <c r="AD764" s="147" t="e">
        <f ca="1"/>
        <v>#VALUE!</v>
      </c>
    </row>
    <row r="765" spans="1:30">
      <c r="A765" t="str">
        <f ca="1"/>
        <v/>
      </c>
      <c r="B765" t="str">
        <f ca="1"/>
        <v/>
      </c>
      <c r="C765" t="str">
        <f ca="1"/>
        <v/>
      </c>
      <c r="D765" t="str">
        <f ca="1"/>
        <v/>
      </c>
      <c r="E765" t="str">
        <f ca="1"/>
        <v/>
      </c>
      <c r="F765" s="125" t="str">
        <f ca="1"/>
        <v/>
      </c>
      <c r="G765" s="125" t="str">
        <f ca="1"/>
        <v/>
      </c>
      <c r="H765" s="125" t="str">
        <f ca="1"/>
        <v/>
      </c>
      <c r="I765" s="125">
        <f ca="1"/>
        <v>0</v>
      </c>
      <c r="J765" s="125" t="str">
        <f ca="1"/>
        <v/>
      </c>
      <c r="K765" s="126">
        <f ca="1"/>
        <v>0</v>
      </c>
      <c r="L765" s="127" t="str">
        <f ca="1"/>
        <v/>
      </c>
      <c r="M765" s="125" t="str">
        <f ca="1"/>
        <v/>
      </c>
      <c r="N765" s="126" t="str">
        <f ca="1"/>
        <v/>
      </c>
      <c r="O765" s="128">
        <f ca="1"/>
        <v>0</v>
      </c>
      <c r="P765" s="128" t="str">
        <f ca="1"/>
        <v/>
      </c>
      <c r="Q765" s="129" t="str">
        <f ca="1"/>
        <v/>
      </c>
      <c r="R765" s="129">
        <f ca="1"/>
        <v>0</v>
      </c>
      <c r="S765" s="89" t="str">
        <f ca="1"/>
        <v/>
      </c>
      <c r="T765" s="143">
        <f ca="1"/>
        <v>0</v>
      </c>
      <c r="U765" s="131">
        <f ca="1"/>
        <v>0</v>
      </c>
      <c r="V765" s="125" t="str">
        <f ca="1"/>
        <v/>
      </c>
      <c r="W765" s="144">
        <f ca="1"/>
        <v>0</v>
      </c>
      <c r="X765" s="143" t="str">
        <f ca="1"/>
        <v/>
      </c>
      <c r="Y765" s="145">
        <f ca="1"/>
        <v>0</v>
      </c>
      <c r="Z765" s="145" t="str">
        <f ca="1"/>
        <v/>
      </c>
      <c r="AA765" s="125" t="str">
        <f ca="1"/>
        <v/>
      </c>
      <c r="AB765" s="125" t="str">
        <f ca="1"/>
        <v/>
      </c>
      <c r="AC765" s="98" t="str">
        <f ca="1"/>
        <v/>
      </c>
      <c r="AD765" s="147" t="e">
        <f ca="1"/>
        <v>#VALUE!</v>
      </c>
    </row>
    <row r="766" spans="1:30">
      <c r="A766" t="str">
        <f ca="1"/>
        <v/>
      </c>
      <c r="B766" t="str">
        <f ca="1"/>
        <v/>
      </c>
      <c r="C766" t="str">
        <f ca="1"/>
        <v/>
      </c>
      <c r="D766" t="str">
        <f ca="1"/>
        <v/>
      </c>
      <c r="E766" t="str">
        <f ca="1"/>
        <v/>
      </c>
      <c r="F766" s="125" t="str">
        <f ca="1"/>
        <v/>
      </c>
      <c r="G766" s="125" t="str">
        <f ca="1"/>
        <v/>
      </c>
      <c r="H766" s="125" t="str">
        <f ca="1"/>
        <v/>
      </c>
      <c r="I766" s="125">
        <f ca="1"/>
        <v>0</v>
      </c>
      <c r="J766" s="125" t="str">
        <f ca="1"/>
        <v/>
      </c>
      <c r="K766" s="126">
        <f ca="1"/>
        <v>0</v>
      </c>
      <c r="L766" s="127" t="str">
        <f ca="1"/>
        <v/>
      </c>
      <c r="M766" s="125" t="str">
        <f ca="1"/>
        <v/>
      </c>
      <c r="N766" s="126" t="str">
        <f ca="1"/>
        <v/>
      </c>
      <c r="O766" s="128">
        <f ca="1"/>
        <v>0</v>
      </c>
      <c r="P766" s="128" t="str">
        <f ca="1"/>
        <v/>
      </c>
      <c r="Q766" s="129" t="str">
        <f ca="1"/>
        <v/>
      </c>
      <c r="R766" s="129">
        <f ca="1"/>
        <v>0</v>
      </c>
      <c r="S766" s="89" t="str">
        <f ca="1"/>
        <v/>
      </c>
      <c r="T766" s="143">
        <f ca="1"/>
        <v>0</v>
      </c>
      <c r="U766" s="131">
        <f ca="1"/>
        <v>0</v>
      </c>
      <c r="V766" s="125" t="str">
        <f ca="1"/>
        <v/>
      </c>
      <c r="W766" s="144">
        <f ca="1"/>
        <v>0</v>
      </c>
      <c r="X766" s="143" t="str">
        <f ca="1"/>
        <v/>
      </c>
      <c r="Y766" s="145">
        <f ca="1"/>
        <v>0</v>
      </c>
      <c r="Z766" s="145" t="str">
        <f ca="1"/>
        <v/>
      </c>
      <c r="AA766" s="125" t="str">
        <f ca="1"/>
        <v/>
      </c>
      <c r="AB766" s="125" t="str">
        <f ca="1"/>
        <v/>
      </c>
      <c r="AC766" s="98" t="str">
        <f ca="1"/>
        <v/>
      </c>
      <c r="AD766" s="147" t="e">
        <f ca="1"/>
        <v>#VALUE!</v>
      </c>
    </row>
    <row r="767" spans="1:30">
      <c r="A767" t="str">
        <f ca="1"/>
        <v/>
      </c>
      <c r="B767" t="str">
        <f ca="1"/>
        <v/>
      </c>
      <c r="C767" t="str">
        <f ca="1"/>
        <v/>
      </c>
      <c r="D767" t="str">
        <f ca="1"/>
        <v/>
      </c>
      <c r="E767" t="str">
        <f ca="1"/>
        <v/>
      </c>
      <c r="F767" s="125" t="str">
        <f ca="1"/>
        <v/>
      </c>
      <c r="G767" s="125" t="str">
        <f ca="1"/>
        <v/>
      </c>
      <c r="H767" s="125" t="str">
        <f ca="1"/>
        <v/>
      </c>
      <c r="I767" s="125">
        <f ca="1"/>
        <v>0</v>
      </c>
      <c r="J767" s="125" t="str">
        <f ca="1"/>
        <v/>
      </c>
      <c r="K767" s="126">
        <f ca="1"/>
        <v>0</v>
      </c>
      <c r="L767" s="127" t="str">
        <f ca="1"/>
        <v/>
      </c>
      <c r="M767" s="125" t="str">
        <f ca="1"/>
        <v/>
      </c>
      <c r="N767" s="126" t="str">
        <f ca="1"/>
        <v/>
      </c>
      <c r="O767" s="128">
        <f ca="1"/>
        <v>0</v>
      </c>
      <c r="P767" s="128" t="str">
        <f ca="1"/>
        <v/>
      </c>
      <c r="Q767" s="129" t="str">
        <f ca="1"/>
        <v/>
      </c>
      <c r="R767" s="129">
        <f ca="1"/>
        <v>0</v>
      </c>
      <c r="S767" s="89" t="str">
        <f ca="1"/>
        <v/>
      </c>
      <c r="T767" s="143">
        <f ca="1"/>
        <v>0</v>
      </c>
      <c r="U767" s="131">
        <f ca="1"/>
        <v>0</v>
      </c>
      <c r="V767" s="125" t="str">
        <f ca="1"/>
        <v/>
      </c>
      <c r="W767" s="144">
        <f ca="1"/>
        <v>0</v>
      </c>
      <c r="X767" s="143" t="str">
        <f ca="1"/>
        <v/>
      </c>
      <c r="Y767" s="145">
        <f ca="1"/>
        <v>0</v>
      </c>
      <c r="Z767" s="145" t="str">
        <f ca="1"/>
        <v/>
      </c>
      <c r="AA767" s="125" t="str">
        <f ca="1"/>
        <v/>
      </c>
      <c r="AB767" s="125" t="str">
        <f ca="1"/>
        <v/>
      </c>
      <c r="AC767" s="98" t="str">
        <f ca="1"/>
        <v/>
      </c>
      <c r="AD767" s="147" t="e">
        <f ca="1"/>
        <v>#VALUE!</v>
      </c>
    </row>
    <row r="768" spans="1:30">
      <c r="A768" t="str">
        <f ca="1"/>
        <v/>
      </c>
      <c r="B768" t="str">
        <f ca="1"/>
        <v/>
      </c>
      <c r="C768" t="str">
        <f ca="1"/>
        <v/>
      </c>
      <c r="D768" t="str">
        <f ca="1"/>
        <v/>
      </c>
      <c r="E768" t="str">
        <f ca="1"/>
        <v/>
      </c>
      <c r="F768" s="125" t="str">
        <f ca="1"/>
        <v/>
      </c>
      <c r="G768" s="125" t="str">
        <f ca="1"/>
        <v/>
      </c>
      <c r="H768" s="125" t="str">
        <f ca="1"/>
        <v/>
      </c>
      <c r="I768" s="125">
        <f ca="1"/>
        <v>0</v>
      </c>
      <c r="J768" s="125" t="str">
        <f ca="1"/>
        <v/>
      </c>
      <c r="K768" s="126">
        <f ca="1"/>
        <v>0</v>
      </c>
      <c r="L768" s="127" t="str">
        <f ca="1"/>
        <v/>
      </c>
      <c r="M768" s="125" t="str">
        <f ca="1"/>
        <v/>
      </c>
      <c r="N768" s="126" t="str">
        <f ca="1"/>
        <v/>
      </c>
      <c r="O768" s="128">
        <f ca="1"/>
        <v>0</v>
      </c>
      <c r="P768" s="128" t="str">
        <f ca="1"/>
        <v/>
      </c>
      <c r="Q768" s="129" t="str">
        <f ca="1"/>
        <v/>
      </c>
      <c r="R768" s="129">
        <f ca="1"/>
        <v>0</v>
      </c>
      <c r="S768" s="89" t="str">
        <f ca="1"/>
        <v/>
      </c>
      <c r="T768" s="143">
        <f ca="1"/>
        <v>0</v>
      </c>
      <c r="U768" s="131">
        <f ca="1"/>
        <v>0</v>
      </c>
      <c r="V768" s="125" t="str">
        <f ca="1"/>
        <v/>
      </c>
      <c r="W768" s="144">
        <f ca="1"/>
        <v>0</v>
      </c>
      <c r="X768" s="143" t="str">
        <f ca="1"/>
        <v/>
      </c>
      <c r="Y768" s="145">
        <f ca="1"/>
        <v>0</v>
      </c>
      <c r="Z768" s="145" t="str">
        <f ca="1"/>
        <v/>
      </c>
      <c r="AA768" s="125" t="str">
        <f ca="1"/>
        <v/>
      </c>
      <c r="AB768" s="125" t="str">
        <f ca="1"/>
        <v/>
      </c>
      <c r="AC768" s="98" t="str">
        <f ca="1"/>
        <v/>
      </c>
      <c r="AD768" s="147" t="e">
        <f ca="1"/>
        <v>#VALUE!</v>
      </c>
    </row>
    <row r="769" spans="1:30">
      <c r="A769" t="str">
        <f ca="1"/>
        <v/>
      </c>
      <c r="B769" t="str">
        <f ca="1"/>
        <v/>
      </c>
      <c r="C769" t="str">
        <f ca="1"/>
        <v/>
      </c>
      <c r="D769" t="str">
        <f ca="1"/>
        <v/>
      </c>
      <c r="E769" t="str">
        <f ca="1"/>
        <v/>
      </c>
      <c r="F769" s="125" t="str">
        <f ca="1"/>
        <v/>
      </c>
      <c r="G769" s="125" t="str">
        <f ca="1"/>
        <v/>
      </c>
      <c r="H769" s="125" t="str">
        <f ca="1"/>
        <v/>
      </c>
      <c r="I769" s="125">
        <f ca="1"/>
        <v>0</v>
      </c>
      <c r="J769" s="125" t="str">
        <f ca="1"/>
        <v/>
      </c>
      <c r="K769" s="126">
        <f ca="1"/>
        <v>0</v>
      </c>
      <c r="L769" s="127" t="str">
        <f ca="1"/>
        <v/>
      </c>
      <c r="M769" s="125" t="str">
        <f ca="1"/>
        <v/>
      </c>
      <c r="N769" s="126" t="str">
        <f ca="1"/>
        <v/>
      </c>
      <c r="O769" s="128">
        <f ca="1"/>
        <v>0</v>
      </c>
      <c r="P769" s="128" t="str">
        <f ca="1"/>
        <v/>
      </c>
      <c r="Q769" s="129" t="str">
        <f ca="1"/>
        <v/>
      </c>
      <c r="R769" s="129">
        <f ca="1"/>
        <v>0</v>
      </c>
      <c r="S769" s="89" t="str">
        <f ca="1"/>
        <v/>
      </c>
      <c r="T769" s="143">
        <f ca="1"/>
        <v>0</v>
      </c>
      <c r="U769" s="131">
        <f ca="1"/>
        <v>0</v>
      </c>
      <c r="V769" s="125" t="str">
        <f ca="1"/>
        <v/>
      </c>
      <c r="W769" s="144">
        <f ca="1"/>
        <v>0</v>
      </c>
      <c r="X769" s="143" t="str">
        <f ca="1"/>
        <v/>
      </c>
      <c r="Y769" s="145">
        <f ca="1"/>
        <v>0</v>
      </c>
      <c r="Z769" s="145" t="str">
        <f ca="1"/>
        <v/>
      </c>
      <c r="AA769" s="125" t="str">
        <f ca="1"/>
        <v/>
      </c>
      <c r="AB769" s="125" t="str">
        <f ca="1"/>
        <v/>
      </c>
      <c r="AC769" s="98" t="str">
        <f ca="1"/>
        <v/>
      </c>
      <c r="AD769" s="147" t="e">
        <f ca="1"/>
        <v>#VALUE!</v>
      </c>
    </row>
    <row r="770" spans="1:30">
      <c r="A770" t="str">
        <f ca="1"/>
        <v/>
      </c>
      <c r="B770" t="str">
        <f ca="1"/>
        <v/>
      </c>
      <c r="C770" t="str">
        <f ca="1"/>
        <v/>
      </c>
      <c r="D770" t="str">
        <f ca="1"/>
        <v/>
      </c>
      <c r="E770" t="str">
        <f ca="1"/>
        <v/>
      </c>
      <c r="F770" s="125" t="str">
        <f ca="1"/>
        <v/>
      </c>
      <c r="G770" s="125" t="str">
        <f ca="1"/>
        <v/>
      </c>
      <c r="H770" s="125" t="str">
        <f ca="1"/>
        <v/>
      </c>
      <c r="I770" s="125">
        <f ca="1"/>
        <v>0</v>
      </c>
      <c r="J770" s="125" t="str">
        <f ca="1"/>
        <v/>
      </c>
      <c r="K770" s="126">
        <f ca="1"/>
        <v>0</v>
      </c>
      <c r="L770" s="127" t="str">
        <f ca="1"/>
        <v/>
      </c>
      <c r="M770" s="125" t="str">
        <f ca="1"/>
        <v/>
      </c>
      <c r="N770" s="126" t="str">
        <f ca="1"/>
        <v/>
      </c>
      <c r="O770" s="128">
        <f ca="1"/>
        <v>0</v>
      </c>
      <c r="P770" s="128" t="str">
        <f ca="1"/>
        <v/>
      </c>
      <c r="Q770" s="129" t="str">
        <f ca="1"/>
        <v/>
      </c>
      <c r="R770" s="129">
        <f ca="1"/>
        <v>0</v>
      </c>
      <c r="S770" s="89" t="str">
        <f ca="1"/>
        <v/>
      </c>
      <c r="T770" s="143">
        <f ca="1"/>
        <v>0</v>
      </c>
      <c r="U770" s="131">
        <f ca="1"/>
        <v>0</v>
      </c>
      <c r="V770" s="125" t="str">
        <f ca="1"/>
        <v/>
      </c>
      <c r="W770" s="144">
        <f ca="1"/>
        <v>0</v>
      </c>
      <c r="X770" s="143" t="str">
        <f ca="1"/>
        <v/>
      </c>
      <c r="Y770" s="145">
        <f ca="1"/>
        <v>0</v>
      </c>
      <c r="Z770" s="145" t="str">
        <f ca="1"/>
        <v/>
      </c>
      <c r="AA770" s="125" t="str">
        <f ca="1"/>
        <v/>
      </c>
      <c r="AB770" s="125" t="str">
        <f ca="1"/>
        <v/>
      </c>
      <c r="AC770" s="98" t="str">
        <f ca="1"/>
        <v/>
      </c>
      <c r="AD770" s="147" t="e">
        <f ca="1"/>
        <v>#VALUE!</v>
      </c>
    </row>
    <row r="771" spans="1:30">
      <c r="A771" t="str">
        <f ca="1"/>
        <v/>
      </c>
      <c r="B771" t="str">
        <f ca="1"/>
        <v/>
      </c>
      <c r="C771" t="str">
        <f ca="1"/>
        <v/>
      </c>
      <c r="D771" t="str">
        <f ca="1"/>
        <v/>
      </c>
      <c r="E771" t="str">
        <f ca="1"/>
        <v/>
      </c>
      <c r="F771" s="125" t="str">
        <f ca="1"/>
        <v/>
      </c>
      <c r="G771" s="125" t="str">
        <f ca="1"/>
        <v/>
      </c>
      <c r="H771" s="125" t="str">
        <f ca="1"/>
        <v/>
      </c>
      <c r="I771" s="125">
        <f ca="1"/>
        <v>0</v>
      </c>
      <c r="J771" s="125" t="str">
        <f ca="1"/>
        <v/>
      </c>
      <c r="K771" s="126">
        <f ca="1"/>
        <v>0</v>
      </c>
      <c r="L771" s="127" t="str">
        <f ca="1"/>
        <v/>
      </c>
      <c r="M771" s="125" t="str">
        <f ca="1"/>
        <v/>
      </c>
      <c r="N771" s="126" t="str">
        <f ca="1"/>
        <v/>
      </c>
      <c r="O771" s="128">
        <f ca="1"/>
        <v>0</v>
      </c>
      <c r="P771" s="128" t="str">
        <f ca="1"/>
        <v/>
      </c>
      <c r="Q771" s="129" t="str">
        <f ca="1"/>
        <v/>
      </c>
      <c r="R771" s="129">
        <f ca="1"/>
        <v>0</v>
      </c>
      <c r="S771" s="89" t="str">
        <f ca="1"/>
        <v/>
      </c>
      <c r="T771" s="143">
        <f ca="1"/>
        <v>0</v>
      </c>
      <c r="U771" s="131">
        <f ca="1"/>
        <v>0</v>
      </c>
      <c r="V771" s="125" t="str">
        <f ca="1"/>
        <v/>
      </c>
      <c r="W771" s="144">
        <f ca="1"/>
        <v>0</v>
      </c>
      <c r="X771" s="143" t="str">
        <f ca="1"/>
        <v/>
      </c>
      <c r="Y771" s="145">
        <f ca="1"/>
        <v>0</v>
      </c>
      <c r="Z771" s="145" t="str">
        <f ca="1"/>
        <v/>
      </c>
      <c r="AA771" s="125" t="str">
        <f ca="1"/>
        <v/>
      </c>
      <c r="AB771" s="125" t="str">
        <f ca="1"/>
        <v/>
      </c>
      <c r="AC771" s="98" t="str">
        <f ca="1"/>
        <v/>
      </c>
      <c r="AD771" s="147" t="e">
        <f ca="1"/>
        <v>#VALUE!</v>
      </c>
    </row>
    <row r="772" spans="1:30">
      <c r="A772" t="str">
        <f ca="1"/>
        <v/>
      </c>
      <c r="B772" t="str">
        <f ca="1"/>
        <v/>
      </c>
      <c r="C772" t="str">
        <f ca="1"/>
        <v/>
      </c>
      <c r="D772" t="str">
        <f ca="1"/>
        <v/>
      </c>
      <c r="E772" t="str">
        <f ca="1"/>
        <v/>
      </c>
      <c r="F772" s="125" t="str">
        <f ca="1"/>
        <v/>
      </c>
      <c r="G772" s="125" t="str">
        <f ca="1"/>
        <v/>
      </c>
      <c r="H772" s="125" t="str">
        <f ca="1"/>
        <v/>
      </c>
      <c r="I772" s="125">
        <f ca="1"/>
        <v>0</v>
      </c>
      <c r="J772" s="125" t="str">
        <f ca="1"/>
        <v/>
      </c>
      <c r="K772" s="126">
        <f ca="1"/>
        <v>0</v>
      </c>
      <c r="L772" s="127" t="str">
        <f ca="1"/>
        <v/>
      </c>
      <c r="M772" s="125" t="str">
        <f ca="1"/>
        <v/>
      </c>
      <c r="N772" s="126" t="str">
        <f ca="1"/>
        <v/>
      </c>
      <c r="O772" s="128">
        <f ca="1"/>
        <v>0</v>
      </c>
      <c r="P772" s="128" t="str">
        <f ca="1"/>
        <v/>
      </c>
      <c r="Q772" s="129" t="str">
        <f ca="1"/>
        <v/>
      </c>
      <c r="R772" s="129">
        <f ca="1"/>
        <v>0</v>
      </c>
      <c r="S772" s="89" t="str">
        <f ca="1"/>
        <v/>
      </c>
      <c r="T772" s="143">
        <f ca="1"/>
        <v>0</v>
      </c>
      <c r="U772" s="131">
        <f ca="1"/>
        <v>0</v>
      </c>
      <c r="V772" s="125" t="str">
        <f ca="1"/>
        <v/>
      </c>
      <c r="W772" s="144">
        <f ca="1"/>
        <v>0</v>
      </c>
      <c r="X772" s="143" t="str">
        <f ca="1"/>
        <v/>
      </c>
      <c r="Y772" s="145">
        <f ca="1"/>
        <v>0</v>
      </c>
      <c r="Z772" s="145" t="str">
        <f ca="1"/>
        <v/>
      </c>
      <c r="AA772" s="125" t="str">
        <f ca="1"/>
        <v/>
      </c>
      <c r="AB772" s="125" t="str">
        <f ca="1"/>
        <v/>
      </c>
      <c r="AC772" s="98" t="str">
        <f ca="1"/>
        <v/>
      </c>
      <c r="AD772" s="147" t="e">
        <f ca="1"/>
        <v>#VALUE!</v>
      </c>
    </row>
    <row r="773" spans="1:30">
      <c r="A773" t="str">
        <f ca="1"/>
        <v/>
      </c>
      <c r="B773" t="str">
        <f ca="1"/>
        <v/>
      </c>
      <c r="C773" t="str">
        <f ca="1"/>
        <v/>
      </c>
      <c r="D773" t="str">
        <f ca="1"/>
        <v/>
      </c>
      <c r="E773" t="str">
        <f ca="1"/>
        <v/>
      </c>
      <c r="F773" s="125" t="str">
        <f ca="1"/>
        <v/>
      </c>
      <c r="G773" s="125" t="str">
        <f ca="1"/>
        <v/>
      </c>
      <c r="H773" s="125" t="str">
        <f ca="1"/>
        <v/>
      </c>
      <c r="I773" s="125">
        <f ca="1"/>
        <v>0</v>
      </c>
      <c r="J773" s="125" t="str">
        <f ca="1"/>
        <v/>
      </c>
      <c r="K773" s="126">
        <f ca="1"/>
        <v>0</v>
      </c>
      <c r="L773" s="127" t="str">
        <f ca="1"/>
        <v/>
      </c>
      <c r="M773" s="125" t="str">
        <f ca="1"/>
        <v/>
      </c>
      <c r="N773" s="126" t="str">
        <f ca="1"/>
        <v/>
      </c>
      <c r="O773" s="128">
        <f ca="1"/>
        <v>0</v>
      </c>
      <c r="P773" s="128" t="str">
        <f ca="1"/>
        <v/>
      </c>
      <c r="Q773" s="129" t="str">
        <f ca="1"/>
        <v/>
      </c>
      <c r="R773" s="129">
        <f ca="1"/>
        <v>0</v>
      </c>
      <c r="S773" s="89" t="str">
        <f ca="1"/>
        <v/>
      </c>
      <c r="T773" s="143">
        <f ca="1"/>
        <v>0</v>
      </c>
      <c r="U773" s="131">
        <f ca="1"/>
        <v>0</v>
      </c>
      <c r="V773" s="125" t="str">
        <f ca="1"/>
        <v/>
      </c>
      <c r="W773" s="144">
        <f ca="1"/>
        <v>0</v>
      </c>
      <c r="X773" s="143" t="str">
        <f ca="1"/>
        <v/>
      </c>
      <c r="Y773" s="145">
        <f ca="1"/>
        <v>0</v>
      </c>
      <c r="Z773" s="145" t="str">
        <f ca="1"/>
        <v/>
      </c>
      <c r="AA773" s="125" t="str">
        <f ca="1"/>
        <v/>
      </c>
      <c r="AB773" s="125" t="str">
        <f ca="1"/>
        <v/>
      </c>
      <c r="AC773" s="98" t="str">
        <f ca="1"/>
        <v/>
      </c>
      <c r="AD773" s="147" t="e">
        <f ca="1"/>
        <v>#VALUE!</v>
      </c>
    </row>
    <row r="774" spans="1:30">
      <c r="A774" t="str">
        <f ca="1"/>
        <v/>
      </c>
      <c r="B774" t="str">
        <f ca="1"/>
        <v/>
      </c>
      <c r="C774" t="str">
        <f ca="1"/>
        <v/>
      </c>
      <c r="D774" t="str">
        <f ca="1"/>
        <v/>
      </c>
      <c r="E774" t="str">
        <f ca="1"/>
        <v/>
      </c>
      <c r="F774" s="125" t="str">
        <f ca="1"/>
        <v/>
      </c>
      <c r="G774" s="125" t="str">
        <f ca="1"/>
        <v/>
      </c>
      <c r="H774" s="125" t="str">
        <f ca="1"/>
        <v/>
      </c>
      <c r="I774" s="125">
        <f ca="1"/>
        <v>0</v>
      </c>
      <c r="J774" s="125" t="str">
        <f ca="1"/>
        <v/>
      </c>
      <c r="K774" s="126">
        <f ca="1"/>
        <v>0</v>
      </c>
      <c r="L774" s="127" t="str">
        <f ca="1"/>
        <v/>
      </c>
      <c r="M774" s="125" t="str">
        <f ca="1"/>
        <v/>
      </c>
      <c r="N774" s="126" t="str">
        <f ca="1"/>
        <v/>
      </c>
      <c r="O774" s="128">
        <f ca="1"/>
        <v>0</v>
      </c>
      <c r="P774" s="128" t="str">
        <f ca="1"/>
        <v/>
      </c>
      <c r="Q774" s="129" t="str">
        <f ca="1"/>
        <v/>
      </c>
      <c r="R774" s="129">
        <f ca="1"/>
        <v>0</v>
      </c>
      <c r="S774" s="89" t="str">
        <f ca="1"/>
        <v/>
      </c>
      <c r="T774" s="143">
        <f ca="1"/>
        <v>0</v>
      </c>
      <c r="U774" s="131">
        <f ca="1"/>
        <v>0</v>
      </c>
      <c r="V774" s="125" t="str">
        <f ca="1"/>
        <v/>
      </c>
      <c r="W774" s="144">
        <f ca="1"/>
        <v>0</v>
      </c>
      <c r="X774" s="143" t="str">
        <f ca="1"/>
        <v/>
      </c>
      <c r="Y774" s="145">
        <f ca="1"/>
        <v>0</v>
      </c>
      <c r="Z774" s="145" t="str">
        <f ca="1"/>
        <v/>
      </c>
      <c r="AA774" s="125" t="str">
        <f ca="1"/>
        <v/>
      </c>
      <c r="AB774" s="125" t="str">
        <f ca="1"/>
        <v/>
      </c>
      <c r="AC774" s="98" t="str">
        <f ca="1"/>
        <v/>
      </c>
      <c r="AD774" s="147" t="e">
        <f ca="1"/>
        <v>#VALUE!</v>
      </c>
    </row>
    <row r="775" spans="1:30">
      <c r="A775" t="str">
        <f ca="1"/>
        <v/>
      </c>
      <c r="B775" t="str">
        <f ca="1"/>
        <v/>
      </c>
      <c r="C775" t="str">
        <f ca="1"/>
        <v/>
      </c>
      <c r="D775" t="str">
        <f ca="1"/>
        <v/>
      </c>
      <c r="E775" t="str">
        <f ca="1"/>
        <v/>
      </c>
      <c r="F775" s="125" t="str">
        <f ca="1"/>
        <v/>
      </c>
      <c r="G775" s="125" t="str">
        <f ca="1"/>
        <v/>
      </c>
      <c r="H775" s="125" t="str">
        <f ca="1"/>
        <v/>
      </c>
      <c r="I775" s="125">
        <f ca="1"/>
        <v>0</v>
      </c>
      <c r="J775" s="125" t="str">
        <f ca="1"/>
        <v/>
      </c>
      <c r="K775" s="126">
        <f ca="1"/>
        <v>0</v>
      </c>
      <c r="L775" s="127" t="str">
        <f ca="1"/>
        <v/>
      </c>
      <c r="M775" s="125" t="str">
        <f ca="1"/>
        <v/>
      </c>
      <c r="N775" s="126" t="str">
        <f ca="1"/>
        <v/>
      </c>
      <c r="O775" s="128">
        <f ca="1"/>
        <v>0</v>
      </c>
      <c r="P775" s="128" t="str">
        <f ca="1"/>
        <v/>
      </c>
      <c r="Q775" s="129" t="str">
        <f ca="1"/>
        <v/>
      </c>
      <c r="R775" s="129">
        <f ca="1"/>
        <v>0</v>
      </c>
      <c r="S775" s="89" t="str">
        <f ca="1"/>
        <v/>
      </c>
      <c r="T775" s="143">
        <f ca="1"/>
        <v>0</v>
      </c>
      <c r="U775" s="131">
        <f ca="1"/>
        <v>0</v>
      </c>
      <c r="V775" s="125" t="str">
        <f ca="1"/>
        <v/>
      </c>
      <c r="W775" s="144">
        <f ca="1"/>
        <v>0</v>
      </c>
      <c r="X775" s="143" t="str">
        <f ca="1"/>
        <v/>
      </c>
      <c r="Y775" s="145">
        <f ca="1"/>
        <v>0</v>
      </c>
      <c r="Z775" s="145" t="str">
        <f ca="1"/>
        <v/>
      </c>
      <c r="AA775" s="125" t="str">
        <f ca="1"/>
        <v/>
      </c>
      <c r="AB775" s="125" t="str">
        <f ca="1"/>
        <v/>
      </c>
      <c r="AC775" s="98" t="str">
        <f ca="1"/>
        <v/>
      </c>
      <c r="AD775" s="147" t="e">
        <f ca="1"/>
        <v>#VALUE!</v>
      </c>
    </row>
    <row r="776" spans="1:30">
      <c r="A776" t="str">
        <f ca="1"/>
        <v/>
      </c>
      <c r="B776" t="str">
        <f ca="1"/>
        <v/>
      </c>
      <c r="C776" t="str">
        <f ca="1"/>
        <v/>
      </c>
      <c r="D776" t="str">
        <f ca="1"/>
        <v/>
      </c>
      <c r="E776" t="str">
        <f ca="1"/>
        <v/>
      </c>
      <c r="F776" s="125" t="str">
        <f ca="1"/>
        <v/>
      </c>
      <c r="G776" s="125" t="str">
        <f ca="1"/>
        <v/>
      </c>
      <c r="H776" s="125" t="str">
        <f ca="1"/>
        <v/>
      </c>
      <c r="I776" s="125">
        <f ca="1"/>
        <v>0</v>
      </c>
      <c r="J776" s="125" t="str">
        <f ca="1"/>
        <v/>
      </c>
      <c r="K776" s="126">
        <f ca="1"/>
        <v>0</v>
      </c>
      <c r="L776" s="127" t="str">
        <f ca="1"/>
        <v/>
      </c>
      <c r="M776" s="125" t="str">
        <f ca="1"/>
        <v/>
      </c>
      <c r="N776" s="126" t="str">
        <f ca="1"/>
        <v/>
      </c>
      <c r="O776" s="128">
        <f ca="1"/>
        <v>0</v>
      </c>
      <c r="P776" s="128" t="str">
        <f ca="1"/>
        <v/>
      </c>
      <c r="Q776" s="129" t="str">
        <f ca="1"/>
        <v/>
      </c>
      <c r="R776" s="129">
        <f ca="1"/>
        <v>0</v>
      </c>
      <c r="S776" s="89" t="str">
        <f ca="1"/>
        <v/>
      </c>
      <c r="T776" s="143">
        <f ca="1"/>
        <v>0</v>
      </c>
      <c r="U776" s="131">
        <f ca="1"/>
        <v>0</v>
      </c>
      <c r="V776" s="125" t="str">
        <f ca="1"/>
        <v/>
      </c>
      <c r="W776" s="144">
        <f ca="1"/>
        <v>0</v>
      </c>
      <c r="X776" s="143" t="str">
        <f ca="1"/>
        <v/>
      </c>
      <c r="Y776" s="145">
        <f ca="1"/>
        <v>0</v>
      </c>
      <c r="Z776" s="145" t="str">
        <f ca="1"/>
        <v/>
      </c>
      <c r="AA776" s="125" t="str">
        <f ca="1"/>
        <v/>
      </c>
      <c r="AB776" s="125" t="str">
        <f ca="1"/>
        <v/>
      </c>
      <c r="AC776" s="98" t="str">
        <f ca="1"/>
        <v/>
      </c>
      <c r="AD776" s="147" t="e">
        <f ca="1"/>
        <v>#VALUE!</v>
      </c>
    </row>
    <row r="777" spans="1:30">
      <c r="A777" t="str">
        <f ca="1"/>
        <v/>
      </c>
      <c r="B777" t="str">
        <f ca="1"/>
        <v/>
      </c>
      <c r="C777" t="str">
        <f ca="1"/>
        <v/>
      </c>
      <c r="D777" t="str">
        <f ca="1"/>
        <v/>
      </c>
      <c r="E777" t="str">
        <f ca="1"/>
        <v/>
      </c>
      <c r="F777" s="125" t="str">
        <f ca="1"/>
        <v/>
      </c>
      <c r="G777" s="125" t="str">
        <f ca="1"/>
        <v/>
      </c>
      <c r="H777" s="125" t="str">
        <f ca="1"/>
        <v/>
      </c>
      <c r="I777" s="125">
        <f ca="1"/>
        <v>0</v>
      </c>
      <c r="J777" s="125" t="str">
        <f ca="1"/>
        <v/>
      </c>
      <c r="K777" s="126">
        <f ca="1"/>
        <v>0</v>
      </c>
      <c r="L777" s="127" t="str">
        <f ca="1"/>
        <v/>
      </c>
      <c r="M777" s="125" t="str">
        <f ca="1"/>
        <v/>
      </c>
      <c r="N777" s="126" t="str">
        <f ca="1"/>
        <v/>
      </c>
      <c r="O777" s="128">
        <f ca="1"/>
        <v>0</v>
      </c>
      <c r="P777" s="128" t="str">
        <f ca="1"/>
        <v/>
      </c>
      <c r="Q777" s="129" t="str">
        <f ca="1"/>
        <v/>
      </c>
      <c r="R777" s="129">
        <f ca="1"/>
        <v>0</v>
      </c>
      <c r="S777" s="89" t="str">
        <f ca="1"/>
        <v/>
      </c>
      <c r="T777" s="143">
        <f ca="1"/>
        <v>0</v>
      </c>
      <c r="U777" s="131">
        <f ca="1"/>
        <v>0</v>
      </c>
      <c r="V777" s="125" t="str">
        <f ca="1"/>
        <v/>
      </c>
      <c r="W777" s="144">
        <f ca="1"/>
        <v>0</v>
      </c>
      <c r="X777" s="143" t="str">
        <f ca="1"/>
        <v/>
      </c>
      <c r="Y777" s="145">
        <f ca="1"/>
        <v>0</v>
      </c>
      <c r="Z777" s="145" t="str">
        <f ca="1"/>
        <v/>
      </c>
      <c r="AA777" s="125" t="str">
        <f ca="1"/>
        <v/>
      </c>
      <c r="AB777" s="125" t="str">
        <f ca="1"/>
        <v/>
      </c>
      <c r="AC777" s="98" t="str">
        <f ca="1"/>
        <v/>
      </c>
      <c r="AD777" s="147" t="e">
        <f ca="1"/>
        <v>#VALUE!</v>
      </c>
    </row>
    <row r="778" spans="1:30">
      <c r="A778" t="str">
        <f ca="1"/>
        <v/>
      </c>
      <c r="B778" t="str">
        <f ca="1"/>
        <v/>
      </c>
      <c r="C778" t="str">
        <f ca="1"/>
        <v/>
      </c>
      <c r="D778" t="str">
        <f ca="1"/>
        <v/>
      </c>
      <c r="E778" t="str">
        <f ca="1"/>
        <v/>
      </c>
      <c r="F778" s="125" t="str">
        <f ca="1"/>
        <v/>
      </c>
      <c r="G778" s="125" t="str">
        <f ca="1"/>
        <v/>
      </c>
      <c r="H778" s="125" t="str">
        <f ca="1"/>
        <v/>
      </c>
      <c r="I778" s="125">
        <f ca="1"/>
        <v>0</v>
      </c>
      <c r="J778" s="125" t="str">
        <f ca="1"/>
        <v/>
      </c>
      <c r="K778" s="126">
        <f ca="1"/>
        <v>0</v>
      </c>
      <c r="L778" s="127" t="str">
        <f ca="1"/>
        <v/>
      </c>
      <c r="M778" s="125" t="str">
        <f ca="1"/>
        <v/>
      </c>
      <c r="N778" s="126" t="str">
        <f ca="1"/>
        <v/>
      </c>
      <c r="O778" s="128">
        <f ca="1"/>
        <v>0</v>
      </c>
      <c r="P778" s="128" t="str">
        <f ca="1"/>
        <v/>
      </c>
      <c r="Q778" s="129" t="str">
        <f ca="1"/>
        <v/>
      </c>
      <c r="R778" s="129">
        <f ca="1"/>
        <v>0</v>
      </c>
      <c r="S778" s="89" t="str">
        <f ca="1"/>
        <v/>
      </c>
      <c r="T778" s="143">
        <f ca="1"/>
        <v>0</v>
      </c>
      <c r="U778" s="131">
        <f ca="1"/>
        <v>0</v>
      </c>
      <c r="V778" s="125" t="str">
        <f ca="1"/>
        <v/>
      </c>
      <c r="W778" s="144">
        <f ca="1"/>
        <v>0</v>
      </c>
      <c r="X778" s="143" t="str">
        <f ca="1"/>
        <v/>
      </c>
      <c r="Y778" s="145">
        <f ca="1"/>
        <v>0</v>
      </c>
      <c r="Z778" s="145" t="str">
        <f ca="1"/>
        <v/>
      </c>
      <c r="AA778" s="125" t="str">
        <f ca="1"/>
        <v/>
      </c>
      <c r="AB778" s="125" t="str">
        <f ca="1"/>
        <v/>
      </c>
      <c r="AC778" s="98" t="str">
        <f ca="1"/>
        <v/>
      </c>
      <c r="AD778" s="147" t="e">
        <f ca="1"/>
        <v>#VALUE!</v>
      </c>
    </row>
    <row r="779" spans="1:30">
      <c r="A779" t="str">
        <f ca="1"/>
        <v/>
      </c>
      <c r="B779" t="str">
        <f ca="1"/>
        <v/>
      </c>
      <c r="C779" t="str">
        <f ca="1"/>
        <v/>
      </c>
      <c r="D779" t="str">
        <f ca="1"/>
        <v/>
      </c>
      <c r="E779" t="str">
        <f ca="1"/>
        <v/>
      </c>
      <c r="F779" s="125" t="str">
        <f ca="1"/>
        <v/>
      </c>
      <c r="G779" s="125" t="str">
        <f ca="1"/>
        <v/>
      </c>
      <c r="H779" s="125" t="str">
        <f ca="1"/>
        <v/>
      </c>
      <c r="I779" s="125">
        <f ca="1"/>
        <v>0</v>
      </c>
      <c r="J779" s="125" t="str">
        <f ca="1"/>
        <v/>
      </c>
      <c r="K779" s="126">
        <f ca="1"/>
        <v>0</v>
      </c>
      <c r="L779" s="127" t="str">
        <f ca="1"/>
        <v/>
      </c>
      <c r="M779" s="125" t="str">
        <f ca="1"/>
        <v/>
      </c>
      <c r="N779" s="126" t="str">
        <f ca="1"/>
        <v/>
      </c>
      <c r="O779" s="128">
        <f ca="1"/>
        <v>0</v>
      </c>
      <c r="P779" s="128" t="str">
        <f ca="1"/>
        <v/>
      </c>
      <c r="Q779" s="129" t="str">
        <f ca="1"/>
        <v/>
      </c>
      <c r="R779" s="129">
        <f ca="1"/>
        <v>0</v>
      </c>
      <c r="S779" s="89" t="str">
        <f ca="1"/>
        <v/>
      </c>
      <c r="T779" s="143">
        <f ca="1"/>
        <v>0</v>
      </c>
      <c r="U779" s="131">
        <f ca="1"/>
        <v>0</v>
      </c>
      <c r="V779" s="125" t="str">
        <f ca="1"/>
        <v/>
      </c>
      <c r="W779" s="144">
        <f ca="1"/>
        <v>0</v>
      </c>
      <c r="X779" s="143" t="str">
        <f ca="1"/>
        <v/>
      </c>
      <c r="Y779" s="145">
        <f ca="1"/>
        <v>0</v>
      </c>
      <c r="Z779" s="145" t="str">
        <f ca="1"/>
        <v/>
      </c>
      <c r="AA779" s="125" t="str">
        <f ca="1"/>
        <v/>
      </c>
      <c r="AB779" s="125" t="str">
        <f ca="1"/>
        <v/>
      </c>
      <c r="AC779" s="98" t="str">
        <f ca="1"/>
        <v/>
      </c>
      <c r="AD779" s="147" t="e">
        <f ca="1"/>
        <v>#VALUE!</v>
      </c>
    </row>
    <row r="780" spans="1:30">
      <c r="A780" t="str">
        <f ca="1"/>
        <v/>
      </c>
      <c r="B780" t="str">
        <f ca="1"/>
        <v/>
      </c>
      <c r="C780" t="str">
        <f ca="1"/>
        <v/>
      </c>
      <c r="D780" t="str">
        <f ca="1"/>
        <v/>
      </c>
      <c r="E780" t="str">
        <f ca="1"/>
        <v/>
      </c>
      <c r="F780" s="125" t="str">
        <f ca="1"/>
        <v/>
      </c>
      <c r="G780" s="125" t="str">
        <f ca="1"/>
        <v/>
      </c>
      <c r="H780" s="125" t="str">
        <f ca="1"/>
        <v/>
      </c>
      <c r="I780" s="125">
        <f ca="1"/>
        <v>0</v>
      </c>
      <c r="J780" s="125" t="str">
        <f ca="1"/>
        <v/>
      </c>
      <c r="K780" s="126">
        <f ca="1"/>
        <v>0</v>
      </c>
      <c r="L780" s="127" t="str">
        <f ca="1"/>
        <v/>
      </c>
      <c r="M780" s="125" t="str">
        <f ca="1"/>
        <v/>
      </c>
      <c r="N780" s="126" t="str">
        <f ca="1"/>
        <v/>
      </c>
      <c r="O780" s="128">
        <f ca="1"/>
        <v>0</v>
      </c>
      <c r="P780" s="128" t="str">
        <f ca="1"/>
        <v/>
      </c>
      <c r="Q780" s="129" t="str">
        <f ca="1"/>
        <v/>
      </c>
      <c r="R780" s="129">
        <f ca="1"/>
        <v>0</v>
      </c>
      <c r="S780" s="89" t="str">
        <f ca="1"/>
        <v/>
      </c>
      <c r="T780" s="143">
        <f ca="1"/>
        <v>0</v>
      </c>
      <c r="U780" s="131">
        <f ca="1"/>
        <v>0</v>
      </c>
      <c r="V780" s="125" t="str">
        <f ca="1"/>
        <v/>
      </c>
      <c r="W780" s="144">
        <f ca="1"/>
        <v>0</v>
      </c>
      <c r="X780" s="143" t="str">
        <f ca="1"/>
        <v/>
      </c>
      <c r="Y780" s="145">
        <f ca="1"/>
        <v>0</v>
      </c>
      <c r="Z780" s="145" t="str">
        <f ca="1"/>
        <v/>
      </c>
      <c r="AA780" s="125" t="str">
        <f ca="1"/>
        <v/>
      </c>
      <c r="AB780" s="125" t="str">
        <f ca="1"/>
        <v/>
      </c>
      <c r="AC780" s="98" t="str">
        <f ca="1"/>
        <v/>
      </c>
      <c r="AD780" s="147" t="e">
        <f ca="1"/>
        <v>#VALUE!</v>
      </c>
    </row>
    <row r="781" spans="1:30">
      <c r="A781" t="str">
        <f ca="1"/>
        <v/>
      </c>
      <c r="B781" t="str">
        <f ca="1"/>
        <v/>
      </c>
      <c r="C781" t="str">
        <f ca="1"/>
        <v/>
      </c>
      <c r="D781" t="str">
        <f ca="1"/>
        <v/>
      </c>
      <c r="E781" t="str">
        <f ca="1"/>
        <v/>
      </c>
      <c r="F781" s="125" t="str">
        <f ca="1"/>
        <v/>
      </c>
      <c r="G781" s="125" t="str">
        <f ca="1"/>
        <v/>
      </c>
      <c r="H781" s="125" t="str">
        <f ca="1"/>
        <v/>
      </c>
      <c r="I781" s="125">
        <f ca="1"/>
        <v>0</v>
      </c>
      <c r="J781" s="125" t="str">
        <f ca="1"/>
        <v/>
      </c>
      <c r="K781" s="126">
        <f ca="1"/>
        <v>0</v>
      </c>
      <c r="L781" s="127" t="str">
        <f ca="1"/>
        <v/>
      </c>
      <c r="M781" s="125" t="str">
        <f ca="1"/>
        <v/>
      </c>
      <c r="N781" s="126" t="str">
        <f ca="1"/>
        <v/>
      </c>
      <c r="O781" s="128">
        <f ca="1"/>
        <v>0</v>
      </c>
      <c r="P781" s="128" t="str">
        <f ca="1"/>
        <v/>
      </c>
      <c r="Q781" s="129" t="str">
        <f ca="1"/>
        <v/>
      </c>
      <c r="R781" s="129">
        <f ca="1"/>
        <v>0</v>
      </c>
      <c r="S781" s="89" t="str">
        <f ca="1"/>
        <v/>
      </c>
      <c r="T781" s="143">
        <f ca="1"/>
        <v>0</v>
      </c>
      <c r="U781" s="131">
        <f ca="1"/>
        <v>0</v>
      </c>
      <c r="V781" s="125" t="str">
        <f ca="1"/>
        <v/>
      </c>
      <c r="W781" s="144">
        <f ca="1"/>
        <v>0</v>
      </c>
      <c r="X781" s="143" t="str">
        <f ca="1"/>
        <v/>
      </c>
      <c r="Y781" s="145">
        <f ca="1"/>
        <v>0</v>
      </c>
      <c r="Z781" s="145" t="str">
        <f ca="1"/>
        <v/>
      </c>
      <c r="AA781" s="125" t="str">
        <f ca="1"/>
        <v/>
      </c>
      <c r="AB781" s="125" t="str">
        <f ca="1"/>
        <v/>
      </c>
      <c r="AC781" s="98" t="str">
        <f ca="1"/>
        <v/>
      </c>
      <c r="AD781" s="147" t="e">
        <f ca="1"/>
        <v>#VALUE!</v>
      </c>
    </row>
    <row r="782" spans="1:30">
      <c r="A782" t="str">
        <f ca="1"/>
        <v/>
      </c>
      <c r="B782" t="str">
        <f ca="1"/>
        <v/>
      </c>
      <c r="C782" t="str">
        <f ca="1"/>
        <v/>
      </c>
      <c r="D782" t="str">
        <f ca="1"/>
        <v/>
      </c>
      <c r="E782" t="str">
        <f ca="1"/>
        <v/>
      </c>
      <c r="F782" s="125" t="str">
        <f ca="1"/>
        <v/>
      </c>
      <c r="G782" s="125" t="str">
        <f ca="1"/>
        <v/>
      </c>
      <c r="H782" s="125" t="str">
        <f ca="1"/>
        <v/>
      </c>
      <c r="I782" s="125">
        <f ca="1"/>
        <v>0</v>
      </c>
      <c r="J782" s="125" t="str">
        <f ca="1"/>
        <v/>
      </c>
      <c r="K782" s="126">
        <f ca="1"/>
        <v>0</v>
      </c>
      <c r="L782" s="127" t="str">
        <f ca="1"/>
        <v/>
      </c>
      <c r="M782" s="125" t="str">
        <f ca="1"/>
        <v/>
      </c>
      <c r="N782" s="126" t="str">
        <f ca="1"/>
        <v/>
      </c>
      <c r="O782" s="128">
        <f ca="1"/>
        <v>0</v>
      </c>
      <c r="P782" s="128" t="str">
        <f ca="1"/>
        <v/>
      </c>
      <c r="Q782" s="129" t="str">
        <f ca="1"/>
        <v/>
      </c>
      <c r="R782" s="129">
        <f ca="1"/>
        <v>0</v>
      </c>
      <c r="S782" s="89" t="str">
        <f ca="1"/>
        <v/>
      </c>
      <c r="T782" s="143">
        <f ca="1"/>
        <v>0</v>
      </c>
      <c r="U782" s="131">
        <f ca="1"/>
        <v>0</v>
      </c>
      <c r="V782" s="125" t="str">
        <f ca="1"/>
        <v/>
      </c>
      <c r="W782" s="144">
        <f ca="1"/>
        <v>0</v>
      </c>
      <c r="X782" s="143" t="str">
        <f ca="1"/>
        <v/>
      </c>
      <c r="Y782" s="145">
        <f ca="1"/>
        <v>0</v>
      </c>
      <c r="Z782" s="145" t="str">
        <f ca="1"/>
        <v/>
      </c>
      <c r="AA782" s="125" t="str">
        <f ca="1"/>
        <v/>
      </c>
      <c r="AB782" s="125" t="str">
        <f ca="1"/>
        <v/>
      </c>
      <c r="AC782" s="98" t="str">
        <f ca="1"/>
        <v/>
      </c>
      <c r="AD782" s="147" t="e">
        <f ca="1"/>
        <v>#VALUE!</v>
      </c>
    </row>
    <row r="783" spans="1:30">
      <c r="A783" t="str">
        <f ca="1"/>
        <v/>
      </c>
      <c r="B783" t="str">
        <f ca="1"/>
        <v/>
      </c>
      <c r="C783" t="str">
        <f ca="1"/>
        <v/>
      </c>
      <c r="D783" t="str">
        <f ca="1"/>
        <v/>
      </c>
      <c r="E783" t="str">
        <f ca="1"/>
        <v/>
      </c>
      <c r="F783" s="125" t="str">
        <f ca="1"/>
        <v/>
      </c>
      <c r="G783" s="125" t="str">
        <f ca="1"/>
        <v/>
      </c>
      <c r="H783" s="125" t="str">
        <f ca="1"/>
        <v/>
      </c>
      <c r="I783" s="125">
        <f ca="1"/>
        <v>0</v>
      </c>
      <c r="J783" s="125" t="str">
        <f ca="1"/>
        <v/>
      </c>
      <c r="K783" s="126">
        <f ca="1"/>
        <v>0</v>
      </c>
      <c r="L783" s="127" t="str">
        <f ca="1"/>
        <v/>
      </c>
      <c r="M783" s="125" t="str">
        <f ca="1"/>
        <v/>
      </c>
      <c r="N783" s="126" t="str">
        <f ca="1"/>
        <v/>
      </c>
      <c r="O783" s="128">
        <f ca="1"/>
        <v>0</v>
      </c>
      <c r="P783" s="128" t="str">
        <f ca="1"/>
        <v/>
      </c>
      <c r="Q783" s="129" t="str">
        <f ca="1"/>
        <v/>
      </c>
      <c r="R783" s="129">
        <f ca="1"/>
        <v>0</v>
      </c>
      <c r="S783" s="89" t="str">
        <f ca="1"/>
        <v/>
      </c>
      <c r="T783" s="143">
        <f ca="1"/>
        <v>0</v>
      </c>
      <c r="U783" s="131">
        <f ca="1"/>
        <v>0</v>
      </c>
      <c r="V783" s="125" t="str">
        <f ca="1"/>
        <v/>
      </c>
      <c r="W783" s="144">
        <f ca="1"/>
        <v>0</v>
      </c>
      <c r="X783" s="143" t="str">
        <f ca="1"/>
        <v/>
      </c>
      <c r="Y783" s="145">
        <f ca="1"/>
        <v>0</v>
      </c>
      <c r="Z783" s="145" t="str">
        <f ca="1"/>
        <v/>
      </c>
      <c r="AA783" s="125" t="str">
        <f ca="1"/>
        <v/>
      </c>
      <c r="AB783" s="125" t="str">
        <f ca="1"/>
        <v/>
      </c>
      <c r="AC783" s="98" t="str">
        <f ca="1"/>
        <v/>
      </c>
      <c r="AD783" s="147" t="e">
        <f ca="1"/>
        <v>#VALUE!</v>
      </c>
    </row>
    <row r="784" spans="1:30">
      <c r="A784" t="str">
        <f ca="1"/>
        <v/>
      </c>
      <c r="B784" t="str">
        <f ca="1"/>
        <v/>
      </c>
      <c r="C784" t="str">
        <f ca="1"/>
        <v/>
      </c>
      <c r="D784" t="str">
        <f ca="1"/>
        <v/>
      </c>
      <c r="E784" t="str">
        <f ca="1"/>
        <v/>
      </c>
      <c r="F784" s="125" t="str">
        <f ca="1"/>
        <v/>
      </c>
      <c r="G784" s="125" t="str">
        <f ca="1"/>
        <v/>
      </c>
      <c r="H784" s="125" t="str">
        <f ca="1"/>
        <v/>
      </c>
      <c r="I784" s="125">
        <f ca="1"/>
        <v>0</v>
      </c>
      <c r="J784" s="125" t="str">
        <f ca="1"/>
        <v/>
      </c>
      <c r="K784" s="126">
        <f ca="1"/>
        <v>0</v>
      </c>
      <c r="L784" s="127" t="str">
        <f ca="1"/>
        <v/>
      </c>
      <c r="M784" s="125" t="str">
        <f ca="1"/>
        <v/>
      </c>
      <c r="N784" s="126" t="str">
        <f ca="1"/>
        <v/>
      </c>
      <c r="O784" s="128">
        <f ca="1"/>
        <v>0</v>
      </c>
      <c r="P784" s="128" t="str">
        <f ca="1"/>
        <v/>
      </c>
      <c r="Q784" s="129" t="str">
        <f ca="1"/>
        <v/>
      </c>
      <c r="R784" s="129">
        <f ca="1"/>
        <v>0</v>
      </c>
      <c r="S784" s="89" t="str">
        <f ca="1"/>
        <v/>
      </c>
      <c r="T784" s="143">
        <f ca="1"/>
        <v>0</v>
      </c>
      <c r="U784" s="131">
        <f ca="1"/>
        <v>0</v>
      </c>
      <c r="V784" s="125" t="str">
        <f ca="1"/>
        <v/>
      </c>
      <c r="W784" s="144">
        <f ca="1"/>
        <v>0</v>
      </c>
      <c r="X784" s="143" t="str">
        <f ca="1"/>
        <v/>
      </c>
      <c r="Y784" s="145">
        <f ca="1"/>
        <v>0</v>
      </c>
      <c r="Z784" s="145" t="str">
        <f ca="1"/>
        <v/>
      </c>
      <c r="AA784" s="125" t="str">
        <f ca="1"/>
        <v/>
      </c>
      <c r="AB784" s="125" t="str">
        <f ca="1"/>
        <v/>
      </c>
      <c r="AC784" s="98" t="str">
        <f ca="1"/>
        <v/>
      </c>
      <c r="AD784" s="147" t="e">
        <f ca="1"/>
        <v>#VALUE!</v>
      </c>
    </row>
    <row r="785" spans="1:30">
      <c r="A785" t="str">
        <f ca="1"/>
        <v/>
      </c>
      <c r="B785" t="str">
        <f ca="1"/>
        <v/>
      </c>
      <c r="C785" t="str">
        <f ca="1"/>
        <v/>
      </c>
      <c r="D785" t="str">
        <f ca="1"/>
        <v/>
      </c>
      <c r="E785" t="str">
        <f ca="1"/>
        <v/>
      </c>
      <c r="F785" s="125" t="str">
        <f ca="1"/>
        <v/>
      </c>
      <c r="G785" s="125" t="str">
        <f ca="1"/>
        <v/>
      </c>
      <c r="H785" s="125" t="str">
        <f ca="1"/>
        <v/>
      </c>
      <c r="I785" s="125">
        <f ca="1"/>
        <v>0</v>
      </c>
      <c r="J785" s="125" t="str">
        <f ca="1"/>
        <v/>
      </c>
      <c r="K785" s="126">
        <f ca="1"/>
        <v>0</v>
      </c>
      <c r="L785" s="127" t="str">
        <f ca="1"/>
        <v/>
      </c>
      <c r="M785" s="125" t="str">
        <f ca="1"/>
        <v/>
      </c>
      <c r="N785" s="126" t="str">
        <f ca="1"/>
        <v/>
      </c>
      <c r="O785" s="128">
        <f ca="1"/>
        <v>0</v>
      </c>
      <c r="P785" s="128" t="str">
        <f ca="1"/>
        <v/>
      </c>
      <c r="Q785" s="129" t="str">
        <f ca="1"/>
        <v/>
      </c>
      <c r="R785" s="129">
        <f ca="1"/>
        <v>0</v>
      </c>
      <c r="S785" s="89" t="str">
        <f ca="1"/>
        <v/>
      </c>
      <c r="T785" s="143">
        <f ca="1"/>
        <v>0</v>
      </c>
      <c r="U785" s="131">
        <f ca="1"/>
        <v>0</v>
      </c>
      <c r="V785" s="125" t="str">
        <f ca="1"/>
        <v/>
      </c>
      <c r="W785" s="144">
        <f ca="1"/>
        <v>0</v>
      </c>
      <c r="X785" s="143" t="str">
        <f ca="1"/>
        <v/>
      </c>
      <c r="Y785" s="145">
        <f ca="1"/>
        <v>0</v>
      </c>
      <c r="Z785" s="145" t="str">
        <f ca="1"/>
        <v/>
      </c>
      <c r="AA785" s="125" t="str">
        <f ca="1"/>
        <v/>
      </c>
      <c r="AB785" s="125" t="str">
        <f ca="1"/>
        <v/>
      </c>
      <c r="AC785" s="98" t="str">
        <f ca="1"/>
        <v/>
      </c>
      <c r="AD785" s="147" t="e">
        <f ca="1"/>
        <v>#VALUE!</v>
      </c>
    </row>
    <row r="786" spans="1:30">
      <c r="A786" t="str">
        <f ca="1"/>
        <v/>
      </c>
      <c r="B786" t="str">
        <f ca="1"/>
        <v/>
      </c>
      <c r="C786" t="str">
        <f ca="1"/>
        <v/>
      </c>
      <c r="D786" t="str">
        <f ca="1"/>
        <v/>
      </c>
      <c r="E786" t="str">
        <f ca="1"/>
        <v/>
      </c>
      <c r="F786" s="125" t="str">
        <f ca="1"/>
        <v/>
      </c>
      <c r="G786" s="125" t="str">
        <f ca="1"/>
        <v/>
      </c>
      <c r="H786" s="125" t="str">
        <f ca="1"/>
        <v/>
      </c>
      <c r="I786" s="125">
        <f ca="1"/>
        <v>0</v>
      </c>
      <c r="J786" s="125" t="str">
        <f ca="1"/>
        <v/>
      </c>
      <c r="K786" s="126">
        <f ca="1"/>
        <v>0</v>
      </c>
      <c r="L786" s="127" t="str">
        <f ca="1"/>
        <v/>
      </c>
      <c r="M786" s="125" t="str">
        <f ca="1"/>
        <v/>
      </c>
      <c r="N786" s="126" t="str">
        <f ca="1"/>
        <v/>
      </c>
      <c r="O786" s="128">
        <f ca="1"/>
        <v>0</v>
      </c>
      <c r="P786" s="128" t="str">
        <f ca="1"/>
        <v/>
      </c>
      <c r="Q786" s="129" t="str">
        <f ca="1"/>
        <v/>
      </c>
      <c r="R786" s="129">
        <f ca="1"/>
        <v>0</v>
      </c>
      <c r="S786" s="89" t="str">
        <f ca="1"/>
        <v/>
      </c>
      <c r="T786" s="143">
        <f ca="1"/>
        <v>0</v>
      </c>
      <c r="U786" s="131">
        <f ca="1"/>
        <v>0</v>
      </c>
      <c r="V786" s="125" t="str">
        <f ca="1"/>
        <v/>
      </c>
      <c r="W786" s="144">
        <f ca="1"/>
        <v>0</v>
      </c>
      <c r="X786" s="143" t="str">
        <f ca="1"/>
        <v/>
      </c>
      <c r="Y786" s="145">
        <f ca="1"/>
        <v>0</v>
      </c>
      <c r="Z786" s="145" t="str">
        <f ca="1"/>
        <v/>
      </c>
      <c r="AA786" s="125" t="str">
        <f ca="1"/>
        <v/>
      </c>
      <c r="AB786" s="125" t="str">
        <f ca="1"/>
        <v/>
      </c>
      <c r="AC786" s="98" t="str">
        <f ca="1"/>
        <v/>
      </c>
      <c r="AD786" s="147" t="e">
        <f ca="1"/>
        <v>#VALUE!</v>
      </c>
    </row>
    <row r="787" spans="1:30">
      <c r="A787" t="str">
        <f ca="1"/>
        <v/>
      </c>
      <c r="B787" t="str">
        <f ca="1"/>
        <v/>
      </c>
      <c r="C787" t="str">
        <f ca="1"/>
        <v/>
      </c>
      <c r="D787" t="str">
        <f ca="1"/>
        <v/>
      </c>
      <c r="E787" t="str">
        <f ca="1"/>
        <v/>
      </c>
      <c r="F787" s="125" t="str">
        <f ca="1"/>
        <v/>
      </c>
      <c r="G787" s="125" t="str">
        <f ca="1"/>
        <v/>
      </c>
      <c r="H787" s="125" t="str">
        <f ca="1"/>
        <v/>
      </c>
      <c r="I787" s="125">
        <f ca="1"/>
        <v>0</v>
      </c>
      <c r="J787" s="125" t="str">
        <f ca="1"/>
        <v/>
      </c>
      <c r="K787" s="126">
        <f ca="1"/>
        <v>0</v>
      </c>
      <c r="L787" s="127" t="str">
        <f ca="1"/>
        <v/>
      </c>
      <c r="M787" s="125" t="str">
        <f ca="1"/>
        <v/>
      </c>
      <c r="N787" s="126" t="str">
        <f ca="1"/>
        <v/>
      </c>
      <c r="O787" s="128">
        <f ca="1"/>
        <v>0</v>
      </c>
      <c r="P787" s="128" t="str">
        <f ca="1"/>
        <v/>
      </c>
      <c r="Q787" s="129" t="str">
        <f ca="1"/>
        <v/>
      </c>
      <c r="R787" s="129">
        <f ca="1"/>
        <v>0</v>
      </c>
      <c r="S787" s="89" t="str">
        <f ca="1"/>
        <v/>
      </c>
      <c r="T787" s="143">
        <f ca="1"/>
        <v>0</v>
      </c>
      <c r="U787" s="131">
        <f ca="1"/>
        <v>0</v>
      </c>
      <c r="V787" s="125" t="str">
        <f ca="1"/>
        <v/>
      </c>
      <c r="W787" s="144">
        <f ca="1"/>
        <v>0</v>
      </c>
      <c r="X787" s="143" t="str">
        <f ca="1"/>
        <v/>
      </c>
      <c r="Y787" s="145">
        <f ca="1"/>
        <v>0</v>
      </c>
      <c r="Z787" s="145" t="str">
        <f ca="1"/>
        <v/>
      </c>
      <c r="AA787" s="125" t="str">
        <f ca="1"/>
        <v/>
      </c>
      <c r="AB787" s="125" t="str">
        <f ca="1"/>
        <v/>
      </c>
      <c r="AC787" s="98" t="str">
        <f ca="1"/>
        <v/>
      </c>
      <c r="AD787" s="147" t="e">
        <f ca="1"/>
        <v>#VALUE!</v>
      </c>
    </row>
    <row r="788" spans="1:30">
      <c r="A788" t="str">
        <f ca="1"/>
        <v/>
      </c>
      <c r="B788" t="str">
        <f ca="1"/>
        <v/>
      </c>
      <c r="C788" t="str">
        <f ca="1"/>
        <v/>
      </c>
      <c r="D788" t="str">
        <f ca="1"/>
        <v/>
      </c>
      <c r="E788" t="str">
        <f ca="1"/>
        <v/>
      </c>
      <c r="F788" s="125" t="str">
        <f ca="1"/>
        <v/>
      </c>
      <c r="G788" s="125" t="str">
        <f ca="1"/>
        <v/>
      </c>
      <c r="H788" s="125" t="str">
        <f ca="1"/>
        <v/>
      </c>
      <c r="I788" s="125">
        <f ca="1"/>
        <v>0</v>
      </c>
      <c r="J788" s="125" t="str">
        <f ca="1"/>
        <v/>
      </c>
      <c r="K788" s="126">
        <f ca="1"/>
        <v>0</v>
      </c>
      <c r="L788" s="127" t="str">
        <f ca="1"/>
        <v/>
      </c>
      <c r="M788" s="125" t="str">
        <f ca="1"/>
        <v/>
      </c>
      <c r="N788" s="126" t="str">
        <f ca="1"/>
        <v/>
      </c>
      <c r="O788" s="128">
        <f ca="1"/>
        <v>0</v>
      </c>
      <c r="P788" s="128" t="str">
        <f ca="1"/>
        <v/>
      </c>
      <c r="Q788" s="129" t="str">
        <f ca="1"/>
        <v/>
      </c>
      <c r="R788" s="129">
        <f ca="1"/>
        <v>0</v>
      </c>
      <c r="S788" s="89" t="str">
        <f ca="1"/>
        <v/>
      </c>
      <c r="T788" s="143">
        <f ca="1"/>
        <v>0</v>
      </c>
      <c r="U788" s="131">
        <f ca="1"/>
        <v>0</v>
      </c>
      <c r="V788" s="125" t="str">
        <f ca="1"/>
        <v/>
      </c>
      <c r="W788" s="144">
        <f ca="1"/>
        <v>0</v>
      </c>
      <c r="X788" s="143" t="str">
        <f ca="1"/>
        <v/>
      </c>
      <c r="Y788" s="145">
        <f ca="1"/>
        <v>0</v>
      </c>
      <c r="Z788" s="145" t="str">
        <f ca="1"/>
        <v/>
      </c>
      <c r="AA788" s="125" t="str">
        <f ca="1"/>
        <v/>
      </c>
      <c r="AB788" s="125" t="str">
        <f ca="1"/>
        <v/>
      </c>
      <c r="AC788" s="98" t="str">
        <f ca="1"/>
        <v/>
      </c>
      <c r="AD788" s="147" t="e">
        <f ca="1"/>
        <v>#VALUE!</v>
      </c>
    </row>
    <row r="789" spans="1:30">
      <c r="A789" t="str">
        <f ca="1"/>
        <v/>
      </c>
      <c r="B789" t="str">
        <f ca="1"/>
        <v/>
      </c>
      <c r="C789" t="str">
        <f ca="1"/>
        <v/>
      </c>
      <c r="D789" t="str">
        <f ca="1"/>
        <v/>
      </c>
      <c r="E789" t="str">
        <f ca="1"/>
        <v/>
      </c>
      <c r="F789" s="125" t="str">
        <f ca="1"/>
        <v/>
      </c>
      <c r="G789" s="125" t="str">
        <f ca="1"/>
        <v/>
      </c>
      <c r="H789" s="125" t="str">
        <f ca="1"/>
        <v/>
      </c>
      <c r="I789" s="125">
        <f ca="1"/>
        <v>0</v>
      </c>
      <c r="J789" s="125" t="str">
        <f ca="1"/>
        <v/>
      </c>
      <c r="K789" s="126">
        <f ca="1"/>
        <v>0</v>
      </c>
      <c r="L789" s="127" t="str">
        <f ca="1"/>
        <v/>
      </c>
      <c r="M789" s="125" t="str">
        <f ca="1"/>
        <v/>
      </c>
      <c r="N789" s="126" t="str">
        <f ca="1"/>
        <v/>
      </c>
      <c r="O789" s="128">
        <f ca="1"/>
        <v>0</v>
      </c>
      <c r="P789" s="128" t="str">
        <f ca="1"/>
        <v/>
      </c>
      <c r="Q789" s="129" t="str">
        <f ca="1"/>
        <v/>
      </c>
      <c r="R789" s="129">
        <f ca="1"/>
        <v>0</v>
      </c>
      <c r="S789" s="89" t="str">
        <f ca="1"/>
        <v/>
      </c>
      <c r="T789" s="143">
        <f ca="1"/>
        <v>0</v>
      </c>
      <c r="U789" s="131">
        <f ca="1"/>
        <v>0</v>
      </c>
      <c r="V789" s="125" t="str">
        <f ca="1"/>
        <v/>
      </c>
      <c r="W789" s="144">
        <f ca="1"/>
        <v>0</v>
      </c>
      <c r="X789" s="143" t="str">
        <f ca="1"/>
        <v/>
      </c>
      <c r="Y789" s="145">
        <f ca="1"/>
        <v>0</v>
      </c>
      <c r="Z789" s="145" t="str">
        <f ca="1"/>
        <v/>
      </c>
      <c r="AA789" s="125" t="str">
        <f ca="1"/>
        <v/>
      </c>
      <c r="AB789" s="125" t="str">
        <f ca="1"/>
        <v/>
      </c>
      <c r="AC789" s="98" t="str">
        <f ca="1"/>
        <v/>
      </c>
      <c r="AD789" s="147" t="e">
        <f ca="1"/>
        <v>#VALUE!</v>
      </c>
    </row>
    <row r="790" spans="1:30">
      <c r="A790" t="str">
        <f ca="1"/>
        <v/>
      </c>
      <c r="B790" t="str">
        <f ca="1"/>
        <v/>
      </c>
      <c r="C790" t="str">
        <f ca="1"/>
        <v/>
      </c>
      <c r="D790" t="str">
        <f ca="1"/>
        <v/>
      </c>
      <c r="E790" t="str">
        <f ca="1"/>
        <v/>
      </c>
      <c r="F790" s="125" t="str">
        <f ca="1"/>
        <v/>
      </c>
      <c r="G790" s="125" t="str">
        <f ca="1"/>
        <v/>
      </c>
      <c r="H790" s="125" t="str">
        <f ca="1"/>
        <v/>
      </c>
      <c r="I790" s="125">
        <f ca="1"/>
        <v>0</v>
      </c>
      <c r="J790" s="125" t="str">
        <f ca="1"/>
        <v/>
      </c>
      <c r="K790" s="126">
        <f ca="1"/>
        <v>0</v>
      </c>
      <c r="L790" s="127" t="str">
        <f ca="1"/>
        <v/>
      </c>
      <c r="M790" s="125" t="str">
        <f ca="1"/>
        <v/>
      </c>
      <c r="N790" s="126" t="str">
        <f ca="1"/>
        <v/>
      </c>
      <c r="O790" s="128">
        <f ca="1"/>
        <v>0</v>
      </c>
      <c r="P790" s="128" t="str">
        <f ca="1"/>
        <v/>
      </c>
      <c r="Q790" s="129" t="str">
        <f ca="1"/>
        <v/>
      </c>
      <c r="R790" s="129">
        <f ca="1"/>
        <v>0</v>
      </c>
      <c r="S790" s="89" t="str">
        <f ca="1"/>
        <v/>
      </c>
      <c r="T790" s="143">
        <f ca="1"/>
        <v>0</v>
      </c>
      <c r="U790" s="131">
        <f ca="1"/>
        <v>0</v>
      </c>
      <c r="V790" s="125" t="str">
        <f ca="1"/>
        <v/>
      </c>
      <c r="W790" s="144">
        <f ca="1"/>
        <v>0</v>
      </c>
      <c r="X790" s="143" t="str">
        <f ca="1"/>
        <v/>
      </c>
      <c r="Y790" s="145">
        <f ca="1"/>
        <v>0</v>
      </c>
      <c r="Z790" s="145" t="str">
        <f ca="1"/>
        <v/>
      </c>
      <c r="AA790" s="125" t="str">
        <f ca="1"/>
        <v/>
      </c>
      <c r="AB790" s="125" t="str">
        <f ca="1"/>
        <v/>
      </c>
      <c r="AC790" s="98" t="str">
        <f ca="1"/>
        <v/>
      </c>
      <c r="AD790" s="147" t="e">
        <f ca="1"/>
        <v>#VALUE!</v>
      </c>
    </row>
    <row r="791" spans="1:30">
      <c r="A791" t="str">
        <f ca="1"/>
        <v/>
      </c>
      <c r="B791" t="str">
        <f ca="1"/>
        <v/>
      </c>
      <c r="C791" t="str">
        <f ca="1"/>
        <v/>
      </c>
      <c r="D791" t="str">
        <f ca="1"/>
        <v/>
      </c>
      <c r="E791" t="str">
        <f ca="1"/>
        <v/>
      </c>
      <c r="F791" s="125" t="str">
        <f ca="1"/>
        <v/>
      </c>
      <c r="G791" s="125" t="str">
        <f ca="1"/>
        <v/>
      </c>
      <c r="H791" s="125" t="str">
        <f ca="1"/>
        <v/>
      </c>
      <c r="I791" s="125">
        <f ca="1"/>
        <v>0</v>
      </c>
      <c r="J791" s="125" t="str">
        <f ca="1"/>
        <v/>
      </c>
      <c r="K791" s="126">
        <f ca="1"/>
        <v>0</v>
      </c>
      <c r="L791" s="127" t="str">
        <f ca="1"/>
        <v/>
      </c>
      <c r="M791" s="125" t="str">
        <f ca="1"/>
        <v/>
      </c>
      <c r="N791" s="126" t="str">
        <f ca="1"/>
        <v/>
      </c>
      <c r="O791" s="128">
        <f ca="1"/>
        <v>0</v>
      </c>
      <c r="P791" s="128" t="str">
        <f ca="1"/>
        <v/>
      </c>
      <c r="Q791" s="129" t="str">
        <f ca="1"/>
        <v/>
      </c>
      <c r="R791" s="129">
        <f ca="1"/>
        <v>0</v>
      </c>
      <c r="S791" s="89" t="str">
        <f ca="1"/>
        <v/>
      </c>
      <c r="T791" s="143">
        <f ca="1"/>
        <v>0</v>
      </c>
      <c r="U791" s="131">
        <f ca="1"/>
        <v>0</v>
      </c>
      <c r="V791" s="125" t="str">
        <f ca="1"/>
        <v/>
      </c>
      <c r="W791" s="144">
        <f ca="1"/>
        <v>0</v>
      </c>
      <c r="X791" s="143" t="str">
        <f ca="1"/>
        <v/>
      </c>
      <c r="Y791" s="145">
        <f ca="1"/>
        <v>0</v>
      </c>
      <c r="Z791" s="145" t="str">
        <f ca="1"/>
        <v/>
      </c>
      <c r="AA791" s="125" t="str">
        <f ca="1"/>
        <v/>
      </c>
      <c r="AB791" s="125" t="str">
        <f ca="1"/>
        <v/>
      </c>
      <c r="AC791" s="98" t="str">
        <f ca="1"/>
        <v/>
      </c>
      <c r="AD791" s="147" t="e">
        <f ca="1"/>
        <v>#VALUE!</v>
      </c>
    </row>
    <row r="792" spans="1:30">
      <c r="A792" t="str">
        <f ca="1"/>
        <v/>
      </c>
      <c r="B792" t="str">
        <f ca="1"/>
        <v/>
      </c>
      <c r="C792" t="str">
        <f ca="1"/>
        <v/>
      </c>
      <c r="D792" t="str">
        <f ca="1"/>
        <v/>
      </c>
      <c r="E792" t="str">
        <f ca="1"/>
        <v/>
      </c>
      <c r="F792" s="125" t="str">
        <f ca="1"/>
        <v/>
      </c>
      <c r="G792" s="125" t="str">
        <f ca="1"/>
        <v/>
      </c>
      <c r="H792" s="125" t="str">
        <f ca="1"/>
        <v/>
      </c>
      <c r="I792" s="125">
        <f ca="1"/>
        <v>0</v>
      </c>
      <c r="J792" s="125" t="str">
        <f ca="1"/>
        <v/>
      </c>
      <c r="K792" s="126">
        <f ca="1"/>
        <v>0</v>
      </c>
      <c r="L792" s="127" t="str">
        <f ca="1"/>
        <v/>
      </c>
      <c r="M792" s="125" t="str">
        <f ca="1"/>
        <v/>
      </c>
      <c r="N792" s="126" t="str">
        <f ca="1"/>
        <v/>
      </c>
      <c r="O792" s="128">
        <f ca="1"/>
        <v>0</v>
      </c>
      <c r="P792" s="128" t="str">
        <f ca="1"/>
        <v/>
      </c>
      <c r="Q792" s="129" t="str">
        <f ca="1"/>
        <v/>
      </c>
      <c r="R792" s="129">
        <f ca="1"/>
        <v>0</v>
      </c>
      <c r="S792" s="89" t="str">
        <f ca="1"/>
        <v/>
      </c>
      <c r="T792" s="143">
        <f ca="1"/>
        <v>0</v>
      </c>
      <c r="U792" s="131">
        <f ca="1"/>
        <v>0</v>
      </c>
      <c r="V792" s="125" t="str">
        <f ca="1"/>
        <v/>
      </c>
      <c r="W792" s="144">
        <f ca="1"/>
        <v>0</v>
      </c>
      <c r="X792" s="143" t="str">
        <f ca="1"/>
        <v/>
      </c>
      <c r="Y792" s="145">
        <f ca="1"/>
        <v>0</v>
      </c>
      <c r="Z792" s="145" t="str">
        <f ca="1"/>
        <v/>
      </c>
      <c r="AA792" s="125" t="str">
        <f ca="1"/>
        <v/>
      </c>
      <c r="AB792" s="125" t="str">
        <f ca="1"/>
        <v/>
      </c>
      <c r="AC792" s="98" t="str">
        <f ca="1"/>
        <v/>
      </c>
      <c r="AD792" s="147" t="e">
        <f ca="1"/>
        <v>#VALUE!</v>
      </c>
    </row>
    <row r="793" spans="1:30">
      <c r="A793" t="str">
        <f ca="1"/>
        <v/>
      </c>
      <c r="B793" t="str">
        <f ca="1"/>
        <v/>
      </c>
      <c r="C793" t="str">
        <f ca="1"/>
        <v/>
      </c>
      <c r="D793" t="str">
        <f ca="1"/>
        <v/>
      </c>
      <c r="E793" t="str">
        <f ca="1"/>
        <v/>
      </c>
      <c r="F793" s="125" t="str">
        <f ca="1"/>
        <v/>
      </c>
      <c r="G793" s="125" t="str">
        <f ca="1"/>
        <v/>
      </c>
      <c r="H793" s="125" t="str">
        <f ca="1"/>
        <v/>
      </c>
      <c r="I793" s="125">
        <f ca="1"/>
        <v>0</v>
      </c>
      <c r="J793" s="125" t="str">
        <f ca="1"/>
        <v/>
      </c>
      <c r="K793" s="126">
        <f ca="1"/>
        <v>0</v>
      </c>
      <c r="L793" s="127" t="str">
        <f ca="1"/>
        <v/>
      </c>
      <c r="M793" s="125" t="str">
        <f ca="1"/>
        <v/>
      </c>
      <c r="N793" s="126" t="str">
        <f ca="1"/>
        <v/>
      </c>
      <c r="O793" s="128">
        <f ca="1"/>
        <v>0</v>
      </c>
      <c r="P793" s="128" t="str">
        <f ca="1"/>
        <v/>
      </c>
      <c r="Q793" s="129" t="str">
        <f ca="1"/>
        <v/>
      </c>
      <c r="R793" s="129">
        <f ca="1"/>
        <v>0</v>
      </c>
      <c r="S793" s="89" t="str">
        <f ca="1"/>
        <v/>
      </c>
      <c r="T793" s="143">
        <f ca="1"/>
        <v>0</v>
      </c>
      <c r="U793" s="131">
        <f ca="1"/>
        <v>0</v>
      </c>
      <c r="V793" s="125" t="str">
        <f ca="1"/>
        <v/>
      </c>
      <c r="W793" s="144">
        <f ca="1"/>
        <v>0</v>
      </c>
      <c r="X793" s="143" t="str">
        <f ca="1"/>
        <v/>
      </c>
      <c r="Y793" s="145">
        <f ca="1"/>
        <v>0</v>
      </c>
      <c r="Z793" s="145" t="str">
        <f ca="1"/>
        <v/>
      </c>
      <c r="AA793" s="125" t="str">
        <f ca="1"/>
        <v/>
      </c>
      <c r="AB793" s="125" t="str">
        <f ca="1"/>
        <v/>
      </c>
      <c r="AC793" s="98" t="str">
        <f ca="1"/>
        <v/>
      </c>
      <c r="AD793" s="147" t="e">
        <f ca="1"/>
        <v>#VALUE!</v>
      </c>
    </row>
    <row r="794" spans="1:30">
      <c r="A794" t="str">
        <f ca="1"/>
        <v/>
      </c>
      <c r="B794" t="str">
        <f ca="1"/>
        <v/>
      </c>
      <c r="C794" t="str">
        <f ca="1"/>
        <v/>
      </c>
      <c r="D794" t="str">
        <f ca="1"/>
        <v/>
      </c>
      <c r="E794" t="str">
        <f ca="1"/>
        <v/>
      </c>
      <c r="F794" s="125" t="str">
        <f ca="1"/>
        <v/>
      </c>
      <c r="G794" s="125" t="str">
        <f ca="1"/>
        <v/>
      </c>
      <c r="H794" s="125" t="str">
        <f ca="1"/>
        <v/>
      </c>
      <c r="I794" s="125">
        <f ca="1"/>
        <v>0</v>
      </c>
      <c r="J794" s="125" t="str">
        <f ca="1"/>
        <v/>
      </c>
      <c r="K794" s="126">
        <f ca="1"/>
        <v>0</v>
      </c>
      <c r="L794" s="127" t="str">
        <f ca="1"/>
        <v/>
      </c>
      <c r="M794" s="125" t="str">
        <f ca="1"/>
        <v/>
      </c>
      <c r="N794" s="126" t="str">
        <f ca="1"/>
        <v/>
      </c>
      <c r="O794" s="128">
        <f ca="1"/>
        <v>0</v>
      </c>
      <c r="P794" s="128" t="str">
        <f ca="1"/>
        <v/>
      </c>
      <c r="Q794" s="129" t="str">
        <f ca="1"/>
        <v/>
      </c>
      <c r="R794" s="129">
        <f ca="1"/>
        <v>0</v>
      </c>
      <c r="S794" s="89" t="str">
        <f ca="1"/>
        <v/>
      </c>
      <c r="T794" s="143">
        <f ca="1"/>
        <v>0</v>
      </c>
      <c r="U794" s="131">
        <f ca="1"/>
        <v>0</v>
      </c>
      <c r="V794" s="125" t="str">
        <f ca="1"/>
        <v/>
      </c>
      <c r="W794" s="144">
        <f ca="1"/>
        <v>0</v>
      </c>
      <c r="X794" s="143" t="str">
        <f ca="1"/>
        <v/>
      </c>
      <c r="Y794" s="145">
        <f ca="1"/>
        <v>0</v>
      </c>
      <c r="Z794" s="145" t="str">
        <f ca="1"/>
        <v/>
      </c>
      <c r="AA794" s="125" t="str">
        <f ca="1"/>
        <v/>
      </c>
      <c r="AB794" s="125" t="str">
        <f ca="1"/>
        <v/>
      </c>
      <c r="AC794" s="98" t="str">
        <f ca="1"/>
        <v/>
      </c>
      <c r="AD794" s="147" t="e">
        <f ca="1"/>
        <v>#VALUE!</v>
      </c>
    </row>
    <row r="795" spans="1:30">
      <c r="A795" t="str">
        <f ca="1"/>
        <v/>
      </c>
      <c r="B795" t="str">
        <f ca="1"/>
        <v/>
      </c>
      <c r="C795" t="str">
        <f ca="1"/>
        <v/>
      </c>
      <c r="D795" t="str">
        <f ca="1"/>
        <v/>
      </c>
      <c r="E795" t="str">
        <f ca="1"/>
        <v/>
      </c>
      <c r="F795" s="125" t="str">
        <f ca="1"/>
        <v/>
      </c>
      <c r="G795" s="125" t="str">
        <f ca="1"/>
        <v/>
      </c>
      <c r="H795" s="125" t="str">
        <f ca="1"/>
        <v/>
      </c>
      <c r="I795" s="125">
        <f ca="1"/>
        <v>0</v>
      </c>
      <c r="J795" s="125" t="str">
        <f ca="1"/>
        <v/>
      </c>
      <c r="K795" s="126">
        <f ca="1"/>
        <v>0</v>
      </c>
      <c r="L795" s="127" t="str">
        <f ca="1"/>
        <v/>
      </c>
      <c r="M795" s="125" t="str">
        <f ca="1"/>
        <v/>
      </c>
      <c r="N795" s="126" t="str">
        <f ca="1"/>
        <v/>
      </c>
      <c r="O795" s="128">
        <f ca="1"/>
        <v>0</v>
      </c>
      <c r="P795" s="128" t="str">
        <f ca="1"/>
        <v/>
      </c>
      <c r="Q795" s="129" t="str">
        <f ca="1"/>
        <v/>
      </c>
      <c r="R795" s="129">
        <f ca="1"/>
        <v>0</v>
      </c>
      <c r="S795" s="89" t="str">
        <f ca="1"/>
        <v/>
      </c>
      <c r="T795" s="143">
        <f ca="1"/>
        <v>0</v>
      </c>
      <c r="U795" s="131">
        <f ca="1"/>
        <v>0</v>
      </c>
      <c r="V795" s="125" t="str">
        <f ca="1"/>
        <v/>
      </c>
      <c r="W795" s="144">
        <f ca="1"/>
        <v>0</v>
      </c>
      <c r="X795" s="143" t="str">
        <f ca="1"/>
        <v/>
      </c>
      <c r="Y795" s="145">
        <f ca="1"/>
        <v>0</v>
      </c>
      <c r="Z795" s="145" t="str">
        <f ca="1"/>
        <v/>
      </c>
      <c r="AA795" s="125" t="str">
        <f ca="1"/>
        <v/>
      </c>
      <c r="AB795" s="125" t="str">
        <f ca="1"/>
        <v/>
      </c>
      <c r="AC795" s="98" t="str">
        <f ca="1"/>
        <v/>
      </c>
      <c r="AD795" s="147" t="e">
        <f ca="1"/>
        <v>#VALUE!</v>
      </c>
    </row>
    <row r="796" spans="1:30">
      <c r="A796" t="str">
        <f ca="1"/>
        <v/>
      </c>
      <c r="B796" t="str">
        <f ca="1"/>
        <v/>
      </c>
      <c r="C796" t="str">
        <f ca="1"/>
        <v/>
      </c>
      <c r="D796" t="str">
        <f ca="1"/>
        <v/>
      </c>
      <c r="E796" t="str">
        <f ca="1"/>
        <v/>
      </c>
      <c r="F796" s="125" t="str">
        <f ca="1"/>
        <v/>
      </c>
      <c r="G796" s="125" t="str">
        <f ca="1"/>
        <v/>
      </c>
      <c r="H796" s="125" t="str">
        <f ca="1"/>
        <v/>
      </c>
      <c r="I796" s="125">
        <f ca="1"/>
        <v>0</v>
      </c>
      <c r="J796" s="125" t="str">
        <f ca="1"/>
        <v/>
      </c>
      <c r="K796" s="126">
        <f ca="1"/>
        <v>0</v>
      </c>
      <c r="L796" s="127" t="str">
        <f ca="1"/>
        <v/>
      </c>
      <c r="M796" s="125" t="str">
        <f ca="1"/>
        <v/>
      </c>
      <c r="N796" s="126" t="str">
        <f ca="1"/>
        <v/>
      </c>
      <c r="O796" s="128">
        <f ca="1"/>
        <v>0</v>
      </c>
      <c r="P796" s="128" t="str">
        <f ca="1"/>
        <v/>
      </c>
      <c r="Q796" s="129" t="str">
        <f ca="1"/>
        <v/>
      </c>
      <c r="R796" s="129">
        <f ca="1"/>
        <v>0</v>
      </c>
      <c r="S796" s="89" t="str">
        <f ca="1"/>
        <v/>
      </c>
      <c r="T796" s="143">
        <f ca="1"/>
        <v>0</v>
      </c>
      <c r="U796" s="131">
        <f ca="1"/>
        <v>0</v>
      </c>
      <c r="V796" s="125" t="str">
        <f ca="1"/>
        <v/>
      </c>
      <c r="W796" s="144">
        <f ca="1"/>
        <v>0</v>
      </c>
      <c r="X796" s="143" t="str">
        <f ca="1"/>
        <v/>
      </c>
      <c r="Y796" s="145">
        <f ca="1"/>
        <v>0</v>
      </c>
      <c r="Z796" s="145" t="str">
        <f ca="1"/>
        <v/>
      </c>
      <c r="AA796" s="125" t="str">
        <f ca="1"/>
        <v/>
      </c>
      <c r="AB796" s="125" t="str">
        <f ca="1"/>
        <v/>
      </c>
      <c r="AC796" s="98" t="str">
        <f ca="1"/>
        <v/>
      </c>
      <c r="AD796" s="147" t="e">
        <f ca="1"/>
        <v>#VALUE!</v>
      </c>
    </row>
    <row r="797" spans="1:30">
      <c r="A797" t="str">
        <f ca="1"/>
        <v/>
      </c>
      <c r="B797" t="str">
        <f ca="1"/>
        <v/>
      </c>
      <c r="C797" t="str">
        <f ca="1"/>
        <v/>
      </c>
      <c r="D797" t="str">
        <f ca="1"/>
        <v/>
      </c>
      <c r="E797" t="str">
        <f ca="1"/>
        <v/>
      </c>
      <c r="F797" s="125" t="str">
        <f ca="1"/>
        <v/>
      </c>
      <c r="G797" s="125" t="str">
        <f ca="1"/>
        <v/>
      </c>
      <c r="H797" s="125" t="str">
        <f ca="1"/>
        <v/>
      </c>
      <c r="I797" s="125">
        <f ca="1"/>
        <v>0</v>
      </c>
      <c r="J797" s="125" t="str">
        <f ca="1"/>
        <v/>
      </c>
      <c r="K797" s="126">
        <f ca="1"/>
        <v>0</v>
      </c>
      <c r="L797" s="127" t="str">
        <f ca="1"/>
        <v/>
      </c>
      <c r="M797" s="125" t="str">
        <f ca="1"/>
        <v/>
      </c>
      <c r="N797" s="126" t="str">
        <f ca="1"/>
        <v/>
      </c>
      <c r="O797" s="128">
        <f ca="1"/>
        <v>0</v>
      </c>
      <c r="P797" s="128" t="str">
        <f ca="1"/>
        <v/>
      </c>
      <c r="Q797" s="129" t="str">
        <f ca="1"/>
        <v/>
      </c>
      <c r="R797" s="129">
        <f ca="1"/>
        <v>0</v>
      </c>
      <c r="S797" s="89" t="str">
        <f ca="1"/>
        <v/>
      </c>
      <c r="T797" s="143">
        <f ca="1"/>
        <v>0</v>
      </c>
      <c r="U797" s="131">
        <f ca="1"/>
        <v>0</v>
      </c>
      <c r="V797" s="125" t="str">
        <f ca="1"/>
        <v/>
      </c>
      <c r="W797" s="144">
        <f ca="1"/>
        <v>0</v>
      </c>
      <c r="X797" s="143" t="str">
        <f ca="1"/>
        <v/>
      </c>
      <c r="Y797" s="145">
        <f ca="1"/>
        <v>0</v>
      </c>
      <c r="Z797" s="145" t="str">
        <f ca="1"/>
        <v/>
      </c>
      <c r="AA797" s="125" t="str">
        <f ca="1"/>
        <v/>
      </c>
      <c r="AB797" s="125" t="str">
        <f ca="1"/>
        <v/>
      </c>
      <c r="AC797" s="98" t="str">
        <f ca="1"/>
        <v/>
      </c>
      <c r="AD797" s="147" t="e">
        <f ca="1"/>
        <v>#VALUE!</v>
      </c>
    </row>
    <row r="798" spans="1:30">
      <c r="A798" t="str">
        <f ca="1"/>
        <v/>
      </c>
      <c r="B798" t="str">
        <f ca="1"/>
        <v/>
      </c>
      <c r="C798" t="str">
        <f ca="1"/>
        <v/>
      </c>
      <c r="D798" t="str">
        <f ca="1"/>
        <v/>
      </c>
      <c r="E798" t="str">
        <f ca="1"/>
        <v/>
      </c>
      <c r="F798" s="125" t="str">
        <f ca="1"/>
        <v/>
      </c>
      <c r="G798" s="125" t="str">
        <f ca="1"/>
        <v/>
      </c>
      <c r="H798" s="125" t="str">
        <f ca="1"/>
        <v/>
      </c>
      <c r="I798" s="125">
        <f ca="1"/>
        <v>0</v>
      </c>
      <c r="J798" s="125" t="str">
        <f ca="1"/>
        <v/>
      </c>
      <c r="K798" s="126">
        <f ca="1"/>
        <v>0</v>
      </c>
      <c r="L798" s="127" t="str">
        <f ca="1"/>
        <v/>
      </c>
      <c r="M798" s="125" t="str">
        <f ca="1"/>
        <v/>
      </c>
      <c r="N798" s="126" t="str">
        <f ca="1"/>
        <v/>
      </c>
      <c r="O798" s="128">
        <f ca="1"/>
        <v>0</v>
      </c>
      <c r="P798" s="128" t="str">
        <f ca="1"/>
        <v/>
      </c>
      <c r="Q798" s="129" t="str">
        <f ca="1"/>
        <v/>
      </c>
      <c r="R798" s="129">
        <f ca="1"/>
        <v>0</v>
      </c>
      <c r="S798" s="89" t="str">
        <f ca="1"/>
        <v/>
      </c>
      <c r="T798" s="143">
        <f ca="1"/>
        <v>0</v>
      </c>
      <c r="U798" s="131">
        <f ca="1"/>
        <v>0</v>
      </c>
      <c r="V798" s="125" t="str">
        <f ca="1"/>
        <v/>
      </c>
      <c r="W798" s="144">
        <f ca="1"/>
        <v>0</v>
      </c>
      <c r="X798" s="143" t="str">
        <f ca="1"/>
        <v/>
      </c>
      <c r="Y798" s="145">
        <f ca="1"/>
        <v>0</v>
      </c>
      <c r="Z798" s="145" t="str">
        <f ca="1"/>
        <v/>
      </c>
      <c r="AA798" s="125" t="str">
        <f ca="1"/>
        <v/>
      </c>
      <c r="AB798" s="125" t="str">
        <f ca="1"/>
        <v/>
      </c>
      <c r="AC798" s="98" t="str">
        <f ca="1"/>
        <v/>
      </c>
      <c r="AD798" s="147" t="e">
        <f ca="1"/>
        <v>#VALUE!</v>
      </c>
    </row>
    <row r="799" spans="1:30">
      <c r="A799" t="str">
        <f ca="1"/>
        <v/>
      </c>
      <c r="B799" t="str">
        <f ca="1"/>
        <v/>
      </c>
      <c r="C799" t="str">
        <f ca="1"/>
        <v/>
      </c>
      <c r="D799" t="str">
        <f ca="1"/>
        <v/>
      </c>
      <c r="E799" t="str">
        <f ca="1"/>
        <v/>
      </c>
      <c r="F799" s="125" t="str">
        <f ca="1"/>
        <v/>
      </c>
      <c r="G799" s="125" t="str">
        <f ca="1"/>
        <v/>
      </c>
      <c r="H799" s="125" t="str">
        <f ca="1"/>
        <v/>
      </c>
      <c r="I799" s="125">
        <f ca="1"/>
        <v>0</v>
      </c>
      <c r="J799" s="125" t="str">
        <f ca="1"/>
        <v/>
      </c>
      <c r="K799" s="126">
        <f ca="1"/>
        <v>0</v>
      </c>
      <c r="L799" s="127" t="str">
        <f ca="1"/>
        <v/>
      </c>
      <c r="M799" s="125" t="str">
        <f ca="1"/>
        <v/>
      </c>
      <c r="N799" s="126" t="str">
        <f ca="1"/>
        <v/>
      </c>
      <c r="O799" s="128">
        <f ca="1"/>
        <v>0</v>
      </c>
      <c r="P799" s="128" t="str">
        <f ca="1"/>
        <v/>
      </c>
      <c r="Q799" s="129" t="str">
        <f ca="1"/>
        <v/>
      </c>
      <c r="R799" s="129">
        <f ca="1"/>
        <v>0</v>
      </c>
      <c r="S799" s="89" t="str">
        <f ca="1"/>
        <v/>
      </c>
      <c r="T799" s="143">
        <f ca="1"/>
        <v>0</v>
      </c>
      <c r="U799" s="131">
        <f ca="1"/>
        <v>0</v>
      </c>
      <c r="V799" s="125" t="str">
        <f ca="1"/>
        <v/>
      </c>
      <c r="W799" s="144">
        <f ca="1"/>
        <v>0</v>
      </c>
      <c r="X799" s="143" t="str">
        <f ca="1"/>
        <v/>
      </c>
      <c r="Y799" s="145">
        <f ca="1"/>
        <v>0</v>
      </c>
      <c r="Z799" s="145" t="str">
        <f ca="1"/>
        <v/>
      </c>
      <c r="AA799" s="125" t="str">
        <f ca="1"/>
        <v/>
      </c>
      <c r="AB799" s="125" t="str">
        <f ca="1"/>
        <v/>
      </c>
      <c r="AC799" s="98" t="str">
        <f ca="1"/>
        <v/>
      </c>
      <c r="AD799" s="147" t="e">
        <f ca="1"/>
        <v>#VALUE!</v>
      </c>
    </row>
    <row r="800" spans="1:30">
      <c r="A800" t="str">
        <f ca="1"/>
        <v/>
      </c>
      <c r="B800" t="str">
        <f ca="1"/>
        <v/>
      </c>
      <c r="C800" t="str">
        <f ca="1"/>
        <v/>
      </c>
      <c r="D800" t="str">
        <f ca="1"/>
        <v/>
      </c>
      <c r="E800" t="str">
        <f ca="1"/>
        <v/>
      </c>
      <c r="F800" s="125" t="str">
        <f ca="1"/>
        <v/>
      </c>
      <c r="G800" s="125" t="str">
        <f ca="1"/>
        <v/>
      </c>
      <c r="H800" s="125" t="str">
        <f ca="1"/>
        <v/>
      </c>
      <c r="I800" s="125">
        <f ca="1"/>
        <v>0</v>
      </c>
      <c r="J800" s="125" t="str">
        <f ca="1"/>
        <v/>
      </c>
      <c r="K800" s="126">
        <f ca="1"/>
        <v>0</v>
      </c>
      <c r="L800" s="127" t="str">
        <f ca="1"/>
        <v/>
      </c>
      <c r="M800" s="125" t="str">
        <f ca="1"/>
        <v/>
      </c>
      <c r="N800" s="126" t="str">
        <f ca="1"/>
        <v/>
      </c>
      <c r="O800" s="128">
        <f ca="1"/>
        <v>0</v>
      </c>
      <c r="P800" s="128" t="str">
        <f ca="1"/>
        <v/>
      </c>
      <c r="Q800" s="129" t="str">
        <f ca="1"/>
        <v/>
      </c>
      <c r="R800" s="129">
        <f ca="1"/>
        <v>0</v>
      </c>
      <c r="S800" s="89" t="str">
        <f ca="1"/>
        <v/>
      </c>
      <c r="T800" s="143">
        <f ca="1"/>
        <v>0</v>
      </c>
      <c r="U800" s="131">
        <f ca="1"/>
        <v>0</v>
      </c>
      <c r="V800" s="125" t="str">
        <f ca="1"/>
        <v/>
      </c>
      <c r="W800" s="144">
        <f ca="1"/>
        <v>0</v>
      </c>
      <c r="X800" s="143" t="str">
        <f ca="1"/>
        <v/>
      </c>
      <c r="Y800" s="145">
        <f ca="1"/>
        <v>0</v>
      </c>
      <c r="Z800" s="145" t="str">
        <f ca="1"/>
        <v/>
      </c>
      <c r="AA800" s="125" t="str">
        <f ca="1"/>
        <v/>
      </c>
      <c r="AB800" s="125" t="str">
        <f ca="1"/>
        <v/>
      </c>
      <c r="AC800" s="98" t="str">
        <f ca="1"/>
        <v/>
      </c>
      <c r="AD800" s="147" t="e">
        <f ca="1"/>
        <v>#VALUE!</v>
      </c>
    </row>
    <row r="801" spans="1:30">
      <c r="A801" t="str">
        <f ca="1"/>
        <v/>
      </c>
      <c r="B801" t="str">
        <f ca="1"/>
        <v/>
      </c>
      <c r="C801" t="str">
        <f ca="1"/>
        <v/>
      </c>
      <c r="D801" t="str">
        <f ca="1"/>
        <v/>
      </c>
      <c r="E801" t="str">
        <f ca="1"/>
        <v/>
      </c>
      <c r="F801" s="125" t="str">
        <f ca="1"/>
        <v/>
      </c>
      <c r="G801" s="125" t="str">
        <f ca="1"/>
        <v/>
      </c>
      <c r="H801" s="125" t="str">
        <f ca="1"/>
        <v/>
      </c>
      <c r="I801" s="125">
        <f ca="1"/>
        <v>0</v>
      </c>
      <c r="J801" s="125" t="str">
        <f ca="1"/>
        <v/>
      </c>
      <c r="K801" s="126">
        <f ca="1"/>
        <v>0</v>
      </c>
      <c r="L801" s="127" t="str">
        <f ca="1"/>
        <v/>
      </c>
      <c r="M801" s="125" t="str">
        <f ca="1"/>
        <v/>
      </c>
      <c r="N801" s="126" t="str">
        <f ca="1"/>
        <v/>
      </c>
      <c r="O801" s="128">
        <f ca="1"/>
        <v>0</v>
      </c>
      <c r="P801" s="128" t="str">
        <f ca="1"/>
        <v/>
      </c>
      <c r="Q801" s="129" t="str">
        <f ca="1"/>
        <v/>
      </c>
      <c r="R801" s="129">
        <f ca="1"/>
        <v>0</v>
      </c>
      <c r="S801" s="89" t="str">
        <f ca="1"/>
        <v/>
      </c>
      <c r="T801" s="143">
        <f ca="1"/>
        <v>0</v>
      </c>
      <c r="U801" s="131">
        <f ca="1"/>
        <v>0</v>
      </c>
      <c r="V801" s="125" t="str">
        <f ca="1"/>
        <v/>
      </c>
      <c r="W801" s="144">
        <f ca="1"/>
        <v>0</v>
      </c>
      <c r="X801" s="143" t="str">
        <f ca="1"/>
        <v/>
      </c>
      <c r="Y801" s="145">
        <f ca="1"/>
        <v>0</v>
      </c>
      <c r="Z801" s="145" t="str">
        <f ca="1"/>
        <v/>
      </c>
      <c r="AA801" s="125" t="str">
        <f ca="1"/>
        <v/>
      </c>
      <c r="AB801" s="125" t="str">
        <f ca="1"/>
        <v/>
      </c>
      <c r="AC801" s="98" t="str">
        <f ca="1"/>
        <v/>
      </c>
      <c r="AD801" s="147" t="e">
        <f ca="1"/>
        <v>#VALUE!</v>
      </c>
    </row>
    <row r="802" spans="1:30">
      <c r="A802" t="str">
        <f ca="1"/>
        <v/>
      </c>
      <c r="B802" t="str">
        <f ca="1"/>
        <v/>
      </c>
      <c r="C802" t="str">
        <f ca="1"/>
        <v/>
      </c>
      <c r="D802" t="str">
        <f ca="1"/>
        <v/>
      </c>
      <c r="E802" t="str">
        <f ca="1"/>
        <v/>
      </c>
      <c r="F802" s="125" t="str">
        <f ca="1"/>
        <v/>
      </c>
      <c r="G802" s="125" t="str">
        <f ca="1"/>
        <v/>
      </c>
      <c r="H802" s="125" t="str">
        <f ca="1"/>
        <v/>
      </c>
      <c r="I802" s="125">
        <f ca="1"/>
        <v>0</v>
      </c>
      <c r="J802" s="125" t="str">
        <f ca="1"/>
        <v/>
      </c>
      <c r="K802" s="126">
        <f ca="1"/>
        <v>0</v>
      </c>
      <c r="L802" s="127" t="str">
        <f ca="1"/>
        <v/>
      </c>
      <c r="M802" s="125" t="str">
        <f ca="1"/>
        <v/>
      </c>
      <c r="N802" s="126" t="str">
        <f ca="1"/>
        <v/>
      </c>
      <c r="O802" s="128">
        <f ca="1"/>
        <v>0</v>
      </c>
      <c r="P802" s="128" t="str">
        <f ca="1"/>
        <v/>
      </c>
      <c r="Q802" s="129" t="str">
        <f ca="1"/>
        <v/>
      </c>
      <c r="R802" s="129">
        <f ca="1"/>
        <v>0</v>
      </c>
      <c r="S802" s="89" t="str">
        <f ca="1"/>
        <v/>
      </c>
      <c r="T802" s="143">
        <f ca="1"/>
        <v>0</v>
      </c>
      <c r="U802" s="131">
        <f ca="1"/>
        <v>0</v>
      </c>
      <c r="V802" s="125" t="str">
        <f ca="1"/>
        <v/>
      </c>
      <c r="W802" s="144">
        <f ca="1"/>
        <v>0</v>
      </c>
      <c r="X802" s="143" t="str">
        <f ca="1"/>
        <v/>
      </c>
      <c r="Y802" s="145">
        <f ca="1"/>
        <v>0</v>
      </c>
      <c r="Z802" s="145" t="str">
        <f ca="1"/>
        <v/>
      </c>
      <c r="AA802" s="125" t="str">
        <f ca="1"/>
        <v/>
      </c>
      <c r="AB802" s="125" t="str">
        <f ca="1"/>
        <v/>
      </c>
      <c r="AC802" s="98" t="str">
        <f ca="1"/>
        <v/>
      </c>
      <c r="AD802" s="147" t="e">
        <f ca="1"/>
        <v>#VALUE!</v>
      </c>
    </row>
    <row r="803" spans="1:30">
      <c r="A803" t="str">
        <f ca="1"/>
        <v/>
      </c>
      <c r="B803" t="str">
        <f ca="1"/>
        <v/>
      </c>
      <c r="C803" t="str">
        <f ca="1"/>
        <v/>
      </c>
      <c r="D803" t="str">
        <f ca="1"/>
        <v/>
      </c>
      <c r="E803" t="str">
        <f ca="1"/>
        <v/>
      </c>
      <c r="F803" s="125" t="str">
        <f ca="1"/>
        <v/>
      </c>
      <c r="G803" s="125" t="str">
        <f ca="1"/>
        <v/>
      </c>
      <c r="H803" s="125" t="str">
        <f ca="1"/>
        <v/>
      </c>
      <c r="I803" s="125">
        <f ca="1"/>
        <v>0</v>
      </c>
      <c r="J803" s="125" t="str">
        <f ca="1"/>
        <v/>
      </c>
      <c r="K803" s="126">
        <f ca="1"/>
        <v>0</v>
      </c>
      <c r="L803" s="127" t="str">
        <f ca="1"/>
        <v/>
      </c>
      <c r="M803" s="125" t="str">
        <f ca="1"/>
        <v/>
      </c>
      <c r="N803" s="126" t="str">
        <f ca="1"/>
        <v/>
      </c>
      <c r="O803" s="128">
        <f ca="1"/>
        <v>0</v>
      </c>
      <c r="P803" s="128" t="str">
        <f ca="1"/>
        <v/>
      </c>
      <c r="Q803" s="129" t="str">
        <f ca="1"/>
        <v/>
      </c>
      <c r="R803" s="129">
        <f ca="1"/>
        <v>0</v>
      </c>
      <c r="S803" s="89" t="str">
        <f ca="1"/>
        <v/>
      </c>
      <c r="T803" s="143">
        <f ca="1"/>
        <v>0</v>
      </c>
      <c r="U803" s="131">
        <f ca="1"/>
        <v>0</v>
      </c>
      <c r="V803" s="125" t="str">
        <f ca="1"/>
        <v/>
      </c>
      <c r="W803" s="144">
        <f ca="1"/>
        <v>0</v>
      </c>
      <c r="X803" s="143" t="str">
        <f ca="1"/>
        <v/>
      </c>
      <c r="Y803" s="145">
        <f ca="1"/>
        <v>0</v>
      </c>
      <c r="Z803" s="145" t="str">
        <f ca="1"/>
        <v/>
      </c>
      <c r="AA803" s="125" t="str">
        <f ca="1"/>
        <v/>
      </c>
      <c r="AB803" s="125" t="str">
        <f ca="1"/>
        <v/>
      </c>
      <c r="AC803" s="98" t="str">
        <f ca="1"/>
        <v/>
      </c>
      <c r="AD803" s="147" t="e">
        <f ca="1"/>
        <v>#VALUE!</v>
      </c>
    </row>
    <row r="804" spans="1:30">
      <c r="A804" t="str">
        <f ca="1"/>
        <v/>
      </c>
      <c r="B804" t="str">
        <f ca="1"/>
        <v/>
      </c>
      <c r="C804" t="str">
        <f ca="1"/>
        <v/>
      </c>
      <c r="D804" t="str">
        <f ca="1"/>
        <v/>
      </c>
      <c r="E804" t="str">
        <f ca="1"/>
        <v/>
      </c>
      <c r="F804" s="125" t="str">
        <f ca="1"/>
        <v/>
      </c>
      <c r="G804" s="125" t="str">
        <f ca="1"/>
        <v/>
      </c>
      <c r="H804" s="125" t="str">
        <f ca="1"/>
        <v/>
      </c>
      <c r="I804" s="125">
        <f ca="1"/>
        <v>0</v>
      </c>
      <c r="J804" s="125" t="str">
        <f ca="1"/>
        <v/>
      </c>
      <c r="K804" s="126">
        <f ca="1"/>
        <v>0</v>
      </c>
      <c r="L804" s="127" t="str">
        <f ca="1"/>
        <v/>
      </c>
      <c r="M804" s="125" t="str">
        <f ca="1"/>
        <v/>
      </c>
      <c r="N804" s="126" t="str">
        <f ca="1"/>
        <v/>
      </c>
      <c r="O804" s="128">
        <f ca="1"/>
        <v>0</v>
      </c>
      <c r="P804" s="128" t="str">
        <f ca="1"/>
        <v/>
      </c>
      <c r="Q804" s="129" t="str">
        <f ca="1"/>
        <v/>
      </c>
      <c r="R804" s="129">
        <f ca="1"/>
        <v>0</v>
      </c>
      <c r="S804" s="89" t="str">
        <f ca="1"/>
        <v/>
      </c>
      <c r="T804" s="143">
        <f ca="1"/>
        <v>0</v>
      </c>
      <c r="U804" s="131">
        <f ca="1"/>
        <v>0</v>
      </c>
      <c r="V804" s="125" t="str">
        <f ca="1"/>
        <v/>
      </c>
      <c r="W804" s="144">
        <f ca="1"/>
        <v>0</v>
      </c>
      <c r="X804" s="143" t="str">
        <f ca="1"/>
        <v/>
      </c>
      <c r="Y804" s="145">
        <f ca="1"/>
        <v>0</v>
      </c>
      <c r="Z804" s="145" t="str">
        <f ca="1"/>
        <v/>
      </c>
      <c r="AA804" s="125" t="str">
        <f ca="1"/>
        <v/>
      </c>
      <c r="AB804" s="125" t="str">
        <f ca="1"/>
        <v/>
      </c>
      <c r="AC804" s="98" t="str">
        <f ca="1"/>
        <v/>
      </c>
      <c r="AD804" s="147" t="e">
        <f ca="1"/>
        <v>#VALUE!</v>
      </c>
    </row>
    <row r="805" spans="1:30">
      <c r="A805" t="str">
        <f ca="1"/>
        <v>MULTIEMPAQUE</v>
      </c>
      <c r="B805" t="str">
        <f ca="1"/>
        <v>POSTRES</v>
      </c>
      <c r="C805" t="str">
        <f ca="1"/>
        <v xml:space="preserve">Luis Armendariz                         </v>
      </c>
      <c r="D805" t="str">
        <f ca="1"/>
        <v>ALPINETTE</v>
      </c>
      <c r="E805" t="str">
        <f ca="1"/>
        <v>ALPINETTE</v>
      </c>
      <c r="F805" s="125" t="str">
        <f ca="1"/>
        <v>MACHACHI</v>
      </c>
      <c r="G805" s="125">
        <f ca="1"/>
        <v>7701</v>
      </c>
      <c r="H805" s="125">
        <f ca="1"/>
        <v>1080</v>
      </c>
      <c r="I805" s="125" t="str">
        <f ca="1"/>
        <v>14164</v>
      </c>
      <c r="J805" s="125" t="str">
        <f ca="1"/>
        <v>MPLX4 ALPINETTE MOR 140G</v>
      </c>
      <c r="K805" s="126">
        <f ca="1"/>
        <v>112</v>
      </c>
      <c r="L805" s="127">
        <f ca="1"/>
        <v>1</v>
      </c>
      <c r="M805" s="125">
        <f ca="1"/>
        <v>0.56000000000000005</v>
      </c>
      <c r="N805" s="126">
        <f ca="1"/>
        <v>60</v>
      </c>
      <c r="O805" s="128">
        <f ca="1"/>
        <v>45601</v>
      </c>
      <c r="P805" s="128" t="str">
        <f ca="1"/>
        <v>martes</v>
      </c>
      <c r="Q805" s="129">
        <f ca="1"/>
        <v>45601</v>
      </c>
      <c r="R805" s="129">
        <f ca="1"/>
        <v>45660</v>
      </c>
      <c r="S805" s="89">
        <f ca="1"/>
        <v>36</v>
      </c>
      <c r="T805" s="143">
        <f ca="1"/>
        <v>0.6</v>
      </c>
      <c r="U805" s="131">
        <f ca="1"/>
        <v>112</v>
      </c>
      <c r="V805" s="125">
        <f ca="1"/>
        <v>62.720000000000006</v>
      </c>
      <c r="W805" s="144" t="str">
        <f ca="1"/>
        <v/>
      </c>
      <c r="X805" s="143" t="str">
        <f ca="1"/>
        <v/>
      </c>
      <c r="Y805" s="145">
        <f ca="1"/>
        <v>1.9986900000000001</v>
      </c>
      <c r="Z805" s="145">
        <f ca="1"/>
        <v>1.9986900000000001</v>
      </c>
      <c r="AA805" s="125">
        <f ca="1"/>
        <v>223.85328000000001</v>
      </c>
      <c r="AB805" s="125">
        <f ca="1"/>
        <v>23</v>
      </c>
      <c r="AC805" s="98" t="str">
        <f ca="1"/>
        <v>VIGENTE</v>
      </c>
      <c r="AD805" s="147">
        <f ca="1"/>
        <v>6.2720000000000012E-2</v>
      </c>
    </row>
    <row r="806" spans="1:30">
      <c r="A806" t="str">
        <f ca="1"/>
        <v>MULTIEMPAQUE</v>
      </c>
      <c r="B806" t="str">
        <f ca="1"/>
        <v>POSTRES</v>
      </c>
      <c r="C806" t="str">
        <f ca="1"/>
        <v xml:space="preserve">Luis Armendariz                         </v>
      </c>
      <c r="D806" t="str">
        <f ca="1"/>
        <v>ALPINETTE</v>
      </c>
      <c r="E806" t="str">
        <f ca="1"/>
        <v>ALPINETTE</v>
      </c>
      <c r="F806" s="125" t="str">
        <f ca="1"/>
        <v>MACHACHI</v>
      </c>
      <c r="G806" s="125">
        <f ca="1"/>
        <v>7701</v>
      </c>
      <c r="H806" s="125">
        <f ca="1"/>
        <v>1080</v>
      </c>
      <c r="I806" s="125" t="str">
        <f ca="1"/>
        <v>14165</v>
      </c>
      <c r="J806" s="125" t="str">
        <f ca="1"/>
        <v>MPLX4 ALPINETTE CZA 140G</v>
      </c>
      <c r="K806" s="126">
        <f ca="1"/>
        <v>43</v>
      </c>
      <c r="L806" s="127">
        <f ca="1"/>
        <v>1</v>
      </c>
      <c r="M806" s="125">
        <f ca="1"/>
        <v>0.56000000000000005</v>
      </c>
      <c r="N806" s="126">
        <f ca="1"/>
        <v>60</v>
      </c>
      <c r="O806" s="128">
        <f ca="1"/>
        <v>45601</v>
      </c>
      <c r="P806" s="128" t="str">
        <f ca="1"/>
        <v>martes</v>
      </c>
      <c r="Q806" s="129">
        <f ca="1"/>
        <v>45601</v>
      </c>
      <c r="R806" s="129">
        <f ca="1"/>
        <v>45660</v>
      </c>
      <c r="S806" s="89">
        <f ca="1"/>
        <v>36</v>
      </c>
      <c r="T806" s="143">
        <f ca="1"/>
        <v>0.6</v>
      </c>
      <c r="U806" s="131">
        <f ca="1"/>
        <v>43</v>
      </c>
      <c r="V806" s="125">
        <f ca="1"/>
        <v>24.080000000000002</v>
      </c>
      <c r="W806" s="144">
        <f ca="1"/>
        <v>0</v>
      </c>
      <c r="X806" s="143">
        <f ca="1"/>
        <v>1</v>
      </c>
      <c r="Y806" s="145">
        <f ca="1"/>
        <v>2.0278900000000002</v>
      </c>
      <c r="Z806" s="145">
        <f ca="1"/>
        <v>2.0278900000000002</v>
      </c>
      <c r="AA806" s="125">
        <f ca="1"/>
        <v>87.199270000000013</v>
      </c>
      <c r="AB806" s="125">
        <f ca="1"/>
        <v>23</v>
      </c>
      <c r="AC806" s="98" t="str">
        <f ca="1"/>
        <v>VIGENTE</v>
      </c>
      <c r="AD806" s="147">
        <f ca="1"/>
        <v>2.4080000000000001E-2</v>
      </c>
    </row>
    <row r="807" spans="1:30">
      <c r="A807" t="str">
        <f ca="1"/>
        <v>SAN GABRIEL</v>
      </c>
      <c r="B807" t="str">
        <f ca="1"/>
        <v>QUESOS Y GRASAS</v>
      </c>
      <c r="C807" t="str">
        <f ca="1"/>
        <v xml:space="preserve">Esteban Montenegro                      </v>
      </c>
      <c r="D807" t="str">
        <f ca="1"/>
        <v>QUESO MOZARELLA KIOSKO</v>
      </c>
      <c r="E807" t="str">
        <f ca="1"/>
        <v>QUESO MOZARELLA KIOSKO BLOQUE</v>
      </c>
      <c r="F807" s="125" t="str">
        <f ca="1"/>
        <v>MACHACHI</v>
      </c>
      <c r="G807" s="125">
        <f ca="1"/>
        <v>7701</v>
      </c>
      <c r="H807" s="125">
        <f ca="1"/>
        <v>1080</v>
      </c>
      <c r="I807" s="125" t="str">
        <f ca="1"/>
        <v>5733</v>
      </c>
      <c r="J807" s="125" t="str">
        <f ca="1"/>
        <v>Q MOZAR KIOSKO BLOQ 900G</v>
      </c>
      <c r="K807" s="126">
        <f ca="1"/>
        <v>457</v>
      </c>
      <c r="L807" s="127">
        <f ca="1"/>
        <v>1</v>
      </c>
      <c r="M807" s="125">
        <f ca="1"/>
        <v>0.9</v>
      </c>
      <c r="N807" s="126">
        <f ca="1"/>
        <v>40</v>
      </c>
      <c r="O807" s="128">
        <f ca="1"/>
        <v>45618</v>
      </c>
      <c r="P807" s="128" t="str">
        <f ca="1"/>
        <v>viernes</v>
      </c>
      <c r="Q807" s="129">
        <f ca="1"/>
        <v>45618</v>
      </c>
      <c r="R807" s="129">
        <f ca="1"/>
        <v>45657</v>
      </c>
      <c r="S807" s="89">
        <f ca="1"/>
        <v>33</v>
      </c>
      <c r="T807" s="143">
        <f ca="1"/>
        <v>0.82499999999999996</v>
      </c>
      <c r="U807" s="131">
        <f ca="1"/>
        <v>457</v>
      </c>
      <c r="V807" s="125">
        <f ca="1"/>
        <v>411.3</v>
      </c>
      <c r="W807" s="144">
        <f ca="1"/>
        <v>0</v>
      </c>
      <c r="X807" s="143">
        <f ca="1"/>
        <v>1</v>
      </c>
      <c r="Y807" s="145">
        <f ca="1"/>
        <v>4.1744400000000006</v>
      </c>
      <c r="Z807" s="145">
        <f ca="1"/>
        <v>4.1744400000000006</v>
      </c>
      <c r="AA807" s="125">
        <f ca="1"/>
        <v>1907.7190800000003</v>
      </c>
      <c r="AB807" s="125">
        <f ca="1"/>
        <v>6</v>
      </c>
      <c r="AC807" s="98" t="str">
        <f ca="1"/>
        <v>VIGENTE</v>
      </c>
      <c r="AD807" s="147">
        <f ca="1"/>
        <v>0.4113</v>
      </c>
    </row>
    <row r="808" spans="1:30">
      <c r="A808" t="str">
        <f ca="1"/>
        <v>SAN GABRIEL</v>
      </c>
      <c r="B808" t="str">
        <f ca="1"/>
        <v>QUESOS Y GRASAS</v>
      </c>
      <c r="C808" t="str">
        <f ca="1"/>
        <v xml:space="preserve">Esteban Montenegro                      </v>
      </c>
      <c r="D808" t="str">
        <f ca="1"/>
        <v>QUESO MOZARELLA KIOSKO</v>
      </c>
      <c r="E808" t="str">
        <f ca="1"/>
        <v>QUESO MOZARELLA KIOSKO BLOQUE</v>
      </c>
      <c r="F808" s="125" t="str">
        <f ca="1"/>
        <v>MACHACHI</v>
      </c>
      <c r="G808" s="125">
        <f ca="1"/>
        <v>7701</v>
      </c>
      <c r="H808" s="125">
        <f ca="1"/>
        <v>1080</v>
      </c>
      <c r="I808" s="125" t="str">
        <f ca="1"/>
        <v>5733</v>
      </c>
      <c r="J808" s="125" t="str">
        <f ca="1"/>
        <v>Q MOZAR KIOSKO BLOQ 900G</v>
      </c>
      <c r="K808" s="126">
        <f ca="1"/>
        <v>378</v>
      </c>
      <c r="L808" s="127">
        <f ca="1"/>
        <v>1</v>
      </c>
      <c r="M808" s="125">
        <f ca="1"/>
        <v>0.9</v>
      </c>
      <c r="N808" s="126">
        <f ca="1"/>
        <v>40</v>
      </c>
      <c r="O808" s="128">
        <f ca="1"/>
        <v>45623</v>
      </c>
      <c r="P808" s="128" t="str">
        <f ca="1"/>
        <v>miércoles</v>
      </c>
      <c r="Q808" s="129">
        <f ca="1"/>
        <v>45623</v>
      </c>
      <c r="R808" s="129">
        <f ca="1"/>
        <v>45662</v>
      </c>
      <c r="S808" s="89">
        <f ca="1"/>
        <v>38</v>
      </c>
      <c r="T808" s="143">
        <f ca="1"/>
        <v>0.95</v>
      </c>
      <c r="U808" s="131">
        <f ca="1"/>
        <v>378</v>
      </c>
      <c r="V808" s="125">
        <f ca="1"/>
        <v>340.2</v>
      </c>
      <c r="W808" s="144">
        <f ca="1"/>
        <v>0</v>
      </c>
      <c r="X808" s="143">
        <f ca="1"/>
        <v>1</v>
      </c>
      <c r="Y808" s="145">
        <f ca="1"/>
        <v>4.1744400000000006</v>
      </c>
      <c r="Z808" s="145">
        <f ca="1"/>
        <v>4.1744400000000006</v>
      </c>
      <c r="AA808" s="125">
        <f ca="1"/>
        <v>1577.9383200000002</v>
      </c>
      <c r="AB808" s="125">
        <f ca="1"/>
        <v>1</v>
      </c>
      <c r="AC808" s="98" t="str">
        <f ca="1"/>
        <v>VIGENTE</v>
      </c>
      <c r="AD808" s="147">
        <f ca="1"/>
        <v>0.3402</v>
      </c>
    </row>
    <row r="809" spans="1:30">
      <c r="A809" t="str">
        <f ca="1"/>
        <v>SAN GABRIEL</v>
      </c>
      <c r="B809" t="str">
        <f ca="1"/>
        <v>QUESOS Y GRASAS</v>
      </c>
      <c r="C809" t="str">
        <f ca="1"/>
        <v xml:space="preserve">Esteban Montenegro                      </v>
      </c>
      <c r="D809" t="str">
        <f ca="1"/>
        <v>QUESO MOZARELLA KIOSKO</v>
      </c>
      <c r="E809" t="str">
        <f ca="1"/>
        <v>QUESO MOZARELLA KIOSKO BLOQUE</v>
      </c>
      <c r="F809" s="125" t="str">
        <f ca="1"/>
        <v>MACHACHI</v>
      </c>
      <c r="G809" s="125">
        <f ca="1"/>
        <v>7701</v>
      </c>
      <c r="H809" s="125">
        <f ca="1"/>
        <v>1080</v>
      </c>
      <c r="I809" s="125" t="str">
        <f ca="1"/>
        <v>5733</v>
      </c>
      <c r="J809" s="125" t="str">
        <f ca="1"/>
        <v>Q MOZAR KIOSKO BLOQ 900G</v>
      </c>
      <c r="K809" s="126">
        <f ca="1"/>
        <v>126</v>
      </c>
      <c r="L809" s="127">
        <f ca="1"/>
        <v>1</v>
      </c>
      <c r="M809" s="125">
        <f ca="1"/>
        <v>0.9</v>
      </c>
      <c r="N809" s="126">
        <f ca="1"/>
        <v>40</v>
      </c>
      <c r="O809" s="128">
        <f ca="1"/>
        <v>45622</v>
      </c>
      <c r="P809" s="128" t="str">
        <f ca="1"/>
        <v>martes</v>
      </c>
      <c r="Q809" s="129">
        <f ca="1"/>
        <v>45622</v>
      </c>
      <c r="R809" s="129">
        <f ca="1"/>
        <v>45661</v>
      </c>
      <c r="S809" s="89">
        <f ca="1"/>
        <v>37</v>
      </c>
      <c r="T809" s="143">
        <f ca="1"/>
        <v>0.92500000000000004</v>
      </c>
      <c r="U809" s="131">
        <f ca="1"/>
        <v>126</v>
      </c>
      <c r="V809" s="125">
        <f ca="1"/>
        <v>113.4</v>
      </c>
      <c r="W809" s="144">
        <f ca="1"/>
        <v>0</v>
      </c>
      <c r="X809" s="143">
        <f ca="1"/>
        <v>1</v>
      </c>
      <c r="Y809" s="145">
        <f ca="1"/>
        <v>4.1744400000000006</v>
      </c>
      <c r="Z809" s="145">
        <f ca="1"/>
        <v>4.1744400000000006</v>
      </c>
      <c r="AA809" s="125">
        <f ca="1"/>
        <v>525.97944000000007</v>
      </c>
      <c r="AB809" s="125">
        <f ca="1"/>
        <v>2</v>
      </c>
      <c r="AC809" s="98" t="str">
        <f ca="1"/>
        <v>VIGENTE</v>
      </c>
      <c r="AD809" s="147">
        <f ca="1"/>
        <v>0.1134</v>
      </c>
    </row>
    <row r="810" spans="1:30">
      <c r="A810" t="str">
        <f ca="1"/>
        <v>SAN GABRIEL</v>
      </c>
      <c r="B810" t="str">
        <f ca="1"/>
        <v>QUESOS Y GRASAS</v>
      </c>
      <c r="C810" t="str">
        <f ca="1"/>
        <v xml:space="preserve">Esteban Montenegro                      </v>
      </c>
      <c r="D810" t="str">
        <f ca="1"/>
        <v>QUESO MOZARELLA KIOSKO</v>
      </c>
      <c r="E810" t="str">
        <f ca="1"/>
        <v>QUESO MOZARELLA KIOSKO BLOQUE</v>
      </c>
      <c r="F810" s="125" t="str">
        <f ca="1"/>
        <v>MACHACHI</v>
      </c>
      <c r="G810" s="125">
        <f ca="1"/>
        <v>7701</v>
      </c>
      <c r="H810" s="125">
        <f ca="1"/>
        <v>1080</v>
      </c>
      <c r="I810" s="125" t="str">
        <f ca="1"/>
        <v>5732</v>
      </c>
      <c r="J810" s="125" t="str">
        <f ca="1"/>
        <v>Q MOZAR KIOSKO BLOQ 700G</v>
      </c>
      <c r="K810" s="126">
        <f ca="1"/>
        <v>594</v>
      </c>
      <c r="L810" s="127">
        <f ca="1"/>
        <v>1</v>
      </c>
      <c r="M810" s="125">
        <f ca="1"/>
        <v>0.7</v>
      </c>
      <c r="N810" s="126">
        <f ca="1"/>
        <v>40</v>
      </c>
      <c r="O810" s="128">
        <f ca="1"/>
        <v>45622</v>
      </c>
      <c r="P810" s="128" t="str">
        <f ca="1"/>
        <v>martes</v>
      </c>
      <c r="Q810" s="129">
        <f ca="1"/>
        <v>45622</v>
      </c>
      <c r="R810" s="129">
        <f ca="1"/>
        <v>45661</v>
      </c>
      <c r="S810" s="89">
        <f ca="1"/>
        <v>37</v>
      </c>
      <c r="T810" s="143">
        <f ca="1"/>
        <v>0.92500000000000004</v>
      </c>
      <c r="U810" s="131">
        <f ca="1"/>
        <v>594</v>
      </c>
      <c r="V810" s="125">
        <f ca="1"/>
        <v>415.79999999999995</v>
      </c>
      <c r="W810" s="144">
        <f ca="1"/>
        <v>0</v>
      </c>
      <c r="X810" s="143">
        <f ca="1"/>
        <v>1</v>
      </c>
      <c r="Y810" s="145">
        <f ca="1"/>
        <v>3.26932</v>
      </c>
      <c r="Z810" s="145">
        <f ca="1"/>
        <v>3.26932</v>
      </c>
      <c r="AA810" s="125">
        <f ca="1"/>
        <v>1941.9760799999999</v>
      </c>
      <c r="AB810" s="125">
        <f ca="1"/>
        <v>2</v>
      </c>
      <c r="AC810" s="98" t="str">
        <f ca="1"/>
        <v>VIGENTE</v>
      </c>
      <c r="AD810" s="147">
        <f ca="1"/>
        <v>0.41579999999999995</v>
      </c>
    </row>
    <row r="811" spans="1:30">
      <c r="A811" t="str">
        <f ca="1"/>
        <v>SAN GABRIEL</v>
      </c>
      <c r="B811" t="str">
        <f ca="1"/>
        <v>QUESOS Y GRASAS</v>
      </c>
      <c r="C811" t="str">
        <f ca="1"/>
        <v xml:space="preserve">Esteban Montenegro                      </v>
      </c>
      <c r="D811" t="str">
        <f ca="1"/>
        <v>QUESO MOZARELLA KIOSKO</v>
      </c>
      <c r="E811" t="str">
        <f ca="1"/>
        <v>QUESO MOZARELLA KIOSKO BLOQUE</v>
      </c>
      <c r="F811" s="125" t="str">
        <f ca="1"/>
        <v>MACHACHI</v>
      </c>
      <c r="G811" s="125">
        <f ca="1"/>
        <v>7701</v>
      </c>
      <c r="H811" s="125">
        <f ca="1"/>
        <v>1080</v>
      </c>
      <c r="I811" s="125" t="str">
        <f ca="1"/>
        <v>5732</v>
      </c>
      <c r="J811" s="125" t="str">
        <f ca="1"/>
        <v>Q MOZAR KIOSKO BLOQ 700G</v>
      </c>
      <c r="K811" s="126">
        <f ca="1"/>
        <v>294</v>
      </c>
      <c r="L811" s="127">
        <f ca="1"/>
        <v>1</v>
      </c>
      <c r="M811" s="125">
        <f ca="1"/>
        <v>0.7</v>
      </c>
      <c r="N811" s="126">
        <f ca="1"/>
        <v>40</v>
      </c>
      <c r="O811" s="128">
        <f ca="1"/>
        <v>45618</v>
      </c>
      <c r="P811" s="128" t="str">
        <f ca="1"/>
        <v>viernes</v>
      </c>
      <c r="Q811" s="129">
        <f ca="1"/>
        <v>45618</v>
      </c>
      <c r="R811" s="129">
        <f ca="1"/>
        <v>45657</v>
      </c>
      <c r="S811" s="89">
        <f ca="1"/>
        <v>33</v>
      </c>
      <c r="T811" s="143">
        <f ca="1"/>
        <v>0.82499999999999996</v>
      </c>
      <c r="U811" s="131">
        <f ca="1"/>
        <v>294</v>
      </c>
      <c r="V811" s="125">
        <f ca="1"/>
        <v>205.79999999999998</v>
      </c>
      <c r="W811" s="144">
        <f ca="1"/>
        <v>0</v>
      </c>
      <c r="X811" s="143">
        <f ca="1"/>
        <v>1</v>
      </c>
      <c r="Y811" s="145">
        <f ca="1"/>
        <v>3.26932</v>
      </c>
      <c r="Z811" s="145">
        <f ca="1"/>
        <v>3.26932</v>
      </c>
      <c r="AA811" s="125">
        <f ca="1"/>
        <v>961.18007999999998</v>
      </c>
      <c r="AB811" s="125">
        <f ca="1"/>
        <v>6</v>
      </c>
      <c r="AC811" s="98" t="str">
        <f ca="1"/>
        <v>VIGENTE</v>
      </c>
      <c r="AD811" s="147">
        <f ca="1"/>
        <v>0.20579999999999998</v>
      </c>
    </row>
    <row r="812" spans="1:30">
      <c r="A812" t="str">
        <f ca="1"/>
        <v>SAN GABRIEL</v>
      </c>
      <c r="B812" t="str">
        <f ca="1"/>
        <v>QUESOS Y GRASAS</v>
      </c>
      <c r="C812" t="str">
        <f ca="1"/>
        <v xml:space="preserve">Esteban Montenegro                      </v>
      </c>
      <c r="D812" t="str">
        <f ca="1"/>
        <v>QUESO MOZARELLA KIOSKO</v>
      </c>
      <c r="E812" t="str">
        <f ca="1"/>
        <v>QUESO MOZARELLA LIGHT KIOSKO BLOQUE</v>
      </c>
      <c r="F812" s="125" t="str">
        <f ca="1"/>
        <v>MACHACHI</v>
      </c>
      <c r="G812" s="125">
        <f ca="1"/>
        <v>7701</v>
      </c>
      <c r="H812" s="125">
        <f ca="1"/>
        <v>1080</v>
      </c>
      <c r="I812" s="125" t="str">
        <f ca="1"/>
        <v>5735</v>
      </c>
      <c r="J812" s="125" t="str">
        <f ca="1"/>
        <v>Q MOZAR LGHT KIOSKO BLOQ 200G</v>
      </c>
      <c r="K812" s="126">
        <f ca="1"/>
        <v>897</v>
      </c>
      <c r="L812" s="127">
        <f ca="1"/>
        <v>1</v>
      </c>
      <c r="M812" s="125">
        <f ca="1"/>
        <v>0.2</v>
      </c>
      <c r="N812" s="126">
        <f ca="1"/>
        <v>40</v>
      </c>
      <c r="O812" s="128">
        <f ca="1"/>
        <v>45617</v>
      </c>
      <c r="P812" s="128" t="str">
        <f ca="1"/>
        <v>jueves</v>
      </c>
      <c r="Q812" s="129">
        <f ca="1"/>
        <v>45617</v>
      </c>
      <c r="R812" s="129">
        <f ca="1"/>
        <v>45656</v>
      </c>
      <c r="S812" s="89">
        <f ca="1"/>
        <v>32</v>
      </c>
      <c r="T812" s="143">
        <f ca="1"/>
        <v>0.8</v>
      </c>
      <c r="U812" s="131">
        <f ca="1"/>
        <v>897</v>
      </c>
      <c r="V812" s="125">
        <f ca="1"/>
        <v>179.4</v>
      </c>
      <c r="W812" s="144">
        <f ca="1"/>
        <v>0</v>
      </c>
      <c r="X812" s="143">
        <f ca="1"/>
        <v>1</v>
      </c>
      <c r="Y812" s="145">
        <f ca="1"/>
        <v>1.11269</v>
      </c>
      <c r="Z812" s="145">
        <f ca="1"/>
        <v>1.11269</v>
      </c>
      <c r="AA812" s="125">
        <f ca="1"/>
        <v>998.08292999999992</v>
      </c>
      <c r="AB812" s="125">
        <f ca="1"/>
        <v>7</v>
      </c>
      <c r="AC812" s="98" t="str">
        <f ca="1"/>
        <v>VIGENTE</v>
      </c>
      <c r="AD812" s="147">
        <f ca="1"/>
        <v>0.1794</v>
      </c>
    </row>
    <row r="813" spans="1:30">
      <c r="A813" t="str">
        <f ca="1"/>
        <v>SAN GABRIEL</v>
      </c>
      <c r="B813" t="str">
        <f ca="1"/>
        <v>QUESOS Y GRASAS</v>
      </c>
      <c r="C813" t="str">
        <f ca="1"/>
        <v xml:space="preserve">Esteban Montenegro                      </v>
      </c>
      <c r="D813" t="str">
        <f ca="1"/>
        <v>QUESO MOZARELLA KIOSKO</v>
      </c>
      <c r="E813" t="str">
        <f ca="1"/>
        <v>QUESO MOZARELLA LIGHT KIOSKO BLOQUE</v>
      </c>
      <c r="F813" s="125" t="str">
        <f ca="1"/>
        <v>MACHACHI</v>
      </c>
      <c r="G813" s="125">
        <f ca="1"/>
        <v>7701</v>
      </c>
      <c r="H813" s="125">
        <f ca="1"/>
        <v>1080</v>
      </c>
      <c r="I813" s="125" t="str">
        <f ca="1"/>
        <v>5735</v>
      </c>
      <c r="J813" s="125" t="str">
        <f ca="1"/>
        <v>Q MOZAR LGHT KIOSKO BLOQ 200G</v>
      </c>
      <c r="K813" s="126">
        <f ca="1"/>
        <v>720</v>
      </c>
      <c r="L813" s="127">
        <f ca="1"/>
        <v>1</v>
      </c>
      <c r="M813" s="125">
        <f ca="1"/>
        <v>0.2</v>
      </c>
      <c r="N813" s="126">
        <f ca="1"/>
        <v>40</v>
      </c>
      <c r="O813" s="128">
        <f ca="1"/>
        <v>45619</v>
      </c>
      <c r="P813" s="128" t="str">
        <f ca="1"/>
        <v>sábado</v>
      </c>
      <c r="Q813" s="129">
        <f ca="1"/>
        <v>45619</v>
      </c>
      <c r="R813" s="129">
        <f ca="1"/>
        <v>45658</v>
      </c>
      <c r="S813" s="89">
        <f ca="1"/>
        <v>34</v>
      </c>
      <c r="T813" s="143">
        <f ca="1"/>
        <v>0.85</v>
      </c>
      <c r="U813" s="131">
        <f ca="1"/>
        <v>720</v>
      </c>
      <c r="V813" s="125">
        <f ca="1"/>
        <v>144</v>
      </c>
      <c r="W813" s="144">
        <f ca="1"/>
        <v>0</v>
      </c>
      <c r="X813" s="143">
        <f ca="1"/>
        <v>1</v>
      </c>
      <c r="Y813" s="145">
        <f ca="1"/>
        <v>1.11269</v>
      </c>
      <c r="Z813" s="145">
        <f ca="1"/>
        <v>1.11269</v>
      </c>
      <c r="AA813" s="125">
        <f ca="1"/>
        <v>801.13679999999999</v>
      </c>
      <c r="AB813" s="125">
        <f ca="1"/>
        <v>5</v>
      </c>
      <c r="AC813" s="98" t="str">
        <f ca="1"/>
        <v>VIGENTE</v>
      </c>
      <c r="AD813" s="147">
        <f ca="1"/>
        <v>0.14399999999999999</v>
      </c>
    </row>
    <row r="814" spans="1:30">
      <c r="A814" t="str">
        <f ca="1"/>
        <v>SAN GABRIEL</v>
      </c>
      <c r="B814" t="str">
        <f ca="1"/>
        <v>QUESOS Y GRASAS</v>
      </c>
      <c r="C814" t="str">
        <f ca="1"/>
        <v xml:space="preserve">Esteban Montenegro                      </v>
      </c>
      <c r="D814" t="str">
        <f ca="1"/>
        <v>QUESO MOZARELLA KIOSKO</v>
      </c>
      <c r="E814" t="str">
        <f ca="1"/>
        <v>QUESO MOZARELLA LIGHT KIOSKO BLOQUE</v>
      </c>
      <c r="F814" s="125" t="str">
        <f ca="1"/>
        <v>MACHACHI</v>
      </c>
      <c r="G814" s="125">
        <f ca="1"/>
        <v>7701</v>
      </c>
      <c r="H814" s="125">
        <f ca="1"/>
        <v>1080</v>
      </c>
      <c r="I814" s="125" t="str">
        <f ca="1"/>
        <v>5737</v>
      </c>
      <c r="J814" s="125" t="str">
        <f ca="1"/>
        <v>Q MOZAR LGHT KIOSKO BLOQ 700G</v>
      </c>
      <c r="K814" s="126">
        <f ca="1"/>
        <v>2</v>
      </c>
      <c r="L814" s="127">
        <f ca="1"/>
        <v>1</v>
      </c>
      <c r="M814" s="125">
        <f ca="1"/>
        <v>0.7</v>
      </c>
      <c r="N814" s="126">
        <f ca="1"/>
        <v>40</v>
      </c>
      <c r="O814" s="128">
        <f ca="1"/>
        <v>45616</v>
      </c>
      <c r="P814" s="128" t="str">
        <f ca="1"/>
        <v>miércoles</v>
      </c>
      <c r="Q814" s="129">
        <f ca="1"/>
        <v>45616</v>
      </c>
      <c r="R814" s="129">
        <f ca="1"/>
        <v>45655</v>
      </c>
      <c r="S814" s="89">
        <f ca="1"/>
        <v>31</v>
      </c>
      <c r="T814" s="143">
        <f ca="1"/>
        <v>0.77500000000000002</v>
      </c>
      <c r="U814" s="131">
        <f ca="1"/>
        <v>2</v>
      </c>
      <c r="V814" s="125">
        <f ca="1"/>
        <v>1.4</v>
      </c>
      <c r="W814" s="144">
        <f ca="1"/>
        <v>0</v>
      </c>
      <c r="X814" s="143">
        <f ca="1"/>
        <v>1</v>
      </c>
      <c r="Y814" s="145">
        <f ca="1"/>
        <v>3.8565149999999999</v>
      </c>
      <c r="Z814" s="145">
        <f ca="1"/>
        <v>3.8565149999999999</v>
      </c>
      <c r="AA814" s="125">
        <f ca="1"/>
        <v>7.7130299999999998</v>
      </c>
      <c r="AB814" s="125">
        <f ca="1"/>
        <v>8</v>
      </c>
      <c r="AC814" s="98" t="str">
        <f ca="1"/>
        <v>VIGENTE</v>
      </c>
      <c r="AD814" s="147">
        <f ca="1"/>
        <v>1.4E-3</v>
      </c>
    </row>
    <row r="815" spans="1:30">
      <c r="A815" t="str">
        <f ca="1"/>
        <v>SAN GABRIEL</v>
      </c>
      <c r="B815" t="str">
        <f ca="1"/>
        <v>QUESOS Y GRASAS</v>
      </c>
      <c r="C815" t="str">
        <f ca="1"/>
        <v xml:space="preserve">Esteban Montenegro                      </v>
      </c>
      <c r="D815" t="str">
        <f ca="1"/>
        <v>QUESO MOZARELLA KIOSKO</v>
      </c>
      <c r="E815" t="str">
        <f ca="1"/>
        <v>QUESO MOZARELLA LIGHT KIOSKO BLOQUE</v>
      </c>
      <c r="F815" s="125" t="str">
        <f ca="1"/>
        <v>MACHACHI</v>
      </c>
      <c r="G815" s="125">
        <f ca="1"/>
        <v>7701</v>
      </c>
      <c r="H815" s="125">
        <f ca="1"/>
        <v>1080</v>
      </c>
      <c r="I815" s="125" t="str">
        <f ca="1"/>
        <v>5737</v>
      </c>
      <c r="J815" s="125" t="str">
        <f ca="1"/>
        <v>Q MOZAR LGHT KIOSKO BLOQ 700G</v>
      </c>
      <c r="K815" s="126">
        <f ca="1"/>
        <v>35</v>
      </c>
      <c r="L815" s="127">
        <f ca="1"/>
        <v>1</v>
      </c>
      <c r="M815" s="125">
        <f ca="1"/>
        <v>0.7</v>
      </c>
      <c r="N815" s="126">
        <f ca="1"/>
        <v>40</v>
      </c>
      <c r="O815" s="128">
        <f ca="1"/>
        <v>45618</v>
      </c>
      <c r="P815" s="128" t="str">
        <f ca="1"/>
        <v>viernes</v>
      </c>
      <c r="Q815" s="129">
        <f ca="1"/>
        <v>45618</v>
      </c>
      <c r="R815" s="129">
        <f ca="1"/>
        <v>45657</v>
      </c>
      <c r="S815" s="89">
        <f ca="1"/>
        <v>33</v>
      </c>
      <c r="T815" s="143">
        <f ca="1"/>
        <v>0.82499999999999996</v>
      </c>
      <c r="U815" s="131">
        <f ca="1"/>
        <v>35</v>
      </c>
      <c r="V815" s="125">
        <f ca="1"/>
        <v>24.5</v>
      </c>
      <c r="W815" s="144">
        <f ca="1"/>
        <v>0</v>
      </c>
      <c r="X815" s="143">
        <f ca="1"/>
        <v>1</v>
      </c>
      <c r="Y815" s="145">
        <f ca="1"/>
        <v>3.8565149999999999</v>
      </c>
      <c r="Z815" s="145">
        <f ca="1"/>
        <v>3.8565149999999999</v>
      </c>
      <c r="AA815" s="125">
        <f ca="1"/>
        <v>134.978025</v>
      </c>
      <c r="AB815" s="125">
        <f ca="1"/>
        <v>6</v>
      </c>
      <c r="AC815" s="98" t="str">
        <f ca="1"/>
        <v>VIGENTE</v>
      </c>
      <c r="AD815" s="147">
        <f ca="1"/>
        <v>2.4500000000000001E-2</v>
      </c>
    </row>
    <row r="816" spans="1:30">
      <c r="A816" t="str">
        <f ca="1"/>
        <v>SAN GABRIEL</v>
      </c>
      <c r="B816" t="str">
        <f ca="1"/>
        <v>QUESOS Y GRASAS</v>
      </c>
      <c r="C816" t="str">
        <f ca="1"/>
        <v xml:space="preserve">Esteban Montenegro                      </v>
      </c>
      <c r="D816" t="str">
        <f ca="1"/>
        <v>QUESO MOZARELLA KIOSKO</v>
      </c>
      <c r="E816" t="str">
        <f ca="1"/>
        <v>QUESO MOZARELLA LIGHT KIOSKO BLOQUE</v>
      </c>
      <c r="F816" s="125" t="str">
        <f ca="1"/>
        <v>MACHACHI</v>
      </c>
      <c r="G816" s="125">
        <f ca="1"/>
        <v>7701</v>
      </c>
      <c r="H816" s="125">
        <f ca="1"/>
        <v>1080</v>
      </c>
      <c r="I816" s="125" t="str">
        <f ca="1"/>
        <v>5737</v>
      </c>
      <c r="J816" s="125" t="str">
        <f ca="1"/>
        <v>Q MOZAR LGHT KIOSKO BLOQ 700G</v>
      </c>
      <c r="K816" s="126">
        <f ca="1"/>
        <v>108</v>
      </c>
      <c r="L816" s="127">
        <f ca="1"/>
        <v>1</v>
      </c>
      <c r="M816" s="125">
        <f ca="1"/>
        <v>0.7</v>
      </c>
      <c r="N816" s="126">
        <f ca="1"/>
        <v>40</v>
      </c>
      <c r="O816" s="128">
        <f ca="1"/>
        <v>45623</v>
      </c>
      <c r="P816" s="128" t="str">
        <f ca="1"/>
        <v>miércoles</v>
      </c>
      <c r="Q816" s="129">
        <f ca="1"/>
        <v>45623</v>
      </c>
      <c r="R816" s="129">
        <f ca="1"/>
        <v>45662</v>
      </c>
      <c r="S816" s="89">
        <f ca="1"/>
        <v>38</v>
      </c>
      <c r="T816" s="143">
        <f ca="1"/>
        <v>0.95</v>
      </c>
      <c r="U816" s="131">
        <f ca="1"/>
        <v>108</v>
      </c>
      <c r="V816" s="125">
        <f ca="1"/>
        <v>75.599999999999994</v>
      </c>
      <c r="W816" s="144">
        <f ca="1"/>
        <v>0</v>
      </c>
      <c r="X816" s="143">
        <f ca="1"/>
        <v>1</v>
      </c>
      <c r="Y816" s="145">
        <f ca="1"/>
        <v>3.8565149999999999</v>
      </c>
      <c r="Z816" s="145">
        <f ca="1"/>
        <v>3.8565149999999999</v>
      </c>
      <c r="AA816" s="125">
        <f ca="1"/>
        <v>416.50362000000001</v>
      </c>
      <c r="AB816" s="125">
        <f ca="1"/>
        <v>1</v>
      </c>
      <c r="AC816" s="98" t="str">
        <f ca="1"/>
        <v>VIGENTE</v>
      </c>
      <c r="AD816" s="147">
        <f ca="1"/>
        <v>7.5600000000000001E-2</v>
      </c>
    </row>
    <row r="817" spans="1:30">
      <c r="A817" t="str">
        <f ca="1"/>
        <v>SAN GABRIEL</v>
      </c>
      <c r="B817" t="str">
        <f ca="1"/>
        <v>QUESOS Y GRASAS</v>
      </c>
      <c r="C817" t="str">
        <f ca="1"/>
        <v xml:space="preserve">Esteban Montenegro                      </v>
      </c>
      <c r="D817" t="str">
        <f ca="1"/>
        <v>QUESO MOZARELLA KIOSKO</v>
      </c>
      <c r="E817" t="str">
        <f ca="1"/>
        <v>QUESO MOZARELLA SNACK</v>
      </c>
      <c r="F817" s="125" t="str">
        <f ca="1"/>
        <v>MACHACHI</v>
      </c>
      <c r="G817" s="125">
        <f ca="1"/>
        <v>7701</v>
      </c>
      <c r="H817" s="125">
        <f ca="1"/>
        <v>1080</v>
      </c>
      <c r="I817" s="125" t="str">
        <f ca="1"/>
        <v>10127</v>
      </c>
      <c r="J817" s="125" t="str">
        <f ca="1"/>
        <v>Q MOZAR KIOSKO SNACK 50G</v>
      </c>
      <c r="K817" s="126">
        <f ca="1"/>
        <v>2755</v>
      </c>
      <c r="L817" s="127">
        <f ca="1"/>
        <v>1</v>
      </c>
      <c r="M817" s="125">
        <f ca="1"/>
        <v>0.05</v>
      </c>
      <c r="N817" s="126">
        <f ca="1"/>
        <v>40</v>
      </c>
      <c r="O817" s="128">
        <f ca="1"/>
        <v>45623</v>
      </c>
      <c r="P817" s="128" t="str">
        <f ca="1"/>
        <v>miércoles</v>
      </c>
      <c r="Q817" s="129">
        <f ca="1"/>
        <v>45623</v>
      </c>
      <c r="R817" s="129">
        <f ca="1"/>
        <v>45662</v>
      </c>
      <c r="S817" s="89">
        <f ca="1"/>
        <v>38</v>
      </c>
      <c r="T817" s="143">
        <f ca="1"/>
        <v>0.95</v>
      </c>
      <c r="U817" s="131">
        <f ca="1"/>
        <v>2755</v>
      </c>
      <c r="V817" s="125">
        <f ca="1"/>
        <v>137.75</v>
      </c>
      <c r="W817" s="144">
        <f ca="1"/>
        <v>0</v>
      </c>
      <c r="X817" s="143">
        <f ca="1"/>
        <v>1</v>
      </c>
      <c r="Y817" s="145">
        <f ca="1"/>
        <v>0.30701500000000004</v>
      </c>
      <c r="Z817" s="145">
        <f ca="1"/>
        <v>0.30701500000000004</v>
      </c>
      <c r="AA817" s="125">
        <f ca="1"/>
        <v>845.82632500000011</v>
      </c>
      <c r="AB817" s="125">
        <f ca="1"/>
        <v>1</v>
      </c>
      <c r="AC817" s="98" t="str">
        <f ca="1"/>
        <v>VIGENTE</v>
      </c>
      <c r="AD817" s="147">
        <f ca="1"/>
        <v>0.13775000000000001</v>
      </c>
    </row>
    <row r="818" spans="1:30">
      <c r="A818" t="str">
        <f ca="1"/>
        <v>SAN GABRIEL</v>
      </c>
      <c r="B818" t="str">
        <f ca="1"/>
        <v>POSTRES</v>
      </c>
      <c r="C818" t="str">
        <f ca="1"/>
        <v xml:space="preserve">Luis Armendariz                         </v>
      </c>
      <c r="D818" t="str">
        <f ca="1"/>
        <v>AREQUIPE ALPINA</v>
      </c>
      <c r="E818" t="str">
        <f ca="1"/>
        <v>AREQUIPE ALPINA</v>
      </c>
      <c r="F818" s="125" t="str">
        <f ca="1"/>
        <v>MACHACHI</v>
      </c>
      <c r="G818" s="125">
        <f ca="1"/>
        <v>7701</v>
      </c>
      <c r="H818" s="125">
        <f ca="1"/>
        <v>1080</v>
      </c>
      <c r="I818" s="125" t="str">
        <f ca="1"/>
        <v>8260</v>
      </c>
      <c r="J818" s="125" t="str">
        <f ca="1"/>
        <v>AREQUIPE VASO 250G ECU</v>
      </c>
      <c r="K818" s="126">
        <f ca="1"/>
        <v>2640</v>
      </c>
      <c r="L818" s="127">
        <f ca="1"/>
        <v>1</v>
      </c>
      <c r="M818" s="125">
        <f ca="1"/>
        <v>0.25</v>
      </c>
      <c r="N818" s="126">
        <f ca="1"/>
        <v>180</v>
      </c>
      <c r="O818" s="128">
        <f ca="1"/>
        <v>45588</v>
      </c>
      <c r="P818" s="128" t="str">
        <f ca="1"/>
        <v>miércoles</v>
      </c>
      <c r="Q818" s="129">
        <f ca="1"/>
        <v>45588</v>
      </c>
      <c r="R818" s="129">
        <f ca="1"/>
        <v>45767</v>
      </c>
      <c r="S818" s="89">
        <f ca="1"/>
        <v>143</v>
      </c>
      <c r="T818" s="143">
        <f ca="1"/>
        <v>0.7944444444444444</v>
      </c>
      <c r="U818" s="131">
        <f ca="1"/>
        <v>2640</v>
      </c>
      <c r="V818" s="125">
        <f ca="1"/>
        <v>660</v>
      </c>
      <c r="W818" s="144">
        <f ca="1"/>
        <v>0</v>
      </c>
      <c r="X818" s="143">
        <f ca="1"/>
        <v>1</v>
      </c>
      <c r="Y818" s="145">
        <f ca="1"/>
        <v>0.78529499999999997</v>
      </c>
      <c r="Z818" s="145">
        <f ca="1"/>
        <v>0.78529499999999997</v>
      </c>
      <c r="AA818" s="125">
        <f ca="1"/>
        <v>2073.1787999999997</v>
      </c>
      <c r="AB818" s="125">
        <f ca="1"/>
        <v>36</v>
      </c>
      <c r="AC818" s="98" t="str">
        <f ca="1"/>
        <v>VIGENTE</v>
      </c>
      <c r="AD818" s="147">
        <f ca="1"/>
        <v>0.66</v>
      </c>
    </row>
    <row r="819" spans="1:30">
      <c r="A819" t="str">
        <f ca="1"/>
        <v>SAN GABRIEL</v>
      </c>
      <c r="B819" t="str">
        <f ca="1"/>
        <v>POSTRES</v>
      </c>
      <c r="C819" t="str">
        <f ca="1"/>
        <v xml:space="preserve">Luis Armendariz                         </v>
      </c>
      <c r="D819" t="str">
        <f ca="1"/>
        <v>AREQUIPE ALPINA</v>
      </c>
      <c r="E819" t="str">
        <f ca="1"/>
        <v>AREQUIPE ALPINA</v>
      </c>
      <c r="F819" s="125" t="str">
        <f ca="1"/>
        <v>MACHACHI</v>
      </c>
      <c r="G819" s="125">
        <f ca="1"/>
        <v>7701</v>
      </c>
      <c r="H819" s="125">
        <f ca="1"/>
        <v>1080</v>
      </c>
      <c r="I819" s="125" t="str">
        <f ca="1"/>
        <v>8260</v>
      </c>
      <c r="J819" s="125" t="str">
        <f ca="1"/>
        <v>AREQUIPE VASO 250G ECU</v>
      </c>
      <c r="K819" s="126">
        <f ca="1"/>
        <v>4752</v>
      </c>
      <c r="L819" s="127">
        <f ca="1"/>
        <v>1</v>
      </c>
      <c r="M819" s="125">
        <f ca="1"/>
        <v>0.25</v>
      </c>
      <c r="N819" s="126">
        <f ca="1"/>
        <v>180</v>
      </c>
      <c r="O819" s="128">
        <f ca="1"/>
        <v>45623</v>
      </c>
      <c r="P819" s="128" t="str">
        <f ca="1"/>
        <v>miércoles</v>
      </c>
      <c r="Q819" s="129">
        <f ca="1"/>
        <v>45623</v>
      </c>
      <c r="R819" s="129">
        <f ca="1"/>
        <v>45802</v>
      </c>
      <c r="S819" s="89">
        <f ca="1"/>
        <v>178</v>
      </c>
      <c r="T819" s="143">
        <f ca="1"/>
        <v>0.98888888888888893</v>
      </c>
      <c r="U819" s="131">
        <f ca="1"/>
        <v>4752</v>
      </c>
      <c r="V819" s="125">
        <f ca="1"/>
        <v>1188</v>
      </c>
      <c r="W819" s="144">
        <f ca="1"/>
        <v>0</v>
      </c>
      <c r="X819" s="143">
        <f ca="1"/>
        <v>1</v>
      </c>
      <c r="Y819" s="145">
        <f ca="1"/>
        <v>0.78529499999999997</v>
      </c>
      <c r="Z819" s="145">
        <f ca="1"/>
        <v>0.78529499999999997</v>
      </c>
      <c r="AA819" s="125">
        <f ca="1"/>
        <v>3731.7218399999997</v>
      </c>
      <c r="AB819" s="125">
        <f ca="1"/>
        <v>1</v>
      </c>
      <c r="AC819" s="98" t="str">
        <f ca="1"/>
        <v>VIGENTE</v>
      </c>
      <c r="AD819" s="147">
        <f ca="1"/>
        <v>1.1879999999999999</v>
      </c>
    </row>
    <row r="820" spans="1:30">
      <c r="A820" t="str">
        <f ca="1"/>
        <v>SAN GABRIEL</v>
      </c>
      <c r="B820" t="str">
        <f ca="1"/>
        <v>POSTRES</v>
      </c>
      <c r="C820" t="str">
        <f ca="1"/>
        <v xml:space="preserve">Luis Armendariz                         </v>
      </c>
      <c r="D820" t="str">
        <f ca="1"/>
        <v>AREQUIPE ALPINA</v>
      </c>
      <c r="E820" t="str">
        <f ca="1"/>
        <v>AREQUIPE ALPINA</v>
      </c>
      <c r="F820" s="125" t="str">
        <f ca="1"/>
        <v>MACHACHI</v>
      </c>
      <c r="G820" s="125">
        <f ca="1"/>
        <v>7701</v>
      </c>
      <c r="H820" s="125">
        <f ca="1"/>
        <v>1080</v>
      </c>
      <c r="I820" s="125" t="str">
        <f ca="1"/>
        <v>8260</v>
      </c>
      <c r="J820" s="125" t="str">
        <f ca="1"/>
        <v>AREQUIPE VASO 250G ECU</v>
      </c>
      <c r="K820" s="126">
        <f ca="1"/>
        <v>1134</v>
      </c>
      <c r="L820" s="127">
        <f ca="1"/>
        <v>1</v>
      </c>
      <c r="M820" s="125">
        <f ca="1"/>
        <v>0.25</v>
      </c>
      <c r="N820" s="126">
        <f ca="1"/>
        <v>180</v>
      </c>
      <c r="O820" s="128">
        <f ca="1"/>
        <v>45615</v>
      </c>
      <c r="P820" s="128" t="str">
        <f ca="1"/>
        <v>martes</v>
      </c>
      <c r="Q820" s="129">
        <f ca="1"/>
        <v>45615</v>
      </c>
      <c r="R820" s="129">
        <f ca="1"/>
        <v>45794</v>
      </c>
      <c r="S820" s="89">
        <f ca="1"/>
        <v>170</v>
      </c>
      <c r="T820" s="143">
        <f ca="1"/>
        <v>0.94444444444444442</v>
      </c>
      <c r="U820" s="131">
        <f ca="1"/>
        <v>1134</v>
      </c>
      <c r="V820" s="125">
        <f ca="1"/>
        <v>283.5</v>
      </c>
      <c r="W820" s="144">
        <f ca="1"/>
        <v>0</v>
      </c>
      <c r="X820" s="143">
        <f ca="1"/>
        <v>1</v>
      </c>
      <c r="Y820" s="145">
        <f ca="1"/>
        <v>0.78529499999999997</v>
      </c>
      <c r="Z820" s="145">
        <f ca="1"/>
        <v>0.78529499999999997</v>
      </c>
      <c r="AA820" s="125">
        <f ca="1"/>
        <v>890.52452999999991</v>
      </c>
      <c r="AB820" s="125">
        <f ca="1"/>
        <v>9</v>
      </c>
      <c r="AC820" s="98" t="str">
        <f ca="1"/>
        <v>VIGENTE</v>
      </c>
      <c r="AD820" s="147">
        <f ca="1"/>
        <v>0.28349999999999997</v>
      </c>
    </row>
    <row r="821" spans="1:30">
      <c r="A821" t="str">
        <f ca="1"/>
        <v>SAN GABRIEL</v>
      </c>
      <c r="B821" t="str">
        <f ca="1"/>
        <v>POSTRES</v>
      </c>
      <c r="C821" t="str">
        <f ca="1"/>
        <v xml:space="preserve">Luis Armendariz                         </v>
      </c>
      <c r="D821" t="str">
        <f ca="1"/>
        <v>AREQUIPE ALPINA</v>
      </c>
      <c r="E821" t="str">
        <f ca="1"/>
        <v>AREQUIPE ALPINA</v>
      </c>
      <c r="F821" s="125" t="str">
        <f ca="1"/>
        <v>MACHACHI</v>
      </c>
      <c r="G821" s="125">
        <f ca="1"/>
        <v>7701</v>
      </c>
      <c r="H821" s="125">
        <f ca="1"/>
        <v>1080</v>
      </c>
      <c r="I821" s="125" t="str">
        <f ca="1"/>
        <v>8260</v>
      </c>
      <c r="J821" s="125" t="str">
        <f ca="1"/>
        <v>AREQUIPE VASO 250G ECU</v>
      </c>
      <c r="K821" s="126">
        <f ca="1"/>
        <v>3780</v>
      </c>
      <c r="L821" s="127">
        <f ca="1"/>
        <v>1</v>
      </c>
      <c r="M821" s="125">
        <f ca="1"/>
        <v>0.25</v>
      </c>
      <c r="N821" s="126">
        <f ca="1"/>
        <v>180</v>
      </c>
      <c r="O821" s="128">
        <f ca="1"/>
        <v>45617</v>
      </c>
      <c r="P821" s="128" t="str">
        <f ca="1"/>
        <v>jueves</v>
      </c>
      <c r="Q821" s="129">
        <f ca="1"/>
        <v>45617</v>
      </c>
      <c r="R821" s="129">
        <f ca="1"/>
        <v>45796</v>
      </c>
      <c r="S821" s="89">
        <f ca="1"/>
        <v>172</v>
      </c>
      <c r="T821" s="143">
        <f ca="1"/>
        <v>0.9555555555555556</v>
      </c>
      <c r="U821" s="131">
        <f ca="1"/>
        <v>3780</v>
      </c>
      <c r="V821" s="125">
        <f ca="1"/>
        <v>945</v>
      </c>
      <c r="W821" s="144">
        <f ca="1"/>
        <v>0</v>
      </c>
      <c r="X821" s="143">
        <f ca="1"/>
        <v>1</v>
      </c>
      <c r="Y821" s="145">
        <f ca="1"/>
        <v>0.78529499999999997</v>
      </c>
      <c r="Z821" s="145">
        <f ca="1"/>
        <v>0.78529499999999997</v>
      </c>
      <c r="AA821" s="125">
        <f ca="1"/>
        <v>2968.4150999999997</v>
      </c>
      <c r="AB821" s="125">
        <f ca="1"/>
        <v>7</v>
      </c>
      <c r="AC821" s="98" t="str">
        <f ca="1"/>
        <v>VIGENTE</v>
      </c>
      <c r="AD821" s="147">
        <f ca="1"/>
        <v>0.94499999999999995</v>
      </c>
    </row>
    <row r="822" spans="1:30">
      <c r="A822" t="str">
        <f ca="1"/>
        <v>SAN GABRIEL</v>
      </c>
      <c r="B822" t="str">
        <f ca="1"/>
        <v>POSTRES</v>
      </c>
      <c r="C822" t="str">
        <f ca="1"/>
        <v xml:space="preserve">Luis Armendariz                         </v>
      </c>
      <c r="D822" t="str">
        <f ca="1"/>
        <v>AREQUIPE ALPINA</v>
      </c>
      <c r="E822" t="str">
        <f ca="1"/>
        <v>AREQUIPE ALPINA</v>
      </c>
      <c r="F822" s="125" t="str">
        <f ca="1"/>
        <v>MACHACHI</v>
      </c>
      <c r="G822" s="125">
        <f ca="1"/>
        <v>7701</v>
      </c>
      <c r="H822" s="125">
        <f ca="1"/>
        <v>1080</v>
      </c>
      <c r="I822" s="125" t="str">
        <f ca="1"/>
        <v>8261</v>
      </c>
      <c r="J822" s="125" t="str">
        <f ca="1"/>
        <v>AREQUIPE VASO 500G ECU</v>
      </c>
      <c r="K822" s="126">
        <f ca="1"/>
        <v>1254</v>
      </c>
      <c r="L822" s="127">
        <f ca="1"/>
        <v>1</v>
      </c>
      <c r="M822" s="125">
        <f ca="1"/>
        <v>0.5</v>
      </c>
      <c r="N822" s="126">
        <f ca="1"/>
        <v>180</v>
      </c>
      <c r="O822" s="128">
        <f ca="1"/>
        <v>45622</v>
      </c>
      <c r="P822" s="128" t="str">
        <f ca="1"/>
        <v>martes</v>
      </c>
      <c r="Q822" s="129">
        <f ca="1"/>
        <v>45622</v>
      </c>
      <c r="R822" s="129">
        <f ca="1"/>
        <v>45801</v>
      </c>
      <c r="S822" s="89">
        <f ca="1"/>
        <v>177</v>
      </c>
      <c r="T822" s="143">
        <f ca="1"/>
        <v>0.98333333333333328</v>
      </c>
      <c r="U822" s="131">
        <f ca="1"/>
        <v>1254</v>
      </c>
      <c r="V822" s="125">
        <f ca="1"/>
        <v>627</v>
      </c>
      <c r="W822" s="144">
        <f ca="1"/>
        <v>0</v>
      </c>
      <c r="X822" s="143">
        <f ca="1"/>
        <v>1</v>
      </c>
      <c r="Y822" s="145">
        <f ca="1"/>
        <v>1.477565</v>
      </c>
      <c r="Z822" s="145">
        <f ca="1"/>
        <v>1.477565</v>
      </c>
      <c r="AA822" s="125">
        <f ca="1"/>
        <v>1852.8665100000001</v>
      </c>
      <c r="AB822" s="125">
        <f ca="1"/>
        <v>2</v>
      </c>
      <c r="AC822" s="98" t="str">
        <f ca="1"/>
        <v>VIGENTE</v>
      </c>
      <c r="AD822" s="147">
        <f ca="1"/>
        <v>0.627</v>
      </c>
    </row>
    <row r="823" spans="1:30">
      <c r="A823" t="str">
        <f ca="1"/>
        <v>SAN GABRIEL</v>
      </c>
      <c r="B823" t="str">
        <f ca="1"/>
        <v>POSTRES</v>
      </c>
      <c r="C823" t="str">
        <f ca="1"/>
        <v xml:space="preserve">Luis Armendariz                         </v>
      </c>
      <c r="D823" t="str">
        <f ca="1"/>
        <v>AREQUIPE ALPINA</v>
      </c>
      <c r="E823" t="str">
        <f ca="1"/>
        <v>AREQUIPE ALPINA</v>
      </c>
      <c r="F823" s="125" t="str">
        <f ca="1"/>
        <v>MACHACHI</v>
      </c>
      <c r="G823" s="125">
        <f ca="1"/>
        <v>7701</v>
      </c>
      <c r="H823" s="125">
        <f ca="1"/>
        <v>1080</v>
      </c>
      <c r="I823" s="125" t="str">
        <f ca="1"/>
        <v>8261</v>
      </c>
      <c r="J823" s="125" t="str">
        <f ca="1"/>
        <v>AREQUIPE VASO 500G ECU</v>
      </c>
      <c r="K823" s="126">
        <f ca="1"/>
        <v>504</v>
      </c>
      <c r="L823" s="127">
        <f ca="1"/>
        <v>1</v>
      </c>
      <c r="M823" s="125">
        <f ca="1"/>
        <v>0.5</v>
      </c>
      <c r="N823" s="126">
        <f ca="1"/>
        <v>180</v>
      </c>
      <c r="O823" s="128">
        <f ca="1"/>
        <v>45621</v>
      </c>
      <c r="P823" s="128" t="str">
        <f ca="1"/>
        <v>lunes</v>
      </c>
      <c r="Q823" s="129">
        <f ca="1"/>
        <v>45621</v>
      </c>
      <c r="R823" s="129">
        <f ca="1"/>
        <v>45800</v>
      </c>
      <c r="S823" s="89">
        <f ca="1"/>
        <v>176</v>
      </c>
      <c r="T823" s="143">
        <f ca="1"/>
        <v>0.97777777777777775</v>
      </c>
      <c r="U823" s="131">
        <f ca="1"/>
        <v>504</v>
      </c>
      <c r="V823" s="125">
        <f ca="1"/>
        <v>252</v>
      </c>
      <c r="W823" s="144">
        <f ca="1"/>
        <v>0</v>
      </c>
      <c r="X823" s="143">
        <f ca="1"/>
        <v>1</v>
      </c>
      <c r="Y823" s="145">
        <f ca="1"/>
        <v>1.477565</v>
      </c>
      <c r="Z823" s="145">
        <f ca="1"/>
        <v>1.477565</v>
      </c>
      <c r="AA823" s="125">
        <f ca="1"/>
        <v>744.69276000000002</v>
      </c>
      <c r="AB823" s="125">
        <f ca="1"/>
        <v>3</v>
      </c>
      <c r="AC823" s="98" t="str">
        <f ca="1"/>
        <v>VIGENTE</v>
      </c>
      <c r="AD823" s="147">
        <f ca="1"/>
        <v>0.252</v>
      </c>
    </row>
    <row r="824" spans="1:30">
      <c r="A824" t="str">
        <f ca="1"/>
        <v>SAN GABRIEL</v>
      </c>
      <c r="B824" t="str">
        <f ca="1"/>
        <v>POSTRES</v>
      </c>
      <c r="C824" t="str">
        <f ca="1"/>
        <v xml:space="preserve">Luis Armendariz                         </v>
      </c>
      <c r="D824" t="str">
        <f ca="1"/>
        <v>AREQUIPE ALPINA</v>
      </c>
      <c r="E824" t="str">
        <f ca="1"/>
        <v>AREQUIPE ALPINA</v>
      </c>
      <c r="F824" s="125" t="str">
        <f ca="1"/>
        <v>MACHACHI</v>
      </c>
      <c r="G824" s="125">
        <f ca="1"/>
        <v>7701</v>
      </c>
      <c r="H824" s="125">
        <f ca="1"/>
        <v>1080</v>
      </c>
      <c r="I824" s="125" t="str">
        <f ca="1"/>
        <v>8261</v>
      </c>
      <c r="J824" s="125" t="str">
        <f ca="1"/>
        <v>AREQUIPE VASO 500G ECU</v>
      </c>
      <c r="K824" s="126">
        <f ca="1"/>
        <v>4284</v>
      </c>
      <c r="L824" s="127">
        <f ca="1"/>
        <v>1</v>
      </c>
      <c r="M824" s="125">
        <f ca="1"/>
        <v>0.5</v>
      </c>
      <c r="N824" s="126">
        <f ca="1"/>
        <v>180</v>
      </c>
      <c r="O824" s="128">
        <f ca="1"/>
        <v>45619</v>
      </c>
      <c r="P824" s="128" t="str">
        <f ca="1"/>
        <v>sábado</v>
      </c>
      <c r="Q824" s="129">
        <f ca="1"/>
        <v>45619</v>
      </c>
      <c r="R824" s="129">
        <f ca="1"/>
        <v>45798</v>
      </c>
      <c r="S824" s="89">
        <f ca="1"/>
        <v>174</v>
      </c>
      <c r="T824" s="143">
        <f ca="1"/>
        <v>0.96666666666666667</v>
      </c>
      <c r="U824" s="131">
        <f ca="1"/>
        <v>4284</v>
      </c>
      <c r="V824" s="125">
        <f ca="1"/>
        <v>2142</v>
      </c>
      <c r="W824" s="144">
        <f ca="1"/>
        <v>0</v>
      </c>
      <c r="X824" s="143">
        <f ca="1"/>
        <v>1</v>
      </c>
      <c r="Y824" s="145">
        <f ca="1"/>
        <v>1.477565</v>
      </c>
      <c r="Z824" s="145">
        <f ca="1"/>
        <v>1.477565</v>
      </c>
      <c r="AA824" s="125">
        <f ca="1"/>
        <v>6329.8884600000001</v>
      </c>
      <c r="AB824" s="125">
        <f ca="1"/>
        <v>5</v>
      </c>
      <c r="AC824" s="98" t="str">
        <f ca="1"/>
        <v>VIGENTE</v>
      </c>
      <c r="AD824" s="147">
        <f ca="1"/>
        <v>2.1419999999999999</v>
      </c>
    </row>
    <row r="825" spans="1:30">
      <c r="A825" t="str">
        <f ca="1"/>
        <v>SAN GABRIEL</v>
      </c>
      <c r="B825" t="str">
        <f ca="1"/>
        <v>POSTRES</v>
      </c>
      <c r="C825" t="str">
        <f ca="1"/>
        <v xml:space="preserve">Luis Armendariz                         </v>
      </c>
      <c r="D825" t="str">
        <f ca="1"/>
        <v>DULCE LECHE KIOSCO</v>
      </c>
      <c r="E825" t="str">
        <f ca="1"/>
        <v>DULCE DE LECHE KIOSCO FAMILIAR</v>
      </c>
      <c r="F825" s="125" t="str">
        <f ca="1"/>
        <v>MACHACHI</v>
      </c>
      <c r="G825" s="125">
        <f ca="1"/>
        <v>7701</v>
      </c>
      <c r="H825" s="125">
        <f ca="1"/>
        <v>1080</v>
      </c>
      <c r="I825" s="125" t="str">
        <f ca="1"/>
        <v>5706</v>
      </c>
      <c r="J825" s="125" t="str">
        <f ca="1"/>
        <v>DULCE LCH KIOSKO VASO 250G</v>
      </c>
      <c r="K825" s="126">
        <f ca="1"/>
        <v>3929</v>
      </c>
      <c r="L825" s="127">
        <f ca="1"/>
        <v>1</v>
      </c>
      <c r="M825" s="125">
        <f ca="1"/>
        <v>0.25</v>
      </c>
      <c r="N825" s="126">
        <f ca="1"/>
        <v>180</v>
      </c>
      <c r="O825" s="128">
        <f ca="1"/>
        <v>45618</v>
      </c>
      <c r="P825" s="128" t="str">
        <f ca="1"/>
        <v>viernes</v>
      </c>
      <c r="Q825" s="129">
        <f ca="1"/>
        <v>45618</v>
      </c>
      <c r="R825" s="129">
        <f ca="1"/>
        <v>45797</v>
      </c>
      <c r="S825" s="89">
        <f ca="1"/>
        <v>173</v>
      </c>
      <c r="T825" s="143">
        <f ca="1"/>
        <v>0.96111111111111114</v>
      </c>
      <c r="U825" s="131">
        <f ca="1"/>
        <v>3929</v>
      </c>
      <c r="V825" s="125">
        <f ca="1"/>
        <v>982.25</v>
      </c>
      <c r="W825" s="144">
        <f ca="1"/>
        <v>0</v>
      </c>
      <c r="X825" s="143">
        <f ca="1"/>
        <v>1</v>
      </c>
      <c r="Y825" s="145">
        <f ca="1"/>
        <v>0.69541500000000001</v>
      </c>
      <c r="Z825" s="145">
        <f ca="1"/>
        <v>0.69541500000000001</v>
      </c>
      <c r="AA825" s="125">
        <f ca="1"/>
        <v>2732.285535</v>
      </c>
      <c r="AB825" s="125">
        <f ca="1"/>
        <v>6</v>
      </c>
      <c r="AC825" s="98" t="str">
        <f ca="1"/>
        <v>VIGENTE</v>
      </c>
      <c r="AD825" s="147">
        <f ca="1"/>
        <v>0.98224999999999996</v>
      </c>
    </row>
    <row r="826" spans="1:30">
      <c r="A826" t="str">
        <f ca="1"/>
        <v>SAN GABRIEL</v>
      </c>
      <c r="B826" t="str">
        <f ca="1"/>
        <v>POSTRES</v>
      </c>
      <c r="C826" t="str">
        <f ca="1"/>
        <v xml:space="preserve">Luis Armendariz                         </v>
      </c>
      <c r="D826" t="str">
        <f ca="1"/>
        <v>DULCE LECHE KIOSCO</v>
      </c>
      <c r="E826" t="str">
        <f ca="1"/>
        <v>DULCE DE LECHE KIOSCO FAMILIAR</v>
      </c>
      <c r="F826" s="125" t="str">
        <f ca="1"/>
        <v>MACHACHI</v>
      </c>
      <c r="G826" s="125">
        <f ca="1"/>
        <v>7701</v>
      </c>
      <c r="H826" s="125">
        <f ca="1"/>
        <v>1080</v>
      </c>
      <c r="I826" s="125" t="str">
        <f ca="1"/>
        <v>5709</v>
      </c>
      <c r="J826" s="125" t="str">
        <f ca="1"/>
        <v>DULCE LCH KIOSKO VASO 500G</v>
      </c>
      <c r="K826" s="126">
        <f ca="1"/>
        <v>1088</v>
      </c>
      <c r="L826" s="127">
        <f ca="1"/>
        <v>1</v>
      </c>
      <c r="M826" s="125">
        <f ca="1"/>
        <v>0.5</v>
      </c>
      <c r="N826" s="126">
        <f ca="1"/>
        <v>180</v>
      </c>
      <c r="O826" s="128">
        <f ca="1"/>
        <v>45596</v>
      </c>
      <c r="P826" s="128" t="str">
        <f ca="1"/>
        <v>jueves</v>
      </c>
      <c r="Q826" s="129">
        <f ca="1"/>
        <v>45596</v>
      </c>
      <c r="R826" s="129">
        <f ca="1"/>
        <v>45775</v>
      </c>
      <c r="S826" s="89">
        <f ca="1"/>
        <v>151</v>
      </c>
      <c r="T826" s="143">
        <f ca="1"/>
        <v>0.83888888888888891</v>
      </c>
      <c r="U826" s="131">
        <f ca="1"/>
        <v>1088</v>
      </c>
      <c r="V826" s="125">
        <f ca="1"/>
        <v>544</v>
      </c>
      <c r="W826" s="144">
        <f ca="1"/>
        <v>0</v>
      </c>
      <c r="X826" s="143">
        <f ca="1"/>
        <v>1</v>
      </c>
      <c r="Y826" s="145">
        <f ca="1"/>
        <v>1.3121100000000001</v>
      </c>
      <c r="Z826" s="145">
        <f ca="1"/>
        <v>1.3121100000000001</v>
      </c>
      <c r="AA826" s="125">
        <f ca="1"/>
        <v>1427.5756800000001</v>
      </c>
      <c r="AB826" s="125">
        <f ca="1"/>
        <v>28</v>
      </c>
      <c r="AC826" s="98" t="str">
        <f ca="1"/>
        <v>VIGENTE</v>
      </c>
      <c r="AD826" s="147">
        <f ca="1"/>
        <v>0.54400000000000004</v>
      </c>
    </row>
    <row r="827" spans="1:30">
      <c r="A827" t="str">
        <f ca="1"/>
        <v>SAN GABRIEL</v>
      </c>
      <c r="B827" t="str">
        <f ca="1"/>
        <v>POSTRES</v>
      </c>
      <c r="C827" t="str">
        <f ca="1"/>
        <v xml:space="preserve">Luis Armendariz                         </v>
      </c>
      <c r="D827" t="str">
        <f ca="1"/>
        <v>DULCE LECHE KIOSCO</v>
      </c>
      <c r="E827" t="str">
        <f ca="1"/>
        <v>DULCE DE LECHE KIOSCO FAMILIAR</v>
      </c>
      <c r="F827" s="125" t="str">
        <f ca="1"/>
        <v>MACHACHI</v>
      </c>
      <c r="G827" s="125">
        <f ca="1"/>
        <v>7701</v>
      </c>
      <c r="H827" s="125">
        <f ca="1"/>
        <v>1080</v>
      </c>
      <c r="I827" s="125" t="str">
        <f ca="1"/>
        <v>5709</v>
      </c>
      <c r="J827" s="125" t="str">
        <f ca="1"/>
        <v>DULCE LCH KIOSKO VASO 500G</v>
      </c>
      <c r="K827" s="126">
        <f ca="1"/>
        <v>2520</v>
      </c>
      <c r="L827" s="127">
        <f ca="1"/>
        <v>1</v>
      </c>
      <c r="M827" s="125">
        <f ca="1"/>
        <v>0.5</v>
      </c>
      <c r="N827" s="126">
        <f ca="1"/>
        <v>180</v>
      </c>
      <c r="O827" s="128">
        <f ca="1"/>
        <v>45618</v>
      </c>
      <c r="P827" s="128" t="str">
        <f ca="1"/>
        <v>viernes</v>
      </c>
      <c r="Q827" s="129">
        <f ca="1"/>
        <v>45618</v>
      </c>
      <c r="R827" s="129">
        <f ca="1"/>
        <v>45797</v>
      </c>
      <c r="S827" s="89">
        <f ca="1"/>
        <v>173</v>
      </c>
      <c r="T827" s="143">
        <f ca="1"/>
        <v>0.96111111111111114</v>
      </c>
      <c r="U827" s="131">
        <f ca="1"/>
        <v>2520</v>
      </c>
      <c r="V827" s="125">
        <f ca="1"/>
        <v>1260</v>
      </c>
      <c r="W827" s="144">
        <f ca="1"/>
        <v>0</v>
      </c>
      <c r="X827" s="143">
        <f ca="1"/>
        <v>1</v>
      </c>
      <c r="Y827" s="145">
        <f ca="1"/>
        <v>1.3121100000000001</v>
      </c>
      <c r="Z827" s="145">
        <f ca="1"/>
        <v>1.3121100000000001</v>
      </c>
      <c r="AA827" s="125">
        <f ca="1"/>
        <v>3306.5172000000002</v>
      </c>
      <c r="AB827" s="125">
        <f ca="1"/>
        <v>6</v>
      </c>
      <c r="AC827" s="98" t="str">
        <f ca="1"/>
        <v>VIGENTE</v>
      </c>
      <c r="AD827" s="147">
        <f ca="1"/>
        <v>1.26</v>
      </c>
    </row>
    <row r="828" spans="1:30">
      <c r="A828" t="str">
        <f ca="1"/>
        <v>SAN GABRIEL</v>
      </c>
      <c r="B828" t="str">
        <f ca="1"/>
        <v>QUESOS Y GRASAS</v>
      </c>
      <c r="C828" t="str">
        <f ca="1"/>
        <v xml:space="preserve">Esteban Montenegro                      </v>
      </c>
      <c r="D828" t="str">
        <f ca="1"/>
        <v>QUESO SEMIMADURO KIOSKO</v>
      </c>
      <c r="E828" t="str">
        <f ca="1"/>
        <v>QUESO JAVIERINO KIOSKO TAJADO</v>
      </c>
      <c r="F828" s="125" t="str">
        <f ca="1"/>
        <v>MACHACHI</v>
      </c>
      <c r="G828" s="125">
        <f ca="1"/>
        <v>7701</v>
      </c>
      <c r="H828" s="125">
        <f ca="1"/>
        <v>1080</v>
      </c>
      <c r="I828" s="125" t="str">
        <f ca="1"/>
        <v>14713</v>
      </c>
      <c r="J828" s="125" t="str">
        <f ca="1"/>
        <v>Q JAVIERINO KIOSKO RALLADO 1.5K</v>
      </c>
      <c r="K828" s="126">
        <f ca="1"/>
        <v>30</v>
      </c>
      <c r="L828" s="127">
        <f ca="1"/>
        <v>1</v>
      </c>
      <c r="M828" s="125">
        <f ca="1"/>
        <v>1.5</v>
      </c>
      <c r="N828" s="126">
        <f ca="1"/>
        <v>60</v>
      </c>
      <c r="O828" s="128">
        <f ca="1"/>
        <v>45609</v>
      </c>
      <c r="P828" s="128" t="str">
        <f ca="1"/>
        <v>miércoles</v>
      </c>
      <c r="Q828" s="129">
        <f ca="1"/>
        <v>45609</v>
      </c>
      <c r="R828" s="129">
        <f ca="1"/>
        <v>45668</v>
      </c>
      <c r="S828" s="89">
        <f ca="1"/>
        <v>44</v>
      </c>
      <c r="T828" s="143">
        <f ca="1"/>
        <v>0.73333333333333328</v>
      </c>
      <c r="U828" s="131">
        <f ca="1"/>
        <v>30</v>
      </c>
      <c r="V828" s="125">
        <f ca="1"/>
        <v>45</v>
      </c>
      <c r="W828" s="144">
        <f ca="1"/>
        <v>0</v>
      </c>
      <c r="X828" s="143">
        <f ca="1"/>
        <v>1</v>
      </c>
      <c r="Y828" s="145">
        <f ca="1"/>
        <v>10.255265</v>
      </c>
      <c r="Z828" s="145">
        <f ca="1"/>
        <v>10.255265</v>
      </c>
      <c r="AA828" s="125">
        <f ca="1"/>
        <v>307.65794999999997</v>
      </c>
      <c r="AB828" s="125">
        <f ca="1"/>
        <v>15</v>
      </c>
      <c r="AC828" s="98" t="str">
        <f ca="1"/>
        <v>VIGENTE</v>
      </c>
      <c r="AD828" s="147">
        <f ca="1"/>
        <v>4.4999999999999998E-2</v>
      </c>
    </row>
    <row r="829" spans="1:30">
      <c r="A829" t="str">
        <f ca="1"/>
        <v>SAN GABRIEL</v>
      </c>
      <c r="B829" t="str">
        <f ca="1"/>
        <v>QUESOS Y GRASAS</v>
      </c>
      <c r="C829" t="str">
        <f ca="1"/>
        <v xml:space="preserve">Esteban Montenegro                      </v>
      </c>
      <c r="D829" t="str">
        <f ca="1"/>
        <v>QUESO SEMIMADURO KIOSKO</v>
      </c>
      <c r="E829" t="str">
        <f ca="1"/>
        <v>QUESO JAVIERINO KIOSKO TAJADO</v>
      </c>
      <c r="F829" s="125" t="str">
        <f ca="1"/>
        <v>MACHACHI</v>
      </c>
      <c r="G829" s="125">
        <f ca="1"/>
        <v>7701</v>
      </c>
      <c r="H829" s="125">
        <f ca="1"/>
        <v>1080</v>
      </c>
      <c r="I829" s="125" t="str">
        <f ca="1"/>
        <v>14713</v>
      </c>
      <c r="J829" s="125" t="str">
        <f ca="1"/>
        <v>Q JAVIERINO KIOSKO RALLADO 1.5K</v>
      </c>
      <c r="K829" s="126">
        <f ca="1"/>
        <v>24</v>
      </c>
      <c r="L829" s="127">
        <f ca="1"/>
        <v>1</v>
      </c>
      <c r="M829" s="125">
        <f ca="1"/>
        <v>1.5</v>
      </c>
      <c r="N829" s="126">
        <f ca="1"/>
        <v>60</v>
      </c>
      <c r="O829" s="128">
        <f ca="1"/>
        <v>45602</v>
      </c>
      <c r="P829" s="128" t="str">
        <f ca="1"/>
        <v>miércoles</v>
      </c>
      <c r="Q829" s="129">
        <f ca="1"/>
        <v>45602</v>
      </c>
      <c r="R829" s="129">
        <f ca="1"/>
        <v>45661</v>
      </c>
      <c r="S829" s="89">
        <f ca="1"/>
        <v>37</v>
      </c>
      <c r="T829" s="143">
        <f ca="1"/>
        <v>0.6166666666666667</v>
      </c>
      <c r="U829" s="131">
        <f ca="1"/>
        <v>24</v>
      </c>
      <c r="V829" s="125">
        <f ca="1"/>
        <v>36</v>
      </c>
      <c r="W829" s="144">
        <f ca="1"/>
        <v>0</v>
      </c>
      <c r="X829" s="143">
        <f ca="1"/>
        <v>1</v>
      </c>
      <c r="Y829" s="145">
        <f ca="1"/>
        <v>10.255265</v>
      </c>
      <c r="Z829" s="145">
        <f ca="1"/>
        <v>10.255265</v>
      </c>
      <c r="AA829" s="125">
        <f ca="1"/>
        <v>246.12635999999998</v>
      </c>
      <c r="AB829" s="125">
        <f ca="1"/>
        <v>22</v>
      </c>
      <c r="AC829" s="98" t="str">
        <f ca="1"/>
        <v>VIGENTE</v>
      </c>
      <c r="AD829" s="147">
        <f ca="1"/>
        <v>3.5999999999999997E-2</v>
      </c>
    </row>
    <row r="830" spans="1:30">
      <c r="A830" t="str">
        <f ca="1"/>
        <v>SAN GABRIEL</v>
      </c>
      <c r="B830" t="str">
        <f ca="1"/>
        <v>QUESOS Y GRASAS</v>
      </c>
      <c r="C830" t="str">
        <f ca="1"/>
        <v xml:space="preserve">Esteban Montenegro                      </v>
      </c>
      <c r="D830" t="str">
        <f ca="1"/>
        <v>QUESO SEMIMADURO KIOSKO</v>
      </c>
      <c r="E830" t="str">
        <f ca="1"/>
        <v>QUESO JAVIERINO KIOSKO TAJADO</v>
      </c>
      <c r="F830" s="125" t="str">
        <f ca="1"/>
        <v>MACHACHI</v>
      </c>
      <c r="G830" s="125">
        <f ca="1"/>
        <v>7701</v>
      </c>
      <c r="H830" s="125">
        <f ca="1"/>
        <v>1080</v>
      </c>
      <c r="I830" s="125" t="str">
        <f ca="1"/>
        <v>14713</v>
      </c>
      <c r="J830" s="125" t="str">
        <f ca="1"/>
        <v>Q JAVIERINO KIOSKO RALLADO 1.5K</v>
      </c>
      <c r="K830" s="126">
        <f ca="1"/>
        <v>100</v>
      </c>
      <c r="L830" s="127">
        <f ca="1"/>
        <v>1</v>
      </c>
      <c r="M830" s="125">
        <f ca="1"/>
        <v>1.5</v>
      </c>
      <c r="N830" s="126">
        <f ca="1"/>
        <v>60</v>
      </c>
      <c r="O830" s="128">
        <f ca="1"/>
        <v>45613</v>
      </c>
      <c r="P830" s="128" t="str">
        <f ca="1"/>
        <v>domingo</v>
      </c>
      <c r="Q830" s="129">
        <f ca="1"/>
        <v>45613</v>
      </c>
      <c r="R830" s="129">
        <f ca="1"/>
        <v>45672</v>
      </c>
      <c r="S830" s="89">
        <f ca="1"/>
        <v>48</v>
      </c>
      <c r="T830" s="143">
        <f ca="1"/>
        <v>0.8</v>
      </c>
      <c r="U830" s="131">
        <f ca="1"/>
        <v>100</v>
      </c>
      <c r="V830" s="125">
        <f ca="1"/>
        <v>150</v>
      </c>
      <c r="W830" s="144">
        <f ca="1"/>
        <v>0</v>
      </c>
      <c r="X830" s="143">
        <f ca="1"/>
        <v>1</v>
      </c>
      <c r="Y830" s="145">
        <f ca="1"/>
        <v>10.255265</v>
      </c>
      <c r="Z830" s="145">
        <f ca="1"/>
        <v>10.255265</v>
      </c>
      <c r="AA830" s="125">
        <f ca="1"/>
        <v>1025.5264999999999</v>
      </c>
      <c r="AB830" s="125">
        <f ca="1"/>
        <v>11</v>
      </c>
      <c r="AC830" s="98" t="str">
        <f ca="1"/>
        <v>VIGENTE</v>
      </c>
      <c r="AD830" s="147">
        <f ca="1"/>
        <v>0.15</v>
      </c>
    </row>
    <row r="831" spans="1:30">
      <c r="A831" t="str">
        <f ca="1"/>
        <v>SAN GABRIEL</v>
      </c>
      <c r="B831" t="str">
        <f ca="1"/>
        <v>QUESOS Y GRASAS</v>
      </c>
      <c r="C831" t="str">
        <f ca="1"/>
        <v xml:space="preserve">Esteban Montenegro                      </v>
      </c>
      <c r="D831" t="str">
        <f ca="1"/>
        <v>QUESO MOZARELLA KIOSKO</v>
      </c>
      <c r="E831" t="str">
        <f ca="1"/>
        <v>QUESO MOZARELLA PIZZA KIOSKO RALLADO</v>
      </c>
      <c r="F831" s="125" t="str">
        <f ca="1"/>
        <v>MACHACHI</v>
      </c>
      <c r="G831" s="125">
        <f ca="1"/>
        <v>7701</v>
      </c>
      <c r="H831" s="125">
        <f ca="1"/>
        <v>1080</v>
      </c>
      <c r="I831" s="125" t="str">
        <f ca="1"/>
        <v>14714</v>
      </c>
      <c r="J831" s="125" t="str">
        <f ca="1"/>
        <v>Q MOZZARELLA PIZZ KIOSKO RALLADO 1.5K</v>
      </c>
      <c r="K831" s="126">
        <f ca="1"/>
        <v>13</v>
      </c>
      <c r="L831" s="127">
        <f ca="1"/>
        <v>1</v>
      </c>
      <c r="M831" s="125">
        <f ca="1"/>
        <v>1.5</v>
      </c>
      <c r="N831" s="126">
        <f ca="1"/>
        <v>30</v>
      </c>
      <c r="O831" s="128">
        <f ca="1"/>
        <v>45619</v>
      </c>
      <c r="P831" s="128" t="str">
        <f ca="1"/>
        <v>sábado</v>
      </c>
      <c r="Q831" s="129">
        <f ca="1"/>
        <v>45619</v>
      </c>
      <c r="R831" s="129">
        <f ca="1"/>
        <v>45648</v>
      </c>
      <c r="S831" s="89">
        <f ca="1"/>
        <v>24</v>
      </c>
      <c r="T831" s="143">
        <f ca="1"/>
        <v>0.8</v>
      </c>
      <c r="U831" s="131">
        <f ca="1"/>
        <v>13</v>
      </c>
      <c r="V831" s="125">
        <f ca="1"/>
        <v>19.5</v>
      </c>
      <c r="W831" s="144">
        <f ca="1"/>
        <v>0</v>
      </c>
      <c r="X831" s="143">
        <f ca="1"/>
        <v>1</v>
      </c>
      <c r="Y831" s="145">
        <f ca="1"/>
        <v>9.0726650000000006</v>
      </c>
      <c r="Z831" s="145">
        <f ca="1"/>
        <v>9.0726650000000006</v>
      </c>
      <c r="AA831" s="125">
        <f ca="1"/>
        <v>117.94464500000001</v>
      </c>
      <c r="AB831" s="125">
        <f ca="1"/>
        <v>5</v>
      </c>
      <c r="AC831" s="98" t="str">
        <f ca="1"/>
        <v>PROXIMOS FECHA CORTA</v>
      </c>
      <c r="AD831" s="147">
        <f ca="1"/>
        <v>1.95E-2</v>
      </c>
    </row>
    <row r="832" spans="1:30">
      <c r="A832" t="str">
        <f ca="1"/>
        <v>SAN GABRIEL</v>
      </c>
      <c r="B832" t="str">
        <f ca="1"/>
        <v>QUESOS Y GRASAS</v>
      </c>
      <c r="C832" t="str">
        <f ca="1"/>
        <v xml:space="preserve">Esteban Montenegro                      </v>
      </c>
      <c r="D832" t="str">
        <f ca="1"/>
        <v>QUESO SEMIMADURO KIOSKO</v>
      </c>
      <c r="E832" t="str">
        <f ca="1"/>
        <v>QUESO HOLANDES BLOQUE</v>
      </c>
      <c r="F832" s="125" t="str">
        <f ca="1"/>
        <v>MACHACHI</v>
      </c>
      <c r="G832" s="125">
        <f ca="1"/>
        <v>7701</v>
      </c>
      <c r="H832" s="125">
        <f ca="1"/>
        <v>1080</v>
      </c>
      <c r="I832" s="125" t="str">
        <f ca="1"/>
        <v>17014</v>
      </c>
      <c r="J832" s="125" t="str">
        <f ca="1"/>
        <v>Q HOLANDES KIOSKO RALLADO 1500G</v>
      </c>
      <c r="K832" s="126">
        <f ca="1"/>
        <v>10</v>
      </c>
      <c r="L832" s="127">
        <f ca="1"/>
        <v>1</v>
      </c>
      <c r="M832" s="125">
        <f ca="1"/>
        <v>1.5</v>
      </c>
      <c r="N832" s="126">
        <f ca="1"/>
        <v>60</v>
      </c>
      <c r="O832" s="128">
        <f ca="1"/>
        <v>45609</v>
      </c>
      <c r="P832" s="128" t="str">
        <f ca="1"/>
        <v>miércoles</v>
      </c>
      <c r="Q832" s="129">
        <f ca="1"/>
        <v>45609</v>
      </c>
      <c r="R832" s="129">
        <f ca="1"/>
        <v>45668</v>
      </c>
      <c r="S832" s="89">
        <f ca="1"/>
        <v>44</v>
      </c>
      <c r="T832" s="143">
        <f ca="1"/>
        <v>0.73333333333333328</v>
      </c>
      <c r="U832" s="131">
        <f ca="1"/>
        <v>10</v>
      </c>
      <c r="V832" s="125">
        <f ca="1"/>
        <v>15</v>
      </c>
      <c r="W832" s="144">
        <f ca="1"/>
        <v>0</v>
      </c>
      <c r="X832" s="143">
        <f ca="1"/>
        <v>1</v>
      </c>
      <c r="Y832" s="145">
        <f ca="1"/>
        <v>10.058565</v>
      </c>
      <c r="Z832" s="145">
        <f ca="1"/>
        <v>10.058565</v>
      </c>
      <c r="AA832" s="125">
        <f ca="1"/>
        <v>100.58565</v>
      </c>
      <c r="AB832" s="125">
        <f ca="1"/>
        <v>15</v>
      </c>
      <c r="AC832" s="98" t="str">
        <f ca="1"/>
        <v>VIGENTE</v>
      </c>
      <c r="AD832" s="147">
        <f ca="1"/>
        <v>1.4999999999999999E-2</v>
      </c>
    </row>
    <row r="833" spans="1:30">
      <c r="A833" t="str">
        <f ca="1"/>
        <v>SAN GABRIEL</v>
      </c>
      <c r="B833" t="str">
        <f ca="1"/>
        <v>QUESOS Y GRASAS</v>
      </c>
      <c r="C833" t="str">
        <f ca="1"/>
        <v xml:space="preserve">Esteban Montenegro                      </v>
      </c>
      <c r="D833" t="str">
        <f ca="1"/>
        <v>QUESO SEMIMADURO KIOSKO</v>
      </c>
      <c r="E833" t="str">
        <f ca="1"/>
        <v>QUESO HOLANDES BLOQUE</v>
      </c>
      <c r="F833" s="125" t="str">
        <f ca="1"/>
        <v>MACHACHI</v>
      </c>
      <c r="G833" s="125">
        <f ca="1"/>
        <v>7701</v>
      </c>
      <c r="H833" s="125">
        <f ca="1"/>
        <v>1080</v>
      </c>
      <c r="I833" s="125" t="str">
        <f ca="1"/>
        <v>17014</v>
      </c>
      <c r="J833" s="125" t="str">
        <f ca="1"/>
        <v>Q HOLANDES KIOSKO RALLADO 1500G</v>
      </c>
      <c r="K833" s="126">
        <f ca="1"/>
        <v>3</v>
      </c>
      <c r="L833" s="127">
        <f ca="1"/>
        <v>1</v>
      </c>
      <c r="M833" s="125">
        <f ca="1"/>
        <v>1.5</v>
      </c>
      <c r="N833" s="126">
        <f ca="1"/>
        <v>60</v>
      </c>
      <c r="O833" s="128">
        <f ca="1"/>
        <v>45595</v>
      </c>
      <c r="P833" s="128" t="str">
        <f ca="1"/>
        <v>miércoles</v>
      </c>
      <c r="Q833" s="129">
        <f ca="1"/>
        <v>45595</v>
      </c>
      <c r="R833" s="129">
        <f ca="1"/>
        <v>45654</v>
      </c>
      <c r="S833" s="89">
        <f ca="1"/>
        <v>30</v>
      </c>
      <c r="T833" s="143">
        <f ca="1"/>
        <v>0.5</v>
      </c>
      <c r="U833" s="131">
        <f ca="1"/>
        <v>3</v>
      </c>
      <c r="V833" s="125">
        <f ca="1"/>
        <v>4.5</v>
      </c>
      <c r="W833" s="144">
        <f ca="1"/>
        <v>0</v>
      </c>
      <c r="X833" s="143">
        <f ca="1"/>
        <v>1</v>
      </c>
      <c r="Y833" s="145">
        <f ca="1"/>
        <v>10.058565</v>
      </c>
      <c r="Z833" s="145">
        <f ca="1"/>
        <v>10.058565</v>
      </c>
      <c r="AA833" s="125">
        <f ca="1"/>
        <v>30.175694999999997</v>
      </c>
      <c r="AB833" s="125">
        <f ca="1"/>
        <v>29</v>
      </c>
      <c r="AC833" s="98" t="str">
        <f ca="1"/>
        <v>VIGENTE</v>
      </c>
      <c r="AD833" s="147">
        <f ca="1"/>
        <v>4.4999999999999997E-3</v>
      </c>
    </row>
    <row r="834" spans="1:30">
      <c r="A834" t="str">
        <f ca="1"/>
        <v>SAN GABRIEL</v>
      </c>
      <c r="B834" t="str">
        <f ca="1"/>
        <v>QUESOS Y GRASAS</v>
      </c>
      <c r="C834" t="str">
        <f ca="1"/>
        <v xml:space="preserve">Esteban Montenegro                      </v>
      </c>
      <c r="D834" t="str">
        <f ca="1"/>
        <v>QUESO SEMIMADURO KIOSKO</v>
      </c>
      <c r="E834" t="str">
        <f ca="1"/>
        <v>QUESO HOLANDES BLOQUE</v>
      </c>
      <c r="F834" s="125" t="str">
        <f ca="1"/>
        <v>MACHACHI</v>
      </c>
      <c r="G834" s="125">
        <f ca="1"/>
        <v>7701</v>
      </c>
      <c r="H834" s="125">
        <f ca="1"/>
        <v>1080</v>
      </c>
      <c r="I834" s="125" t="str">
        <f ca="1"/>
        <v>17014</v>
      </c>
      <c r="J834" s="125" t="str">
        <f ca="1"/>
        <v>Q HOLANDES KIOSKO RALLADO 1500G</v>
      </c>
      <c r="K834" s="126">
        <f ca="1"/>
        <v>40</v>
      </c>
      <c r="L834" s="127">
        <f ca="1"/>
        <v>1</v>
      </c>
      <c r="M834" s="125">
        <f ca="1"/>
        <v>1.5</v>
      </c>
      <c r="N834" s="126">
        <f ca="1"/>
        <v>60</v>
      </c>
      <c r="O834" s="128">
        <f ca="1"/>
        <v>45613</v>
      </c>
      <c r="P834" s="128" t="str">
        <f ca="1"/>
        <v>domingo</v>
      </c>
      <c r="Q834" s="129">
        <f ca="1"/>
        <v>45613</v>
      </c>
      <c r="R834" s="129">
        <f ca="1"/>
        <v>45672</v>
      </c>
      <c r="S834" s="89">
        <f ca="1"/>
        <v>48</v>
      </c>
      <c r="T834" s="143">
        <f ca="1"/>
        <v>0.8</v>
      </c>
      <c r="U834" s="131">
        <f ca="1"/>
        <v>40</v>
      </c>
      <c r="V834" s="125">
        <f ca="1"/>
        <v>60</v>
      </c>
      <c r="W834" s="144">
        <f ca="1"/>
        <v>0</v>
      </c>
      <c r="X834" s="143">
        <f ca="1"/>
        <v>1</v>
      </c>
      <c r="Y834" s="145">
        <f ca="1"/>
        <v>10.058565</v>
      </c>
      <c r="Z834" s="145">
        <f ca="1"/>
        <v>10.058565</v>
      </c>
      <c r="AA834" s="125">
        <f ca="1"/>
        <v>402.3426</v>
      </c>
      <c r="AB834" s="125">
        <f ca="1"/>
        <v>11</v>
      </c>
      <c r="AC834" s="98" t="str">
        <f ca="1"/>
        <v>VIGENTE</v>
      </c>
      <c r="AD834" s="147">
        <f ca="1"/>
        <v>0.06</v>
      </c>
    </row>
    <row r="835" spans="1:30">
      <c r="A835" t="str">
        <f ca="1"/>
        <v>SAN GABRIEL</v>
      </c>
      <c r="B835" t="str">
        <f ca="1"/>
        <v>QUESOS Y GRASAS</v>
      </c>
      <c r="C835" t="str">
        <f ca="1"/>
        <v xml:space="preserve">Esteban Montenegro                      </v>
      </c>
      <c r="D835" t="str">
        <f ca="1"/>
        <v>QUESO SEMIMADURO KIOSKO</v>
      </c>
      <c r="E835" t="str">
        <f ca="1"/>
        <v>QUESO HOLANDES BLOQUE</v>
      </c>
      <c r="F835" s="125" t="str">
        <f ca="1"/>
        <v>MACHACHI</v>
      </c>
      <c r="G835" s="125">
        <f ca="1"/>
        <v>7701</v>
      </c>
      <c r="H835" s="125">
        <f ca="1"/>
        <v>1080</v>
      </c>
      <c r="I835" s="125" t="str">
        <f ca="1"/>
        <v>17014</v>
      </c>
      <c r="J835" s="125" t="str">
        <f ca="1"/>
        <v>Q HOLANDES KIOSKO RALLADO 1500G</v>
      </c>
      <c r="K835" s="126">
        <f ca="1"/>
        <v>5</v>
      </c>
      <c r="L835" s="127">
        <f ca="1"/>
        <v>1</v>
      </c>
      <c r="M835" s="125">
        <f ca="1"/>
        <v>1.5</v>
      </c>
      <c r="N835" s="126">
        <f ca="1"/>
        <v>60</v>
      </c>
      <c r="O835" s="128">
        <f ca="1"/>
        <v>45589</v>
      </c>
      <c r="P835" s="128" t="str">
        <f ca="1"/>
        <v>jueves</v>
      </c>
      <c r="Q835" s="129">
        <f ca="1"/>
        <v>45589</v>
      </c>
      <c r="R835" s="129">
        <f ca="1"/>
        <v>45648</v>
      </c>
      <c r="S835" s="89">
        <f ca="1"/>
        <v>24</v>
      </c>
      <c r="T835" s="143">
        <f ca="1"/>
        <v>0.4</v>
      </c>
      <c r="U835" s="131">
        <f ca="1"/>
        <v>5</v>
      </c>
      <c r="V835" s="125">
        <f ca="1"/>
        <v>7.5</v>
      </c>
      <c r="W835" s="144">
        <f ca="1"/>
        <v>0</v>
      </c>
      <c r="X835" s="143">
        <f ca="1"/>
        <v>1</v>
      </c>
      <c r="Y835" s="145">
        <f ca="1"/>
        <v>10.058565</v>
      </c>
      <c r="Z835" s="145">
        <f ca="1"/>
        <v>10.058565</v>
      </c>
      <c r="AA835" s="125">
        <f ca="1"/>
        <v>50.292825000000001</v>
      </c>
      <c r="AB835" s="125">
        <f ca="1"/>
        <v>35</v>
      </c>
      <c r="AC835" s="98" t="str">
        <f ca="1"/>
        <v>PROXIMOS FECHA CORTA</v>
      </c>
      <c r="AD835" s="147">
        <f ca="1"/>
        <v>7.4999999999999997E-3</v>
      </c>
    </row>
    <row r="836" spans="1:30">
      <c r="A836" t="str">
        <f ca="1"/>
        <v>SAN GABRIEL</v>
      </c>
      <c r="B836" t="str">
        <f ca="1"/>
        <v>QUESOS Y GRASAS</v>
      </c>
      <c r="C836" t="str">
        <f ca="1"/>
        <v xml:space="preserve">Esteban Montenegro                      </v>
      </c>
      <c r="D836" t="str">
        <f ca="1"/>
        <v>QUESO SEMIMADURO KIOSKO</v>
      </c>
      <c r="E836" t="str">
        <f ca="1"/>
        <v>QUESO HOLANDES KIOSKO TAJADO</v>
      </c>
      <c r="F836" s="125" t="str">
        <f ca="1"/>
        <v>MACHACHI</v>
      </c>
      <c r="G836" s="125">
        <f ca="1"/>
        <v>7701</v>
      </c>
      <c r="H836" s="125">
        <f ca="1"/>
        <v>1080</v>
      </c>
      <c r="I836" s="125" t="str">
        <f ca="1"/>
        <v>16493</v>
      </c>
      <c r="J836" s="125" t="str">
        <f ca="1"/>
        <v>QUESO KIOSKO HOLANDES LONJ 1KG AL PESO</v>
      </c>
      <c r="K836" s="126">
        <f ca="1"/>
        <v>5</v>
      </c>
      <c r="L836" s="127">
        <f ca="1"/>
        <v>1</v>
      </c>
      <c r="M836" s="125">
        <f ca="1"/>
        <v>1</v>
      </c>
      <c r="N836" s="126">
        <f ca="1"/>
        <v>90</v>
      </c>
      <c r="O836" s="128">
        <f ca="1"/>
        <v>45613</v>
      </c>
      <c r="P836" s="128" t="str">
        <f ca="1"/>
        <v>domingo</v>
      </c>
      <c r="Q836" s="129">
        <f ca="1"/>
        <v>45613</v>
      </c>
      <c r="R836" s="129">
        <f ca="1"/>
        <v>45702</v>
      </c>
      <c r="S836" s="89">
        <f ca="1"/>
        <v>78</v>
      </c>
      <c r="T836" s="143">
        <f ca="1"/>
        <v>0.8666666666666667</v>
      </c>
      <c r="U836" s="131">
        <f ca="1"/>
        <v>5</v>
      </c>
      <c r="V836" s="125">
        <f ca="1"/>
        <v>5</v>
      </c>
      <c r="W836" s="144">
        <f ca="1"/>
        <v>0</v>
      </c>
      <c r="X836" s="143">
        <f ca="1"/>
        <v>1</v>
      </c>
      <c r="Y836" s="145">
        <f ca="1"/>
        <v>7.1624999999999996</v>
      </c>
      <c r="Z836" s="145">
        <f ca="1"/>
        <v>7.1624999999999996</v>
      </c>
      <c r="AA836" s="125">
        <f ca="1"/>
        <v>35.8125</v>
      </c>
      <c r="AB836" s="125">
        <f ca="1"/>
        <v>11</v>
      </c>
      <c r="AC836" s="98" t="str">
        <f ca="1"/>
        <v>VIGENTE</v>
      </c>
      <c r="AD836" s="147">
        <f ca="1"/>
        <v>5.0000000000000001E-3</v>
      </c>
    </row>
    <row r="837" spans="1:30">
      <c r="A837" t="str">
        <f ca="1"/>
        <v>SAN GABRIEL</v>
      </c>
      <c r="B837" t="str">
        <f ca="1"/>
        <v>QUESOS Y GRASAS</v>
      </c>
      <c r="C837" t="str">
        <f ca="1"/>
        <v xml:space="preserve">Esteban Montenegro                      </v>
      </c>
      <c r="D837" t="str">
        <f ca="1"/>
        <v>QUESO SEMIMADURO KIOSKO</v>
      </c>
      <c r="E837" t="str">
        <f ca="1"/>
        <v>QUESO HOLANDES KIOSKO TAJADO</v>
      </c>
      <c r="F837" s="125" t="str">
        <f ca="1"/>
        <v>MACHACHI</v>
      </c>
      <c r="G837" s="125">
        <f ca="1"/>
        <v>7701</v>
      </c>
      <c r="H837" s="125">
        <f ca="1"/>
        <v>1080</v>
      </c>
      <c r="I837" s="125" t="str">
        <f ca="1"/>
        <v>16493</v>
      </c>
      <c r="J837" s="125" t="str">
        <f ca="1"/>
        <v>QUESO KIOSKO HOLANDES LONJ 1KG AL PESO</v>
      </c>
      <c r="K837" s="126">
        <f ca="1"/>
        <v>60</v>
      </c>
      <c r="L837" s="127">
        <f ca="1"/>
        <v>1</v>
      </c>
      <c r="M837" s="125">
        <f ca="1"/>
        <v>1</v>
      </c>
      <c r="N837" s="126">
        <f ca="1"/>
        <v>90</v>
      </c>
      <c r="O837" s="128">
        <f ca="1"/>
        <v>45619</v>
      </c>
      <c r="P837" s="128" t="str">
        <f ca="1"/>
        <v>sábado</v>
      </c>
      <c r="Q837" s="129">
        <f ca="1"/>
        <v>45619</v>
      </c>
      <c r="R837" s="129">
        <f ca="1"/>
        <v>45708</v>
      </c>
      <c r="S837" s="89">
        <f ca="1"/>
        <v>84</v>
      </c>
      <c r="T837" s="143">
        <f ca="1"/>
        <v>0.93333333333333335</v>
      </c>
      <c r="U837" s="131">
        <f ca="1"/>
        <v>60</v>
      </c>
      <c r="V837" s="125">
        <f ca="1"/>
        <v>60</v>
      </c>
      <c r="W837" s="144">
        <f ca="1"/>
        <v>0</v>
      </c>
      <c r="X837" s="143">
        <f ca="1"/>
        <v>1</v>
      </c>
      <c r="Y837" s="145">
        <f ca="1"/>
        <v>7.1624999999999996</v>
      </c>
      <c r="Z837" s="145">
        <f ca="1"/>
        <v>7.1624999999999996</v>
      </c>
      <c r="AA837" s="125">
        <f ca="1"/>
        <v>429.75</v>
      </c>
      <c r="AB837" s="125">
        <f ca="1"/>
        <v>5</v>
      </c>
      <c r="AC837" s="98" t="str">
        <f ca="1"/>
        <v>VIGENTE</v>
      </c>
      <c r="AD837" s="147">
        <f ca="1"/>
        <v>0.06</v>
      </c>
    </row>
    <row r="838" spans="1:30">
      <c r="A838" t="str">
        <f ca="1"/>
        <v>COLOMBIA</v>
      </c>
      <c r="B838" t="str">
        <f ca="1"/>
        <v>BEBIDAS LACTEAS</v>
      </c>
      <c r="C838" t="str">
        <f ca="1"/>
        <v xml:space="preserve">Luis Armendariz                         </v>
      </c>
      <c r="D838" t="str">
        <f ca="1"/>
        <v>AVENA ALPINA</v>
      </c>
      <c r="E838" t="str">
        <f ca="1"/>
        <v>AVENA VASO</v>
      </c>
      <c r="F838" s="125" t="str">
        <f ca="1"/>
        <v>MACHACHI</v>
      </c>
      <c r="G838" s="125">
        <f ca="1"/>
        <v>7701</v>
      </c>
      <c r="H838" s="125">
        <f ca="1"/>
        <v>1080</v>
      </c>
      <c r="I838" s="125" t="str">
        <f ca="1"/>
        <v>4450239</v>
      </c>
      <c r="J838" s="125" t="str">
        <f ca="1"/>
        <v>AVENA ORIGINAL VASO 250G ECU</v>
      </c>
      <c r="K838" s="126">
        <f ca="1"/>
        <v>9600</v>
      </c>
      <c r="L838" s="127">
        <f ca="1"/>
        <v>1</v>
      </c>
      <c r="M838" s="125">
        <f ca="1"/>
        <v>0.25</v>
      </c>
      <c r="N838" s="126">
        <f ca="1"/>
        <v>180</v>
      </c>
      <c r="O838" s="128">
        <f ca="1"/>
        <v>45588</v>
      </c>
      <c r="P838" s="128" t="str">
        <f ca="1"/>
        <v>miércoles</v>
      </c>
      <c r="Q838" s="129">
        <f ca="1"/>
        <v>45588</v>
      </c>
      <c r="R838" s="129">
        <f ca="1"/>
        <v>45767</v>
      </c>
      <c r="S838" s="89">
        <f ca="1"/>
        <v>143</v>
      </c>
      <c r="T838" s="143">
        <f ca="1"/>
        <v>0.7944444444444444</v>
      </c>
      <c r="U838" s="131">
        <f ca="1"/>
        <v>9600</v>
      </c>
      <c r="V838" s="125">
        <f ca="1"/>
        <v>2400</v>
      </c>
      <c r="W838" s="144">
        <f ca="1"/>
        <v>0</v>
      </c>
      <c r="X838" s="143">
        <f ca="1"/>
        <v>1</v>
      </c>
      <c r="Y838" s="145">
        <f ca="1"/>
        <v>0.391795</v>
      </c>
      <c r="Z838" s="145">
        <f ca="1"/>
        <v>0.391795</v>
      </c>
      <c r="AA838" s="125">
        <f ca="1"/>
        <v>3761.232</v>
      </c>
      <c r="AB838" s="125">
        <f ca="1"/>
        <v>36</v>
      </c>
      <c r="AC838" s="98" t="str">
        <f ca="1"/>
        <v>VIGENTE</v>
      </c>
      <c r="AD838" s="147">
        <f ca="1"/>
        <v>2.4</v>
      </c>
    </row>
    <row r="839" spans="1:30">
      <c r="A839" t="str">
        <f ca="1"/>
        <v>COLOMBIA</v>
      </c>
      <c r="B839" t="str">
        <f ca="1"/>
        <v>BEBIDAS LACTEAS</v>
      </c>
      <c r="C839" t="str">
        <f ca="1"/>
        <v xml:space="preserve">Luis Armendariz                         </v>
      </c>
      <c r="D839" t="str">
        <f ca="1"/>
        <v>AVENA ALPINA</v>
      </c>
      <c r="E839" t="str">
        <f ca="1"/>
        <v>AVENA VASO</v>
      </c>
      <c r="F839" s="125" t="str">
        <f ca="1"/>
        <v>MACHACHI</v>
      </c>
      <c r="G839" s="125">
        <f ca="1"/>
        <v>7701</v>
      </c>
      <c r="H839" s="125">
        <f ca="1"/>
        <v>1080</v>
      </c>
      <c r="I839" s="125" t="str">
        <f ca="1"/>
        <v>4450239</v>
      </c>
      <c r="J839" s="125" t="str">
        <f ca="1"/>
        <v>AVENA ORIGINAL VASO 250G ECU</v>
      </c>
      <c r="K839" s="126">
        <f ca="1"/>
        <v>27204</v>
      </c>
      <c r="L839" s="127">
        <f ca="1"/>
        <v>1</v>
      </c>
      <c r="M839" s="125">
        <f ca="1"/>
        <v>0.25</v>
      </c>
      <c r="N839" s="126">
        <f ca="1"/>
        <v>180</v>
      </c>
      <c r="O839" s="128">
        <f ca="1"/>
        <v>45596</v>
      </c>
      <c r="P839" s="128" t="str">
        <f ca="1"/>
        <v>jueves</v>
      </c>
      <c r="Q839" s="129">
        <f ca="1"/>
        <v>45596</v>
      </c>
      <c r="R839" s="129">
        <f ca="1"/>
        <v>45775</v>
      </c>
      <c r="S839" s="89">
        <f ca="1"/>
        <v>151</v>
      </c>
      <c r="T839" s="143">
        <f ca="1"/>
        <v>0.83888888888888891</v>
      </c>
      <c r="U839" s="131">
        <f ca="1"/>
        <v>27204</v>
      </c>
      <c r="V839" s="125">
        <f ca="1"/>
        <v>6801</v>
      </c>
      <c r="W839" s="144">
        <f ca="1"/>
        <v>0</v>
      </c>
      <c r="X839" s="143">
        <f ca="1"/>
        <v>1</v>
      </c>
      <c r="Y839" s="145">
        <f ca="1"/>
        <v>0.391795</v>
      </c>
      <c r="Z839" s="145">
        <f ca="1"/>
        <v>0.391795</v>
      </c>
      <c r="AA839" s="125">
        <f ca="1"/>
        <v>10658.391180000001</v>
      </c>
      <c r="AB839" s="125">
        <f ca="1"/>
        <v>28</v>
      </c>
      <c r="AC839" s="98" t="str">
        <f ca="1"/>
        <v>VIGENTE</v>
      </c>
      <c r="AD839" s="147">
        <f ca="1"/>
        <v>6.8010000000000002</v>
      </c>
    </row>
    <row r="840" spans="1:30">
      <c r="A840" t="str">
        <f ca="1"/>
        <v>COLOMBIA</v>
      </c>
      <c r="B840" t="str">
        <f ca="1"/>
        <v>BEBIDAS LACTEAS</v>
      </c>
      <c r="C840" t="str">
        <f ca="1"/>
        <v xml:space="preserve">Luis Armendariz                         </v>
      </c>
      <c r="D840" t="str">
        <f ca="1"/>
        <v>AVENA ALPINA</v>
      </c>
      <c r="E840" t="str">
        <f ca="1"/>
        <v>AVENA VASO</v>
      </c>
      <c r="F840" s="125" t="str">
        <f ca="1"/>
        <v>MACHACHI</v>
      </c>
      <c r="G840" s="125">
        <f ca="1"/>
        <v>7701</v>
      </c>
      <c r="H840" s="125">
        <f ca="1"/>
        <v>1080</v>
      </c>
      <c r="I840" s="125" t="str">
        <f ca="1"/>
        <v>4454239</v>
      </c>
      <c r="J840" s="125" t="str">
        <f ca="1"/>
        <v>AVENA CANELA VASO 250G ECU</v>
      </c>
      <c r="K840" s="126">
        <f ca="1"/>
        <v>36384</v>
      </c>
      <c r="L840" s="127">
        <f ca="1"/>
        <v>1</v>
      </c>
      <c r="M840" s="125">
        <f ca="1"/>
        <v>0.25</v>
      </c>
      <c r="N840" s="126">
        <f ca="1"/>
        <v>180</v>
      </c>
      <c r="O840" s="128">
        <f ca="1"/>
        <v>45599</v>
      </c>
      <c r="P840" s="128" t="str">
        <f ca="1"/>
        <v>domingo</v>
      </c>
      <c r="Q840" s="129">
        <f ca="1"/>
        <v>45599</v>
      </c>
      <c r="R840" s="129">
        <f ca="1"/>
        <v>45778</v>
      </c>
      <c r="S840" s="89">
        <f ca="1"/>
        <v>154</v>
      </c>
      <c r="T840" s="143">
        <f ca="1"/>
        <v>0.85555555555555551</v>
      </c>
      <c r="U840" s="131">
        <f ca="1"/>
        <v>36384</v>
      </c>
      <c r="V840" s="125">
        <f ca="1"/>
        <v>9096</v>
      </c>
      <c r="W840" s="144">
        <f ca="1"/>
        <v>0</v>
      </c>
      <c r="X840" s="143">
        <f ca="1"/>
        <v>1</v>
      </c>
      <c r="Y840" s="145">
        <f ca="1"/>
        <v>0.40961000000000003</v>
      </c>
      <c r="Z840" s="145">
        <f ca="1"/>
        <v>0.40961000000000003</v>
      </c>
      <c r="AA840" s="125">
        <f ca="1"/>
        <v>14903.250240000001</v>
      </c>
      <c r="AB840" s="125">
        <f ca="1"/>
        <v>25</v>
      </c>
      <c r="AC840" s="98" t="str">
        <f ca="1"/>
        <v>VIGENTE</v>
      </c>
      <c r="AD840" s="147">
        <f ca="1"/>
        <v>9.0960000000000001</v>
      </c>
    </row>
    <row r="841" spans="1:30">
      <c r="A841" t="str">
        <f ca="1"/>
        <v>COLOMBIA</v>
      </c>
      <c r="B841" t="str">
        <f ca="1"/>
        <v>BEBIDAS LACTEAS</v>
      </c>
      <c r="C841" t="str">
        <f ca="1"/>
        <v xml:space="preserve">Luis Armendariz                         </v>
      </c>
      <c r="D841" t="str">
        <f ca="1"/>
        <v>AVENA FINESSE</v>
      </c>
      <c r="E841" t="str">
        <f ca="1"/>
        <v>AVENA FINESSE VASO</v>
      </c>
      <c r="F841" s="125" t="str">
        <f ca="1"/>
        <v>MACHACHI</v>
      </c>
      <c r="G841" s="125">
        <f ca="1"/>
        <v>7701</v>
      </c>
      <c r="H841" s="125">
        <f ca="1"/>
        <v>1080</v>
      </c>
      <c r="I841" s="125" t="str">
        <f ca="1"/>
        <v>8499239</v>
      </c>
      <c r="J841" s="125" t="str">
        <f ca="1"/>
        <v>AVENA FINESSE VASO 250G ECU</v>
      </c>
      <c r="K841" s="126">
        <f ca="1"/>
        <v>16530</v>
      </c>
      <c r="L841" s="127">
        <f ca="1"/>
        <v>1</v>
      </c>
      <c r="M841" s="125">
        <f ca="1"/>
        <v>0.25</v>
      </c>
      <c r="N841" s="126">
        <f ca="1"/>
        <v>180</v>
      </c>
      <c r="O841" s="128">
        <f ca="1"/>
        <v>45588</v>
      </c>
      <c r="P841" s="128" t="str">
        <f ca="1"/>
        <v>miércoles</v>
      </c>
      <c r="Q841" s="129">
        <f ca="1"/>
        <v>45588</v>
      </c>
      <c r="R841" s="129">
        <f ca="1"/>
        <v>45767</v>
      </c>
      <c r="S841" s="89">
        <f ca="1"/>
        <v>143</v>
      </c>
      <c r="T841" s="143">
        <f ca="1"/>
        <v>0.7944444444444444</v>
      </c>
      <c r="U841" s="131">
        <f ca="1"/>
        <v>16530</v>
      </c>
      <c r="V841" s="125">
        <f ca="1"/>
        <v>4132.5</v>
      </c>
      <c r="W841" s="144">
        <f ca="1"/>
        <v>0</v>
      </c>
      <c r="X841" s="143">
        <f ca="1"/>
        <v>1</v>
      </c>
      <c r="Y841" s="145">
        <f ca="1"/>
        <v>0.35793999999999998</v>
      </c>
      <c r="Z841" s="145">
        <f ca="1"/>
        <v>0.35793999999999998</v>
      </c>
      <c r="AA841" s="125">
        <f ca="1"/>
        <v>5916.7482</v>
      </c>
      <c r="AB841" s="125">
        <f ca="1"/>
        <v>36</v>
      </c>
      <c r="AC841" s="98" t="str">
        <f ca="1"/>
        <v>VIGENTE</v>
      </c>
      <c r="AD841" s="147">
        <f ca="1"/>
        <v>4.1325000000000003</v>
      </c>
    </row>
    <row r="842" spans="1:30">
      <c r="A842" t="str">
        <f ca="1"/>
        <v>MULTIEMPAQUE</v>
      </c>
      <c r="B842" t="str">
        <f ca="1"/>
        <v>BEBIDAS LACTEAS</v>
      </c>
      <c r="C842" t="str">
        <f ca="1"/>
        <v xml:space="preserve">Luis Armendariz                         </v>
      </c>
      <c r="D842" t="str">
        <f ca="1"/>
        <v>AVENA ALPINA</v>
      </c>
      <c r="E842" t="str">
        <f ca="1"/>
        <v>AVENA VASO</v>
      </c>
      <c r="F842" s="125" t="str">
        <f ca="1"/>
        <v>MACHACHI</v>
      </c>
      <c r="G842" s="125">
        <f ca="1"/>
        <v>7701</v>
      </c>
      <c r="H842" s="125">
        <f ca="1"/>
        <v>1080</v>
      </c>
      <c r="I842" s="125" t="str">
        <f ca="1"/>
        <v>3183</v>
      </c>
      <c r="J842" s="125" t="str">
        <f ca="1"/>
        <v>MPLX6 AVENA ORIG VASO 250G</v>
      </c>
      <c r="K842" s="126">
        <f ca="1"/>
        <v>60</v>
      </c>
      <c r="L842" s="127">
        <f ca="1"/>
        <v>1</v>
      </c>
      <c r="M842" s="125">
        <f ca="1"/>
        <v>1.5</v>
      </c>
      <c r="N842" s="126">
        <f ca="1"/>
        <v>180</v>
      </c>
      <c r="O842" s="128">
        <f ca="1"/>
        <v>45583</v>
      </c>
      <c r="P842" s="128" t="str">
        <f ca="1"/>
        <v>viernes</v>
      </c>
      <c r="Q842" s="129">
        <f ca="1"/>
        <v>45583</v>
      </c>
      <c r="R842" s="129">
        <f ca="1"/>
        <v>45762</v>
      </c>
      <c r="S842" s="89">
        <f ca="1"/>
        <v>138</v>
      </c>
      <c r="T842" s="143">
        <f ca="1"/>
        <v>0.76666666666666672</v>
      </c>
      <c r="U842" s="131">
        <f ca="1"/>
        <v>60</v>
      </c>
      <c r="V842" s="125">
        <f ca="1"/>
        <v>90</v>
      </c>
      <c r="W842" s="144">
        <f ca="1"/>
        <v>0</v>
      </c>
      <c r="X842" s="143">
        <f ca="1"/>
        <v>1</v>
      </c>
      <c r="Y842" s="145">
        <f ca="1"/>
        <v>2.4714</v>
      </c>
      <c r="Z842" s="145">
        <f ca="1"/>
        <v>2.4714</v>
      </c>
      <c r="AA842" s="125">
        <f ca="1"/>
        <v>148.28399999999999</v>
      </c>
      <c r="AB842" s="125">
        <f ca="1"/>
        <v>41</v>
      </c>
      <c r="AC842" s="98" t="str">
        <f ca="1"/>
        <v>VIGENTE</v>
      </c>
      <c r="AD842" s="147">
        <f ca="1"/>
        <v>0.09</v>
      </c>
    </row>
    <row r="843" spans="1:30">
      <c r="A843" t="str">
        <f ca="1"/>
        <v>MULTIEMPAQUE</v>
      </c>
      <c r="B843" t="str">
        <f ca="1"/>
        <v>BEBIDAS LACTEAS</v>
      </c>
      <c r="C843" t="str">
        <f ca="1"/>
        <v xml:space="preserve">Luis Armendariz                         </v>
      </c>
      <c r="D843" t="str">
        <f ca="1"/>
        <v>AVENA ALPINA</v>
      </c>
      <c r="E843" t="str">
        <f ca="1"/>
        <v>AVENA VASO</v>
      </c>
      <c r="F843" s="125" t="str">
        <f ca="1"/>
        <v>MACHACHI</v>
      </c>
      <c r="G843" s="125">
        <f ca="1"/>
        <v>7701</v>
      </c>
      <c r="H843" s="125">
        <f ca="1"/>
        <v>1080</v>
      </c>
      <c r="I843" s="125" t="str">
        <f ca="1"/>
        <v>3183</v>
      </c>
      <c r="J843" s="125" t="str">
        <f ca="1"/>
        <v>MPLX6 AVENA ORIG VASO 250G</v>
      </c>
      <c r="K843" s="126">
        <f ca="1"/>
        <v>1184</v>
      </c>
      <c r="L843" s="127">
        <f ca="1"/>
        <v>1</v>
      </c>
      <c r="M843" s="125">
        <f ca="1"/>
        <v>1.5</v>
      </c>
      <c r="N843" s="126">
        <f ca="1"/>
        <v>180</v>
      </c>
      <c r="O843" s="128">
        <f ca="1"/>
        <v>45596</v>
      </c>
      <c r="P843" s="128" t="str">
        <f ca="1"/>
        <v>jueves</v>
      </c>
      <c r="Q843" s="129">
        <f ca="1"/>
        <v>45596</v>
      </c>
      <c r="R843" s="129">
        <f ca="1"/>
        <v>45775</v>
      </c>
      <c r="S843" s="89">
        <f ca="1"/>
        <v>151</v>
      </c>
      <c r="T843" s="143">
        <f ca="1"/>
        <v>0.83888888888888891</v>
      </c>
      <c r="U843" s="131">
        <f ca="1"/>
        <v>1184</v>
      </c>
      <c r="V843" s="125">
        <f ca="1"/>
        <v>1776</v>
      </c>
      <c r="W843" s="144">
        <f ca="1"/>
        <v>0</v>
      </c>
      <c r="X843" s="143">
        <f ca="1"/>
        <v>1</v>
      </c>
      <c r="Y843" s="145">
        <f ca="1"/>
        <v>2.4714</v>
      </c>
      <c r="Z843" s="145">
        <f ca="1"/>
        <v>2.4714</v>
      </c>
      <c r="AA843" s="125">
        <f ca="1"/>
        <v>2926.1376</v>
      </c>
      <c r="AB843" s="125">
        <f ca="1"/>
        <v>28</v>
      </c>
      <c r="AC843" s="98" t="str">
        <f ca="1"/>
        <v>VIGENTE</v>
      </c>
      <c r="AD843" s="147">
        <f ca="1"/>
        <v>1.776</v>
      </c>
    </row>
    <row r="844" spans="1:30">
      <c r="A844" t="str">
        <f ca="1"/>
        <v>MULTIEMPAQUE</v>
      </c>
      <c r="B844" t="str">
        <f ca="1"/>
        <v>BEBIDAS LACTEAS</v>
      </c>
      <c r="C844" t="str">
        <f ca="1"/>
        <v xml:space="preserve">Luis Armendariz                         </v>
      </c>
      <c r="D844" t="str">
        <f ca="1"/>
        <v>AVENA ALPINA</v>
      </c>
      <c r="E844" t="str">
        <f ca="1"/>
        <v>AVENA VASO</v>
      </c>
      <c r="F844" s="125" t="str">
        <f ca="1"/>
        <v>MACHACHI</v>
      </c>
      <c r="G844" s="125">
        <f ca="1"/>
        <v>7701</v>
      </c>
      <c r="H844" s="125">
        <f ca="1"/>
        <v>1080</v>
      </c>
      <c r="I844" s="125" t="str">
        <f ca="1"/>
        <v>11085</v>
      </c>
      <c r="J844" s="125" t="str">
        <f ca="1"/>
        <v>MPLX4 AVENA CAN VASO 250G</v>
      </c>
      <c r="K844" s="126">
        <f ca="1"/>
        <v>442</v>
      </c>
      <c r="L844" s="127">
        <f ca="1"/>
        <v>1</v>
      </c>
      <c r="M844" s="125">
        <f ca="1"/>
        <v>1</v>
      </c>
      <c r="N844" s="126">
        <f ca="1"/>
        <v>180</v>
      </c>
      <c r="O844" s="128">
        <f ca="1"/>
        <v>45584</v>
      </c>
      <c r="P844" s="128" t="str">
        <f ca="1"/>
        <v>sábado</v>
      </c>
      <c r="Q844" s="129">
        <f ca="1"/>
        <v>45584</v>
      </c>
      <c r="R844" s="129">
        <f ca="1"/>
        <v>45763</v>
      </c>
      <c r="S844" s="89">
        <f ca="1"/>
        <v>139</v>
      </c>
      <c r="T844" s="143">
        <f ca="1"/>
        <v>0.77222222222222225</v>
      </c>
      <c r="U844" s="131">
        <f ca="1"/>
        <v>442</v>
      </c>
      <c r="V844" s="125">
        <f ca="1"/>
        <v>442</v>
      </c>
      <c r="W844" s="144">
        <f ca="1"/>
        <v>0</v>
      </c>
      <c r="X844" s="143">
        <f ca="1"/>
        <v>1</v>
      </c>
      <c r="Y844" s="145">
        <f ca="1"/>
        <v>1.795145</v>
      </c>
      <c r="Z844" s="145">
        <f ca="1"/>
        <v>1.795145</v>
      </c>
      <c r="AA844" s="125">
        <f ca="1"/>
        <v>793.45408999999995</v>
      </c>
      <c r="AB844" s="125">
        <f ca="1"/>
        <v>40</v>
      </c>
      <c r="AC844" s="98" t="str">
        <f ca="1"/>
        <v>VIGENTE</v>
      </c>
      <c r="AD844" s="147">
        <f ca="1"/>
        <v>0.442</v>
      </c>
    </row>
    <row r="845" spans="1:30">
      <c r="A845" t="str">
        <f ca="1"/>
        <v>MULTIEMPAQUE</v>
      </c>
      <c r="B845" t="str">
        <f ca="1"/>
        <v>BEBIDAS LACTEAS</v>
      </c>
      <c r="C845" t="str">
        <f ca="1"/>
        <v xml:space="preserve">Luis Armendariz                         </v>
      </c>
      <c r="D845" t="str">
        <f ca="1"/>
        <v>AVENA ALPINA</v>
      </c>
      <c r="E845" t="str">
        <f ca="1"/>
        <v>AVENA VASO</v>
      </c>
      <c r="F845" s="125" t="str">
        <f ca="1"/>
        <v>MACHACHI</v>
      </c>
      <c r="G845" s="125">
        <f ca="1"/>
        <v>7701</v>
      </c>
      <c r="H845" s="125">
        <f ca="1"/>
        <v>1080</v>
      </c>
      <c r="I845" s="125" t="str">
        <f ca="1"/>
        <v>11085</v>
      </c>
      <c r="J845" s="125" t="str">
        <f ca="1"/>
        <v>MPLX4 AVENA CAN VASO 250G</v>
      </c>
      <c r="K845" s="126">
        <f ca="1"/>
        <v>194</v>
      </c>
      <c r="L845" s="127">
        <f ca="1"/>
        <v>1</v>
      </c>
      <c r="M845" s="125">
        <f ca="1"/>
        <v>1</v>
      </c>
      <c r="N845" s="126">
        <f ca="1"/>
        <v>180</v>
      </c>
      <c r="O845" s="128">
        <f ca="1"/>
        <v>45599</v>
      </c>
      <c r="P845" s="128" t="str">
        <f ca="1"/>
        <v>domingo</v>
      </c>
      <c r="Q845" s="129">
        <f ca="1"/>
        <v>45599</v>
      </c>
      <c r="R845" s="129">
        <f ca="1"/>
        <v>45778</v>
      </c>
      <c r="S845" s="89">
        <f ca="1"/>
        <v>154</v>
      </c>
      <c r="T845" s="143">
        <f ca="1"/>
        <v>0.85555555555555551</v>
      </c>
      <c r="U845" s="281">
        <f ca="1"/>
        <v>194</v>
      </c>
      <c r="V845" s="125">
        <f ca="1"/>
        <v>194</v>
      </c>
      <c r="W845" s="144">
        <f ca="1"/>
        <v>0</v>
      </c>
      <c r="X845" s="143">
        <f ca="1"/>
        <v>1</v>
      </c>
      <c r="Y845" s="145">
        <f ca="1"/>
        <v>1.795145</v>
      </c>
      <c r="Z845" s="145">
        <f ca="1"/>
        <v>1.795145</v>
      </c>
      <c r="AA845" s="125">
        <f ca="1"/>
        <v>348.25812999999999</v>
      </c>
      <c r="AB845" s="125">
        <f ca="1"/>
        <v>25</v>
      </c>
      <c r="AC845" s="98" t="str">
        <f ca="1"/>
        <v>VIGENTE</v>
      </c>
      <c r="AD845" s="147">
        <f ca="1"/>
        <v>0.19400000000000001</v>
      </c>
    </row>
    <row r="846" spans="1:30">
      <c r="A846" t="str">
        <f ca="1"/>
        <v>MULTIEMPAQUE</v>
      </c>
      <c r="B846" t="str">
        <f ca="1"/>
        <v>BEBIDAS LACTEAS</v>
      </c>
      <c r="C846" t="str">
        <f ca="1"/>
        <v xml:space="preserve">Luis Armendariz                         </v>
      </c>
      <c r="D846" t="str">
        <f ca="1"/>
        <v>AVENA FINESSE</v>
      </c>
      <c r="E846" t="str">
        <f ca="1"/>
        <v>AVENA FINESSE VASO</v>
      </c>
      <c r="F846" s="125" t="str">
        <f ca="1"/>
        <v>MACHACHI</v>
      </c>
      <c r="G846" s="125">
        <f ca="1"/>
        <v>7701</v>
      </c>
      <c r="H846" s="125">
        <f ca="1"/>
        <v>1080</v>
      </c>
      <c r="I846" s="125" t="str">
        <f ca="1"/>
        <v>16906</v>
      </c>
      <c r="J846" s="125" t="str">
        <f ca="1"/>
        <v>MPLX6 AVENA FINESSE VASO 250G</v>
      </c>
      <c r="K846" s="126">
        <f ca="1"/>
        <v>180</v>
      </c>
      <c r="L846" s="127">
        <f ca="1"/>
        <v>1</v>
      </c>
      <c r="M846" s="125">
        <f ca="1"/>
        <v>1.5</v>
      </c>
      <c r="N846" s="126">
        <f ca="1"/>
        <v>180</v>
      </c>
      <c r="O846" s="128">
        <f ca="1"/>
        <v>45588</v>
      </c>
      <c r="P846" s="128" t="str">
        <f ca="1"/>
        <v>miércoles</v>
      </c>
      <c r="Q846" s="129">
        <f ca="1"/>
        <v>45588</v>
      </c>
      <c r="R846" s="129">
        <f ca="1"/>
        <v>45767</v>
      </c>
      <c r="S846" s="89">
        <f ca="1"/>
        <v>143</v>
      </c>
      <c r="T846" s="143">
        <f ca="1"/>
        <v>0.7944444444444444</v>
      </c>
      <c r="U846" s="281">
        <f ca="1"/>
        <v>180</v>
      </c>
      <c r="V846" s="125">
        <f ca="1"/>
        <v>270</v>
      </c>
      <c r="W846" s="144">
        <f ca="1"/>
        <v>0</v>
      </c>
      <c r="X846" s="143">
        <f ca="1"/>
        <v>1</v>
      </c>
      <c r="Y846" s="145">
        <f ca="1"/>
        <v>2.2748600000000003</v>
      </c>
      <c r="Z846" s="145">
        <f ca="1"/>
        <v>2.2748600000000003</v>
      </c>
      <c r="AA846" s="125">
        <f ca="1"/>
        <v>409.47480000000007</v>
      </c>
      <c r="AB846" s="125">
        <f ca="1"/>
        <v>36</v>
      </c>
      <c r="AC846" s="98" t="str">
        <f ca="1"/>
        <v>VIGENTE</v>
      </c>
      <c r="AD846" s="147">
        <f ca="1"/>
        <v>0.27</v>
      </c>
    </row>
    <row r="847" spans="1:30">
      <c r="A847" t="str">
        <f ca="1"/>
        <v>MULTIEMPAQUE</v>
      </c>
      <c r="B847" t="str">
        <f ca="1"/>
        <v>BEBIDAS LACTEAS</v>
      </c>
      <c r="C847" t="str">
        <f ca="1"/>
        <v xml:space="preserve">Luis Armendariz                         </v>
      </c>
      <c r="D847" t="str">
        <f ca="1"/>
        <v>AVENA FINESSE</v>
      </c>
      <c r="E847" t="str">
        <f ca="1"/>
        <v>AVENA FINESSE VASO</v>
      </c>
      <c r="F847" s="125" t="str">
        <f ca="1"/>
        <v>MACHACHI</v>
      </c>
      <c r="G847" s="125">
        <f ca="1"/>
        <v>7701</v>
      </c>
      <c r="H847" s="125">
        <f ca="1"/>
        <v>1080</v>
      </c>
      <c r="I847" s="125" t="str">
        <f ca="1"/>
        <v>16906</v>
      </c>
      <c r="J847" s="125" t="str">
        <f ca="1"/>
        <v>MPLX6 AVENA FINESSE VASO 250G</v>
      </c>
      <c r="K847" s="126">
        <f ca="1"/>
        <v>8</v>
      </c>
      <c r="L847" s="127">
        <f ca="1"/>
        <v>1</v>
      </c>
      <c r="M847" s="125">
        <f ca="1"/>
        <v>1.5</v>
      </c>
      <c r="N847" s="126">
        <f ca="1"/>
        <v>180</v>
      </c>
      <c r="O847" s="128">
        <f ca="1"/>
        <v>45561</v>
      </c>
      <c r="P847" s="128" t="str">
        <f ca="1"/>
        <v>jueves</v>
      </c>
      <c r="Q847" s="129">
        <f ca="1"/>
        <v>45561</v>
      </c>
      <c r="R847" s="129">
        <f ca="1"/>
        <v>45740</v>
      </c>
      <c r="S847" s="89">
        <f ca="1"/>
        <v>116</v>
      </c>
      <c r="T847" s="143">
        <f ca="1"/>
        <v>0.64444444444444449</v>
      </c>
      <c r="U847" s="281">
        <f ca="1"/>
        <v>8</v>
      </c>
      <c r="V847" s="125">
        <f ca="1"/>
        <v>12</v>
      </c>
      <c r="W847" s="144">
        <f ca="1"/>
        <v>0</v>
      </c>
      <c r="X847" s="143">
        <f ca="1"/>
        <v>1</v>
      </c>
      <c r="Y847" s="145">
        <f ca="1"/>
        <v>2.2748600000000003</v>
      </c>
      <c r="Z847" s="145">
        <f ca="1"/>
        <v>2.2748600000000003</v>
      </c>
      <c r="AA847" s="125">
        <f ca="1"/>
        <v>18.198880000000003</v>
      </c>
      <c r="AB847" s="125">
        <f ca="1"/>
        <v>63</v>
      </c>
      <c r="AC847" s="98" t="str">
        <f ca="1"/>
        <v>VIGENTE</v>
      </c>
      <c r="AD847" s="147">
        <f ca="1"/>
        <v>1.2E-2</v>
      </c>
    </row>
    <row r="848" spans="1:30">
      <c r="A848" t="str">
        <f ca="1"/>
        <v>MULTIEMPAQUE_SG</v>
      </c>
      <c r="B848" t="str">
        <f ca="1"/>
        <v>POSTRES</v>
      </c>
      <c r="C848" t="str">
        <f ca="1"/>
        <v xml:space="preserve">Luis Armendariz                         </v>
      </c>
      <c r="D848" t="str">
        <f ca="1"/>
        <v>AREQUIPE ALPINA</v>
      </c>
      <c r="E848" t="str">
        <f ca="1"/>
        <v>AREQUIPE ALPINA</v>
      </c>
      <c r="F848" s="125" t="str">
        <f ca="1"/>
        <v>MACHACHI</v>
      </c>
      <c r="G848" s="125">
        <f ca="1"/>
        <v>7701</v>
      </c>
      <c r="H848" s="125">
        <f ca="1"/>
        <v>1080</v>
      </c>
      <c r="I848" s="125" t="str">
        <f ca="1"/>
        <v>15565</v>
      </c>
      <c r="J848" s="125" t="str">
        <f ca="1"/>
        <v>FOURPACK AREQUIPE Y PRETZELS 75 GR</v>
      </c>
      <c r="K848" s="126">
        <f ca="1"/>
        <v>150</v>
      </c>
      <c r="L848" s="127">
        <f ca="1"/>
        <v>1</v>
      </c>
      <c r="M848" s="125">
        <f ca="1"/>
        <v>0.3</v>
      </c>
      <c r="N848" s="126">
        <f ca="1"/>
        <v>180</v>
      </c>
      <c r="O848" s="128">
        <f ca="1"/>
        <v>45588</v>
      </c>
      <c r="P848" s="128" t="str">
        <f ca="1"/>
        <v>miércoles</v>
      </c>
      <c r="Q848" s="129">
        <f ca="1"/>
        <v>45588</v>
      </c>
      <c r="R848" s="129">
        <f ca="1"/>
        <v>45767</v>
      </c>
      <c r="S848" s="89">
        <f ca="1"/>
        <v>143</v>
      </c>
      <c r="T848" s="143">
        <f ca="1"/>
        <v>0.7944444444444444</v>
      </c>
      <c r="U848" s="281">
        <f ca="1"/>
        <v>150</v>
      </c>
      <c r="V848" s="125">
        <f ca="1"/>
        <v>45</v>
      </c>
      <c r="W848" s="144">
        <f ca="1"/>
        <v>0</v>
      </c>
      <c r="X848" s="143">
        <f ca="1"/>
        <v>1</v>
      </c>
      <c r="Y848" s="145">
        <f ca="1"/>
        <v>2.5274799999999997</v>
      </c>
      <c r="Z848" s="145">
        <f ca="1"/>
        <v>2.5274799999999997</v>
      </c>
      <c r="AA848" s="125">
        <f ca="1"/>
        <v>379.12199999999996</v>
      </c>
      <c r="AB848" s="125">
        <f ca="1"/>
        <v>36</v>
      </c>
      <c r="AC848" s="98" t="str">
        <f ca="1"/>
        <v>VIGENTE</v>
      </c>
      <c r="AD848" s="147">
        <f ca="1"/>
        <v>4.4999999999999998E-2</v>
      </c>
    </row>
    <row r="849" spans="1:30">
      <c r="A849" t="str">
        <f ca="1"/>
        <v>MULTIEMPAQUE_SG</v>
      </c>
      <c r="B849" t="str">
        <f ca="1"/>
        <v>POSTRES</v>
      </c>
      <c r="C849" t="str">
        <f ca="1"/>
        <v xml:space="preserve">Luis Armendariz                         </v>
      </c>
      <c r="D849" t="str">
        <f ca="1"/>
        <v>AREQUIPE ALPINA</v>
      </c>
      <c r="E849" t="str">
        <f ca="1"/>
        <v>AREQUIPE ALPINA</v>
      </c>
      <c r="F849" s="125" t="str">
        <f ca="1"/>
        <v>MACHACHI</v>
      </c>
      <c r="G849" s="125">
        <f ca="1"/>
        <v>7701</v>
      </c>
      <c r="H849" s="125">
        <f ca="1"/>
        <v>1080</v>
      </c>
      <c r="I849" s="125" t="str">
        <f ca="1"/>
        <v>15565</v>
      </c>
      <c r="J849" s="125" t="str">
        <f ca="1"/>
        <v>FOURPACK AREQUIPE Y PRETZELS 75 GR</v>
      </c>
      <c r="K849" s="126">
        <f ca="1"/>
        <v>135</v>
      </c>
      <c r="L849" s="127">
        <f ca="1"/>
        <v>1</v>
      </c>
      <c r="M849" s="125">
        <f ca="1"/>
        <v>0.3</v>
      </c>
      <c r="N849" s="126">
        <f ca="1"/>
        <v>180</v>
      </c>
      <c r="O849" s="128">
        <f ca="1"/>
        <v>45597</v>
      </c>
      <c r="P849" s="128" t="str">
        <f ca="1"/>
        <v>viernes</v>
      </c>
      <c r="Q849" s="129">
        <f ca="1"/>
        <v>45597</v>
      </c>
      <c r="R849" s="129">
        <f ca="1"/>
        <v>45776</v>
      </c>
      <c r="S849" s="89">
        <f ca="1"/>
        <v>152</v>
      </c>
      <c r="T849" s="143">
        <f ca="1"/>
        <v>0.84444444444444444</v>
      </c>
      <c r="U849" s="281">
        <f ca="1"/>
        <v>135</v>
      </c>
      <c r="V849" s="125">
        <f ca="1"/>
        <v>40.5</v>
      </c>
      <c r="W849" s="144">
        <f ca="1"/>
        <v>0</v>
      </c>
      <c r="X849" s="143">
        <f ca="1"/>
        <v>1</v>
      </c>
      <c r="Y849" s="145">
        <f ca="1"/>
        <v>2.5274799999999997</v>
      </c>
      <c r="Z849" s="145">
        <f ca="1"/>
        <v>2.5274799999999997</v>
      </c>
      <c r="AA849" s="125">
        <f ca="1"/>
        <v>341.20979999999997</v>
      </c>
      <c r="AB849" s="125">
        <f ca="1"/>
        <v>27</v>
      </c>
      <c r="AC849" s="98" t="str">
        <f ca="1"/>
        <v>VIGENTE</v>
      </c>
      <c r="AD849" s="147">
        <f ca="1"/>
        <v>4.0500000000000001E-2</v>
      </c>
    </row>
    <row r="850" spans="1:30">
      <c r="A850" t="str">
        <f ca="1"/>
        <v>MULTIEMPAQUE_SG</v>
      </c>
      <c r="B850" t="str">
        <f ca="1"/>
        <v>POSTRES</v>
      </c>
      <c r="C850" t="str">
        <f ca="1"/>
        <v xml:space="preserve">Luis Armendariz                         </v>
      </c>
      <c r="D850" t="str">
        <f ca="1"/>
        <v>AREQUIPE ALPINA</v>
      </c>
      <c r="E850" t="str">
        <f ca="1"/>
        <v>AREQUIPE ALPINA</v>
      </c>
      <c r="F850" s="125" t="str">
        <f ca="1"/>
        <v>MACHACHI</v>
      </c>
      <c r="G850" s="125">
        <f ca="1"/>
        <v>7701</v>
      </c>
      <c r="H850" s="125">
        <f ca="1"/>
        <v>1080</v>
      </c>
      <c r="I850" s="125" t="str">
        <f ca="1"/>
        <v>15565</v>
      </c>
      <c r="J850" s="125" t="str">
        <f ca="1"/>
        <v>FOURPACK AREQUIPE Y PRETZELS 75 GR</v>
      </c>
      <c r="K850" s="126">
        <f ca="1"/>
        <v>161</v>
      </c>
      <c r="L850" s="127">
        <f ca="1"/>
        <v>1</v>
      </c>
      <c r="M850" s="125">
        <f ca="1"/>
        <v>0.3</v>
      </c>
      <c r="N850" s="126">
        <f ca="1"/>
        <v>180</v>
      </c>
      <c r="O850" s="128">
        <f ca="1"/>
        <v>45605</v>
      </c>
      <c r="P850" s="128" t="str">
        <f ca="1"/>
        <v>sábado</v>
      </c>
      <c r="Q850" s="129">
        <f ca="1"/>
        <v>45605</v>
      </c>
      <c r="R850" s="129">
        <f ca="1"/>
        <v>45784</v>
      </c>
      <c r="S850" s="89">
        <f ca="1"/>
        <v>160</v>
      </c>
      <c r="T850" s="143">
        <f ca="1"/>
        <v>0.88888888888888884</v>
      </c>
      <c r="U850" s="281">
        <f ca="1"/>
        <v>161</v>
      </c>
      <c r="V850" s="125">
        <f ca="1"/>
        <v>48.3</v>
      </c>
      <c r="W850" s="144">
        <f ca="1"/>
        <v>0</v>
      </c>
      <c r="X850" s="143">
        <f ca="1"/>
        <v>1</v>
      </c>
      <c r="Y850" s="145">
        <f ca="1"/>
        <v>2.5274799999999997</v>
      </c>
      <c r="Z850" s="145">
        <f ca="1"/>
        <v>2.5274799999999997</v>
      </c>
      <c r="AA850" s="125">
        <f ca="1"/>
        <v>406.92427999999995</v>
      </c>
      <c r="AB850" s="125">
        <f ca="1"/>
        <v>19</v>
      </c>
      <c r="AC850" s="98" t="str">
        <f ca="1"/>
        <v>VIGENTE</v>
      </c>
      <c r="AD850" s="147">
        <f ca="1"/>
        <v>4.8299999999999996E-2</v>
      </c>
    </row>
    <row r="851" spans="1:30">
      <c r="A851" t="str">
        <f ca="1"/>
        <v>MAQUILA_SG</v>
      </c>
      <c r="B851" t="str">
        <f ca="1"/>
        <v>POSTRES</v>
      </c>
      <c r="C851" t="str">
        <f ca="1"/>
        <v xml:space="preserve">Luis Armendariz                         </v>
      </c>
      <c r="D851" t="str">
        <f ca="1"/>
        <v>AREQUIPE ALPINA</v>
      </c>
      <c r="E851" t="str">
        <f ca="1"/>
        <v>AREQUIPE ALPINA</v>
      </c>
      <c r="F851" s="125" t="str">
        <f ca="1"/>
        <v>MACHACHI</v>
      </c>
      <c r="G851" s="125">
        <f ca="1"/>
        <v>7701</v>
      </c>
      <c r="H851" s="125">
        <f ca="1"/>
        <v>1080</v>
      </c>
      <c r="I851" s="125" t="str">
        <f ca="1"/>
        <v>15459</v>
      </c>
      <c r="J851" s="125" t="str">
        <f ca="1"/>
        <v>AREQUIPE Y PRETZEL STICKS 75 GRAMOS</v>
      </c>
      <c r="K851" s="126">
        <f ca="1"/>
        <v>2126</v>
      </c>
      <c r="L851" s="127">
        <f ca="1"/>
        <v>1</v>
      </c>
      <c r="M851" s="125">
        <f ca="1"/>
        <v>7.4999999999999997E-2</v>
      </c>
      <c r="N851" s="126">
        <f ca="1"/>
        <v>180</v>
      </c>
      <c r="O851" s="128">
        <f ca="1"/>
        <v>45597</v>
      </c>
      <c r="P851" s="128" t="str">
        <f ca="1"/>
        <v>viernes</v>
      </c>
      <c r="Q851" s="129">
        <f ca="1"/>
        <v>45597</v>
      </c>
      <c r="R851" s="129">
        <f ca="1"/>
        <v>45776</v>
      </c>
      <c r="S851" s="89">
        <f ca="1"/>
        <v>152</v>
      </c>
      <c r="T851" s="143">
        <f ca="1"/>
        <v>0.84444444444444444</v>
      </c>
      <c r="U851" s="281">
        <f ca="1"/>
        <v>2126</v>
      </c>
      <c r="V851" s="125">
        <f ca="1"/>
        <v>159.44999999999999</v>
      </c>
      <c r="W851" s="144">
        <f ca="1"/>
        <v>0</v>
      </c>
      <c r="X851" s="143">
        <f ca="1"/>
        <v>1</v>
      </c>
      <c r="Y851" s="145">
        <f ca="1"/>
        <v>0.61960000000000004</v>
      </c>
      <c r="Z851" s="145">
        <f ca="1"/>
        <v>0.61960000000000004</v>
      </c>
      <c r="AA851" s="125">
        <f ca="1"/>
        <v>1317.2696000000001</v>
      </c>
      <c r="AB851" s="125">
        <f ca="1"/>
        <v>27</v>
      </c>
      <c r="AC851" s="98" t="str">
        <f ca="1"/>
        <v>VIGENTE</v>
      </c>
      <c r="AD851" s="147">
        <f ca="1"/>
        <v>0.15944999999999998</v>
      </c>
    </row>
    <row r="852" spans="1:30">
      <c r="A852" t="str">
        <f ca="1"/>
        <v>MAQUILA</v>
      </c>
      <c r="B852" t="str">
        <f ca="1"/>
        <v>QUESOS Y GRASAS</v>
      </c>
      <c r="C852" t="str">
        <f ca="1"/>
        <v xml:space="preserve">Esteban Montenegro                      </v>
      </c>
      <c r="D852" t="str">
        <f ca="1"/>
        <v>CREMA DE LECHE</v>
      </c>
      <c r="E852" t="str">
        <f ca="1"/>
        <v>CREMA DE LECHE BOLSA</v>
      </c>
      <c r="F852" s="125" t="str">
        <f ca="1"/>
        <v>MACHACHI</v>
      </c>
      <c r="G852" s="125">
        <f ca="1"/>
        <v>7701</v>
      </c>
      <c r="H852" s="125">
        <f ca="1"/>
        <v>1080</v>
      </c>
      <c r="I852" s="125" t="str">
        <f ca="1"/>
        <v>16744</v>
      </c>
      <c r="J852" s="125" t="str">
        <f ca="1"/>
        <v>CREMA DE LECHE ALPINA 200G</v>
      </c>
      <c r="K852" s="126">
        <f ca="1"/>
        <v>15960</v>
      </c>
      <c r="L852" s="127">
        <f ca="1"/>
        <v>1</v>
      </c>
      <c r="M852" s="125">
        <f ca="1"/>
        <v>0.2</v>
      </c>
      <c r="N852" s="126">
        <f ca="1"/>
        <v>70</v>
      </c>
      <c r="O852" s="128">
        <f ca="1"/>
        <v>45609</v>
      </c>
      <c r="P852" s="128" t="str">
        <f ca="1"/>
        <v>miércoles</v>
      </c>
      <c r="Q852" s="129">
        <f ca="1"/>
        <v>45609</v>
      </c>
      <c r="R852" s="129">
        <f ca="1"/>
        <v>45678</v>
      </c>
      <c r="S852" s="89">
        <f ca="1"/>
        <v>54</v>
      </c>
      <c r="T852" s="143">
        <f ca="1"/>
        <v>0.77142857142857146</v>
      </c>
      <c r="U852" s="281">
        <f ca="1"/>
        <v>15960</v>
      </c>
      <c r="V852" s="125">
        <f ca="1"/>
        <v>3192</v>
      </c>
      <c r="W852" s="144">
        <f ca="1"/>
        <v>0</v>
      </c>
      <c r="X852" s="143">
        <f ca="1"/>
        <v>1</v>
      </c>
      <c r="Y852" s="145">
        <f ca="1"/>
        <v>0.59135000000000004</v>
      </c>
      <c r="Z852" s="145">
        <f ca="1"/>
        <v>0.59135000000000004</v>
      </c>
      <c r="AA852" s="125">
        <f ca="1"/>
        <v>9437.9459999999999</v>
      </c>
      <c r="AB852" s="125">
        <f ca="1"/>
        <v>15</v>
      </c>
      <c r="AC852" s="98" t="str">
        <f ca="1"/>
        <v>VIGENTE</v>
      </c>
      <c r="AD852" s="147">
        <f ca="1"/>
        <v>3.1920000000000002</v>
      </c>
    </row>
    <row r="853" spans="1:30">
      <c r="A853" t="str">
        <f ca="1"/>
        <v>MAQUILA</v>
      </c>
      <c r="B853" t="str">
        <f ca="1"/>
        <v>QUESOS Y GRASAS</v>
      </c>
      <c r="C853" t="str">
        <f ca="1"/>
        <v xml:space="preserve">Esteban Montenegro                      </v>
      </c>
      <c r="D853" t="str">
        <f ca="1"/>
        <v>CREMA DE LECHE</v>
      </c>
      <c r="E853" t="str">
        <f ca="1"/>
        <v>CREMA DE LECHE BOLSA</v>
      </c>
      <c r="F853" s="125" t="str">
        <f ca="1"/>
        <v>MACHACHI</v>
      </c>
      <c r="G853" s="125">
        <f ca="1"/>
        <v>7701</v>
      </c>
      <c r="H853" s="125">
        <f ca="1"/>
        <v>1080</v>
      </c>
      <c r="I853" s="125" t="str">
        <f ca="1"/>
        <v>16744</v>
      </c>
      <c r="J853" s="125" t="str">
        <f ca="1"/>
        <v>CREMA DE LECHE ALPINA 200G</v>
      </c>
      <c r="K853" s="126">
        <f ca="1"/>
        <v>22400</v>
      </c>
      <c r="L853" s="127">
        <f ca="1"/>
        <v>1</v>
      </c>
      <c r="M853" s="125">
        <f ca="1"/>
        <v>0.2</v>
      </c>
      <c r="N853" s="126">
        <f ca="1"/>
        <v>70</v>
      </c>
      <c r="O853" s="128">
        <f ca="1"/>
        <v>45611</v>
      </c>
      <c r="P853" s="128" t="str">
        <f ca="1"/>
        <v>viernes</v>
      </c>
      <c r="Q853" s="129">
        <f ca="1"/>
        <v>45611</v>
      </c>
      <c r="R853" s="129">
        <f ca="1"/>
        <v>45680</v>
      </c>
      <c r="S853" s="89">
        <f ca="1"/>
        <v>56</v>
      </c>
      <c r="T853" s="143">
        <f ca="1"/>
        <v>0.8</v>
      </c>
      <c r="U853" s="281">
        <f ca="1"/>
        <v>22400</v>
      </c>
      <c r="V853" s="125">
        <f ca="1"/>
        <v>4480</v>
      </c>
      <c r="W853" s="144">
        <f ca="1"/>
        <v>0</v>
      </c>
      <c r="X853" s="143">
        <f ca="1"/>
        <v>1</v>
      </c>
      <c r="Y853" s="145">
        <f ca="1"/>
        <v>0.59135000000000004</v>
      </c>
      <c r="Z853" s="145">
        <f ca="1"/>
        <v>0.59135000000000004</v>
      </c>
      <c r="AA853" s="125">
        <f ca="1"/>
        <v>13246.240000000002</v>
      </c>
      <c r="AB853" s="125">
        <f ca="1"/>
        <v>13</v>
      </c>
      <c r="AC853" s="98" t="str">
        <f ca="1"/>
        <v>VIGENTE</v>
      </c>
      <c r="AD853" s="147">
        <f ca="1"/>
        <v>4.4800000000000004</v>
      </c>
    </row>
    <row r="854" spans="1:30">
      <c r="A854" t="str">
        <f ca="1"/>
        <v>MAQUILA</v>
      </c>
      <c r="B854" t="str">
        <f ca="1"/>
        <v>QUESOS Y GRASAS</v>
      </c>
      <c r="C854" t="str">
        <f ca="1"/>
        <v xml:space="preserve">Esteban Montenegro                      </v>
      </c>
      <c r="D854" t="str">
        <f ca="1"/>
        <v>CREMA DE LECHE</v>
      </c>
      <c r="E854" t="str">
        <f ca="1"/>
        <v>CREMA DE LECHE BOLSA</v>
      </c>
      <c r="F854" s="125" t="str">
        <f ca="1"/>
        <v>MACHACHI</v>
      </c>
      <c r="G854" s="125">
        <f ca="1"/>
        <v>7701</v>
      </c>
      <c r="H854" s="125">
        <f ca="1"/>
        <v>1080</v>
      </c>
      <c r="I854" s="125" t="str">
        <f ca="1"/>
        <v>16744</v>
      </c>
      <c r="J854" s="125" t="str">
        <f ca="1"/>
        <v>CREMA DE LECHE ALPINA 200G</v>
      </c>
      <c r="K854" s="126">
        <f ca="1"/>
        <v>26178</v>
      </c>
      <c r="L854" s="127">
        <f ca="1"/>
        <v>1</v>
      </c>
      <c r="M854" s="125">
        <f ca="1"/>
        <v>0.2</v>
      </c>
      <c r="N854" s="126">
        <f ca="1"/>
        <v>70</v>
      </c>
      <c r="O854" s="128">
        <f ca="1"/>
        <v>45614</v>
      </c>
      <c r="P854" s="128" t="str">
        <f ca="1"/>
        <v>lunes</v>
      </c>
      <c r="Q854" s="129">
        <f ca="1"/>
        <v>45614</v>
      </c>
      <c r="R854" s="129">
        <f ca="1"/>
        <v>45683</v>
      </c>
      <c r="S854" s="89">
        <f ca="1"/>
        <v>59</v>
      </c>
      <c r="T854" s="143">
        <f ca="1"/>
        <v>0.84285714285714286</v>
      </c>
      <c r="U854" s="281">
        <f ca="1"/>
        <v>26178</v>
      </c>
      <c r="V854" s="125">
        <f ca="1"/>
        <v>5235.6000000000004</v>
      </c>
      <c r="W854" s="144">
        <f ca="1"/>
        <v>0</v>
      </c>
      <c r="X854" s="143">
        <f ca="1"/>
        <v>1</v>
      </c>
      <c r="Y854" s="145">
        <f ca="1"/>
        <v>0.59135000000000004</v>
      </c>
      <c r="Z854" s="145">
        <f ca="1"/>
        <v>0.59135000000000004</v>
      </c>
      <c r="AA854" s="125">
        <f ca="1"/>
        <v>15480.3603</v>
      </c>
      <c r="AB854" s="125">
        <f ca="1"/>
        <v>10</v>
      </c>
      <c r="AC854" s="98" t="str">
        <f ca="1"/>
        <v>VIGENTE</v>
      </c>
      <c r="AD854" s="147">
        <f ca="1"/>
        <v>5.2356000000000007</v>
      </c>
    </row>
    <row r="855" spans="1:30">
      <c r="A855" t="str">
        <f ca="1"/>
        <v>SAN GABRIEL</v>
      </c>
      <c r="B855" t="str">
        <f ca="1"/>
        <v>QUESOS Y GRASAS</v>
      </c>
      <c r="C855" t="str">
        <f ca="1"/>
        <v xml:space="preserve">Esteban Montenegro                      </v>
      </c>
      <c r="D855" t="str">
        <f ca="1"/>
        <v>QUESO MOZARELLA KIOSKO</v>
      </c>
      <c r="E855" t="str">
        <f ca="1"/>
        <v>QUESO MOZARELLA SNACK</v>
      </c>
      <c r="F855" s="125" t="str">
        <f ca="1"/>
        <v>MACHACHI</v>
      </c>
      <c r="G855" s="125">
        <f ca="1"/>
        <v>7701</v>
      </c>
      <c r="H855" s="125">
        <f ca="1"/>
        <v>1080</v>
      </c>
      <c r="I855" s="125" t="str">
        <f ca="1"/>
        <v>13828</v>
      </c>
      <c r="J855" s="125" t="str">
        <f ca="1"/>
        <v>QUESO MOZARELLA LIGHT KIOSKO 35 G</v>
      </c>
      <c r="K855" s="126">
        <f ca="1"/>
        <v>360</v>
      </c>
      <c r="L855" s="127">
        <f ca="1"/>
        <v>1</v>
      </c>
      <c r="M855" s="125">
        <f ca="1"/>
        <v>3.5000000000000003E-2</v>
      </c>
      <c r="N855" s="126">
        <f ca="1"/>
        <v>40</v>
      </c>
      <c r="O855" s="128">
        <f ca="1"/>
        <v>45622</v>
      </c>
      <c r="P855" s="128" t="str">
        <f ca="1"/>
        <v>martes</v>
      </c>
      <c r="Q855" s="129">
        <f ca="1"/>
        <v>45622</v>
      </c>
      <c r="R855" s="129">
        <f ca="1"/>
        <v>45661</v>
      </c>
      <c r="S855" s="89">
        <f ca="1"/>
        <v>37</v>
      </c>
      <c r="T855" s="143">
        <f ca="1"/>
        <v>0.92500000000000004</v>
      </c>
      <c r="U855" s="281">
        <f ca="1"/>
        <v>360</v>
      </c>
      <c r="V855" s="125">
        <f ca="1"/>
        <v>12.600000000000001</v>
      </c>
      <c r="W855" s="144">
        <f ca="1"/>
        <v>0</v>
      </c>
      <c r="X855" s="143">
        <f ca="1"/>
        <v>1</v>
      </c>
      <c r="Y855" s="145">
        <f ca="1"/>
        <v>0.228385</v>
      </c>
      <c r="Z855" s="145">
        <f ca="1"/>
        <v>0.228385</v>
      </c>
      <c r="AA855" s="125">
        <f ca="1"/>
        <v>82.218599999999995</v>
      </c>
      <c r="AB855" s="125">
        <f ca="1"/>
        <v>2</v>
      </c>
      <c r="AC855" s="98" t="str">
        <f ca="1"/>
        <v>VIGENTE</v>
      </c>
      <c r="AD855" s="147">
        <f ca="1"/>
        <v>1.2600000000000002E-2</v>
      </c>
    </row>
    <row r="856" spans="1:30">
      <c r="A856" t="str">
        <f ca="1"/>
        <v>SAN GABRIEL</v>
      </c>
      <c r="B856" t="str">
        <f ca="1"/>
        <v>QUESOS Y GRASAS</v>
      </c>
      <c r="C856" t="str">
        <f ca="1"/>
        <v xml:space="preserve">Esteban Montenegro                      </v>
      </c>
      <c r="D856" t="str">
        <f ca="1"/>
        <v>QUESO MOZARELLA KIOSKO</v>
      </c>
      <c r="E856" t="str">
        <f ca="1"/>
        <v>QUESO MOZARELLA SNACK</v>
      </c>
      <c r="F856" s="125" t="str">
        <f ca="1"/>
        <v>MACHACHI</v>
      </c>
      <c r="G856" s="125">
        <f ca="1"/>
        <v>7701</v>
      </c>
      <c r="H856" s="125">
        <f ca="1"/>
        <v>1080</v>
      </c>
      <c r="I856" s="125" t="str">
        <f ca="1"/>
        <v>13828</v>
      </c>
      <c r="J856" s="125" t="str">
        <f ca="1"/>
        <v>QUESO MOZARELLA LIGHT KIOSKO 35 G</v>
      </c>
      <c r="K856" s="126">
        <f ca="1"/>
        <v>540</v>
      </c>
      <c r="L856" s="127">
        <f ca="1"/>
        <v>1</v>
      </c>
      <c r="M856" s="125">
        <f ca="1"/>
        <v>3.5000000000000003E-2</v>
      </c>
      <c r="N856" s="126">
        <f ca="1"/>
        <v>40</v>
      </c>
      <c r="O856" s="128">
        <f ca="1"/>
        <v>45615</v>
      </c>
      <c r="P856" s="128" t="str">
        <f ca="1"/>
        <v>martes</v>
      </c>
      <c r="Q856" s="129">
        <f ca="1"/>
        <v>45615</v>
      </c>
      <c r="R856" s="129">
        <f ca="1"/>
        <v>45654</v>
      </c>
      <c r="S856" s="89">
        <f ca="1"/>
        <v>30</v>
      </c>
      <c r="T856" s="143">
        <f ca="1"/>
        <v>0.75</v>
      </c>
      <c r="U856" s="281">
        <f ca="1"/>
        <v>540</v>
      </c>
      <c r="V856" s="125">
        <f ca="1"/>
        <v>18.900000000000002</v>
      </c>
      <c r="W856" s="144">
        <f ca="1"/>
        <v>0</v>
      </c>
      <c r="X856" s="143">
        <f ca="1"/>
        <v>1</v>
      </c>
      <c r="Y856" s="145">
        <f ca="1"/>
        <v>0.228385</v>
      </c>
      <c r="Z856" s="145">
        <f ca="1"/>
        <v>0.228385</v>
      </c>
      <c r="AA856" s="125">
        <f ca="1"/>
        <v>123.3279</v>
      </c>
      <c r="AB856" s="125">
        <f ca="1"/>
        <v>9</v>
      </c>
      <c r="AC856" s="98" t="str">
        <f ca="1"/>
        <v>VIGENTE</v>
      </c>
      <c r="AD856" s="147">
        <f ca="1"/>
        <v>1.8900000000000004E-2</v>
      </c>
    </row>
    <row r="857" spans="1:30">
      <c r="A857" t="str">
        <f ca="1"/>
        <v>MACHACHI</v>
      </c>
      <c r="B857" t="str">
        <f ca="1"/>
        <v>BEBIDAS LACTEAS</v>
      </c>
      <c r="C857" t="str">
        <f ca="1"/>
        <v xml:space="preserve">Luis Armendariz                         </v>
      </c>
      <c r="D857" t="str">
        <f ca="1"/>
        <v>YOGURT FINESSE</v>
      </c>
      <c r="E857" t="str">
        <f ca="1"/>
        <v>YOGURT FINESSE DESLACT BOTELLA FAMILIAR</v>
      </c>
      <c r="F857" s="125" t="str">
        <f ca="1"/>
        <v>MACHACHI</v>
      </c>
      <c r="G857" s="125">
        <f ca="1"/>
        <v>7701</v>
      </c>
      <c r="H857" s="125">
        <f ca="1"/>
        <v>1080</v>
      </c>
      <c r="I857" s="125" t="str">
        <f ca="1"/>
        <v>12548</v>
      </c>
      <c r="J857" s="125" t="str">
        <f ca="1"/>
        <v>YOG FNSSE SBILA BOT 1670G</v>
      </c>
      <c r="K857" s="126">
        <f ca="1"/>
        <v>10</v>
      </c>
      <c r="L857" s="127">
        <f ca="1"/>
        <v>1</v>
      </c>
      <c r="M857" s="125">
        <f ca="1"/>
        <v>1.67</v>
      </c>
      <c r="N857" s="126">
        <f ca="1"/>
        <v>45</v>
      </c>
      <c r="O857" s="128">
        <f ca="1"/>
        <v>45596</v>
      </c>
      <c r="P857" s="128" t="str">
        <f ca="1"/>
        <v>jueves</v>
      </c>
      <c r="Q857" s="129">
        <f ca="1"/>
        <v>45596</v>
      </c>
      <c r="R857" s="129">
        <f ca="1"/>
        <v>45640</v>
      </c>
      <c r="S857" s="89">
        <f ca="1"/>
        <v>16</v>
      </c>
      <c r="T857" s="143">
        <f ca="1"/>
        <v>0.35555555555555557</v>
      </c>
      <c r="U857" s="281">
        <f ca="1"/>
        <v>10</v>
      </c>
      <c r="V857" s="125">
        <f ca="1"/>
        <v>16.7</v>
      </c>
      <c r="W857" s="144">
        <f ca="1"/>
        <v>0</v>
      </c>
      <c r="X857" s="143">
        <f ca="1"/>
        <v>1</v>
      </c>
      <c r="Y857" s="145">
        <f ca="1"/>
        <v>2.4703599999999999</v>
      </c>
      <c r="Z857" s="145">
        <f ca="1"/>
        <v>2.4703599999999999</v>
      </c>
      <c r="AA857" s="125">
        <f ca="1"/>
        <v>24.703599999999998</v>
      </c>
      <c r="AB857" s="125">
        <f ca="1"/>
        <v>28</v>
      </c>
      <c r="AC857" s="98" t="str">
        <f ca="1"/>
        <v>FECHA CORTA</v>
      </c>
      <c r="AD857" s="147">
        <f ca="1"/>
        <v>1.67E-2</v>
      </c>
    </row>
    <row r="858" spans="1:30">
      <c r="A858" t="str">
        <f ca="1"/>
        <v>MACHACHI</v>
      </c>
      <c r="B858" t="str">
        <f ca="1"/>
        <v>BEBIDAS LACTEAS</v>
      </c>
      <c r="C858" t="str">
        <f ca="1"/>
        <v xml:space="preserve">Luis Armendariz                         </v>
      </c>
      <c r="D858" t="str">
        <f ca="1"/>
        <v>YOGURT FINESSE</v>
      </c>
      <c r="E858" t="str">
        <f ca="1"/>
        <v>YOGURT FINESSE DESLACT BOTELLA FAMILIAR</v>
      </c>
      <c r="F858" s="125" t="str">
        <f ca="1"/>
        <v>MACHACHI</v>
      </c>
      <c r="G858" s="125">
        <f ca="1"/>
        <v>7701</v>
      </c>
      <c r="H858" s="125">
        <f ca="1"/>
        <v>1080</v>
      </c>
      <c r="I858" s="125" t="str">
        <f ca="1"/>
        <v>17036</v>
      </c>
      <c r="J858" s="125" t="str">
        <f ca="1"/>
        <v>YOG FINESSE NATURAL 1650G</v>
      </c>
      <c r="K858" s="126">
        <f ca="1"/>
        <v>13</v>
      </c>
      <c r="L858" s="127">
        <f ca="1"/>
        <v>1</v>
      </c>
      <c r="M858" s="125">
        <f ca="1"/>
        <v>1.65</v>
      </c>
      <c r="N858" s="126">
        <f ca="1"/>
        <v>45</v>
      </c>
      <c r="O858" s="128">
        <f ca="1"/>
        <v>45595</v>
      </c>
      <c r="P858" s="128" t="str">
        <f ca="1"/>
        <v>miércoles</v>
      </c>
      <c r="Q858" s="129">
        <f ca="1"/>
        <v>45595</v>
      </c>
      <c r="R858" s="129">
        <f ca="1"/>
        <v>45639</v>
      </c>
      <c r="S858" s="89">
        <f ca="1"/>
        <v>15</v>
      </c>
      <c r="T858" s="143">
        <f ca="1"/>
        <v>0.33333333333333331</v>
      </c>
      <c r="U858" s="281">
        <f ca="1"/>
        <v>13</v>
      </c>
      <c r="V858" s="125">
        <f ca="1"/>
        <v>21.45</v>
      </c>
      <c r="W858" s="144">
        <f ca="1"/>
        <v>0</v>
      </c>
      <c r="X858" s="143">
        <f ca="1"/>
        <v>1</v>
      </c>
      <c r="Y858" s="145">
        <f ca="1"/>
        <v>1.9335450000000001</v>
      </c>
      <c r="Z858" s="145">
        <f ca="1"/>
        <v>1.9335450000000001</v>
      </c>
      <c r="AA858" s="125">
        <f ca="1"/>
        <v>25.136085000000001</v>
      </c>
      <c r="AB858" s="125">
        <f ca="1"/>
        <v>29</v>
      </c>
      <c r="AC858" s="98" t="str">
        <f ca="1"/>
        <v>FECHA CORTA</v>
      </c>
      <c r="AD858" s="147">
        <f ca="1"/>
        <v>2.145E-2</v>
      </c>
    </row>
    <row r="859" spans="1:30">
      <c r="A859" t="str">
        <f ca="1"/>
        <v>MACHACHI</v>
      </c>
      <c r="B859" t="str">
        <f ca="1"/>
        <v>BEBIDAS LACTEAS</v>
      </c>
      <c r="C859" t="str">
        <f ca="1"/>
        <v xml:space="preserve">Luis Armendariz                         </v>
      </c>
      <c r="D859" t="str">
        <f ca="1"/>
        <v>YOGURT FINESSE</v>
      </c>
      <c r="E859" t="str">
        <f ca="1"/>
        <v>YOGURT FINESSE DESLACT BOTELLA PERSONAL</v>
      </c>
      <c r="F859" s="125" t="str">
        <f ca="1"/>
        <v>MACHACHI</v>
      </c>
      <c r="G859" s="125">
        <f ca="1"/>
        <v>7701</v>
      </c>
      <c r="H859" s="125">
        <f ca="1"/>
        <v>1080</v>
      </c>
      <c r="I859" s="125" t="str">
        <f ca="1"/>
        <v>16366</v>
      </c>
      <c r="J859" s="125" t="str">
        <f ca="1"/>
        <v>YOG FNSSE VAINILLA 180</v>
      </c>
      <c r="K859" s="126">
        <f ca="1"/>
        <v>274</v>
      </c>
      <c r="L859" s="127">
        <f ca="1"/>
        <v>1</v>
      </c>
      <c r="M859" s="125">
        <f ca="1"/>
        <v>0.18</v>
      </c>
      <c r="N859" s="126">
        <f ca="1"/>
        <v>45</v>
      </c>
      <c r="O859" s="128">
        <f ca="1"/>
        <v>45596</v>
      </c>
      <c r="P859" s="128" t="str">
        <f ca="1"/>
        <v>jueves</v>
      </c>
      <c r="Q859" s="129">
        <f ca="1"/>
        <v>45596</v>
      </c>
      <c r="R859" s="129">
        <f ca="1"/>
        <v>45640</v>
      </c>
      <c r="S859" s="89">
        <f ca="1"/>
        <v>16</v>
      </c>
      <c r="T859" s="143">
        <f ca="1"/>
        <v>0.35555555555555557</v>
      </c>
      <c r="U859" s="281">
        <f ca="1"/>
        <v>274</v>
      </c>
      <c r="V859" s="125">
        <f ca="1"/>
        <v>49.32</v>
      </c>
      <c r="W859" s="144">
        <f ca="1"/>
        <v>0</v>
      </c>
      <c r="X859" s="143">
        <f ca="1"/>
        <v>1</v>
      </c>
      <c r="Y859" s="145">
        <f ca="1"/>
        <v>0.286325</v>
      </c>
      <c r="Z859" s="145">
        <f ca="1"/>
        <v>0.286325</v>
      </c>
      <c r="AA859" s="125">
        <f ca="1"/>
        <v>78.453050000000005</v>
      </c>
      <c r="AB859" s="125">
        <f ca="1"/>
        <v>28</v>
      </c>
      <c r="AC859" s="98" t="str">
        <f ca="1"/>
        <v>FECHA CORTA</v>
      </c>
      <c r="AD859" s="147">
        <f ca="1"/>
        <v>4.9320000000000003E-2</v>
      </c>
    </row>
    <row r="860" spans="1:30">
      <c r="A860" t="str">
        <f ca="1"/>
        <v>MACHACHI</v>
      </c>
      <c r="B860" t="str">
        <f ca="1"/>
        <v>BEBIDAS LACTEAS</v>
      </c>
      <c r="C860" t="str">
        <f ca="1"/>
        <v xml:space="preserve">Luis Armendariz                         </v>
      </c>
      <c r="D860" t="str">
        <f ca="1"/>
        <v>YOGURT FINESSE</v>
      </c>
      <c r="E860" t="str">
        <f ca="1"/>
        <v>YOGURT FINESSE DESLACT BOTELLA FAMILIAR</v>
      </c>
      <c r="F860" s="125" t="str">
        <f ca="1"/>
        <v>MACHACHI</v>
      </c>
      <c r="G860" s="125">
        <f ca="1"/>
        <v>7701</v>
      </c>
      <c r="H860" s="125">
        <f ca="1"/>
        <v>1080</v>
      </c>
      <c r="I860" s="125" t="str">
        <f ca="1"/>
        <v>16368</v>
      </c>
      <c r="J860" s="125" t="str">
        <f ca="1"/>
        <v>YOG FNSSE VAINILLA 1650</v>
      </c>
      <c r="K860" s="126">
        <f ca="1"/>
        <v>33</v>
      </c>
      <c r="L860" s="127">
        <f ca="1"/>
        <v>1</v>
      </c>
      <c r="M860" s="125">
        <f ca="1"/>
        <v>1.65</v>
      </c>
      <c r="N860" s="126">
        <f ca="1"/>
        <v>45</v>
      </c>
      <c r="O860" s="128">
        <f ca="1"/>
        <v>45596</v>
      </c>
      <c r="P860" s="128" t="str">
        <f ca="1"/>
        <v>jueves</v>
      </c>
      <c r="Q860" s="129">
        <f ca="1"/>
        <v>45596</v>
      </c>
      <c r="R860" s="129">
        <f ca="1"/>
        <v>45640</v>
      </c>
      <c r="S860" s="89">
        <f ca="1"/>
        <v>16</v>
      </c>
      <c r="T860" s="143">
        <f ca="1"/>
        <v>0.35555555555555557</v>
      </c>
      <c r="U860" s="281">
        <f ca="1"/>
        <v>33</v>
      </c>
      <c r="V860" s="125">
        <f ca="1"/>
        <v>54.449999999999996</v>
      </c>
      <c r="W860" s="144">
        <f ca="1"/>
        <v>0</v>
      </c>
      <c r="X860" s="143">
        <f ca="1"/>
        <v>1</v>
      </c>
      <c r="Y860" s="145">
        <f ca="1"/>
        <v>2.0279499999999997</v>
      </c>
      <c r="Z860" s="145">
        <f ca="1"/>
        <v>2.0279499999999997</v>
      </c>
      <c r="AA860" s="125">
        <f ca="1"/>
        <v>66.922349999999994</v>
      </c>
      <c r="AB860" s="125">
        <f ca="1"/>
        <v>28</v>
      </c>
      <c r="AC860" s="98" t="str">
        <f ca="1"/>
        <v>FECHA CORTA</v>
      </c>
      <c r="AD860" s="147">
        <f ca="1"/>
        <v>5.4449999999999998E-2</v>
      </c>
    </row>
    <row r="861" spans="1:30">
      <c r="A861" t="str">
        <f ca="1"/>
        <v>MACHACHI</v>
      </c>
      <c r="B861" t="str">
        <f ca="1"/>
        <v>BEBIDAS LACTEAS</v>
      </c>
      <c r="C861" t="str">
        <f ca="1"/>
        <v xml:space="preserve">Luis Armendariz                         </v>
      </c>
      <c r="D861" t="str">
        <f ca="1"/>
        <v>YOGURT KIOSKO</v>
      </c>
      <c r="E861" t="str">
        <f ca="1"/>
        <v>GRIEGO SABORIZADO</v>
      </c>
      <c r="F861" s="125" t="str">
        <f ca="1"/>
        <v>MACHACHI</v>
      </c>
      <c r="G861" s="125">
        <f ca="1"/>
        <v>7701</v>
      </c>
      <c r="H861" s="125">
        <f ca="1"/>
        <v>1080</v>
      </c>
      <c r="I861" s="125" t="str">
        <f ca="1"/>
        <v>16518</v>
      </c>
      <c r="J861" s="125" t="str">
        <f ca="1"/>
        <v>MPLX4 GRIEG KIOSKO MULTISAB 480</v>
      </c>
      <c r="K861" s="126">
        <f ca="1"/>
        <v>16</v>
      </c>
      <c r="L861" s="127">
        <f ca="1"/>
        <v>1</v>
      </c>
      <c r="M861" s="125">
        <f ca="1"/>
        <v>0.12</v>
      </c>
      <c r="N861" s="126">
        <f ca="1"/>
        <v>45</v>
      </c>
      <c r="O861" s="128">
        <f ca="1"/>
        <v>45618</v>
      </c>
      <c r="P861" s="128" t="str">
        <f ca="1"/>
        <v>viernes</v>
      </c>
      <c r="Q861" s="129">
        <f ca="1"/>
        <v>45618</v>
      </c>
      <c r="R861" s="129">
        <f ca="1"/>
        <v>45662</v>
      </c>
      <c r="S861" s="89">
        <f ca="1"/>
        <v>38</v>
      </c>
      <c r="T861" s="143">
        <f ca="1"/>
        <v>0.84444444444444444</v>
      </c>
      <c r="U861" s="281">
        <f ca="1"/>
        <v>16</v>
      </c>
      <c r="V861" s="125">
        <f ca="1"/>
        <v>1.92</v>
      </c>
      <c r="W861" s="144">
        <f ca="1"/>
        <v>0</v>
      </c>
      <c r="X861" s="143">
        <f ca="1"/>
        <v>1</v>
      </c>
      <c r="Y861" s="145">
        <f ca="1"/>
        <v>1.6781600000000001</v>
      </c>
      <c r="Z861" s="145">
        <f ca="1"/>
        <v>1.6781600000000001</v>
      </c>
      <c r="AA861" s="125">
        <f ca="1"/>
        <v>26.850560000000002</v>
      </c>
      <c r="AB861" s="125">
        <f ca="1"/>
        <v>6</v>
      </c>
      <c r="AC861" s="98" t="str">
        <f ca="1"/>
        <v>VIGENTE</v>
      </c>
      <c r="AD861" s="147">
        <f ca="1"/>
        <v>1.9199999999999998E-3</v>
      </c>
    </row>
    <row r="862" spans="1:30">
      <c r="A862" t="str">
        <f ca="1"/>
        <v>MULTIEMPAQUE_MACH</v>
      </c>
      <c r="B862" t="str">
        <f ca="1"/>
        <v>BEBIDAS LACTEAS</v>
      </c>
      <c r="C862" t="str">
        <f ca="1"/>
        <v xml:space="preserve">Luis Armendariz                         </v>
      </c>
      <c r="D862" t="str">
        <f ca="1"/>
        <v>YOGURT FINESSE</v>
      </c>
      <c r="E862" t="str">
        <f ca="1"/>
        <v>YOGURT FINESSE DESLACT BOTELLA PERSONAL</v>
      </c>
      <c r="F862" s="125" t="str">
        <f ca="1"/>
        <v>MACHACHI</v>
      </c>
      <c r="G862" s="125">
        <f ca="1"/>
        <v>7701</v>
      </c>
      <c r="H862" s="125">
        <f ca="1"/>
        <v>1080</v>
      </c>
      <c r="I862" s="125" t="str">
        <f ca="1"/>
        <v>12624</v>
      </c>
      <c r="J862" s="125" t="str">
        <f ca="1"/>
        <v>MPX4 YOG FNSSE MULTSAB BOT 180G</v>
      </c>
      <c r="K862" s="126">
        <f ca="1"/>
        <v>3</v>
      </c>
      <c r="L862" s="127">
        <f ca="1"/>
        <v>1</v>
      </c>
      <c r="M862" s="125">
        <f ca="1"/>
        <v>0.72</v>
      </c>
      <c r="N862" s="126">
        <f ca="1"/>
        <v>45</v>
      </c>
      <c r="O862" s="128">
        <f ca="1"/>
        <v>45596</v>
      </c>
      <c r="P862" s="128" t="str">
        <f ca="1"/>
        <v>jueves</v>
      </c>
      <c r="Q862" s="129">
        <f ca="1"/>
        <v>45596</v>
      </c>
      <c r="R862" s="129">
        <f ca="1"/>
        <v>45640</v>
      </c>
      <c r="S862" s="89">
        <f ca="1"/>
        <v>16</v>
      </c>
      <c r="T862" s="143">
        <f ca="1"/>
        <v>0.35555555555555557</v>
      </c>
      <c r="U862" s="281">
        <f ca="1"/>
        <v>3</v>
      </c>
      <c r="V862" s="125">
        <f ca="1"/>
        <v>2.16</v>
      </c>
      <c r="W862" s="144">
        <f ca="1"/>
        <v>0</v>
      </c>
      <c r="X862" s="143">
        <f ca="1"/>
        <v>1</v>
      </c>
      <c r="Y862" s="145">
        <f ca="1"/>
        <v>1.325315</v>
      </c>
      <c r="Z862" s="145">
        <f ca="1"/>
        <v>1.325315</v>
      </c>
      <c r="AA862" s="125">
        <f ca="1"/>
        <v>3.9759450000000003</v>
      </c>
      <c r="AB862" s="125">
        <f ca="1"/>
        <v>28</v>
      </c>
      <c r="AC862" s="98" t="str">
        <f ca="1"/>
        <v>FECHA CORTA</v>
      </c>
      <c r="AD862" s="147">
        <f ca="1"/>
        <v>2.16E-3</v>
      </c>
    </row>
    <row r="863" spans="1:30">
      <c r="A863" t="str">
        <f ca="1"/>
        <v>MULTIEMPAQUE_MACH</v>
      </c>
      <c r="B863" t="str">
        <f ca="1"/>
        <v>BEBIDAS LACTEAS</v>
      </c>
      <c r="C863" t="str">
        <f ca="1"/>
        <v xml:space="preserve">Luis Armendariz                         </v>
      </c>
      <c r="D863" t="str">
        <f ca="1"/>
        <v>YOGURT FINESSE</v>
      </c>
      <c r="E863" t="str">
        <f ca="1"/>
        <v>YOGURT FINESSE DESLACT BOTELLA PERSONAL</v>
      </c>
      <c r="F863" s="125" t="str">
        <f ca="1"/>
        <v>MACHACHI</v>
      </c>
      <c r="G863" s="125">
        <f ca="1"/>
        <v>7701</v>
      </c>
      <c r="H863" s="125">
        <f ca="1"/>
        <v>1080</v>
      </c>
      <c r="I863" s="125" t="str">
        <f ca="1"/>
        <v>12624</v>
      </c>
      <c r="J863" s="125" t="str">
        <f ca="1"/>
        <v>MPX4 YOG FNSSE MULTSAB BOT 180G</v>
      </c>
      <c r="K863" s="126">
        <f ca="1"/>
        <v>4</v>
      </c>
      <c r="L863" s="127">
        <f ca="1"/>
        <v>1</v>
      </c>
      <c r="M863" s="125">
        <f ca="1"/>
        <v>0.72</v>
      </c>
      <c r="N863" s="126">
        <f ca="1"/>
        <v>45</v>
      </c>
      <c r="O863" s="128">
        <f ca="1"/>
        <v>45618</v>
      </c>
      <c r="P863" s="128" t="str">
        <f ca="1"/>
        <v>viernes</v>
      </c>
      <c r="Q863" s="129">
        <f ca="1"/>
        <v>45618</v>
      </c>
      <c r="R863" s="129">
        <f ca="1"/>
        <v>45662</v>
      </c>
      <c r="S863" s="89">
        <f ca="1"/>
        <v>38</v>
      </c>
      <c r="T863" s="143">
        <f ca="1"/>
        <v>0.84444444444444444</v>
      </c>
      <c r="U863" s="281">
        <f ca="1"/>
        <v>4</v>
      </c>
      <c r="V863" s="125">
        <f ca="1"/>
        <v>2.88</v>
      </c>
      <c r="W863" s="144">
        <f ca="1"/>
        <v>0</v>
      </c>
      <c r="X863" s="143">
        <f ca="1"/>
        <v>1</v>
      </c>
      <c r="Y863" s="145">
        <f ca="1"/>
        <v>1.325315</v>
      </c>
      <c r="Z863" s="145">
        <f ca="1"/>
        <v>1.325315</v>
      </c>
      <c r="AA863" s="125">
        <f ca="1"/>
        <v>5.3012600000000001</v>
      </c>
      <c r="AB863" s="125">
        <f ca="1"/>
        <v>6</v>
      </c>
      <c r="AC863" s="98" t="str">
        <f ca="1"/>
        <v>VIGENTE</v>
      </c>
      <c r="AD863" s="147">
        <f ca="1"/>
        <v>2.8799999999999997E-3</v>
      </c>
    </row>
    <row r="864" spans="1:30">
      <c r="A864" t="str">
        <f ca="1"/>
        <v>MULTIEMPAQUE_MACH</v>
      </c>
      <c r="B864" t="str">
        <f ca="1"/>
        <v>BEBIDAS LACTEAS</v>
      </c>
      <c r="C864" t="str">
        <f ca="1"/>
        <v xml:space="preserve">Luis Armendariz                         </v>
      </c>
      <c r="D864" t="str">
        <f ca="1"/>
        <v>YOGURT KIOSKO</v>
      </c>
      <c r="E864" t="str">
        <f ca="1"/>
        <v>BEBIDA DE YOGURT KIOSKO BOTELLA PERSONAL</v>
      </c>
      <c r="F864" s="125" t="str">
        <f ca="1"/>
        <v>MACHACHI</v>
      </c>
      <c r="G864" s="125">
        <f ca="1"/>
        <v>7701</v>
      </c>
      <c r="H864" s="125">
        <f ca="1"/>
        <v>1080</v>
      </c>
      <c r="I864" s="125" t="str">
        <f ca="1"/>
        <v>10992</v>
      </c>
      <c r="J864" s="125" t="str">
        <f ca="1"/>
        <v>MPX6 YOG BBLE KID KK MULTSAB BOT 120G</v>
      </c>
      <c r="K864" s="126">
        <f ca="1"/>
        <v>396</v>
      </c>
      <c r="L864" s="127">
        <f ca="1"/>
        <v>1</v>
      </c>
      <c r="M864" s="125">
        <f ca="1"/>
        <v>0.72</v>
      </c>
      <c r="N864" s="126">
        <f ca="1"/>
        <v>45</v>
      </c>
      <c r="O864" s="128">
        <f ca="1"/>
        <v>45653</v>
      </c>
      <c r="P864" s="128" t="str">
        <f ca="1"/>
        <v>viernes</v>
      </c>
      <c r="Q864" s="129">
        <f ca="1"/>
        <v>45653</v>
      </c>
      <c r="R864" s="129">
        <f ca="1"/>
        <v>45697</v>
      </c>
      <c r="S864" s="89">
        <f ca="1"/>
        <v>73</v>
      </c>
      <c r="T864" s="143">
        <f ca="1"/>
        <v>1.6222222222222222</v>
      </c>
      <c r="U864" s="281">
        <f ca="1"/>
        <v>396</v>
      </c>
      <c r="V864" s="125">
        <f ca="1"/>
        <v>285.12</v>
      </c>
      <c r="W864" s="144">
        <f ca="1"/>
        <v>0</v>
      </c>
      <c r="X864" s="143">
        <f ca="1"/>
        <v>1</v>
      </c>
      <c r="Y864" s="145">
        <f ca="1"/>
        <v>1.6533599999999999</v>
      </c>
      <c r="Z864" s="145">
        <f ca="1"/>
        <v>1.6533599999999999</v>
      </c>
      <c r="AA864" s="125">
        <f ca="1"/>
        <v>654.73055999999997</v>
      </c>
      <c r="AB864" s="125">
        <f ca="1"/>
        <v>-29</v>
      </c>
      <c r="AC864" s="98" t="str">
        <f ca="1"/>
        <v>VIGENTE</v>
      </c>
      <c r="AD864" s="147">
        <f ca="1"/>
        <v>0.28511999999999998</v>
      </c>
    </row>
    <row r="865" spans="1:30">
      <c r="A865" t="str">
        <f ca="1"/>
        <v>MULTIEMPAQUE_MACH</v>
      </c>
      <c r="B865" t="str">
        <f ca="1"/>
        <v>BEBIDAS LACTEAS</v>
      </c>
      <c r="C865" t="str">
        <f ca="1"/>
        <v xml:space="preserve">Luis Armendariz                         </v>
      </c>
      <c r="D865" t="str">
        <f ca="1"/>
        <v>YOGURT KIOSKO</v>
      </c>
      <c r="E865" t="str">
        <f ca="1"/>
        <v>BEBIDA DE YOGURT KIOSKO BOTELLA PERSONAL</v>
      </c>
      <c r="F865" s="125" t="str">
        <f ca="1"/>
        <v>MACHACHI</v>
      </c>
      <c r="G865" s="125">
        <f ca="1"/>
        <v>7701</v>
      </c>
      <c r="H865" s="125">
        <f ca="1"/>
        <v>1080</v>
      </c>
      <c r="I865" s="125" t="str">
        <f ca="1"/>
        <v>16375</v>
      </c>
      <c r="J865" s="125" t="str">
        <f ca="1"/>
        <v>MPX6 YOG BBLE KIOSKO 180</v>
      </c>
      <c r="K865" s="126">
        <f ca="1"/>
        <v>60</v>
      </c>
      <c r="L865" s="127">
        <f ca="1"/>
        <v>1</v>
      </c>
      <c r="M865" s="125">
        <f ca="1"/>
        <v>1.08</v>
      </c>
      <c r="N865" s="126">
        <f ca="1"/>
        <v>45</v>
      </c>
      <c r="O865" s="128">
        <f ca="1"/>
        <v>45618</v>
      </c>
      <c r="P865" s="128" t="str">
        <f ca="1"/>
        <v>viernes</v>
      </c>
      <c r="Q865" s="129">
        <f ca="1"/>
        <v>45618</v>
      </c>
      <c r="R865" s="129">
        <f ca="1"/>
        <v>45662</v>
      </c>
      <c r="S865" s="89">
        <f ca="1"/>
        <v>38</v>
      </c>
      <c r="T865" s="143">
        <f ca="1"/>
        <v>0.84444444444444444</v>
      </c>
      <c r="U865" s="281">
        <f ca="1"/>
        <v>60</v>
      </c>
      <c r="V865" s="125">
        <f ca="1"/>
        <v>64.800000000000011</v>
      </c>
      <c r="W865" s="144">
        <f ca="1"/>
        <v>0</v>
      </c>
      <c r="X865" s="143">
        <f ca="1"/>
        <v>1</v>
      </c>
      <c r="Y865" s="145">
        <f ca="1"/>
        <v>1.5516000000000001</v>
      </c>
      <c r="Z865" s="145">
        <f ca="1"/>
        <v>1.5516000000000001</v>
      </c>
      <c r="AA865" s="125">
        <f ca="1"/>
        <v>93.096000000000004</v>
      </c>
      <c r="AB865" s="125">
        <f ca="1"/>
        <v>6</v>
      </c>
      <c r="AC865" s="98" t="str">
        <f ca="1"/>
        <v>VIGENTE</v>
      </c>
      <c r="AD865" s="147">
        <f ca="1"/>
        <v>6.480000000000001E-2</v>
      </c>
    </row>
    <row r="866" spans="1:30">
      <c r="A866" t="str">
        <f ca="1"/>
        <v>MULTIEMPAQUE_MACH</v>
      </c>
      <c r="B866" t="str">
        <f ca="1"/>
        <v>BEBIDAS LACTEAS</v>
      </c>
      <c r="C866" t="str">
        <f ca="1"/>
        <v xml:space="preserve">Luis Armendariz                         </v>
      </c>
      <c r="D866" t="str">
        <f ca="1"/>
        <v>REGENERIS</v>
      </c>
      <c r="E866" t="str">
        <f ca="1"/>
        <v>REGENERIS REGULAR VASO</v>
      </c>
      <c r="F866" s="125" t="str">
        <f ca="1"/>
        <v>MACHACHI</v>
      </c>
      <c r="G866" s="125">
        <f ca="1"/>
        <v>7701</v>
      </c>
      <c r="H866" s="125">
        <f ca="1"/>
        <v>1080</v>
      </c>
      <c r="I866" s="125" t="str">
        <f ca="1"/>
        <v>4133</v>
      </c>
      <c r="J866" s="125" t="str">
        <f ca="1"/>
        <v>MPLX6 RGN TZOS MULTSAB VASO 150G</v>
      </c>
      <c r="K866" s="126">
        <f ca="1"/>
        <v>17</v>
      </c>
      <c r="L866" s="127">
        <f ca="1"/>
        <v>1</v>
      </c>
      <c r="M866" s="125">
        <f ca="1"/>
        <v>0.9</v>
      </c>
      <c r="N866" s="126">
        <f ca="1"/>
        <v>45</v>
      </c>
      <c r="O866" s="128">
        <f ca="1"/>
        <v>45595</v>
      </c>
      <c r="P866" s="128" t="str">
        <f ca="1"/>
        <v>miércoles</v>
      </c>
      <c r="Q866" s="129">
        <f ca="1"/>
        <v>45595</v>
      </c>
      <c r="R866" s="129">
        <f ca="1"/>
        <v>45639</v>
      </c>
      <c r="S866" s="89">
        <f ca="1"/>
        <v>15</v>
      </c>
      <c r="T866" s="143">
        <f ca="1"/>
        <v>0.33333333333333331</v>
      </c>
      <c r="U866" s="281">
        <f ca="1"/>
        <v>17</v>
      </c>
      <c r="V866" s="125">
        <f ca="1"/>
        <v>15.3</v>
      </c>
      <c r="W866" s="144">
        <f ca="1"/>
        <v>0</v>
      </c>
      <c r="X866" s="143">
        <f ca="1"/>
        <v>1</v>
      </c>
      <c r="Y866" s="145">
        <f ca="1"/>
        <v>1.50911</v>
      </c>
      <c r="Z866" s="145">
        <f ca="1"/>
        <v>1.50911</v>
      </c>
      <c r="AA866" s="125">
        <f ca="1"/>
        <v>25.654869999999999</v>
      </c>
      <c r="AB866" s="125">
        <f ca="1"/>
        <v>29</v>
      </c>
      <c r="AC866" s="98" t="str">
        <f ca="1"/>
        <v>FECHA CORTA</v>
      </c>
      <c r="AD866" s="147">
        <f ca="1"/>
        <v>1.5300000000000001E-2</v>
      </c>
    </row>
    <row r="867" spans="1:30">
      <c r="A867" t="str">
        <f ca="1"/>
        <v>MULTIEMPAQUE_MACH</v>
      </c>
      <c r="B867" t="str">
        <f ca="1"/>
        <v>BEBIDAS LACTEAS</v>
      </c>
      <c r="C867" t="str">
        <f ca="1"/>
        <v xml:space="preserve">Luis Armendariz                         </v>
      </c>
      <c r="D867" t="str">
        <f ca="1"/>
        <v>REGENERIS</v>
      </c>
      <c r="E867" t="str">
        <f ca="1"/>
        <v>REGENERIS REGULAR VASO</v>
      </c>
      <c r="F867" s="125" t="str">
        <f ca="1"/>
        <v>MACHACHI</v>
      </c>
      <c r="G867" s="125">
        <f ca="1"/>
        <v>7701</v>
      </c>
      <c r="H867" s="125">
        <f ca="1"/>
        <v>1080</v>
      </c>
      <c r="I867" s="125" t="str">
        <f ca="1"/>
        <v>4133</v>
      </c>
      <c r="J867" s="125" t="str">
        <f ca="1"/>
        <v>MPLX6 RGN TZOS MULTSAB VASO 150G</v>
      </c>
      <c r="K867" s="126">
        <f ca="1"/>
        <v>79</v>
      </c>
      <c r="L867" s="127">
        <f ca="1"/>
        <v>1</v>
      </c>
      <c r="M867" s="125">
        <f ca="1"/>
        <v>0.9</v>
      </c>
      <c r="N867" s="126">
        <f ca="1"/>
        <v>45</v>
      </c>
      <c r="O867" s="128">
        <f ca="1"/>
        <v>45619</v>
      </c>
      <c r="P867" s="128" t="str">
        <f ca="1"/>
        <v>sábado</v>
      </c>
      <c r="Q867" s="129">
        <f ca="1"/>
        <v>45619</v>
      </c>
      <c r="R867" s="129">
        <f ca="1"/>
        <v>45663</v>
      </c>
      <c r="S867" s="89">
        <f ca="1"/>
        <v>39</v>
      </c>
      <c r="T867" s="143">
        <f ca="1"/>
        <v>0.8666666666666667</v>
      </c>
      <c r="U867" s="281">
        <f ca="1"/>
        <v>79</v>
      </c>
      <c r="V867" s="125">
        <f ca="1"/>
        <v>71.100000000000009</v>
      </c>
      <c r="W867" s="144">
        <f ca="1"/>
        <v>0</v>
      </c>
      <c r="X867" s="143">
        <f ca="1"/>
        <v>1</v>
      </c>
      <c r="Y867" s="145">
        <f ca="1"/>
        <v>1.50911</v>
      </c>
      <c r="Z867" s="145">
        <f ca="1"/>
        <v>1.50911</v>
      </c>
      <c r="AA867" s="125">
        <f ca="1"/>
        <v>119.21969</v>
      </c>
      <c r="AB867" s="125">
        <f ca="1"/>
        <v>5</v>
      </c>
      <c r="AC867" s="98" t="str">
        <f ca="1"/>
        <v>VIGENTE</v>
      </c>
      <c r="AD867" s="147">
        <f ca="1"/>
        <v>7.110000000000001E-2</v>
      </c>
    </row>
    <row r="868" spans="1:30">
      <c r="A868" t="str">
        <f ca="1"/>
        <v>MULTIEMPAQUE_MACH</v>
      </c>
      <c r="B868" t="str">
        <f ca="1"/>
        <v>BEBIDAS LACTEAS</v>
      </c>
      <c r="C868" t="str">
        <f ca="1"/>
        <v xml:space="preserve">Luis Armendariz                         </v>
      </c>
      <c r="D868" t="str">
        <f ca="1"/>
        <v>BON YURT</v>
      </c>
      <c r="E868" t="str">
        <f ca="1"/>
        <v>BON YURT REGULAR</v>
      </c>
      <c r="F868" s="125" t="str">
        <f ca="1"/>
        <v>MACHACHI</v>
      </c>
      <c r="G868" s="125">
        <f ca="1"/>
        <v>7701</v>
      </c>
      <c r="H868" s="125">
        <f ca="1"/>
        <v>1080</v>
      </c>
      <c r="I868" s="125" t="str">
        <f ca="1"/>
        <v>1224</v>
      </c>
      <c r="J868" s="125" t="str">
        <f ca="1"/>
        <v>MPLX4 BY BLCK VASO 165G</v>
      </c>
      <c r="K868" s="126">
        <f ca="1"/>
        <v>373</v>
      </c>
      <c r="L868" s="127">
        <f ca="1"/>
        <v>1</v>
      </c>
      <c r="M868" s="125">
        <f ca="1"/>
        <v>0.66</v>
      </c>
      <c r="N868" s="126">
        <f ca="1"/>
        <v>45</v>
      </c>
      <c r="O868" s="128">
        <f ca="1"/>
        <v>45620</v>
      </c>
      <c r="P868" s="128" t="str">
        <f ca="1"/>
        <v>domingo</v>
      </c>
      <c r="Q868" s="129">
        <f ca="1"/>
        <v>45620</v>
      </c>
      <c r="R868" s="129">
        <f ca="1"/>
        <v>45664</v>
      </c>
      <c r="S868" s="89">
        <f ca="1"/>
        <v>40</v>
      </c>
      <c r="T868" s="143">
        <f ca="1"/>
        <v>0.88888888888888884</v>
      </c>
      <c r="U868" s="281">
        <f ca="1"/>
        <v>373</v>
      </c>
      <c r="V868" s="125">
        <f ca="1"/>
        <v>246.18</v>
      </c>
      <c r="W868" s="144">
        <f ca="1"/>
        <v>0</v>
      </c>
      <c r="X868" s="143">
        <f ca="1"/>
        <v>1</v>
      </c>
      <c r="Y868" s="145">
        <f ca="1"/>
        <v>1.3975849999999999</v>
      </c>
      <c r="Z868" s="145">
        <f ca="1"/>
        <v>1.3975849999999999</v>
      </c>
      <c r="AA868" s="125">
        <f ca="1"/>
        <v>521.29920499999992</v>
      </c>
      <c r="AB868" s="125">
        <f ca="1"/>
        <v>4</v>
      </c>
      <c r="AC868" s="98" t="str">
        <f ca="1"/>
        <v>VIGENTE</v>
      </c>
      <c r="AD868" s="147">
        <f ca="1"/>
        <v>0.24618000000000001</v>
      </c>
    </row>
    <row r="869" spans="1:30">
      <c r="A869" t="str">
        <f ca="1"/>
        <v>MULTIEMPAQUE_MACH</v>
      </c>
      <c r="B869" t="str">
        <f ca="1"/>
        <v>BEBIDAS LACTEAS</v>
      </c>
      <c r="C869" t="str">
        <f ca="1"/>
        <v xml:space="preserve">Luis Armendariz                         </v>
      </c>
      <c r="D869" t="str">
        <f ca="1"/>
        <v>BON YURT</v>
      </c>
      <c r="E869" t="str">
        <f ca="1"/>
        <v>BON YURT REGULAR</v>
      </c>
      <c r="F869" s="125" t="str">
        <f ca="1"/>
        <v>MACHACHI</v>
      </c>
      <c r="G869" s="125">
        <f ca="1"/>
        <v>7701</v>
      </c>
      <c r="H869" s="125">
        <f ca="1"/>
        <v>1080</v>
      </c>
      <c r="I869" s="125" t="str">
        <f ca="1"/>
        <v>1224</v>
      </c>
      <c r="J869" s="125" t="str">
        <f ca="1"/>
        <v>MPLX4 BY BLCK VASO 165G</v>
      </c>
      <c r="K869" s="126">
        <f ca="1"/>
        <v>15</v>
      </c>
      <c r="L869" s="127">
        <f ca="1"/>
        <v>1</v>
      </c>
      <c r="M869" s="125">
        <f ca="1"/>
        <v>0.66</v>
      </c>
      <c r="N869" s="126">
        <f ca="1"/>
        <v>45</v>
      </c>
      <c r="O869" s="128">
        <f ca="1"/>
        <v>45615</v>
      </c>
      <c r="P869" s="128" t="str">
        <f ca="1"/>
        <v>martes</v>
      </c>
      <c r="Q869" s="129">
        <f ca="1"/>
        <v>45615</v>
      </c>
      <c r="R869" s="129">
        <f ca="1"/>
        <v>45659</v>
      </c>
      <c r="S869" s="89">
        <f ca="1"/>
        <v>35</v>
      </c>
      <c r="T869" s="143">
        <f ca="1"/>
        <v>0.77777777777777779</v>
      </c>
      <c r="U869" s="281">
        <f ca="1"/>
        <v>15</v>
      </c>
      <c r="V869" s="125">
        <f ca="1"/>
        <v>9.9</v>
      </c>
      <c r="W869" s="144">
        <f ca="1"/>
        <v>0</v>
      </c>
      <c r="X869" s="143">
        <f ca="1"/>
        <v>1</v>
      </c>
      <c r="Y869" s="145">
        <f ca="1"/>
        <v>1.3975849999999999</v>
      </c>
      <c r="Z869" s="145">
        <f ca="1"/>
        <v>1.3975849999999999</v>
      </c>
      <c r="AA869" s="125">
        <f ca="1"/>
        <v>20.963774999999998</v>
      </c>
      <c r="AB869" s="125">
        <f ca="1"/>
        <v>9</v>
      </c>
      <c r="AC869" s="98" t="str">
        <f ca="1"/>
        <v>VIGENTE</v>
      </c>
      <c r="AD869" s="147">
        <f ca="1"/>
        <v>9.9000000000000008E-3</v>
      </c>
    </row>
    <row r="870" spans="1:30">
      <c r="A870" t="str">
        <f ca="1"/>
        <v>MULTIEMPAQUE_MACH</v>
      </c>
      <c r="B870" t="str">
        <f ca="1"/>
        <v>BEBIDAS LACTEAS</v>
      </c>
      <c r="C870" t="str">
        <f ca="1"/>
        <v xml:space="preserve">Luis Armendariz                         </v>
      </c>
      <c r="D870" t="str">
        <f ca="1"/>
        <v>BON YURT</v>
      </c>
      <c r="E870" t="str">
        <f ca="1"/>
        <v>BON YURT REGULAR</v>
      </c>
      <c r="F870" s="125" t="str">
        <f ca="1"/>
        <v>MACHACHI</v>
      </c>
      <c r="G870" s="125">
        <f ca="1"/>
        <v>7701</v>
      </c>
      <c r="H870" s="125">
        <f ca="1"/>
        <v>1080</v>
      </c>
      <c r="I870" s="125" t="str">
        <f ca="1"/>
        <v>1224</v>
      </c>
      <c r="J870" s="125" t="str">
        <f ca="1"/>
        <v>MPLX4 BY BLCK VASO 165G</v>
      </c>
      <c r="K870" s="126">
        <f ca="1"/>
        <v>752</v>
      </c>
      <c r="L870" s="127">
        <f ca="1"/>
        <v>1</v>
      </c>
      <c r="M870" s="125">
        <f ca="1"/>
        <v>0.66</v>
      </c>
      <c r="N870" s="126">
        <f ca="1"/>
        <v>45</v>
      </c>
      <c r="O870" s="128">
        <f ca="1"/>
        <v>45623</v>
      </c>
      <c r="P870" s="128" t="str">
        <f ca="1"/>
        <v>miércoles</v>
      </c>
      <c r="Q870" s="129">
        <f ca="1"/>
        <v>45623</v>
      </c>
      <c r="R870" s="129">
        <f ca="1"/>
        <v>45667</v>
      </c>
      <c r="S870" s="89">
        <f ca="1"/>
        <v>43</v>
      </c>
      <c r="T870" s="143">
        <f ca="1"/>
        <v>0.9555555555555556</v>
      </c>
      <c r="U870" s="281">
        <f ca="1"/>
        <v>752</v>
      </c>
      <c r="V870" s="125">
        <f ca="1"/>
        <v>496.32000000000005</v>
      </c>
      <c r="W870" s="144">
        <f ca="1"/>
        <v>0</v>
      </c>
      <c r="X870" s="143">
        <f ca="1"/>
        <v>1</v>
      </c>
      <c r="Y870" s="145">
        <f ca="1"/>
        <v>1.3975849999999999</v>
      </c>
      <c r="Z870" s="145">
        <f ca="1"/>
        <v>1.3975849999999999</v>
      </c>
      <c r="AA870" s="125">
        <f ca="1"/>
        <v>1050.9839199999999</v>
      </c>
      <c r="AB870" s="125">
        <f ca="1"/>
        <v>1</v>
      </c>
      <c r="AC870" s="98" t="str">
        <f ca="1"/>
        <v>VIGENTE</v>
      </c>
      <c r="AD870" s="147">
        <f ca="1"/>
        <v>0.49632000000000004</v>
      </c>
    </row>
    <row r="871" spans="1:30">
      <c r="A871" t="str">
        <f ca="1"/>
        <v>MULTIEMPAQUE_MACH</v>
      </c>
      <c r="B871" t="str">
        <f ca="1"/>
        <v>BEBIDAS LACTEAS</v>
      </c>
      <c r="C871" t="str">
        <f ca="1"/>
        <v xml:space="preserve">Luis Armendariz                         </v>
      </c>
      <c r="D871" t="str">
        <f ca="1"/>
        <v>REGENERIS</v>
      </c>
      <c r="E871" t="str">
        <f ca="1"/>
        <v>REGENERIS REGULAR VASO</v>
      </c>
      <c r="F871" s="125" t="str">
        <f ca="1"/>
        <v>MACHACHI</v>
      </c>
      <c r="G871" s="125">
        <f ca="1"/>
        <v>7701</v>
      </c>
      <c r="H871" s="125">
        <f ca="1"/>
        <v>1080</v>
      </c>
      <c r="I871" s="125" t="str">
        <f ca="1"/>
        <v>2082</v>
      </c>
      <c r="J871" s="125" t="str">
        <f ca="1"/>
        <v>MPLX4 RGN TZOS MULTSAB VASO 150G</v>
      </c>
      <c r="K871" s="126">
        <f ca="1"/>
        <v>7</v>
      </c>
      <c r="L871" s="127">
        <f ca="1"/>
        <v>1</v>
      </c>
      <c r="M871" s="125">
        <f ca="1"/>
        <v>0.6</v>
      </c>
      <c r="N871" s="126">
        <f ca="1"/>
        <v>45</v>
      </c>
      <c r="O871" s="128">
        <f ca="1"/>
        <v>45612</v>
      </c>
      <c r="P871" s="128" t="str">
        <f ca="1"/>
        <v>sábado</v>
      </c>
      <c r="Q871" s="129">
        <f ca="1"/>
        <v>45612</v>
      </c>
      <c r="R871" s="129">
        <f ca="1"/>
        <v>45656</v>
      </c>
      <c r="S871" s="89">
        <f ca="1"/>
        <v>32</v>
      </c>
      <c r="T871" s="143">
        <f ca="1"/>
        <v>0.71111111111111114</v>
      </c>
      <c r="U871" s="281">
        <f ca="1"/>
        <v>7</v>
      </c>
      <c r="V871" s="125">
        <f ca="1"/>
        <v>4.2</v>
      </c>
      <c r="W871" s="144">
        <f ca="1"/>
        <v>0</v>
      </c>
      <c r="X871" s="143">
        <f ca="1"/>
        <v>1</v>
      </c>
      <c r="Y871" s="145">
        <f ca="1"/>
        <v>1.0306549999999999</v>
      </c>
      <c r="Z871" s="145">
        <f ca="1"/>
        <v>1.0306549999999999</v>
      </c>
      <c r="AA871" s="125">
        <f ca="1"/>
        <v>7.2145849999999996</v>
      </c>
      <c r="AB871" s="125">
        <f ca="1"/>
        <v>12</v>
      </c>
      <c r="AC871" s="98" t="str">
        <f ca="1"/>
        <v>VIGENTE</v>
      </c>
      <c r="AD871" s="147">
        <f ca="1"/>
        <v>4.2000000000000006E-3</v>
      </c>
    </row>
    <row r="872" spans="1:30">
      <c r="A872" t="str">
        <f ca="1"/>
        <v>MULTIEMPAQUE_MACH</v>
      </c>
      <c r="B872" t="str">
        <f ca="1"/>
        <v>BEBIDAS LACTEAS</v>
      </c>
      <c r="C872" t="str">
        <f ca="1"/>
        <v xml:space="preserve">Luis Armendariz                         </v>
      </c>
      <c r="D872" t="str">
        <f ca="1"/>
        <v>REGENERIS</v>
      </c>
      <c r="E872" t="str">
        <f ca="1"/>
        <v>REGENERIS REGULAR VASO</v>
      </c>
      <c r="F872" s="125" t="str">
        <f ca="1"/>
        <v>MACHACHI</v>
      </c>
      <c r="G872" s="125">
        <f ca="1"/>
        <v>7701</v>
      </c>
      <c r="H872" s="125">
        <f ca="1"/>
        <v>1080</v>
      </c>
      <c r="I872" s="125" t="str">
        <f ca="1"/>
        <v>2082</v>
      </c>
      <c r="J872" s="125" t="str">
        <f ca="1"/>
        <v>MPLX4 RGN TZOS MULTSAB VASO 150G</v>
      </c>
      <c r="K872" s="126">
        <f ca="1"/>
        <v>160</v>
      </c>
      <c r="L872" s="127">
        <f ca="1"/>
        <v>1</v>
      </c>
      <c r="M872" s="125">
        <f ca="1"/>
        <v>0.6</v>
      </c>
      <c r="N872" s="126">
        <f ca="1"/>
        <v>45</v>
      </c>
      <c r="O872" s="128">
        <f ca="1"/>
        <v>45619</v>
      </c>
      <c r="P872" s="128" t="str">
        <f ca="1"/>
        <v>sábado</v>
      </c>
      <c r="Q872" s="129">
        <f ca="1"/>
        <v>45619</v>
      </c>
      <c r="R872" s="129">
        <f ca="1"/>
        <v>45663</v>
      </c>
      <c r="S872" s="89">
        <f ca="1"/>
        <v>39</v>
      </c>
      <c r="T872" s="143">
        <f ca="1"/>
        <v>0.8666666666666667</v>
      </c>
      <c r="U872" s="281">
        <f ca="1"/>
        <v>160</v>
      </c>
      <c r="V872" s="125">
        <f ca="1"/>
        <v>96</v>
      </c>
      <c r="W872" s="144">
        <f ca="1"/>
        <v>0</v>
      </c>
      <c r="X872" s="143">
        <f ca="1"/>
        <v>1</v>
      </c>
      <c r="Y872" s="145">
        <f ca="1"/>
        <v>1.0306549999999999</v>
      </c>
      <c r="Z872" s="145">
        <f ca="1"/>
        <v>1.0306549999999999</v>
      </c>
      <c r="AA872" s="125">
        <f ca="1"/>
        <v>164.90479999999997</v>
      </c>
      <c r="AB872" s="125">
        <f ca="1"/>
        <v>5</v>
      </c>
      <c r="AC872" s="98" t="str">
        <f ca="1"/>
        <v>VIGENTE</v>
      </c>
      <c r="AD872" s="147">
        <f ca="1"/>
        <v>9.6000000000000002E-2</v>
      </c>
    </row>
    <row r="873" spans="1:30">
      <c r="A873" t="str">
        <f ca="1"/>
        <v>MULTIEMPAQUE_MACH</v>
      </c>
      <c r="B873" t="str">
        <f ca="1"/>
        <v>BEBIDAS LACTEAS</v>
      </c>
      <c r="C873" t="str">
        <f ca="1"/>
        <v xml:space="preserve">Luis Armendariz                         </v>
      </c>
      <c r="D873" t="str">
        <f ca="1"/>
        <v>REGENERIS</v>
      </c>
      <c r="E873" t="str">
        <f ca="1"/>
        <v>REGENERIS REGULAR VASO</v>
      </c>
      <c r="F873" s="125" t="str">
        <f ca="1"/>
        <v>MACHACHI</v>
      </c>
      <c r="G873" s="125">
        <f ca="1"/>
        <v>7701</v>
      </c>
      <c r="H873" s="125">
        <f ca="1"/>
        <v>1080</v>
      </c>
      <c r="I873" s="125" t="str">
        <f ca="1"/>
        <v>2082</v>
      </c>
      <c r="J873" s="125" t="str">
        <f ca="1"/>
        <v>MPLX4 RGN TZOS MULTSAB VASO 150G</v>
      </c>
      <c r="K873" s="126">
        <f ca="1"/>
        <v>21</v>
      </c>
      <c r="L873" s="127">
        <f ca="1"/>
        <v>1</v>
      </c>
      <c r="M873" s="125">
        <f ca="1"/>
        <v>0.6</v>
      </c>
      <c r="N873" s="126">
        <f ca="1"/>
        <v>45</v>
      </c>
      <c r="O873" s="128">
        <f ca="1"/>
        <v>45595</v>
      </c>
      <c r="P873" s="128" t="str">
        <f ca="1"/>
        <v>miércoles</v>
      </c>
      <c r="Q873" s="129">
        <f ca="1"/>
        <v>45595</v>
      </c>
      <c r="R873" s="129">
        <f ca="1"/>
        <v>45639</v>
      </c>
      <c r="S873" s="89">
        <f ca="1"/>
        <v>15</v>
      </c>
      <c r="T873" s="143">
        <f ca="1"/>
        <v>0.33333333333333331</v>
      </c>
      <c r="U873" s="281">
        <f ca="1"/>
        <v>21</v>
      </c>
      <c r="V873" s="125">
        <f ca="1"/>
        <v>12.6</v>
      </c>
      <c r="W873" s="144">
        <f ca="1"/>
        <v>0</v>
      </c>
      <c r="X873" s="143">
        <f ca="1"/>
        <v>1</v>
      </c>
      <c r="Y873" s="145">
        <f ca="1"/>
        <v>1.0306549999999999</v>
      </c>
      <c r="Z873" s="145">
        <f ca="1"/>
        <v>1.0306549999999999</v>
      </c>
      <c r="AA873" s="125">
        <f ca="1"/>
        <v>21.643754999999999</v>
      </c>
      <c r="AB873" s="125">
        <f ca="1"/>
        <v>29</v>
      </c>
      <c r="AC873" s="98" t="str">
        <f ca="1"/>
        <v>FECHA CORTA</v>
      </c>
      <c r="AD873" s="147">
        <f ca="1"/>
        <v>1.26E-2</v>
      </c>
    </row>
    <row r="874" spans="1:30">
      <c r="A874" t="str">
        <f ca="1"/>
        <v>MULTIEMPAQUE_MACH</v>
      </c>
      <c r="B874" t="str">
        <f ca="1"/>
        <v>BEBIDAS LACTEAS</v>
      </c>
      <c r="C874" t="str">
        <f ca="1"/>
        <v xml:space="preserve">Luis Armendariz                         </v>
      </c>
      <c r="D874" t="str">
        <f ca="1"/>
        <v>BON YURT</v>
      </c>
      <c r="E874" t="str">
        <f ca="1"/>
        <v>BON YURT REGULAR</v>
      </c>
      <c r="F874" s="125" t="str">
        <f ca="1"/>
        <v>MACHACHI</v>
      </c>
      <c r="G874" s="125">
        <f ca="1"/>
        <v>7701</v>
      </c>
      <c r="H874" s="125">
        <f ca="1"/>
        <v>1080</v>
      </c>
      <c r="I874" s="125" t="str">
        <f ca="1"/>
        <v>9088</v>
      </c>
      <c r="J874" s="125" t="str">
        <f ca="1"/>
        <v>MPLX4 BY MULTSAB VASO ECU</v>
      </c>
      <c r="K874" s="126">
        <f ca="1"/>
        <v>8</v>
      </c>
      <c r="L874" s="127">
        <f ca="1"/>
        <v>1</v>
      </c>
      <c r="M874" s="125">
        <f ca="1"/>
        <v>0.68</v>
      </c>
      <c r="N874" s="126">
        <f ca="1"/>
        <v>45</v>
      </c>
      <c r="O874" s="128">
        <f ca="1"/>
        <v>45611</v>
      </c>
      <c r="P874" s="128" t="str">
        <f ca="1"/>
        <v>viernes</v>
      </c>
      <c r="Q874" s="129">
        <f ca="1"/>
        <v>45611</v>
      </c>
      <c r="R874" s="129">
        <f ca="1"/>
        <v>45655</v>
      </c>
      <c r="S874" s="89">
        <f ca="1"/>
        <v>31</v>
      </c>
      <c r="T874" s="143">
        <f ca="1"/>
        <v>0.68888888888888888</v>
      </c>
      <c r="U874" s="281">
        <f ca="1"/>
        <v>8</v>
      </c>
      <c r="V874" s="125">
        <f ca="1"/>
        <v>5.44</v>
      </c>
      <c r="W874" s="144">
        <f ca="1"/>
        <v>0</v>
      </c>
      <c r="X874" s="143">
        <f ca="1"/>
        <v>1</v>
      </c>
      <c r="Y874" s="145">
        <f ca="1"/>
        <v>1.3252700000000002</v>
      </c>
      <c r="Z874" s="145">
        <f ca="1"/>
        <v>1.3252700000000002</v>
      </c>
      <c r="AA874" s="125">
        <f ca="1"/>
        <v>10.602160000000001</v>
      </c>
      <c r="AB874" s="125">
        <f ca="1"/>
        <v>13</v>
      </c>
      <c r="AC874" s="98" t="str">
        <f ca="1"/>
        <v>VIGENTE</v>
      </c>
      <c r="AD874" s="147">
        <f ca="1"/>
        <v>5.4400000000000004E-3</v>
      </c>
    </row>
    <row r="875" spans="1:30">
      <c r="A875" t="str">
        <f ca="1"/>
        <v>MULTIEMPAQUE_MACH</v>
      </c>
      <c r="B875" t="str">
        <f ca="1"/>
        <v>BEBIDAS LACTEAS</v>
      </c>
      <c r="C875" t="str">
        <f ca="1"/>
        <v xml:space="preserve">Luis Armendariz                         </v>
      </c>
      <c r="D875" t="str">
        <f ca="1"/>
        <v>BON YURT</v>
      </c>
      <c r="E875" t="str">
        <f ca="1"/>
        <v>BON YURT REGULAR</v>
      </c>
      <c r="F875" s="125" t="str">
        <f ca="1"/>
        <v>MACHACHI</v>
      </c>
      <c r="G875" s="125">
        <f ca="1"/>
        <v>7701</v>
      </c>
      <c r="H875" s="125">
        <f ca="1"/>
        <v>1080</v>
      </c>
      <c r="I875" s="125" t="str">
        <f ca="1"/>
        <v>9088</v>
      </c>
      <c r="J875" s="125" t="str">
        <f ca="1"/>
        <v>MPLX4 BY MULTSAB VASO ECU</v>
      </c>
      <c r="K875" s="126">
        <f ca="1"/>
        <v>357</v>
      </c>
      <c r="L875" s="127">
        <f ca="1"/>
        <v>1</v>
      </c>
      <c r="M875" s="125">
        <f ca="1"/>
        <v>0.68</v>
      </c>
      <c r="N875" s="126">
        <f ca="1"/>
        <v>45</v>
      </c>
      <c r="O875" s="128">
        <f ca="1"/>
        <v>45619</v>
      </c>
      <c r="P875" s="128" t="str">
        <f ca="1"/>
        <v>sábado</v>
      </c>
      <c r="Q875" s="129">
        <f ca="1"/>
        <v>45619</v>
      </c>
      <c r="R875" s="129">
        <f ca="1"/>
        <v>45663</v>
      </c>
      <c r="S875" s="89">
        <f ca="1"/>
        <v>39</v>
      </c>
      <c r="T875" s="143">
        <f ca="1"/>
        <v>0.8666666666666667</v>
      </c>
      <c r="U875" s="281">
        <f ca="1"/>
        <v>357</v>
      </c>
      <c r="V875" s="125">
        <f ca="1"/>
        <v>242.76000000000002</v>
      </c>
      <c r="W875" s="144">
        <f ca="1"/>
        <v>0</v>
      </c>
      <c r="X875" s="143">
        <f ca="1"/>
        <v>1</v>
      </c>
      <c r="Y875" s="145">
        <f ca="1"/>
        <v>1.3252700000000002</v>
      </c>
      <c r="Z875" s="145">
        <f ca="1"/>
        <v>1.3252700000000002</v>
      </c>
      <c r="AA875" s="125">
        <f ca="1"/>
        <v>473.12139000000008</v>
      </c>
      <c r="AB875" s="125">
        <f ca="1"/>
        <v>5</v>
      </c>
      <c r="AC875" s="98" t="str">
        <f ca="1"/>
        <v>VIGENTE</v>
      </c>
      <c r="AD875" s="147">
        <f ca="1"/>
        <v>0.24276000000000003</v>
      </c>
    </row>
    <row r="876" spans="1:30">
      <c r="A876" t="str">
        <f ca="1"/>
        <v>MULTIEMPAQUE_MACH</v>
      </c>
      <c r="B876" t="str">
        <f ca="1"/>
        <v>BEBIDAS LACTEAS</v>
      </c>
      <c r="C876" t="str">
        <f ca="1"/>
        <v xml:space="preserve">Luis Armendariz                         </v>
      </c>
      <c r="D876" t="str">
        <f ca="1"/>
        <v>REGENERIS</v>
      </c>
      <c r="E876" t="str">
        <f ca="1"/>
        <v>REGENERIS BAJO EN GRASA BOTELLA PERSONAL</v>
      </c>
      <c r="F876" s="125" t="str">
        <f ca="1"/>
        <v>MACHACHI</v>
      </c>
      <c r="G876" s="125">
        <f ca="1"/>
        <v>7701</v>
      </c>
      <c r="H876" s="125">
        <f ca="1"/>
        <v>1080</v>
      </c>
      <c r="I876" s="125" t="str">
        <f ca="1"/>
        <v>4013</v>
      </c>
      <c r="J876" s="125" t="str">
        <f ca="1"/>
        <v>MPLX4 RGN LGHT FTLLA BOT 180G</v>
      </c>
      <c r="K876" s="126">
        <f ca="1"/>
        <v>23</v>
      </c>
      <c r="L876" s="127">
        <f ca="1"/>
        <v>1</v>
      </c>
      <c r="M876" s="125">
        <f ca="1"/>
        <v>0.72</v>
      </c>
      <c r="N876" s="126">
        <f ca="1"/>
        <v>45</v>
      </c>
      <c r="O876" s="128">
        <f ca="1"/>
        <v>45602</v>
      </c>
      <c r="P876" s="128" t="str">
        <f ca="1"/>
        <v>miércoles</v>
      </c>
      <c r="Q876" s="129">
        <f ca="1"/>
        <v>45602</v>
      </c>
      <c r="R876" s="129">
        <f ca="1"/>
        <v>45646</v>
      </c>
      <c r="S876" s="89">
        <f ca="1"/>
        <v>22</v>
      </c>
      <c r="T876" s="143">
        <f ca="1"/>
        <v>0.48888888888888887</v>
      </c>
      <c r="U876" s="281">
        <f ca="1"/>
        <v>23</v>
      </c>
      <c r="V876" s="125">
        <f ca="1"/>
        <v>16.559999999999999</v>
      </c>
      <c r="W876" s="144">
        <f ca="1"/>
        <v>0</v>
      </c>
      <c r="X876" s="143">
        <f ca="1"/>
        <v>1</v>
      </c>
      <c r="Y876" s="145">
        <f ca="1"/>
        <v>1.235225</v>
      </c>
      <c r="Z876" s="145">
        <f ca="1"/>
        <v>1.235225</v>
      </c>
      <c r="AA876" s="125">
        <f ca="1"/>
        <v>28.410174999999999</v>
      </c>
      <c r="AB876" s="125">
        <f ca="1"/>
        <v>22</v>
      </c>
      <c r="AC876" s="98" t="str">
        <f ca="1"/>
        <v>PROXIMOS FECHA CORTA</v>
      </c>
      <c r="AD876" s="147">
        <f ca="1"/>
        <v>1.6559999999999998E-2</v>
      </c>
    </row>
    <row r="877" spans="1:30">
      <c r="A877" t="str">
        <f ca="1"/>
        <v>MULTIEMPAQUE_MACH</v>
      </c>
      <c r="B877" t="str">
        <f ca="1"/>
        <v>BEBIDAS LACTEAS</v>
      </c>
      <c r="C877" t="str">
        <f ca="1"/>
        <v xml:space="preserve">Luis Armendariz                         </v>
      </c>
      <c r="D877" t="str">
        <f ca="1"/>
        <v>REGENERIS</v>
      </c>
      <c r="E877" t="str">
        <f ca="1"/>
        <v>REGENERIS BAJO EN GRASA BOTELLA PERSONAL</v>
      </c>
      <c r="F877" s="125" t="str">
        <f ca="1"/>
        <v>MACHACHI</v>
      </c>
      <c r="G877" s="125">
        <f ca="1"/>
        <v>7701</v>
      </c>
      <c r="H877" s="125">
        <f ca="1"/>
        <v>1080</v>
      </c>
      <c r="I877" s="125" t="str">
        <f ca="1"/>
        <v>4013</v>
      </c>
      <c r="J877" s="125" t="str">
        <f ca="1"/>
        <v>MPLX4 RGN LGHT FTLLA BOT 180G</v>
      </c>
      <c r="K877" s="126">
        <f ca="1"/>
        <v>6</v>
      </c>
      <c r="L877" s="127">
        <f ca="1"/>
        <v>1</v>
      </c>
      <c r="M877" s="125">
        <f ca="1"/>
        <v>0.72</v>
      </c>
      <c r="N877" s="126">
        <f ca="1"/>
        <v>45</v>
      </c>
      <c r="O877" s="128">
        <f ca="1"/>
        <v>45622</v>
      </c>
      <c r="P877" s="128" t="str">
        <f ca="1"/>
        <v>martes</v>
      </c>
      <c r="Q877" s="129">
        <f ca="1"/>
        <v>45622</v>
      </c>
      <c r="R877" s="129">
        <f ca="1"/>
        <v>45666</v>
      </c>
      <c r="S877" s="89">
        <f ca="1"/>
        <v>42</v>
      </c>
      <c r="T877" s="143">
        <f ca="1"/>
        <v>0.93333333333333335</v>
      </c>
      <c r="U877" s="281">
        <f ca="1"/>
        <v>6</v>
      </c>
      <c r="V877" s="125">
        <f ca="1"/>
        <v>4.32</v>
      </c>
      <c r="W877" s="144">
        <f ca="1"/>
        <v>0</v>
      </c>
      <c r="X877" s="143">
        <f ca="1"/>
        <v>1</v>
      </c>
      <c r="Y877" s="145">
        <f ca="1"/>
        <v>1.235225</v>
      </c>
      <c r="Z877" s="145">
        <f ca="1"/>
        <v>1.235225</v>
      </c>
      <c r="AA877" s="125">
        <f ca="1"/>
        <v>7.4113500000000005</v>
      </c>
      <c r="AB877" s="125">
        <f ca="1"/>
        <v>2</v>
      </c>
      <c r="AC877" s="98" t="str">
        <f ca="1"/>
        <v>VIGENTE</v>
      </c>
      <c r="AD877" s="147">
        <f ca="1"/>
        <v>4.3200000000000001E-3</v>
      </c>
    </row>
    <row r="878" spans="1:30">
      <c r="A878" t="str">
        <f ca="1"/>
        <v>MULTIEMPAQUE_MACH</v>
      </c>
      <c r="B878" t="str">
        <f ca="1"/>
        <v>BEBIDAS LACTEAS</v>
      </c>
      <c r="C878" t="str">
        <f ca="1"/>
        <v xml:space="preserve">Luis Armendariz                         </v>
      </c>
      <c r="D878" t="str">
        <f ca="1"/>
        <v>BON YURT</v>
      </c>
      <c r="E878" t="str">
        <f ca="1"/>
        <v>BON YURT REGULAR</v>
      </c>
      <c r="F878" s="125" t="str">
        <f ca="1"/>
        <v>MACHACHI</v>
      </c>
      <c r="G878" s="125">
        <f ca="1"/>
        <v>7701</v>
      </c>
      <c r="H878" s="125">
        <f ca="1"/>
        <v>1080</v>
      </c>
      <c r="I878" s="125" t="str">
        <f ca="1"/>
        <v>12550</v>
      </c>
      <c r="J878" s="125" t="str">
        <f ca="1"/>
        <v>MPLX4 BY MULTSAB VASO</v>
      </c>
      <c r="K878" s="126">
        <f ca="1"/>
        <v>3</v>
      </c>
      <c r="L878" s="127">
        <f ca="1"/>
        <v>1</v>
      </c>
      <c r="M878" s="125">
        <f ca="1"/>
        <v>0.66500000000000004</v>
      </c>
      <c r="N878" s="126">
        <f ca="1"/>
        <v>45</v>
      </c>
      <c r="O878" s="128">
        <f ca="1"/>
        <v>45612</v>
      </c>
      <c r="P878" s="128" t="str">
        <f ca="1"/>
        <v>sábado</v>
      </c>
      <c r="Q878" s="129">
        <f ca="1"/>
        <v>45612</v>
      </c>
      <c r="R878" s="129">
        <f ca="1"/>
        <v>45656</v>
      </c>
      <c r="S878" s="89">
        <f ca="1"/>
        <v>32</v>
      </c>
      <c r="T878" s="143">
        <f ca="1"/>
        <v>0.71111111111111114</v>
      </c>
      <c r="U878" s="281">
        <f ca="1"/>
        <v>3</v>
      </c>
      <c r="V878" s="125">
        <f ca="1"/>
        <v>1.9950000000000001</v>
      </c>
      <c r="W878" s="144">
        <f ca="1"/>
        <v>0</v>
      </c>
      <c r="X878" s="143">
        <f ca="1"/>
        <v>1</v>
      </c>
      <c r="Y878" s="145">
        <f ca="1"/>
        <v>1.5265749999999998</v>
      </c>
      <c r="Z878" s="145">
        <f ca="1"/>
        <v>1.5265749999999998</v>
      </c>
      <c r="AA878" s="125">
        <f ca="1"/>
        <v>4.5797249999999998</v>
      </c>
      <c r="AB878" s="125">
        <f ca="1"/>
        <v>12</v>
      </c>
      <c r="AC878" s="98" t="str">
        <f ca="1"/>
        <v>VIGENTE</v>
      </c>
      <c r="AD878" s="147">
        <f ca="1"/>
        <v>1.9950000000000002E-3</v>
      </c>
    </row>
    <row r="879" spans="1:30">
      <c r="A879" t="str">
        <f ca="1"/>
        <v>MULTIEMPAQUE_MACH</v>
      </c>
      <c r="B879" t="str">
        <f ca="1"/>
        <v>BEBIDAS LACTEAS</v>
      </c>
      <c r="C879" t="str">
        <f ca="1"/>
        <v xml:space="preserve">Luis Armendariz                         </v>
      </c>
      <c r="D879" t="str">
        <f ca="1"/>
        <v>BON YURT</v>
      </c>
      <c r="E879" t="str">
        <f ca="1"/>
        <v>BON YURT REGULAR</v>
      </c>
      <c r="F879" s="125" t="str">
        <f ca="1"/>
        <v>MACHACHI</v>
      </c>
      <c r="G879" s="125">
        <f ca="1"/>
        <v>7701</v>
      </c>
      <c r="H879" s="125">
        <f ca="1"/>
        <v>1080</v>
      </c>
      <c r="I879" s="125" t="str">
        <f ca="1"/>
        <v>12550</v>
      </c>
      <c r="J879" s="125" t="str">
        <f ca="1"/>
        <v>MPLX4 BY MULTSAB VASO</v>
      </c>
      <c r="K879" s="126">
        <f ca="1"/>
        <v>3</v>
      </c>
      <c r="L879" s="127">
        <f ca="1"/>
        <v>1</v>
      </c>
      <c r="M879" s="125">
        <f ca="1"/>
        <v>0.66500000000000004</v>
      </c>
      <c r="N879" s="126">
        <f ca="1"/>
        <v>45</v>
      </c>
      <c r="O879" s="128">
        <f ca="1"/>
        <v>45604</v>
      </c>
      <c r="P879" s="128" t="str">
        <f ca="1"/>
        <v>viernes</v>
      </c>
      <c r="Q879" s="129">
        <f ca="1"/>
        <v>45604</v>
      </c>
      <c r="R879" s="129">
        <f ca="1"/>
        <v>45648</v>
      </c>
      <c r="S879" s="89">
        <f ca="1"/>
        <v>24</v>
      </c>
      <c r="T879" s="143">
        <f ca="1"/>
        <v>0.53333333333333333</v>
      </c>
      <c r="U879" s="281">
        <f ca="1"/>
        <v>3</v>
      </c>
      <c r="V879" s="125">
        <f ca="1"/>
        <v>1.9950000000000001</v>
      </c>
      <c r="W879" s="144">
        <f ca="1"/>
        <v>0</v>
      </c>
      <c r="X879" s="143">
        <f ca="1"/>
        <v>1</v>
      </c>
      <c r="Y879" s="145">
        <f ca="1"/>
        <v>1.5265749999999998</v>
      </c>
      <c r="Z879" s="145">
        <f ca="1"/>
        <v>1.5265749999999998</v>
      </c>
      <c r="AA879" s="125">
        <f ca="1"/>
        <v>4.5797249999999998</v>
      </c>
      <c r="AB879" s="125">
        <f ca="1"/>
        <v>20</v>
      </c>
      <c r="AC879" s="98" t="str">
        <f ca="1"/>
        <v>PROXIMOS FECHA CORTA</v>
      </c>
      <c r="AD879" s="147">
        <f ca="1"/>
        <v>1.9950000000000002E-3</v>
      </c>
    </row>
    <row r="880" spans="1:30">
      <c r="A880" t="str">
        <f ca="1"/>
        <v>MULTIEMPAQUE_MACH</v>
      </c>
      <c r="B880" t="str">
        <f ca="1"/>
        <v>BEBIDAS LACTEAS</v>
      </c>
      <c r="C880" t="str">
        <f ca="1"/>
        <v xml:space="preserve">Luis Armendariz                         </v>
      </c>
      <c r="D880" t="str">
        <f ca="1"/>
        <v>BON YURT</v>
      </c>
      <c r="E880" t="str">
        <f ca="1"/>
        <v>BON YURT REGULAR</v>
      </c>
      <c r="F880" s="125" t="str">
        <f ca="1"/>
        <v>MACHACHI</v>
      </c>
      <c r="G880" s="125">
        <f ca="1"/>
        <v>7701</v>
      </c>
      <c r="H880" s="125">
        <f ca="1"/>
        <v>1080</v>
      </c>
      <c r="I880" s="125" t="str">
        <f ca="1"/>
        <v>12550</v>
      </c>
      <c r="J880" s="125" t="str">
        <f ca="1"/>
        <v>MPLX4 BY MULTSAB VASO</v>
      </c>
      <c r="K880" s="126">
        <f ca="1"/>
        <v>18</v>
      </c>
      <c r="L880" s="127">
        <f ca="1"/>
        <v>1</v>
      </c>
      <c r="M880" s="125">
        <f ca="1"/>
        <v>0.66500000000000004</v>
      </c>
      <c r="N880" s="126">
        <f ca="1"/>
        <v>45</v>
      </c>
      <c r="O880" s="128">
        <f ca="1"/>
        <v>45619</v>
      </c>
      <c r="P880" s="128" t="str">
        <f ca="1"/>
        <v>sábado</v>
      </c>
      <c r="Q880" s="129">
        <f ca="1"/>
        <v>45619</v>
      </c>
      <c r="R880" s="129">
        <f ca="1"/>
        <v>45663</v>
      </c>
      <c r="S880" s="89">
        <f ca="1"/>
        <v>39</v>
      </c>
      <c r="T880" s="143">
        <f ca="1"/>
        <v>0.8666666666666667</v>
      </c>
      <c r="U880" s="281">
        <f ca="1"/>
        <v>18</v>
      </c>
      <c r="V880" s="125">
        <f ca="1"/>
        <v>11.97</v>
      </c>
      <c r="W880" s="144">
        <f ca="1"/>
        <v>0</v>
      </c>
      <c r="X880" s="143">
        <f ca="1"/>
        <v>1</v>
      </c>
      <c r="Y880" s="145">
        <f ca="1"/>
        <v>1.5265749999999998</v>
      </c>
      <c r="Z880" s="145">
        <f ca="1"/>
        <v>1.5265749999999998</v>
      </c>
      <c r="AA880" s="125">
        <f ca="1"/>
        <v>27.478349999999995</v>
      </c>
      <c r="AB880" s="125">
        <f ca="1"/>
        <v>5</v>
      </c>
      <c r="AC880" s="98" t="str">
        <f ca="1"/>
        <v>VIGENTE</v>
      </c>
      <c r="AD880" s="147">
        <f ca="1"/>
        <v>1.1970000000000001E-2</v>
      </c>
    </row>
    <row r="881" spans="1:30">
      <c r="A881" t="str">
        <f ca="1"/>
        <v>MULTIEMPAQUE_MACH</v>
      </c>
      <c r="B881" t="str">
        <f ca="1"/>
        <v>BEBIDAS LACTEAS</v>
      </c>
      <c r="C881" t="str">
        <f ca="1"/>
        <v xml:space="preserve">Luis Armendariz                         </v>
      </c>
      <c r="D881" t="str">
        <f ca="1"/>
        <v>BON YURT</v>
      </c>
      <c r="E881" t="str">
        <f ca="1"/>
        <v>BON YURT REGULAR</v>
      </c>
      <c r="F881" s="125" t="str">
        <f ca="1"/>
        <v>MACHACHI</v>
      </c>
      <c r="G881" s="125">
        <f ca="1"/>
        <v>7701</v>
      </c>
      <c r="H881" s="125">
        <f ca="1"/>
        <v>1080</v>
      </c>
      <c r="I881" s="125" t="str">
        <f ca="1"/>
        <v>12550</v>
      </c>
      <c r="J881" s="125" t="str">
        <f ca="1"/>
        <v>MPLX4 BY MULTSAB VASO</v>
      </c>
      <c r="K881" s="126">
        <f ca="1"/>
        <v>96</v>
      </c>
      <c r="L881" s="127">
        <f ca="1"/>
        <v>1</v>
      </c>
      <c r="M881" s="125">
        <f ca="1"/>
        <v>0.66500000000000004</v>
      </c>
      <c r="N881" s="126">
        <f ca="1"/>
        <v>45</v>
      </c>
      <c r="O881" s="128">
        <f ca="1"/>
        <v>45623</v>
      </c>
      <c r="P881" s="128" t="str">
        <f ca="1"/>
        <v>miércoles</v>
      </c>
      <c r="Q881" s="129">
        <f ca="1"/>
        <v>45623</v>
      </c>
      <c r="R881" s="129">
        <f ca="1"/>
        <v>45667</v>
      </c>
      <c r="S881" s="89">
        <f ca="1"/>
        <v>43</v>
      </c>
      <c r="T881" s="143">
        <f ca="1"/>
        <v>0.9555555555555556</v>
      </c>
      <c r="U881" s="281">
        <f ca="1"/>
        <v>96</v>
      </c>
      <c r="V881" s="125">
        <f ca="1"/>
        <v>63.84</v>
      </c>
      <c r="W881" s="144">
        <f ca="1"/>
        <v>0</v>
      </c>
      <c r="X881" s="143">
        <f ca="1"/>
        <v>1</v>
      </c>
      <c r="Y881" s="145">
        <f ca="1"/>
        <v>1.5265749999999998</v>
      </c>
      <c r="Z881" s="145">
        <f ca="1"/>
        <v>1.5265749999999998</v>
      </c>
      <c r="AA881" s="125">
        <f ca="1"/>
        <v>146.55119999999999</v>
      </c>
      <c r="AB881" s="125">
        <f ca="1"/>
        <v>1</v>
      </c>
      <c r="AC881" s="98" t="str">
        <f ca="1"/>
        <v>VIGENTE</v>
      </c>
      <c r="AD881" s="147">
        <f ca="1"/>
        <v>6.3840000000000008E-2</v>
      </c>
    </row>
    <row r="882" spans="1:30">
      <c r="A882" t="str">
        <f ca="1"/>
        <v>MULTIEMPAQUE_MACH</v>
      </c>
      <c r="B882" t="str">
        <f ca="1"/>
        <v>BEBIDAS LACTEAS</v>
      </c>
      <c r="C882" t="str">
        <f ca="1"/>
        <v xml:space="preserve">Luis Armendariz                         </v>
      </c>
      <c r="D882" t="str">
        <f ca="1"/>
        <v>BON YURT</v>
      </c>
      <c r="E882" t="str">
        <f ca="1"/>
        <v>BON YURT REGULAR</v>
      </c>
      <c r="F882" s="125" t="str">
        <f ca="1"/>
        <v>MACHACHI</v>
      </c>
      <c r="G882" s="125">
        <f ca="1"/>
        <v>7701</v>
      </c>
      <c r="H882" s="125">
        <f ca="1"/>
        <v>1080</v>
      </c>
      <c r="I882" s="125" t="str">
        <f ca="1"/>
        <v>11037</v>
      </c>
      <c r="J882" s="125" t="str">
        <f ca="1"/>
        <v>MPLX4 BY NEON VASO 170G</v>
      </c>
      <c r="K882" s="126">
        <f ca="1"/>
        <v>4</v>
      </c>
      <c r="L882" s="127">
        <f ca="1"/>
        <v>1</v>
      </c>
      <c r="M882" s="125">
        <f ca="1"/>
        <v>0.68</v>
      </c>
      <c r="N882" s="126">
        <f ca="1"/>
        <v>45</v>
      </c>
      <c r="O882" s="128">
        <f ca="1"/>
        <v>45612</v>
      </c>
      <c r="P882" s="128" t="str">
        <f ca="1"/>
        <v>sábado</v>
      </c>
      <c r="Q882" s="129">
        <f ca="1"/>
        <v>45612</v>
      </c>
      <c r="R882" s="129">
        <f ca="1"/>
        <v>45656</v>
      </c>
      <c r="S882" s="89">
        <f ca="1"/>
        <v>32</v>
      </c>
      <c r="T882" s="143">
        <f ca="1"/>
        <v>0.71111111111111114</v>
      </c>
      <c r="U882" s="281">
        <f ca="1"/>
        <v>4</v>
      </c>
      <c r="V882" s="125">
        <f ca="1"/>
        <v>2.72</v>
      </c>
      <c r="W882" s="144">
        <f ca="1"/>
        <v>0</v>
      </c>
      <c r="X882" s="143">
        <f ca="1"/>
        <v>1</v>
      </c>
      <c r="Y882" s="145">
        <f ca="1"/>
        <v>1.6522000000000001</v>
      </c>
      <c r="Z882" s="145">
        <f ca="1"/>
        <v>1.6522000000000001</v>
      </c>
      <c r="AA882" s="125">
        <f ca="1"/>
        <v>6.6088000000000005</v>
      </c>
      <c r="AB882" s="125">
        <f ca="1"/>
        <v>12</v>
      </c>
      <c r="AC882" s="98" t="str">
        <f ca="1"/>
        <v>VIGENTE</v>
      </c>
      <c r="AD882" s="147">
        <f ca="1"/>
        <v>2.7200000000000002E-3</v>
      </c>
    </row>
    <row r="883" spans="1:30">
      <c r="A883" t="str">
        <f ca="1"/>
        <v>MULTIEMPAQUE_MACH</v>
      </c>
      <c r="B883" t="str">
        <f ca="1"/>
        <v>BEBIDAS LACTEAS</v>
      </c>
      <c r="C883" t="str">
        <f ca="1"/>
        <v xml:space="preserve">Luis Armendariz                         </v>
      </c>
      <c r="D883" t="str">
        <f ca="1"/>
        <v>BON YURT</v>
      </c>
      <c r="E883" t="str">
        <f ca="1"/>
        <v>BON YURT REGULAR</v>
      </c>
      <c r="F883" s="125" t="str">
        <f ca="1"/>
        <v>MACHACHI</v>
      </c>
      <c r="G883" s="125">
        <f ca="1"/>
        <v>7701</v>
      </c>
      <c r="H883" s="125">
        <f ca="1"/>
        <v>1080</v>
      </c>
      <c r="I883" s="125" t="str">
        <f ca="1"/>
        <v>11037</v>
      </c>
      <c r="J883" s="125" t="str">
        <f ca="1"/>
        <v>MPLX4 BY NEON VASO 170G</v>
      </c>
      <c r="K883" s="126">
        <f ca="1"/>
        <v>2</v>
      </c>
      <c r="L883" s="127">
        <f ca="1"/>
        <v>1</v>
      </c>
      <c r="M883" s="125">
        <f ca="1"/>
        <v>0.68</v>
      </c>
      <c r="N883" s="126">
        <f ca="1"/>
        <v>45</v>
      </c>
      <c r="O883" s="128">
        <f ca="1"/>
        <v>45615</v>
      </c>
      <c r="P883" s="128" t="str">
        <f ca="1"/>
        <v>martes</v>
      </c>
      <c r="Q883" s="129">
        <f ca="1"/>
        <v>45615</v>
      </c>
      <c r="R883" s="129">
        <f ca="1"/>
        <v>45659</v>
      </c>
      <c r="S883" s="89">
        <f ca="1"/>
        <v>35</v>
      </c>
      <c r="T883" s="143">
        <f ca="1"/>
        <v>0.77777777777777779</v>
      </c>
      <c r="U883" s="281">
        <f ca="1"/>
        <v>2</v>
      </c>
      <c r="V883" s="125">
        <f ca="1"/>
        <v>1.36</v>
      </c>
      <c r="W883" s="144">
        <f ca="1"/>
        <v>0</v>
      </c>
      <c r="X883" s="143">
        <f ca="1"/>
        <v>1</v>
      </c>
      <c r="Y883" s="145">
        <f ca="1"/>
        <v>1.6522000000000001</v>
      </c>
      <c r="Z883" s="145">
        <f ca="1"/>
        <v>1.6522000000000001</v>
      </c>
      <c r="AA883" s="125">
        <f ca="1"/>
        <v>3.3044000000000002</v>
      </c>
      <c r="AB883" s="125">
        <f ca="1"/>
        <v>9</v>
      </c>
      <c r="AC883" s="98" t="str">
        <f ca="1"/>
        <v>VIGENTE</v>
      </c>
      <c r="AD883" s="147">
        <f ca="1"/>
        <v>1.3600000000000001E-3</v>
      </c>
    </row>
    <row r="884" spans="1:30">
      <c r="A884" t="str">
        <f ca="1"/>
        <v>MULTIEMPAQUE_MACH</v>
      </c>
      <c r="B884" t="str">
        <f ca="1"/>
        <v>BEBIDAS LACTEAS</v>
      </c>
      <c r="C884" t="str">
        <f ca="1"/>
        <v xml:space="preserve">Luis Armendariz                         </v>
      </c>
      <c r="D884" t="str">
        <f ca="1"/>
        <v>BON YURT</v>
      </c>
      <c r="E884" t="str">
        <f ca="1"/>
        <v>BON YURT REGULAR</v>
      </c>
      <c r="F884" s="125" t="str">
        <f ca="1"/>
        <v>MACHACHI</v>
      </c>
      <c r="G884" s="125">
        <f ca="1"/>
        <v>7701</v>
      </c>
      <c r="H884" s="125">
        <f ca="1"/>
        <v>1080</v>
      </c>
      <c r="I884" s="125" t="str">
        <f ca="1"/>
        <v>11037</v>
      </c>
      <c r="J884" s="125" t="str">
        <f ca="1"/>
        <v>MPLX4 BY NEON VASO 170G</v>
      </c>
      <c r="K884" s="126">
        <f ca="1"/>
        <v>2</v>
      </c>
      <c r="L884" s="127">
        <f ca="1"/>
        <v>1</v>
      </c>
      <c r="M884" s="125">
        <f ca="1"/>
        <v>0.68</v>
      </c>
      <c r="N884" s="126">
        <f ca="1"/>
        <v>45</v>
      </c>
      <c r="O884" s="128">
        <f ca="1"/>
        <v>45605</v>
      </c>
      <c r="P884" s="128" t="str">
        <f ca="1"/>
        <v>sábado</v>
      </c>
      <c r="Q884" s="129">
        <f ca="1"/>
        <v>45605</v>
      </c>
      <c r="R884" s="129">
        <f ca="1"/>
        <v>45649</v>
      </c>
      <c r="S884" s="89">
        <f ca="1"/>
        <v>25</v>
      </c>
      <c r="T884" s="143">
        <f ca="1"/>
        <v>0.55555555555555558</v>
      </c>
      <c r="U884" s="281">
        <f ca="1"/>
        <v>2</v>
      </c>
      <c r="V884" s="125">
        <f ca="1"/>
        <v>1.36</v>
      </c>
      <c r="W884" s="144">
        <f ca="1"/>
        <v>0</v>
      </c>
      <c r="X884" s="143">
        <f ca="1"/>
        <v>1</v>
      </c>
      <c r="Y884" s="145">
        <f ca="1"/>
        <v>1.6522000000000001</v>
      </c>
      <c r="Z884" s="145">
        <f ca="1"/>
        <v>1.6522000000000001</v>
      </c>
      <c r="AA884" s="125">
        <f ca="1"/>
        <v>3.3044000000000002</v>
      </c>
      <c r="AB884" s="125">
        <f ca="1"/>
        <v>19</v>
      </c>
      <c r="AC884" s="98" t="str">
        <f ca="1"/>
        <v>PROXIMOS FECHA CORTA</v>
      </c>
      <c r="AD884" s="147">
        <f ca="1"/>
        <v>1.3600000000000001E-3</v>
      </c>
    </row>
    <row r="885" spans="1:30">
      <c r="A885" t="str">
        <f ca="1"/>
        <v>MULTIEMPAQUE_MACH</v>
      </c>
      <c r="B885" t="str">
        <f ca="1"/>
        <v>BEBIDAS LACTEAS</v>
      </c>
      <c r="C885" t="str">
        <f ca="1"/>
        <v xml:space="preserve">Luis Armendariz                         </v>
      </c>
      <c r="D885" t="str">
        <f ca="1"/>
        <v>BON YURT</v>
      </c>
      <c r="E885" t="str">
        <f ca="1"/>
        <v>BON YURT REGULAR</v>
      </c>
      <c r="F885" s="125" t="str">
        <f ca="1"/>
        <v>MACHACHI</v>
      </c>
      <c r="G885" s="125">
        <f ca="1"/>
        <v>7701</v>
      </c>
      <c r="H885" s="125">
        <f ca="1"/>
        <v>1080</v>
      </c>
      <c r="I885" s="125" t="str">
        <f ca="1"/>
        <v>11037</v>
      </c>
      <c r="J885" s="125" t="str">
        <f ca="1"/>
        <v>MPLX4 BY NEON VASO 170G</v>
      </c>
      <c r="K885" s="126">
        <f ca="1"/>
        <v>4</v>
      </c>
      <c r="L885" s="127">
        <f ca="1"/>
        <v>1</v>
      </c>
      <c r="M885" s="125">
        <f ca="1"/>
        <v>0.68</v>
      </c>
      <c r="N885" s="126">
        <f ca="1"/>
        <v>45</v>
      </c>
      <c r="O885" s="128">
        <f ca="1"/>
        <v>45601</v>
      </c>
      <c r="P885" s="128" t="str">
        <f ca="1"/>
        <v>martes</v>
      </c>
      <c r="Q885" s="129">
        <f ca="1"/>
        <v>45601</v>
      </c>
      <c r="R885" s="129">
        <f ca="1"/>
        <v>45645</v>
      </c>
      <c r="S885" s="89">
        <f ca="1"/>
        <v>21</v>
      </c>
      <c r="T885" s="143">
        <f ca="1"/>
        <v>0.46666666666666667</v>
      </c>
      <c r="U885" s="281">
        <f ca="1"/>
        <v>4</v>
      </c>
      <c r="V885" s="125">
        <f ca="1"/>
        <v>2.72</v>
      </c>
      <c r="W885" s="144">
        <f ca="1"/>
        <v>0</v>
      </c>
      <c r="X885" s="143">
        <f ca="1"/>
        <v>1</v>
      </c>
      <c r="Y885" s="145">
        <f ca="1"/>
        <v>1.6522000000000001</v>
      </c>
      <c r="Z885" s="145">
        <f ca="1"/>
        <v>1.6522000000000001</v>
      </c>
      <c r="AA885" s="125">
        <f ca="1"/>
        <v>6.6088000000000005</v>
      </c>
      <c r="AB885" s="125">
        <f ca="1"/>
        <v>23</v>
      </c>
      <c r="AC885" s="98" t="str">
        <f ca="1"/>
        <v>FECHA CORTA</v>
      </c>
      <c r="AD885" s="147">
        <f ca="1"/>
        <v>2.7200000000000002E-3</v>
      </c>
    </row>
    <row r="886" spans="1:30">
      <c r="A886" t="str">
        <f ca="1"/>
        <v>MULTIEMPAQUE_MACH</v>
      </c>
      <c r="B886" t="str">
        <f ca="1"/>
        <v>BEBIDAS LACTEAS</v>
      </c>
      <c r="C886" t="str">
        <f ca="1"/>
        <v xml:space="preserve">Luis Armendariz                         </v>
      </c>
      <c r="D886" t="str">
        <f ca="1"/>
        <v>BON YURT</v>
      </c>
      <c r="E886" t="str">
        <f ca="1"/>
        <v>BON YURT REGULAR</v>
      </c>
      <c r="F886" s="125" t="str">
        <f ca="1"/>
        <v>MACHACHI</v>
      </c>
      <c r="G886" s="125">
        <f ca="1"/>
        <v>7701</v>
      </c>
      <c r="H886" s="125">
        <f ca="1"/>
        <v>1080</v>
      </c>
      <c r="I886" s="125" t="str">
        <f ca="1"/>
        <v>11037</v>
      </c>
      <c r="J886" s="125" t="str">
        <f ca="1"/>
        <v>MPLX4 BY NEON VASO 170G</v>
      </c>
      <c r="K886" s="126">
        <f ca="1"/>
        <v>185</v>
      </c>
      <c r="L886" s="127">
        <f ca="1"/>
        <v>1</v>
      </c>
      <c r="M886" s="125">
        <f ca="1"/>
        <v>0.68</v>
      </c>
      <c r="N886" s="126">
        <f ca="1"/>
        <v>45</v>
      </c>
      <c r="O886" s="128">
        <f ca="1"/>
        <v>45619</v>
      </c>
      <c r="P886" s="128" t="str">
        <f ca="1"/>
        <v>sábado</v>
      </c>
      <c r="Q886" s="129">
        <f ca="1"/>
        <v>45619</v>
      </c>
      <c r="R886" s="129">
        <f ca="1"/>
        <v>45663</v>
      </c>
      <c r="S886" s="89">
        <f ca="1"/>
        <v>39</v>
      </c>
      <c r="T886" s="143">
        <f ca="1"/>
        <v>0.8666666666666667</v>
      </c>
      <c r="U886" s="281">
        <f ca="1"/>
        <v>185</v>
      </c>
      <c r="V886" s="125">
        <f ca="1"/>
        <v>125.80000000000001</v>
      </c>
      <c r="W886" s="144">
        <f ca="1"/>
        <v>0</v>
      </c>
      <c r="X886" s="143">
        <f ca="1"/>
        <v>1</v>
      </c>
      <c r="Y886" s="145">
        <f ca="1"/>
        <v>1.6522000000000001</v>
      </c>
      <c r="Z886" s="145">
        <f ca="1"/>
        <v>1.6522000000000001</v>
      </c>
      <c r="AA886" s="125">
        <f ca="1"/>
        <v>305.65700000000004</v>
      </c>
      <c r="AB886" s="125">
        <f ca="1"/>
        <v>5</v>
      </c>
      <c r="AC886" s="98" t="str">
        <f ca="1"/>
        <v>VIGENTE</v>
      </c>
      <c r="AD886" s="147">
        <f ca="1"/>
        <v>0.12580000000000002</v>
      </c>
    </row>
    <row r="887" spans="1:30">
      <c r="A887" t="str">
        <f ca="1"/>
        <v>MULTIEMPAQUE_SG</v>
      </c>
      <c r="B887" t="str">
        <f ca="1"/>
        <v>QUESOS Y GRASAS</v>
      </c>
      <c r="C887" t="str">
        <f ca="1"/>
        <v xml:space="preserve">Esteban Montenegro                      </v>
      </c>
      <c r="D887" t="str">
        <f ca="1"/>
        <v>QUESO MOZARELLA KIOSKO</v>
      </c>
      <c r="E887" t="str">
        <f ca="1"/>
        <v>QUESO MOZARELLA SNACK</v>
      </c>
      <c r="F887" s="125" t="str">
        <f ca="1"/>
        <v>MACHACHI</v>
      </c>
      <c r="G887" s="125">
        <f ca="1"/>
        <v>7701</v>
      </c>
      <c r="H887" s="125">
        <f ca="1"/>
        <v>1080</v>
      </c>
      <c r="I887" s="125" t="str">
        <f ca="1"/>
        <v>10179</v>
      </c>
      <c r="J887" s="125" t="str">
        <f ca="1"/>
        <v>MPLX6 Q MOZAR KIOSKO SNACK 50G</v>
      </c>
      <c r="K887" s="126">
        <f ca="1"/>
        <v>16</v>
      </c>
      <c r="L887" s="127">
        <f ca="1"/>
        <v>1</v>
      </c>
      <c r="M887" s="125">
        <f ca="1"/>
        <v>0.3</v>
      </c>
      <c r="N887" s="126">
        <f ca="1"/>
        <v>40</v>
      </c>
      <c r="O887" s="128">
        <f ca="1"/>
        <v>45623</v>
      </c>
      <c r="P887" s="128" t="str">
        <f ca="1"/>
        <v>miércoles</v>
      </c>
      <c r="Q887" s="129">
        <f ca="1"/>
        <v>45623</v>
      </c>
      <c r="R887" s="129">
        <f ca="1"/>
        <v>45662</v>
      </c>
      <c r="S887" s="89">
        <f ca="1"/>
        <v>38</v>
      </c>
      <c r="T887" s="143">
        <f ca="1"/>
        <v>0.95</v>
      </c>
      <c r="U887" s="281">
        <f ca="1"/>
        <v>16</v>
      </c>
      <c r="V887" s="125">
        <f ca="1"/>
        <v>4.8</v>
      </c>
      <c r="W887" s="144">
        <f ca="1"/>
        <v>0</v>
      </c>
      <c r="X887" s="143">
        <f ca="1"/>
        <v>1</v>
      </c>
      <c r="Y887" s="145">
        <f ca="1"/>
        <v>1.955125</v>
      </c>
      <c r="Z887" s="145">
        <f ca="1"/>
        <v>1.955125</v>
      </c>
      <c r="AA887" s="125">
        <f ca="1"/>
        <v>31.282</v>
      </c>
      <c r="AB887" s="125">
        <f ca="1"/>
        <v>1</v>
      </c>
      <c r="AC887" s="98" t="str">
        <f ca="1"/>
        <v>VIGENTE</v>
      </c>
      <c r="AD887" s="147">
        <f ca="1"/>
        <v>4.7999999999999996E-3</v>
      </c>
    </row>
    <row r="888" spans="1:30">
      <c r="A888" t="str">
        <f ca="1"/>
        <v>MULTIEMPAQUE_SG</v>
      </c>
      <c r="B888" t="str">
        <f ca="1"/>
        <v>QUESOS Y GRASAS</v>
      </c>
      <c r="C888" t="str">
        <f ca="1"/>
        <v xml:space="preserve">Esteban Montenegro                      </v>
      </c>
      <c r="D888" t="str">
        <f ca="1"/>
        <v>QUESO MOZARELLA KIOSKO</v>
      </c>
      <c r="E888" t="str">
        <f ca="1"/>
        <v>QUESO MOZARELLA SNACK</v>
      </c>
      <c r="F888" s="125" t="str">
        <f ca="1"/>
        <v>MACHACHI</v>
      </c>
      <c r="G888" s="125">
        <f ca="1"/>
        <v>7701</v>
      </c>
      <c r="H888" s="125">
        <f ca="1"/>
        <v>1080</v>
      </c>
      <c r="I888" s="125" t="str">
        <f ca="1"/>
        <v>10179</v>
      </c>
      <c r="J888" s="125" t="str">
        <f ca="1"/>
        <v>MPLX6 Q MOZAR KIOSKO SNACK 50G</v>
      </c>
      <c r="K888" s="126">
        <f ca="1"/>
        <v>11</v>
      </c>
      <c r="L888" s="127">
        <f ca="1"/>
        <v>1</v>
      </c>
      <c r="M888" s="125">
        <f ca="1"/>
        <v>0.3</v>
      </c>
      <c r="N888" s="126">
        <f ca="1"/>
        <v>40</v>
      </c>
      <c r="O888" s="128">
        <f ca="1"/>
        <v>45617</v>
      </c>
      <c r="P888" s="128" t="str">
        <f ca="1"/>
        <v>jueves</v>
      </c>
      <c r="Q888" s="129">
        <f ca="1"/>
        <v>45617</v>
      </c>
      <c r="R888" s="129">
        <f ca="1"/>
        <v>45656</v>
      </c>
      <c r="S888" s="89">
        <f ca="1"/>
        <v>32</v>
      </c>
      <c r="T888" s="143">
        <f ca="1"/>
        <v>0.8</v>
      </c>
      <c r="U888" s="281">
        <f ca="1"/>
        <v>11</v>
      </c>
      <c r="V888" s="125">
        <f ca="1"/>
        <v>3.3</v>
      </c>
      <c r="W888" s="144">
        <f ca="1"/>
        <v>0</v>
      </c>
      <c r="X888" s="143">
        <f ca="1"/>
        <v>1</v>
      </c>
      <c r="Y888" s="145">
        <f ca="1"/>
        <v>1.955125</v>
      </c>
      <c r="Z888" s="145">
        <f ca="1"/>
        <v>1.955125</v>
      </c>
      <c r="AA888" s="125">
        <f ca="1"/>
        <v>21.506374999999998</v>
      </c>
      <c r="AB888" s="125">
        <f ca="1"/>
        <v>7</v>
      </c>
      <c r="AC888" s="98" t="str">
        <f ca="1"/>
        <v>VIGENTE</v>
      </c>
      <c r="AD888" s="147">
        <f ca="1"/>
        <v>3.3E-3</v>
      </c>
    </row>
    <row r="889" spans="1:30">
      <c r="A889" t="str">
        <f ca="1"/>
        <v>MULTIEMPAQUE_SG</v>
      </c>
      <c r="B889" t="str">
        <f ca="1"/>
        <v>QUESOS Y GRASAS</v>
      </c>
      <c r="C889" t="str">
        <f ca="1"/>
        <v xml:space="preserve">Esteban Montenegro                      </v>
      </c>
      <c r="D889" t="str">
        <f ca="1"/>
        <v>QUESO MOZARELLA KIOSKO</v>
      </c>
      <c r="E889" t="str">
        <f ca="1"/>
        <v>QUESO MOZARELLA SNACK</v>
      </c>
      <c r="F889" s="125" t="str">
        <f ca="1"/>
        <v>MACHACHI</v>
      </c>
      <c r="G889" s="125">
        <f ca="1"/>
        <v>7701</v>
      </c>
      <c r="H889" s="125">
        <f ca="1"/>
        <v>1080</v>
      </c>
      <c r="I889" s="125" t="str">
        <f ca="1"/>
        <v>10179</v>
      </c>
      <c r="J889" s="125" t="str">
        <f ca="1"/>
        <v>MPLX6 Q MOZAR KIOSKO SNACK 50G</v>
      </c>
      <c r="K889" s="126">
        <f ca="1"/>
        <v>25</v>
      </c>
      <c r="L889" s="127">
        <f ca="1"/>
        <v>1</v>
      </c>
      <c r="M889" s="125">
        <f ca="1"/>
        <v>0.3</v>
      </c>
      <c r="N889" s="126">
        <f ca="1"/>
        <v>40</v>
      </c>
      <c r="O889" s="128">
        <f ca="1"/>
        <v>45614</v>
      </c>
      <c r="P889" s="128" t="str">
        <f ca="1"/>
        <v>lunes</v>
      </c>
      <c r="Q889" s="129">
        <f ca="1"/>
        <v>45614</v>
      </c>
      <c r="R889" s="129">
        <f ca="1"/>
        <v>45653</v>
      </c>
      <c r="S889" s="89">
        <f ca="1"/>
        <v>29</v>
      </c>
      <c r="T889" s="143">
        <f ca="1"/>
        <v>0.72499999999999998</v>
      </c>
      <c r="U889" s="281">
        <f ca="1"/>
        <v>25</v>
      </c>
      <c r="V889" s="125">
        <f ca="1"/>
        <v>7.5</v>
      </c>
      <c r="W889" s="144">
        <f ca="1"/>
        <v>0</v>
      </c>
      <c r="X889" s="143">
        <f ca="1"/>
        <v>1</v>
      </c>
      <c r="Y889" s="145">
        <f ca="1"/>
        <v>1.955125</v>
      </c>
      <c r="Z889" s="145">
        <f ca="1"/>
        <v>1.955125</v>
      </c>
      <c r="AA889" s="125">
        <f ca="1"/>
        <v>48.878124999999997</v>
      </c>
      <c r="AB889" s="125">
        <f ca="1"/>
        <v>10</v>
      </c>
      <c r="AC889" s="98" t="str">
        <f ca="1"/>
        <v>VIGENTE</v>
      </c>
      <c r="AD889" s="147">
        <f ca="1"/>
        <v>7.4999999999999997E-3</v>
      </c>
    </row>
    <row r="890" spans="1:30">
      <c r="A890" t="str">
        <f ca="1"/>
        <v>MULTIEMPAQUE_SG</v>
      </c>
      <c r="B890" t="str">
        <f ca="1"/>
        <v>QUESOS Y GRASAS</v>
      </c>
      <c r="C890" t="str">
        <f ca="1"/>
        <v xml:space="preserve">Esteban Montenegro                      </v>
      </c>
      <c r="D890" t="str">
        <f ca="1"/>
        <v>QUESO MOZARELLA KIOSKO</v>
      </c>
      <c r="E890" t="str">
        <f ca="1"/>
        <v>QUESO MOZARELLA SNACK</v>
      </c>
      <c r="F890" s="125" t="str">
        <f ca="1"/>
        <v>MACHACHI</v>
      </c>
      <c r="G890" s="125">
        <f ca="1"/>
        <v>7701</v>
      </c>
      <c r="H890" s="125">
        <f ca="1"/>
        <v>1080</v>
      </c>
      <c r="I890" s="125" t="str">
        <f ca="1"/>
        <v>13829</v>
      </c>
      <c r="J890" s="125" t="str">
        <f ca="1"/>
        <v>MPLX5 QUESO MOZARELLA LIGHT KIOSKO 35 G</v>
      </c>
      <c r="K890" s="126">
        <f ca="1"/>
        <v>37</v>
      </c>
      <c r="L890" s="127">
        <f ca="1"/>
        <v>1</v>
      </c>
      <c r="M890" s="125">
        <f ca="1"/>
        <v>0.17499999999999999</v>
      </c>
      <c r="N890" s="126">
        <f ca="1"/>
        <v>40</v>
      </c>
      <c r="O890" s="128">
        <f ca="1"/>
        <v>45610</v>
      </c>
      <c r="P890" s="128" t="str">
        <f ca="1"/>
        <v>jueves</v>
      </c>
      <c r="Q890" s="129">
        <f ca="1"/>
        <v>45610</v>
      </c>
      <c r="R890" s="129">
        <f ca="1"/>
        <v>45649</v>
      </c>
      <c r="S890" s="89">
        <f ca="1"/>
        <v>25</v>
      </c>
      <c r="T890" s="143">
        <f ca="1"/>
        <v>0.625</v>
      </c>
      <c r="U890" s="281">
        <f ca="1"/>
        <v>37</v>
      </c>
      <c r="V890" s="125">
        <f ca="1"/>
        <v>6.4749999999999996</v>
      </c>
      <c r="W890" s="144">
        <f ca="1"/>
        <v>0</v>
      </c>
      <c r="X890" s="143">
        <f ca="1"/>
        <v>1</v>
      </c>
      <c r="Y890" s="145">
        <f ca="1"/>
        <v>1.2970350000000002</v>
      </c>
      <c r="Z890" s="145">
        <f ca="1"/>
        <v>1.2970350000000002</v>
      </c>
      <c r="AA890" s="125">
        <f ca="1"/>
        <v>47.990295000000003</v>
      </c>
      <c r="AB890" s="125">
        <f ca="1"/>
        <v>14</v>
      </c>
      <c r="AC890" s="98" t="str">
        <f ca="1"/>
        <v>PROXIMOS FECHA CORTA</v>
      </c>
      <c r="AD890" s="147">
        <f ca="1"/>
        <v>6.4749999999999999E-3</v>
      </c>
    </row>
    <row r="891" spans="1:30">
      <c r="A891" t="str">
        <f ca="1"/>
        <v>MULTIEMPAQUE_SG</v>
      </c>
      <c r="B891" t="str">
        <f ca="1"/>
        <v>QUESOS Y GRASAS</v>
      </c>
      <c r="C891" t="str">
        <f ca="1"/>
        <v xml:space="preserve">Esteban Montenegro                      </v>
      </c>
      <c r="D891" t="str">
        <f ca="1"/>
        <v>QUESO MOZARELLA KIOSKO</v>
      </c>
      <c r="E891" t="str">
        <f ca="1"/>
        <v>QUESO MOZARELLA SNACK</v>
      </c>
      <c r="F891" s="125" t="str">
        <f ca="1"/>
        <v>MACHACHI</v>
      </c>
      <c r="G891" s="125">
        <f ca="1"/>
        <v>7701</v>
      </c>
      <c r="H891" s="125">
        <f ca="1"/>
        <v>1080</v>
      </c>
      <c r="I891" s="125" t="str">
        <f ca="1"/>
        <v>13829</v>
      </c>
      <c r="J891" s="125" t="str">
        <f ca="1"/>
        <v>MPLX5 QUESO MOZARELLA LIGHT KIOSKO 35 G</v>
      </c>
      <c r="K891" s="126">
        <f ca="1"/>
        <v>59</v>
      </c>
      <c r="L891" s="127">
        <f ca="1"/>
        <v>1</v>
      </c>
      <c r="M891" s="125">
        <f ca="1"/>
        <v>0.17499999999999999</v>
      </c>
      <c r="N891" s="126">
        <f ca="1"/>
        <v>40</v>
      </c>
      <c r="O891" s="128">
        <f ca="1"/>
        <v>45622</v>
      </c>
      <c r="P891" s="128" t="str">
        <f ca="1"/>
        <v>martes</v>
      </c>
      <c r="Q891" s="129">
        <f ca="1"/>
        <v>45622</v>
      </c>
      <c r="R891" s="129">
        <f ca="1"/>
        <v>45661</v>
      </c>
      <c r="S891" s="89">
        <f ca="1"/>
        <v>37</v>
      </c>
      <c r="T891" s="143">
        <f ca="1"/>
        <v>0.92500000000000004</v>
      </c>
      <c r="U891" s="281">
        <f ca="1"/>
        <v>59</v>
      </c>
      <c r="V891" s="125">
        <f ca="1"/>
        <v>10.324999999999999</v>
      </c>
      <c r="W891" s="144">
        <f ca="1"/>
        <v>0</v>
      </c>
      <c r="X891" s="143">
        <f ca="1"/>
        <v>1</v>
      </c>
      <c r="Y891" s="145">
        <f ca="1"/>
        <v>1.2970350000000002</v>
      </c>
      <c r="Z891" s="145">
        <f ca="1"/>
        <v>1.2970350000000002</v>
      </c>
      <c r="AA891" s="125">
        <f ca="1"/>
        <v>76.525065000000012</v>
      </c>
      <c r="AB891" s="125">
        <f ca="1"/>
        <v>2</v>
      </c>
      <c r="AC891" s="98" t="str">
        <f ca="1"/>
        <v>VIGENTE</v>
      </c>
      <c r="AD891" s="147">
        <f ca="1"/>
        <v>1.0324999999999999E-2</v>
      </c>
    </row>
    <row r="892" spans="1:30">
      <c r="A892" t="str">
        <f ca="1"/>
        <v>COLOMBIA</v>
      </c>
      <c r="B892" t="str">
        <f ca="1"/>
        <v>POSTRES</v>
      </c>
      <c r="C892" t="str">
        <f ca="1"/>
        <v xml:space="preserve">Luis Armendariz                         </v>
      </c>
      <c r="D892" t="str">
        <f ca="1"/>
        <v>ALPINETTE</v>
      </c>
      <c r="E892" t="str">
        <f ca="1"/>
        <v>ALPINETTE</v>
      </c>
      <c r="F892" s="125" t="str">
        <f ca="1"/>
        <v>MACHACHI</v>
      </c>
      <c r="G892" s="125">
        <f ca="1"/>
        <v>7701</v>
      </c>
      <c r="H892" s="125">
        <f ca="1"/>
        <v>1080</v>
      </c>
      <c r="I892" s="125" t="str">
        <f ca="1"/>
        <v>6219239</v>
      </c>
      <c r="J892" s="125" t="str">
        <f ca="1"/>
        <v>ALPINETTE FRESA 140G ECU</v>
      </c>
      <c r="K892" s="126">
        <f ca="1"/>
        <v>2270</v>
      </c>
      <c r="L892" s="127">
        <f ca="1"/>
        <v>1</v>
      </c>
      <c r="M892" s="125">
        <f ca="1"/>
        <v>0.14000000000000001</v>
      </c>
      <c r="N892" s="126">
        <f ca="1"/>
        <v>60</v>
      </c>
      <c r="O892" s="128">
        <f ca="1"/>
        <v>45601</v>
      </c>
      <c r="P892" s="128" t="str">
        <f ca="1"/>
        <v>martes</v>
      </c>
      <c r="Q892" s="129">
        <f ca="1"/>
        <v>45601</v>
      </c>
      <c r="R892" s="129">
        <f ca="1"/>
        <v>45660</v>
      </c>
      <c r="S892" s="89">
        <f ca="1"/>
        <v>36</v>
      </c>
      <c r="T892" s="143">
        <f ca="1"/>
        <v>0.6</v>
      </c>
      <c r="U892" s="281">
        <f ca="1"/>
        <v>2270</v>
      </c>
      <c r="V892" s="125">
        <f ca="1"/>
        <v>317.8</v>
      </c>
      <c r="W892" s="144">
        <f ca="1"/>
        <v>0</v>
      </c>
      <c r="X892" s="143">
        <f ca="1"/>
        <v>1</v>
      </c>
      <c r="Y892" s="145">
        <f ca="1"/>
        <v>0.46937499999999999</v>
      </c>
      <c r="Z892" s="145">
        <f ca="1"/>
        <v>0.46937499999999999</v>
      </c>
      <c r="AA892" s="125">
        <f ca="1"/>
        <v>1065.48125</v>
      </c>
      <c r="AB892" s="125">
        <f ca="1"/>
        <v>23</v>
      </c>
      <c r="AC892" s="98" t="str">
        <f ca="1"/>
        <v>VIGENTE</v>
      </c>
      <c r="AD892" s="147">
        <f ca="1"/>
        <v>0.31780000000000003</v>
      </c>
    </row>
    <row r="893" spans="1:30">
      <c r="A893" t="str">
        <f ca="1"/>
        <v>COLOMBIA</v>
      </c>
      <c r="B893" t="str">
        <f ca="1"/>
        <v>POSTRES</v>
      </c>
      <c r="C893" t="str">
        <f ca="1"/>
        <v xml:space="preserve">Luis Armendariz                         </v>
      </c>
      <c r="D893" t="str">
        <f ca="1"/>
        <v>ALPINETTE</v>
      </c>
      <c r="E893" t="str">
        <f ca="1"/>
        <v>ALPINETTE</v>
      </c>
      <c r="F893" s="125" t="str">
        <f ca="1"/>
        <v>MACHACHI</v>
      </c>
      <c r="G893" s="125">
        <f ca="1"/>
        <v>7701</v>
      </c>
      <c r="H893" s="125">
        <f ca="1"/>
        <v>1080</v>
      </c>
      <c r="I893" s="125" t="str">
        <f ca="1"/>
        <v>6222239</v>
      </c>
      <c r="J893" s="125" t="str">
        <f ca="1"/>
        <v>ALPINETTE MELOCOTON 140G ECU</v>
      </c>
      <c r="K893" s="126">
        <f ca="1"/>
        <v>67</v>
      </c>
      <c r="L893" s="127">
        <f ca="1"/>
        <v>1</v>
      </c>
      <c r="M893" s="125">
        <f ca="1"/>
        <v>0.14000000000000001</v>
      </c>
      <c r="N893" s="126">
        <f ca="1"/>
        <v>60</v>
      </c>
      <c r="O893" s="128">
        <f ca="1"/>
        <v>45605</v>
      </c>
      <c r="P893" s="128" t="str">
        <f ca="1"/>
        <v>sábado</v>
      </c>
      <c r="Q893" s="129">
        <f ca="1"/>
        <v>45605</v>
      </c>
      <c r="R893" s="129">
        <f ca="1"/>
        <v>45664</v>
      </c>
      <c r="S893" s="89">
        <f ca="1"/>
        <v>40</v>
      </c>
      <c r="T893" s="143">
        <f ca="1"/>
        <v>0.66666666666666663</v>
      </c>
      <c r="U893" s="281">
        <f ca="1"/>
        <v>67</v>
      </c>
      <c r="V893" s="125">
        <f ca="1"/>
        <v>9.3800000000000008</v>
      </c>
      <c r="W893" s="144">
        <f ca="1"/>
        <v>0</v>
      </c>
      <c r="X893" s="143">
        <f ca="1"/>
        <v>1</v>
      </c>
      <c r="Y893" s="145">
        <f ca="1"/>
        <v>0.48450000000000004</v>
      </c>
      <c r="Z893" s="145">
        <f ca="1"/>
        <v>0.48450000000000004</v>
      </c>
      <c r="AA893" s="125">
        <f ca="1"/>
        <v>32.461500000000001</v>
      </c>
      <c r="AB893" s="125">
        <f ca="1"/>
        <v>19</v>
      </c>
      <c r="AC893" s="98" t="str">
        <f ca="1"/>
        <v>VIGENTE</v>
      </c>
      <c r="AD893" s="147">
        <f ca="1"/>
        <v>9.3800000000000012E-3</v>
      </c>
    </row>
    <row r="894" spans="1:30">
      <c r="A894" t="str">
        <f ca="1"/>
        <v>SAN GABRIEL</v>
      </c>
      <c r="B894" t="str">
        <f ca="1"/>
        <v>QUESOS Y GRASAS</v>
      </c>
      <c r="C894" t="str">
        <f ca="1"/>
        <v xml:space="preserve">Esteban Montenegro                      </v>
      </c>
      <c r="D894" t="str">
        <f ca="1"/>
        <v>QUESO SEMIMADURO KIOSKO</v>
      </c>
      <c r="E894" t="str">
        <f ca="1"/>
        <v>QUESO AMERICANO KIOSKO TAJADO</v>
      </c>
      <c r="F894" s="125" t="str">
        <f ca="1"/>
        <v>MACHACHI</v>
      </c>
      <c r="G894" s="125">
        <f ca="1"/>
        <v>7701</v>
      </c>
      <c r="H894" s="125">
        <f ca="1"/>
        <v>1080</v>
      </c>
      <c r="I894" s="125" t="str">
        <f ca="1"/>
        <v>14716</v>
      </c>
      <c r="J894" s="125" t="str">
        <f ca="1"/>
        <v>Q AMERIC KIOSKO LONJ AL PESO COR</v>
      </c>
      <c r="K894" s="126">
        <f ca="1"/>
        <v>64.099999999999994</v>
      </c>
      <c r="L894" s="127">
        <f ca="1"/>
        <v>1.7</v>
      </c>
      <c r="M894" s="125">
        <f ca="1"/>
        <v>1</v>
      </c>
      <c r="N894" s="126">
        <f ca="1"/>
        <v>60</v>
      </c>
      <c r="O894" s="128">
        <f ca="1"/>
        <v>45609</v>
      </c>
      <c r="P894" s="128" t="str">
        <f ca="1"/>
        <v>miércoles</v>
      </c>
      <c r="Q894" s="129">
        <f ca="1"/>
        <v>45609</v>
      </c>
      <c r="R894" s="129">
        <f ca="1"/>
        <v>45668</v>
      </c>
      <c r="S894" s="89">
        <f ca="1"/>
        <v>44</v>
      </c>
      <c r="T894" s="143">
        <f ca="1"/>
        <v>0.73333333333333328</v>
      </c>
      <c r="U894" s="281">
        <f ca="1"/>
        <v>64.099999999999994</v>
      </c>
      <c r="V894" s="125">
        <f ca="1"/>
        <v>108.96999999999998</v>
      </c>
      <c r="W894" s="144">
        <f ca="1"/>
        <v>0</v>
      </c>
      <c r="X894" s="143">
        <f ca="1"/>
        <v>1</v>
      </c>
      <c r="Y894" s="145">
        <f ca="1"/>
        <v>7.0906599999999997</v>
      </c>
      <c r="Z894" s="145">
        <f ca="1"/>
        <v>12.054122</v>
      </c>
      <c r="AA894" s="125">
        <f ca="1"/>
        <v>772.66922019999993</v>
      </c>
      <c r="AB894" s="125">
        <f ca="1"/>
        <v>15</v>
      </c>
      <c r="AC894" s="98" t="str">
        <f ca="1"/>
        <v>VIGENTE</v>
      </c>
      <c r="AD894" s="147">
        <f ca="1"/>
        <v>0.10896999999999998</v>
      </c>
    </row>
    <row r="895" spans="1:30">
      <c r="A895" t="str">
        <f ca="1"/>
        <v>SAN GABRIEL</v>
      </c>
      <c r="B895" t="str">
        <f ca="1"/>
        <v>QUESOS Y GRASAS</v>
      </c>
      <c r="C895" t="str">
        <f ca="1"/>
        <v xml:space="preserve">Esteban Montenegro                      </v>
      </c>
      <c r="D895" t="str">
        <f ca="1"/>
        <v>QUESO SEMIMADURO KIOSKO</v>
      </c>
      <c r="E895" t="str">
        <f ca="1"/>
        <v>QUESO AMERICANO KIOSKO TAJADO</v>
      </c>
      <c r="F895" s="125" t="str">
        <f ca="1"/>
        <v>MACHACHI</v>
      </c>
      <c r="G895" s="125">
        <f ca="1"/>
        <v>7701</v>
      </c>
      <c r="H895" s="125">
        <f ca="1"/>
        <v>1080</v>
      </c>
      <c r="I895" s="125" t="str">
        <f ca="1"/>
        <v>14716</v>
      </c>
      <c r="J895" s="125" t="str">
        <f ca="1"/>
        <v>Q AMERIC KIOSKO LONJ AL PESO COR</v>
      </c>
      <c r="K895" s="126">
        <f ca="1"/>
        <v>182.5</v>
      </c>
      <c r="L895" s="127">
        <f ca="1"/>
        <v>1.7</v>
      </c>
      <c r="M895" s="125">
        <f ca="1"/>
        <v>1</v>
      </c>
      <c r="N895" s="126">
        <f ca="1"/>
        <v>60</v>
      </c>
      <c r="O895" s="128">
        <f ca="1"/>
        <v>45619</v>
      </c>
      <c r="P895" s="128" t="str">
        <f ca="1"/>
        <v>sábado</v>
      </c>
      <c r="Q895" s="129">
        <f ca="1"/>
        <v>45619</v>
      </c>
      <c r="R895" s="129">
        <f ca="1"/>
        <v>45678</v>
      </c>
      <c r="S895" s="89">
        <f ca="1"/>
        <v>54</v>
      </c>
      <c r="T895" s="143">
        <f ca="1"/>
        <v>0.9</v>
      </c>
      <c r="U895" s="281">
        <f ca="1"/>
        <v>182.5</v>
      </c>
      <c r="V895" s="125">
        <f ca="1"/>
        <v>310.25</v>
      </c>
      <c r="W895" s="144">
        <f ca="1"/>
        <v>0</v>
      </c>
      <c r="X895" s="143">
        <f ca="1"/>
        <v>1</v>
      </c>
      <c r="Y895" s="145">
        <f ca="1"/>
        <v>7.0906599999999997</v>
      </c>
      <c r="Z895" s="145">
        <f ca="1"/>
        <v>12.054122</v>
      </c>
      <c r="AA895" s="125">
        <f ca="1"/>
        <v>2199.8772650000001</v>
      </c>
      <c r="AB895" s="125">
        <f ca="1"/>
        <v>5</v>
      </c>
      <c r="AC895" s="98" t="str">
        <f ca="1"/>
        <v>VIGENTE</v>
      </c>
      <c r="AD895" s="147">
        <f ca="1"/>
        <v>0.31025000000000003</v>
      </c>
    </row>
    <row r="896" spans="1:30">
      <c r="A896" t="str">
        <f ca="1"/>
        <v>SAN GABRIEL</v>
      </c>
      <c r="B896" t="str">
        <f ca="1"/>
        <v>QUESOS Y GRASAS</v>
      </c>
      <c r="C896" t="str">
        <f ca="1"/>
        <v xml:space="preserve">Esteban Montenegro                      </v>
      </c>
      <c r="D896" t="str">
        <f ca="1"/>
        <v>QUESO SEMIMADURO KIOSKO</v>
      </c>
      <c r="E896" t="str">
        <f ca="1"/>
        <v>QUESO AMERICANO KIOSKO TAJADO</v>
      </c>
      <c r="F896" s="125" t="str">
        <f ca="1"/>
        <v>MACHACHI</v>
      </c>
      <c r="G896" s="125">
        <f ca="1"/>
        <v>7701</v>
      </c>
      <c r="H896" s="125">
        <f ca="1"/>
        <v>1080</v>
      </c>
      <c r="I896" s="125" t="str">
        <f ca="1"/>
        <v>14716</v>
      </c>
      <c r="J896" s="125" t="str">
        <f ca="1"/>
        <v>Q AMERIC KIOSKO LONJ AL PESO COR</v>
      </c>
      <c r="K896" s="126">
        <f ca="1"/>
        <v>57.6</v>
      </c>
      <c r="L896" s="127">
        <f ca="1"/>
        <v>1.7</v>
      </c>
      <c r="M896" s="125">
        <f ca="1"/>
        <v>1</v>
      </c>
      <c r="N896" s="126">
        <f ca="1"/>
        <v>60</v>
      </c>
      <c r="O896" s="128">
        <f ca="1"/>
        <v>45623</v>
      </c>
      <c r="P896" s="128" t="str">
        <f ca="1"/>
        <v>miércoles</v>
      </c>
      <c r="Q896" s="129">
        <f ca="1"/>
        <v>45623</v>
      </c>
      <c r="R896" s="129">
        <f ca="1"/>
        <v>45682</v>
      </c>
      <c r="S896" s="89">
        <f ca="1"/>
        <v>58</v>
      </c>
      <c r="T896" s="143">
        <f ca="1"/>
        <v>0.96666666666666667</v>
      </c>
      <c r="U896" s="281">
        <f ca="1"/>
        <v>57.6</v>
      </c>
      <c r="V896" s="125">
        <f ca="1"/>
        <v>97.92</v>
      </c>
      <c r="W896" s="144">
        <f ca="1"/>
        <v>0</v>
      </c>
      <c r="X896" s="143">
        <f ca="1"/>
        <v>1</v>
      </c>
      <c r="Y896" s="145">
        <f ca="1"/>
        <v>7.0906599999999997</v>
      </c>
      <c r="Z896" s="145">
        <f ca="1"/>
        <v>12.054122</v>
      </c>
      <c r="AA896" s="125">
        <f ca="1"/>
        <v>694.3174272</v>
      </c>
      <c r="AB896" s="125">
        <f ca="1"/>
        <v>1</v>
      </c>
      <c r="AC896" s="98" t="str">
        <f ca="1"/>
        <v>VIGENTE</v>
      </c>
      <c r="AD896" s="147">
        <f ca="1"/>
        <v>9.7920000000000007E-2</v>
      </c>
    </row>
    <row r="897" spans="1:30">
      <c r="A897" t="str">
        <f ca="1"/>
        <v>SAN GABRIEL</v>
      </c>
      <c r="B897" t="str">
        <f ca="1"/>
        <v>QUESOS Y GRASAS</v>
      </c>
      <c r="C897" t="str">
        <f ca="1"/>
        <v xml:space="preserve">Esteban Montenegro                      </v>
      </c>
      <c r="D897" t="str">
        <f ca="1"/>
        <v>QUESO MOZARELLA KIOSKO</v>
      </c>
      <c r="E897" t="str">
        <f ca="1"/>
        <v>QUESO MOZARELLA PIZZA KIOSKO TAJADO</v>
      </c>
      <c r="F897" s="125" t="str">
        <f ca="1"/>
        <v>MACHACHI</v>
      </c>
      <c r="G897" s="125">
        <f ca="1"/>
        <v>7701</v>
      </c>
      <c r="H897" s="125">
        <f ca="1"/>
        <v>1080</v>
      </c>
      <c r="I897" s="125" t="str">
        <f ca="1"/>
        <v>14715</v>
      </c>
      <c r="J897" s="125" t="str">
        <f ca="1"/>
        <v>Q MOZAR PIZZ KIOSKO LONJ AL PESO COR</v>
      </c>
      <c r="K897" s="126">
        <f ca="1"/>
        <v>2.7</v>
      </c>
      <c r="L897" s="127">
        <f ca="1"/>
        <v>2.7</v>
      </c>
      <c r="M897" s="125">
        <f ca="1"/>
        <v>1</v>
      </c>
      <c r="N897" s="126">
        <f ca="1"/>
        <v>30</v>
      </c>
      <c r="O897" s="128">
        <f ca="1"/>
        <v>45609</v>
      </c>
      <c r="P897" s="128" t="str">
        <f ca="1"/>
        <v>miércoles</v>
      </c>
      <c r="Q897" s="129">
        <f ca="1"/>
        <v>45609</v>
      </c>
      <c r="R897" s="129">
        <f ca="1"/>
        <v>45638</v>
      </c>
      <c r="S897" s="89">
        <f ca="1"/>
        <v>14</v>
      </c>
      <c r="T897" s="143">
        <f ca="1"/>
        <v>0.46666666666666667</v>
      </c>
      <c r="U897" s="281">
        <f ca="1"/>
        <v>2.7</v>
      </c>
      <c r="V897" s="125">
        <f ca="1"/>
        <v>7.2900000000000009</v>
      </c>
      <c r="W897" s="144">
        <f ca="1"/>
        <v>0</v>
      </c>
      <c r="X897" s="143">
        <f ca="1"/>
        <v>1</v>
      </c>
      <c r="Y897" s="145">
        <f ca="1"/>
        <v>7.2692399999999999</v>
      </c>
      <c r="Z897" s="145">
        <f ca="1"/>
        <v>19.626948000000002</v>
      </c>
      <c r="AA897" s="125">
        <f ca="1"/>
        <v>52.992759600000007</v>
      </c>
      <c r="AB897" s="125">
        <f ca="1"/>
        <v>15</v>
      </c>
      <c r="AC897" s="98" t="str">
        <f ca="1"/>
        <v>FECHA CORTA</v>
      </c>
      <c r="AD897" s="147">
        <f ca="1"/>
        <v>7.2900000000000013E-3</v>
      </c>
    </row>
    <row r="898" spans="1:30">
      <c r="A898" t="str">
        <f ca="1"/>
        <v>SAN GABRIEL</v>
      </c>
      <c r="B898" t="str">
        <f ca="1"/>
        <v>QUESOS Y GRASAS</v>
      </c>
      <c r="C898" t="str">
        <f ca="1"/>
        <v xml:space="preserve">Esteban Montenegro                      </v>
      </c>
      <c r="D898" t="str">
        <f ca="1"/>
        <v>QUESO MOZARELLA KIOSKO</v>
      </c>
      <c r="E898" t="str">
        <f ca="1"/>
        <v>QUESO MOZARELLA PIZZA KIOSKO TAJADO</v>
      </c>
      <c r="F898" s="125" t="str">
        <f ca="1"/>
        <v>MACHACHI</v>
      </c>
      <c r="G898" s="125">
        <f ca="1"/>
        <v>7701</v>
      </c>
      <c r="H898" s="125">
        <f ca="1"/>
        <v>1080</v>
      </c>
      <c r="I898" s="125" t="str">
        <f ca="1"/>
        <v>14715</v>
      </c>
      <c r="J898" s="125" t="str">
        <f ca="1"/>
        <v>Q MOZAR PIZZ KIOSKO LONJ AL PESO COR</v>
      </c>
      <c r="K898" s="126">
        <f ca="1"/>
        <v>83.7</v>
      </c>
      <c r="L898" s="127">
        <f ca="1"/>
        <v>2.7</v>
      </c>
      <c r="M898" s="125">
        <f ca="1"/>
        <v>1</v>
      </c>
      <c r="N898" s="126">
        <f ca="1"/>
        <v>30</v>
      </c>
      <c r="O898" s="128">
        <f ca="1"/>
        <v>45622</v>
      </c>
      <c r="P898" s="128" t="str">
        <f ca="1"/>
        <v>martes</v>
      </c>
      <c r="Q898" s="129">
        <f ca="1"/>
        <v>45622</v>
      </c>
      <c r="R898" s="129">
        <f ca="1"/>
        <v>45651</v>
      </c>
      <c r="S898" s="89">
        <f ca="1"/>
        <v>27</v>
      </c>
      <c r="T898" s="143">
        <f ca="1"/>
        <v>0.9</v>
      </c>
      <c r="U898" s="281">
        <f ca="1"/>
        <v>83.7</v>
      </c>
      <c r="V898" s="125">
        <f ca="1"/>
        <v>225.99</v>
      </c>
      <c r="W898" s="144">
        <f ca="1"/>
        <v>0</v>
      </c>
      <c r="X898" s="143">
        <f ca="1"/>
        <v>1</v>
      </c>
      <c r="Y898" s="145">
        <f ca="1"/>
        <v>7.2692399999999999</v>
      </c>
      <c r="Z898" s="145">
        <f ca="1"/>
        <v>19.626948000000002</v>
      </c>
      <c r="AA898" s="125">
        <f ca="1"/>
        <v>1642.7755476000002</v>
      </c>
      <c r="AB898" s="125">
        <f ca="1"/>
        <v>2</v>
      </c>
      <c r="AC898" s="98" t="str">
        <f ca="1"/>
        <v>VIGENTE</v>
      </c>
      <c r="AD898" s="147">
        <f ca="1"/>
        <v>0.22599</v>
      </c>
    </row>
    <row r="899" spans="1:30">
      <c r="A899" t="str">
        <f ca="1"/>
        <v>MACHACHI</v>
      </c>
      <c r="B899" t="str">
        <f ca="1"/>
        <v>BEBIDAS LACTEAS</v>
      </c>
      <c r="C899" t="str">
        <f ca="1"/>
        <v xml:space="preserve">Luis Armendariz                         </v>
      </c>
      <c r="D899" t="str">
        <f ca="1"/>
        <v>REGENERIS</v>
      </c>
      <c r="E899" t="str">
        <f ca="1"/>
        <v>REGENERIS BEBIBLE BOTELLA FAMILIAR</v>
      </c>
      <c r="F899" s="125" t="str">
        <f ca="1"/>
        <v>MACHACHI</v>
      </c>
      <c r="G899" s="125">
        <f ca="1"/>
        <v>7701</v>
      </c>
      <c r="H899" s="125">
        <f ca="1"/>
        <v>1080</v>
      </c>
      <c r="I899" s="125" t="str">
        <f ca="1"/>
        <v>16680</v>
      </c>
      <c r="J899" s="125" t="str">
        <f ca="1"/>
        <v>RGN BBLE MORA 1000</v>
      </c>
      <c r="K899" s="126">
        <f ca="1"/>
        <v>62</v>
      </c>
      <c r="L899" s="127">
        <f ca="1"/>
        <v>1</v>
      </c>
      <c r="M899" s="125">
        <f ca="1"/>
        <v>1</v>
      </c>
      <c r="N899" s="126">
        <f ca="1"/>
        <v>45</v>
      </c>
      <c r="O899" s="128">
        <f ca="1"/>
        <v>45596</v>
      </c>
      <c r="P899" s="128" t="str">
        <f ca="1"/>
        <v>jueves</v>
      </c>
      <c r="Q899" s="129">
        <f ca="1"/>
        <v>45596</v>
      </c>
      <c r="R899" s="129">
        <f ca="1"/>
        <v>45640</v>
      </c>
      <c r="S899" s="89">
        <f ca="1"/>
        <v>16</v>
      </c>
      <c r="T899" s="143">
        <f ca="1"/>
        <v>0.35555555555555557</v>
      </c>
      <c r="U899" s="281">
        <f ca="1"/>
        <v>62</v>
      </c>
      <c r="V899" s="125">
        <f ca="1"/>
        <v>62</v>
      </c>
      <c r="W899" s="144">
        <f ca="1"/>
        <v>0</v>
      </c>
      <c r="X899" s="143">
        <f ca="1"/>
        <v>1</v>
      </c>
      <c r="Y899" s="145">
        <f ca="1"/>
        <v>1.3255649999999999</v>
      </c>
      <c r="Z899" s="145">
        <f ca="1"/>
        <v>1.3255649999999999</v>
      </c>
      <c r="AA899" s="125">
        <f ca="1"/>
        <v>82.185029999999998</v>
      </c>
      <c r="AB899" s="125">
        <f ca="1"/>
        <v>28</v>
      </c>
      <c r="AC899" s="98" t="str">
        <f ca="1"/>
        <v>FECHA CORTA</v>
      </c>
      <c r="AD899" s="147">
        <f ca="1"/>
        <v>6.2E-2</v>
      </c>
    </row>
    <row r="900" spans="1:30">
      <c r="A900" t="str">
        <f ca="1"/>
        <v>MACHACHI</v>
      </c>
      <c r="B900" t="str">
        <f ca="1"/>
        <v>BEBIDAS LACTEAS</v>
      </c>
      <c r="C900" t="str">
        <f ca="1"/>
        <v xml:space="preserve">Luis Armendariz                         </v>
      </c>
      <c r="D900" t="str">
        <f ca="1"/>
        <v>YOGURT KIOSKO</v>
      </c>
      <c r="E900" t="str">
        <f ca="1"/>
        <v>BEBIDA DE YOGURT KIOSKO FUNDA PER</v>
      </c>
      <c r="F900" s="125" t="str">
        <f ca="1"/>
        <v>MACHACHI</v>
      </c>
      <c r="G900" s="125">
        <f ca="1"/>
        <v>7701</v>
      </c>
      <c r="H900" s="125">
        <f ca="1"/>
        <v>1080</v>
      </c>
      <c r="I900" s="125" t="str">
        <f ca="1"/>
        <v>17216</v>
      </c>
      <c r="J900" s="125" t="str">
        <f ca="1"/>
        <v>YOG BBLE KIOSKO MORA FUN 150G</v>
      </c>
      <c r="K900" s="126">
        <f ca="1"/>
        <v>416</v>
      </c>
      <c r="L900" s="127">
        <f ca="1"/>
        <v>1</v>
      </c>
      <c r="M900" s="125">
        <f ca="1"/>
        <v>0.15</v>
      </c>
      <c r="N900" s="126">
        <f ca="1"/>
        <v>45</v>
      </c>
      <c r="O900" s="128">
        <f ca="1"/>
        <v>45596</v>
      </c>
      <c r="P900" s="128" t="str">
        <f ca="1"/>
        <v>jueves</v>
      </c>
      <c r="Q900" s="129">
        <f ca="1"/>
        <v>45596</v>
      </c>
      <c r="R900" s="129">
        <f ca="1"/>
        <v>45640</v>
      </c>
      <c r="S900" s="89">
        <f ca="1"/>
        <v>16</v>
      </c>
      <c r="T900" s="143">
        <f ca="1"/>
        <v>0.35555555555555557</v>
      </c>
      <c r="U900" s="281">
        <f ca="1"/>
        <v>416</v>
      </c>
      <c r="V900" s="125">
        <f ca="1"/>
        <v>62.4</v>
      </c>
      <c r="W900" s="144">
        <f ca="1"/>
        <v>0</v>
      </c>
      <c r="X900" s="143">
        <f ca="1"/>
        <v>1</v>
      </c>
      <c r="Y900" s="145">
        <f ca="1"/>
        <v>0.11866</v>
      </c>
      <c r="Z900" s="145">
        <f ca="1"/>
        <v>0.11866</v>
      </c>
      <c r="AA900" s="125">
        <f ca="1"/>
        <v>49.362560000000002</v>
      </c>
      <c r="AB900" s="125">
        <f ca="1"/>
        <v>28</v>
      </c>
      <c r="AC900" s="98" t="str">
        <f ca="1"/>
        <v>FECHA CORTA</v>
      </c>
      <c r="AD900" s="147">
        <f ca="1"/>
        <v>6.2399999999999997E-2</v>
      </c>
    </row>
    <row r="901" spans="1:30">
      <c r="A901" t="str">
        <f ca="1"/>
        <v>SAN GABRIEL</v>
      </c>
      <c r="B901" t="str">
        <f ca="1"/>
        <v>QUESOS Y GRASAS</v>
      </c>
      <c r="C901" t="str">
        <f ca="1"/>
        <v xml:space="preserve">Esteban Montenegro                      </v>
      </c>
      <c r="D901" t="str">
        <f ca="1"/>
        <v>QUESO FRESCO KIOSKO</v>
      </c>
      <c r="E901" t="str">
        <f ca="1"/>
        <v>QUESO AMASADO KIOSKO BLOQUE</v>
      </c>
      <c r="F901" s="125" t="str">
        <f ca="1"/>
        <v>MACHACHI</v>
      </c>
      <c r="G901" s="125">
        <f ca="1"/>
        <v>7701</v>
      </c>
      <c r="H901" s="125">
        <f ca="1"/>
        <v>1080</v>
      </c>
      <c r="I901" s="125" t="str">
        <f ca="1"/>
        <v>12416</v>
      </c>
      <c r="J901" s="125" t="str">
        <f ca="1"/>
        <v>Q AMASADO KIOSKO BLOQ 450G</v>
      </c>
      <c r="K901" s="126">
        <f ca="1"/>
        <v>39</v>
      </c>
      <c r="L901" s="127">
        <f ca="1"/>
        <v>1</v>
      </c>
      <c r="M901" s="125">
        <f ca="1"/>
        <v>0.45</v>
      </c>
      <c r="N901" s="126">
        <f ca="1"/>
        <v>35</v>
      </c>
      <c r="O901" s="128">
        <f ca="1"/>
        <v>45608</v>
      </c>
      <c r="P901" s="128" t="str">
        <f ca="1"/>
        <v>martes</v>
      </c>
      <c r="Q901" s="129">
        <f ca="1"/>
        <v>45608</v>
      </c>
      <c r="R901" s="129">
        <f ca="1"/>
        <v>45642</v>
      </c>
      <c r="S901" s="89">
        <f ca="1"/>
        <v>18</v>
      </c>
      <c r="T901" s="143">
        <f ca="1"/>
        <v>0.51428571428571423</v>
      </c>
      <c r="U901" s="281">
        <f ca="1"/>
        <v>39</v>
      </c>
      <c r="V901" s="125">
        <f ca="1"/>
        <v>17.55</v>
      </c>
      <c r="W901" s="144">
        <f ca="1"/>
        <v>0</v>
      </c>
      <c r="X901" s="143">
        <f ca="1"/>
        <v>1</v>
      </c>
      <c r="Y901" s="145">
        <f ca="1"/>
        <v>1.2293700000000001</v>
      </c>
      <c r="Z901" s="145">
        <f ca="1"/>
        <v>1.2293700000000001</v>
      </c>
      <c r="AA901" s="125">
        <f ca="1"/>
        <v>47.945430000000002</v>
      </c>
      <c r="AB901" s="125">
        <f ca="1"/>
        <v>16</v>
      </c>
      <c r="AC901" s="98" t="str">
        <f ca="1"/>
        <v>FECHA CORTA</v>
      </c>
      <c r="AD901" s="147">
        <f ca="1"/>
        <v>1.755E-2</v>
      </c>
    </row>
    <row r="902" spans="1:30">
      <c r="A902" t="str">
        <f ca="1"/>
        <v>SAN GABRIEL</v>
      </c>
      <c r="B902" t="str">
        <f ca="1"/>
        <v>QUESOS Y GRASAS</v>
      </c>
      <c r="C902" t="str">
        <f ca="1"/>
        <v xml:space="preserve">Esteban Montenegro                      </v>
      </c>
      <c r="D902" t="str">
        <f ca="1"/>
        <v>QUESO MOZARELLA KIOSKO</v>
      </c>
      <c r="E902" t="str">
        <f ca="1"/>
        <v>QUESO MOZARELLA PIZZA KIOSKO TAJADO</v>
      </c>
      <c r="F902" s="125" t="str">
        <f ca="1"/>
        <v>MACHACHI</v>
      </c>
      <c r="G902" s="125">
        <f ca="1"/>
        <v>7701</v>
      </c>
      <c r="H902" s="125">
        <f ca="1"/>
        <v>1080</v>
      </c>
      <c r="I902" s="125" t="str">
        <f ca="1"/>
        <v>5746</v>
      </c>
      <c r="J902" s="125" t="str">
        <f ca="1"/>
        <v>Q MOZAR PIZZ KIOSKO 20 LONJ 300G</v>
      </c>
      <c r="K902" s="126">
        <f ca="1"/>
        <v>23</v>
      </c>
      <c r="L902" s="127">
        <f ca="1"/>
        <v>1</v>
      </c>
      <c r="M902" s="125">
        <f ca="1"/>
        <v>0.3</v>
      </c>
      <c r="N902" s="126">
        <f ca="1"/>
        <v>30</v>
      </c>
      <c r="O902" s="128">
        <f ca="1"/>
        <v>45610</v>
      </c>
      <c r="P902" s="128" t="str">
        <f ca="1"/>
        <v>jueves</v>
      </c>
      <c r="Q902" s="129">
        <f ca="1"/>
        <v>45610</v>
      </c>
      <c r="R902" s="129">
        <f ca="1"/>
        <v>45639</v>
      </c>
      <c r="S902" s="89">
        <f ca="1"/>
        <v>15</v>
      </c>
      <c r="T902" s="143">
        <f ca="1"/>
        <v>0.5</v>
      </c>
      <c r="U902" s="281">
        <f ca="1"/>
        <v>23</v>
      </c>
      <c r="V902" s="125">
        <f ca="1"/>
        <v>6.8999999999999995</v>
      </c>
      <c r="W902" s="144">
        <f ca="1"/>
        <v>0</v>
      </c>
      <c r="X902" s="143">
        <f ca="1"/>
        <v>1</v>
      </c>
      <c r="Y902" s="145">
        <f ca="1"/>
        <v>2.2262750000000002</v>
      </c>
      <c r="Z902" s="145">
        <f ca="1"/>
        <v>2.2262750000000002</v>
      </c>
      <c r="AA902" s="125">
        <f ca="1"/>
        <v>51.204325000000004</v>
      </c>
      <c r="AB902" s="125">
        <f ca="1"/>
        <v>14</v>
      </c>
      <c r="AC902" s="98" t="str">
        <f ca="1"/>
        <v>FECHA CORTA</v>
      </c>
      <c r="AD902" s="147">
        <f ca="1"/>
        <v>6.8999999999999999E-3</v>
      </c>
    </row>
    <row r="903" spans="1:30">
      <c r="A903" t="str">
        <f ca="1"/>
        <v>SAN GABRIEL</v>
      </c>
      <c r="B903" t="str">
        <f ca="1"/>
        <v>QUESOS Y GRASAS</v>
      </c>
      <c r="C903" t="str">
        <f ca="1"/>
        <v xml:space="preserve">Esteban Montenegro                      </v>
      </c>
      <c r="D903" t="str">
        <f ca="1"/>
        <v>QUESO MOZARELLA KIOSKO</v>
      </c>
      <c r="E903" t="str">
        <f ca="1"/>
        <v>QUESO MOZARELLA PIZZA KIOSKO TAJADO</v>
      </c>
      <c r="F903" s="125" t="str">
        <f ca="1"/>
        <v>MACHACHI</v>
      </c>
      <c r="G903" s="125">
        <f ca="1"/>
        <v>7701</v>
      </c>
      <c r="H903" s="125">
        <f ca="1"/>
        <v>1080</v>
      </c>
      <c r="I903" s="125" t="str">
        <f ca="1"/>
        <v>16529</v>
      </c>
      <c r="J903" s="125" t="str">
        <f ca="1"/>
        <v>Q MOZZARELLA HIERBAS LONJAS 150G</v>
      </c>
      <c r="K903" s="126">
        <f ca="1"/>
        <v>11</v>
      </c>
      <c r="L903" s="127">
        <f ca="1"/>
        <v>1</v>
      </c>
      <c r="M903" s="125">
        <f ca="1"/>
        <v>0.15</v>
      </c>
      <c r="N903" s="126">
        <f ca="1"/>
        <v>40</v>
      </c>
      <c r="O903" s="128">
        <f ca="1"/>
        <v>45602</v>
      </c>
      <c r="P903" s="128" t="str">
        <f ca="1"/>
        <v>miércoles</v>
      </c>
      <c r="Q903" s="129">
        <f ca="1"/>
        <v>45602</v>
      </c>
      <c r="R903" s="129">
        <f ca="1"/>
        <v>45641</v>
      </c>
      <c r="S903" s="89">
        <f ca="1"/>
        <v>17</v>
      </c>
      <c r="T903" s="143">
        <f ca="1"/>
        <v>0.42499999999999999</v>
      </c>
      <c r="U903" s="281">
        <f ca="1"/>
        <v>11</v>
      </c>
      <c r="V903" s="125">
        <f ca="1"/>
        <v>1.65</v>
      </c>
      <c r="W903" s="144">
        <f ca="1"/>
        <v>0</v>
      </c>
      <c r="X903" s="143">
        <f ca="1"/>
        <v>1</v>
      </c>
      <c r="Y903" s="145">
        <f ca="1"/>
        <v>1.279185</v>
      </c>
      <c r="Z903" s="145">
        <f ca="1"/>
        <v>1.279185</v>
      </c>
      <c r="AA903" s="125">
        <f ca="1"/>
        <v>14.071035</v>
      </c>
      <c r="AB903" s="125">
        <f ca="1"/>
        <v>22</v>
      </c>
      <c r="AC903" s="98" t="str">
        <f ca="1"/>
        <v>FECHA CORTA</v>
      </c>
      <c r="AD903" s="147">
        <f ca="1"/>
        <v>1.65E-3</v>
      </c>
    </row>
    <row r="904" spans="1:30">
      <c r="A904" t="str">
        <f ca="1"/>
        <v>SAN GABRIEL</v>
      </c>
      <c r="B904" t="str">
        <f ca="1"/>
        <v>QUESOS Y GRASAS</v>
      </c>
      <c r="C904" t="str">
        <f ca="1"/>
        <v xml:space="preserve">Esteban Montenegro                      </v>
      </c>
      <c r="D904" t="str">
        <f ca="1"/>
        <v>QUESO FRESCO KIOSKO</v>
      </c>
      <c r="E904" t="str">
        <f ca="1"/>
        <v>QUESO RICOTTA KIOSKO BLOQUE</v>
      </c>
      <c r="F904" s="125" t="str">
        <f ca="1"/>
        <v>MACHACHI</v>
      </c>
      <c r="G904" s="125">
        <f ca="1"/>
        <v>7701</v>
      </c>
      <c r="H904" s="125">
        <f ca="1"/>
        <v>1080</v>
      </c>
      <c r="I904" s="125" t="str">
        <f ca="1"/>
        <v>5750</v>
      </c>
      <c r="J904" s="125" t="str">
        <f ca="1"/>
        <v>Q RICOTTA KIOSKO BLOQ 250G</v>
      </c>
      <c r="K904" s="126">
        <f ca="1"/>
        <v>155</v>
      </c>
      <c r="L904" s="127">
        <f ca="1"/>
        <v>1</v>
      </c>
      <c r="M904" s="125">
        <f ca="1"/>
        <v>0.25</v>
      </c>
      <c r="N904" s="126">
        <f ca="1"/>
        <v>35</v>
      </c>
      <c r="O904" s="128">
        <f ca="1"/>
        <v>45611</v>
      </c>
      <c r="P904" s="128" t="str">
        <f ca="1"/>
        <v>viernes</v>
      </c>
      <c r="Q904" s="129">
        <f ca="1"/>
        <v>45611</v>
      </c>
      <c r="R904" s="129">
        <f ca="1"/>
        <v>45645</v>
      </c>
      <c r="S904" s="89">
        <f ca="1"/>
        <v>21</v>
      </c>
      <c r="T904" s="143">
        <f ca="1"/>
        <v>0.6</v>
      </c>
      <c r="U904" s="281">
        <f ca="1"/>
        <v>155</v>
      </c>
      <c r="V904" s="125">
        <f ca="1"/>
        <v>38.75</v>
      </c>
      <c r="W904" s="144">
        <f ca="1"/>
        <v>0</v>
      </c>
      <c r="X904" s="143">
        <f ca="1"/>
        <v>1</v>
      </c>
      <c r="Y904" s="145">
        <f ca="1"/>
        <v>0.69428000000000001</v>
      </c>
      <c r="Z904" s="145">
        <f ca="1"/>
        <v>0.69428000000000001</v>
      </c>
      <c r="AA904" s="125">
        <f ca="1"/>
        <v>107.6134</v>
      </c>
      <c r="AB904" s="125">
        <f ca="1"/>
        <v>13</v>
      </c>
      <c r="AC904" s="98" t="str">
        <f ca="1"/>
        <v>FECHA CORTA</v>
      </c>
      <c r="AD904" s="147">
        <f ca="1"/>
        <v>3.875E-2</v>
      </c>
    </row>
    <row r="905" spans="1:30">
      <c r="A905" t="str">
        <f ca="1"/>
        <v>MACHACHI</v>
      </c>
      <c r="B905" t="str">
        <f ca="1"/>
        <v>BEBIDAS LACTEAS</v>
      </c>
      <c r="C905" t="str">
        <f ca="1"/>
        <v xml:space="preserve">Luis Armendariz                         </v>
      </c>
      <c r="D905" t="str">
        <f ca="1"/>
        <v>YOGURT FINESSE</v>
      </c>
      <c r="E905" t="str">
        <f ca="1"/>
        <v>YOGURT FINESSE DESLACT BOTELLA FAMILIAR</v>
      </c>
      <c r="F905" s="125" t="str">
        <f ca="1"/>
        <v>MACHACHI</v>
      </c>
      <c r="G905" s="125">
        <f ca="1"/>
        <v>7701</v>
      </c>
      <c r="H905" s="125">
        <f ca="1"/>
        <v>1080</v>
      </c>
      <c r="I905" s="125" t="str">
        <f ca="1"/>
        <v>16017</v>
      </c>
      <c r="J905" s="125" t="str">
        <f ca="1"/>
        <v>YOG FNSSE DURAZNO BOT 1670G</v>
      </c>
      <c r="K905" s="126">
        <f ca="1"/>
        <v>13</v>
      </c>
      <c r="L905" s="127">
        <f ca="1"/>
        <v>1</v>
      </c>
      <c r="M905" s="125">
        <f ca="1"/>
        <v>1.67</v>
      </c>
      <c r="N905" s="126">
        <f ca="1"/>
        <v>45</v>
      </c>
      <c r="O905" s="128">
        <f ca="1"/>
        <v>45590</v>
      </c>
      <c r="P905" s="128" t="str">
        <f ca="1"/>
        <v>viernes</v>
      </c>
      <c r="Q905" s="129">
        <f ca="1"/>
        <v>45590</v>
      </c>
      <c r="R905" s="129">
        <f ca="1"/>
        <v>45634</v>
      </c>
      <c r="S905" s="89">
        <f ca="1"/>
        <v>10</v>
      </c>
      <c r="T905" s="143">
        <f ca="1"/>
        <v>0.22222222222222221</v>
      </c>
      <c r="U905" s="281">
        <f ca="1"/>
        <v>13</v>
      </c>
      <c r="V905" s="125">
        <f ca="1"/>
        <v>21.71</v>
      </c>
      <c r="W905" s="144">
        <f ca="1"/>
        <v>0</v>
      </c>
      <c r="X905" s="143">
        <f ca="1"/>
        <v>1</v>
      </c>
      <c r="Y905" s="145">
        <f ca="1"/>
        <v>2.4125399999999999</v>
      </c>
      <c r="Z905" s="145">
        <f ca="1"/>
        <v>2.4125399999999999</v>
      </c>
      <c r="AA905" s="125">
        <f ca="1"/>
        <v>31.363019999999999</v>
      </c>
      <c r="AB905" s="125">
        <f ca="1"/>
        <v>34</v>
      </c>
      <c r="AC905" s="98" t="str">
        <f ca="1"/>
        <v>FECHA CORTA</v>
      </c>
      <c r="AD905" s="147">
        <f ca="1"/>
        <v>2.171E-2</v>
      </c>
    </row>
    <row r="906" spans="1:30">
      <c r="A906" t="str">
        <f ca="1"/>
        <v>SAN GABRIEL</v>
      </c>
      <c r="B906" t="str">
        <f ca="1"/>
        <v>QUESOS Y GRASAS</v>
      </c>
      <c r="C906" t="str">
        <f ca="1"/>
        <v xml:space="preserve">Esteban Montenegro                      </v>
      </c>
      <c r="D906" t="str">
        <f ca="1"/>
        <v>QUESO MOZARELLA KIOSKO</v>
      </c>
      <c r="E906" t="str">
        <f ca="1"/>
        <v>QUESO MOZARELLA PIZZA KIOSKO TAJADO</v>
      </c>
      <c r="F906" s="125" t="str">
        <f ca="1"/>
        <v>MACHACHI</v>
      </c>
      <c r="G906" s="125">
        <f ca="1"/>
        <v>7701</v>
      </c>
      <c r="H906" s="125">
        <f ca="1"/>
        <v>1080</v>
      </c>
      <c r="I906" s="125" t="str">
        <f ca="1"/>
        <v>17052</v>
      </c>
      <c r="J906" s="125" t="str">
        <f ca="1"/>
        <v>KIOSKO MOZZARELL LONJAS LINEA DIARIA 75G</v>
      </c>
      <c r="K906" s="126">
        <f ca="1"/>
        <v>22</v>
      </c>
      <c r="L906" s="127">
        <f ca="1"/>
        <v>1</v>
      </c>
      <c r="M906" s="125">
        <f ca="1"/>
        <v>7.4999999999999997E-2</v>
      </c>
      <c r="N906" s="126">
        <f ca="1"/>
        <v>30</v>
      </c>
      <c r="O906" s="128">
        <f ca="1"/>
        <v>45608</v>
      </c>
      <c r="P906" s="128" t="str">
        <f ca="1"/>
        <v>martes</v>
      </c>
      <c r="Q906" s="129">
        <f ca="1"/>
        <v>45608</v>
      </c>
      <c r="R906" s="129">
        <f ca="1"/>
        <v>45637</v>
      </c>
      <c r="S906" s="89">
        <f ca="1"/>
        <v>13</v>
      </c>
      <c r="T906" s="143">
        <f ca="1"/>
        <v>0.43333333333333335</v>
      </c>
      <c r="U906" s="281">
        <f ca="1"/>
        <v>22</v>
      </c>
      <c r="V906" s="125">
        <f ca="1"/>
        <v>1.65</v>
      </c>
      <c r="W906" s="144">
        <f ca="1"/>
        <v>0</v>
      </c>
      <c r="X906" s="143">
        <f ca="1"/>
        <v>1</v>
      </c>
      <c r="Y906" s="145">
        <f ca="1"/>
        <v>0.62214499999999995</v>
      </c>
      <c r="Z906" s="145">
        <f ca="1"/>
        <v>0.62214499999999995</v>
      </c>
      <c r="AA906" s="125">
        <f ca="1"/>
        <v>13.687189999999999</v>
      </c>
      <c r="AB906" s="125">
        <f ca="1"/>
        <v>16</v>
      </c>
      <c r="AC906" s="98" t="str">
        <f ca="1"/>
        <v>FECHA CORTA</v>
      </c>
      <c r="AD906" s="147">
        <f ca="1"/>
        <v>1.65E-3</v>
      </c>
    </row>
    <row r="907" spans="1:30">
      <c r="A907" t="str">
        <f ca="1"/>
        <v>SAN GABRIEL</v>
      </c>
      <c r="B907" t="str">
        <f ca="1"/>
        <v>QUESOS Y GRASAS</v>
      </c>
      <c r="C907" t="str">
        <f ca="1"/>
        <v xml:space="preserve">Esteban Montenegro                      </v>
      </c>
      <c r="D907" t="str">
        <f ca="1"/>
        <v>QUESO SEMIMADURO KIOSKO</v>
      </c>
      <c r="E907" t="str">
        <f ca="1"/>
        <v>QUESO PROVOLONE KIOSKO BLOQUE</v>
      </c>
      <c r="F907" s="125" t="str">
        <f ca="1"/>
        <v>MACHACHI</v>
      </c>
      <c r="G907" s="125">
        <f ca="1"/>
        <v>7701</v>
      </c>
      <c r="H907" s="125">
        <f ca="1"/>
        <v>1080</v>
      </c>
      <c r="I907" s="125" t="str">
        <f ca="1"/>
        <v>5771</v>
      </c>
      <c r="J907" s="125" t="str">
        <f ca="1"/>
        <v>Q PROVO AHUM KIOSKO BLOQ 260G</v>
      </c>
      <c r="K907" s="126">
        <f ca="1"/>
        <v>1</v>
      </c>
      <c r="L907" s="127">
        <f ca="1"/>
        <v>1</v>
      </c>
      <c r="M907" s="125">
        <f ca="1"/>
        <v>0.26</v>
      </c>
      <c r="N907" s="126">
        <f ca="1"/>
        <v>60</v>
      </c>
      <c r="O907" s="128">
        <f ca="1"/>
        <v>45576</v>
      </c>
      <c r="P907" s="128" t="str">
        <f ca="1"/>
        <v>viernes</v>
      </c>
      <c r="Q907" s="129">
        <f ca="1"/>
        <v>45576</v>
      </c>
      <c r="R907" s="129">
        <f ca="1"/>
        <v>45635</v>
      </c>
      <c r="S907" s="89">
        <f ca="1"/>
        <v>11</v>
      </c>
      <c r="T907" s="143">
        <f ca="1"/>
        <v>0.18333333333333332</v>
      </c>
      <c r="U907" s="281">
        <f ca="1"/>
        <v>1</v>
      </c>
      <c r="V907" s="125">
        <f ca="1"/>
        <v>0.26</v>
      </c>
      <c r="W907" s="144">
        <f ca="1"/>
        <v>0</v>
      </c>
      <c r="X907" s="143">
        <f ca="1"/>
        <v>1</v>
      </c>
      <c r="Y907" s="145">
        <f ca="1"/>
        <v>2.0346349999999997</v>
      </c>
      <c r="Z907" s="145">
        <f ca="1"/>
        <v>2.0346349999999997</v>
      </c>
      <c r="AA907" s="125">
        <f ca="1"/>
        <v>2.0346349999999997</v>
      </c>
      <c r="AB907" s="125">
        <f ca="1"/>
        <v>48</v>
      </c>
      <c r="AC907" s="98" t="str">
        <f ca="1"/>
        <v>FECHA CORTA</v>
      </c>
      <c r="AD907" s="147">
        <f ca="1"/>
        <v>2.6000000000000003E-4</v>
      </c>
    </row>
    <row r="908" spans="1:30">
      <c r="A908">
        <f ca="1"/>
        <v>0</v>
      </c>
      <c r="B908">
        <f ca="1"/>
        <v>0</v>
      </c>
      <c r="C908">
        <f ca="1"/>
        <v>0</v>
      </c>
      <c r="D908">
        <f ca="1"/>
        <v>0</v>
      </c>
      <c r="E908">
        <f ca="1"/>
        <v>0</v>
      </c>
      <c r="F908" s="125" t="str">
        <f ca="1"/>
        <v>SAN GABRIEL</v>
      </c>
      <c r="G908" s="125">
        <f ca="1"/>
        <v>7702</v>
      </c>
      <c r="H908" s="125">
        <f ca="1"/>
        <v>1001</v>
      </c>
      <c r="I908" s="125" t="str">
        <f ca="1"/>
        <v>11107</v>
      </c>
      <c r="J908" s="125" t="str">
        <f ca="1"/>
        <v>YOG BBLE KIOSKO DZNO BOT 950G</v>
      </c>
      <c r="K908" s="126">
        <f ca="1"/>
        <v>0</v>
      </c>
      <c r="L908" s="127">
        <f ca="1"/>
        <v>1</v>
      </c>
      <c r="M908" s="125">
        <f ca="1"/>
        <v>0.95</v>
      </c>
      <c r="N908" s="126">
        <f ca="1"/>
        <v>45</v>
      </c>
      <c r="O908" s="128">
        <f ca="1"/>
        <v>45583</v>
      </c>
      <c r="P908" s="128" t="str">
        <f ca="1"/>
        <v>viernes</v>
      </c>
      <c r="Q908" s="129">
        <f ca="1"/>
        <v>45583</v>
      </c>
      <c r="R908" s="129">
        <f ca="1"/>
        <v>45627</v>
      </c>
      <c r="S908" s="89">
        <f ca="1"/>
        <v>3</v>
      </c>
      <c r="T908" s="143">
        <f ca="1"/>
        <v>6.6666666666666666E-2</v>
      </c>
      <c r="U908" s="281">
        <f ca="1"/>
        <v>4</v>
      </c>
      <c r="V908" s="125">
        <f ca="1"/>
        <v>3.8</v>
      </c>
      <c r="W908" s="144">
        <f ca="1"/>
        <v>0</v>
      </c>
      <c r="X908" s="143">
        <f ca="1"/>
        <v>1</v>
      </c>
      <c r="Y908" s="145">
        <f ca="1"/>
        <v>1.055175</v>
      </c>
      <c r="Z908" s="145">
        <f ca="1"/>
        <v>1.055175</v>
      </c>
      <c r="AA908" s="125">
        <f ca="1"/>
        <v>4.009665</v>
      </c>
      <c r="AB908" s="125">
        <f ca="1"/>
        <v>41</v>
      </c>
      <c r="AC908" s="98" t="str">
        <f ca="1"/>
        <v>FECHA CORTA</v>
      </c>
      <c r="AD908" s="147">
        <f ca="1"/>
        <v>3.8E-3</v>
      </c>
    </row>
    <row r="909" spans="1:30">
      <c r="A909">
        <f ca="1"/>
        <v>0</v>
      </c>
      <c r="B909">
        <f ca="1"/>
        <v>0</v>
      </c>
      <c r="C909">
        <f ca="1"/>
        <v>0</v>
      </c>
      <c r="D909">
        <f ca="1"/>
        <v>0</v>
      </c>
      <c r="E909">
        <f ca="1"/>
        <v>0</v>
      </c>
      <c r="F909" s="125" t="str">
        <f ca="1"/>
        <v>SAN GABRIEL</v>
      </c>
      <c r="G909" s="125">
        <f ca="1"/>
        <v>7702</v>
      </c>
      <c r="H909" s="125">
        <f ca="1"/>
        <v>1001</v>
      </c>
      <c r="I909" s="125" t="str">
        <f ca="1"/>
        <v>5244</v>
      </c>
      <c r="J909" s="125" t="str">
        <f ca="1"/>
        <v>RGN BBLE FTLLA BOT 1750G</v>
      </c>
      <c r="K909" s="126">
        <f ca="1"/>
        <v>0</v>
      </c>
      <c r="L909" s="127">
        <f ca="1"/>
        <v>1</v>
      </c>
      <c r="M909" s="125">
        <f ca="1"/>
        <v>1.75</v>
      </c>
      <c r="N909" s="126">
        <f ca="1"/>
        <v>45</v>
      </c>
      <c r="O909" s="128">
        <f ca="1"/>
        <v>45583</v>
      </c>
      <c r="P909" s="128" t="str">
        <f ca="1"/>
        <v>viernes</v>
      </c>
      <c r="Q909" s="129">
        <f ca="1"/>
        <v>45583</v>
      </c>
      <c r="R909" s="129">
        <f ca="1"/>
        <v>45627</v>
      </c>
      <c r="S909" s="89">
        <f ca="1"/>
        <v>3</v>
      </c>
      <c r="T909" s="143">
        <f ca="1"/>
        <v>6.6666666666666666E-2</v>
      </c>
      <c r="U909" s="281">
        <f ca="1"/>
        <v>8</v>
      </c>
      <c r="V909" s="125">
        <f ca="1"/>
        <v>14</v>
      </c>
      <c r="W909" s="144">
        <f ca="1"/>
        <v>0</v>
      </c>
      <c r="X909" s="143">
        <f ca="1"/>
        <v>1</v>
      </c>
      <c r="Y909" s="145">
        <f ca="1"/>
        <v>2.2867100000000002</v>
      </c>
      <c r="Z909" s="145">
        <f ca="1"/>
        <v>2.2867100000000002</v>
      </c>
      <c r="AA909" s="125">
        <f ca="1"/>
        <v>32.013940000000005</v>
      </c>
      <c r="AB909" s="125">
        <f ca="1"/>
        <v>41</v>
      </c>
      <c r="AC909" s="98" t="str">
        <f ca="1"/>
        <v>FECHA CORTA</v>
      </c>
      <c r="AD909" s="147">
        <f ca="1"/>
        <v>1.4E-2</v>
      </c>
    </row>
    <row r="910" spans="1:30">
      <c r="A910">
        <f ca="1"/>
        <v>0</v>
      </c>
      <c r="B910">
        <f ca="1"/>
        <v>0</v>
      </c>
      <c r="C910">
        <f ca="1"/>
        <v>0</v>
      </c>
      <c r="D910">
        <f ca="1"/>
        <v>0</v>
      </c>
      <c r="E910">
        <f ca="1"/>
        <v>0</v>
      </c>
      <c r="F910" s="125" t="str">
        <f ca="1"/>
        <v>SAN GABRIEL</v>
      </c>
      <c r="G910" s="125">
        <f ca="1"/>
        <v>7702</v>
      </c>
      <c r="H910" s="125">
        <f ca="1"/>
        <v>1001</v>
      </c>
      <c r="I910" s="125" t="str">
        <f ca="1"/>
        <v>16018</v>
      </c>
      <c r="J910" s="125" t="str">
        <f ca="1"/>
        <v>YOG FNSSE DURAZNO BOT 950G</v>
      </c>
      <c r="K910" s="126">
        <f ca="1"/>
        <v>0</v>
      </c>
      <c r="L910" s="127">
        <f ca="1"/>
        <v>1</v>
      </c>
      <c r="M910" s="125">
        <f ca="1"/>
        <v>0.95</v>
      </c>
      <c r="N910" s="126">
        <f ca="1"/>
        <v>45</v>
      </c>
      <c r="O910" s="128">
        <f ca="1"/>
        <v>45583</v>
      </c>
      <c r="P910" s="128" t="str">
        <f ca="1"/>
        <v>viernes</v>
      </c>
      <c r="Q910" s="129">
        <f ca="1"/>
        <v>45583</v>
      </c>
      <c r="R910" s="129">
        <f ca="1"/>
        <v>45627</v>
      </c>
      <c r="S910" s="89">
        <f ca="1"/>
        <v>3</v>
      </c>
      <c r="T910" s="143">
        <f ca="1"/>
        <v>6.6666666666666666E-2</v>
      </c>
      <c r="U910" s="281">
        <f ca="1"/>
        <v>12</v>
      </c>
      <c r="V910" s="125">
        <f ca="1"/>
        <v>11.399999999999999</v>
      </c>
      <c r="W910" s="144">
        <f ca="1"/>
        <v>0</v>
      </c>
      <c r="X910" s="143">
        <f ca="1"/>
        <v>1</v>
      </c>
      <c r="Y910" s="145">
        <f ca="1"/>
        <v>1.4163950000000001</v>
      </c>
      <c r="Z910" s="145">
        <f ca="1"/>
        <v>1.4163950000000001</v>
      </c>
      <c r="AA910" s="125">
        <f ca="1"/>
        <v>16.146902999999998</v>
      </c>
      <c r="AB910" s="125">
        <f ca="1"/>
        <v>41</v>
      </c>
      <c r="AC910" s="98" t="str">
        <f ca="1"/>
        <v>FECHA CORTA</v>
      </c>
      <c r="AD910" s="147">
        <f ca="1"/>
        <v>1.1399999999999999E-2</v>
      </c>
    </row>
    <row r="911" spans="1:30">
      <c r="A911">
        <f ca="1"/>
        <v>0</v>
      </c>
      <c r="B911">
        <f ca="1"/>
        <v>0</v>
      </c>
      <c r="C911">
        <f ca="1"/>
        <v>0</v>
      </c>
      <c r="D911">
        <f ca="1"/>
        <v>0</v>
      </c>
      <c r="E911">
        <f ca="1"/>
        <v>0</v>
      </c>
      <c r="F911" s="125" t="str">
        <f ca="1"/>
        <v>SAN GABRIEL</v>
      </c>
      <c r="G911" s="125">
        <f ca="1"/>
        <v>7702</v>
      </c>
      <c r="H911" s="125">
        <f ca="1"/>
        <v>1001</v>
      </c>
      <c r="I911" s="125" t="str">
        <f ca="1"/>
        <v>4249</v>
      </c>
      <c r="J911" s="125" t="str">
        <f ca="1"/>
        <v>RGN TZOS FTLLA BOT 1750G</v>
      </c>
      <c r="K911" s="126">
        <f ca="1"/>
        <v>0</v>
      </c>
      <c r="L911" s="127">
        <f ca="1"/>
        <v>1</v>
      </c>
      <c r="M911" s="125">
        <f ca="1"/>
        <v>1.75</v>
      </c>
      <c r="N911" s="126">
        <f ca="1"/>
        <v>45</v>
      </c>
      <c r="O911" s="128">
        <f ca="1"/>
        <v>45583</v>
      </c>
      <c r="P911" s="128" t="str">
        <f ca="1"/>
        <v>viernes</v>
      </c>
      <c r="Q911" s="129">
        <f ca="1"/>
        <v>45583</v>
      </c>
      <c r="R911" s="129">
        <f ca="1"/>
        <v>45627</v>
      </c>
      <c r="S911" s="89">
        <f ca="1"/>
        <v>3</v>
      </c>
      <c r="T911" s="143">
        <f ca="1"/>
        <v>6.6666666666666666E-2</v>
      </c>
      <c r="U911" s="281">
        <f ca="1"/>
        <v>4</v>
      </c>
      <c r="V911" s="125">
        <f ca="1"/>
        <v>7</v>
      </c>
      <c r="W911" s="144">
        <f ca="1"/>
        <v>0</v>
      </c>
      <c r="X911" s="143">
        <f ca="1"/>
        <v>1</v>
      </c>
      <c r="Y911" s="145">
        <f ca="1"/>
        <v>2.4097600000000003</v>
      </c>
      <c r="Z911" s="145">
        <f ca="1"/>
        <v>2.4097600000000003</v>
      </c>
      <c r="AA911" s="125">
        <f ca="1"/>
        <v>16.868320000000004</v>
      </c>
      <c r="AB911" s="125">
        <f ca="1"/>
        <v>41</v>
      </c>
      <c r="AC911" s="98" t="str">
        <f ca="1"/>
        <v>FECHA CORTA</v>
      </c>
      <c r="AD911" s="147">
        <f ca="1"/>
        <v>7.0000000000000001E-3</v>
      </c>
    </row>
    <row r="912" spans="1:30">
      <c r="A912">
        <f ca="1"/>
        <v>0</v>
      </c>
      <c r="B912">
        <f ca="1"/>
        <v>0</v>
      </c>
      <c r="C912">
        <f ca="1"/>
        <v>0</v>
      </c>
      <c r="D912">
        <f ca="1"/>
        <v>0</v>
      </c>
      <c r="E912">
        <f ca="1"/>
        <v>0</v>
      </c>
      <c r="F912" s="125" t="str">
        <f ca="1"/>
        <v>SAN GABRIEL</v>
      </c>
      <c r="G912" s="125">
        <f ca="1"/>
        <v>7702</v>
      </c>
      <c r="H912" s="125">
        <f ca="1"/>
        <v>1001</v>
      </c>
      <c r="I912" s="125" t="str">
        <f ca="1"/>
        <v>4161</v>
      </c>
      <c r="J912" s="125" t="str">
        <f ca="1"/>
        <v>RGN BBLE DZNO BOT 1000G</v>
      </c>
      <c r="K912" s="126">
        <f ca="1"/>
        <v>0</v>
      </c>
      <c r="L912" s="127">
        <f ca="1"/>
        <v>1</v>
      </c>
      <c r="M912" s="125">
        <f ca="1"/>
        <v>1</v>
      </c>
      <c r="N912" s="126">
        <f ca="1"/>
        <v>45</v>
      </c>
      <c r="O912" s="128">
        <f ca="1"/>
        <v>45583</v>
      </c>
      <c r="P912" s="128" t="str">
        <f ca="1"/>
        <v>viernes</v>
      </c>
      <c r="Q912" s="129">
        <f ca="1"/>
        <v>45583</v>
      </c>
      <c r="R912" s="129">
        <f ca="1"/>
        <v>45627</v>
      </c>
      <c r="S912" s="89">
        <f ca="1"/>
        <v>3</v>
      </c>
      <c r="T912" s="143">
        <f ca="1"/>
        <v>6.6666666666666666E-2</v>
      </c>
      <c r="U912" s="281">
        <f ca="1"/>
        <v>10</v>
      </c>
      <c r="V912" s="125">
        <f ca="1"/>
        <v>10</v>
      </c>
      <c r="W912" s="144">
        <f ca="1"/>
        <v>0</v>
      </c>
      <c r="X912" s="143">
        <f ca="1"/>
        <v>1</v>
      </c>
      <c r="Y912" s="145">
        <f ca="1"/>
        <v>1.3744550000000002</v>
      </c>
      <c r="Z912" s="145">
        <f ca="1"/>
        <v>1.3744550000000002</v>
      </c>
      <c r="AA912" s="125">
        <f ca="1"/>
        <v>13.744550000000002</v>
      </c>
      <c r="AB912" s="125">
        <f ca="1"/>
        <v>41</v>
      </c>
      <c r="AC912" s="98" t="str">
        <f ca="1"/>
        <v>FECHA CORTA</v>
      </c>
      <c r="AD912" s="147">
        <f ca="1"/>
        <v>0.01</v>
      </c>
    </row>
    <row r="913" spans="1:30">
      <c r="A913">
        <f ca="1"/>
        <v>0</v>
      </c>
      <c r="B913">
        <f ca="1"/>
        <v>0</v>
      </c>
      <c r="C913">
        <f ca="1"/>
        <v>0</v>
      </c>
      <c r="D913">
        <f ca="1"/>
        <v>0</v>
      </c>
      <c r="E913">
        <f ca="1"/>
        <v>0</v>
      </c>
      <c r="F913" s="125" t="str">
        <f ca="1"/>
        <v>SAN GABRIEL</v>
      </c>
      <c r="G913" s="125">
        <f ca="1"/>
        <v>7702</v>
      </c>
      <c r="H913" s="125">
        <f ca="1"/>
        <v>1001</v>
      </c>
      <c r="I913" s="125" t="str">
        <f ca="1"/>
        <v>16366</v>
      </c>
      <c r="J913" s="125" t="str">
        <f ca="1"/>
        <v>YOG FNSSE VAINILLA 180</v>
      </c>
      <c r="K913" s="126">
        <f ca="1"/>
        <v>0</v>
      </c>
      <c r="L913" s="127">
        <f ca="1"/>
        <v>1</v>
      </c>
      <c r="M913" s="125">
        <f ca="1"/>
        <v>0.18</v>
      </c>
      <c r="N913" s="126">
        <f ca="1"/>
        <v>45</v>
      </c>
      <c r="O913" s="128">
        <f ca="1"/>
        <v>45583</v>
      </c>
      <c r="P913" s="128" t="str">
        <f ca="1"/>
        <v>viernes</v>
      </c>
      <c r="Q913" s="129">
        <f ca="1"/>
        <v>45583</v>
      </c>
      <c r="R913" s="129">
        <f ca="1"/>
        <v>45627</v>
      </c>
      <c r="S913" s="89">
        <f ca="1"/>
        <v>3</v>
      </c>
      <c r="T913" s="143">
        <f ca="1"/>
        <v>6.6666666666666666E-2</v>
      </c>
      <c r="U913" s="281">
        <f ca="1"/>
        <v>50</v>
      </c>
      <c r="V913" s="125">
        <f ca="1"/>
        <v>9</v>
      </c>
      <c r="W913" s="144">
        <f ca="1"/>
        <v>0</v>
      </c>
      <c r="X913" s="143">
        <f ca="1"/>
        <v>1</v>
      </c>
      <c r="Y913" s="145">
        <f ca="1"/>
        <v>0.286325</v>
      </c>
      <c r="Z913" s="145">
        <f ca="1"/>
        <v>0.286325</v>
      </c>
      <c r="AA913" s="125">
        <f ca="1"/>
        <v>2.5769250000000001</v>
      </c>
      <c r="AB913" s="125">
        <f ca="1"/>
        <v>37</v>
      </c>
      <c r="AC913" s="98" t="str">
        <f ca="1"/>
        <v>FECHA CORTA</v>
      </c>
      <c r="AD913" s="147">
        <f ca="1"/>
        <v>8.9999999999999993E-3</v>
      </c>
    </row>
    <row r="914" spans="1:30">
      <c r="A914">
        <f ca="1"/>
        <v>0</v>
      </c>
      <c r="B914">
        <f ca="1"/>
        <v>0</v>
      </c>
      <c r="C914">
        <f ca="1"/>
        <v>0</v>
      </c>
      <c r="D914">
        <f ca="1"/>
        <v>0</v>
      </c>
      <c r="E914">
        <f ca="1"/>
        <v>0</v>
      </c>
      <c r="F914" s="125" t="str">
        <f ca="1"/>
        <v>SAN GABRIEL</v>
      </c>
      <c r="G914" s="125">
        <f ca="1"/>
        <v>7702</v>
      </c>
      <c r="H914" s="125">
        <f ca="1"/>
        <v>1001</v>
      </c>
      <c r="I914" s="125" t="str">
        <f ca="1"/>
        <v>2123</v>
      </c>
      <c r="J914" s="125" t="str">
        <f ca="1"/>
        <v>RGN CER PITA BOT 1750G ECU</v>
      </c>
      <c r="K914" s="126">
        <f ca="1"/>
        <v>0</v>
      </c>
      <c r="L914" s="127">
        <f ca="1"/>
        <v>1</v>
      </c>
      <c r="M914" s="125">
        <f ca="1"/>
        <v>1.75</v>
      </c>
      <c r="N914" s="126">
        <f ca="1"/>
        <v>45</v>
      </c>
      <c r="O914" s="128">
        <f ca="1"/>
        <v>45587</v>
      </c>
      <c r="P914" s="128" t="str">
        <f ca="1"/>
        <v>martes</v>
      </c>
      <c r="Q914" s="129">
        <f ca="1"/>
        <v>45587</v>
      </c>
      <c r="R914" s="129">
        <f ca="1"/>
        <v>45631</v>
      </c>
      <c r="S914" s="89">
        <f ca="1"/>
        <v>7</v>
      </c>
      <c r="T914" s="143">
        <f ca="1"/>
        <v>0.15555555555555556</v>
      </c>
      <c r="U914" s="281">
        <f ca="1"/>
        <v>4</v>
      </c>
      <c r="V914" s="125">
        <f ca="1"/>
        <v>7</v>
      </c>
      <c r="W914" s="144">
        <f ca="1"/>
        <v>0</v>
      </c>
      <c r="X914" s="143">
        <f ca="1"/>
        <v>1</v>
      </c>
      <c r="Y914" s="145">
        <f ca="1"/>
        <v>2.48414</v>
      </c>
      <c r="Z914" s="145">
        <f ca="1"/>
        <v>2.48414</v>
      </c>
      <c r="AA914" s="125">
        <f ca="1"/>
        <v>17.38898</v>
      </c>
      <c r="AB914" s="125" t="str">
        <f ca="1"/>
        <v/>
      </c>
      <c r="AC914" s="98" t="str">
        <f ca="1"/>
        <v>FECHA CORTA</v>
      </c>
      <c r="AD914" s="147">
        <f ca="1"/>
        <v>7.0000000000000001E-3</v>
      </c>
    </row>
    <row r="915" spans="1:30">
      <c r="A915">
        <f ca="1"/>
        <v>0</v>
      </c>
      <c r="B915">
        <f ca="1"/>
        <v>0</v>
      </c>
      <c r="C915">
        <f ca="1"/>
        <v>0</v>
      </c>
      <c r="D915">
        <f ca="1"/>
        <v>0</v>
      </c>
      <c r="E915">
        <f ca="1"/>
        <v>0</v>
      </c>
      <c r="F915" s="125" t="str">
        <f ca="1"/>
        <v>SAN GABRIEL</v>
      </c>
      <c r="G915" s="125">
        <f ca="1"/>
        <v>7702</v>
      </c>
      <c r="H915" s="125">
        <f ca="1"/>
        <v>1001</v>
      </c>
      <c r="I915" s="125" t="str">
        <f ca="1"/>
        <v>5750</v>
      </c>
      <c r="J915" s="125" t="str">
        <f ca="1"/>
        <v>Q RICOTTA KIOSKO BLOQ 250G</v>
      </c>
      <c r="K915" s="126">
        <f ca="1"/>
        <v>0</v>
      </c>
      <c r="L915" s="127">
        <f ca="1"/>
        <v>1</v>
      </c>
      <c r="M915" s="125">
        <f ca="1"/>
        <v>0.25</v>
      </c>
      <c r="N915" s="126">
        <f ca="1"/>
        <v>35</v>
      </c>
      <c r="O915" s="128">
        <f ca="1"/>
        <v>45597</v>
      </c>
      <c r="P915" s="128" t="str">
        <f ca="1"/>
        <v>viernes</v>
      </c>
      <c r="Q915" s="129">
        <f ca="1"/>
        <v>45597</v>
      </c>
      <c r="R915" s="129">
        <f ca="1"/>
        <v>45631</v>
      </c>
      <c r="S915" s="89">
        <f ca="1"/>
        <v>7</v>
      </c>
      <c r="T915" s="143">
        <f ca="1"/>
        <v>0.2</v>
      </c>
      <c r="U915" s="281">
        <f ca="1"/>
        <v>120</v>
      </c>
      <c r="V915" s="125">
        <f ca="1"/>
        <v>30</v>
      </c>
      <c r="W915" s="144">
        <f ca="1"/>
        <v>0</v>
      </c>
      <c r="X915" s="143">
        <f ca="1"/>
        <v>1</v>
      </c>
      <c r="Y915" s="145">
        <f ca="1"/>
        <v>0.69428000000000001</v>
      </c>
      <c r="Z915" s="145">
        <f ca="1"/>
        <v>0.69428000000000001</v>
      </c>
      <c r="AA915" s="125">
        <f ca="1"/>
        <v>20.828400000000002</v>
      </c>
      <c r="AB915" s="125">
        <f ca="1"/>
        <v>36</v>
      </c>
      <c r="AC915" s="98" t="str">
        <f ca="1"/>
        <v>FECHA CORTA</v>
      </c>
      <c r="AD915" s="147">
        <f ca="1"/>
        <v>0.03</v>
      </c>
    </row>
    <row r="916" spans="1:30">
      <c r="A916">
        <f ca="1"/>
        <v>0</v>
      </c>
      <c r="B916">
        <f ca="1"/>
        <v>0</v>
      </c>
      <c r="C916">
        <f ca="1"/>
        <v>0</v>
      </c>
      <c r="D916">
        <f ca="1"/>
        <v>0</v>
      </c>
      <c r="E916">
        <f ca="1"/>
        <v>0</v>
      </c>
      <c r="F916" s="125" t="str">
        <f ca="1"/>
        <v>SAN GABRIEL</v>
      </c>
      <c r="G916" s="125">
        <f ca="1"/>
        <v>7702</v>
      </c>
      <c r="H916" s="125">
        <f ca="1"/>
        <v>1001</v>
      </c>
      <c r="I916" s="125" t="str">
        <f ca="1"/>
        <v>5275</v>
      </c>
      <c r="J916" s="125" t="str">
        <f ca="1"/>
        <v>RGN BBLE DZNO BOT 1750G</v>
      </c>
      <c r="K916" s="126">
        <f ca="1"/>
        <v>0</v>
      </c>
      <c r="L916" s="127">
        <f ca="1"/>
        <v>1</v>
      </c>
      <c r="M916" s="125">
        <f ca="1"/>
        <v>1.75</v>
      </c>
      <c r="N916" s="126">
        <f ca="1"/>
        <v>45</v>
      </c>
      <c r="O916" s="128">
        <f ca="1"/>
        <v>45588</v>
      </c>
      <c r="P916" s="128" t="str">
        <f ca="1"/>
        <v>miércoles</v>
      </c>
      <c r="Q916" s="129">
        <f ca="1"/>
        <v>45588</v>
      </c>
      <c r="R916" s="129">
        <f ca="1"/>
        <v>45632</v>
      </c>
      <c r="S916" s="89">
        <f ca="1"/>
        <v>8</v>
      </c>
      <c r="T916" s="143">
        <f ca="1"/>
        <v>0.17777777777777778</v>
      </c>
      <c r="U916" s="281">
        <f ca="1"/>
        <v>8</v>
      </c>
      <c r="V916" s="125">
        <f ca="1"/>
        <v>14</v>
      </c>
      <c r="W916" s="144">
        <f ca="1"/>
        <v>0</v>
      </c>
      <c r="X916" s="143">
        <f ca="1"/>
        <v>1</v>
      </c>
      <c r="Y916" s="145">
        <f ca="1"/>
        <v>2.3115999999999999</v>
      </c>
      <c r="Z916" s="145">
        <f ca="1"/>
        <v>2.3115999999999999</v>
      </c>
      <c r="AA916" s="125">
        <f ca="1"/>
        <v>32.362400000000001</v>
      </c>
      <c r="AB916" s="125">
        <f ca="1"/>
        <v>36</v>
      </c>
      <c r="AC916" s="98" t="str">
        <f ca="1"/>
        <v>FECHA CORTA</v>
      </c>
      <c r="AD916" s="147">
        <f ca="1"/>
        <v>1.4E-2</v>
      </c>
    </row>
    <row r="917" spans="1:30">
      <c r="A917">
        <f ca="1"/>
        <v>0</v>
      </c>
      <c r="B917">
        <f ca="1"/>
        <v>0</v>
      </c>
      <c r="C917">
        <f ca="1"/>
        <v>0</v>
      </c>
      <c r="D917">
        <f ca="1"/>
        <v>0</v>
      </c>
      <c r="E917">
        <f ca="1"/>
        <v>0</v>
      </c>
      <c r="F917" s="125" t="str">
        <f ca="1"/>
        <v>SAN GABRIEL</v>
      </c>
      <c r="G917" s="125">
        <f ca="1"/>
        <v>7702</v>
      </c>
      <c r="H917" s="125">
        <f ca="1"/>
        <v>1001</v>
      </c>
      <c r="I917" s="125" t="str">
        <f ca="1"/>
        <v>12549</v>
      </c>
      <c r="J917" s="125" t="str">
        <f ca="1"/>
        <v>YOG FNSSE FRTROJ BOT 1670G</v>
      </c>
      <c r="K917" s="126">
        <f ca="1"/>
        <v>0</v>
      </c>
      <c r="L917" s="127">
        <f ca="1"/>
        <v>1</v>
      </c>
      <c r="M917" s="125">
        <f ca="1"/>
        <v>1.67</v>
      </c>
      <c r="N917" s="126">
        <f ca="1"/>
        <v>45</v>
      </c>
      <c r="O917" s="128">
        <f ca="1"/>
        <v>45588</v>
      </c>
      <c r="P917" s="128" t="str">
        <f ca="1"/>
        <v>miércoles</v>
      </c>
      <c r="Q917" s="129">
        <f ca="1"/>
        <v>45588</v>
      </c>
      <c r="R917" s="129">
        <f ca="1"/>
        <v>45632</v>
      </c>
      <c r="S917" s="89">
        <f ca="1"/>
        <v>8</v>
      </c>
      <c r="T917" s="143">
        <f ca="1"/>
        <v>0.17777777777777778</v>
      </c>
      <c r="U917" s="281">
        <f ca="1"/>
        <v>10</v>
      </c>
      <c r="V917" s="125">
        <f ca="1"/>
        <v>16.7</v>
      </c>
      <c r="W917" s="144">
        <f ca="1"/>
        <v>0</v>
      </c>
      <c r="X917" s="143">
        <f ca="1"/>
        <v>1</v>
      </c>
      <c r="Y917" s="145">
        <f ca="1"/>
        <v>2.3031100000000002</v>
      </c>
      <c r="Z917" s="145">
        <f ca="1"/>
        <v>2.3031100000000002</v>
      </c>
      <c r="AA917" s="125">
        <f ca="1"/>
        <v>38.461936999999999</v>
      </c>
      <c r="AB917" s="125">
        <f ca="1"/>
        <v>35</v>
      </c>
      <c r="AC917" s="98" t="str">
        <f ca="1"/>
        <v>FECHA CORTA</v>
      </c>
      <c r="AD917" s="147">
        <f ca="1"/>
        <v>1.67E-2</v>
      </c>
    </row>
    <row r="918" spans="1:30">
      <c r="A918">
        <f ca="1"/>
        <v>0</v>
      </c>
      <c r="B918">
        <f ca="1"/>
        <v>0</v>
      </c>
      <c r="C918">
        <f ca="1"/>
        <v>0</v>
      </c>
      <c r="D918">
        <f ca="1"/>
        <v>0</v>
      </c>
      <c r="E918">
        <f ca="1"/>
        <v>0</v>
      </c>
      <c r="F918" s="125" t="str">
        <f ca="1"/>
        <v>SAN GABRIEL</v>
      </c>
      <c r="G918" s="125">
        <f ca="1"/>
        <v>7702</v>
      </c>
      <c r="H918" s="125">
        <f ca="1"/>
        <v>1001</v>
      </c>
      <c r="I918" s="125" t="str">
        <f ca="1"/>
        <v>4248</v>
      </c>
      <c r="J918" s="125" t="str">
        <f ca="1"/>
        <v>RGN TZOS DZNO BOT 1750G</v>
      </c>
      <c r="K918" s="126">
        <f ca="1"/>
        <v>0</v>
      </c>
      <c r="L918" s="127">
        <f ca="1"/>
        <v>1</v>
      </c>
      <c r="M918" s="125">
        <f ca="1"/>
        <v>1.75</v>
      </c>
      <c r="N918" s="126">
        <f ca="1"/>
        <v>45</v>
      </c>
      <c r="O918" s="128">
        <f ca="1"/>
        <v>45589</v>
      </c>
      <c r="P918" s="128" t="str">
        <f ca="1"/>
        <v>jueves</v>
      </c>
      <c r="Q918" s="129">
        <f ca="1"/>
        <v>45589</v>
      </c>
      <c r="R918" s="129">
        <f ca="1"/>
        <v>45633</v>
      </c>
      <c r="S918" s="89">
        <f ca="1"/>
        <v>9</v>
      </c>
      <c r="T918" s="143">
        <f ca="1"/>
        <v>0.2</v>
      </c>
      <c r="U918" s="281">
        <f ca="1"/>
        <v>8</v>
      </c>
      <c r="V918" s="125">
        <f ca="1"/>
        <v>14</v>
      </c>
      <c r="W918" s="144">
        <f ca="1"/>
        <v>0</v>
      </c>
      <c r="X918" s="143">
        <f ca="1"/>
        <v>1</v>
      </c>
      <c r="Y918" s="145">
        <f ca="1"/>
        <v>2.36903</v>
      </c>
      <c r="Z918" s="145">
        <f ca="1"/>
        <v>2.36903</v>
      </c>
      <c r="AA918" s="125">
        <f ca="1"/>
        <v>33.166420000000002</v>
      </c>
      <c r="AB918" s="125">
        <f ca="1"/>
        <v>34</v>
      </c>
      <c r="AC918" s="98" t="str">
        <f ca="1"/>
        <v>FECHA CORTA</v>
      </c>
      <c r="AD918" s="147">
        <f ca="1"/>
        <v>1.4E-2</v>
      </c>
    </row>
    <row r="919" spans="1:30">
      <c r="A919">
        <f ca="1"/>
        <v>0</v>
      </c>
      <c r="B919">
        <f ca="1"/>
        <v>0</v>
      </c>
      <c r="C919">
        <f ca="1"/>
        <v>0</v>
      </c>
      <c r="D919">
        <f ca="1"/>
        <v>0</v>
      </c>
      <c r="E919">
        <f ca="1"/>
        <v>0</v>
      </c>
      <c r="F919" s="125" t="str">
        <f ca="1"/>
        <v>SAN GABRIEL</v>
      </c>
      <c r="G919" s="125">
        <f ca="1"/>
        <v>7702</v>
      </c>
      <c r="H919" s="125">
        <f ca="1"/>
        <v>1001</v>
      </c>
      <c r="I919" s="125" t="str">
        <f ca="1"/>
        <v>11106</v>
      </c>
      <c r="J919" s="125" t="str">
        <f ca="1"/>
        <v>YOG BBLE KIOSKO FTLLA BOT 1700G</v>
      </c>
      <c r="K919" s="126">
        <f ca="1"/>
        <v>0</v>
      </c>
      <c r="L919" s="127">
        <f ca="1"/>
        <v>1</v>
      </c>
      <c r="M919" s="125">
        <f ca="1"/>
        <v>1.7</v>
      </c>
      <c r="N919" s="126">
        <f ca="1"/>
        <v>45</v>
      </c>
      <c r="O919" s="128">
        <f ca="1"/>
        <v>45590</v>
      </c>
      <c r="P919" s="128" t="str">
        <f ca="1"/>
        <v>viernes</v>
      </c>
      <c r="Q919" s="129">
        <f ca="1"/>
        <v>45590</v>
      </c>
      <c r="R919" s="129">
        <f ca="1"/>
        <v>45634</v>
      </c>
      <c r="S919" s="89">
        <f ca="1"/>
        <v>10</v>
      </c>
      <c r="T919" s="143">
        <f ca="1"/>
        <v>0.22222222222222221</v>
      </c>
      <c r="U919" s="281">
        <f ca="1"/>
        <v>4</v>
      </c>
      <c r="V919" s="125">
        <f ca="1"/>
        <v>6.8</v>
      </c>
      <c r="W919" s="144">
        <f ca="1"/>
        <v>0</v>
      </c>
      <c r="X919" s="143">
        <f ca="1"/>
        <v>1</v>
      </c>
      <c r="Y919" s="145">
        <f ca="1"/>
        <v>1.7276500000000001</v>
      </c>
      <c r="Z919" s="145">
        <f ca="1"/>
        <v>1.7276500000000001</v>
      </c>
      <c r="AA919" s="125">
        <f ca="1"/>
        <v>11.74802</v>
      </c>
      <c r="AB919" s="125">
        <f ca="1"/>
        <v>34</v>
      </c>
      <c r="AC919" s="98" t="str">
        <f ca="1"/>
        <v>FECHA CORTA</v>
      </c>
      <c r="AD919" s="147">
        <f ca="1"/>
        <v>6.7999999999999996E-3</v>
      </c>
    </row>
    <row r="920" spans="1:30">
      <c r="A920">
        <f ca="1"/>
        <v>0</v>
      </c>
      <c r="B920">
        <f ca="1"/>
        <v>0</v>
      </c>
      <c r="C920">
        <f ca="1"/>
        <v>0</v>
      </c>
      <c r="D920">
        <f ca="1"/>
        <v>0</v>
      </c>
      <c r="E920">
        <f ca="1"/>
        <v>0</v>
      </c>
      <c r="F920" s="125" t="str">
        <f ca="1"/>
        <v>SAN GABRIEL</v>
      </c>
      <c r="G920" s="125">
        <f ca="1"/>
        <v>7702</v>
      </c>
      <c r="H920" s="125">
        <f ca="1"/>
        <v>1001</v>
      </c>
      <c r="I920" s="125" t="str">
        <f ca="1"/>
        <v>11108</v>
      </c>
      <c r="J920" s="125" t="str">
        <f ca="1"/>
        <v>YOG BBLE KIOSKO DZNO BOT 1700G</v>
      </c>
      <c r="K920" s="126">
        <f ca="1"/>
        <v>0</v>
      </c>
      <c r="L920" s="127">
        <f ca="1"/>
        <v>1</v>
      </c>
      <c r="M920" s="125">
        <f ca="1"/>
        <v>1.7</v>
      </c>
      <c r="N920" s="126">
        <f ca="1"/>
        <v>45</v>
      </c>
      <c r="O920" s="128">
        <f ca="1"/>
        <v>45590</v>
      </c>
      <c r="P920" s="128" t="str">
        <f ca="1"/>
        <v>viernes</v>
      </c>
      <c r="Q920" s="129">
        <f ca="1"/>
        <v>45590</v>
      </c>
      <c r="R920" s="129">
        <f ca="1"/>
        <v>45634</v>
      </c>
      <c r="S920" s="89">
        <f ca="1"/>
        <v>10</v>
      </c>
      <c r="T920" s="143">
        <f ca="1"/>
        <v>0.22222222222222221</v>
      </c>
      <c r="U920" s="281">
        <f ca="1"/>
        <v>22</v>
      </c>
      <c r="V920" s="125">
        <f ca="1"/>
        <v>37.4</v>
      </c>
      <c r="W920" s="144">
        <f ca="1"/>
        <v>0</v>
      </c>
      <c r="X920" s="143">
        <f ca="1"/>
        <v>1</v>
      </c>
      <c r="Y920" s="145">
        <f ca="1"/>
        <v>1.751825</v>
      </c>
      <c r="Z920" s="145">
        <f ca="1"/>
        <v>1.751825</v>
      </c>
      <c r="AA920" s="125">
        <f ca="1"/>
        <v>65.518254999999996</v>
      </c>
      <c r="AB920" s="125">
        <f ca="1"/>
        <v>34</v>
      </c>
      <c r="AC920" s="98" t="str">
        <f ca="1"/>
        <v>FECHA CORTA</v>
      </c>
      <c r="AD920" s="147">
        <f ca="1"/>
        <v>3.7399999999999996E-2</v>
      </c>
    </row>
    <row r="921" spans="1:30">
      <c r="A921">
        <f ca="1"/>
        <v>0</v>
      </c>
      <c r="B921">
        <f ca="1"/>
        <v>0</v>
      </c>
      <c r="C921">
        <f ca="1"/>
        <v>0</v>
      </c>
      <c r="D921">
        <f ca="1"/>
        <v>0</v>
      </c>
      <c r="E921">
        <f ca="1"/>
        <v>0</v>
      </c>
      <c r="F921" s="125" t="str">
        <f ca="1"/>
        <v>SAN GABRIEL</v>
      </c>
      <c r="G921" s="125">
        <f ca="1"/>
        <v>7702</v>
      </c>
      <c r="H921" s="125">
        <f ca="1"/>
        <v>1001</v>
      </c>
      <c r="I921" s="125" t="str">
        <f ca="1"/>
        <v>11954</v>
      </c>
      <c r="J921" s="125" t="str">
        <f ca="1"/>
        <v>YOG FNSSE FRTROJ BOT 180G</v>
      </c>
      <c r="K921" s="126">
        <f ca="1"/>
        <v>0</v>
      </c>
      <c r="L921" s="127">
        <f ca="1"/>
        <v>1</v>
      </c>
      <c r="M921" s="125">
        <f ca="1"/>
        <v>0.18</v>
      </c>
      <c r="N921" s="126">
        <f ca="1"/>
        <v>45</v>
      </c>
      <c r="O921" s="128">
        <f ca="1"/>
        <v>45590</v>
      </c>
      <c r="P921" s="128" t="str">
        <f ca="1"/>
        <v>viernes</v>
      </c>
      <c r="Q921" s="129">
        <f ca="1"/>
        <v>45590</v>
      </c>
      <c r="R921" s="129">
        <f ca="1"/>
        <v>45634</v>
      </c>
      <c r="S921" s="89">
        <f ca="1"/>
        <v>10</v>
      </c>
      <c r="T921" s="143">
        <f ca="1"/>
        <v>0.22222222222222221</v>
      </c>
      <c r="U921" s="281">
        <f ca="1"/>
        <v>18</v>
      </c>
      <c r="V921" s="125">
        <f ca="1"/>
        <v>3.2399999999999998</v>
      </c>
      <c r="W921" s="144">
        <f ca="1"/>
        <v>0</v>
      </c>
      <c r="X921" s="143">
        <f ca="1"/>
        <v>1</v>
      </c>
      <c r="Y921" s="145">
        <f ca="1"/>
        <v>0.30833500000000003</v>
      </c>
      <c r="Z921" s="145">
        <f ca="1"/>
        <v>0.30833500000000003</v>
      </c>
      <c r="AA921" s="125">
        <f ca="1"/>
        <v>0.99900540000000004</v>
      </c>
      <c r="AB921" s="125">
        <f ca="1"/>
        <v>34</v>
      </c>
      <c r="AC921" s="98" t="str">
        <f ca="1"/>
        <v>FECHA CORTA</v>
      </c>
      <c r="AD921" s="147">
        <f ca="1"/>
        <v>3.2399999999999998E-3</v>
      </c>
    </row>
    <row r="922" spans="1:30">
      <c r="A922">
        <f ca="1"/>
        <v>0</v>
      </c>
      <c r="B922">
        <f ca="1"/>
        <v>0</v>
      </c>
      <c r="C922">
        <f ca="1"/>
        <v>0</v>
      </c>
      <c r="D922">
        <f ca="1"/>
        <v>0</v>
      </c>
      <c r="E922">
        <f ca="1"/>
        <v>0</v>
      </c>
      <c r="F922" s="125" t="str">
        <f ca="1"/>
        <v>SAN GABRIEL</v>
      </c>
      <c r="G922" s="125">
        <f ca="1"/>
        <v>7702</v>
      </c>
      <c r="H922" s="125">
        <f ca="1"/>
        <v>1001</v>
      </c>
      <c r="I922" s="125" t="str">
        <f ca="1"/>
        <v>4011</v>
      </c>
      <c r="J922" s="125" t="str">
        <f ca="1"/>
        <v>RGN LGHT FTLLA BOT 1000G</v>
      </c>
      <c r="K922" s="126">
        <f ca="1"/>
        <v>0</v>
      </c>
      <c r="L922" s="127">
        <f ca="1"/>
        <v>1</v>
      </c>
      <c r="M922" s="125">
        <f ca="1"/>
        <v>1</v>
      </c>
      <c r="N922" s="126">
        <f ca="1"/>
        <v>45</v>
      </c>
      <c r="O922" s="128">
        <f ca="1"/>
        <v>45590</v>
      </c>
      <c r="P922" s="128" t="str">
        <f ca="1"/>
        <v>viernes</v>
      </c>
      <c r="Q922" s="129">
        <f ca="1"/>
        <v>45590</v>
      </c>
      <c r="R922" s="129">
        <f ca="1"/>
        <v>45634</v>
      </c>
      <c r="S922" s="89">
        <f ca="1"/>
        <v>10</v>
      </c>
      <c r="T922" s="143">
        <f ca="1"/>
        <v>0.22222222222222221</v>
      </c>
      <c r="U922" s="281">
        <f ca="1"/>
        <v>7</v>
      </c>
      <c r="V922" s="125">
        <f ca="1"/>
        <v>7</v>
      </c>
      <c r="W922" s="144">
        <f ca="1"/>
        <v>0</v>
      </c>
      <c r="X922" s="143">
        <f ca="1"/>
        <v>1</v>
      </c>
      <c r="Y922" s="145">
        <f ca="1"/>
        <v>1.3149000000000002</v>
      </c>
      <c r="Z922" s="145">
        <f ca="1"/>
        <v>1.3149000000000002</v>
      </c>
      <c r="AA922" s="125">
        <f ca="1"/>
        <v>9.2043000000000017</v>
      </c>
      <c r="AB922" s="125">
        <f ca="1"/>
        <v>34</v>
      </c>
      <c r="AC922" s="98" t="str">
        <f ca="1"/>
        <v>FECHA CORTA</v>
      </c>
      <c r="AD922" s="147">
        <f ca="1"/>
        <v>7.0000000000000001E-3</v>
      </c>
    </row>
    <row r="923" spans="1:30">
      <c r="A923">
        <f ca="1"/>
        <v>0</v>
      </c>
      <c r="B923">
        <f ca="1"/>
        <v>0</v>
      </c>
      <c r="C923">
        <f ca="1"/>
        <v>0</v>
      </c>
      <c r="D923">
        <f ca="1"/>
        <v>0</v>
      </c>
      <c r="E923">
        <f ca="1"/>
        <v>0</v>
      </c>
      <c r="F923" s="125" t="str">
        <f ca="1"/>
        <v>SAN GABRIEL</v>
      </c>
      <c r="G923" s="125">
        <f ca="1"/>
        <v>7702</v>
      </c>
      <c r="H923" s="125">
        <f ca="1"/>
        <v>1001</v>
      </c>
      <c r="I923" s="125" t="str">
        <f ca="1"/>
        <v>12530</v>
      </c>
      <c r="J923" s="125" t="str">
        <f ca="1"/>
        <v>RGN CER GDLLA BOT 180G</v>
      </c>
      <c r="K923" s="126">
        <f ca="1"/>
        <v>0</v>
      </c>
      <c r="L923" s="127">
        <f ca="1"/>
        <v>1</v>
      </c>
      <c r="M923" s="125">
        <f ca="1"/>
        <v>0.18</v>
      </c>
      <c r="N923" s="126">
        <f ca="1"/>
        <v>45</v>
      </c>
      <c r="O923" s="128">
        <f ca="1"/>
        <v>45590</v>
      </c>
      <c r="P923" s="128" t="str">
        <f ca="1"/>
        <v>viernes</v>
      </c>
      <c r="Q923" s="129">
        <f ca="1"/>
        <v>45590</v>
      </c>
      <c r="R923" s="129">
        <f ca="1"/>
        <v>45634</v>
      </c>
      <c r="S923" s="89">
        <f ca="1"/>
        <v>10</v>
      </c>
      <c r="T923" s="143">
        <f ca="1"/>
        <v>0.22222222222222221</v>
      </c>
      <c r="U923" s="281">
        <f ca="1"/>
        <v>27</v>
      </c>
      <c r="V923" s="125">
        <f ca="1"/>
        <v>4.8599999999999994</v>
      </c>
      <c r="W923" s="144">
        <f ca="1"/>
        <v>0</v>
      </c>
      <c r="X923" s="143">
        <f ca="1"/>
        <v>1</v>
      </c>
      <c r="Y923" s="145">
        <f ca="1"/>
        <v>0.28275</v>
      </c>
      <c r="Z923" s="145">
        <f ca="1"/>
        <v>0.28275</v>
      </c>
      <c r="AA923" s="125">
        <f ca="1"/>
        <v>1.3741649999999999</v>
      </c>
      <c r="AB923" s="125">
        <f ca="1"/>
        <v>34</v>
      </c>
      <c r="AC923" s="98" t="str">
        <f ca="1"/>
        <v>FECHA CORTA</v>
      </c>
      <c r="AD923" s="147">
        <f ca="1"/>
        <v>4.8599999999999997E-3</v>
      </c>
    </row>
    <row r="924" spans="1:30">
      <c r="A924">
        <f ca="1"/>
        <v>0</v>
      </c>
      <c r="B924">
        <f ca="1"/>
        <v>0</v>
      </c>
      <c r="C924">
        <f ca="1"/>
        <v>0</v>
      </c>
      <c r="D924">
        <f ca="1"/>
        <v>0</v>
      </c>
      <c r="E924">
        <f ca="1"/>
        <v>0</v>
      </c>
      <c r="F924" s="125" t="str">
        <f ca="1"/>
        <v>SAN GABRIEL</v>
      </c>
      <c r="G924" s="125">
        <f ca="1"/>
        <v>7702</v>
      </c>
      <c r="H924" s="125">
        <f ca="1"/>
        <v>1001</v>
      </c>
      <c r="I924" s="125" t="str">
        <f ca="1"/>
        <v>16017</v>
      </c>
      <c r="J924" s="125" t="str">
        <f ca="1"/>
        <v>YOG FNSSE DURAZNO BOT 1670G</v>
      </c>
      <c r="K924" s="126">
        <f ca="1"/>
        <v>0</v>
      </c>
      <c r="L924" s="127">
        <f ca="1"/>
        <v>1</v>
      </c>
      <c r="M924" s="125">
        <f ca="1"/>
        <v>1.67</v>
      </c>
      <c r="N924" s="126">
        <f ca="1"/>
        <v>45</v>
      </c>
      <c r="O924" s="128">
        <f ca="1"/>
        <v>45590</v>
      </c>
      <c r="P924" s="128" t="str">
        <f ca="1"/>
        <v>viernes</v>
      </c>
      <c r="Q924" s="129">
        <f ca="1"/>
        <v>45590</v>
      </c>
      <c r="R924" s="129">
        <f ca="1"/>
        <v>45634</v>
      </c>
      <c r="S924" s="89">
        <f ca="1"/>
        <v>10</v>
      </c>
      <c r="T924" s="143">
        <f ca="1"/>
        <v>0.22222222222222221</v>
      </c>
      <c r="U924" s="281">
        <f ca="1"/>
        <v>6</v>
      </c>
      <c r="V924" s="125">
        <f ca="1"/>
        <v>10.02</v>
      </c>
      <c r="W924" s="144">
        <f ca="1"/>
        <v>0</v>
      </c>
      <c r="X924" s="143">
        <f ca="1"/>
        <v>1</v>
      </c>
      <c r="Y924" s="145">
        <f ca="1"/>
        <v>2.4125399999999999</v>
      </c>
      <c r="Z924" s="145">
        <f ca="1"/>
        <v>2.4125399999999999</v>
      </c>
      <c r="AA924" s="125">
        <f ca="1"/>
        <v>24.173650799999997</v>
      </c>
      <c r="AB924" s="125">
        <f ca="1"/>
        <v>29</v>
      </c>
      <c r="AC924" s="98" t="str">
        <f ca="1"/>
        <v>FECHA CORTA</v>
      </c>
      <c r="AD924" s="147">
        <f ca="1"/>
        <v>1.0019999999999999E-2</v>
      </c>
    </row>
    <row r="925" spans="1:30">
      <c r="A925">
        <f ca="1"/>
        <v>0</v>
      </c>
      <c r="B925">
        <f ca="1"/>
        <v>0</v>
      </c>
      <c r="C925">
        <f ca="1"/>
        <v>0</v>
      </c>
      <c r="D925">
        <f ca="1"/>
        <v>0</v>
      </c>
      <c r="E925">
        <f ca="1"/>
        <v>0</v>
      </c>
      <c r="F925" s="125" t="str">
        <f ca="1"/>
        <v>SAN GABRIEL</v>
      </c>
      <c r="G925" s="125">
        <f ca="1"/>
        <v>7702</v>
      </c>
      <c r="H925" s="125">
        <f ca="1"/>
        <v>1001</v>
      </c>
      <c r="I925" s="125" t="str">
        <f ca="1"/>
        <v>14644</v>
      </c>
      <c r="J925" s="125" t="str">
        <f ca="1"/>
        <v>YOG NAT KIOSKO BOTELLA 950G</v>
      </c>
      <c r="K925" s="126">
        <f ca="1"/>
        <v>0</v>
      </c>
      <c r="L925" s="127">
        <f ca="1"/>
        <v>1</v>
      </c>
      <c r="M925" s="125">
        <f ca="1"/>
        <v>0.95</v>
      </c>
      <c r="N925" s="126">
        <f ca="1"/>
        <v>45</v>
      </c>
      <c r="O925" s="128">
        <f ca="1"/>
        <v>45595</v>
      </c>
      <c r="P925" s="128" t="str">
        <f ca="1"/>
        <v>miércoles</v>
      </c>
      <c r="Q925" s="129">
        <f ca="1"/>
        <v>45595</v>
      </c>
      <c r="R925" s="129">
        <f ca="1"/>
        <v>45639</v>
      </c>
      <c r="S925" s="89">
        <f ca="1"/>
        <v>15</v>
      </c>
      <c r="T925" s="143">
        <f ca="1"/>
        <v>0.33333333333333331</v>
      </c>
      <c r="U925" s="281">
        <f ca="1"/>
        <v>31</v>
      </c>
      <c r="V925" s="125">
        <f ca="1"/>
        <v>29.45</v>
      </c>
      <c r="W925" s="144">
        <f ca="1"/>
        <v>0</v>
      </c>
      <c r="X925" s="143">
        <f ca="1"/>
        <v>1</v>
      </c>
      <c r="Y925" s="145">
        <f ca="1"/>
        <v>1.062665</v>
      </c>
      <c r="Z925" s="145">
        <f ca="1"/>
        <v>1.062665</v>
      </c>
      <c r="AA925" s="125">
        <f ca="1"/>
        <v>31.295484249999998</v>
      </c>
      <c r="AB925" s="125">
        <f ca="1"/>
        <v>29</v>
      </c>
      <c r="AC925" s="98" t="str">
        <f ca="1"/>
        <v>FECHA CORTA</v>
      </c>
      <c r="AD925" s="147">
        <f ca="1"/>
        <v>2.945E-2</v>
      </c>
    </row>
    <row r="926" spans="1:30">
      <c r="A926">
        <f ca="1"/>
        <v>0</v>
      </c>
      <c r="B926">
        <f ca="1"/>
        <v>0</v>
      </c>
      <c r="C926">
        <f ca="1"/>
        <v>0</v>
      </c>
      <c r="D926">
        <f ca="1"/>
        <v>0</v>
      </c>
      <c r="E926">
        <f ca="1"/>
        <v>0</v>
      </c>
      <c r="F926" s="125" t="str">
        <f ca="1"/>
        <v>SAN GABRIEL</v>
      </c>
      <c r="G926" s="125">
        <f ca="1"/>
        <v>7702</v>
      </c>
      <c r="H926" s="125">
        <f ca="1"/>
        <v>1001</v>
      </c>
      <c r="I926" s="125" t="str">
        <f ca="1"/>
        <v>2082</v>
      </c>
      <c r="J926" s="125" t="str">
        <f ca="1"/>
        <v>MPLX4 RGN TZOS MULTSAB VASO 150G</v>
      </c>
      <c r="K926" s="126">
        <f ca="1"/>
        <v>0</v>
      </c>
      <c r="L926" s="127">
        <f ca="1"/>
        <v>1</v>
      </c>
      <c r="M926" s="125">
        <f ca="1"/>
        <v>0.6</v>
      </c>
      <c r="N926" s="126">
        <f ca="1"/>
        <v>45</v>
      </c>
      <c r="O926" s="128">
        <f ca="1"/>
        <v>45595</v>
      </c>
      <c r="P926" s="128" t="str">
        <f ca="1"/>
        <v>miércoles</v>
      </c>
      <c r="Q926" s="129">
        <f ca="1"/>
        <v>45595</v>
      </c>
      <c r="R926" s="129">
        <f ca="1"/>
        <v>45639</v>
      </c>
      <c r="S926" s="89">
        <f ca="1"/>
        <v>15</v>
      </c>
      <c r="T926" s="143">
        <f ca="1"/>
        <v>0.33333333333333331</v>
      </c>
      <c r="U926" s="281">
        <f ca="1"/>
        <v>21</v>
      </c>
      <c r="V926" s="125">
        <f ca="1"/>
        <v>12.6</v>
      </c>
      <c r="W926" s="144">
        <f ca="1"/>
        <v>0</v>
      </c>
      <c r="X926" s="143">
        <f ca="1"/>
        <v>1</v>
      </c>
      <c r="Y926" s="145">
        <f ca="1"/>
        <v>1.0306549999999999</v>
      </c>
      <c r="Z926" s="145">
        <f ca="1"/>
        <v>1.0306549999999999</v>
      </c>
      <c r="AA926" s="125">
        <f ca="1"/>
        <v>12.986252999999998</v>
      </c>
      <c r="AB926" s="125">
        <f ca="1"/>
        <v>28</v>
      </c>
      <c r="AC926" s="98" t="str">
        <f ca="1"/>
        <v>FECHA CORTA</v>
      </c>
      <c r="AD926" s="147">
        <f ca="1"/>
        <v>1.26E-2</v>
      </c>
    </row>
    <row r="927" spans="1:30">
      <c r="A927">
        <f ca="1"/>
        <v>0</v>
      </c>
      <c r="B927">
        <f ca="1"/>
        <v>0</v>
      </c>
      <c r="C927">
        <f ca="1"/>
        <v>0</v>
      </c>
      <c r="D927">
        <f ca="1"/>
        <v>0</v>
      </c>
      <c r="E927">
        <f ca="1"/>
        <v>0</v>
      </c>
      <c r="F927" s="125" t="str">
        <f ca="1"/>
        <v>SAN GABRIEL</v>
      </c>
      <c r="G927" s="125">
        <f ca="1"/>
        <v>7702</v>
      </c>
      <c r="H927" s="125">
        <f ca="1"/>
        <v>1001</v>
      </c>
      <c r="I927" s="125" t="str">
        <f ca="1"/>
        <v>11109</v>
      </c>
      <c r="J927" s="125" t="str">
        <f ca="1"/>
        <v>YOG BBLE KIOSKO MOR BOT 950G</v>
      </c>
      <c r="K927" s="126">
        <f ca="1"/>
        <v>0</v>
      </c>
      <c r="L927" s="127">
        <f ca="1"/>
        <v>1</v>
      </c>
      <c r="M927" s="125">
        <f ca="1"/>
        <v>0.95</v>
      </c>
      <c r="N927" s="126">
        <f ca="1"/>
        <v>45</v>
      </c>
      <c r="O927" s="128">
        <f ca="1"/>
        <v>45596</v>
      </c>
      <c r="P927" s="128" t="str">
        <f ca="1"/>
        <v>jueves</v>
      </c>
      <c r="Q927" s="129">
        <f ca="1"/>
        <v>45596</v>
      </c>
      <c r="R927" s="129">
        <f ca="1"/>
        <v>45640</v>
      </c>
      <c r="S927" s="89">
        <f ca="1"/>
        <v>16</v>
      </c>
      <c r="T927" s="143">
        <f ca="1"/>
        <v>0.35555555555555557</v>
      </c>
      <c r="U927" s="281">
        <f ca="1"/>
        <v>42</v>
      </c>
      <c r="V927" s="125">
        <f ca="1"/>
        <v>39.9</v>
      </c>
      <c r="W927" s="144">
        <f ca="1"/>
        <v>0</v>
      </c>
      <c r="X927" s="143">
        <f ca="1"/>
        <v>1</v>
      </c>
      <c r="Y927" s="145">
        <f ca="1"/>
        <v>1.02759</v>
      </c>
      <c r="Z927" s="145">
        <f ca="1"/>
        <v>1.02759</v>
      </c>
      <c r="AA927" s="125">
        <f ca="1"/>
        <v>41.000841000000001</v>
      </c>
      <c r="AB927" s="125">
        <f ca="1"/>
        <v>28</v>
      </c>
      <c r="AC927" s="98" t="str">
        <f ca="1"/>
        <v>FECHA CORTA</v>
      </c>
      <c r="AD927" s="147">
        <f ca="1"/>
        <v>3.9899999999999998E-2</v>
      </c>
    </row>
    <row r="928" spans="1:30">
      <c r="A928">
        <f ca="1"/>
        <v>0</v>
      </c>
      <c r="B928">
        <f ca="1"/>
        <v>0</v>
      </c>
      <c r="C928">
        <f ca="1"/>
        <v>0</v>
      </c>
      <c r="D928">
        <f ca="1"/>
        <v>0</v>
      </c>
      <c r="E928">
        <f ca="1"/>
        <v>0</v>
      </c>
      <c r="F928" s="125" t="str">
        <f ca="1"/>
        <v>SAN GABRIEL</v>
      </c>
      <c r="G928" s="125">
        <f ca="1"/>
        <v>7702</v>
      </c>
      <c r="H928" s="125">
        <f ca="1"/>
        <v>1001</v>
      </c>
      <c r="I928" s="125" t="str">
        <f ca="1"/>
        <v>11105</v>
      </c>
      <c r="J928" s="125" t="str">
        <f ca="1"/>
        <v>YOG BBLE KIOSKO FTLLA BOT 950G</v>
      </c>
      <c r="K928" s="126">
        <f ca="1"/>
        <v>0</v>
      </c>
      <c r="L928" s="127">
        <f ca="1"/>
        <v>1</v>
      </c>
      <c r="M928" s="125">
        <f ca="1"/>
        <v>0.95</v>
      </c>
      <c r="N928" s="126">
        <f ca="1"/>
        <v>45</v>
      </c>
      <c r="O928" s="128">
        <f ca="1"/>
        <v>45596</v>
      </c>
      <c r="P928" s="128" t="str">
        <f ca="1"/>
        <v>jueves</v>
      </c>
      <c r="Q928" s="129">
        <f ca="1"/>
        <v>45596</v>
      </c>
      <c r="R928" s="129">
        <f ca="1"/>
        <v>45640</v>
      </c>
      <c r="S928" s="89">
        <f ca="1"/>
        <v>16</v>
      </c>
      <c r="T928" s="143">
        <f ca="1"/>
        <v>0.35555555555555557</v>
      </c>
      <c r="U928" s="281">
        <f ca="1"/>
        <v>17</v>
      </c>
      <c r="V928" s="125">
        <f ca="1"/>
        <v>16.149999999999999</v>
      </c>
      <c r="W928" s="144">
        <f ca="1"/>
        <v>0</v>
      </c>
      <c r="X928" s="143">
        <f ca="1"/>
        <v>1</v>
      </c>
      <c r="Y928" s="145">
        <f ca="1"/>
        <v>1.0303550000000001</v>
      </c>
      <c r="Z928" s="145">
        <f ca="1"/>
        <v>1.0303550000000001</v>
      </c>
      <c r="AA928" s="125">
        <f ca="1"/>
        <v>16.640233250000001</v>
      </c>
      <c r="AB928" s="125">
        <f ca="1"/>
        <v>28</v>
      </c>
      <c r="AC928" s="98" t="str">
        <f ca="1"/>
        <v>FECHA CORTA</v>
      </c>
      <c r="AD928" s="147">
        <f ca="1"/>
        <v>1.6149999999999998E-2</v>
      </c>
    </row>
    <row r="929" spans="1:30">
      <c r="A929">
        <f ca="1"/>
        <v>0</v>
      </c>
      <c r="B929">
        <f ca="1"/>
        <v>0</v>
      </c>
      <c r="C929">
        <f ca="1"/>
        <v>0</v>
      </c>
      <c r="D929">
        <f ca="1"/>
        <v>0</v>
      </c>
      <c r="E929">
        <f ca="1"/>
        <v>0</v>
      </c>
      <c r="F929" s="125" t="str">
        <f ca="1"/>
        <v>SAN GABRIEL</v>
      </c>
      <c r="G929" s="125">
        <f ca="1"/>
        <v>7702</v>
      </c>
      <c r="H929" s="125">
        <f ca="1"/>
        <v>1001</v>
      </c>
      <c r="I929" s="125" t="str">
        <f ca="1"/>
        <v>11107</v>
      </c>
      <c r="J929" s="125" t="str">
        <f ca="1"/>
        <v>YOG BBLE KIOSKO DZNO BOT 950G</v>
      </c>
      <c r="K929" s="126">
        <f ca="1"/>
        <v>0</v>
      </c>
      <c r="L929" s="127">
        <f ca="1"/>
        <v>1</v>
      </c>
      <c r="M929" s="125">
        <f ca="1"/>
        <v>0.95</v>
      </c>
      <c r="N929" s="126">
        <f ca="1"/>
        <v>45</v>
      </c>
      <c r="O929" s="128">
        <f ca="1"/>
        <v>45596</v>
      </c>
      <c r="P929" s="128" t="str">
        <f ca="1"/>
        <v>jueves</v>
      </c>
      <c r="Q929" s="129">
        <f ca="1"/>
        <v>45596</v>
      </c>
      <c r="R929" s="129">
        <f ca="1"/>
        <v>45640</v>
      </c>
      <c r="S929" s="89">
        <f ca="1"/>
        <v>16</v>
      </c>
      <c r="T929" s="143">
        <f ca="1"/>
        <v>0.35555555555555557</v>
      </c>
      <c r="U929" s="281">
        <f ca="1"/>
        <v>14</v>
      </c>
      <c r="V929" s="125">
        <f ca="1"/>
        <v>13.299999999999999</v>
      </c>
      <c r="W929" s="144">
        <f ca="1"/>
        <v>0</v>
      </c>
      <c r="X929" s="143">
        <f ca="1"/>
        <v>1</v>
      </c>
      <c r="Y929" s="145">
        <f ca="1"/>
        <v>1.055175</v>
      </c>
      <c r="Z929" s="145">
        <f ca="1"/>
        <v>1.055175</v>
      </c>
      <c r="AA929" s="125">
        <f ca="1"/>
        <v>14.033827499999999</v>
      </c>
      <c r="AB929" s="125">
        <f ca="1"/>
        <v>28</v>
      </c>
      <c r="AC929" s="98" t="str">
        <f ca="1"/>
        <v>FECHA CORTA</v>
      </c>
      <c r="AD929" s="147">
        <f ca="1"/>
        <v>1.3299999999999999E-2</v>
      </c>
    </row>
    <row r="930" spans="1:30">
      <c r="A930">
        <f ca="1"/>
        <v>0</v>
      </c>
      <c r="B930">
        <f ca="1"/>
        <v>0</v>
      </c>
      <c r="C930">
        <f ca="1"/>
        <v>0</v>
      </c>
      <c r="D930">
        <f ca="1"/>
        <v>0</v>
      </c>
      <c r="E930">
        <f ca="1"/>
        <v>0</v>
      </c>
      <c r="F930" s="125" t="str">
        <f ca="1"/>
        <v>SAN GABRIEL</v>
      </c>
      <c r="G930" s="125">
        <f ca="1"/>
        <v>7702</v>
      </c>
      <c r="H930" s="125">
        <f ca="1"/>
        <v>1001</v>
      </c>
      <c r="I930" s="125" t="str">
        <f ca="1"/>
        <v>4162</v>
      </c>
      <c r="J930" s="125" t="str">
        <f ca="1"/>
        <v>RGN BBLE FTLLA BOT 180G</v>
      </c>
      <c r="K930" s="126">
        <f ca="1"/>
        <v>0</v>
      </c>
      <c r="L930" s="127">
        <f ca="1"/>
        <v>1</v>
      </c>
      <c r="M930" s="125">
        <f ca="1"/>
        <v>0.18</v>
      </c>
      <c r="N930" s="126">
        <f ca="1"/>
        <v>45</v>
      </c>
      <c r="O930" s="128">
        <f ca="1"/>
        <v>45596</v>
      </c>
      <c r="P930" s="128" t="str">
        <f ca="1"/>
        <v>jueves</v>
      </c>
      <c r="Q930" s="129">
        <f ca="1"/>
        <v>45596</v>
      </c>
      <c r="R930" s="129">
        <f ca="1"/>
        <v>45640</v>
      </c>
      <c r="S930" s="89">
        <f ca="1"/>
        <v>16</v>
      </c>
      <c r="T930" s="143">
        <f ca="1"/>
        <v>0.35555555555555557</v>
      </c>
      <c r="U930" s="281">
        <f ca="1"/>
        <v>242</v>
      </c>
      <c r="V930" s="125">
        <f ca="1"/>
        <v>43.559999999999995</v>
      </c>
      <c r="W930" s="144">
        <f ca="1"/>
        <v>0</v>
      </c>
      <c r="X930" s="143">
        <f ca="1"/>
        <v>1</v>
      </c>
      <c r="Y930" s="145">
        <f ca="1"/>
        <v>0.30145500000000003</v>
      </c>
      <c r="Z930" s="145">
        <f ca="1"/>
        <v>0.30145500000000003</v>
      </c>
      <c r="AA930" s="125">
        <f ca="1"/>
        <v>13.131379799999999</v>
      </c>
      <c r="AB930" s="125">
        <f ca="1"/>
        <v>28</v>
      </c>
      <c r="AC930" s="98" t="str">
        <f ca="1"/>
        <v>FECHA CORTA</v>
      </c>
      <c r="AD930" s="147">
        <f ca="1"/>
        <v>4.3559999999999995E-2</v>
      </c>
    </row>
    <row r="931" spans="1:30">
      <c r="A931">
        <f ca="1"/>
        <v>0</v>
      </c>
      <c r="B931">
        <f ca="1"/>
        <v>0</v>
      </c>
      <c r="C931">
        <f ca="1"/>
        <v>0</v>
      </c>
      <c r="D931">
        <f ca="1"/>
        <v>0</v>
      </c>
      <c r="E931">
        <f ca="1"/>
        <v>0</v>
      </c>
      <c r="F931" s="125" t="str">
        <f ca="1"/>
        <v>SAN GABRIEL</v>
      </c>
      <c r="G931" s="125">
        <f ca="1"/>
        <v>7702</v>
      </c>
      <c r="H931" s="125">
        <f ca="1"/>
        <v>1001</v>
      </c>
      <c r="I931" s="125" t="str">
        <f ca="1"/>
        <v>4889</v>
      </c>
      <c r="J931" s="125" t="str">
        <f ca="1"/>
        <v>RGN TZOS MOR BOT 1000G</v>
      </c>
      <c r="K931" s="126">
        <f ca="1"/>
        <v>0</v>
      </c>
      <c r="L931" s="127">
        <f ca="1"/>
        <v>1</v>
      </c>
      <c r="M931" s="125">
        <f ca="1"/>
        <v>1</v>
      </c>
      <c r="N931" s="126">
        <f ca="1"/>
        <v>45</v>
      </c>
      <c r="O931" s="128">
        <f ca="1"/>
        <v>45596</v>
      </c>
      <c r="P931" s="128" t="str">
        <f ca="1"/>
        <v>jueves</v>
      </c>
      <c r="Q931" s="129">
        <f ca="1"/>
        <v>45596</v>
      </c>
      <c r="R931" s="129">
        <f ca="1"/>
        <v>45640</v>
      </c>
      <c r="S931" s="89">
        <f ca="1"/>
        <v>16</v>
      </c>
      <c r="T931" s="143">
        <f ca="1"/>
        <v>0.35555555555555557</v>
      </c>
      <c r="U931" s="281">
        <f ca="1"/>
        <v>9</v>
      </c>
      <c r="V931" s="125">
        <f ca="1"/>
        <v>9</v>
      </c>
      <c r="W931" s="144">
        <f ca="1"/>
        <v>0</v>
      </c>
      <c r="X931" s="143">
        <f ca="1"/>
        <v>1</v>
      </c>
      <c r="Y931" s="145">
        <f ca="1"/>
        <v>1.4067150000000002</v>
      </c>
      <c r="Z931" s="145">
        <f ca="1"/>
        <v>1.4067150000000002</v>
      </c>
      <c r="AA931" s="125">
        <f ca="1"/>
        <v>12.660435000000001</v>
      </c>
      <c r="AB931" s="125">
        <f ca="1"/>
        <v>28</v>
      </c>
      <c r="AC931" s="98" t="str">
        <f ca="1"/>
        <v>FECHA CORTA</v>
      </c>
      <c r="AD931" s="147">
        <f ca="1"/>
        <v>8.9999999999999993E-3</v>
      </c>
    </row>
    <row r="932" spans="1:30">
      <c r="A932">
        <f ca="1"/>
        <v>0</v>
      </c>
      <c r="B932">
        <f ca="1"/>
        <v>0</v>
      </c>
      <c r="C932">
        <f ca="1"/>
        <v>0</v>
      </c>
      <c r="D932">
        <f ca="1"/>
        <v>0</v>
      </c>
      <c r="E932">
        <f ca="1"/>
        <v>0</v>
      </c>
      <c r="F932" s="125" t="str">
        <f ca="1"/>
        <v>SAN GABRIEL</v>
      </c>
      <c r="G932" s="125">
        <f ca="1"/>
        <v>7702</v>
      </c>
      <c r="H932" s="125">
        <f ca="1"/>
        <v>1001</v>
      </c>
      <c r="I932" s="125" t="str">
        <f ca="1"/>
        <v>16373</v>
      </c>
      <c r="J932" s="125" t="str">
        <f ca="1"/>
        <v>YOG BBLE KIOSKO DZNO 180</v>
      </c>
      <c r="K932" s="126">
        <f ca="1"/>
        <v>0</v>
      </c>
      <c r="L932" s="127">
        <f ca="1"/>
        <v>1</v>
      </c>
      <c r="M932" s="125">
        <f ca="1"/>
        <v>0.18</v>
      </c>
      <c r="N932" s="126">
        <f ca="1"/>
        <v>45</v>
      </c>
      <c r="O932" s="128">
        <f ca="1"/>
        <v>45596</v>
      </c>
      <c r="P932" s="128" t="str">
        <f ca="1"/>
        <v>jueves</v>
      </c>
      <c r="Q932" s="129">
        <f ca="1"/>
        <v>45596</v>
      </c>
      <c r="R932" s="129">
        <f ca="1"/>
        <v>45640</v>
      </c>
      <c r="S932" s="89">
        <f ca="1"/>
        <v>16</v>
      </c>
      <c r="T932" s="143">
        <f ca="1"/>
        <v>0.35555555555555557</v>
      </c>
      <c r="U932" s="281">
        <f ca="1"/>
        <v>33</v>
      </c>
      <c r="V932" s="125">
        <f ca="1"/>
        <v>5.9399999999999995</v>
      </c>
      <c r="W932" s="144">
        <f ca="1"/>
        <v>0</v>
      </c>
      <c r="X932" s="143">
        <f ca="1"/>
        <v>1</v>
      </c>
      <c r="Y932" s="145">
        <f ca="1"/>
        <v>0.24857499999999999</v>
      </c>
      <c r="Z932" s="145">
        <f ca="1"/>
        <v>0.24857499999999999</v>
      </c>
      <c r="AA932" s="125">
        <f ca="1"/>
        <v>1.4765354999999998</v>
      </c>
      <c r="AB932" s="125">
        <f ca="1"/>
        <v>28</v>
      </c>
      <c r="AC932" s="98" t="str">
        <f ca="1"/>
        <v>FECHA CORTA</v>
      </c>
      <c r="AD932" s="147">
        <f ca="1"/>
        <v>5.9399999999999991E-3</v>
      </c>
    </row>
    <row r="933" spans="1:30">
      <c r="A933">
        <f ca="1"/>
        <v>0</v>
      </c>
      <c r="B933">
        <f ca="1"/>
        <v>0</v>
      </c>
      <c r="C933">
        <f ca="1"/>
        <v>0</v>
      </c>
      <c r="D933">
        <f ca="1"/>
        <v>0</v>
      </c>
      <c r="E933">
        <f ca="1"/>
        <v>0</v>
      </c>
      <c r="F933" s="125" t="str">
        <f ca="1"/>
        <v>SAN GABRIEL</v>
      </c>
      <c r="G933" s="125">
        <f ca="1"/>
        <v>7702</v>
      </c>
      <c r="H933" s="125">
        <f ca="1"/>
        <v>1001</v>
      </c>
      <c r="I933" s="125" t="str">
        <f ca="1"/>
        <v>16372</v>
      </c>
      <c r="J933" s="125" t="str">
        <f ca="1"/>
        <v>YOG BBLE KIOSKO FTILLA 180</v>
      </c>
      <c r="K933" s="126">
        <f ca="1"/>
        <v>0</v>
      </c>
      <c r="L933" s="127">
        <f ca="1"/>
        <v>1</v>
      </c>
      <c r="M933" s="125">
        <f ca="1"/>
        <v>0.18</v>
      </c>
      <c r="N933" s="126">
        <f ca="1"/>
        <v>45</v>
      </c>
      <c r="O933" s="128">
        <f ca="1"/>
        <v>45596</v>
      </c>
      <c r="P933" s="128" t="str">
        <f ca="1"/>
        <v>jueves</v>
      </c>
      <c r="Q933" s="129">
        <f ca="1"/>
        <v>45596</v>
      </c>
      <c r="R933" s="129">
        <f ca="1"/>
        <v>45640</v>
      </c>
      <c r="S933" s="89">
        <f ca="1"/>
        <v>16</v>
      </c>
      <c r="T933" s="143">
        <f ca="1"/>
        <v>0.35555555555555557</v>
      </c>
      <c r="U933" s="281">
        <f ca="1"/>
        <v>17</v>
      </c>
      <c r="V933" s="125">
        <f ca="1"/>
        <v>3.06</v>
      </c>
      <c r="W933" s="144">
        <f ca="1"/>
        <v>0</v>
      </c>
      <c r="X933" s="143">
        <f ca="1"/>
        <v>1</v>
      </c>
      <c r="Y933" s="145">
        <f ca="1"/>
        <v>0.24412500000000001</v>
      </c>
      <c r="Z933" s="145">
        <f ca="1"/>
        <v>0.24412500000000001</v>
      </c>
      <c r="AA933" s="125">
        <f ca="1"/>
        <v>0.74702250000000003</v>
      </c>
      <c r="AB933" s="125">
        <f ca="1"/>
        <v>28</v>
      </c>
      <c r="AC933" s="98" t="str">
        <f ca="1"/>
        <v>FECHA CORTA</v>
      </c>
      <c r="AD933" s="147">
        <f ca="1"/>
        <v>3.0600000000000002E-3</v>
      </c>
    </row>
    <row r="934" spans="1:30">
      <c r="A934">
        <f ca="1"/>
        <v>0</v>
      </c>
      <c r="B934">
        <f ca="1"/>
        <v>0</v>
      </c>
      <c r="C934">
        <f ca="1"/>
        <v>0</v>
      </c>
      <c r="D934">
        <f ca="1"/>
        <v>0</v>
      </c>
      <c r="E934">
        <f ca="1"/>
        <v>0</v>
      </c>
      <c r="F934" s="125" t="str">
        <f ca="1"/>
        <v>SAN GABRIEL</v>
      </c>
      <c r="G934" s="125">
        <f ca="1"/>
        <v>7702</v>
      </c>
      <c r="H934" s="125">
        <f ca="1"/>
        <v>1001</v>
      </c>
      <c r="I934" s="125" t="str">
        <f ca="1"/>
        <v>16374</v>
      </c>
      <c r="J934" s="125" t="str">
        <f ca="1"/>
        <v>YOG BBLE KIOSKO MORA 180</v>
      </c>
      <c r="K934" s="126">
        <f ca="1"/>
        <v>0</v>
      </c>
      <c r="L934" s="127">
        <f ca="1"/>
        <v>1</v>
      </c>
      <c r="M934" s="125">
        <f ca="1"/>
        <v>0.18</v>
      </c>
      <c r="N934" s="126">
        <f ca="1"/>
        <v>45</v>
      </c>
      <c r="O934" s="128">
        <f ca="1"/>
        <v>45596</v>
      </c>
      <c r="P934" s="128" t="str">
        <f ca="1"/>
        <v>jueves</v>
      </c>
      <c r="Q934" s="129">
        <f ca="1"/>
        <v>45596</v>
      </c>
      <c r="R934" s="129">
        <f ca="1"/>
        <v>45640</v>
      </c>
      <c r="S934" s="89">
        <f ca="1"/>
        <v>16</v>
      </c>
      <c r="T934" s="143">
        <f ca="1"/>
        <v>0.35555555555555557</v>
      </c>
      <c r="U934" s="281">
        <f ca="1"/>
        <v>44</v>
      </c>
      <c r="V934" s="125">
        <f ca="1"/>
        <v>7.92</v>
      </c>
      <c r="W934" s="144">
        <f ca="1"/>
        <v>0</v>
      </c>
      <c r="X934" s="143">
        <f ca="1"/>
        <v>1</v>
      </c>
      <c r="Y934" s="145">
        <f ca="1"/>
        <v>0.243175</v>
      </c>
      <c r="Z934" s="145">
        <f ca="1"/>
        <v>0.243175</v>
      </c>
      <c r="AA934" s="125">
        <f ca="1"/>
        <v>1.9259459999999999</v>
      </c>
      <c r="AB934" s="125">
        <f ca="1"/>
        <v>28</v>
      </c>
      <c r="AC934" s="98" t="str">
        <f ca="1"/>
        <v>FECHA CORTA</v>
      </c>
      <c r="AD934" s="147">
        <f ca="1"/>
        <v>7.92E-3</v>
      </c>
    </row>
    <row r="935" spans="1:30">
      <c r="A935">
        <f ca="1"/>
        <v>0</v>
      </c>
      <c r="B935">
        <f ca="1"/>
        <v>0</v>
      </c>
      <c r="C935">
        <f ca="1"/>
        <v>0</v>
      </c>
      <c r="D935">
        <f ca="1"/>
        <v>0</v>
      </c>
      <c r="E935">
        <f ca="1"/>
        <v>0</v>
      </c>
      <c r="F935" s="125" t="str">
        <f ca="1"/>
        <v>SAN GABRIEL</v>
      </c>
      <c r="G935" s="125">
        <f ca="1"/>
        <v>7702</v>
      </c>
      <c r="H935" s="125">
        <f ca="1"/>
        <v>1001</v>
      </c>
      <c r="I935" s="125" t="str">
        <f ca="1"/>
        <v>11954</v>
      </c>
      <c r="J935" s="125" t="str">
        <f ca="1"/>
        <v>YOG FNSSE FRTROJ BOT 180G</v>
      </c>
      <c r="K935" s="126">
        <f ca="1"/>
        <v>0</v>
      </c>
      <c r="L935" s="127">
        <f ca="1"/>
        <v>1</v>
      </c>
      <c r="M935" s="125">
        <f ca="1"/>
        <v>0.18</v>
      </c>
      <c r="N935" s="126">
        <f ca="1"/>
        <v>45</v>
      </c>
      <c r="O935" s="128">
        <f ca="1"/>
        <v>45596</v>
      </c>
      <c r="P935" s="128" t="str">
        <f ca="1"/>
        <v>jueves</v>
      </c>
      <c r="Q935" s="129">
        <f ca="1"/>
        <v>45596</v>
      </c>
      <c r="R935" s="129">
        <f ca="1"/>
        <v>45640</v>
      </c>
      <c r="S935" s="89">
        <f ca="1"/>
        <v>16</v>
      </c>
      <c r="T935" s="143">
        <f ca="1"/>
        <v>0.35555555555555557</v>
      </c>
      <c r="U935" s="281">
        <f ca="1"/>
        <v>50</v>
      </c>
      <c r="V935" s="125">
        <f ca="1"/>
        <v>9</v>
      </c>
      <c r="W935" s="144">
        <f ca="1"/>
        <v>0</v>
      </c>
      <c r="X935" s="143">
        <f ca="1"/>
        <v>1</v>
      </c>
      <c r="Y935" s="145">
        <f ca="1"/>
        <v>0.30833500000000003</v>
      </c>
      <c r="Z935" s="145">
        <f ca="1"/>
        <v>0.30833500000000003</v>
      </c>
      <c r="AA935" s="125">
        <f ca="1"/>
        <v>2.7750150000000002</v>
      </c>
      <c r="AB935" s="125">
        <f ca="1"/>
        <v>28</v>
      </c>
      <c r="AC935" s="98" t="str">
        <f ca="1"/>
        <v>FECHA CORTA</v>
      </c>
      <c r="AD935" s="147">
        <f ca="1"/>
        <v>8.9999999999999993E-3</v>
      </c>
    </row>
    <row r="936" spans="1:30">
      <c r="A936">
        <f ca="1"/>
        <v>0</v>
      </c>
      <c r="B936">
        <f ca="1"/>
        <v>0</v>
      </c>
      <c r="C936">
        <f ca="1"/>
        <v>0</v>
      </c>
      <c r="D936">
        <f ca="1"/>
        <v>0</v>
      </c>
      <c r="E936">
        <f ca="1"/>
        <v>0</v>
      </c>
      <c r="F936" s="125" t="str">
        <f ca="1"/>
        <v>SAN GABRIEL</v>
      </c>
      <c r="G936" s="125">
        <f ca="1"/>
        <v>7702</v>
      </c>
      <c r="H936" s="125">
        <f ca="1"/>
        <v>1001</v>
      </c>
      <c r="I936" s="125" t="str">
        <f ca="1"/>
        <v>16019</v>
      </c>
      <c r="J936" s="125" t="str">
        <f ca="1"/>
        <v>YOG FNSSE DURAZNO BOT 180G</v>
      </c>
      <c r="K936" s="126">
        <f ca="1"/>
        <v>0</v>
      </c>
      <c r="L936" s="127">
        <f ca="1"/>
        <v>1</v>
      </c>
      <c r="M936" s="125">
        <f ca="1"/>
        <v>0.18</v>
      </c>
      <c r="N936" s="126">
        <f ca="1"/>
        <v>45</v>
      </c>
      <c r="O936" s="128">
        <f ca="1"/>
        <v>45596</v>
      </c>
      <c r="P936" s="128" t="str">
        <f ca="1"/>
        <v>jueves</v>
      </c>
      <c r="Q936" s="129">
        <f ca="1"/>
        <v>45596</v>
      </c>
      <c r="R936" s="129">
        <f ca="1"/>
        <v>45640</v>
      </c>
      <c r="S936" s="89">
        <f ca="1"/>
        <v>16</v>
      </c>
      <c r="T936" s="143">
        <f ca="1"/>
        <v>0.35555555555555557</v>
      </c>
      <c r="U936" s="281">
        <f ca="1"/>
        <v>10</v>
      </c>
      <c r="V936" s="125">
        <f ca="1"/>
        <v>1.7999999999999998</v>
      </c>
      <c r="W936" s="144">
        <f ca="1"/>
        <v>0</v>
      </c>
      <c r="X936" s="143">
        <f ca="1"/>
        <v>1</v>
      </c>
      <c r="Y936" s="145">
        <f ca="1"/>
        <v>0.31489500000000004</v>
      </c>
      <c r="Z936" s="145">
        <f ca="1"/>
        <v>0.31489500000000004</v>
      </c>
      <c r="AA936" s="125">
        <f ca="1"/>
        <v>0.56681099999999995</v>
      </c>
      <c r="AB936" s="125" t="str">
        <f ca="1"/>
        <v/>
      </c>
      <c r="AC936" s="98" t="str">
        <f ca="1"/>
        <v>FECHA CORTA</v>
      </c>
      <c r="AD936" s="147">
        <f ca="1"/>
        <v>1.7999999999999997E-3</v>
      </c>
    </row>
    <row r="937" spans="1:30">
      <c r="A937">
        <f ca="1"/>
        <v>0</v>
      </c>
      <c r="B937">
        <f ca="1"/>
        <v>0</v>
      </c>
      <c r="C937">
        <f ca="1"/>
        <v>0</v>
      </c>
      <c r="D937">
        <f ca="1"/>
        <v>0</v>
      </c>
      <c r="E937">
        <f ca="1"/>
        <v>0</v>
      </c>
      <c r="F937" s="125" t="str">
        <f ca="1"/>
        <v>SAN GABRIEL</v>
      </c>
      <c r="G937" s="125">
        <f ca="1"/>
        <v>7702</v>
      </c>
      <c r="H937" s="125">
        <f ca="1"/>
        <v>1001</v>
      </c>
      <c r="I937" s="125" t="str">
        <f ca="1"/>
        <v>12528</v>
      </c>
      <c r="J937" s="125" t="str">
        <f ca="1"/>
        <v>RGN CER GDLLA BOT 1750G</v>
      </c>
      <c r="K937" s="126">
        <f ca="1"/>
        <v>0</v>
      </c>
      <c r="L937" s="127">
        <f ca="1"/>
        <v>1</v>
      </c>
      <c r="M937" s="125">
        <f ca="1"/>
        <v>1.75</v>
      </c>
      <c r="N937" s="126">
        <f ca="1"/>
        <v>45</v>
      </c>
      <c r="O937" s="128">
        <f ca="1"/>
        <v>45597</v>
      </c>
      <c r="P937" s="128" t="str">
        <f ca="1"/>
        <v>viernes</v>
      </c>
      <c r="Q937" s="129">
        <f ca="1"/>
        <v>45597</v>
      </c>
      <c r="R937" s="129">
        <f ca="1"/>
        <v>45641</v>
      </c>
      <c r="S937" s="89">
        <f ca="1"/>
        <v>17</v>
      </c>
      <c r="T937" s="143">
        <f ca="1"/>
        <v>0.37777777777777777</v>
      </c>
      <c r="U937" s="281">
        <f ca="1"/>
        <v>2</v>
      </c>
      <c r="V937" s="125">
        <f ca="1"/>
        <v>3.5</v>
      </c>
      <c r="W937" s="144">
        <f ca="1"/>
        <v>0</v>
      </c>
      <c r="X937" s="143">
        <f ca="1"/>
        <v>1</v>
      </c>
      <c r="Y937" s="145">
        <f ca="1"/>
        <v>2.164625</v>
      </c>
      <c r="Z937" s="145">
        <f ca="1"/>
        <v>2.164625</v>
      </c>
      <c r="AA937" s="125">
        <f ca="1"/>
        <v>7.5761874999999996</v>
      </c>
      <c r="AB937" s="125" t="str">
        <f ca="1"/>
        <v/>
      </c>
      <c r="AC937" s="98" t="str">
        <f ca="1"/>
        <v>FECHA CORTA</v>
      </c>
      <c r="AD937" s="147">
        <f ca="1"/>
        <v>3.5000000000000001E-3</v>
      </c>
    </row>
    <row r="938" spans="1:30">
      <c r="A938">
        <f ca="1"/>
        <v>0</v>
      </c>
      <c r="B938">
        <f ca="1"/>
        <v>0</v>
      </c>
      <c r="C938">
        <f ca="1"/>
        <v>0</v>
      </c>
      <c r="D938">
        <f ca="1"/>
        <v>0</v>
      </c>
      <c r="E938">
        <f ca="1"/>
        <v>0</v>
      </c>
      <c r="F938" s="125" t="str">
        <f ca="1"/>
        <v>SAN GABRIEL</v>
      </c>
      <c r="G938" s="125">
        <f ca="1"/>
        <v>7702</v>
      </c>
      <c r="H938" s="125">
        <f ca="1"/>
        <v>1001</v>
      </c>
      <c r="I938" s="125" t="str">
        <f ca="1"/>
        <v>11322</v>
      </c>
      <c r="J938" s="125" t="str">
        <f ca="1"/>
        <v>Q ESPAR CHED KIOSKO VASO 45G</v>
      </c>
      <c r="K938" s="126">
        <f ca="1"/>
        <v>0</v>
      </c>
      <c r="L938" s="127">
        <f ca="1"/>
        <v>1</v>
      </c>
      <c r="M938" s="125">
        <f ca="1"/>
        <v>4.4999999999999998E-2</v>
      </c>
      <c r="N938" s="126">
        <f ca="1"/>
        <v>90</v>
      </c>
      <c r="O938" s="128">
        <f ca="1"/>
        <v>45562</v>
      </c>
      <c r="P938" s="128" t="str">
        <f ca="1"/>
        <v>viernes</v>
      </c>
      <c r="Q938" s="129">
        <f ca="1"/>
        <v>45562</v>
      </c>
      <c r="R938" s="129">
        <f ca="1"/>
        <v>45651</v>
      </c>
      <c r="S938" s="89">
        <f ca="1"/>
        <v>27</v>
      </c>
      <c r="T938" s="143">
        <f ca="1"/>
        <v>0.3</v>
      </c>
      <c r="U938" s="281">
        <f ca="1"/>
        <v>295</v>
      </c>
      <c r="V938" s="125">
        <f ca="1"/>
        <v>13.275</v>
      </c>
      <c r="W938" s="144">
        <f ca="1"/>
        <v>0</v>
      </c>
      <c r="X938" s="143">
        <f ca="1"/>
        <v>1</v>
      </c>
      <c r="Y938" s="145">
        <f ca="1"/>
        <v>0.14824500000000002</v>
      </c>
      <c r="Z938" s="145">
        <f ca="1"/>
        <v>0.14824500000000002</v>
      </c>
      <c r="AA938" s="125">
        <f ca="1"/>
        <v>1.9679523750000003</v>
      </c>
      <c r="AB938" s="125">
        <f ca="1"/>
        <v>45624</v>
      </c>
      <c r="AC938" s="98" t="str">
        <f ca="1"/>
        <v>VIGENTE</v>
      </c>
      <c r="AD938" s="147">
        <f ca="1"/>
        <v>1.3275E-2</v>
      </c>
    </row>
  </sheetData>
  <sheetProtection selectLockedCells="1" selectUnlockedCells="1"/>
  <autoFilter ref="A6:AD844" xr:uid="{A3634CA3-3C09-4920-9289-F6DDFFAB98AE}"/>
  <mergeCells count="2">
    <mergeCell ref="I4:N4"/>
    <mergeCell ref="F2:I2"/>
  </mergeCells>
  <conditionalFormatting sqref="F210:H210">
    <cfRule type="expression" dxfId="9" priority="1">
      <formula>CELL("fila")=ROW()</formula>
    </cfRule>
  </conditionalFormatting>
  <conditionalFormatting sqref="S7:S711">
    <cfRule type="cellIs" dxfId="8" priority="11" stopIfTrue="1" operator="greaterThanOrEqual">
      <formula>27</formula>
    </cfRule>
    <cfRule type="cellIs" dxfId="7" priority="12" stopIfTrue="1" operator="lessThanOrEqual">
      <formula>0</formula>
    </cfRule>
    <cfRule type="cellIs" dxfId="6" priority="13" stopIfTrue="1" operator="lessThanOrEqual">
      <formula>20</formula>
    </cfRule>
    <cfRule type="cellIs" dxfId="5" priority="14" stopIfTrue="1" operator="between">
      <formula>26</formula>
      <formula>21</formula>
    </cfRule>
  </conditionalFormatting>
  <conditionalFormatting sqref="V7:W33">
    <cfRule type="cellIs" dxfId="4" priority="6" operator="lessThan">
      <formula>0</formula>
    </cfRule>
  </conditionalFormatting>
  <conditionalFormatting sqref="AB7:AC711">
    <cfRule type="cellIs" dxfId="3" priority="2" operator="equal">
      <formula>"CADUCADO"</formula>
    </cfRule>
    <cfRule type="cellIs" dxfId="2" priority="3" operator="equal">
      <formula>"VIGENTE"</formula>
    </cfRule>
    <cfRule type="cellIs" dxfId="1" priority="4" operator="equal">
      <formula>"FECHA CORTA"</formula>
    </cfRule>
    <cfRule type="cellIs" dxfId="0" priority="5" operator="equal">
      <formula>"PROXIMOS FECHA CORTA"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5C66-7C43-4E32-91AA-58ACF702E731}">
  <sheetPr>
    <tabColor rgb="FF99FF99"/>
  </sheetPr>
  <dimension ref="A1:F169"/>
  <sheetViews>
    <sheetView showGridLines="0" workbookViewId="0">
      <selection activeCell="H11" sqref="H11"/>
    </sheetView>
  </sheetViews>
  <sheetFormatPr baseColWidth="10" defaultColWidth="11.453125" defaultRowHeight="14.5"/>
  <cols>
    <col min="1" max="1" width="14.453125" style="47" customWidth="1"/>
    <col min="2" max="2" width="16.54296875" style="47" bestFit="1" customWidth="1"/>
    <col min="3" max="3" width="13.54296875" style="98" customWidth="1"/>
    <col min="4" max="4" width="17" style="47" customWidth="1"/>
    <col min="5" max="5" width="14.1796875" style="98" bestFit="1" customWidth="1"/>
    <col min="6" max="6" width="8.54296875" style="47" bestFit="1" customWidth="1"/>
    <col min="7" max="9" width="18.54296875" bestFit="1" customWidth="1"/>
  </cols>
  <sheetData>
    <row r="1" spans="1:6">
      <c r="B1" s="212" t="s">
        <v>4964</v>
      </c>
      <c r="C1" s="98" t="s">
        <v>4970</v>
      </c>
    </row>
    <row r="3" spans="1:6">
      <c r="A3" s="213" t="s">
        <v>5003</v>
      </c>
      <c r="B3" s="212" t="s">
        <v>4943</v>
      </c>
      <c r="C3" s="211" t="s">
        <v>4944</v>
      </c>
      <c r="D3" s="211" t="s">
        <v>5004</v>
      </c>
      <c r="E3" s="212" t="s">
        <v>4953</v>
      </c>
      <c r="F3" s="47" t="s">
        <v>5005</v>
      </c>
    </row>
    <row r="4" spans="1:6">
      <c r="A4" s="18">
        <f ca="1">IF(B4="","",TODAY())</f>
        <v>45624</v>
      </c>
      <c r="B4" s="256">
        <v>7701</v>
      </c>
      <c r="C4" s="282">
        <v>1080</v>
      </c>
      <c r="D4" s="47" t="s">
        <v>2557</v>
      </c>
      <c r="E4" s="18">
        <v>45642</v>
      </c>
      <c r="F4" s="256">
        <v>40</v>
      </c>
    </row>
    <row r="5" spans="1:6">
      <c r="A5" s="18">
        <f t="shared" ref="A5:A68" ca="1" si="0">IF(B5="","",TODAY())</f>
        <v>45624</v>
      </c>
      <c r="B5" s="256">
        <v>7701</v>
      </c>
      <c r="C5" s="282">
        <v>1080</v>
      </c>
      <c r="D5" s="47" t="s">
        <v>3133</v>
      </c>
      <c r="E5" s="18">
        <v>45635</v>
      </c>
      <c r="F5" s="256">
        <v>68</v>
      </c>
    </row>
    <row r="6" spans="1:6">
      <c r="A6" s="18">
        <f t="shared" ca="1" si="0"/>
        <v>45624</v>
      </c>
      <c r="B6" s="256">
        <v>7701</v>
      </c>
      <c r="C6" s="282">
        <v>1080</v>
      </c>
      <c r="D6" s="256" t="s">
        <v>1156</v>
      </c>
      <c r="E6" s="18">
        <v>45634</v>
      </c>
      <c r="F6" s="256">
        <v>77</v>
      </c>
    </row>
    <row r="7" spans="1:6">
      <c r="A7" s="18">
        <f t="shared" ca="1" si="0"/>
        <v>45624</v>
      </c>
      <c r="B7" s="256">
        <v>7701</v>
      </c>
      <c r="C7" s="282">
        <v>1080</v>
      </c>
      <c r="D7" s="47" t="s">
        <v>2845</v>
      </c>
      <c r="E7" s="18">
        <v>45634</v>
      </c>
      <c r="F7" s="256">
        <v>4</v>
      </c>
    </row>
    <row r="8" spans="1:6">
      <c r="A8" s="18">
        <f t="shared" ca="1" si="0"/>
        <v>45624</v>
      </c>
      <c r="B8" s="256">
        <v>7701</v>
      </c>
      <c r="C8" s="282">
        <v>1080</v>
      </c>
      <c r="D8" s="47" t="s">
        <v>2845</v>
      </c>
      <c r="E8" s="18">
        <v>45640</v>
      </c>
      <c r="F8" s="256">
        <v>8</v>
      </c>
    </row>
    <row r="9" spans="1:6">
      <c r="A9" s="18">
        <f t="shared" ca="1" si="0"/>
        <v>45624</v>
      </c>
      <c r="B9" s="256">
        <v>7701</v>
      </c>
      <c r="C9" s="282">
        <v>1080</v>
      </c>
      <c r="D9" s="256" t="s">
        <v>2966</v>
      </c>
      <c r="E9" s="18">
        <v>45640</v>
      </c>
      <c r="F9" s="256">
        <v>3</v>
      </c>
    </row>
    <row r="10" spans="1:6">
      <c r="A10" s="18">
        <f t="shared" ca="1" si="0"/>
        <v>45624</v>
      </c>
      <c r="B10" s="256">
        <v>7701</v>
      </c>
      <c r="C10" s="282">
        <v>1080</v>
      </c>
      <c r="D10" s="47" t="s">
        <v>1749</v>
      </c>
      <c r="E10" s="18">
        <v>45634</v>
      </c>
      <c r="F10" s="256">
        <v>126</v>
      </c>
    </row>
    <row r="11" spans="1:6">
      <c r="A11" s="18">
        <f t="shared" ca="1" si="0"/>
        <v>45624</v>
      </c>
      <c r="B11" s="256">
        <v>7701</v>
      </c>
      <c r="C11" s="282">
        <v>1080</v>
      </c>
      <c r="D11" s="47" t="s">
        <v>1878</v>
      </c>
      <c r="E11" s="18">
        <v>45637</v>
      </c>
      <c r="F11" s="256">
        <v>70.2</v>
      </c>
    </row>
    <row r="12" spans="1:6">
      <c r="A12" s="18">
        <f t="shared" ca="1" si="0"/>
        <v>45624</v>
      </c>
      <c r="B12" s="256">
        <v>7701</v>
      </c>
      <c r="C12" s="282">
        <v>1080</v>
      </c>
      <c r="D12" s="47" t="s">
        <v>1715</v>
      </c>
      <c r="E12" s="18">
        <v>45634</v>
      </c>
      <c r="F12" s="256">
        <v>13</v>
      </c>
    </row>
    <row r="13" spans="1:6">
      <c r="A13" s="18">
        <f t="shared" ca="1" si="0"/>
        <v>45624</v>
      </c>
      <c r="B13" s="256">
        <v>7701</v>
      </c>
      <c r="C13" s="282">
        <v>1080</v>
      </c>
      <c r="D13" s="256" t="s">
        <v>1191</v>
      </c>
      <c r="E13" s="18">
        <v>45640</v>
      </c>
      <c r="F13" s="256">
        <v>289</v>
      </c>
    </row>
    <row r="14" spans="1:6">
      <c r="A14" s="18">
        <f t="shared" ca="1" si="0"/>
        <v>45624</v>
      </c>
      <c r="B14" s="256">
        <v>7701</v>
      </c>
      <c r="C14" s="282">
        <v>1080</v>
      </c>
      <c r="D14" s="47" t="s">
        <v>3520</v>
      </c>
      <c r="E14" s="18">
        <v>45641</v>
      </c>
      <c r="F14" s="256">
        <v>15</v>
      </c>
    </row>
    <row r="15" spans="1:6">
      <c r="A15" s="18">
        <f t="shared" ca="1" si="0"/>
        <v>45624</v>
      </c>
      <c r="B15" s="256">
        <v>7701</v>
      </c>
      <c r="C15" s="282">
        <v>1080</v>
      </c>
      <c r="D15" s="47" t="s">
        <v>2433</v>
      </c>
      <c r="E15" s="18">
        <v>45640</v>
      </c>
      <c r="F15" s="256">
        <v>68</v>
      </c>
    </row>
    <row r="16" spans="1:6">
      <c r="A16" s="18">
        <f t="shared" ca="1" si="0"/>
        <v>45624</v>
      </c>
      <c r="B16" s="256">
        <v>7701</v>
      </c>
      <c r="C16" s="282">
        <v>1080</v>
      </c>
      <c r="D16" s="47" t="s">
        <v>4043</v>
      </c>
      <c r="E16" s="18">
        <v>45644</v>
      </c>
      <c r="F16" s="256">
        <v>8</v>
      </c>
    </row>
    <row r="17" spans="1:6">
      <c r="A17" s="18">
        <f t="shared" ca="1" si="0"/>
        <v>45624</v>
      </c>
      <c r="B17" s="256">
        <v>7701</v>
      </c>
      <c r="C17" s="282">
        <v>1080</v>
      </c>
      <c r="D17" s="47" t="s">
        <v>4043</v>
      </c>
      <c r="E17" s="18">
        <v>45632</v>
      </c>
      <c r="F17" s="256">
        <v>56</v>
      </c>
    </row>
    <row r="18" spans="1:6">
      <c r="A18" s="18">
        <f t="shared" ca="1" si="0"/>
        <v>45624</v>
      </c>
      <c r="B18" s="256">
        <v>7701</v>
      </c>
      <c r="C18" s="282">
        <v>1080</v>
      </c>
      <c r="D18" s="47" t="s">
        <v>4043</v>
      </c>
      <c r="E18" s="18">
        <v>45639</v>
      </c>
      <c r="F18" s="256">
        <v>5</v>
      </c>
    </row>
    <row r="19" spans="1:6">
      <c r="A19" s="18">
        <f t="shared" ca="1" si="0"/>
        <v>45624</v>
      </c>
      <c r="B19" s="256">
        <v>7701</v>
      </c>
      <c r="C19" s="282">
        <v>1080</v>
      </c>
      <c r="D19" s="47" t="s">
        <v>1712</v>
      </c>
      <c r="E19" s="18">
        <v>45635</v>
      </c>
      <c r="F19" s="256">
        <v>2</v>
      </c>
    </row>
    <row r="20" spans="1:6">
      <c r="A20" s="18">
        <f t="shared" ca="1" si="0"/>
        <v>45624</v>
      </c>
      <c r="B20" s="256">
        <v>7701</v>
      </c>
      <c r="C20" s="282">
        <v>1080</v>
      </c>
      <c r="D20" s="47" t="s">
        <v>1712</v>
      </c>
      <c r="E20" s="18">
        <v>45639</v>
      </c>
      <c r="F20" s="256">
        <v>19</v>
      </c>
    </row>
    <row r="21" spans="1:6">
      <c r="A21" s="18">
        <f t="shared" ca="1" si="0"/>
        <v>45624</v>
      </c>
      <c r="B21" s="256">
        <v>7701</v>
      </c>
      <c r="C21" s="282">
        <v>1080</v>
      </c>
      <c r="D21" s="256" t="s">
        <v>4086</v>
      </c>
      <c r="E21" s="18">
        <v>45634</v>
      </c>
      <c r="F21" s="256">
        <v>74</v>
      </c>
    </row>
    <row r="22" spans="1:6">
      <c r="A22" s="18">
        <f t="shared" ca="1" si="0"/>
        <v>45624</v>
      </c>
      <c r="B22" s="256">
        <v>7701</v>
      </c>
      <c r="C22" s="282">
        <v>1080</v>
      </c>
      <c r="D22" s="256" t="s">
        <v>4146</v>
      </c>
      <c r="E22" s="18">
        <v>45634</v>
      </c>
      <c r="F22" s="256">
        <v>105</v>
      </c>
    </row>
    <row r="23" spans="1:6">
      <c r="A23" s="18">
        <f t="shared" ca="1" si="0"/>
        <v>45624</v>
      </c>
      <c r="B23" s="256">
        <v>7701</v>
      </c>
      <c r="C23" s="282">
        <v>1080</v>
      </c>
      <c r="D23" s="47" t="s">
        <v>771</v>
      </c>
      <c r="E23" s="18">
        <v>45639</v>
      </c>
      <c r="F23" s="256">
        <v>13</v>
      </c>
    </row>
    <row r="24" spans="1:6">
      <c r="A24" s="18">
        <f t="shared" ca="1" si="0"/>
        <v>45624</v>
      </c>
      <c r="B24" s="256">
        <v>7701</v>
      </c>
      <c r="C24" s="282">
        <v>1080</v>
      </c>
      <c r="D24" s="256" t="s">
        <v>3892</v>
      </c>
      <c r="E24" s="18">
        <v>45639</v>
      </c>
      <c r="F24" s="256">
        <v>37</v>
      </c>
    </row>
    <row r="25" spans="1:6">
      <c r="A25" s="18">
        <f t="shared" ca="1" si="0"/>
        <v>45624</v>
      </c>
      <c r="B25" s="256">
        <v>7701</v>
      </c>
      <c r="C25" s="282">
        <v>1080</v>
      </c>
      <c r="D25" s="47" t="s">
        <v>4014</v>
      </c>
      <c r="E25" s="18">
        <v>45637</v>
      </c>
      <c r="F25" s="256">
        <v>22</v>
      </c>
    </row>
    <row r="26" spans="1:6">
      <c r="A26" s="18">
        <f t="shared" ca="1" si="0"/>
        <v>45624</v>
      </c>
      <c r="B26" s="256">
        <v>7701</v>
      </c>
      <c r="C26" s="282">
        <v>1080</v>
      </c>
      <c r="D26" s="47" t="s">
        <v>3221</v>
      </c>
      <c r="E26" s="18">
        <v>45640</v>
      </c>
      <c r="F26" s="256">
        <v>401</v>
      </c>
    </row>
    <row r="27" spans="1:6">
      <c r="A27" s="18">
        <f t="shared" ca="1" si="0"/>
        <v>45624</v>
      </c>
      <c r="B27" s="256">
        <v>7701</v>
      </c>
      <c r="C27" s="282">
        <v>1080</v>
      </c>
      <c r="D27" s="47" t="s">
        <v>4016</v>
      </c>
      <c r="E27" s="18">
        <v>45640</v>
      </c>
      <c r="F27" s="256">
        <v>32</v>
      </c>
    </row>
    <row r="28" spans="1:6">
      <c r="A28" s="18">
        <f t="shared" ca="1" si="0"/>
        <v>45624</v>
      </c>
      <c r="B28" s="256">
        <v>7702</v>
      </c>
      <c r="C28" s="282">
        <v>1001</v>
      </c>
      <c r="D28" s="47" t="s">
        <v>3060</v>
      </c>
      <c r="E28" s="18">
        <v>45640</v>
      </c>
      <c r="F28" s="256">
        <v>17</v>
      </c>
    </row>
    <row r="29" spans="1:6">
      <c r="A29" s="18">
        <f t="shared" ca="1" si="0"/>
        <v>45624</v>
      </c>
      <c r="B29" s="256">
        <v>7702</v>
      </c>
      <c r="C29" s="282">
        <v>1001</v>
      </c>
      <c r="D29" s="47" t="s">
        <v>3139</v>
      </c>
      <c r="E29" s="18">
        <v>45634</v>
      </c>
      <c r="F29" s="256">
        <v>4</v>
      </c>
    </row>
    <row r="30" spans="1:6">
      <c r="A30" s="18">
        <f t="shared" ca="1" si="0"/>
        <v>45624</v>
      </c>
      <c r="B30" s="256">
        <v>7702</v>
      </c>
      <c r="C30" s="282">
        <v>1001</v>
      </c>
      <c r="D30" s="47" t="s">
        <v>3055</v>
      </c>
      <c r="E30" s="18">
        <v>45627</v>
      </c>
      <c r="F30" s="256">
        <v>4</v>
      </c>
    </row>
    <row r="31" spans="1:6">
      <c r="A31" s="18">
        <f t="shared" ca="1" si="0"/>
        <v>45624</v>
      </c>
      <c r="B31" s="256">
        <v>7702</v>
      </c>
      <c r="C31" s="282">
        <v>1001</v>
      </c>
      <c r="D31" s="47" t="s">
        <v>3055</v>
      </c>
      <c r="E31" s="18">
        <v>45640</v>
      </c>
      <c r="F31" s="256">
        <v>14</v>
      </c>
    </row>
    <row r="32" spans="1:6">
      <c r="A32" s="18">
        <f t="shared" ca="1" si="0"/>
        <v>45624</v>
      </c>
      <c r="B32" s="256">
        <v>7702</v>
      </c>
      <c r="C32" s="282">
        <v>1001</v>
      </c>
      <c r="D32" s="47" t="s">
        <v>4011</v>
      </c>
      <c r="E32" s="18">
        <v>45634</v>
      </c>
      <c r="F32" s="256">
        <v>22</v>
      </c>
    </row>
    <row r="33" spans="1:6">
      <c r="A33" s="18">
        <f t="shared" ca="1" si="0"/>
        <v>45624</v>
      </c>
      <c r="B33" s="256">
        <v>7702</v>
      </c>
      <c r="C33" s="282">
        <v>1001</v>
      </c>
      <c r="D33" s="47" t="s">
        <v>3223</v>
      </c>
      <c r="E33" s="18">
        <v>45640</v>
      </c>
      <c r="F33" s="256">
        <v>42</v>
      </c>
    </row>
    <row r="34" spans="1:6">
      <c r="A34" s="18">
        <f t="shared" ca="1" si="0"/>
        <v>45624</v>
      </c>
      <c r="B34" s="256">
        <v>7702</v>
      </c>
      <c r="C34" s="282">
        <v>1001</v>
      </c>
      <c r="D34" s="47" t="s">
        <v>4413</v>
      </c>
      <c r="E34" s="18">
        <v>45634</v>
      </c>
      <c r="F34" s="256">
        <v>18</v>
      </c>
    </row>
    <row r="35" spans="1:6">
      <c r="A35" s="18">
        <f t="shared" ca="1" si="0"/>
        <v>45624</v>
      </c>
      <c r="B35" s="256">
        <v>7702</v>
      </c>
      <c r="C35" s="282">
        <v>1001</v>
      </c>
      <c r="D35" s="47" t="s">
        <v>4413</v>
      </c>
      <c r="E35" s="18">
        <v>45640</v>
      </c>
      <c r="F35" s="256">
        <v>50</v>
      </c>
    </row>
    <row r="36" spans="1:6">
      <c r="A36" s="18">
        <f t="shared" ca="1" si="0"/>
        <v>45624</v>
      </c>
      <c r="B36" s="256">
        <v>7702</v>
      </c>
      <c r="C36" s="282">
        <v>1001</v>
      </c>
      <c r="D36" s="47" t="s">
        <v>1618</v>
      </c>
      <c r="E36" s="18">
        <v>45641</v>
      </c>
      <c r="F36" s="256">
        <v>2</v>
      </c>
    </row>
    <row r="37" spans="1:6">
      <c r="A37" s="18">
        <f t="shared" ca="1" si="0"/>
        <v>45624</v>
      </c>
      <c r="B37" s="256">
        <v>7702</v>
      </c>
      <c r="C37" s="282">
        <v>1001</v>
      </c>
      <c r="D37" s="47" t="s">
        <v>1156</v>
      </c>
      <c r="E37" s="18">
        <v>45634</v>
      </c>
      <c r="F37" s="256">
        <v>27</v>
      </c>
    </row>
    <row r="38" spans="1:6">
      <c r="A38" s="18">
        <f t="shared" ca="1" si="0"/>
        <v>45624</v>
      </c>
      <c r="B38" s="256">
        <v>7702</v>
      </c>
      <c r="C38" s="282">
        <v>1001</v>
      </c>
      <c r="D38" s="256" t="s">
        <v>4308</v>
      </c>
      <c r="E38" s="18">
        <v>45632</v>
      </c>
      <c r="F38" s="256">
        <v>10</v>
      </c>
    </row>
    <row r="39" spans="1:6">
      <c r="A39" s="18">
        <f t="shared" ca="1" si="0"/>
        <v>45624</v>
      </c>
      <c r="B39" s="256">
        <v>7702</v>
      </c>
      <c r="C39" s="282">
        <v>1001</v>
      </c>
      <c r="D39" s="47" t="s">
        <v>765</v>
      </c>
      <c r="E39" s="18">
        <v>45639</v>
      </c>
      <c r="F39" s="256">
        <v>31</v>
      </c>
    </row>
    <row r="40" spans="1:6">
      <c r="A40" s="18">
        <f t="shared" ca="1" si="0"/>
        <v>45624</v>
      </c>
      <c r="B40" s="256">
        <v>7702</v>
      </c>
      <c r="C40" s="282">
        <v>1001</v>
      </c>
      <c r="D40" s="47" t="s">
        <v>1715</v>
      </c>
      <c r="E40" s="18">
        <v>45634</v>
      </c>
      <c r="F40" s="256">
        <v>6</v>
      </c>
    </row>
    <row r="41" spans="1:6">
      <c r="A41" s="18">
        <f t="shared" ca="1" si="0"/>
        <v>45624</v>
      </c>
      <c r="B41" s="256">
        <v>7702</v>
      </c>
      <c r="C41" s="282">
        <v>1001</v>
      </c>
      <c r="D41" s="47" t="s">
        <v>2843</v>
      </c>
      <c r="E41" s="18">
        <v>45627</v>
      </c>
      <c r="F41" s="256">
        <v>12</v>
      </c>
    </row>
    <row r="42" spans="1:6">
      <c r="A42" s="18">
        <f t="shared" ca="1" si="0"/>
        <v>45624</v>
      </c>
      <c r="B42" s="256">
        <v>7702</v>
      </c>
      <c r="C42" s="282">
        <v>1001</v>
      </c>
      <c r="D42" s="47" t="s">
        <v>3002</v>
      </c>
      <c r="E42" s="18">
        <v>45640</v>
      </c>
      <c r="F42" s="256">
        <v>10</v>
      </c>
    </row>
    <row r="43" spans="1:6">
      <c r="A43" s="18">
        <f t="shared" ca="1" si="0"/>
        <v>45624</v>
      </c>
      <c r="B43" s="256">
        <v>7702</v>
      </c>
      <c r="C43" s="282">
        <v>1001</v>
      </c>
      <c r="D43" s="47" t="s">
        <v>1191</v>
      </c>
      <c r="E43" s="18">
        <v>45627</v>
      </c>
      <c r="F43" s="256">
        <v>50</v>
      </c>
    </row>
    <row r="44" spans="1:6">
      <c r="A44" s="18">
        <f t="shared" ca="1" si="0"/>
        <v>45624</v>
      </c>
      <c r="B44" s="256">
        <v>7702</v>
      </c>
      <c r="C44" s="282">
        <v>1001</v>
      </c>
      <c r="D44" s="47" t="s">
        <v>4019</v>
      </c>
      <c r="E44" s="18">
        <v>45640</v>
      </c>
      <c r="F44" s="256">
        <v>17</v>
      </c>
    </row>
    <row r="45" spans="1:6">
      <c r="A45" s="18">
        <f t="shared" ca="1" si="0"/>
        <v>45624</v>
      </c>
      <c r="B45" s="256">
        <v>7702</v>
      </c>
      <c r="C45" s="282">
        <v>1001</v>
      </c>
      <c r="D45" s="47" t="s">
        <v>920</v>
      </c>
      <c r="E45" s="18">
        <v>45640</v>
      </c>
      <c r="F45" s="256">
        <v>33</v>
      </c>
    </row>
    <row r="46" spans="1:6">
      <c r="A46" s="18">
        <f t="shared" ca="1" si="0"/>
        <v>45624</v>
      </c>
      <c r="B46" s="256">
        <v>7702</v>
      </c>
      <c r="C46" s="282">
        <v>1001</v>
      </c>
      <c r="D46" s="47" t="s">
        <v>1543</v>
      </c>
      <c r="E46" s="18">
        <v>45640</v>
      </c>
      <c r="F46" s="256">
        <v>44</v>
      </c>
    </row>
    <row r="47" spans="1:6">
      <c r="A47" s="18">
        <f t="shared" ca="1" si="0"/>
        <v>45624</v>
      </c>
      <c r="B47" s="256">
        <v>7702</v>
      </c>
      <c r="C47" s="282">
        <v>1001</v>
      </c>
      <c r="D47" s="47" t="s">
        <v>1712</v>
      </c>
      <c r="E47" s="18">
        <v>45639</v>
      </c>
      <c r="F47" s="256">
        <v>21</v>
      </c>
    </row>
    <row r="48" spans="1:6">
      <c r="A48" s="18">
        <f t="shared" ca="1" si="0"/>
        <v>45624</v>
      </c>
      <c r="B48" s="256">
        <v>7702</v>
      </c>
      <c r="C48" s="282">
        <v>1001</v>
      </c>
      <c r="D48" s="47" t="s">
        <v>1871</v>
      </c>
      <c r="E48" s="18">
        <v>45631</v>
      </c>
      <c r="F48" s="256">
        <v>4</v>
      </c>
    </row>
    <row r="49" spans="1:6">
      <c r="A49" s="18">
        <f t="shared" ca="1" si="0"/>
        <v>45624</v>
      </c>
      <c r="B49" s="256">
        <v>7702</v>
      </c>
      <c r="C49" s="282">
        <v>1001</v>
      </c>
      <c r="D49" s="256" t="s">
        <v>4086</v>
      </c>
      <c r="E49" s="18">
        <v>45634</v>
      </c>
      <c r="F49" s="256">
        <v>7</v>
      </c>
    </row>
    <row r="50" spans="1:6">
      <c r="A50" s="18">
        <f t="shared" ca="1" si="0"/>
        <v>45624</v>
      </c>
      <c r="B50" s="256">
        <v>7702</v>
      </c>
      <c r="C50" s="282">
        <v>1001</v>
      </c>
      <c r="D50" s="47" t="s">
        <v>3209</v>
      </c>
      <c r="E50" s="18">
        <v>45627</v>
      </c>
      <c r="F50" s="256">
        <v>10</v>
      </c>
    </row>
    <row r="51" spans="1:6">
      <c r="A51" s="18">
        <f t="shared" ca="1" si="0"/>
        <v>45624</v>
      </c>
      <c r="B51" s="256">
        <v>7702</v>
      </c>
      <c r="C51" s="282">
        <v>1001</v>
      </c>
      <c r="D51" s="47" t="s">
        <v>3212</v>
      </c>
      <c r="E51" s="18">
        <v>45640</v>
      </c>
      <c r="F51" s="256">
        <v>242</v>
      </c>
    </row>
    <row r="52" spans="1:6">
      <c r="A52" s="18">
        <f t="shared" ca="1" si="0"/>
        <v>45624</v>
      </c>
      <c r="B52" s="256">
        <v>7702</v>
      </c>
      <c r="C52" s="282">
        <v>1001</v>
      </c>
      <c r="D52" s="47" t="s">
        <v>2429</v>
      </c>
      <c r="E52" s="18">
        <v>45633</v>
      </c>
      <c r="F52" s="256">
        <v>8</v>
      </c>
    </row>
    <row r="53" spans="1:6">
      <c r="A53" s="18">
        <f t="shared" ca="1" si="0"/>
        <v>45624</v>
      </c>
      <c r="B53" s="256">
        <v>7702</v>
      </c>
      <c r="C53" s="282">
        <v>1001</v>
      </c>
      <c r="D53" s="47" t="s">
        <v>3127</v>
      </c>
      <c r="E53" s="18">
        <v>45640</v>
      </c>
      <c r="F53" s="256">
        <v>9</v>
      </c>
    </row>
    <row r="54" spans="1:6">
      <c r="A54" s="18">
        <f t="shared" ca="1" si="0"/>
        <v>45624</v>
      </c>
      <c r="B54" s="256">
        <v>7702</v>
      </c>
      <c r="C54" s="282">
        <v>1001</v>
      </c>
      <c r="D54" s="47" t="s">
        <v>1763</v>
      </c>
      <c r="E54" s="18">
        <v>45627</v>
      </c>
      <c r="F54" s="256">
        <v>8</v>
      </c>
    </row>
    <row r="55" spans="1:6">
      <c r="A55" s="18">
        <f t="shared" ca="1" si="0"/>
        <v>45624</v>
      </c>
      <c r="B55" s="256">
        <v>7702</v>
      </c>
      <c r="C55" s="282">
        <v>1001</v>
      </c>
      <c r="D55" s="47" t="s">
        <v>4279</v>
      </c>
      <c r="E55" s="18">
        <v>45632</v>
      </c>
      <c r="F55" s="256">
        <v>8</v>
      </c>
    </row>
    <row r="56" spans="1:6">
      <c r="A56" s="18">
        <f t="shared" ca="1" si="0"/>
        <v>45624</v>
      </c>
      <c r="B56" s="256">
        <v>7702</v>
      </c>
      <c r="C56" s="282">
        <v>1001</v>
      </c>
      <c r="D56" s="47" t="s">
        <v>4293</v>
      </c>
      <c r="E56" s="18">
        <v>45631</v>
      </c>
      <c r="F56" s="256">
        <v>120</v>
      </c>
    </row>
    <row r="57" spans="1:6">
      <c r="A57" s="18">
        <f t="shared" ca="1" si="0"/>
        <v>45624</v>
      </c>
      <c r="B57" s="256">
        <v>7702</v>
      </c>
      <c r="C57" s="282">
        <v>1001</v>
      </c>
      <c r="D57" s="256" t="s">
        <v>4381</v>
      </c>
      <c r="E57" s="18">
        <v>45627</v>
      </c>
      <c r="F57" s="256">
        <v>4</v>
      </c>
    </row>
    <row r="58" spans="1:6">
      <c r="A58" s="18">
        <f t="shared" ca="1" si="0"/>
        <v>45624</v>
      </c>
      <c r="B58" s="256">
        <v>7711</v>
      </c>
      <c r="C58" s="47">
        <v>1001</v>
      </c>
      <c r="D58" s="47" t="s">
        <v>868</v>
      </c>
      <c r="E58" s="18">
        <v>45641</v>
      </c>
      <c r="F58" s="256">
        <v>6</v>
      </c>
    </row>
    <row r="59" spans="1:6">
      <c r="A59" s="18">
        <f t="shared" ca="1" si="0"/>
        <v>45624</v>
      </c>
      <c r="B59" s="256">
        <v>7711</v>
      </c>
      <c r="C59" s="47">
        <v>1001</v>
      </c>
      <c r="D59" s="47" t="s">
        <v>1604</v>
      </c>
      <c r="E59" s="18">
        <v>45641</v>
      </c>
      <c r="F59" s="256">
        <v>1</v>
      </c>
    </row>
    <row r="60" spans="1:6">
      <c r="A60" s="18">
        <f t="shared" ca="1" si="0"/>
        <v>45624</v>
      </c>
      <c r="B60" s="256">
        <v>7711</v>
      </c>
      <c r="C60" s="47">
        <v>1001</v>
      </c>
      <c r="D60" s="47" t="s">
        <v>2587</v>
      </c>
      <c r="E60" s="18">
        <v>45641</v>
      </c>
      <c r="F60" s="256">
        <v>105</v>
      </c>
    </row>
    <row r="61" spans="1:6">
      <c r="A61" s="18">
        <f t="shared" ca="1" si="0"/>
        <v>45624</v>
      </c>
      <c r="B61" s="256">
        <v>7711</v>
      </c>
      <c r="C61" s="47">
        <v>1001</v>
      </c>
      <c r="D61" s="47" t="s">
        <v>3139</v>
      </c>
      <c r="E61" s="18">
        <v>45634</v>
      </c>
      <c r="F61" s="256">
        <v>12</v>
      </c>
    </row>
    <row r="62" spans="1:6">
      <c r="A62" s="18">
        <f t="shared" ca="1" si="0"/>
        <v>45624</v>
      </c>
      <c r="B62" s="256">
        <v>7711</v>
      </c>
      <c r="C62" s="47">
        <v>1001</v>
      </c>
      <c r="D62" s="47" t="s">
        <v>3139</v>
      </c>
      <c r="E62" s="18">
        <v>45640</v>
      </c>
      <c r="F62" s="256">
        <v>16</v>
      </c>
    </row>
    <row r="63" spans="1:6">
      <c r="A63" s="18">
        <f t="shared" ca="1" si="0"/>
        <v>45624</v>
      </c>
      <c r="B63" s="256">
        <v>7711</v>
      </c>
      <c r="C63" s="47">
        <v>1001</v>
      </c>
      <c r="D63" s="47" t="s">
        <v>3055</v>
      </c>
      <c r="E63" s="18">
        <v>45640</v>
      </c>
      <c r="F63" s="256">
        <v>7</v>
      </c>
    </row>
    <row r="64" spans="1:6">
      <c r="A64" s="18">
        <f t="shared" ca="1" si="0"/>
        <v>45624</v>
      </c>
      <c r="B64" s="256">
        <v>7711</v>
      </c>
      <c r="C64" s="47">
        <v>1001</v>
      </c>
      <c r="D64" s="47" t="s">
        <v>4011</v>
      </c>
      <c r="E64" s="18">
        <v>45634</v>
      </c>
      <c r="F64" s="256">
        <v>24</v>
      </c>
    </row>
    <row r="65" spans="1:6">
      <c r="A65" s="18">
        <f t="shared" ca="1" si="0"/>
        <v>45624</v>
      </c>
      <c r="B65" s="256">
        <v>7711</v>
      </c>
      <c r="C65" s="47">
        <v>1001</v>
      </c>
      <c r="D65" s="47" t="s">
        <v>4011</v>
      </c>
      <c r="E65" s="18">
        <v>45640</v>
      </c>
      <c r="F65" s="256">
        <v>3</v>
      </c>
    </row>
    <row r="66" spans="1:6">
      <c r="A66" s="18">
        <f t="shared" ca="1" si="0"/>
        <v>45624</v>
      </c>
      <c r="B66" s="256">
        <v>7711</v>
      </c>
      <c r="C66" s="47">
        <v>1001</v>
      </c>
      <c r="D66" s="47" t="s">
        <v>1630</v>
      </c>
      <c r="E66" s="18">
        <v>45640</v>
      </c>
      <c r="F66" s="256">
        <v>2</v>
      </c>
    </row>
    <row r="67" spans="1:6">
      <c r="A67" s="18">
        <f t="shared" ca="1" si="0"/>
        <v>45624</v>
      </c>
      <c r="B67" s="256">
        <v>7711</v>
      </c>
      <c r="C67" s="47">
        <v>1001</v>
      </c>
      <c r="D67" s="47" t="s">
        <v>3070</v>
      </c>
      <c r="E67" s="18">
        <v>45635</v>
      </c>
      <c r="F67" s="256">
        <v>142</v>
      </c>
    </row>
    <row r="68" spans="1:6">
      <c r="A68" s="18">
        <f t="shared" ca="1" si="0"/>
        <v>45624</v>
      </c>
      <c r="B68" s="256">
        <v>7711</v>
      </c>
      <c r="C68" s="47">
        <v>1001</v>
      </c>
      <c r="D68" s="47" t="s">
        <v>3070</v>
      </c>
      <c r="E68" s="18">
        <v>45638</v>
      </c>
      <c r="F68" s="256">
        <v>804</v>
      </c>
    </row>
    <row r="69" spans="1:6">
      <c r="A69" s="18">
        <f t="shared" ref="A69:A132" ca="1" si="1">IF(B69="","",TODAY())</f>
        <v>45624</v>
      </c>
      <c r="B69" s="256">
        <v>7711</v>
      </c>
      <c r="C69" s="47">
        <v>1001</v>
      </c>
      <c r="D69" s="47" t="s">
        <v>3070</v>
      </c>
      <c r="E69" s="18">
        <v>45641</v>
      </c>
      <c r="F69" s="256">
        <v>102</v>
      </c>
    </row>
    <row r="70" spans="1:6">
      <c r="A70" s="18">
        <f t="shared" ca="1" si="1"/>
        <v>45624</v>
      </c>
      <c r="B70" s="256">
        <v>7711</v>
      </c>
      <c r="C70" s="47">
        <v>1001</v>
      </c>
      <c r="D70" s="47" t="s">
        <v>4413</v>
      </c>
      <c r="E70" s="18">
        <v>45640</v>
      </c>
      <c r="F70" s="256">
        <v>36</v>
      </c>
    </row>
    <row r="71" spans="1:6">
      <c r="A71" s="18">
        <f t="shared" ca="1" si="1"/>
        <v>45624</v>
      </c>
      <c r="B71" s="256">
        <v>7711</v>
      </c>
      <c r="C71" s="47">
        <v>1001</v>
      </c>
      <c r="D71" s="47" t="s">
        <v>4416</v>
      </c>
      <c r="E71" s="18">
        <v>45634</v>
      </c>
      <c r="F71" s="256">
        <v>14</v>
      </c>
    </row>
    <row r="72" spans="1:6">
      <c r="A72" s="18">
        <f t="shared" ca="1" si="1"/>
        <v>45624</v>
      </c>
      <c r="B72" s="256">
        <v>7711</v>
      </c>
      <c r="C72" s="47">
        <v>1001</v>
      </c>
      <c r="D72" s="47" t="s">
        <v>4416</v>
      </c>
      <c r="E72" s="18">
        <v>45640</v>
      </c>
      <c r="F72" s="256">
        <v>36</v>
      </c>
    </row>
    <row r="73" spans="1:6">
      <c r="A73" s="18">
        <f t="shared" ca="1" si="1"/>
        <v>45624</v>
      </c>
      <c r="B73" s="256">
        <v>7711</v>
      </c>
      <c r="C73" s="47">
        <v>1001</v>
      </c>
      <c r="D73" s="47" t="s">
        <v>4416</v>
      </c>
      <c r="E73" s="18">
        <v>45639</v>
      </c>
      <c r="F73" s="256">
        <v>67</v>
      </c>
    </row>
    <row r="74" spans="1:6">
      <c r="A74" s="18">
        <f t="shared" ca="1" si="1"/>
        <v>45624</v>
      </c>
      <c r="B74" s="256">
        <v>7711</v>
      </c>
      <c r="C74" s="47">
        <v>1001</v>
      </c>
      <c r="D74" s="47" t="s">
        <v>3560</v>
      </c>
      <c r="E74" s="18">
        <v>45637</v>
      </c>
      <c r="F74" s="256">
        <v>28</v>
      </c>
    </row>
    <row r="75" spans="1:6">
      <c r="A75" s="18">
        <f t="shared" ca="1" si="1"/>
        <v>45624</v>
      </c>
      <c r="B75" s="256">
        <v>7711</v>
      </c>
      <c r="C75" s="47">
        <v>1001</v>
      </c>
      <c r="D75" s="47" t="s">
        <v>3560</v>
      </c>
      <c r="E75" s="18">
        <v>45638</v>
      </c>
      <c r="F75" s="256">
        <v>381</v>
      </c>
    </row>
    <row r="76" spans="1:6">
      <c r="A76" s="18">
        <f t="shared" ca="1" si="1"/>
        <v>45624</v>
      </c>
      <c r="B76" s="256">
        <v>7711</v>
      </c>
      <c r="C76" s="47">
        <v>1001</v>
      </c>
      <c r="D76" s="47" t="s">
        <v>3560</v>
      </c>
      <c r="E76" s="18">
        <v>45644</v>
      </c>
      <c r="F76" s="256">
        <v>300</v>
      </c>
    </row>
    <row r="77" spans="1:6">
      <c r="A77" s="18">
        <f t="shared" ca="1" si="1"/>
        <v>45624</v>
      </c>
      <c r="B77" s="256">
        <v>7711</v>
      </c>
      <c r="C77" s="47">
        <v>1001</v>
      </c>
      <c r="D77" s="47" t="s">
        <v>3560</v>
      </c>
      <c r="E77" s="18">
        <v>45640</v>
      </c>
      <c r="F77" s="256">
        <v>439</v>
      </c>
    </row>
    <row r="78" spans="1:6">
      <c r="A78" s="18">
        <f t="shared" ca="1" si="1"/>
        <v>45624</v>
      </c>
      <c r="B78" s="256">
        <v>7711</v>
      </c>
      <c r="C78" s="47">
        <v>1001</v>
      </c>
      <c r="D78" s="47" t="s">
        <v>3560</v>
      </c>
      <c r="E78" s="18">
        <v>45632</v>
      </c>
      <c r="F78" s="256">
        <v>38</v>
      </c>
    </row>
    <row r="79" spans="1:6">
      <c r="A79" s="18">
        <f t="shared" ca="1" si="1"/>
        <v>45624</v>
      </c>
      <c r="B79" s="256">
        <v>7711</v>
      </c>
      <c r="C79" s="47">
        <v>1001</v>
      </c>
      <c r="D79" s="47" t="s">
        <v>1618</v>
      </c>
      <c r="E79" s="18">
        <v>45641</v>
      </c>
      <c r="F79" s="256">
        <v>13</v>
      </c>
    </row>
    <row r="80" spans="1:6">
      <c r="A80" s="18">
        <f t="shared" ca="1" si="1"/>
        <v>45624</v>
      </c>
      <c r="B80" s="256">
        <v>7711</v>
      </c>
      <c r="C80" s="47">
        <v>1001</v>
      </c>
      <c r="D80" s="47" t="s">
        <v>3133</v>
      </c>
      <c r="E80" s="18">
        <v>45635</v>
      </c>
      <c r="F80" s="256">
        <v>3</v>
      </c>
    </row>
    <row r="81" spans="1:6">
      <c r="A81" s="18">
        <f t="shared" ca="1" si="1"/>
        <v>45624</v>
      </c>
      <c r="B81" s="256">
        <v>7711</v>
      </c>
      <c r="C81" s="47">
        <v>1001</v>
      </c>
      <c r="D81" s="47" t="s">
        <v>1156</v>
      </c>
      <c r="E81" s="18">
        <v>45634</v>
      </c>
      <c r="F81" s="256">
        <v>22</v>
      </c>
    </row>
    <row r="82" spans="1:6">
      <c r="A82" s="18">
        <f t="shared" ca="1" si="1"/>
        <v>45624</v>
      </c>
      <c r="B82" s="256">
        <v>7711</v>
      </c>
      <c r="C82" s="47">
        <v>1001</v>
      </c>
      <c r="D82" s="256" t="s">
        <v>2845</v>
      </c>
      <c r="E82" s="18">
        <v>45634</v>
      </c>
      <c r="F82" s="256">
        <v>17</v>
      </c>
    </row>
    <row r="83" spans="1:6">
      <c r="A83" s="18">
        <f t="shared" ca="1" si="1"/>
        <v>45624</v>
      </c>
      <c r="B83" s="256">
        <v>7711</v>
      </c>
      <c r="C83" s="47">
        <v>1001</v>
      </c>
      <c r="D83" s="256" t="s">
        <v>2845</v>
      </c>
      <c r="E83" s="18">
        <v>45632</v>
      </c>
      <c r="F83" s="256">
        <v>14</v>
      </c>
    </row>
    <row r="84" spans="1:6">
      <c r="A84" s="18">
        <f t="shared" ca="1" si="1"/>
        <v>45624</v>
      </c>
      <c r="B84" s="256">
        <v>7711</v>
      </c>
      <c r="C84" s="47">
        <v>1001</v>
      </c>
      <c r="D84" s="256" t="s">
        <v>4196</v>
      </c>
      <c r="E84" s="18">
        <v>45641</v>
      </c>
      <c r="F84" s="256">
        <v>6</v>
      </c>
    </row>
    <row r="85" spans="1:6">
      <c r="A85" s="18">
        <f t="shared" ca="1" si="1"/>
        <v>45624</v>
      </c>
      <c r="B85" s="256">
        <v>7711</v>
      </c>
      <c r="C85" s="47">
        <v>1001</v>
      </c>
      <c r="D85" s="256" t="s">
        <v>4045</v>
      </c>
      <c r="E85" s="18">
        <v>45632</v>
      </c>
      <c r="F85" s="256">
        <v>41</v>
      </c>
    </row>
    <row r="86" spans="1:6">
      <c r="A86" s="18">
        <f t="shared" ca="1" si="1"/>
        <v>45624</v>
      </c>
      <c r="B86" s="256">
        <v>7711</v>
      </c>
      <c r="C86" s="47">
        <v>1001</v>
      </c>
      <c r="D86" s="256" t="s">
        <v>4048</v>
      </c>
      <c r="E86" s="18">
        <v>45632</v>
      </c>
      <c r="F86" s="256">
        <v>18</v>
      </c>
    </row>
    <row r="87" spans="1:6">
      <c r="A87" s="18">
        <f t="shared" ca="1" si="1"/>
        <v>45624</v>
      </c>
      <c r="B87" s="256">
        <v>7711</v>
      </c>
      <c r="C87" s="47">
        <v>1001</v>
      </c>
      <c r="D87" s="256" t="s">
        <v>1749</v>
      </c>
      <c r="E87" s="18">
        <v>45634</v>
      </c>
      <c r="F87" s="256">
        <v>71</v>
      </c>
    </row>
    <row r="88" spans="1:6">
      <c r="A88" s="18">
        <f t="shared" ca="1" si="1"/>
        <v>45624</v>
      </c>
      <c r="B88" s="256">
        <v>7711</v>
      </c>
      <c r="C88" s="47">
        <v>1001</v>
      </c>
      <c r="D88" s="47" t="s">
        <v>497</v>
      </c>
      <c r="E88" s="18">
        <v>45640</v>
      </c>
      <c r="F88" s="256">
        <v>2</v>
      </c>
    </row>
    <row r="89" spans="1:6">
      <c r="A89" s="18">
        <f t="shared" ca="1" si="1"/>
        <v>45624</v>
      </c>
      <c r="B89" s="256">
        <v>7711</v>
      </c>
      <c r="C89" s="47">
        <v>1001</v>
      </c>
      <c r="D89" s="256" t="s">
        <v>501</v>
      </c>
      <c r="E89" s="18">
        <v>45634</v>
      </c>
      <c r="F89" s="256">
        <v>153</v>
      </c>
    </row>
    <row r="90" spans="1:6">
      <c r="A90" s="18">
        <f t="shared" ca="1" si="1"/>
        <v>45624</v>
      </c>
      <c r="B90" s="256">
        <v>7711</v>
      </c>
      <c r="C90" s="47">
        <v>1001</v>
      </c>
      <c r="D90" s="256" t="s">
        <v>173</v>
      </c>
      <c r="E90" s="18">
        <v>45638</v>
      </c>
      <c r="F90" s="256">
        <v>60</v>
      </c>
    </row>
    <row r="91" spans="1:6">
      <c r="A91" s="18">
        <f t="shared" ca="1" si="1"/>
        <v>45624</v>
      </c>
      <c r="B91" s="256">
        <v>7711</v>
      </c>
      <c r="C91" s="47">
        <v>1001</v>
      </c>
      <c r="D91" s="256" t="s">
        <v>173</v>
      </c>
      <c r="E91" s="18">
        <v>45642</v>
      </c>
      <c r="F91" s="256">
        <v>40</v>
      </c>
    </row>
    <row r="92" spans="1:6">
      <c r="A92" s="18">
        <f t="shared" ca="1" si="1"/>
        <v>45624</v>
      </c>
      <c r="B92" s="256">
        <v>7711</v>
      </c>
      <c r="C92" s="47">
        <v>1001</v>
      </c>
      <c r="D92" s="47" t="s">
        <v>1878</v>
      </c>
      <c r="E92" s="18">
        <v>45642</v>
      </c>
      <c r="F92" s="256">
        <v>12</v>
      </c>
    </row>
    <row r="93" spans="1:6">
      <c r="A93" s="18">
        <f t="shared" ca="1" si="1"/>
        <v>45624</v>
      </c>
      <c r="B93" s="256">
        <v>7711</v>
      </c>
      <c r="C93" s="47">
        <v>1001</v>
      </c>
      <c r="D93" s="256" t="s">
        <v>836</v>
      </c>
      <c r="E93" s="18">
        <v>45641</v>
      </c>
      <c r="F93" s="256">
        <v>2</v>
      </c>
    </row>
    <row r="94" spans="1:6">
      <c r="A94" s="18">
        <f t="shared" ca="1" si="1"/>
        <v>45624</v>
      </c>
      <c r="B94" s="256">
        <v>7711</v>
      </c>
      <c r="C94" s="47">
        <v>1001</v>
      </c>
      <c r="D94" s="256" t="s">
        <v>1728</v>
      </c>
      <c r="E94" s="18">
        <v>45634</v>
      </c>
      <c r="F94" s="256">
        <v>10</v>
      </c>
    </row>
    <row r="95" spans="1:6">
      <c r="A95" s="18">
        <f t="shared" ca="1" si="1"/>
        <v>45624</v>
      </c>
      <c r="B95" s="256">
        <v>7711</v>
      </c>
      <c r="C95" s="47">
        <v>1001</v>
      </c>
      <c r="D95" s="47" t="s">
        <v>2206</v>
      </c>
      <c r="E95" s="18">
        <v>45635</v>
      </c>
      <c r="F95" s="256">
        <v>1</v>
      </c>
    </row>
    <row r="96" spans="1:6">
      <c r="A96" s="18">
        <f t="shared" ca="1" si="1"/>
        <v>45624</v>
      </c>
      <c r="B96" s="256">
        <v>7711</v>
      </c>
      <c r="C96" s="47">
        <v>1001</v>
      </c>
      <c r="D96" s="47" t="s">
        <v>2206</v>
      </c>
      <c r="E96" s="18">
        <v>45642</v>
      </c>
      <c r="F96" s="256">
        <v>148</v>
      </c>
    </row>
    <row r="97" spans="1:6">
      <c r="A97" s="18">
        <f t="shared" ca="1" si="1"/>
        <v>45624</v>
      </c>
      <c r="B97" s="256">
        <v>7711</v>
      </c>
      <c r="C97" s="47">
        <v>1001</v>
      </c>
      <c r="D97" s="256" t="s">
        <v>3885</v>
      </c>
      <c r="E97" s="18">
        <v>45638</v>
      </c>
      <c r="F97" s="256">
        <v>31</v>
      </c>
    </row>
    <row r="98" spans="1:6">
      <c r="A98" s="18">
        <f t="shared" ca="1" si="1"/>
        <v>45624</v>
      </c>
      <c r="B98" s="256">
        <v>7711</v>
      </c>
      <c r="C98" s="47">
        <v>1001</v>
      </c>
      <c r="D98" s="256" t="s">
        <v>3885</v>
      </c>
      <c r="E98" s="18">
        <v>45640</v>
      </c>
      <c r="F98" s="256">
        <v>15</v>
      </c>
    </row>
    <row r="99" spans="1:6">
      <c r="A99" s="18">
        <f t="shared" ca="1" si="1"/>
        <v>45624</v>
      </c>
      <c r="B99" s="256">
        <v>7711</v>
      </c>
      <c r="C99" s="47">
        <v>1001</v>
      </c>
      <c r="D99" s="47" t="s">
        <v>3603</v>
      </c>
      <c r="E99" s="18">
        <v>45634</v>
      </c>
      <c r="F99" s="256">
        <v>35</v>
      </c>
    </row>
    <row r="100" spans="1:6">
      <c r="A100" s="18">
        <f t="shared" ca="1" si="1"/>
        <v>45624</v>
      </c>
      <c r="B100" s="256">
        <v>7711</v>
      </c>
      <c r="C100" s="47">
        <v>1001</v>
      </c>
      <c r="D100" s="47" t="s">
        <v>1191</v>
      </c>
      <c r="E100" s="18">
        <v>45634</v>
      </c>
      <c r="F100" s="256">
        <v>70</v>
      </c>
    </row>
    <row r="101" spans="1:6">
      <c r="A101" s="18">
        <f t="shared" ca="1" si="1"/>
        <v>45624</v>
      </c>
      <c r="B101" s="256">
        <v>7711</v>
      </c>
      <c r="C101" s="47">
        <v>1001</v>
      </c>
      <c r="D101" s="47" t="s">
        <v>4019</v>
      </c>
      <c r="E101" s="18">
        <v>45640</v>
      </c>
      <c r="F101" s="256">
        <v>39</v>
      </c>
    </row>
    <row r="102" spans="1:6">
      <c r="A102" s="18">
        <f t="shared" ca="1" si="1"/>
        <v>45624</v>
      </c>
      <c r="B102" s="256">
        <v>7711</v>
      </c>
      <c r="C102" s="47">
        <v>1001</v>
      </c>
      <c r="D102" s="47" t="s">
        <v>4019</v>
      </c>
      <c r="E102" s="18">
        <v>45632</v>
      </c>
      <c r="F102" s="256">
        <v>128</v>
      </c>
    </row>
    <row r="103" spans="1:6">
      <c r="A103" s="18">
        <f t="shared" ca="1" si="1"/>
        <v>45624</v>
      </c>
      <c r="B103" s="256">
        <v>7711</v>
      </c>
      <c r="C103" s="47">
        <v>1001</v>
      </c>
      <c r="D103" s="256" t="s">
        <v>1543</v>
      </c>
      <c r="E103" s="18">
        <v>45640</v>
      </c>
      <c r="F103" s="256">
        <v>53</v>
      </c>
    </row>
    <row r="104" spans="1:6">
      <c r="A104" s="18">
        <f t="shared" ca="1" si="1"/>
        <v>45624</v>
      </c>
      <c r="B104" s="256">
        <v>7711</v>
      </c>
      <c r="C104" s="47">
        <v>1001</v>
      </c>
      <c r="D104" s="256" t="s">
        <v>1543</v>
      </c>
      <c r="E104" s="18">
        <v>45632</v>
      </c>
      <c r="F104" s="256">
        <v>137</v>
      </c>
    </row>
    <row r="105" spans="1:6">
      <c r="A105" s="18">
        <f t="shared" ca="1" si="1"/>
        <v>45624</v>
      </c>
      <c r="B105" s="256">
        <v>7711</v>
      </c>
      <c r="C105" s="47">
        <v>1001</v>
      </c>
      <c r="D105" s="256" t="s">
        <v>1760</v>
      </c>
      <c r="E105" s="18">
        <v>45628</v>
      </c>
      <c r="F105" s="256">
        <v>16</v>
      </c>
    </row>
    <row r="106" spans="1:6">
      <c r="A106" s="18">
        <f t="shared" ca="1" si="1"/>
        <v>45624</v>
      </c>
      <c r="B106" s="256">
        <v>7711</v>
      </c>
      <c r="C106" s="47">
        <v>1001</v>
      </c>
      <c r="D106" s="256" t="s">
        <v>1760</v>
      </c>
      <c r="E106" s="18">
        <v>45641</v>
      </c>
      <c r="F106" s="256">
        <v>1354</v>
      </c>
    </row>
    <row r="107" spans="1:6">
      <c r="A107" s="18">
        <f t="shared" ca="1" si="1"/>
        <v>45624</v>
      </c>
      <c r="B107" s="256">
        <v>7711</v>
      </c>
      <c r="C107" s="47">
        <v>1001</v>
      </c>
      <c r="D107" s="256" t="s">
        <v>152</v>
      </c>
      <c r="E107" s="18">
        <v>45631</v>
      </c>
      <c r="F107" s="256">
        <v>16</v>
      </c>
    </row>
    <row r="108" spans="1:6">
      <c r="A108" s="18">
        <f t="shared" ca="1" si="1"/>
        <v>45624</v>
      </c>
      <c r="B108" s="256">
        <v>7711</v>
      </c>
      <c r="C108" s="47">
        <v>1001</v>
      </c>
      <c r="D108" s="47" t="s">
        <v>4043</v>
      </c>
      <c r="E108" s="18">
        <v>45639</v>
      </c>
      <c r="F108" s="256">
        <v>51</v>
      </c>
    </row>
    <row r="109" spans="1:6">
      <c r="A109" s="18">
        <f t="shared" ca="1" si="1"/>
        <v>45624</v>
      </c>
      <c r="B109" s="256">
        <v>7711</v>
      </c>
      <c r="C109" s="47">
        <v>1001</v>
      </c>
      <c r="D109" s="47" t="s">
        <v>735</v>
      </c>
      <c r="E109" s="18">
        <v>45638</v>
      </c>
      <c r="F109" s="256">
        <v>16</v>
      </c>
    </row>
    <row r="110" spans="1:6">
      <c r="A110" s="18">
        <f t="shared" ca="1" si="1"/>
        <v>45624</v>
      </c>
      <c r="B110" s="256">
        <v>7711</v>
      </c>
      <c r="C110" s="47">
        <v>1001</v>
      </c>
      <c r="D110" s="47" t="s">
        <v>3243</v>
      </c>
      <c r="E110" s="18">
        <v>45640</v>
      </c>
      <c r="F110" s="256">
        <v>7</v>
      </c>
    </row>
    <row r="111" spans="1:6">
      <c r="A111" s="18">
        <f t="shared" ca="1" si="1"/>
        <v>45624</v>
      </c>
      <c r="B111" s="256">
        <v>7711</v>
      </c>
      <c r="C111" s="47">
        <v>1001</v>
      </c>
      <c r="D111" s="47" t="s">
        <v>2574</v>
      </c>
      <c r="E111" s="18">
        <v>45640</v>
      </c>
      <c r="F111" s="256">
        <v>22</v>
      </c>
    </row>
    <row r="112" spans="1:6">
      <c r="A112" s="18">
        <f t="shared" ca="1" si="1"/>
        <v>45624</v>
      </c>
      <c r="B112" s="256">
        <v>7711</v>
      </c>
      <c r="C112" s="47">
        <v>1001</v>
      </c>
      <c r="D112" s="47" t="s">
        <v>3597</v>
      </c>
      <c r="E112" s="18">
        <v>45640</v>
      </c>
      <c r="F112" s="256">
        <v>85</v>
      </c>
    </row>
    <row r="113" spans="1:6">
      <c r="A113" s="18">
        <f t="shared" ca="1" si="1"/>
        <v>45624</v>
      </c>
      <c r="B113" s="256">
        <v>7711</v>
      </c>
      <c r="C113" s="47">
        <v>1001</v>
      </c>
      <c r="D113" s="47" t="s">
        <v>3599</v>
      </c>
      <c r="E113" s="18">
        <v>45639</v>
      </c>
      <c r="F113" s="256">
        <v>96</v>
      </c>
    </row>
    <row r="114" spans="1:6">
      <c r="A114" s="18">
        <f t="shared" ca="1" si="1"/>
        <v>45624</v>
      </c>
      <c r="B114" s="256">
        <v>7711</v>
      </c>
      <c r="C114" s="47">
        <v>1001</v>
      </c>
      <c r="D114" s="256" t="s">
        <v>1871</v>
      </c>
      <c r="E114" s="18">
        <v>45634</v>
      </c>
      <c r="F114" s="256">
        <v>102</v>
      </c>
    </row>
    <row r="115" spans="1:6">
      <c r="A115" s="18">
        <f t="shared" ca="1" si="1"/>
        <v>45624</v>
      </c>
      <c r="B115" s="256">
        <v>7711</v>
      </c>
      <c r="C115" s="47">
        <v>1001</v>
      </c>
      <c r="D115" s="256" t="s">
        <v>1871</v>
      </c>
      <c r="E115" s="18">
        <v>45641</v>
      </c>
      <c r="F115" s="256">
        <v>87</v>
      </c>
    </row>
    <row r="116" spans="1:6">
      <c r="A116" s="18">
        <f t="shared" ca="1" si="1"/>
        <v>45624</v>
      </c>
      <c r="B116" s="256">
        <v>7711</v>
      </c>
      <c r="C116" s="47">
        <v>1001</v>
      </c>
      <c r="D116" s="256" t="s">
        <v>1871</v>
      </c>
      <c r="E116" s="18">
        <v>45640</v>
      </c>
      <c r="F116" s="256">
        <v>69</v>
      </c>
    </row>
    <row r="117" spans="1:6">
      <c r="A117" s="18">
        <f t="shared" ca="1" si="1"/>
        <v>45624</v>
      </c>
      <c r="B117" s="256">
        <v>7711</v>
      </c>
      <c r="C117" s="47">
        <v>1001</v>
      </c>
      <c r="D117" s="256" t="s">
        <v>4146</v>
      </c>
      <c r="E117" s="18">
        <v>45634</v>
      </c>
      <c r="F117" s="256">
        <v>12</v>
      </c>
    </row>
    <row r="118" spans="1:6">
      <c r="A118" s="18">
        <f t="shared" ca="1" si="1"/>
        <v>45624</v>
      </c>
      <c r="B118" s="256">
        <v>7711</v>
      </c>
      <c r="C118" s="47">
        <v>1001</v>
      </c>
      <c r="D118" s="256" t="s">
        <v>771</v>
      </c>
      <c r="E118" s="18">
        <v>45639</v>
      </c>
      <c r="F118" s="256">
        <v>10</v>
      </c>
    </row>
    <row r="119" spans="1:6">
      <c r="A119" s="18">
        <f t="shared" ca="1" si="1"/>
        <v>45624</v>
      </c>
      <c r="B119" s="256">
        <v>7711</v>
      </c>
      <c r="C119" s="47">
        <v>1001</v>
      </c>
      <c r="D119" s="47" t="s">
        <v>3212</v>
      </c>
      <c r="E119" s="18">
        <v>45640</v>
      </c>
      <c r="F119" s="256">
        <v>132</v>
      </c>
    </row>
    <row r="120" spans="1:6">
      <c r="A120" s="18">
        <f t="shared" ca="1" si="1"/>
        <v>45624</v>
      </c>
      <c r="B120" s="256">
        <v>7711</v>
      </c>
      <c r="C120" s="47">
        <v>1001</v>
      </c>
      <c r="D120" s="47" t="s">
        <v>3212</v>
      </c>
      <c r="E120" s="18">
        <v>45639</v>
      </c>
      <c r="F120" s="256">
        <v>151</v>
      </c>
    </row>
    <row r="121" spans="1:6">
      <c r="A121" s="18">
        <f t="shared" ca="1" si="1"/>
        <v>45624</v>
      </c>
      <c r="B121" s="256">
        <v>7711</v>
      </c>
      <c r="C121" s="47">
        <v>1001</v>
      </c>
      <c r="D121" s="47" t="s">
        <v>4231</v>
      </c>
      <c r="E121" s="18">
        <v>45631</v>
      </c>
      <c r="F121" s="256">
        <v>9</v>
      </c>
    </row>
    <row r="122" spans="1:6">
      <c r="A122" s="18">
        <f t="shared" ca="1" si="1"/>
        <v>45624</v>
      </c>
      <c r="B122" s="256">
        <v>7711</v>
      </c>
      <c r="C122" s="47">
        <v>1001</v>
      </c>
      <c r="D122" s="47" t="s">
        <v>4231</v>
      </c>
      <c r="E122" s="18">
        <v>45640</v>
      </c>
      <c r="F122" s="256">
        <v>101</v>
      </c>
    </row>
    <row r="123" spans="1:6">
      <c r="A123" s="18">
        <f t="shared" ca="1" si="1"/>
        <v>45624</v>
      </c>
      <c r="B123" s="256">
        <v>7711</v>
      </c>
      <c r="C123" s="47">
        <v>1001</v>
      </c>
      <c r="D123" s="47" t="s">
        <v>3127</v>
      </c>
      <c r="E123" s="18">
        <v>45640</v>
      </c>
      <c r="F123" s="256">
        <v>18</v>
      </c>
    </row>
    <row r="124" spans="1:6">
      <c r="A124" s="18">
        <f t="shared" ca="1" si="1"/>
        <v>45624</v>
      </c>
      <c r="B124" s="256">
        <v>7711</v>
      </c>
      <c r="C124" s="47">
        <v>1001</v>
      </c>
      <c r="D124" s="47" t="s">
        <v>3906</v>
      </c>
      <c r="E124" s="18">
        <v>45632</v>
      </c>
      <c r="F124" s="256">
        <v>51</v>
      </c>
    </row>
    <row r="125" spans="1:6">
      <c r="A125" s="18">
        <f t="shared" ca="1" si="1"/>
        <v>45624</v>
      </c>
      <c r="B125" s="256">
        <v>7711</v>
      </c>
      <c r="C125" s="47">
        <v>1001</v>
      </c>
      <c r="D125" s="256" t="s">
        <v>2921</v>
      </c>
      <c r="E125" s="18">
        <v>45644</v>
      </c>
      <c r="F125" s="256">
        <v>110</v>
      </c>
    </row>
    <row r="126" spans="1:6">
      <c r="A126" s="18">
        <f t="shared" ca="1" si="1"/>
        <v>45624</v>
      </c>
      <c r="B126" s="256">
        <v>7711</v>
      </c>
      <c r="C126" s="47">
        <v>1001</v>
      </c>
      <c r="D126" s="256" t="s">
        <v>2921</v>
      </c>
      <c r="E126" s="18">
        <v>45640</v>
      </c>
      <c r="F126" s="256">
        <v>73</v>
      </c>
    </row>
    <row r="127" spans="1:6">
      <c r="A127" s="18">
        <f t="shared" ca="1" si="1"/>
        <v>45624</v>
      </c>
      <c r="B127" s="256">
        <v>7711</v>
      </c>
      <c r="C127" s="47">
        <v>1001</v>
      </c>
      <c r="D127" s="256" t="s">
        <v>2921</v>
      </c>
      <c r="E127" s="18">
        <v>45639</v>
      </c>
      <c r="F127" s="256">
        <v>155</v>
      </c>
    </row>
    <row r="128" spans="1:6">
      <c r="A128" s="18">
        <f t="shared" ca="1" si="1"/>
        <v>45624</v>
      </c>
      <c r="B128" s="256">
        <v>7711</v>
      </c>
      <c r="C128" s="47">
        <v>1001</v>
      </c>
      <c r="D128" s="256" t="s">
        <v>2217</v>
      </c>
      <c r="E128" s="18">
        <v>45635</v>
      </c>
      <c r="F128" s="256">
        <v>56</v>
      </c>
    </row>
    <row r="129" spans="1:6">
      <c r="A129" s="18">
        <f t="shared" ca="1" si="1"/>
        <v>45624</v>
      </c>
      <c r="B129" s="256">
        <v>7711</v>
      </c>
      <c r="C129" s="47">
        <v>1001</v>
      </c>
      <c r="D129" s="256" t="s">
        <v>2217</v>
      </c>
      <c r="E129" s="18">
        <v>45632</v>
      </c>
      <c r="F129" s="256">
        <v>78</v>
      </c>
    </row>
    <row r="130" spans="1:6">
      <c r="A130" s="18">
        <f t="shared" ca="1" si="1"/>
        <v>45624</v>
      </c>
      <c r="B130" s="256">
        <v>7711</v>
      </c>
      <c r="C130" s="47">
        <v>1001</v>
      </c>
      <c r="D130" s="47" t="s">
        <v>1763</v>
      </c>
      <c r="E130" s="18">
        <v>45640</v>
      </c>
      <c r="F130" s="256">
        <v>6</v>
      </c>
    </row>
    <row r="131" spans="1:6">
      <c r="A131" s="18">
        <f t="shared" ca="1" si="1"/>
        <v>45624</v>
      </c>
      <c r="B131" s="256">
        <v>7711</v>
      </c>
      <c r="C131" s="47">
        <v>1001</v>
      </c>
      <c r="D131" s="47" t="s">
        <v>4279</v>
      </c>
      <c r="E131" s="18">
        <v>45632</v>
      </c>
      <c r="F131" s="256">
        <v>53</v>
      </c>
    </row>
    <row r="132" spans="1:6">
      <c r="A132" s="18">
        <f t="shared" ca="1" si="1"/>
        <v>45624</v>
      </c>
      <c r="B132" s="256">
        <v>7711</v>
      </c>
      <c r="C132" s="47">
        <v>1001</v>
      </c>
      <c r="D132" s="47" t="s">
        <v>993</v>
      </c>
      <c r="E132" s="18">
        <v>45639</v>
      </c>
      <c r="F132" s="256">
        <v>64</v>
      </c>
    </row>
    <row r="133" spans="1:6">
      <c r="A133" s="18">
        <f t="shared" ref="A133:A159" ca="1" si="2">IF(B133="","",TODAY())</f>
        <v>45624</v>
      </c>
      <c r="B133" s="256">
        <v>7711</v>
      </c>
      <c r="C133" s="47">
        <v>1001</v>
      </c>
      <c r="D133" s="256" t="s">
        <v>1718</v>
      </c>
      <c r="E133" s="18">
        <v>45644</v>
      </c>
      <c r="F133" s="256">
        <v>81</v>
      </c>
    </row>
    <row r="134" spans="1:6">
      <c r="A134" s="18">
        <f t="shared" ca="1" si="2"/>
        <v>45624</v>
      </c>
      <c r="B134" s="256">
        <v>7711</v>
      </c>
      <c r="C134" s="47">
        <v>1001</v>
      </c>
      <c r="D134" s="47" t="s">
        <v>4089</v>
      </c>
      <c r="E134" s="18">
        <v>45639</v>
      </c>
      <c r="F134" s="256">
        <v>16</v>
      </c>
    </row>
    <row r="135" spans="1:6">
      <c r="A135" s="18">
        <f t="shared" ca="1" si="2"/>
        <v>45624</v>
      </c>
      <c r="B135" s="256">
        <v>7711</v>
      </c>
      <c r="C135" s="47">
        <v>1001</v>
      </c>
      <c r="D135" s="47" t="s">
        <v>3619</v>
      </c>
      <c r="E135" s="18">
        <v>45641</v>
      </c>
      <c r="F135" s="256">
        <v>1</v>
      </c>
    </row>
    <row r="136" spans="1:6">
      <c r="A136" s="18">
        <f t="shared" ca="1" si="2"/>
        <v>45624</v>
      </c>
      <c r="B136" s="256">
        <v>7711</v>
      </c>
      <c r="C136" s="47">
        <v>1001</v>
      </c>
      <c r="D136" s="47" t="s">
        <v>3619</v>
      </c>
      <c r="E136" s="18">
        <v>45644</v>
      </c>
      <c r="F136" s="256">
        <v>10</v>
      </c>
    </row>
    <row r="137" spans="1:6">
      <c r="A137" s="18">
        <f t="shared" ca="1" si="2"/>
        <v>45624</v>
      </c>
      <c r="B137" s="256">
        <v>7711</v>
      </c>
      <c r="C137" s="47">
        <v>1001</v>
      </c>
      <c r="D137" s="47" t="s">
        <v>984</v>
      </c>
      <c r="E137" s="18">
        <v>45640</v>
      </c>
      <c r="F137" s="256">
        <v>1</v>
      </c>
    </row>
    <row r="138" spans="1:6">
      <c r="A138" s="18">
        <f t="shared" ca="1" si="2"/>
        <v>45624</v>
      </c>
      <c r="B138" s="256">
        <v>7711</v>
      </c>
      <c r="C138" s="47">
        <v>1001</v>
      </c>
      <c r="D138" s="256" t="s">
        <v>3892</v>
      </c>
      <c r="E138" s="18">
        <v>45639</v>
      </c>
      <c r="F138" s="256">
        <v>20</v>
      </c>
    </row>
    <row r="139" spans="1:6">
      <c r="A139" s="18">
        <f t="shared" ca="1" si="2"/>
        <v>45624</v>
      </c>
      <c r="B139" s="256">
        <v>7711</v>
      </c>
      <c r="C139" s="47">
        <v>1001</v>
      </c>
      <c r="D139" s="47" t="s">
        <v>1123</v>
      </c>
      <c r="E139" s="18">
        <v>45632</v>
      </c>
      <c r="F139" s="256">
        <v>91</v>
      </c>
    </row>
    <row r="140" spans="1:6">
      <c r="A140" s="18">
        <f t="shared" ca="1" si="2"/>
        <v>45624</v>
      </c>
      <c r="B140" s="256">
        <v>7711</v>
      </c>
      <c r="C140" s="47">
        <v>1001</v>
      </c>
      <c r="D140" s="47" t="s">
        <v>2875</v>
      </c>
      <c r="E140" s="18">
        <v>45638</v>
      </c>
      <c r="F140" s="256">
        <v>3</v>
      </c>
    </row>
    <row r="141" spans="1:6">
      <c r="A141" s="18">
        <f t="shared" ca="1" si="2"/>
        <v>45624</v>
      </c>
      <c r="B141" s="256">
        <v>7711</v>
      </c>
      <c r="C141" s="47">
        <v>1001</v>
      </c>
      <c r="D141" s="256" t="s">
        <v>1237</v>
      </c>
      <c r="E141" s="18">
        <v>45631</v>
      </c>
      <c r="F141" s="256">
        <v>5</v>
      </c>
    </row>
    <row r="142" spans="1:6">
      <c r="A142" s="18">
        <f t="shared" ca="1" si="2"/>
        <v>45624</v>
      </c>
      <c r="B142" s="256">
        <v>7711</v>
      </c>
      <c r="C142" s="47">
        <v>1001</v>
      </c>
      <c r="D142" s="256" t="s">
        <v>1237</v>
      </c>
      <c r="E142" s="18">
        <v>45641</v>
      </c>
      <c r="F142" s="256">
        <v>8</v>
      </c>
    </row>
    <row r="143" spans="1:6">
      <c r="A143" s="18">
        <f t="shared" ca="1" si="2"/>
        <v>45624</v>
      </c>
      <c r="B143" s="256">
        <v>7711</v>
      </c>
      <c r="C143" s="47">
        <v>1001</v>
      </c>
      <c r="D143" s="47" t="s">
        <v>2408</v>
      </c>
      <c r="E143" s="18">
        <v>45644</v>
      </c>
      <c r="F143" s="256">
        <v>63</v>
      </c>
    </row>
    <row r="144" spans="1:6">
      <c r="A144" s="18">
        <f t="shared" ca="1" si="2"/>
        <v>45624</v>
      </c>
      <c r="B144" s="256">
        <v>7711</v>
      </c>
      <c r="C144" s="47">
        <v>1001</v>
      </c>
      <c r="D144" s="256" t="s">
        <v>1695</v>
      </c>
      <c r="E144" s="18">
        <v>45638</v>
      </c>
      <c r="F144" s="256">
        <v>7</v>
      </c>
    </row>
    <row r="145" spans="1:6">
      <c r="A145" s="18">
        <f t="shared" ca="1" si="2"/>
        <v>45624</v>
      </c>
      <c r="B145" s="256">
        <v>7711</v>
      </c>
      <c r="C145" s="47">
        <v>1001</v>
      </c>
      <c r="D145" s="47" t="s">
        <v>2858</v>
      </c>
      <c r="E145" s="18">
        <v>45641</v>
      </c>
      <c r="F145" s="256">
        <v>420</v>
      </c>
    </row>
    <row r="146" spans="1:6">
      <c r="A146" s="18">
        <f t="shared" ca="1" si="2"/>
        <v>45624</v>
      </c>
      <c r="B146" s="256">
        <v>7711</v>
      </c>
      <c r="C146" s="47">
        <v>1001</v>
      </c>
      <c r="D146" s="47" t="s">
        <v>1004</v>
      </c>
      <c r="E146" s="18">
        <v>45631</v>
      </c>
      <c r="F146" s="256">
        <v>11</v>
      </c>
    </row>
    <row r="147" spans="1:6">
      <c r="A147" s="18">
        <f t="shared" ca="1" si="2"/>
        <v>45624</v>
      </c>
      <c r="B147" s="256">
        <v>7711</v>
      </c>
      <c r="C147" s="47">
        <v>1001</v>
      </c>
      <c r="D147" s="47" t="s">
        <v>2861</v>
      </c>
      <c r="E147" s="18">
        <v>45635</v>
      </c>
      <c r="F147" s="256">
        <v>287</v>
      </c>
    </row>
    <row r="148" spans="1:6">
      <c r="A148" s="18">
        <f t="shared" ca="1" si="2"/>
        <v>45624</v>
      </c>
      <c r="B148" s="256">
        <v>7711</v>
      </c>
      <c r="C148" s="47">
        <v>1001</v>
      </c>
      <c r="D148" s="47" t="s">
        <v>1221</v>
      </c>
      <c r="E148" s="18">
        <v>45637</v>
      </c>
      <c r="F148" s="256">
        <v>2</v>
      </c>
    </row>
    <row r="149" spans="1:6">
      <c r="A149" s="18">
        <f t="shared" ca="1" si="2"/>
        <v>45624</v>
      </c>
      <c r="B149" s="256">
        <v>7711</v>
      </c>
      <c r="C149" s="47">
        <v>1001</v>
      </c>
      <c r="D149" s="47" t="s">
        <v>1221</v>
      </c>
      <c r="E149" s="18">
        <v>45644</v>
      </c>
      <c r="F149" s="256">
        <v>20</v>
      </c>
    </row>
    <row r="150" spans="1:6">
      <c r="A150" s="18">
        <f t="shared" ca="1" si="2"/>
        <v>45624</v>
      </c>
      <c r="B150" s="256">
        <v>7711</v>
      </c>
      <c r="C150" s="47">
        <v>1001</v>
      </c>
      <c r="D150" s="47" t="s">
        <v>4014</v>
      </c>
      <c r="E150" s="18">
        <v>45637</v>
      </c>
      <c r="F150" s="256">
        <v>90</v>
      </c>
    </row>
    <row r="151" spans="1:6">
      <c r="A151" s="18">
        <f t="shared" ca="1" si="2"/>
        <v>45624</v>
      </c>
      <c r="B151" s="256">
        <v>7711</v>
      </c>
      <c r="C151" s="47">
        <v>1001</v>
      </c>
      <c r="D151" s="47" t="s">
        <v>1814</v>
      </c>
      <c r="E151" s="18">
        <v>45644</v>
      </c>
      <c r="F151" s="256">
        <v>68</v>
      </c>
    </row>
    <row r="152" spans="1:6">
      <c r="A152" s="18" t="str">
        <f t="shared" ca="1" si="2"/>
        <v/>
      </c>
      <c r="B152"/>
      <c r="C152"/>
      <c r="D152"/>
      <c r="E152"/>
      <c r="F152"/>
    </row>
    <row r="153" spans="1:6">
      <c r="A153" s="18" t="str">
        <f t="shared" ca="1" si="2"/>
        <v/>
      </c>
      <c r="B153"/>
      <c r="C153"/>
      <c r="D153"/>
      <c r="E153"/>
      <c r="F153"/>
    </row>
    <row r="154" spans="1:6">
      <c r="A154" s="18" t="str">
        <f t="shared" ca="1" si="2"/>
        <v/>
      </c>
      <c r="B154"/>
      <c r="C154"/>
      <c r="D154"/>
      <c r="E154"/>
      <c r="F154"/>
    </row>
    <row r="155" spans="1:6">
      <c r="A155" s="18" t="str">
        <f t="shared" ca="1" si="2"/>
        <v/>
      </c>
      <c r="B155"/>
      <c r="C155"/>
      <c r="D155"/>
      <c r="E155"/>
      <c r="F155"/>
    </row>
    <row r="156" spans="1:6">
      <c r="A156" s="18" t="str">
        <f t="shared" ca="1" si="2"/>
        <v/>
      </c>
      <c r="B156"/>
      <c r="C156"/>
      <c r="D156"/>
      <c r="E156"/>
      <c r="F156"/>
    </row>
    <row r="157" spans="1:6">
      <c r="A157" s="18" t="str">
        <f t="shared" ca="1" si="2"/>
        <v/>
      </c>
      <c r="B157"/>
      <c r="C157"/>
      <c r="D157"/>
      <c r="E157"/>
      <c r="F157"/>
    </row>
    <row r="158" spans="1:6">
      <c r="A158" s="18" t="str">
        <f t="shared" ca="1" si="2"/>
        <v/>
      </c>
      <c r="B158"/>
      <c r="C158"/>
      <c r="D158"/>
      <c r="E158"/>
      <c r="F158"/>
    </row>
    <row r="159" spans="1:6">
      <c r="A159" s="18" t="str">
        <f t="shared" ca="1" si="2"/>
        <v/>
      </c>
      <c r="B159"/>
      <c r="C159"/>
      <c r="D159"/>
      <c r="E159"/>
      <c r="F159"/>
    </row>
    <row r="160" spans="1:6">
      <c r="A160" s="18" t="str">
        <f t="shared" ref="A160:A169" ca="1" si="3">IF(B160="","",TODAY())</f>
        <v/>
      </c>
      <c r="B160"/>
      <c r="C160"/>
      <c r="D160"/>
      <c r="E160"/>
      <c r="F160"/>
    </row>
    <row r="161" spans="1:6">
      <c r="A161" s="18" t="str">
        <f t="shared" ca="1" si="3"/>
        <v/>
      </c>
      <c r="B161"/>
      <c r="C161"/>
      <c r="D161"/>
      <c r="E161"/>
      <c r="F161"/>
    </row>
    <row r="162" spans="1:6">
      <c r="A162" s="18" t="str">
        <f t="shared" ca="1" si="3"/>
        <v/>
      </c>
      <c r="B162"/>
      <c r="C162"/>
      <c r="D162"/>
      <c r="E162"/>
      <c r="F162"/>
    </row>
    <row r="163" spans="1:6">
      <c r="A163" s="18" t="str">
        <f t="shared" ca="1" si="3"/>
        <v/>
      </c>
      <c r="B163"/>
      <c r="C163"/>
      <c r="D163"/>
      <c r="E163"/>
      <c r="F163"/>
    </row>
    <row r="164" spans="1:6">
      <c r="A164" s="18" t="str">
        <f t="shared" ca="1" si="3"/>
        <v/>
      </c>
      <c r="B164"/>
      <c r="C164"/>
      <c r="D164"/>
      <c r="E164"/>
      <c r="F164"/>
    </row>
    <row r="165" spans="1:6">
      <c r="A165" s="18" t="str">
        <f t="shared" ca="1" si="3"/>
        <v/>
      </c>
      <c r="B165"/>
      <c r="C165"/>
      <c r="D165"/>
      <c r="E165"/>
      <c r="F165"/>
    </row>
    <row r="166" spans="1:6">
      <c r="A166" s="18" t="str">
        <f t="shared" ca="1" si="3"/>
        <v/>
      </c>
      <c r="B166"/>
      <c r="C166"/>
      <c r="D166"/>
      <c r="E166"/>
      <c r="F166"/>
    </row>
    <row r="167" spans="1:6">
      <c r="A167" s="18" t="str">
        <f t="shared" ca="1" si="3"/>
        <v/>
      </c>
      <c r="B167"/>
      <c r="C167"/>
      <c r="D167"/>
      <c r="E167"/>
      <c r="F167"/>
    </row>
    <row r="168" spans="1:6">
      <c r="A168" s="18" t="str">
        <f t="shared" ca="1" si="3"/>
        <v/>
      </c>
      <c r="B168"/>
      <c r="C168"/>
      <c r="D168"/>
      <c r="E168"/>
      <c r="F168"/>
    </row>
    <row r="169" spans="1:6">
      <c r="A169" s="18" t="str">
        <f t="shared" ca="1" si="3"/>
        <v/>
      </c>
      <c r="B169"/>
      <c r="C169"/>
      <c r="D169"/>
      <c r="E169"/>
      <c r="F16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7.xml>��
</file>

<file path=customXml/item8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445d49c-73f3-4d0d-977c-ff4dca288be4">
      <Terms xmlns="http://schemas.microsoft.com/office/infopath/2007/PartnerControls"/>
    </lcf76f155ced4ddcb4097134ff3c332f>
    <TaxCatchAll xmlns="1e656104-bfa9-4083-8ce7-4c283a0fefda" xsi:nil="true"/>
  </documentManagement>
</p:properties>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1AEEC86C08D8D40ACF036CE65598BB5" ma:contentTypeVersion="14" ma:contentTypeDescription="Crear nuevo documento." ma:contentTypeScope="" ma:versionID="3e793d779a562e3c5cf34f5517de4cf9">
  <xsd:schema xmlns:xsd="http://www.w3.org/2001/XMLSchema" xmlns:xs="http://www.w3.org/2001/XMLSchema" xmlns:p="http://schemas.microsoft.com/office/2006/metadata/properties" xmlns:ns2="f445d49c-73f3-4d0d-977c-ff4dca288be4" xmlns:ns3="1e656104-bfa9-4083-8ce7-4c283a0fefda" targetNamespace="http://schemas.microsoft.com/office/2006/metadata/properties" ma:root="true" ma:fieldsID="ca13ff3bafb9ab0f69e55357351a07a8" ns2:_="" ns3:_="">
    <xsd:import namespace="f445d49c-73f3-4d0d-977c-ff4dca288be4"/>
    <xsd:import namespace="1e656104-bfa9-4083-8ce7-4c283a0fefd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45d49c-73f3-4d0d-977c-ff4dca288be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6" nillable="true" ma:taxonomy="true" ma:internalName="lcf76f155ced4ddcb4097134ff3c332f" ma:taxonomyFieldName="MediaServiceImageTags" ma:displayName="Etiquetas de imagen" ma:readOnly="false" ma:fieldId="{5cf76f15-5ced-4ddc-b409-7134ff3c332f}" ma:taxonomyMulti="true" ma:sspId="2f90f5e9-0b80-4ff1-8bf0-7aee6618113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656104-bfa9-4083-8ce7-4c283a0fefda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7a753279-fa28-47d6-a1f0-feaeb4cca477}" ma:internalName="TaxCatchAll" ma:showField="CatchAllData" ma:web="1e656104-bfa9-4083-8ce7-4c283a0fefd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F57060E7-71F7-4478-9E16-AC4A506C0C9F}">
  <ds:schemaRefs>
    <ds:schemaRef ds:uri="http://gemini/pivotcustomization/TableOrder"/>
  </ds:schemaRefs>
</ds:datastoreItem>
</file>

<file path=customXml/itemProps2.xml><?xml version="1.0" encoding="utf-8"?>
<ds:datastoreItem xmlns:ds="http://schemas.openxmlformats.org/officeDocument/2006/customXml" ds:itemID="{4E432354-DEC1-4C0A-8D6C-1636AC371B08}">
  <ds:schemaRefs>
    <ds:schemaRef ds:uri="http://gemini/pivotcustomization/b6fa1256-c64b-4a97-a660-e44a1ba29127"/>
  </ds:schemaRefs>
</ds:datastoreItem>
</file>

<file path=customXml/itemProps3.xml><?xml version="1.0" encoding="utf-8"?>
<ds:datastoreItem xmlns:ds="http://schemas.openxmlformats.org/officeDocument/2006/customXml" ds:itemID="{7F3D70C4-194E-4A48-9BD5-C600692E4B69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D8B29036-9CBD-4CD2-88F3-96FA975EFA51}">
  <ds:schemaRefs/>
</ds:datastoreItem>
</file>

<file path=customXml/itemProps5.xml><?xml version="1.0" encoding="utf-8"?>
<ds:datastoreItem xmlns:ds="http://schemas.openxmlformats.org/officeDocument/2006/customXml" ds:itemID="{1417E4D6-8BE2-4AD2-A6FF-328791ED42A9}">
  <ds:schemaRefs>
    <ds:schemaRef ds:uri="http://gemini/pivotcustomization/TableXML_Reporte Stock DiarioPRG_adf8c830-20b1-4335-b56e-fb09d8913ee8"/>
  </ds:schemaRefs>
</ds:datastoreItem>
</file>

<file path=customXml/itemProps6.xml><?xml version="1.0" encoding="utf-8"?>
<ds:datastoreItem xmlns:ds="http://schemas.openxmlformats.org/officeDocument/2006/customXml" ds:itemID="{0F3CAA57-29D3-4730-A291-C01CCD05203E}">
  <ds:schemaRefs>
    <ds:schemaRef ds:uri="http://schemas.microsoft.com/sharepoint/v3/contenttype/forms"/>
  </ds:schemaRefs>
</ds:datastoreItem>
</file>

<file path=customXml/itemProps7.xml><?xml version="1.0" encoding="utf-8"?>
<ds:datastoreItem xmlns:ds="http://schemas.openxmlformats.org/officeDocument/2006/customXml" ds:itemID="{82F802F2-B49F-4A5B-99CC-1B972F4E4B07}">
  <ds:schemaRefs>
    <ds:schemaRef ds:uri="http://gemini/pivotcustomization/TableWidget"/>
  </ds:schemaRefs>
</ds:datastoreItem>
</file>

<file path=customXml/itemProps8.xml><?xml version="1.0" encoding="utf-8"?>
<ds:datastoreItem xmlns:ds="http://schemas.openxmlformats.org/officeDocument/2006/customXml" ds:itemID="{23DD9FA2-6030-4E5B-86CE-CB33BBC23190}">
  <ds:schemaRefs>
    <ds:schemaRef ds:uri="http://schemas.microsoft.com/office/2006/metadata/properties"/>
    <ds:schemaRef ds:uri="http://schemas.microsoft.com/office/infopath/2007/PartnerControls"/>
    <ds:schemaRef ds:uri="f445d49c-73f3-4d0d-977c-ff4dca288be4"/>
    <ds:schemaRef ds:uri="1e656104-bfa9-4083-8ce7-4c283a0fefda"/>
  </ds:schemaRefs>
</ds:datastoreItem>
</file>

<file path=customXml/itemProps9.xml><?xml version="1.0" encoding="utf-8"?>
<ds:datastoreItem xmlns:ds="http://schemas.openxmlformats.org/officeDocument/2006/customXml" ds:itemID="{C02F68B8-549F-46C1-93BE-1642DEA3E3C3}">
  <ds:schemaRefs/>
</ds:datastoreItem>
</file>

<file path=customXml/itemProps10.xml><?xml version="1.0" encoding="utf-8"?>
<ds:datastoreItem xmlns:ds="http://schemas.openxmlformats.org/officeDocument/2006/customXml" ds:itemID="{CDF8A341-6896-4C60-90FB-21467FE88E80}">
  <ds:schemaRefs>
    <ds:schemaRef ds:uri="http://gemini/pivotcustomization/a903f394-b987-4d03-acad-e3da589e7fc3"/>
  </ds:schemaRefs>
</ds:datastoreItem>
</file>

<file path=customXml/itemProps11.xml><?xml version="1.0" encoding="utf-8"?>
<ds:datastoreItem xmlns:ds="http://schemas.openxmlformats.org/officeDocument/2006/customXml" ds:itemID="{2B17474C-82A3-48DA-BB0D-A0A64FC9676F}">
  <ds:schemaRefs>
    <ds:schemaRef ds:uri="http://gemini/pivotcustomization/ShowImplicitMeasures"/>
  </ds:schemaRefs>
</ds:datastoreItem>
</file>

<file path=customXml/itemProps12.xml><?xml version="1.0" encoding="utf-8"?>
<ds:datastoreItem xmlns:ds="http://schemas.openxmlformats.org/officeDocument/2006/customXml" ds:itemID="{3398D1CC-CFFC-4395-B4C4-8938A0B2AEB2}">
  <ds:schemaRefs/>
</ds:datastoreItem>
</file>

<file path=customXml/itemProps13.xml><?xml version="1.0" encoding="utf-8"?>
<ds:datastoreItem xmlns:ds="http://schemas.openxmlformats.org/officeDocument/2006/customXml" ds:itemID="{9E861F4A-0EE2-4E51-8C36-0A169C230DC4}">
  <ds:schemaRefs>
    <ds:schemaRef ds:uri="http://gemini/pivotcustomization/ShowHidden"/>
  </ds:schemaRefs>
</ds:datastoreItem>
</file>

<file path=customXml/itemProps14.xml><?xml version="1.0" encoding="utf-8"?>
<ds:datastoreItem xmlns:ds="http://schemas.openxmlformats.org/officeDocument/2006/customXml" ds:itemID="{80619591-9371-4939-BB21-B14CFE9BAFDB}">
  <ds:schemaRefs>
    <ds:schemaRef ds:uri="http://gemini/pivotcustomization/MeasureGridState"/>
  </ds:schemaRefs>
</ds:datastoreItem>
</file>

<file path=customXml/itemProps15.xml><?xml version="1.0" encoding="utf-8"?>
<ds:datastoreItem xmlns:ds="http://schemas.openxmlformats.org/officeDocument/2006/customXml" ds:itemID="{6E70FD66-27E6-4107-BF82-D26C38F23467}">
  <ds:schemaRefs>
    <ds:schemaRef ds:uri="http://gemini/pivotcustomization/ManualCalcMode"/>
  </ds:schemaRefs>
</ds:datastoreItem>
</file>

<file path=customXml/itemProps16.xml><?xml version="1.0" encoding="utf-8"?>
<ds:datastoreItem xmlns:ds="http://schemas.openxmlformats.org/officeDocument/2006/customXml" ds:itemID="{C01C2F70-0F77-4B32-8B2F-7C50ED732775}">
  <ds:schemaRefs/>
</ds:datastoreItem>
</file>

<file path=customXml/itemProps17.xml><?xml version="1.0" encoding="utf-8"?>
<ds:datastoreItem xmlns:ds="http://schemas.openxmlformats.org/officeDocument/2006/customXml" ds:itemID="{B0F74422-5BAA-4B5C-AB4F-995DFFDD9B09}">
  <ds:schemaRefs/>
</ds:datastoreItem>
</file>

<file path=customXml/itemProps18.xml><?xml version="1.0" encoding="utf-8"?>
<ds:datastoreItem xmlns:ds="http://schemas.openxmlformats.org/officeDocument/2006/customXml" ds:itemID="{6144F79A-80C3-446B-9533-4C2FD813E7F4}">
  <ds:schemaRefs>
    <ds:schemaRef ds:uri="http://gemini/pivotcustomization/LinkedTableUpdateMode"/>
  </ds:schemaRefs>
</ds:datastoreItem>
</file>

<file path=customXml/itemProps19.xml><?xml version="1.0" encoding="utf-8"?>
<ds:datastoreItem xmlns:ds="http://schemas.openxmlformats.org/officeDocument/2006/customXml" ds:itemID="{2C9FB183-1A70-470B-8935-D6D1F9E147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445d49c-73f3-4d0d-977c-ff4dca288be4"/>
    <ds:schemaRef ds:uri="1e656104-bfa9-4083-8ce7-4c283a0fef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0.xml><?xml version="1.0" encoding="utf-8"?>
<ds:datastoreItem xmlns:ds="http://schemas.openxmlformats.org/officeDocument/2006/customXml" ds:itemID="{A30E6FBF-1208-4F3E-83F4-40F09A1AAD25}">
  <ds:schemaRefs>
    <ds:schemaRef ds:uri="http://gemini/pivotcustomization/FormulaBarState"/>
  </ds:schemaRefs>
</ds:datastoreItem>
</file>

<file path=customXml/itemProps21.xml><?xml version="1.0" encoding="utf-8"?>
<ds:datastoreItem xmlns:ds="http://schemas.openxmlformats.org/officeDocument/2006/customXml" ds:itemID="{543D11B0-67F6-4836-9E8B-3CBEE2CB9939}">
  <ds:schemaRefs>
    <ds:schemaRef ds:uri="http://gemini/pivotcustomization/TableXML_Listado_PT_8e25f82f-1b31-44b1-bc1e-52e72a7ecf89"/>
  </ds:schemaRefs>
</ds:datastoreItem>
</file>

<file path=customXml/itemProps22.xml><?xml version="1.0" encoding="utf-8"?>
<ds:datastoreItem xmlns:ds="http://schemas.openxmlformats.org/officeDocument/2006/customXml" ds:itemID="{00E7F9B5-7B02-4AF4-ACB3-F0DC1D208EF2}">
  <ds:schemaRefs/>
</ds:datastoreItem>
</file>

<file path=customXml/itemProps23.xml><?xml version="1.0" encoding="utf-8"?>
<ds:datastoreItem xmlns:ds="http://schemas.openxmlformats.org/officeDocument/2006/customXml" ds:itemID="{3DC5BE2D-E1CE-4BFF-9616-1B9CA3BE73C8}">
  <ds:schemaRefs>
    <ds:schemaRef ds:uri="http://gemini/pivotcustomization/Diagrams"/>
  </ds:schemaRefs>
</ds:datastoreItem>
</file>

<file path=customXml/itemProps24.xml><?xml version="1.0" encoding="utf-8"?>
<ds:datastoreItem xmlns:ds="http://schemas.openxmlformats.org/officeDocument/2006/customXml" ds:itemID="{7945A697-4FAC-4C64-88A8-98F204A884EB}">
  <ds:schemaRefs/>
</ds:datastoreItem>
</file>

<file path=customXml/itemProps25.xml><?xml version="1.0" encoding="utf-8"?>
<ds:datastoreItem xmlns:ds="http://schemas.openxmlformats.org/officeDocument/2006/customXml" ds:itemID="{78552BEB-99AC-46C0-958C-E10AC4CE68D6}">
  <ds:schemaRefs>
    <ds:schemaRef ds:uri="http://gemini/pivotcustomization/ClientWindowXM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13</vt:i4>
      </vt:variant>
    </vt:vector>
  </HeadingPairs>
  <TitlesOfParts>
    <vt:vector size="22" baseType="lpstr">
      <vt:lpstr>MAESTRO</vt:lpstr>
      <vt:lpstr>GUAYAQUIL</vt:lpstr>
      <vt:lpstr>MACHACHI</vt:lpstr>
      <vt:lpstr>SAN GABRIEL</vt:lpstr>
      <vt:lpstr>Visor Consulta Fechas Cortas</vt:lpstr>
      <vt:lpstr>Info General</vt:lpstr>
      <vt:lpstr>Tablas_Visores</vt:lpstr>
      <vt:lpstr>CONSOLIDADO </vt:lpstr>
      <vt:lpstr>Base_FechasCortas</vt:lpstr>
      <vt:lpstr>GUAYAQUIL!Área_de_impresión</vt:lpstr>
      <vt:lpstr>MACHACHI!Área_de_impresión</vt:lpstr>
      <vt:lpstr>'SAN GABRIEL'!Área_de_impresión</vt:lpstr>
      <vt:lpstr>'CONSOLIDADO '!CEDE</vt:lpstr>
      <vt:lpstr>'CONSOLIDADO '!CODIGO</vt:lpstr>
      <vt:lpstr>'CONSOLIDADO '!DC</vt:lpstr>
      <vt:lpstr>'CONSOLIDADO '!ESTADO</vt:lpstr>
      <vt:lpstr>'CONSOLIDADO '!FE</vt:lpstr>
      <vt:lpstr>'CONSOLIDADO '!FECHACORTA</vt:lpstr>
      <vt:lpstr>'CONSOLIDADO '!PRODUCTO</vt:lpstr>
      <vt:lpstr>'CONSOLIDADO '!SA</vt:lpstr>
      <vt:lpstr>'CONSOLIDADO '!SEDE</vt:lpstr>
      <vt:lpstr>'CONSOLIDADO '!VA</vt:lpstr>
    </vt:vector>
  </TitlesOfParts>
  <Manager/>
  <Company>Alpina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Ruben Ricardo Quinatoa Quinatoa</dc:creator>
  <cp:keywords/>
  <dc:description/>
  <cp:lastModifiedBy>Ruben Ricardo Quinatoa Quinatoa</cp:lastModifiedBy>
  <cp:revision/>
  <dcterms:created xsi:type="dcterms:W3CDTF">2024-06-11T19:45:57Z</dcterms:created>
  <dcterms:modified xsi:type="dcterms:W3CDTF">2024-11-28T20:45:52Z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0x01010051AEEC86C08D8D40ACF036CE65598BB5</vt:lpwstr>
  </property>
</Properties>
</file>